
<file path=[Content_Types].xml><?xml version="1.0" encoding="utf-8"?>
<Types xmlns="http://schemas.openxmlformats.org/package/2006/content-types">
  <Default Extension="bin" ContentType="application/vnd.openxmlformats-officedocument.oleObject"/>
  <Default Extension="emf" ContentType="image/x-emf"/>
  <Default Extension="GIF" ContentType="image/gif"/>
  <Default Extension="jpeg" ContentType="image/jpeg"/>
  <Default Extension="png" ContentType="image/png"/>
  <Default Extension="rels" ContentType="application/vnd.openxmlformats-package.relationships+xml"/>
  <Default Extension="tiff" ContentType="image/tiff"/>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omments1.xml" ContentType="application/vnd.openxmlformats-officedocument.spreadsheetml.comments+xml"/>
  <Override PartName="/xl/drawings/drawing32.xml" ContentType="application/vnd.openxmlformats-officedocument.drawing+xml"/>
  <Override PartName="/xl/comments2.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omments3.xml" ContentType="application/vnd.openxmlformats-officedocument.spreadsheetml.comments+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comments4.xml" ContentType="application/vnd.openxmlformats-officedocument.spreadsheetml.comments+xml"/>
  <Override PartName="/xl/drawings/drawing78.xml" ContentType="application/vnd.openxmlformats-officedocument.drawing+xml"/>
  <Override PartName="/xl/comments5.xml" ContentType="application/vnd.openxmlformats-officedocument.spreadsheetml.comments+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4.xml" ContentType="application/vnd.openxmlformats-officedocument.drawing+xml"/>
  <Override PartName="/xl/drawings/drawing85.xml" ContentType="application/vnd.openxmlformats-officedocument.drawing+xml"/>
  <Override PartName="/xl/charts/chart3.xml" ContentType="application/vnd.openxmlformats-officedocument.drawingml.chart+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printerSettings/printerSettings1.bin" ContentType="application/vnd.openxmlformats-officedocument.spreadsheetml.printerSettings"/>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comments6.xml" ContentType="application/vnd.openxmlformats-officedocument.spreadsheetml.comments+xml"/>
  <Override PartName="/xl/drawings/drawing126.xml" ContentType="application/vnd.openxmlformats-officedocument.drawing+xml"/>
  <Override PartName="/xl/comments7.xml" ContentType="application/vnd.openxmlformats-officedocument.spreadsheetml.comments+xml"/>
  <Override PartName="/xl/drawings/drawing127.xml" ContentType="application/vnd.openxmlformats-officedocument.drawing+xml"/>
  <Override PartName="/xl/printerSettings/printerSettings2.bin" ContentType="application/vnd.openxmlformats-officedocument.spreadsheetml.printerSettings"/>
  <Override PartName="/xl/drawings/drawing128.xml" ContentType="application/vnd.openxmlformats-officedocument.drawing+xml"/>
  <Override PartName="/xl/printerSettings/printerSettings3.bin" ContentType="application/vnd.openxmlformats-officedocument.spreadsheetml.printerSettings"/>
  <Override PartName="/xl/drawings/drawing129.xml" ContentType="application/vnd.openxmlformats-officedocument.drawing+xml"/>
  <Override PartName="/xl/printerSettings/printerSettings4.bin" ContentType="application/vnd.openxmlformats-officedocument.spreadsheetml.printerSettings"/>
  <Override PartName="/xl/drawings/drawing130.xml" ContentType="application/vnd.openxmlformats-officedocument.drawing+xml"/>
  <Override PartName="/xl/printerSettings/printerSettings5.bin" ContentType="application/vnd.openxmlformats-officedocument.spreadsheetml.printerSettings"/>
  <Override PartName="/xl/drawings/drawing131.xml" ContentType="application/vnd.openxmlformats-officedocument.drawing+xml"/>
  <Override PartName="/xl/printerSettings/printerSettings6.bin" ContentType="application/vnd.openxmlformats-officedocument.spreadsheetml.printerSettings"/>
  <Override PartName="/xl/drawings/drawing132.xml" ContentType="application/vnd.openxmlformats-officedocument.drawing+xml"/>
  <Override PartName="/xl/printerSettings/printerSettings7.bin" ContentType="application/vnd.openxmlformats-officedocument.spreadsheetml.printerSettings"/>
  <Override PartName="/xl/drawings/drawing133.xml" ContentType="application/vnd.openxmlformats-officedocument.drawing+xml"/>
  <Override PartName="/xl/comments8.xml" ContentType="application/vnd.openxmlformats-officedocument.spreadsheetml.comments+xml"/>
  <Override PartName="/xl/printerSettings/printerSettings8.bin" ContentType="application/vnd.openxmlformats-officedocument.spreadsheetml.printerSettings"/>
  <Override PartName="/xl/drawings/drawing134.xml" ContentType="application/vnd.openxmlformats-officedocument.drawing+xml"/>
  <Override PartName="/xl/printerSettings/printerSettings9.bin" ContentType="application/vnd.openxmlformats-officedocument.spreadsheetml.printerSettings"/>
  <Override PartName="/xl/drawings/drawing135.xml" ContentType="application/vnd.openxmlformats-officedocument.drawing+xml"/>
  <Override PartName="/xl/printerSettings/printerSettings10.bin" ContentType="application/vnd.openxmlformats-officedocument.spreadsheetml.printerSettings"/>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printerSettings/printerSettings11.bin" ContentType="application/vnd.openxmlformats-officedocument.spreadsheetml.printerSettings"/>
  <Override PartName="/xl/drawings/drawing149.xml" ContentType="application/vnd.openxmlformats-officedocument.drawing+xml"/>
  <Override PartName="/xl/comments9.xml" ContentType="application/vnd.openxmlformats-officedocument.spreadsheetml.comments+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comments10.xml" ContentType="application/vnd.openxmlformats-officedocument.spreadsheetml.comments+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drawings/drawing177.xml" ContentType="application/vnd.openxmlformats-officedocument.drawing+xml"/>
  <Override PartName="/xl/drawings/drawing178.xml" ContentType="application/vnd.openxmlformats-officedocument.drawing+xml"/>
  <Override PartName="/xl/drawings/drawing179.xml" ContentType="application/vnd.openxmlformats-officedocument.drawing+xml"/>
  <Override PartName="/xl/drawings/drawing180.xml" ContentType="application/vnd.openxmlformats-officedocument.drawing+xml"/>
  <Override PartName="/xl/drawings/drawing181.xml" ContentType="application/vnd.openxmlformats-officedocument.drawing+xml"/>
  <Override PartName="/xl/drawings/drawing182.xml" ContentType="application/vnd.openxmlformats-officedocument.drawing+xml"/>
  <Override PartName="/xl/drawings/drawing183.xml" ContentType="application/vnd.openxmlformats-officedocument.drawing+xml"/>
  <Override PartName="/xl/drawings/drawing184.xml" ContentType="application/vnd.openxmlformats-officedocument.drawing+xml"/>
  <Override PartName="/xl/drawings/drawing185.xml" ContentType="application/vnd.openxmlformats-officedocument.drawing+xml"/>
  <Override PartName="/xl/drawings/drawing186.xml" ContentType="application/vnd.openxmlformats-officedocument.drawing+xml"/>
  <Override PartName="/xl/drawings/drawing18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codeName="ThisWorkbook"/>
  <mc:AlternateContent xmlns:mc="http://schemas.openxmlformats.org/markup-compatibility/2006">
    <mc:Choice Requires="x15">
      <x15ac:absPath xmlns:x15ac="http://schemas.microsoft.com/office/spreadsheetml/2010/11/ac" url="C:\Users\benfei001\Desktop\"/>
    </mc:Choice>
  </mc:AlternateContent>
  <xr:revisionPtr revIDLastSave="0" documentId="13_ncr:1_{21B2E03D-8676-48DE-B489-82A58946D079}" xr6:coauthVersionLast="47" xr6:coauthVersionMax="47" xr10:uidLastSave="{00000000-0000-0000-0000-000000000000}"/>
  <workbookProtection workbookAlgorithmName="SHA-512" workbookHashValue="J7ENOTWmraTtD9qvc7FQEZLF4RQmXt4G2kKwhUKwaQky/X0Ivazfa/6fGo7ly5uKVaFYfGWvfCSh/6dadLysEw==" workbookSaltValue="GCOQC40TG4BBcYIgmTUPjg==" workbookSpinCount="100000" lockStructure="1"/>
  <bookViews>
    <workbookView xWindow="-120" yWindow="-120" windowWidth="29040" windowHeight="15840" tabRatio="818" xr2:uid="{00000000-000D-0000-FFFF-FFFF00000000}"/>
  </bookViews>
  <sheets>
    <sheet name="总目录" sheetId="15" r:id="rId1"/>
    <sheet name="回转圆盘式凸轮分割器选型" sheetId="214" r:id="rId2"/>
    <sheet name="传送带式凸轮分割器选型" sheetId="215" r:id="rId3"/>
    <sheet name="切削速度计算公式" sheetId="213" r:id="rId4"/>
    <sheet name="立铣刀选用表" sheetId="212" r:id="rId5"/>
    <sheet name="常用螺栓强度极限＆屈服极限＆预紧力＆预紧力矩一览表" sheetId="211" r:id="rId6"/>
    <sheet name="CNC加工参数" sheetId="210" r:id="rId7"/>
    <sheet name="钢料加工参数参考表" sheetId="209" r:id="rId8"/>
    <sheet name="CNC钢料切削参数表" sheetId="208" r:id="rId9"/>
    <sheet name="尺寸链计算" sheetId="207" r:id="rId10"/>
    <sheet name="尺寸链知识" sheetId="206" r:id="rId11"/>
    <sheet name="公差计算表" sheetId="205" r:id="rId12"/>
    <sheet name="尺寸链计算表" sheetId="204" r:id="rId13"/>
    <sheet name="LED显示英寸计算长宽" sheetId="203" r:id="rId14"/>
    <sheet name="几何体计算表" sheetId="202" r:id="rId15"/>
    <sheet name="伺服电机选型" sheetId="201" r:id="rId16"/>
    <sheet name="气动元件的选型计算" sheetId="200" r:id="rId17"/>
    <sheet name="伺服电机和步进电机的区别" sheetId="199" r:id="rId18"/>
    <sheet name="超越离合器设计" sheetId="198" r:id="rId19"/>
    <sheet name="减速器" sheetId="197" r:id="rId20"/>
    <sheet name="链轮参数计算" sheetId="196" r:id="rId21"/>
    <sheet name="同步轮" sheetId="195" r:id="rId22"/>
    <sheet name="步进电机与驱动选型" sheetId="194" r:id="rId23"/>
    <sheet name="常用金属材料密度表" sheetId="193" r:id="rId24"/>
    <sheet name="氮气弹簧计算" sheetId="192" r:id="rId25"/>
    <sheet name="压簧计算表" sheetId="191" r:id="rId26"/>
    <sheet name="所有换算单位" sheetId="190" r:id="rId27"/>
    <sheet name="气缸力计算及使用" sheetId="189" r:id="rId28"/>
    <sheet name="电镀余量参考" sheetId="188" r:id="rId29"/>
    <sheet name="齿轮的换算公式" sheetId="187" r:id="rId30"/>
    <sheet name="张力逐点计算" sheetId="186" r:id="rId31"/>
    <sheet name="功率及张力计算" sheetId="185" r:id="rId32"/>
    <sheet name="机械设计常用计算公式" sheetId="183" r:id="rId33"/>
    <sheet name="常用材料力学性能" sheetId="184" r:id="rId34"/>
    <sheet name="七国铝及其合金牌号对照表" sheetId="172" r:id="rId35"/>
    <sheet name="气缸与系统选型指南" sheetId="175" r:id="rId36"/>
    <sheet name="气缸推力计算" sheetId="176" r:id="rId37"/>
    <sheet name="真空元件的选定 " sheetId="174" r:id="rId38"/>
    <sheet name="内齿轮传动计算及插齿刀验算" sheetId="182" r:id="rId39"/>
    <sheet name="七国钢材牌号对照表" sheetId="171" r:id="rId40"/>
    <sheet name="准双曲面齿轮设计计算" sheetId="181" r:id="rId41"/>
    <sheet name="内齿轮插齿顶切验算" sheetId="180" r:id="rId42"/>
    <sheet name="外啮合圆柱齿轮传动设计计算" sheetId="178" r:id="rId43"/>
    <sheet name="外齿轮插齿、剃齿验算" sheetId="179" r:id="rId44"/>
    <sheet name="交错轴斜齿轮传动计算" sheetId="177" r:id="rId45"/>
    <sheet name="常用工程材料属性" sheetId="170" r:id="rId46"/>
    <sheet name="塑料材料性能" sheetId="169" r:id="rId47"/>
    <sheet name="液压冲击" sheetId="168" r:id="rId48"/>
    <sheet name="【理论】总冲裁力的计算" sheetId="167" r:id="rId49"/>
    <sheet name="液压油" sheetId="165" r:id="rId50"/>
    <sheet name="缝隙.管路" sheetId="164" r:id="rId51"/>
    <sheet name="蓄能器" sheetId="163" r:id="rId52"/>
    <sheet name="油箱.热平衡" sheetId="162" r:id="rId53"/>
    <sheet name="泵.马达" sheetId="161" r:id="rId54"/>
    <sheet name="油缸" sheetId="160" r:id="rId55"/>
    <sheet name="圆锥滚子轴承参数表" sheetId="159" r:id="rId56"/>
    <sheet name="公制螺纹大全" sheetId="157" r:id="rId57"/>
    <sheet name="椭圆" sheetId="156" r:id="rId58"/>
    <sheet name="正方形" sheetId="155" r:id="rId59"/>
    <sheet name="圆" sheetId="154" r:id="rId60"/>
    <sheet name="扇形圆环" sheetId="153" r:id="rId61"/>
    <sheet name="扇形" sheetId="152" r:id="rId62"/>
    <sheet name="三角形" sheetId="151" r:id="rId63"/>
    <sheet name="六边形" sheetId="150" r:id="rId64"/>
    <sheet name="空心正方形" sheetId="149" r:id="rId65"/>
    <sheet name="空心正方形（圆）" sheetId="148" r:id="rId66"/>
    <sheet name="空心圆" sheetId="147" r:id="rId67"/>
    <sheet name="空心椭圆" sheetId="146" r:id="rId68"/>
    <sheet name="矩形" sheetId="145" r:id="rId69"/>
    <sheet name="花键" sheetId="144" r:id="rId70"/>
    <sheet name="钢型截面" sheetId="143" r:id="rId71"/>
    <sheet name="带横孔圆" sheetId="142" r:id="rId72"/>
    <sheet name="薄壁正方形" sheetId="141" r:id="rId73"/>
    <sheet name="半圆环" sheetId="140" r:id="rId74"/>
    <sheet name="半圆" sheetId="139" r:id="rId75"/>
    <sheet name="功率计算公式" sheetId="138" r:id="rId76"/>
    <sheet name="捲料沖壓效率" sheetId="136" r:id="rId77"/>
    <sheet name="剪切力計算" sheetId="132" r:id="rId78"/>
    <sheet name="板材壓印成型之加工壓力" sheetId="133" r:id="rId79"/>
    <sheet name="V型 彎曲力之計算 " sheetId="134" r:id="rId80"/>
    <sheet name="U型 彎曲力之計算" sheetId="135" r:id="rId81"/>
    <sheet name="齿轮齿条电机选型" sheetId="131" r:id="rId82"/>
    <sheet name="正弦加速度凸轮" sheetId="127" r:id="rId83"/>
    <sheet name="凸轮正弦余弦计算对照表" sheetId="128" r:id="rId84"/>
    <sheet name="凸轮的轮廓曲线设计" sheetId="129" r:id="rId85"/>
    <sheet name="金属材料密度表" sheetId="126" r:id="rId86"/>
    <sheet name="倍速链的张力计算" sheetId="125" r:id="rId87"/>
    <sheet name="倍速链线马达功率计算" sheetId="124" r:id="rId88"/>
    <sheet name="英制螺纹" sheetId="123" r:id="rId89"/>
    <sheet name="滚珠丝杆水平 (2)" sheetId="122" r:id="rId90"/>
    <sheet name="转矩计算" sheetId="121" r:id="rId91"/>
    <sheet name="皮带传动" sheetId="120" r:id="rId92"/>
    <sheet name="滚珠丝杆垂直" sheetId="119" r:id="rId93"/>
    <sheet name="滚珠丝杆水平" sheetId="118" r:id="rId94"/>
    <sheet name="弹簧刚度计算大全" sheetId="117" r:id="rId95"/>
    <sheet name="链轮齿槽形状" sheetId="116" r:id="rId96"/>
    <sheet name="链轮的基本参数和主要尺寸" sheetId="115" r:id="rId97"/>
    <sheet name="传动用短节距精密滚子链" sheetId="114" r:id="rId98"/>
    <sheet name="链条长度计算" sheetId="113" r:id="rId99"/>
    <sheet name="轴向齿廓及尺寸" sheetId="112" r:id="rId100"/>
    <sheet name="英制螺纹底孔对照表" sheetId="109" r:id="rId101"/>
    <sheet name="C型三角带规格" sheetId="108" r:id="rId102"/>
    <sheet name="B型三角带规格" sheetId="107" r:id="rId103"/>
    <sheet name="A型三角带规格" sheetId="106" r:id="rId104"/>
    <sheet name="V型带槽型齿" sheetId="105" r:id="rId105"/>
    <sheet name="V型带轮规格型号" sheetId="104" r:id="rId106"/>
    <sheet name="凸轮各曲线特征" sheetId="102" r:id="rId107"/>
    <sheet name="形位公差" sheetId="101" r:id="rId108"/>
    <sheet name="孔偏差" sheetId="100" r:id="rId109"/>
    <sheet name="公差" sheetId="98" r:id="rId110"/>
    <sheet name="沉孔尺寸" sheetId="97" r:id="rId111"/>
    <sheet name="緊固螺釘旋入深度及螺孔底孔深度" sheetId="96" r:id="rId112"/>
    <sheet name="扳手空間尺寸" sheetId="95" r:id="rId113"/>
    <sheet name="T型槽尺寸" sheetId="94" r:id="rId114"/>
    <sheet name="亚德客缓冲器" sheetId="93" r:id="rId115"/>
    <sheet name="材质硬度对照表" sheetId="92" r:id="rId116"/>
    <sheet name="推力球轴承尺寸表" sheetId="89" r:id="rId117"/>
    <sheet name="深沟球轴承查询 " sheetId="88" r:id="rId118"/>
    <sheet name="平键和键槽" sheetId="86" r:id="rId119"/>
    <sheet name="E形扣环" sheetId="85" r:id="rId120"/>
    <sheet name="轴用" sheetId="84" r:id="rId121"/>
    <sheet name="孔用" sheetId="83" r:id="rId122"/>
    <sheet name="齿轮齿条传动设计计算  " sheetId="82" r:id="rId123"/>
    <sheet name="搖擺資料" sheetId="80" r:id="rId124"/>
    <sheet name="輸送帶計算" sheetId="79" r:id="rId125"/>
    <sheet name="齒輪分割計算" sheetId="78" r:id="rId126"/>
    <sheet name="棘轮计算" sheetId="77" r:id="rId127"/>
    <sheet name="弹簧计算" sheetId="73" r:id="rId128"/>
    <sheet name="齿式联轴器计算" sheetId="72" r:id="rId129"/>
    <sheet name="万向联轴器计算" sheetId="71" r:id="rId130"/>
    <sheet name="过盈计算" sheetId="70" r:id="rId131"/>
    <sheet name="减速机公称功率" sheetId="69" r:id="rId132"/>
    <sheet name="链条计算" sheetId="67" r:id="rId133"/>
    <sheet name="焊缝及键连接受力计算比较" sheetId="66" r:id="rId134"/>
    <sheet name="销的强度计算" sheetId="65" r:id="rId135"/>
    <sheet name="键的强度计算 " sheetId="64" r:id="rId136"/>
    <sheet name="同步带轮传动设计计算" sheetId="63" r:id="rId137"/>
    <sheet name="分度盘选型计算公式" sheetId="62" r:id="rId138"/>
    <sheet name="单位换算" sheetId="60" r:id="rId139"/>
    <sheet name="真空元件的选定" sheetId="59" r:id="rId140"/>
    <sheet name="耗气量计算及电磁阀选择" sheetId="58" r:id="rId141"/>
    <sheet name="三角皮带参数表" sheetId="56" r:id="rId142"/>
    <sheet name="气缸理论出力表" sheetId="55" r:id="rId143"/>
    <sheet name="气缸内径选型" sheetId="53" r:id="rId144"/>
    <sheet name="伺服电机选型自动版" sheetId="52" r:id="rId145"/>
    <sheet name="材料价格计算表" sheetId="51" r:id="rId146"/>
    <sheet name="压入力计算" sheetId="48" r:id="rId147"/>
    <sheet name="弹性模量、泊松系数" sheetId="49" r:id="rId148"/>
    <sheet name="电机功率确定程序" sheetId="47" r:id="rId149"/>
    <sheet name="变位圆柱" sheetId="43" r:id="rId150"/>
    <sheet name="齿轮齿条" sheetId="44" r:id="rId151"/>
    <sheet name="齿轮常用材料及其力学性能 (2)" sheetId="45" r:id="rId152"/>
    <sheet name="圆柱蜗杆传动基本几何尺寸计算公式" sheetId="40" r:id="rId153"/>
    <sheet name="圆柱蜗杆传动主要参数搭配推荐值" sheetId="42" r:id="rId154"/>
    <sheet name="三角皮带长度计算" sheetId="39" r:id="rId155"/>
    <sheet name="粗螺纹" sheetId="37" r:id="rId156"/>
    <sheet name="美制特细螺纹及英制电器螺纹" sheetId="34" r:id="rId157"/>
    <sheet name="管螺纹" sheetId="35" r:id="rId158"/>
    <sheet name="螺纹及针车用螺纹" sheetId="36" r:id="rId159"/>
    <sheet name="立柱计算" sheetId="28" r:id="rId160"/>
    <sheet name="稳定性系数" sheetId="29" r:id="rId161"/>
    <sheet name="   齿轮齿条传动设计计算    " sheetId="26" r:id="rId162"/>
    <sheet name="齿轮常用材料及其力学性能" sheetId="25" r:id="rId163"/>
    <sheet name="蜗轮传动" sheetId="23" r:id="rId164"/>
    <sheet name="高度变位斜齿轮跨棒(球)距" sheetId="24" r:id="rId165"/>
    <sheet name="外花键跨棒距" sheetId="19" r:id="rId166"/>
    <sheet name="内花键棒间距" sheetId="20" r:id="rId167"/>
    <sheet name="高变位齿轮尺寸计算" sheetId="22" r:id="rId168"/>
    <sheet name="超越离合器设计计算表" sheetId="18" r:id="rId169"/>
    <sheet name="常用Y系列电机型号参数表" sheetId="17" r:id="rId170"/>
    <sheet name="锥齿轮传动设计计算" sheetId="16" r:id="rId171"/>
    <sheet name="概述" sheetId="8" r:id="rId172"/>
    <sheet name="负载转矩计算" sheetId="2" r:id="rId173"/>
    <sheet name="惯量计算" sheetId="1" r:id="rId174"/>
    <sheet name="皮带轮间歇运动" sheetId="3" r:id="rId175"/>
    <sheet name="皮带轮连续运动" sheetId="7" r:id="rId176"/>
    <sheet name="分度盘" sheetId="9" r:id="rId177"/>
    <sheet name="其他" sheetId="10" r:id="rId178"/>
    <sheet name="电机常识" sheetId="11" r:id="rId179"/>
    <sheet name="圆盘" sheetId="14" r:id="rId180"/>
    <sheet name="分割器选型基础知识" sheetId="74" r:id="rId181"/>
    <sheet name="螺纹中小径计算" sheetId="90" r:id="rId182"/>
    <sheet name="塞打螺丝常用规格表" sheetId="110" r:id="rId183"/>
    <sheet name="米制细牙螺纹" sheetId="130" r:id="rId184"/>
    <sheet name="轴的基本偏差" sheetId="137" r:id="rId185"/>
    <sheet name="带滑块轴承座规格表" sheetId="158" r:id="rId186"/>
    <sheet name="挤压丝锥公制螺纹底孔直径" sheetId="173" r:id="rId187"/>
  </sheets>
  <externalReferences>
    <externalReference r:id="rId188"/>
    <externalReference r:id="rId189"/>
    <externalReference r:id="rId190"/>
    <externalReference r:id="rId191"/>
    <externalReference r:id="rId192"/>
    <externalReference r:id="rId193"/>
    <externalReference r:id="rId194"/>
  </externalReferences>
  <definedNames>
    <definedName name="_xlnm._FilterDatabase" localSheetId="151" hidden="1">'齿轮常用材料及其力学性能 (2)'!$A$1:$I$4</definedName>
    <definedName name="_xlnm._FilterDatabase" localSheetId="56" hidden="1">公制螺纹大全!$A$1:$I$1000</definedName>
    <definedName name="_xlnm._FilterDatabase" localSheetId="4" hidden="1">立铣刀选用表!$A$2:$H$149</definedName>
    <definedName name="Am" localSheetId="81">#REF!</definedName>
    <definedName name="Am" localSheetId="109">[1]分割器计算!$B$11</definedName>
    <definedName name="Am" localSheetId="44">[2]分割器计算!$B$11</definedName>
    <definedName name="Am" localSheetId="108">[1]分割器计算!$B$11</definedName>
    <definedName name="Am" localSheetId="41">[2]分割器计算!$B$11</definedName>
    <definedName name="Am" localSheetId="38">[2]分割器计算!$B$11</definedName>
    <definedName name="Am" localSheetId="36">[2]分割器计算!$B$11</definedName>
    <definedName name="Am" localSheetId="35">[2]分割器计算!$B$11</definedName>
    <definedName name="Am" localSheetId="84">#REF!</definedName>
    <definedName name="Am" localSheetId="106">[1]分割器计算!$B$11</definedName>
    <definedName name="Am" localSheetId="83">#REF!</definedName>
    <definedName name="Am" localSheetId="43">[2]分割器计算!$B$11</definedName>
    <definedName name="Am" localSheetId="42">[2]分割器计算!$B$11</definedName>
    <definedName name="Am" localSheetId="107">[1]分割器计算!$B$11</definedName>
    <definedName name="Am" localSheetId="37">[2]分割器计算!$B$11</definedName>
    <definedName name="Am" localSheetId="82">#REF!</definedName>
    <definedName name="Am" localSheetId="40">[2]分割器计算!$B$11</definedName>
    <definedName name="Am">#REF!</definedName>
    <definedName name="Da">[3]擠壓螺紋下孔徑!$E$2</definedName>
    <definedName name="fs" localSheetId="81">#REF!</definedName>
    <definedName name="fs" localSheetId="109">[1]分割器计算!$B$18</definedName>
    <definedName name="fs" localSheetId="44">[2]分割器计算!$B$18</definedName>
    <definedName name="fs" localSheetId="108">[1]分割器计算!$B$18</definedName>
    <definedName name="fs" localSheetId="41">[2]分割器计算!$B$18</definedName>
    <definedName name="fs" localSheetId="38">[2]分割器计算!$B$18</definedName>
    <definedName name="fs" localSheetId="36">[2]分割器计算!$B$18</definedName>
    <definedName name="fs" localSheetId="35">[2]分割器计算!$B$18</definedName>
    <definedName name="fs" localSheetId="84">#REF!</definedName>
    <definedName name="fs" localSheetId="106">[1]分割器计算!$B$18</definedName>
    <definedName name="fs" localSheetId="83">#REF!</definedName>
    <definedName name="fs" localSheetId="43">[2]分割器计算!$B$18</definedName>
    <definedName name="fs" localSheetId="42">[2]分割器计算!$B$18</definedName>
    <definedName name="fs" localSheetId="107">[1]分割器计算!$B$18</definedName>
    <definedName name="fs" localSheetId="37">[2]分割器计算!$B$18</definedName>
    <definedName name="fs" localSheetId="82">#REF!</definedName>
    <definedName name="fs" localSheetId="40">[2]分割器计算!$B$18</definedName>
    <definedName name="fs">#REF!</definedName>
    <definedName name="g">9.8</definedName>
    <definedName name="I_disc" localSheetId="81">#REF!</definedName>
    <definedName name="I_disc" localSheetId="109">[1]分割器计算!$D$5</definedName>
    <definedName name="I_disc" localSheetId="44">[2]分割器计算!$D$5</definedName>
    <definedName name="I_disc" localSheetId="108">[1]分割器计算!$D$5</definedName>
    <definedName name="I_disc" localSheetId="41">[2]分割器计算!$D$5</definedName>
    <definedName name="I_disc" localSheetId="38">[2]分割器计算!$D$5</definedName>
    <definedName name="I_disc" localSheetId="36">[2]分割器计算!$D$5</definedName>
    <definedName name="I_disc" localSheetId="35">[2]分割器计算!$D$5</definedName>
    <definedName name="I_disc" localSheetId="84">#REF!</definedName>
    <definedName name="I_disc" localSheetId="106">[1]分割器计算!$D$5</definedName>
    <definedName name="I_disc" localSheetId="83">#REF!</definedName>
    <definedName name="I_disc" localSheetId="43">[2]分割器计算!$D$5</definedName>
    <definedName name="I_disc" localSheetId="42">[2]分割器计算!$D$5</definedName>
    <definedName name="I_disc" localSheetId="107">[1]分割器计算!$D$5</definedName>
    <definedName name="I_disc" localSheetId="37">[2]分割器计算!$D$5</definedName>
    <definedName name="I_disc" localSheetId="82">#REF!</definedName>
    <definedName name="I_disc" localSheetId="40">[2]分割器计算!$D$5</definedName>
    <definedName name="I_disc">#REF!</definedName>
    <definedName name="I_fix" localSheetId="81">#REF!</definedName>
    <definedName name="I_fix" localSheetId="109">[1]分割器计算!$D$6</definedName>
    <definedName name="I_fix" localSheetId="44">[2]分割器计算!$D$6</definedName>
    <definedName name="I_fix" localSheetId="108">[1]分割器计算!$D$6</definedName>
    <definedName name="I_fix" localSheetId="41">[2]分割器计算!$D$6</definedName>
    <definedName name="I_fix" localSheetId="38">[2]分割器计算!$D$6</definedName>
    <definedName name="I_fix" localSheetId="36">[2]分割器计算!$D$6</definedName>
    <definedName name="I_fix" localSheetId="35">[2]分割器计算!$D$6</definedName>
    <definedName name="I_fix" localSheetId="84">#REF!</definedName>
    <definedName name="I_fix" localSheetId="106">[1]分割器计算!$D$6</definedName>
    <definedName name="I_fix" localSheetId="83">#REF!</definedName>
    <definedName name="I_fix" localSheetId="43">[2]分割器计算!$D$6</definedName>
    <definedName name="I_fix" localSheetId="42">[2]分割器计算!$D$6</definedName>
    <definedName name="I_fix" localSheetId="107">[1]分割器计算!$D$6</definedName>
    <definedName name="I_fix" localSheetId="37">[2]分割器计算!$D$6</definedName>
    <definedName name="I_fix" localSheetId="82">#REF!</definedName>
    <definedName name="I_fix" localSheetId="40">[2]分割器计算!$D$6</definedName>
    <definedName name="I_fix">#REF!</definedName>
    <definedName name="I_tool" localSheetId="81">#REF!</definedName>
    <definedName name="I_tool" localSheetId="109">[1]分割器计算!$D$7</definedName>
    <definedName name="I_tool" localSheetId="44">[2]分割器计算!$D$7</definedName>
    <definedName name="I_tool" localSheetId="108">[1]分割器计算!$D$7</definedName>
    <definedName name="I_tool" localSheetId="41">[2]分割器计算!$D$7</definedName>
    <definedName name="I_tool" localSheetId="38">[2]分割器计算!$D$7</definedName>
    <definedName name="I_tool" localSheetId="36">[2]分割器计算!$D$7</definedName>
    <definedName name="I_tool" localSheetId="35">[2]分割器计算!$D$7</definedName>
    <definedName name="I_tool" localSheetId="84">#REF!</definedName>
    <definedName name="I_tool" localSheetId="106">[1]分割器计算!$D$7</definedName>
    <definedName name="I_tool" localSheetId="83">#REF!</definedName>
    <definedName name="I_tool" localSheetId="43">[2]分割器计算!$D$7</definedName>
    <definedName name="I_tool" localSheetId="42">[2]分割器计算!$D$7</definedName>
    <definedName name="I_tool" localSheetId="107">[1]分割器计算!$D$7</definedName>
    <definedName name="I_tool" localSheetId="37">[2]分割器计算!$D$7</definedName>
    <definedName name="I_tool" localSheetId="82">#REF!</definedName>
    <definedName name="I_tool" localSheetId="40">[2]分割器计算!$D$7</definedName>
    <definedName name="I_tool">#REF!</definedName>
    <definedName name="I_total" localSheetId="81">#REF!</definedName>
    <definedName name="I_total" localSheetId="109">[1]分割器计算!$D$8</definedName>
    <definedName name="I_total" localSheetId="44">[2]分割器计算!$D$8</definedName>
    <definedName name="I_total" localSheetId="108">[1]分割器计算!$D$8</definedName>
    <definedName name="I_total" localSheetId="41">[2]分割器计算!$D$8</definedName>
    <definedName name="I_total" localSheetId="38">[2]分割器计算!$D$8</definedName>
    <definedName name="I_total" localSheetId="36">[2]分割器计算!$D$8</definedName>
    <definedName name="I_total" localSheetId="35">[2]分割器计算!$D$8</definedName>
    <definedName name="I_total" localSheetId="84">#REF!</definedName>
    <definedName name="I_total" localSheetId="106">[1]分割器计算!$D$8</definedName>
    <definedName name="I_total" localSheetId="83">#REF!</definedName>
    <definedName name="I_total" localSheetId="43">[2]分割器计算!$D$8</definedName>
    <definedName name="I_total" localSheetId="42">[2]分割器计算!$D$8</definedName>
    <definedName name="I_total" localSheetId="107">[1]分割器计算!$D$8</definedName>
    <definedName name="I_total" localSheetId="37">[2]分割器计算!$D$8</definedName>
    <definedName name="I_total" localSheetId="82">#REF!</definedName>
    <definedName name="I_total" localSheetId="40">[2]分割器计算!$D$8</definedName>
    <definedName name="I_total">#REF!</definedName>
    <definedName name="kkkk" localSheetId="84">#REF!</definedName>
    <definedName name="kkkk" localSheetId="83">#REF!</definedName>
    <definedName name="kkkk" localSheetId="82">#REF!</definedName>
    <definedName name="kkkk">#REF!</definedName>
    <definedName name="M_disc" localSheetId="81">#REF!</definedName>
    <definedName name="M_disc" localSheetId="109">[1]分割器计算!$D$2</definedName>
    <definedName name="M_disc" localSheetId="44">[2]分割器计算!$D$2</definedName>
    <definedName name="M_disc" localSheetId="108">[1]分割器计算!$D$2</definedName>
    <definedName name="M_disc" localSheetId="41">[2]分割器计算!$D$2</definedName>
    <definedName name="M_disc" localSheetId="38">[2]分割器计算!$D$2</definedName>
    <definedName name="M_disc" localSheetId="36">[2]分割器计算!$D$2</definedName>
    <definedName name="M_disc" localSheetId="35">[2]分割器计算!$D$2</definedName>
    <definedName name="M_disc" localSheetId="84">#REF!</definedName>
    <definedName name="M_disc" localSheetId="106">[1]分割器计算!$D$2</definedName>
    <definedName name="M_disc" localSheetId="83">#REF!</definedName>
    <definedName name="M_disc" localSheetId="43">[2]分割器计算!$D$2</definedName>
    <definedName name="M_disc" localSheetId="42">[2]分割器计算!$D$2</definedName>
    <definedName name="M_disc" localSheetId="107">[1]分割器计算!$D$2</definedName>
    <definedName name="M_disc" localSheetId="37">[2]分割器计算!$D$2</definedName>
    <definedName name="M_disc" localSheetId="82">#REF!</definedName>
    <definedName name="M_disc" localSheetId="40">[2]分割器计算!$D$2</definedName>
    <definedName name="M_disc">#REF!</definedName>
    <definedName name="M_fix" localSheetId="81">#REF!</definedName>
    <definedName name="M_fix" localSheetId="109">[1]分割器计算!$D$3</definedName>
    <definedName name="M_fix" localSheetId="44">[2]分割器计算!$D$3</definedName>
    <definedName name="M_fix" localSheetId="108">[1]分割器计算!$D$3</definedName>
    <definedName name="M_fix" localSheetId="41">[2]分割器计算!$D$3</definedName>
    <definedName name="M_fix" localSheetId="38">[2]分割器计算!$D$3</definedName>
    <definedName name="M_fix" localSheetId="36">[2]分割器计算!$D$3</definedName>
    <definedName name="M_fix" localSheetId="35">[2]分割器计算!$D$3</definedName>
    <definedName name="M_fix" localSheetId="84">#REF!</definedName>
    <definedName name="M_fix" localSheetId="106">[1]分割器计算!$D$3</definedName>
    <definedName name="M_fix" localSheetId="83">#REF!</definedName>
    <definedName name="M_fix" localSheetId="43">[2]分割器计算!$D$3</definedName>
    <definedName name="M_fix" localSheetId="42">[2]分割器计算!$D$3</definedName>
    <definedName name="M_fix" localSheetId="107">[1]分割器计算!$D$3</definedName>
    <definedName name="M_fix" localSheetId="37">[2]分割器计算!$D$3</definedName>
    <definedName name="M_fix" localSheetId="82">#REF!</definedName>
    <definedName name="M_fix" localSheetId="40">[2]分割器计算!$D$3</definedName>
    <definedName name="M_fix">#REF!</definedName>
    <definedName name="M_tool" localSheetId="81">#REF!</definedName>
    <definedName name="M_tool" localSheetId="109">[1]分割器计算!$D$4</definedName>
    <definedName name="M_tool" localSheetId="44">[2]分割器计算!$D$4</definedName>
    <definedName name="M_tool" localSheetId="108">[1]分割器计算!$D$4</definedName>
    <definedName name="M_tool" localSheetId="41">[2]分割器计算!$D$4</definedName>
    <definedName name="M_tool" localSheetId="38">[2]分割器计算!$D$4</definedName>
    <definedName name="M_tool" localSheetId="36">[2]分割器计算!$D$4</definedName>
    <definedName name="M_tool" localSheetId="35">[2]分割器计算!$D$4</definedName>
    <definedName name="M_tool" localSheetId="84">#REF!</definedName>
    <definedName name="M_tool" localSheetId="106">[1]分割器计算!$D$4</definedName>
    <definedName name="M_tool" localSheetId="83">#REF!</definedName>
    <definedName name="M_tool" localSheetId="43">[2]分割器计算!$D$4</definedName>
    <definedName name="M_tool" localSheetId="42">[2]分割器计算!$D$4</definedName>
    <definedName name="M_tool" localSheetId="107">[1]分割器计算!$D$4</definedName>
    <definedName name="M_tool" localSheetId="37">[2]分割器计算!$D$4</definedName>
    <definedName name="M_tool" localSheetId="82">#REF!</definedName>
    <definedName name="M_tool" localSheetId="40">[2]分割器计算!$D$4</definedName>
    <definedName name="M_tool">#REF!</definedName>
    <definedName name="M_total" localSheetId="81">#REF!</definedName>
    <definedName name="M_total" localSheetId="109">[1]分割器计算!$F$2</definedName>
    <definedName name="M_total" localSheetId="44">[2]分割器计算!$F$2</definedName>
    <definedName name="M_total" localSheetId="108">[1]分割器计算!$F$2</definedName>
    <definedName name="M_total" localSheetId="41">[2]分割器计算!$F$2</definedName>
    <definedName name="M_total" localSheetId="38">[2]分割器计算!$F$2</definedName>
    <definedName name="M_total" localSheetId="36">[2]分割器计算!$F$2</definedName>
    <definedName name="M_total" localSheetId="35">[2]分割器计算!$F$2</definedName>
    <definedName name="M_total" localSheetId="84">#REF!</definedName>
    <definedName name="M_total" localSheetId="106">[1]分割器计算!$F$2</definedName>
    <definedName name="M_total" localSheetId="83">#REF!</definedName>
    <definedName name="M_total" localSheetId="43">[2]分割器计算!$F$2</definedName>
    <definedName name="M_total" localSheetId="42">[2]分割器计算!$F$2</definedName>
    <definedName name="M_total" localSheetId="107">[1]分割器计算!$F$2</definedName>
    <definedName name="M_total" localSheetId="37">[2]分割器计算!$F$2</definedName>
    <definedName name="M_total" localSheetId="82">#REF!</definedName>
    <definedName name="M_total" localSheetId="40">[2]分割器计算!$F$2</definedName>
    <definedName name="M_total">#REF!</definedName>
    <definedName name="Pa" localSheetId="81">#REF!</definedName>
    <definedName name="Pa" localSheetId="109">[1]分割器计算!$B$23</definedName>
    <definedName name="Pa" localSheetId="44">[2]分割器计算!$B$23</definedName>
    <definedName name="Pa" localSheetId="108">[1]分割器计算!$B$23</definedName>
    <definedName name="Pa" localSheetId="41">[2]分割器计算!$B$23</definedName>
    <definedName name="Pa" localSheetId="38">[2]分割器计算!$B$23</definedName>
    <definedName name="Pa" localSheetId="36">[2]分割器计算!$B$23</definedName>
    <definedName name="Pa" localSheetId="35">[2]分割器计算!$B$23</definedName>
    <definedName name="Pa" localSheetId="84">#REF!</definedName>
    <definedName name="Pa" localSheetId="106">[1]分割器计算!$B$23</definedName>
    <definedName name="Pa" localSheetId="83">#REF!</definedName>
    <definedName name="Pa" localSheetId="43">[2]分割器计算!$B$23</definedName>
    <definedName name="Pa" localSheetId="42">[2]分割器计算!$B$23</definedName>
    <definedName name="Pa" localSheetId="107">[1]分割器计算!$B$23</definedName>
    <definedName name="Pa" localSheetId="37">[2]分割器计算!$B$23</definedName>
    <definedName name="Pa" localSheetId="82">#REF!</definedName>
    <definedName name="Pa" localSheetId="40">[2]分割器计算!$B$23</definedName>
    <definedName name="Pa">#REF!</definedName>
    <definedName name="ParetoBaseCell">#REF!</definedName>
    <definedName name="_xlnm.Print_Area" localSheetId="161">'   齿轮齿条传动设计计算    '!$A$1:$J$321</definedName>
    <definedName name="_xlnm.Print_Area" localSheetId="113">T型槽尺寸!$A$1:$Z$153</definedName>
    <definedName name="_xlnm.Print_Area" localSheetId="80">'U型 彎曲力之計算'!$A$1:$AC$26</definedName>
    <definedName name="_xlnm.Print_Area" localSheetId="79">'V型 彎曲力之計算 '!$A$1:$T$25</definedName>
    <definedName name="_xlnm.Print_Area" localSheetId="78">板材壓印成型之加工壓力!$A$1:$U$30</definedName>
    <definedName name="_xlnm.Print_Area" localSheetId="87">倍速链线马达功率计算!$A$1:$G$57</definedName>
    <definedName name="_xlnm.Print_Area" localSheetId="149">变位圆柱!$A$1:$E$27</definedName>
    <definedName name="_xlnm.Print_Area" localSheetId="110">沉孔尺寸!$A$1:$Z$51</definedName>
    <definedName name="_xlnm.Print_Area" localSheetId="28">电镀余量参考!$A$1:$J$39</definedName>
    <definedName name="_xlnm.Print_Area" localSheetId="148">电机功率确定程序!$A$1:$E$10</definedName>
    <definedName name="_xlnm.Print_Area" localSheetId="77">剪切力計算!$B$1:$AC$29</definedName>
    <definedName name="_xlnm.Print_Area" localSheetId="85">金属材料密度表!$A$1:$I$42</definedName>
    <definedName name="_xlnm.Print_Area" localSheetId="76">捲料沖壓效率!$A$1:$Y$30</definedName>
    <definedName name="_xlnm.Print_Area" localSheetId="117">'深沟球轴承查询 '!$A$2:$J$134</definedName>
    <definedName name="_xlnm.Print_Area" localSheetId="83">凸轮正弦余弦计算对照表!$A$1:$L$62</definedName>
    <definedName name="_xlnm.Print_Area" localSheetId="100">英制螺纹底孔对照表!$A$1:$X$25</definedName>
    <definedName name="_xlnm.Print_Area" localSheetId="120">轴用!$A$1:$Q$58</definedName>
    <definedName name="_xlnm.Print_Area" localSheetId="170">锥齿轮传动设计计算!$A$222:$H$309</definedName>
    <definedName name="_xlnm.Print_Titles" localSheetId="169">常用Y系列电机型号参数表!$1:$2</definedName>
    <definedName name="Qm" localSheetId="81">#REF!</definedName>
    <definedName name="Qm" localSheetId="109">[1]分割器计算!$B$12</definedName>
    <definedName name="Qm" localSheetId="44">[2]分割器计算!$B$12</definedName>
    <definedName name="Qm" localSheetId="108">[1]分割器计算!$B$12</definedName>
    <definedName name="Qm" localSheetId="41">[2]分割器计算!$B$12</definedName>
    <definedName name="Qm" localSheetId="38">[2]分割器计算!$B$12</definedName>
    <definedName name="Qm" localSheetId="36">[2]分割器计算!$B$12</definedName>
    <definedName name="Qm" localSheetId="35">[2]分割器计算!$B$12</definedName>
    <definedName name="Qm" localSheetId="84">#REF!</definedName>
    <definedName name="Qm" localSheetId="106">[1]分割器计算!$B$12</definedName>
    <definedName name="Qm" localSheetId="83">#REF!</definedName>
    <definedName name="Qm" localSheetId="43">[2]分割器计算!$B$12</definedName>
    <definedName name="Qm" localSheetId="42">[2]分割器计算!$B$12</definedName>
    <definedName name="Qm" localSheetId="107">[1]分割器计算!$B$12</definedName>
    <definedName name="Qm" localSheetId="37">[2]分割器计算!$B$12</definedName>
    <definedName name="Qm" localSheetId="82">#REF!</definedName>
    <definedName name="Qm" localSheetId="40">[2]分割器计算!$B$12</definedName>
    <definedName name="Qm">#REF!</definedName>
    <definedName name="R_fix" localSheetId="81">#REF!/1000</definedName>
    <definedName name="R_fix" localSheetId="109">[1]分割器计算!$B$15/1000</definedName>
    <definedName name="R_fix" localSheetId="44">[2]分割器计算!$B$15/1000</definedName>
    <definedName name="R_fix" localSheetId="108">[1]分割器计算!$B$15/1000</definedName>
    <definedName name="R_fix" localSheetId="41">[2]分割器计算!$B$15/1000</definedName>
    <definedName name="R_fix" localSheetId="38">[2]分割器计算!$B$15/1000</definedName>
    <definedName name="R_fix" localSheetId="36">[2]分割器计算!$B$15/1000</definedName>
    <definedName name="R_fix" localSheetId="35">[2]分割器计算!$B$15/1000</definedName>
    <definedName name="R_fix" localSheetId="84">#REF!/1000</definedName>
    <definedName name="R_fix" localSheetId="106">[1]分割器计算!$B$15/1000</definedName>
    <definedName name="R_fix" localSheetId="83">#REF!/1000</definedName>
    <definedName name="R_fix" localSheetId="43">[2]分割器计算!$B$15/1000</definedName>
    <definedName name="R_fix" localSheetId="42">[2]分割器计算!$B$15/1000</definedName>
    <definedName name="R_fix" localSheetId="107">[1]分割器计算!$B$15/1000</definedName>
    <definedName name="R_fix" localSheetId="37">[2]分割器计算!$B$15/1000</definedName>
    <definedName name="R_fix" localSheetId="82">#REF!/1000</definedName>
    <definedName name="R_fix" localSheetId="40">[2]分割器计算!$B$15/1000</definedName>
    <definedName name="R_fix">#REF!/1000</definedName>
    <definedName name="T_input" localSheetId="81">#REF!</definedName>
    <definedName name="T_input" localSheetId="109">[1]分割器计算!$B$21</definedName>
    <definedName name="T_input" localSheetId="44">[2]分割器计算!$B$21</definedName>
    <definedName name="T_input" localSheetId="108">[1]分割器计算!$B$21</definedName>
    <definedName name="T_input" localSheetId="41">[2]分割器计算!$B$21</definedName>
    <definedName name="T_input" localSheetId="38">[2]分割器计算!$B$21</definedName>
    <definedName name="T_input" localSheetId="36">[2]分割器计算!$B$21</definedName>
    <definedName name="T_input" localSheetId="35">[2]分割器计算!$B$21</definedName>
    <definedName name="T_input" localSheetId="84">#REF!</definedName>
    <definedName name="T_input" localSheetId="106">[1]分割器计算!$B$21</definedName>
    <definedName name="T_input" localSheetId="83">#REF!</definedName>
    <definedName name="T_input" localSheetId="43">[2]分割器计算!$B$21</definedName>
    <definedName name="T_input" localSheetId="42">[2]分割器计算!$B$21</definedName>
    <definedName name="T_input" localSheetId="107">[1]分割器计算!$B$21</definedName>
    <definedName name="T_input" localSheetId="37">[2]分割器计算!$B$21</definedName>
    <definedName name="T_input" localSheetId="82">#REF!</definedName>
    <definedName name="T_input" localSheetId="40">[2]分割器计算!$B$21</definedName>
    <definedName name="T_input">#REF!</definedName>
    <definedName name="T_output" localSheetId="81">#REF!</definedName>
    <definedName name="T_output" localSheetId="109">[1]分割器计算!$B$20</definedName>
    <definedName name="T_output" localSheetId="44">[2]分割器计算!$B$20</definedName>
    <definedName name="T_output" localSheetId="108">[1]分割器计算!$B$20</definedName>
    <definedName name="T_output" localSheetId="41">[2]分割器计算!$B$20</definedName>
    <definedName name="T_output" localSheetId="38">[2]分割器计算!$B$20</definedName>
    <definedName name="T_output" localSheetId="36">[2]分割器计算!$B$20</definedName>
    <definedName name="T_output" localSheetId="35">[2]分割器计算!$B$20</definedName>
    <definedName name="T_output" localSheetId="84">#REF!</definedName>
    <definedName name="T_output" localSheetId="106">[1]分割器计算!$B$20</definedName>
    <definedName name="T_output" localSheetId="83">#REF!</definedName>
    <definedName name="T_output" localSheetId="43">[2]分割器计算!$B$20</definedName>
    <definedName name="T_output" localSheetId="42">[2]分割器计算!$B$20</definedName>
    <definedName name="T_output" localSheetId="107">[1]分割器计算!$B$20</definedName>
    <definedName name="T_output" localSheetId="37">[2]分割器计算!$B$20</definedName>
    <definedName name="T_output" localSheetId="82">#REF!</definedName>
    <definedName name="T_output" localSheetId="40">[2]分割器计算!$B$20</definedName>
    <definedName name="T_output">#REF!</definedName>
    <definedName name="T_total" localSheetId="81">#REF!</definedName>
    <definedName name="T_total" localSheetId="109">[1]分割器计算!$B$19</definedName>
    <definedName name="T_total" localSheetId="44">[2]分割器计算!$B$19</definedName>
    <definedName name="T_total" localSheetId="108">[1]分割器计算!$B$19</definedName>
    <definedName name="T_total" localSheetId="41">[2]分割器计算!$B$19</definedName>
    <definedName name="T_total" localSheetId="38">[2]分割器计算!$B$19</definedName>
    <definedName name="T_total" localSheetId="36">[2]分割器计算!$B$19</definedName>
    <definedName name="T_total" localSheetId="35">[2]分割器计算!$B$19</definedName>
    <definedName name="T_total" localSheetId="84">#REF!</definedName>
    <definedName name="T_total" localSheetId="106">[1]分割器计算!$B$19</definedName>
    <definedName name="T_total" localSheetId="83">#REF!</definedName>
    <definedName name="T_total" localSheetId="43">[2]分割器计算!$B$19</definedName>
    <definedName name="T_total" localSheetId="42">[2]分割器计算!$B$19</definedName>
    <definedName name="T_total" localSheetId="107">[1]分割器计算!$B$19</definedName>
    <definedName name="T_total" localSheetId="37">[2]分割器计算!$B$19</definedName>
    <definedName name="T_total" localSheetId="82">#REF!</definedName>
    <definedName name="T_total" localSheetId="40">[2]分割器计算!$B$19</definedName>
    <definedName name="T_total">#REF!</definedName>
    <definedName name="Tf" localSheetId="81">#REF!</definedName>
    <definedName name="Tf" localSheetId="109">[1]分割器计算!$F$6</definedName>
    <definedName name="Tf" localSheetId="44">[2]分割器计算!$F$6</definedName>
    <definedName name="Tf" localSheetId="108">[1]分割器计算!$F$6</definedName>
    <definedName name="Tf" localSheetId="41">[2]分割器计算!$F$6</definedName>
    <definedName name="Tf" localSheetId="38">[2]分割器计算!$F$6</definedName>
    <definedName name="Tf" localSheetId="36">[2]分割器计算!$F$6</definedName>
    <definedName name="Tf" localSheetId="35">[2]分割器计算!$F$6</definedName>
    <definedName name="Tf" localSheetId="84">#REF!</definedName>
    <definedName name="Tf" localSheetId="106">[1]分割器计算!$F$6</definedName>
    <definedName name="Tf" localSheetId="83">#REF!</definedName>
    <definedName name="Tf" localSheetId="43">[2]分割器计算!$F$6</definedName>
    <definedName name="Tf" localSheetId="42">[2]分割器计算!$F$6</definedName>
    <definedName name="Tf" localSheetId="107">[1]分割器计算!$F$6</definedName>
    <definedName name="Tf" localSheetId="37">[2]分割器计算!$F$6</definedName>
    <definedName name="Tf" localSheetId="82">#REF!</definedName>
    <definedName name="Tf" localSheetId="40">[2]分割器计算!$F$6</definedName>
    <definedName name="Tf">#REF!</definedName>
    <definedName name="Ti" localSheetId="81">#REF!</definedName>
    <definedName name="Ti" localSheetId="109">[1]分割器计算!$D$10</definedName>
    <definedName name="Ti" localSheetId="44">[2]分割器计算!$D$10</definedName>
    <definedName name="Ti" localSheetId="108">[1]分割器计算!$D$10</definedName>
    <definedName name="Ti" localSheetId="41">[2]分割器计算!$D$10</definedName>
    <definedName name="Ti" localSheetId="38">[2]分割器计算!$D$10</definedName>
    <definedName name="Ti" localSheetId="36">[2]分割器计算!$D$10</definedName>
    <definedName name="Ti" localSheetId="35">[2]分割器计算!$D$10</definedName>
    <definedName name="Ti" localSheetId="84">#REF!</definedName>
    <definedName name="Ti" localSheetId="106">[1]分割器计算!$D$10</definedName>
    <definedName name="Ti" localSheetId="83">#REF!</definedName>
    <definedName name="Ti" localSheetId="43">[2]分割器计算!$D$10</definedName>
    <definedName name="Ti" localSheetId="42">[2]分割器计算!$D$10</definedName>
    <definedName name="Ti" localSheetId="107">[1]分割器计算!$D$10</definedName>
    <definedName name="Ti" localSheetId="37">[2]分割器计算!$D$10</definedName>
    <definedName name="Ti" localSheetId="82">#REF!</definedName>
    <definedName name="Ti" localSheetId="40">[2]分割器计算!$D$10</definedName>
    <definedName name="Ti">#REF!</definedName>
    <definedName name="xinghaoList">[4]型号列表!$A$2:$A$33</definedName>
    <definedName name="α" localSheetId="81">#REF!</definedName>
    <definedName name="α" localSheetId="109">[1]分割器计算!$D$9</definedName>
    <definedName name="α" localSheetId="44">[2]分割器计算!$D$9</definedName>
    <definedName name="α" localSheetId="108">[1]分割器计算!$D$9</definedName>
    <definedName name="α" localSheetId="41">[2]分割器计算!$D$9</definedName>
    <definedName name="α" localSheetId="38">[2]分割器计算!$D$9</definedName>
    <definedName name="α" localSheetId="36">[2]分割器计算!$D$9</definedName>
    <definedName name="α" localSheetId="35">[2]分割器计算!$D$9</definedName>
    <definedName name="α" localSheetId="84">#REF!</definedName>
    <definedName name="α" localSheetId="106">[1]分割器计算!$D$9</definedName>
    <definedName name="α" localSheetId="83">#REF!</definedName>
    <definedName name="α" localSheetId="43">[2]分割器计算!$D$9</definedName>
    <definedName name="α" localSheetId="42">[2]分割器计算!$D$9</definedName>
    <definedName name="α" localSheetId="107">[1]分割器计算!$D$9</definedName>
    <definedName name="α" localSheetId="37">[2]分割器计算!$D$9</definedName>
    <definedName name="α" localSheetId="82">#REF!</definedName>
    <definedName name="α" localSheetId="40">[2]分割器计算!$D$9</definedName>
    <definedName name="α">#REF!</definedName>
    <definedName name="η" localSheetId="81">#REF!</definedName>
    <definedName name="η" localSheetId="109">[1]分割器计算!$B$22</definedName>
    <definedName name="η" localSheetId="44">[2]分割器计算!$B$22</definedName>
    <definedName name="η" localSheetId="108">[1]分割器计算!$B$22</definedName>
    <definedName name="η" localSheetId="41">[2]分割器计算!$B$22</definedName>
    <definedName name="η" localSheetId="38">[2]分割器计算!$B$22</definedName>
    <definedName name="η" localSheetId="36">[2]分割器计算!$B$22</definedName>
    <definedName name="η" localSheetId="35">[2]分割器计算!$B$22</definedName>
    <definedName name="η" localSheetId="84">#REF!</definedName>
    <definedName name="η" localSheetId="106">[1]分割器计算!$B$22</definedName>
    <definedName name="η" localSheetId="83">#REF!</definedName>
    <definedName name="η" localSheetId="43">[2]分割器计算!$B$22</definedName>
    <definedName name="η" localSheetId="42">[2]分割器计算!$B$22</definedName>
    <definedName name="η" localSheetId="107">[1]分割器计算!$B$22</definedName>
    <definedName name="η" localSheetId="37">[2]分割器计算!$B$22</definedName>
    <definedName name="η" localSheetId="82">#REF!</definedName>
    <definedName name="η" localSheetId="40">[2]分割器计算!$B$22</definedName>
    <definedName name="η">#REF!</definedName>
    <definedName name="μ" localSheetId="81">#REF!</definedName>
    <definedName name="μ" localSheetId="109">[1]分割器计算!$F$5</definedName>
    <definedName name="μ" localSheetId="44">[2]分割器计算!$F$5</definedName>
    <definedName name="μ" localSheetId="108">[1]分割器计算!$F$5</definedName>
    <definedName name="μ" localSheetId="41">[2]分割器计算!$F$5</definedName>
    <definedName name="μ" localSheetId="38">[2]分割器计算!$F$5</definedName>
    <definedName name="μ" localSheetId="36">[2]分割器计算!$F$5</definedName>
    <definedName name="μ" localSheetId="35">[2]分割器计算!$F$5</definedName>
    <definedName name="μ" localSheetId="84">#REF!</definedName>
    <definedName name="μ" localSheetId="106">[1]分割器计算!$F$5</definedName>
    <definedName name="μ" localSheetId="83">#REF!</definedName>
    <definedName name="μ" localSheetId="43">[2]分割器计算!$F$5</definedName>
    <definedName name="μ" localSheetId="42">[2]分割器计算!$F$5</definedName>
    <definedName name="μ" localSheetId="107">[1]分割器计算!$F$5</definedName>
    <definedName name="μ" localSheetId="37">[2]分割器计算!$F$5</definedName>
    <definedName name="μ" localSheetId="82">#REF!</definedName>
    <definedName name="μ" localSheetId="40">[2]分割器计算!$F$5</definedName>
    <definedName name="μ">#REF!</definedName>
    <definedName name="基本值" localSheetId="84">#REF!</definedName>
    <definedName name="基本值" localSheetId="83">#REF!</definedName>
    <definedName name="基本值" localSheetId="82">#REF!</definedName>
    <definedName name="基本值">#REF!</definedName>
    <definedName name="孔公差等级" localSheetId="84">#REF!</definedName>
    <definedName name="孔公差等级" localSheetId="83">#REF!</definedName>
    <definedName name="孔公差等级" localSheetId="82">#REF!</definedName>
    <definedName name="孔公差等级">#REF!</definedName>
    <definedName name="孔基准1" localSheetId="84">#REF!</definedName>
    <definedName name="孔基准1" localSheetId="83">#REF!</definedName>
    <definedName name="孔基准1" localSheetId="82">#REF!</definedName>
    <definedName name="孔基准1">#REF!</definedName>
    <definedName name="孔上偏差" localSheetId="84">#REF!</definedName>
    <definedName name="孔上偏差" localSheetId="83">#REF!</definedName>
    <definedName name="孔上偏差" localSheetId="82">#REF!</definedName>
    <definedName name="孔上偏差">#REF!</definedName>
    <definedName name="孔下偏差" localSheetId="84">#REF!</definedName>
    <definedName name="孔下偏差" localSheetId="83">#REF!</definedName>
    <definedName name="孔下偏差" localSheetId="82">#REF!</definedName>
    <definedName name="孔下偏差">#REF!</definedName>
    <definedName name="起始单元" localSheetId="84">#REF!</definedName>
    <definedName name="起始单元" localSheetId="83">#REF!</definedName>
    <definedName name="起始单元" localSheetId="82">#REF!</definedName>
    <definedName name="起始单元">#REF!</definedName>
    <definedName name="上偏差1" localSheetId="84">#REF!</definedName>
    <definedName name="上偏差1" localSheetId="83">#REF!</definedName>
    <definedName name="上偏差1" localSheetId="82">#REF!</definedName>
    <definedName name="上偏差1">#REF!</definedName>
    <definedName name="下偏差1" localSheetId="84">#REF!</definedName>
    <definedName name="下偏差1" localSheetId="83">#REF!</definedName>
    <definedName name="下偏差1" localSheetId="82">#REF!</definedName>
    <definedName name="下偏差1">#REF!</definedName>
    <definedName name="轴公差等级" localSheetId="84">#REF!</definedName>
    <definedName name="轴公差等级" localSheetId="83">#REF!</definedName>
    <definedName name="轴公差等级" localSheetId="82">#REF!</definedName>
    <definedName name="轴公差等级">#REF!</definedName>
    <definedName name="轴上偏差" localSheetId="84">#REF!</definedName>
    <definedName name="轴上偏差" localSheetId="83">#REF!</definedName>
    <definedName name="轴上偏差" localSheetId="82">#REF!</definedName>
    <definedName name="轴上偏差">#REF!</definedName>
    <definedName name="轴下偏差" localSheetId="84">#REF!</definedName>
    <definedName name="轴下偏差" localSheetId="83">#REF!</definedName>
    <definedName name="轴下偏差" localSheetId="82">#REF!</definedName>
    <definedName name="轴下偏差">#REF!</definedName>
    <definedName name="最大间隙" localSheetId="84">#REF!</definedName>
    <definedName name="最大间隙" localSheetId="83">#REF!</definedName>
    <definedName name="最大间隙" localSheetId="82">#REF!</definedName>
    <definedName name="最大间隙">#REF!</definedName>
    <definedName name="最小间隙" localSheetId="84">#REF!</definedName>
    <definedName name="最小间隙" localSheetId="83">#REF!</definedName>
    <definedName name="最小间隙" localSheetId="82">#REF!</definedName>
    <definedName name="最小间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25" i="137" l="1"/>
  <c r="C22" i="90"/>
  <c r="C21" i="90"/>
  <c r="F20" i="90"/>
  <c r="C20" i="90"/>
  <c r="C19" i="90"/>
  <c r="J18" i="90"/>
  <c r="J17" i="90"/>
  <c r="C17" i="90"/>
  <c r="J16" i="90"/>
  <c r="C16" i="90"/>
  <c r="I12" i="90"/>
  <c r="I11" i="90"/>
  <c r="B11" i="90"/>
  <c r="I10" i="90"/>
  <c r="B10" i="90"/>
  <c r="I9" i="90"/>
  <c r="B9" i="90"/>
  <c r="I8" i="90"/>
  <c r="B8" i="90"/>
  <c r="I7" i="90"/>
  <c r="B7" i="90"/>
  <c r="F40" i="14"/>
  <c r="F34" i="14"/>
  <c r="F31" i="14"/>
  <c r="F28" i="14"/>
  <c r="F21" i="14"/>
  <c r="F18" i="14"/>
  <c r="F14" i="14"/>
  <c r="F33" i="10"/>
  <c r="F30" i="10"/>
  <c r="F27" i="10"/>
  <c r="F24" i="10"/>
  <c r="F21" i="10"/>
  <c r="F17" i="10"/>
  <c r="F13" i="10"/>
  <c r="F9" i="10"/>
  <c r="F79" i="9"/>
  <c r="F74" i="9"/>
  <c r="F70" i="9"/>
  <c r="F67" i="9"/>
  <c r="F61" i="9"/>
  <c r="F58" i="9"/>
  <c r="F55" i="9"/>
  <c r="F51" i="9"/>
  <c r="F46" i="9"/>
  <c r="F35" i="9"/>
  <c r="F32" i="9"/>
  <c r="F29" i="9"/>
  <c r="F24" i="9"/>
  <c r="F20" i="9"/>
  <c r="E56" i="7"/>
  <c r="E50" i="7"/>
  <c r="E46" i="7"/>
  <c r="E43" i="7"/>
  <c r="E39" i="7"/>
  <c r="E31" i="7"/>
  <c r="E27" i="7"/>
  <c r="E23" i="7"/>
  <c r="E19" i="7"/>
  <c r="E16" i="7"/>
  <c r="I11" i="7"/>
  <c r="E71" i="3"/>
  <c r="E66" i="3"/>
  <c r="E62" i="3"/>
  <c r="E60" i="3"/>
  <c r="E56" i="3"/>
  <c r="E53" i="3"/>
  <c r="E49" i="3"/>
  <c r="E41" i="3"/>
  <c r="E37" i="3"/>
  <c r="E33" i="3"/>
  <c r="E28" i="3"/>
  <c r="E25" i="3"/>
  <c r="E22" i="3"/>
  <c r="E20" i="3"/>
  <c r="E18" i="3"/>
  <c r="D70" i="1"/>
  <c r="B70" i="1"/>
  <c r="B69" i="1"/>
  <c r="D66" i="1"/>
  <c r="D64" i="1"/>
  <c r="D60" i="1"/>
  <c r="B60" i="1"/>
  <c r="D53" i="1"/>
  <c r="B53" i="1"/>
  <c r="B52" i="1"/>
  <c r="D49" i="1"/>
  <c r="D47" i="1"/>
  <c r="D46" i="1"/>
  <c r="D43" i="1"/>
  <c r="B43" i="1"/>
  <c r="B42" i="1"/>
  <c r="D39" i="1"/>
  <c r="D37" i="1"/>
  <c r="D36" i="1"/>
  <c r="D35" i="1"/>
  <c r="D32" i="1"/>
  <c r="B32" i="1"/>
  <c r="D31" i="1"/>
  <c r="B31" i="1"/>
  <c r="D28" i="1"/>
  <c r="D26" i="1"/>
  <c r="D25" i="1"/>
  <c r="D24" i="1"/>
  <c r="D21" i="1"/>
  <c r="B21" i="1"/>
  <c r="B20" i="1"/>
  <c r="D17" i="1"/>
  <c r="D15" i="1"/>
  <c r="D14" i="1"/>
  <c r="D13" i="1"/>
  <c r="F308" i="16"/>
  <c r="B308" i="16"/>
  <c r="A308" i="16"/>
  <c r="B307" i="16"/>
  <c r="A307" i="16"/>
  <c r="B306" i="16"/>
  <c r="B305" i="16"/>
  <c r="H303" i="16"/>
  <c r="G303" i="16"/>
  <c r="D303" i="16"/>
  <c r="C303" i="16"/>
  <c r="G302" i="16"/>
  <c r="C302" i="16"/>
  <c r="G301" i="16"/>
  <c r="C301" i="16"/>
  <c r="H300" i="16"/>
  <c r="G300" i="16"/>
  <c r="D300" i="16"/>
  <c r="C300" i="16"/>
  <c r="G299" i="16"/>
  <c r="C299" i="16"/>
  <c r="G298" i="16"/>
  <c r="C298" i="16"/>
  <c r="E297" i="16"/>
  <c r="E296" i="16"/>
  <c r="G295" i="16"/>
  <c r="C295" i="16"/>
  <c r="G294" i="16"/>
  <c r="C294" i="16"/>
  <c r="G293" i="16"/>
  <c r="C293" i="16"/>
  <c r="A292" i="16"/>
  <c r="E290" i="16"/>
  <c r="E288" i="16"/>
  <c r="E287" i="16"/>
  <c r="G286" i="16"/>
  <c r="C286" i="16"/>
  <c r="G285" i="16"/>
  <c r="C285" i="16"/>
  <c r="H284" i="16"/>
  <c r="G284" i="16"/>
  <c r="D284" i="16"/>
  <c r="C284" i="16"/>
  <c r="A284" i="16"/>
  <c r="G283" i="16"/>
  <c r="C283" i="16"/>
  <c r="G282" i="16"/>
  <c r="C282" i="16"/>
  <c r="E281" i="16"/>
  <c r="F280" i="16"/>
  <c r="D280" i="16"/>
  <c r="F279" i="16"/>
  <c r="D279" i="16"/>
  <c r="G278" i="16"/>
  <c r="C278" i="16"/>
  <c r="G277" i="16"/>
  <c r="C277" i="16"/>
  <c r="G276" i="16"/>
  <c r="C276" i="16"/>
  <c r="G275" i="16"/>
  <c r="C275" i="16"/>
  <c r="G274" i="16"/>
  <c r="C274" i="16"/>
  <c r="E273" i="16"/>
  <c r="E272" i="16"/>
  <c r="G271" i="16"/>
  <c r="C271" i="16"/>
  <c r="G270" i="16"/>
  <c r="C270" i="16"/>
  <c r="G269" i="16"/>
  <c r="C269" i="16"/>
  <c r="F268" i="16"/>
  <c r="E268" i="16"/>
  <c r="D268" i="16"/>
  <c r="C268" i="16"/>
  <c r="B268" i="16"/>
  <c r="E267" i="16"/>
  <c r="E266" i="16"/>
  <c r="E265" i="16"/>
  <c r="E264" i="16"/>
  <c r="E263" i="16"/>
  <c r="B261" i="16"/>
  <c r="F260" i="16"/>
  <c r="E260" i="16"/>
  <c r="B260" i="16"/>
  <c r="A260" i="16"/>
  <c r="G259" i="16"/>
  <c r="F259" i="16"/>
  <c r="E259" i="16"/>
  <c r="B259" i="16"/>
  <c r="A259" i="16"/>
  <c r="F258" i="16"/>
  <c r="E258" i="16"/>
  <c r="B258" i="16"/>
  <c r="A258" i="16"/>
  <c r="H257" i="16"/>
  <c r="G257" i="16"/>
  <c r="E257" i="16"/>
  <c r="C257" i="16"/>
  <c r="H256" i="16"/>
  <c r="G256" i="16"/>
  <c r="D256" i="16"/>
  <c r="C256" i="16"/>
  <c r="B256" i="16"/>
  <c r="A256" i="16"/>
  <c r="G255" i="16"/>
  <c r="C255" i="16"/>
  <c r="G254" i="16"/>
  <c r="E254" i="16"/>
  <c r="C254" i="16"/>
  <c r="G253" i="16"/>
  <c r="C253" i="16"/>
  <c r="G252" i="16"/>
  <c r="C252" i="16"/>
  <c r="G251" i="16"/>
  <c r="C251" i="16"/>
  <c r="E250" i="16"/>
  <c r="E249" i="16"/>
  <c r="G248" i="16"/>
  <c r="C248" i="16"/>
  <c r="G247" i="16"/>
  <c r="C247" i="16"/>
  <c r="G246" i="16"/>
  <c r="C246" i="16"/>
  <c r="G245" i="16"/>
  <c r="C245" i="16"/>
  <c r="G244" i="16"/>
  <c r="C244" i="16"/>
  <c r="E243" i="16"/>
  <c r="G242" i="16"/>
  <c r="C242" i="16"/>
  <c r="G241" i="16"/>
  <c r="C241" i="16"/>
  <c r="G240" i="16"/>
  <c r="C240" i="16"/>
  <c r="E239" i="16"/>
  <c r="E238" i="16"/>
  <c r="E237" i="16"/>
  <c r="E236" i="16"/>
  <c r="F235" i="16"/>
  <c r="E235" i="16"/>
  <c r="B235" i="16"/>
  <c r="A235" i="16"/>
  <c r="E234" i="16"/>
  <c r="E233" i="16"/>
  <c r="E232" i="16"/>
  <c r="G231" i="16"/>
  <c r="C231" i="16"/>
  <c r="G230" i="16"/>
  <c r="C230" i="16"/>
  <c r="A230" i="16"/>
  <c r="G226" i="16"/>
  <c r="C226" i="16"/>
  <c r="G225" i="16"/>
  <c r="C225" i="16"/>
  <c r="G224" i="16"/>
  <c r="C224" i="16"/>
  <c r="D223" i="16"/>
  <c r="H222" i="16"/>
  <c r="G222" i="16"/>
  <c r="L217" i="16"/>
  <c r="K217" i="16"/>
  <c r="D217" i="16"/>
  <c r="C217" i="16"/>
  <c r="K216" i="16"/>
  <c r="C216" i="16"/>
  <c r="O215" i="16"/>
  <c r="K215" i="16"/>
  <c r="G215" i="16"/>
  <c r="C215" i="16"/>
  <c r="K214" i="16"/>
  <c r="C214" i="16"/>
  <c r="K213" i="16"/>
  <c r="C213" i="16"/>
  <c r="Q212" i="16"/>
  <c r="O212" i="16"/>
  <c r="M212" i="16"/>
  <c r="K212" i="16"/>
  <c r="I212" i="16"/>
  <c r="G212" i="16"/>
  <c r="E212" i="16"/>
  <c r="C212" i="16"/>
  <c r="Q211" i="16"/>
  <c r="O211" i="16"/>
  <c r="M211" i="16"/>
  <c r="K211" i="16"/>
  <c r="I211" i="16"/>
  <c r="G211" i="16"/>
  <c r="E211" i="16"/>
  <c r="C211" i="16"/>
  <c r="Q210" i="16"/>
  <c r="O210" i="16"/>
  <c r="M210" i="16"/>
  <c r="K210" i="16"/>
  <c r="I210" i="16"/>
  <c r="G210" i="16"/>
  <c r="E210" i="16"/>
  <c r="C210" i="16"/>
  <c r="Q209" i="16"/>
  <c r="O209" i="16"/>
  <c r="M209" i="16"/>
  <c r="K209" i="16"/>
  <c r="I209" i="16"/>
  <c r="G209" i="16"/>
  <c r="E209" i="16"/>
  <c r="C209" i="16"/>
  <c r="Q208" i="16"/>
  <c r="O208" i="16"/>
  <c r="M208" i="16"/>
  <c r="K208" i="16"/>
  <c r="I208" i="16"/>
  <c r="G208" i="16"/>
  <c r="E208" i="16"/>
  <c r="C208" i="16"/>
  <c r="D206" i="16"/>
  <c r="C206" i="16"/>
  <c r="C205" i="16"/>
  <c r="G204" i="16"/>
  <c r="C204" i="16"/>
  <c r="C203" i="16"/>
  <c r="C202" i="16"/>
  <c r="K201" i="16"/>
  <c r="I201" i="16"/>
  <c r="G201" i="16"/>
  <c r="E201" i="16"/>
  <c r="C201" i="16"/>
  <c r="K200" i="16"/>
  <c r="I200" i="16"/>
  <c r="G200" i="16"/>
  <c r="E200" i="16"/>
  <c r="C200" i="16"/>
  <c r="I199" i="16"/>
  <c r="G199" i="16"/>
  <c r="E199" i="16"/>
  <c r="C199" i="16"/>
  <c r="I198" i="16"/>
  <c r="G198" i="16"/>
  <c r="E198" i="16"/>
  <c r="C198" i="16"/>
  <c r="E197" i="16"/>
  <c r="C197" i="16"/>
  <c r="K196" i="16"/>
  <c r="I196" i="16"/>
  <c r="G196" i="16"/>
  <c r="E196" i="16"/>
  <c r="C196" i="16"/>
  <c r="I195" i="16"/>
  <c r="G195" i="16"/>
  <c r="C195" i="16"/>
  <c r="K194" i="16"/>
  <c r="I194" i="16"/>
  <c r="G194" i="16"/>
  <c r="E194" i="16"/>
  <c r="C194" i="16"/>
  <c r="J193" i="16"/>
  <c r="G193" i="16"/>
  <c r="E193" i="16"/>
  <c r="C193" i="16"/>
  <c r="C191" i="16"/>
  <c r="G190" i="16"/>
  <c r="C190" i="16"/>
  <c r="C188" i="16"/>
  <c r="G187" i="16"/>
  <c r="C187" i="16"/>
  <c r="G186" i="16"/>
  <c r="C186" i="16"/>
  <c r="G185" i="16"/>
  <c r="C185" i="16"/>
  <c r="G184" i="16"/>
  <c r="E184" i="16"/>
  <c r="C184" i="16"/>
  <c r="C182" i="16"/>
  <c r="C181" i="16"/>
  <c r="E180" i="16"/>
  <c r="C180" i="16"/>
  <c r="G179" i="16"/>
  <c r="E179" i="16"/>
  <c r="C179" i="16"/>
  <c r="G178" i="16"/>
  <c r="C178" i="16"/>
  <c r="G177" i="16"/>
  <c r="C177" i="16"/>
  <c r="G176" i="16"/>
  <c r="C176" i="16"/>
  <c r="G175" i="16"/>
  <c r="C175" i="16"/>
  <c r="C174" i="16"/>
  <c r="G173" i="16"/>
  <c r="C173" i="16"/>
  <c r="C172" i="16"/>
  <c r="G171" i="16"/>
  <c r="C171" i="16"/>
  <c r="G168" i="16"/>
  <c r="E168" i="16"/>
  <c r="C168" i="16"/>
  <c r="F167" i="16"/>
  <c r="E167" i="16"/>
  <c r="D167" i="16"/>
  <c r="C167" i="16"/>
  <c r="F166" i="16"/>
  <c r="E166" i="16"/>
  <c r="D166" i="16"/>
  <c r="C166" i="16"/>
  <c r="F165" i="16"/>
  <c r="E165" i="16"/>
  <c r="D165" i="16"/>
  <c r="C165" i="16"/>
  <c r="C164" i="16"/>
  <c r="G163" i="16"/>
  <c r="C163" i="16"/>
  <c r="G162" i="16"/>
  <c r="C162" i="16"/>
  <c r="G161" i="16"/>
  <c r="C161" i="16"/>
  <c r="C160" i="16"/>
  <c r="G159" i="16"/>
  <c r="C159" i="16"/>
  <c r="G158" i="16"/>
  <c r="C158" i="16"/>
  <c r="G157" i="16"/>
  <c r="C157" i="16"/>
  <c r="G156" i="16"/>
  <c r="C156" i="16"/>
  <c r="G155" i="16"/>
  <c r="C155" i="16"/>
  <c r="G154" i="16"/>
  <c r="C154" i="16"/>
  <c r="G153" i="16"/>
  <c r="C153" i="16"/>
  <c r="G152" i="16"/>
  <c r="C152" i="16"/>
  <c r="G151" i="16"/>
  <c r="C151" i="16"/>
  <c r="G150" i="16"/>
  <c r="C150" i="16"/>
  <c r="D149" i="16"/>
  <c r="C149" i="16"/>
  <c r="D148" i="16"/>
  <c r="C148" i="16"/>
  <c r="G147" i="16"/>
  <c r="D147" i="16"/>
  <c r="C147" i="16"/>
  <c r="G146" i="16"/>
  <c r="D146" i="16"/>
  <c r="C146" i="16"/>
  <c r="G145" i="16"/>
  <c r="D145" i="16"/>
  <c r="C145" i="16"/>
  <c r="G144" i="16"/>
  <c r="C144" i="16"/>
  <c r="G143" i="16"/>
  <c r="C143" i="16"/>
  <c r="G142" i="16"/>
  <c r="C142" i="16"/>
  <c r="G141" i="16"/>
  <c r="C141" i="16"/>
  <c r="G140" i="16"/>
  <c r="C140" i="16"/>
  <c r="G139" i="16"/>
  <c r="C139" i="16"/>
  <c r="G138" i="16"/>
  <c r="C138" i="16"/>
  <c r="G137" i="16"/>
  <c r="C137" i="16"/>
  <c r="G136" i="16"/>
  <c r="C136" i="16"/>
  <c r="G135" i="16"/>
  <c r="C135" i="16"/>
  <c r="G134" i="16"/>
  <c r="C134" i="16"/>
  <c r="G133" i="16"/>
  <c r="C133" i="16"/>
  <c r="G132" i="16"/>
  <c r="C132" i="16"/>
  <c r="G131" i="16"/>
  <c r="C131" i="16"/>
  <c r="G130" i="16"/>
  <c r="C130" i="16"/>
  <c r="G129" i="16"/>
  <c r="C129" i="16"/>
  <c r="G128" i="16"/>
  <c r="C128" i="16"/>
  <c r="G127" i="16"/>
  <c r="C127" i="16"/>
  <c r="G126" i="16"/>
  <c r="C126" i="16"/>
  <c r="G125" i="16"/>
  <c r="C125" i="16"/>
  <c r="G124" i="16"/>
  <c r="C124" i="16"/>
  <c r="G123" i="16"/>
  <c r="C123" i="16"/>
  <c r="G122" i="16"/>
  <c r="C122" i="16"/>
  <c r="G121" i="16"/>
  <c r="C121" i="16"/>
  <c r="G120" i="16"/>
  <c r="C120" i="16"/>
  <c r="G119" i="16"/>
  <c r="C119" i="16"/>
  <c r="G118" i="16"/>
  <c r="C118" i="16"/>
  <c r="G117" i="16"/>
  <c r="C117" i="16"/>
  <c r="C115" i="16"/>
  <c r="C114" i="16"/>
  <c r="C113" i="16"/>
  <c r="J112" i="16"/>
  <c r="C112" i="16"/>
  <c r="J111" i="16"/>
  <c r="C111" i="16"/>
  <c r="J110" i="16"/>
  <c r="C110" i="16"/>
  <c r="J109" i="16"/>
  <c r="C109" i="16"/>
  <c r="J108" i="16"/>
  <c r="C108" i="16"/>
  <c r="J107" i="16"/>
  <c r="C107" i="16"/>
  <c r="J106" i="16"/>
  <c r="C106" i="16"/>
  <c r="J105" i="16"/>
  <c r="C105" i="16"/>
  <c r="J104" i="16"/>
  <c r="C104" i="16"/>
  <c r="J103" i="16"/>
  <c r="C103" i="16"/>
  <c r="J102" i="16"/>
  <c r="C102" i="16"/>
  <c r="J101" i="16"/>
  <c r="C101" i="16"/>
  <c r="J100" i="16"/>
  <c r="C100" i="16"/>
  <c r="J99" i="16"/>
  <c r="C99" i="16"/>
  <c r="J98" i="16"/>
  <c r="C98" i="16"/>
  <c r="J97" i="16"/>
  <c r="C97" i="16"/>
  <c r="J96" i="16"/>
  <c r="C96" i="16"/>
  <c r="J95" i="16"/>
  <c r="C95" i="16"/>
  <c r="J94" i="16"/>
  <c r="C94" i="16"/>
  <c r="C93" i="16"/>
  <c r="J92" i="16"/>
  <c r="C92" i="16"/>
  <c r="J91" i="16"/>
  <c r="C91" i="16"/>
  <c r="J90" i="16"/>
  <c r="C90" i="16"/>
  <c r="J89" i="16"/>
  <c r="C89" i="16"/>
  <c r="J88" i="16"/>
  <c r="G88" i="16"/>
  <c r="E88" i="16"/>
  <c r="C88" i="16"/>
  <c r="J87" i="16"/>
  <c r="C86" i="16"/>
  <c r="G85" i="16"/>
  <c r="C85" i="16"/>
  <c r="C84" i="16"/>
  <c r="C83" i="16"/>
  <c r="C82" i="16"/>
  <c r="G81" i="16"/>
  <c r="E81" i="16"/>
  <c r="C81" i="16"/>
  <c r="G80" i="16"/>
  <c r="E80" i="16"/>
  <c r="C80" i="16"/>
  <c r="C79" i="16"/>
  <c r="C78" i="16"/>
  <c r="G77" i="16"/>
  <c r="E77" i="16"/>
  <c r="C77" i="16"/>
  <c r="G76" i="16"/>
  <c r="E76" i="16"/>
  <c r="C76" i="16"/>
  <c r="G75" i="16"/>
  <c r="E75" i="16"/>
  <c r="C75" i="16"/>
  <c r="G74" i="16"/>
  <c r="E74" i="16"/>
  <c r="C74" i="16"/>
  <c r="G73" i="16"/>
  <c r="E73" i="16"/>
  <c r="C73" i="16"/>
  <c r="G72" i="16"/>
  <c r="E72" i="16"/>
  <c r="C72" i="16"/>
  <c r="G71" i="16"/>
  <c r="E71" i="16"/>
  <c r="C71" i="16"/>
  <c r="G70" i="16"/>
  <c r="E70" i="16"/>
  <c r="C70" i="16"/>
  <c r="C69" i="16"/>
  <c r="C68" i="16"/>
  <c r="C67" i="16"/>
  <c r="C66" i="16"/>
  <c r="C65" i="16"/>
  <c r="C64" i="16"/>
  <c r="C63" i="16"/>
  <c r="C62" i="16"/>
  <c r="F60" i="16"/>
  <c r="E60" i="16"/>
  <c r="D60" i="16"/>
  <c r="C60" i="16"/>
  <c r="B60" i="16"/>
  <c r="A60" i="16"/>
  <c r="G59" i="16"/>
  <c r="F59" i="16"/>
  <c r="D59" i="16"/>
  <c r="C59" i="16"/>
  <c r="B59" i="16"/>
  <c r="A59" i="16"/>
  <c r="F58" i="16"/>
  <c r="D58" i="16"/>
  <c r="C58" i="16"/>
  <c r="B58" i="16"/>
  <c r="A58" i="16"/>
  <c r="F57" i="16"/>
  <c r="E57" i="16"/>
  <c r="D57" i="16"/>
  <c r="C57" i="16"/>
  <c r="B57" i="16"/>
  <c r="A57" i="16"/>
  <c r="F56" i="16"/>
  <c r="D56" i="16"/>
  <c r="C56" i="16"/>
  <c r="B56" i="16"/>
  <c r="A56" i="16"/>
  <c r="G55" i="16"/>
  <c r="F55" i="16"/>
  <c r="D55" i="16"/>
  <c r="C55" i="16"/>
  <c r="B55" i="16"/>
  <c r="A55" i="16"/>
  <c r="F54" i="16"/>
  <c r="D54" i="16"/>
  <c r="B54" i="16"/>
  <c r="A54" i="16"/>
  <c r="F53" i="16"/>
  <c r="C53" i="16"/>
  <c r="H52" i="16"/>
  <c r="G52" i="16"/>
  <c r="E52" i="16"/>
  <c r="D52" i="16"/>
  <c r="B52" i="16"/>
  <c r="A52" i="16"/>
  <c r="G51" i="16"/>
  <c r="D51" i="16"/>
  <c r="B51" i="16"/>
  <c r="A51" i="16"/>
  <c r="E50" i="16"/>
  <c r="D50" i="16"/>
  <c r="A50" i="16"/>
  <c r="D47" i="16"/>
  <c r="E46" i="16"/>
  <c r="D46" i="16"/>
  <c r="C46" i="16"/>
  <c r="B46" i="16"/>
  <c r="A46" i="16"/>
  <c r="D45" i="16"/>
  <c r="C45" i="16"/>
  <c r="B45" i="16"/>
  <c r="A45" i="16"/>
  <c r="H44" i="16"/>
  <c r="G44" i="16"/>
  <c r="E44" i="16"/>
  <c r="C44" i="16"/>
  <c r="D43" i="16"/>
  <c r="C43" i="16"/>
  <c r="B43" i="16"/>
  <c r="D42" i="16"/>
  <c r="B42" i="16"/>
  <c r="A42" i="16"/>
  <c r="C41" i="16"/>
  <c r="H40" i="16"/>
  <c r="G40" i="16"/>
  <c r="F40" i="16"/>
  <c r="E40" i="16"/>
  <c r="D40" i="16"/>
  <c r="C40" i="16"/>
  <c r="B40" i="16"/>
  <c r="A40" i="16"/>
  <c r="C39" i="16"/>
  <c r="C38" i="16"/>
  <c r="C37" i="16"/>
  <c r="C35" i="16"/>
  <c r="G34" i="16"/>
  <c r="G33" i="16"/>
  <c r="C33" i="16"/>
  <c r="G32" i="16"/>
  <c r="D32" i="16"/>
  <c r="G31" i="16"/>
  <c r="D31" i="16"/>
  <c r="G30" i="16"/>
  <c r="D30" i="16"/>
  <c r="G29" i="16"/>
  <c r="D29" i="16"/>
  <c r="H28" i="16"/>
  <c r="G28" i="16"/>
  <c r="D28" i="16"/>
  <c r="C27" i="16"/>
  <c r="D26" i="16"/>
  <c r="H25" i="16"/>
  <c r="G25" i="16"/>
  <c r="C25" i="16"/>
  <c r="J24" i="16"/>
  <c r="H24" i="16"/>
  <c r="D24" i="16"/>
  <c r="B24" i="16"/>
  <c r="A24" i="16"/>
  <c r="J23" i="16"/>
  <c r="H22" i="16"/>
  <c r="C22" i="16"/>
  <c r="G21" i="16"/>
  <c r="D21" i="16"/>
  <c r="C21" i="16"/>
  <c r="D20" i="16"/>
  <c r="C20" i="16"/>
  <c r="G19" i="16"/>
  <c r="D19" i="16"/>
  <c r="C16" i="16"/>
  <c r="B16" i="16"/>
  <c r="A16" i="16"/>
  <c r="E15" i="16"/>
  <c r="D15" i="16"/>
  <c r="B15" i="16"/>
  <c r="A15" i="16"/>
  <c r="D14" i="16"/>
  <c r="B14" i="16"/>
  <c r="J103" i="17"/>
  <c r="J102" i="17"/>
  <c r="J101" i="17"/>
  <c r="J100" i="17"/>
  <c r="J99" i="17"/>
  <c r="J98" i="17"/>
  <c r="J97" i="17"/>
  <c r="J96" i="17"/>
  <c r="J95" i="17"/>
  <c r="J94" i="17"/>
  <c r="J93" i="17"/>
  <c r="J92" i="17"/>
  <c r="J91" i="17"/>
  <c r="J90" i="17"/>
  <c r="J89" i="17"/>
  <c r="J88" i="17"/>
  <c r="J87" i="17"/>
  <c r="J86" i="17"/>
  <c r="J85" i="17"/>
  <c r="J84" i="17"/>
  <c r="J83" i="17"/>
  <c r="J82" i="17"/>
  <c r="J81" i="17"/>
  <c r="J80" i="17"/>
  <c r="J79" i="17"/>
  <c r="J78" i="17"/>
  <c r="J77" i="17"/>
  <c r="J76" i="17"/>
  <c r="J75" i="17"/>
  <c r="J74" i="17"/>
  <c r="J73" i="17"/>
  <c r="J72" i="17"/>
  <c r="J71" i="17"/>
  <c r="J70" i="17"/>
  <c r="J69" i="17"/>
  <c r="J68" i="17"/>
  <c r="J67" i="17"/>
  <c r="J66" i="17"/>
  <c r="J65" i="17"/>
  <c r="J64" i="17"/>
  <c r="J63" i="17"/>
  <c r="J62" i="17"/>
  <c r="J61" i="17"/>
  <c r="J60" i="17"/>
  <c r="J59" i="17"/>
  <c r="J58" i="17"/>
  <c r="J57" i="17"/>
  <c r="J56" i="17"/>
  <c r="J55" i="17"/>
  <c r="J54" i="17"/>
  <c r="J53" i="17"/>
  <c r="J52" i="17"/>
  <c r="J51" i="17"/>
  <c r="J50" i="17"/>
  <c r="J49" i="17"/>
  <c r="J48" i="17"/>
  <c r="J47" i="17"/>
  <c r="J46" i="17"/>
  <c r="J45" i="17"/>
  <c r="J44" i="17"/>
  <c r="J43" i="17"/>
  <c r="J42" i="17"/>
  <c r="J41" i="17"/>
  <c r="J40" i="17"/>
  <c r="J39" i="17"/>
  <c r="J38" i="17"/>
  <c r="J37" i="17"/>
  <c r="J36" i="17"/>
  <c r="J35" i="17"/>
  <c r="J34" i="17"/>
  <c r="J33" i="17"/>
  <c r="J32" i="17"/>
  <c r="J31" i="17"/>
  <c r="J30" i="17"/>
  <c r="J29" i="17"/>
  <c r="J28" i="17"/>
  <c r="J27" i="17"/>
  <c r="J26" i="17"/>
  <c r="J25" i="17"/>
  <c r="J24" i="17"/>
  <c r="J23" i="17"/>
  <c r="J22" i="17"/>
  <c r="J21" i="17"/>
  <c r="J20" i="17"/>
  <c r="J19" i="17"/>
  <c r="J18" i="17"/>
  <c r="J17" i="17"/>
  <c r="J16" i="17"/>
  <c r="J15" i="17"/>
  <c r="J14" i="17"/>
  <c r="J13" i="17"/>
  <c r="J12" i="17"/>
  <c r="J11" i="17"/>
  <c r="J10" i="17"/>
  <c r="J9" i="17"/>
  <c r="J8" i="17"/>
  <c r="J7" i="17"/>
  <c r="J6" i="17"/>
  <c r="J5" i="17"/>
  <c r="J4" i="17"/>
  <c r="J3" i="17"/>
  <c r="F5" i="18"/>
  <c r="E5" i="18"/>
  <c r="A5" i="18"/>
  <c r="C21" i="22"/>
  <c r="F19" i="22"/>
  <c r="F18" i="22"/>
  <c r="F17" i="22"/>
  <c r="C17" i="22"/>
  <c r="F16" i="22"/>
  <c r="C16" i="22"/>
  <c r="F15" i="22"/>
  <c r="C15" i="22"/>
  <c r="F14" i="22"/>
  <c r="C14" i="22"/>
  <c r="F13" i="22"/>
  <c r="C13" i="22"/>
  <c r="F12" i="22"/>
  <c r="C12" i="22"/>
  <c r="F11" i="22"/>
  <c r="C11" i="22"/>
  <c r="F10" i="22"/>
  <c r="C10" i="22"/>
  <c r="F9" i="22"/>
  <c r="C9" i="22"/>
  <c r="G8" i="22"/>
  <c r="F8" i="22"/>
  <c r="C8" i="22"/>
  <c r="G7" i="22"/>
  <c r="F7" i="22"/>
  <c r="C7" i="22"/>
  <c r="G6" i="22"/>
  <c r="F6" i="22"/>
  <c r="H5" i="22"/>
  <c r="G5" i="22"/>
  <c r="H4" i="22"/>
  <c r="G4" i="22"/>
  <c r="C36" i="20"/>
  <c r="C35" i="20"/>
  <c r="C34" i="20"/>
  <c r="C33" i="20"/>
  <c r="C30" i="20"/>
  <c r="C29" i="20"/>
  <c r="J23" i="20"/>
  <c r="H23" i="20"/>
  <c r="J22" i="20"/>
  <c r="H22" i="20"/>
  <c r="J21" i="20"/>
  <c r="H21" i="20"/>
  <c r="D21" i="20"/>
  <c r="B21" i="20"/>
  <c r="J20" i="20"/>
  <c r="H20" i="20"/>
  <c r="D20" i="20"/>
  <c r="B20" i="20"/>
  <c r="J19" i="20"/>
  <c r="H19" i="20"/>
  <c r="D19" i="20"/>
  <c r="B19" i="20"/>
  <c r="J18" i="20"/>
  <c r="H18" i="20"/>
  <c r="D18" i="20"/>
  <c r="B18" i="20"/>
  <c r="L17" i="20"/>
  <c r="J17" i="20"/>
  <c r="H17" i="20"/>
  <c r="D17" i="20"/>
  <c r="B17" i="20"/>
  <c r="L16" i="20"/>
  <c r="J16" i="20"/>
  <c r="H16" i="20"/>
  <c r="D16" i="20"/>
  <c r="B16" i="20"/>
  <c r="L15" i="20"/>
  <c r="J15" i="20"/>
  <c r="H15" i="20"/>
  <c r="D15" i="20"/>
  <c r="B15" i="20"/>
  <c r="L14" i="20"/>
  <c r="J14" i="20"/>
  <c r="H14" i="20"/>
  <c r="F14" i="20"/>
  <c r="D14" i="20"/>
  <c r="B14" i="20"/>
  <c r="L13" i="20"/>
  <c r="J13" i="20"/>
  <c r="H13" i="20"/>
  <c r="F13" i="20"/>
  <c r="D13" i="20"/>
  <c r="B13" i="20"/>
  <c r="L12" i="20"/>
  <c r="J12" i="20"/>
  <c r="H12" i="20"/>
  <c r="F12" i="20"/>
  <c r="D12" i="20"/>
  <c r="B12" i="20"/>
  <c r="L11" i="20"/>
  <c r="J11" i="20"/>
  <c r="H11" i="20"/>
  <c r="F11" i="20"/>
  <c r="D11" i="20"/>
  <c r="B11" i="20"/>
  <c r="L10" i="20"/>
  <c r="J10" i="20"/>
  <c r="H10" i="20"/>
  <c r="F10" i="20"/>
  <c r="D10" i="20"/>
  <c r="B10" i="20"/>
  <c r="L9" i="20"/>
  <c r="J9" i="20"/>
  <c r="H9" i="20"/>
  <c r="F9" i="20"/>
  <c r="D9" i="20"/>
  <c r="B9" i="20"/>
  <c r="L8" i="20"/>
  <c r="J8" i="20"/>
  <c r="H8" i="20"/>
  <c r="F8" i="20"/>
  <c r="D8" i="20"/>
  <c r="B8" i="20"/>
  <c r="J6" i="20"/>
  <c r="D6" i="20"/>
  <c r="J5" i="20"/>
  <c r="D5" i="20"/>
  <c r="J4" i="20"/>
  <c r="D4" i="20"/>
  <c r="J3" i="20"/>
  <c r="D3" i="20"/>
  <c r="J22" i="19"/>
  <c r="H22" i="19"/>
  <c r="J21" i="19"/>
  <c r="H21" i="19"/>
  <c r="J20" i="19"/>
  <c r="H20" i="19"/>
  <c r="D20" i="19"/>
  <c r="B20" i="19"/>
  <c r="J19" i="19"/>
  <c r="H19" i="19"/>
  <c r="D19" i="19"/>
  <c r="B19" i="19"/>
  <c r="J18" i="19"/>
  <c r="H18" i="19"/>
  <c r="D18" i="19"/>
  <c r="B18" i="19"/>
  <c r="L17" i="19"/>
  <c r="J17" i="19"/>
  <c r="H17" i="19"/>
  <c r="D17" i="19"/>
  <c r="B17" i="19"/>
  <c r="L16" i="19"/>
  <c r="J16" i="19"/>
  <c r="H16" i="19"/>
  <c r="D16" i="19"/>
  <c r="B16" i="19"/>
  <c r="L15" i="19"/>
  <c r="J15" i="19"/>
  <c r="H15" i="19"/>
  <c r="D15" i="19"/>
  <c r="B15" i="19"/>
  <c r="L14" i="19"/>
  <c r="J14" i="19"/>
  <c r="H14" i="19"/>
  <c r="F14" i="19"/>
  <c r="D14" i="19"/>
  <c r="B14" i="19"/>
  <c r="L13" i="19"/>
  <c r="J13" i="19"/>
  <c r="H13" i="19"/>
  <c r="F13" i="19"/>
  <c r="D13" i="19"/>
  <c r="B13" i="19"/>
  <c r="O12" i="19"/>
  <c r="L12" i="19"/>
  <c r="J12" i="19"/>
  <c r="H12" i="19"/>
  <c r="F12" i="19"/>
  <c r="D12" i="19"/>
  <c r="B12" i="19"/>
  <c r="O11" i="19"/>
  <c r="L11" i="19"/>
  <c r="J11" i="19"/>
  <c r="H11" i="19"/>
  <c r="F11" i="19"/>
  <c r="D11" i="19"/>
  <c r="B11" i="19"/>
  <c r="O10" i="19"/>
  <c r="L10" i="19"/>
  <c r="J10" i="19"/>
  <c r="H10" i="19"/>
  <c r="F10" i="19"/>
  <c r="D10" i="19"/>
  <c r="B10" i="19"/>
  <c r="O9" i="19"/>
  <c r="L9" i="19"/>
  <c r="J9" i="19"/>
  <c r="H9" i="19"/>
  <c r="F9" i="19"/>
  <c r="D9" i="19"/>
  <c r="B9" i="19"/>
  <c r="L8" i="19"/>
  <c r="J8" i="19"/>
  <c r="H8" i="19"/>
  <c r="F8" i="19"/>
  <c r="D8" i="19"/>
  <c r="B8" i="19"/>
  <c r="L7" i="19"/>
  <c r="J7" i="19"/>
  <c r="H7" i="19"/>
  <c r="F7" i="19"/>
  <c r="D7" i="19"/>
  <c r="B7" i="19"/>
  <c r="O6" i="19"/>
  <c r="O5" i="19"/>
  <c r="J5" i="19"/>
  <c r="J4" i="19"/>
  <c r="D4" i="19"/>
  <c r="J3" i="19"/>
  <c r="D3" i="19"/>
  <c r="J2" i="19"/>
  <c r="D2" i="19"/>
  <c r="I23" i="24"/>
  <c r="I22" i="24"/>
  <c r="I21" i="24"/>
  <c r="C21" i="24"/>
  <c r="I20" i="24"/>
  <c r="F19" i="24"/>
  <c r="I18" i="24"/>
  <c r="F18" i="24"/>
  <c r="F17" i="24"/>
  <c r="C17" i="24"/>
  <c r="F16" i="24"/>
  <c r="C16" i="24"/>
  <c r="L15" i="24"/>
  <c r="I15" i="24"/>
  <c r="F15" i="24"/>
  <c r="C15" i="24"/>
  <c r="F14" i="24"/>
  <c r="C14" i="24"/>
  <c r="L13" i="24"/>
  <c r="I13" i="24"/>
  <c r="F13" i="24"/>
  <c r="C13" i="24"/>
  <c r="F12" i="24"/>
  <c r="C12" i="24"/>
  <c r="F11" i="24"/>
  <c r="C11" i="24"/>
  <c r="M10" i="24"/>
  <c r="L10" i="24"/>
  <c r="I10" i="24"/>
  <c r="F10" i="24"/>
  <c r="C10" i="24"/>
  <c r="M9" i="24"/>
  <c r="L9" i="24"/>
  <c r="I9" i="24"/>
  <c r="F9" i="24"/>
  <c r="C9" i="24"/>
  <c r="M8" i="24"/>
  <c r="L8" i="24"/>
  <c r="I8" i="24"/>
  <c r="F8" i="24"/>
  <c r="C8" i="24"/>
  <c r="N7" i="24"/>
  <c r="M7" i="24"/>
  <c r="L7" i="24"/>
  <c r="I7" i="24"/>
  <c r="F7" i="24"/>
  <c r="C7" i="24"/>
  <c r="N6" i="24"/>
  <c r="M6" i="24"/>
  <c r="L6" i="24"/>
  <c r="I6" i="24"/>
  <c r="F6" i="24"/>
  <c r="L5" i="24"/>
  <c r="I5" i="24"/>
  <c r="F5" i="24"/>
  <c r="E23" i="23"/>
  <c r="D22" i="23"/>
  <c r="E20" i="23"/>
  <c r="E19" i="23"/>
  <c r="E18" i="23"/>
  <c r="E17" i="23"/>
  <c r="D16" i="23"/>
  <c r="D15" i="23"/>
  <c r="E14" i="23"/>
  <c r="D14" i="23"/>
  <c r="E13" i="23"/>
  <c r="D13" i="23"/>
  <c r="D12" i="23"/>
  <c r="E11" i="23"/>
  <c r="D11" i="23"/>
  <c r="E10" i="23"/>
  <c r="D10" i="23"/>
  <c r="E9" i="23"/>
  <c r="D9" i="23"/>
  <c r="E8" i="23"/>
  <c r="D8" i="23"/>
  <c r="E319" i="26"/>
  <c r="E318" i="26"/>
  <c r="G317" i="26"/>
  <c r="F317" i="26"/>
  <c r="E317" i="26"/>
  <c r="D317" i="26"/>
  <c r="C317" i="26"/>
  <c r="B317" i="26"/>
  <c r="E316" i="26"/>
  <c r="G315" i="26"/>
  <c r="F315" i="26"/>
  <c r="E315" i="26"/>
  <c r="D315" i="26"/>
  <c r="C315" i="26"/>
  <c r="B315" i="26"/>
  <c r="E314" i="26"/>
  <c r="D314" i="26"/>
  <c r="C314" i="26"/>
  <c r="D313" i="26"/>
  <c r="C313" i="26"/>
  <c r="D312" i="26"/>
  <c r="C312" i="26"/>
  <c r="D311" i="26"/>
  <c r="C311" i="26"/>
  <c r="E309" i="26"/>
  <c r="E308" i="26"/>
  <c r="E307" i="26"/>
  <c r="E306" i="26"/>
  <c r="E305" i="26"/>
  <c r="E304" i="26"/>
  <c r="G303" i="26"/>
  <c r="C303" i="26"/>
  <c r="C302" i="26"/>
  <c r="G301" i="26"/>
  <c r="C301" i="26"/>
  <c r="G300" i="26"/>
  <c r="C300" i="26"/>
  <c r="G299" i="26"/>
  <c r="C299" i="26"/>
  <c r="G298" i="26"/>
  <c r="C298" i="26"/>
  <c r="G297" i="26"/>
  <c r="C297" i="26"/>
  <c r="G296" i="26"/>
  <c r="C296" i="26"/>
  <c r="G295" i="26"/>
  <c r="C295" i="26"/>
  <c r="C293" i="26"/>
  <c r="C292" i="26"/>
  <c r="C291" i="26"/>
  <c r="E289" i="26"/>
  <c r="E288" i="26"/>
  <c r="G287" i="26"/>
  <c r="C287" i="26"/>
  <c r="G286" i="26"/>
  <c r="C286" i="26"/>
  <c r="G285" i="26"/>
  <c r="C285" i="26"/>
  <c r="G284" i="26"/>
  <c r="C284" i="26"/>
  <c r="G283" i="26"/>
  <c r="C283" i="26"/>
  <c r="E282" i="26"/>
  <c r="E281" i="26"/>
  <c r="E280" i="26"/>
  <c r="C279" i="26"/>
  <c r="G277" i="26"/>
  <c r="C277" i="26"/>
  <c r="C276" i="26"/>
  <c r="E275" i="26"/>
  <c r="C273" i="26"/>
  <c r="C272" i="26"/>
  <c r="C271" i="26"/>
  <c r="C270" i="26"/>
  <c r="C269" i="26"/>
  <c r="C268" i="26"/>
  <c r="G265" i="26"/>
  <c r="C265" i="26"/>
  <c r="G264" i="26"/>
  <c r="C264" i="26"/>
  <c r="G263" i="26"/>
  <c r="C263" i="26"/>
  <c r="G262" i="26"/>
  <c r="C262" i="26"/>
  <c r="G261" i="26"/>
  <c r="C261" i="26"/>
  <c r="C260" i="26"/>
  <c r="C259" i="26"/>
  <c r="C258" i="26"/>
  <c r="C257" i="26"/>
  <c r="C256" i="26"/>
  <c r="G253" i="26"/>
  <c r="C253" i="26"/>
  <c r="G252" i="26"/>
  <c r="C252" i="26"/>
  <c r="G251" i="26"/>
  <c r="C251" i="26"/>
  <c r="G250" i="26"/>
  <c r="C250" i="26"/>
  <c r="G249" i="26"/>
  <c r="C249" i="26"/>
  <c r="G248" i="26"/>
  <c r="C248" i="26"/>
  <c r="G247" i="26"/>
  <c r="C247" i="26"/>
  <c r="G246" i="26"/>
  <c r="C246" i="26"/>
  <c r="C245" i="26"/>
  <c r="C244" i="26"/>
  <c r="E243" i="26"/>
  <c r="E242" i="26"/>
  <c r="E241" i="26"/>
  <c r="E240" i="26"/>
  <c r="E239" i="26"/>
  <c r="E238" i="26"/>
  <c r="E237" i="26"/>
  <c r="B237" i="26"/>
  <c r="E236" i="26"/>
  <c r="C234" i="26"/>
  <c r="G230" i="26"/>
  <c r="C230" i="26"/>
  <c r="G229" i="26"/>
  <c r="C229" i="26"/>
  <c r="G228" i="26"/>
  <c r="C228" i="26"/>
  <c r="H227" i="26"/>
  <c r="G227" i="26"/>
  <c r="H223" i="26"/>
  <c r="G223" i="26"/>
  <c r="D223" i="26"/>
  <c r="C223" i="26"/>
  <c r="F222" i="26"/>
  <c r="C222" i="26"/>
  <c r="C221" i="26"/>
  <c r="C220" i="26"/>
  <c r="G218" i="26"/>
  <c r="C218" i="26"/>
  <c r="F217" i="26"/>
  <c r="E217" i="26"/>
  <c r="D217" i="26"/>
  <c r="C217" i="26"/>
  <c r="C216" i="26"/>
  <c r="C215" i="26"/>
  <c r="C214" i="26"/>
  <c r="G213" i="26"/>
  <c r="E213" i="26"/>
  <c r="D213" i="26"/>
  <c r="C213" i="26"/>
  <c r="G212" i="26"/>
  <c r="E212" i="26"/>
  <c r="D212" i="26"/>
  <c r="C212" i="26"/>
  <c r="C210" i="26"/>
  <c r="C209" i="26"/>
  <c r="C208" i="26"/>
  <c r="F206" i="26"/>
  <c r="E206" i="26"/>
  <c r="D206" i="26"/>
  <c r="F205" i="26"/>
  <c r="E205" i="26"/>
  <c r="D205" i="26"/>
  <c r="F204" i="26"/>
  <c r="E204" i="26"/>
  <c r="D204" i="26"/>
  <c r="C204" i="26"/>
  <c r="F203" i="26"/>
  <c r="E203" i="26"/>
  <c r="D203" i="26"/>
  <c r="C203" i="26"/>
  <c r="G202" i="26"/>
  <c r="C202" i="26"/>
  <c r="G201" i="26"/>
  <c r="C201" i="26"/>
  <c r="G200" i="26"/>
  <c r="C200" i="26"/>
  <c r="L199" i="26"/>
  <c r="K199" i="26"/>
  <c r="J199" i="26"/>
  <c r="I199" i="26"/>
  <c r="H199" i="26"/>
  <c r="G199" i="26"/>
  <c r="C199" i="26"/>
  <c r="G198" i="26"/>
  <c r="C198" i="26"/>
  <c r="C197" i="26"/>
  <c r="C196" i="26"/>
  <c r="C195" i="26"/>
  <c r="C194" i="26"/>
  <c r="C193" i="26"/>
  <c r="C192" i="26"/>
  <c r="C191" i="26"/>
  <c r="C190" i="26"/>
  <c r="C189" i="26"/>
  <c r="G188" i="26"/>
  <c r="C188" i="26"/>
  <c r="C187" i="26"/>
  <c r="G186" i="26"/>
  <c r="C186" i="26"/>
  <c r="C185" i="26"/>
  <c r="G184" i="26"/>
  <c r="C184" i="26"/>
  <c r="C183" i="26"/>
  <c r="G182" i="26"/>
  <c r="C182" i="26"/>
  <c r="C181" i="26"/>
  <c r="G180" i="26"/>
  <c r="C180" i="26"/>
  <c r="C179" i="26"/>
  <c r="G178" i="26"/>
  <c r="C178" i="26"/>
  <c r="C177" i="26"/>
  <c r="C176" i="26"/>
  <c r="C175" i="26"/>
  <c r="C174" i="26"/>
  <c r="C173" i="26"/>
  <c r="C172" i="26"/>
  <c r="C171" i="26"/>
  <c r="C170" i="26"/>
  <c r="C169" i="26"/>
  <c r="C168" i="26"/>
  <c r="C167" i="26"/>
  <c r="C166" i="26"/>
  <c r="C165" i="26"/>
  <c r="G164" i="26"/>
  <c r="C164" i="26"/>
  <c r="C163" i="26"/>
  <c r="G162" i="26"/>
  <c r="C162" i="26"/>
  <c r="C161" i="26"/>
  <c r="G160" i="26"/>
  <c r="C160" i="26"/>
  <c r="C159" i="26"/>
  <c r="G158" i="26"/>
  <c r="C158" i="26"/>
  <c r="C157" i="26"/>
  <c r="G156" i="26"/>
  <c r="C156" i="26"/>
  <c r="C155" i="26"/>
  <c r="G154" i="26"/>
  <c r="C154" i="26"/>
  <c r="C153" i="26"/>
  <c r="C152" i="26"/>
  <c r="C151" i="26"/>
  <c r="C150" i="26"/>
  <c r="C149" i="26"/>
  <c r="G148" i="26"/>
  <c r="C148" i="26"/>
  <c r="C147" i="26"/>
  <c r="G146" i="26"/>
  <c r="C146" i="26"/>
  <c r="C145" i="26"/>
  <c r="G144" i="26"/>
  <c r="C144" i="26"/>
  <c r="C143" i="26"/>
  <c r="G142" i="26"/>
  <c r="C142" i="26"/>
  <c r="C141" i="26"/>
  <c r="G140" i="26"/>
  <c r="C140" i="26"/>
  <c r="C139" i="26"/>
  <c r="G138" i="26"/>
  <c r="C138" i="26"/>
  <c r="G137" i="26"/>
  <c r="C137" i="26"/>
  <c r="G136" i="26"/>
  <c r="C136" i="26"/>
  <c r="G135" i="26"/>
  <c r="C135" i="26"/>
  <c r="G134" i="26"/>
  <c r="C134" i="26"/>
  <c r="G133" i="26"/>
  <c r="C133" i="26"/>
  <c r="G132" i="26"/>
  <c r="C132" i="26"/>
  <c r="G131" i="26"/>
  <c r="C131" i="26"/>
  <c r="E129" i="26"/>
  <c r="C129" i="26"/>
  <c r="E128" i="26"/>
  <c r="C128" i="26"/>
  <c r="E127" i="26"/>
  <c r="C127" i="26"/>
  <c r="E126" i="26"/>
  <c r="C126" i="26"/>
  <c r="C125" i="26"/>
  <c r="C124" i="26"/>
  <c r="D122" i="26"/>
  <c r="C122" i="26"/>
  <c r="C121" i="26"/>
  <c r="H120" i="26"/>
  <c r="G120" i="26"/>
  <c r="D120" i="26"/>
  <c r="C120" i="26"/>
  <c r="C119" i="26"/>
  <c r="C118" i="26"/>
  <c r="C117" i="26"/>
  <c r="C115" i="26"/>
  <c r="C114" i="26"/>
  <c r="D113" i="26"/>
  <c r="C113" i="26"/>
  <c r="C112" i="26"/>
  <c r="G111" i="26"/>
  <c r="C111" i="26"/>
  <c r="C110" i="26"/>
  <c r="G109" i="26"/>
  <c r="C109" i="26"/>
  <c r="E108" i="26"/>
  <c r="C108" i="26"/>
  <c r="C107" i="26"/>
  <c r="C106" i="26"/>
  <c r="C105" i="26"/>
  <c r="G104" i="26"/>
  <c r="C104" i="26"/>
  <c r="G103" i="26"/>
  <c r="C103" i="26"/>
  <c r="G102" i="26"/>
  <c r="C102" i="26"/>
  <c r="G101" i="26"/>
  <c r="C101" i="26"/>
  <c r="C100" i="26"/>
  <c r="C99" i="26"/>
  <c r="C98" i="26"/>
  <c r="C97" i="26"/>
  <c r="C96" i="26"/>
  <c r="C95" i="26"/>
  <c r="D94" i="26"/>
  <c r="C94" i="26"/>
  <c r="E93" i="26"/>
  <c r="C93" i="26"/>
  <c r="G92" i="26"/>
  <c r="C92" i="26"/>
  <c r="D91" i="26"/>
  <c r="C91" i="26"/>
  <c r="C90" i="26"/>
  <c r="G89" i="26"/>
  <c r="C89" i="26"/>
  <c r="G88" i="26"/>
  <c r="C88" i="26"/>
  <c r="C87" i="26"/>
  <c r="G86" i="26"/>
  <c r="C86" i="26"/>
  <c r="G85" i="26"/>
  <c r="C85" i="26"/>
  <c r="G84" i="26"/>
  <c r="C84" i="26"/>
  <c r="G83" i="26"/>
  <c r="C83" i="26"/>
  <c r="C82" i="26"/>
  <c r="C81" i="26"/>
  <c r="C80" i="26"/>
  <c r="E79" i="26"/>
  <c r="C79" i="26"/>
  <c r="C78" i="26"/>
  <c r="C77" i="26"/>
  <c r="G76" i="26"/>
  <c r="E76" i="26"/>
  <c r="C76" i="26"/>
  <c r="G75" i="26"/>
  <c r="E75" i="26"/>
  <c r="C75" i="26"/>
  <c r="G74" i="26"/>
  <c r="C74" i="26"/>
  <c r="G73" i="26"/>
  <c r="C73" i="26"/>
  <c r="C72" i="26"/>
  <c r="G71" i="26"/>
  <c r="C71" i="26"/>
  <c r="C70" i="26"/>
  <c r="C69" i="26"/>
  <c r="C68" i="26"/>
  <c r="E67" i="26"/>
  <c r="C67" i="26"/>
  <c r="C66" i="26"/>
  <c r="E65" i="26"/>
  <c r="C65" i="26"/>
  <c r="E64" i="26"/>
  <c r="C64" i="26"/>
  <c r="E63" i="26"/>
  <c r="C63" i="26"/>
  <c r="G61" i="26"/>
  <c r="E61" i="26"/>
  <c r="C61" i="26"/>
  <c r="I60" i="26"/>
  <c r="G60" i="26"/>
  <c r="E60" i="26"/>
  <c r="C60" i="26"/>
  <c r="C58" i="26"/>
  <c r="B58" i="26"/>
  <c r="C57" i="26"/>
  <c r="B57" i="26"/>
  <c r="B56" i="26"/>
  <c r="B55" i="26"/>
  <c r="G53" i="26"/>
  <c r="C53" i="26"/>
  <c r="C50" i="26"/>
  <c r="C49" i="26"/>
  <c r="C42" i="26"/>
  <c r="C41" i="26"/>
  <c r="D40" i="26"/>
  <c r="D39" i="26"/>
  <c r="D38" i="26"/>
  <c r="D37" i="26"/>
  <c r="G35" i="26"/>
  <c r="D35" i="26"/>
  <c r="G34" i="26"/>
  <c r="D34" i="26"/>
  <c r="G33" i="26"/>
  <c r="D33" i="26"/>
  <c r="E31" i="26"/>
  <c r="D31" i="26"/>
  <c r="C31" i="26"/>
  <c r="A31" i="26"/>
  <c r="E30" i="26"/>
  <c r="D30" i="26"/>
  <c r="C30" i="26"/>
  <c r="B30" i="26"/>
  <c r="A30" i="26"/>
  <c r="D29" i="26"/>
  <c r="A29" i="26"/>
  <c r="E28" i="26"/>
  <c r="D28" i="26"/>
  <c r="B28" i="26"/>
  <c r="A28" i="26"/>
  <c r="F26" i="26"/>
  <c r="D26" i="26"/>
  <c r="B26" i="26"/>
  <c r="A26" i="26"/>
  <c r="F25" i="26"/>
  <c r="E25" i="26"/>
  <c r="G24" i="26"/>
  <c r="C24" i="26"/>
  <c r="G22" i="26"/>
  <c r="G21" i="26"/>
  <c r="C21" i="26"/>
  <c r="G19" i="26"/>
  <c r="D18" i="26"/>
  <c r="D17" i="26"/>
  <c r="G16" i="26"/>
  <c r="E16" i="26"/>
  <c r="C14" i="26"/>
  <c r="B14" i="26"/>
  <c r="D13" i="26"/>
  <c r="B13" i="26"/>
  <c r="L16" i="28"/>
  <c r="J16" i="28"/>
  <c r="I16" i="28"/>
  <c r="H16" i="28"/>
  <c r="E5" i="39"/>
  <c r="E35" i="40"/>
  <c r="E34" i="40"/>
  <c r="E33" i="40"/>
  <c r="E32" i="40"/>
  <c r="E31" i="40"/>
  <c r="E30" i="40"/>
  <c r="E29" i="40"/>
  <c r="E28" i="40"/>
  <c r="E26" i="40"/>
  <c r="E25" i="40"/>
  <c r="E24" i="40"/>
  <c r="E23" i="40"/>
  <c r="E22" i="40"/>
  <c r="E21" i="40"/>
  <c r="E20" i="40"/>
  <c r="E19" i="40"/>
  <c r="E18" i="40"/>
  <c r="E17" i="40"/>
  <c r="E16" i="40"/>
  <c r="E15" i="40"/>
  <c r="E14" i="40"/>
  <c r="E13" i="40"/>
  <c r="E12" i="40"/>
  <c r="E9" i="40"/>
  <c r="E8" i="40"/>
  <c r="E7" i="40"/>
  <c r="G24" i="44"/>
  <c r="G23" i="44"/>
  <c r="G22" i="44"/>
  <c r="G21" i="44"/>
  <c r="G20" i="44"/>
  <c r="G19" i="44"/>
  <c r="G18" i="44"/>
  <c r="G17" i="44"/>
  <c r="G16" i="44"/>
  <c r="G15" i="44"/>
  <c r="G14" i="44"/>
  <c r="G13" i="44"/>
  <c r="G12" i="44"/>
  <c r="G10" i="44"/>
  <c r="C26" i="43"/>
  <c r="C25" i="43"/>
  <c r="E21" i="43"/>
  <c r="D21" i="43"/>
  <c r="C21" i="43"/>
  <c r="E20" i="43"/>
  <c r="D20" i="43"/>
  <c r="C20" i="43"/>
  <c r="C18" i="43"/>
  <c r="C15" i="43"/>
  <c r="E14" i="43"/>
  <c r="D14" i="43"/>
  <c r="C14" i="43"/>
  <c r="E12" i="43"/>
  <c r="D12" i="43"/>
  <c r="C12" i="43"/>
  <c r="E11" i="43"/>
  <c r="D11" i="43"/>
  <c r="C11" i="43"/>
  <c r="C10" i="43"/>
  <c r="D9" i="43"/>
  <c r="E8" i="43"/>
  <c r="D8" i="43"/>
  <c r="E10" i="47"/>
  <c r="D10" i="47"/>
  <c r="D7" i="47"/>
  <c r="D4" i="47"/>
  <c r="D16" i="48"/>
  <c r="D14" i="48"/>
  <c r="D13" i="48"/>
  <c r="D12" i="48"/>
  <c r="I4" i="51"/>
  <c r="H4" i="51"/>
  <c r="E4" i="51"/>
  <c r="C82" i="52"/>
  <c r="C81" i="52"/>
  <c r="I80" i="52"/>
  <c r="C80" i="52"/>
  <c r="I79" i="52"/>
  <c r="C79" i="52"/>
  <c r="I78" i="52"/>
  <c r="C78" i="52"/>
  <c r="D53" i="52"/>
  <c r="D48" i="52"/>
  <c r="D47" i="52"/>
  <c r="D46" i="52"/>
  <c r="D43" i="52"/>
  <c r="F37" i="52"/>
  <c r="D37" i="52"/>
  <c r="D36" i="52"/>
  <c r="D30" i="52"/>
  <c r="D29" i="52"/>
  <c r="D26" i="52"/>
  <c r="D25" i="52"/>
  <c r="D24" i="52"/>
  <c r="C14" i="53"/>
  <c r="C13" i="53"/>
  <c r="C11" i="53"/>
  <c r="C10" i="53"/>
  <c r="C9" i="53"/>
  <c r="D21" i="58"/>
  <c r="G19" i="58"/>
  <c r="G18" i="58"/>
  <c r="G17" i="58"/>
  <c r="G15" i="58"/>
  <c r="D10" i="58"/>
  <c r="D9" i="58"/>
  <c r="D8" i="58"/>
  <c r="G5" i="58"/>
  <c r="D71" i="59"/>
  <c r="C68" i="59"/>
  <c r="E65" i="59"/>
  <c r="E64" i="59"/>
  <c r="C63" i="59"/>
  <c r="C61" i="59"/>
  <c r="C44" i="59"/>
  <c r="E43" i="59"/>
  <c r="C20" i="59"/>
  <c r="C18" i="59"/>
  <c r="C17" i="59"/>
  <c r="E12" i="59"/>
  <c r="E114" i="60"/>
  <c r="E113" i="60"/>
  <c r="E112" i="60"/>
  <c r="E111" i="60"/>
  <c r="E110" i="60"/>
  <c r="E109" i="60"/>
  <c r="E108" i="60"/>
  <c r="E107" i="60"/>
  <c r="B99" i="60"/>
  <c r="E95" i="60"/>
  <c r="D95" i="60"/>
  <c r="C95" i="60"/>
  <c r="E94" i="60"/>
  <c r="D94" i="60"/>
  <c r="C94" i="60"/>
  <c r="E93" i="60"/>
  <c r="D93" i="60"/>
  <c r="C93" i="60"/>
  <c r="G90" i="60"/>
  <c r="F90" i="60"/>
  <c r="E90" i="60"/>
  <c r="D90" i="60"/>
  <c r="C90" i="60"/>
  <c r="G89" i="60"/>
  <c r="F89" i="60"/>
  <c r="E89" i="60"/>
  <c r="D89" i="60"/>
  <c r="C89" i="60"/>
  <c r="G88" i="60"/>
  <c r="F88" i="60"/>
  <c r="E88" i="60"/>
  <c r="D88" i="60"/>
  <c r="C88" i="60"/>
  <c r="G87" i="60"/>
  <c r="F87" i="60"/>
  <c r="E87" i="60"/>
  <c r="D87" i="60"/>
  <c r="C87" i="60"/>
  <c r="G86" i="60"/>
  <c r="F86" i="60"/>
  <c r="E86" i="60"/>
  <c r="D86" i="60"/>
  <c r="C86" i="60"/>
  <c r="H83" i="60"/>
  <c r="G83" i="60"/>
  <c r="F83" i="60"/>
  <c r="E83" i="60"/>
  <c r="D83" i="60"/>
  <c r="C83" i="60"/>
  <c r="H82" i="60"/>
  <c r="G82" i="60"/>
  <c r="F82" i="60"/>
  <c r="E82" i="60"/>
  <c r="D82" i="60"/>
  <c r="C82" i="60"/>
  <c r="H81" i="60"/>
  <c r="G81" i="60"/>
  <c r="F81" i="60"/>
  <c r="E81" i="60"/>
  <c r="D81" i="60"/>
  <c r="C81" i="60"/>
  <c r="H80" i="60"/>
  <c r="G80" i="60"/>
  <c r="F80" i="60"/>
  <c r="E80" i="60"/>
  <c r="D80" i="60"/>
  <c r="C80" i="60"/>
  <c r="H79" i="60"/>
  <c r="G79" i="60"/>
  <c r="F79" i="60"/>
  <c r="E79" i="60"/>
  <c r="D79" i="60"/>
  <c r="C79" i="60"/>
  <c r="H78" i="60"/>
  <c r="G78" i="60"/>
  <c r="F78" i="60"/>
  <c r="E78" i="60"/>
  <c r="D78" i="60"/>
  <c r="C78" i="60"/>
  <c r="F75" i="60"/>
  <c r="E75" i="60"/>
  <c r="D75" i="60"/>
  <c r="C75" i="60"/>
  <c r="F74" i="60"/>
  <c r="E74" i="60"/>
  <c r="D74" i="60"/>
  <c r="C74" i="60"/>
  <c r="F73" i="60"/>
  <c r="E73" i="60"/>
  <c r="D73" i="60"/>
  <c r="C73" i="60"/>
  <c r="F72" i="60"/>
  <c r="E72" i="60"/>
  <c r="D72" i="60"/>
  <c r="C72" i="60"/>
  <c r="F69" i="60"/>
  <c r="E69" i="60"/>
  <c r="D69" i="60"/>
  <c r="C69" i="60"/>
  <c r="F68" i="60"/>
  <c r="E68" i="60"/>
  <c r="D68" i="60"/>
  <c r="C68" i="60"/>
  <c r="F67" i="60"/>
  <c r="E67" i="60"/>
  <c r="D67" i="60"/>
  <c r="C67" i="60"/>
  <c r="F66" i="60"/>
  <c r="E66" i="60"/>
  <c r="D66" i="60"/>
  <c r="C66" i="60"/>
  <c r="H63" i="60"/>
  <c r="G63" i="60"/>
  <c r="F63" i="60"/>
  <c r="E63" i="60"/>
  <c r="D63" i="60"/>
  <c r="C63" i="60"/>
  <c r="H62" i="60"/>
  <c r="G62" i="60"/>
  <c r="F62" i="60"/>
  <c r="E62" i="60"/>
  <c r="D62" i="60"/>
  <c r="C62" i="60"/>
  <c r="H61" i="60"/>
  <c r="G61" i="60"/>
  <c r="F61" i="60"/>
  <c r="E61" i="60"/>
  <c r="D61" i="60"/>
  <c r="C61" i="60"/>
  <c r="H60" i="60"/>
  <c r="G60" i="60"/>
  <c r="F60" i="60"/>
  <c r="E60" i="60"/>
  <c r="D60" i="60"/>
  <c r="C60" i="60"/>
  <c r="H59" i="60"/>
  <c r="G59" i="60"/>
  <c r="F59" i="60"/>
  <c r="E59" i="60"/>
  <c r="D59" i="60"/>
  <c r="C59" i="60"/>
  <c r="H58" i="60"/>
  <c r="G58" i="60"/>
  <c r="F58" i="60"/>
  <c r="E58" i="60"/>
  <c r="D58" i="60"/>
  <c r="C58" i="60"/>
  <c r="I55" i="60"/>
  <c r="H55" i="60"/>
  <c r="G55" i="60"/>
  <c r="F55" i="60"/>
  <c r="E55" i="60"/>
  <c r="D55" i="60"/>
  <c r="C55" i="60"/>
  <c r="I54" i="60"/>
  <c r="H54" i="60"/>
  <c r="G54" i="60"/>
  <c r="F54" i="60"/>
  <c r="E54" i="60"/>
  <c r="D54" i="60"/>
  <c r="C54" i="60"/>
  <c r="I53" i="60"/>
  <c r="H53" i="60"/>
  <c r="G53" i="60"/>
  <c r="F53" i="60"/>
  <c r="E53" i="60"/>
  <c r="D53" i="60"/>
  <c r="C53" i="60"/>
  <c r="I52" i="60"/>
  <c r="H52" i="60"/>
  <c r="G52" i="60"/>
  <c r="F52" i="60"/>
  <c r="E52" i="60"/>
  <c r="D52" i="60"/>
  <c r="C52" i="60"/>
  <c r="I51" i="60"/>
  <c r="H51" i="60"/>
  <c r="G51" i="60"/>
  <c r="F51" i="60"/>
  <c r="E51" i="60"/>
  <c r="D51" i="60"/>
  <c r="C51" i="60"/>
  <c r="I50" i="60"/>
  <c r="H50" i="60"/>
  <c r="G50" i="60"/>
  <c r="F50" i="60"/>
  <c r="E50" i="60"/>
  <c r="D50" i="60"/>
  <c r="C50" i="60"/>
  <c r="I49" i="60"/>
  <c r="H49" i="60"/>
  <c r="G49" i="60"/>
  <c r="F49" i="60"/>
  <c r="E49" i="60"/>
  <c r="D49" i="60"/>
  <c r="C49" i="60"/>
  <c r="G46" i="60"/>
  <c r="F46" i="60"/>
  <c r="E46" i="60"/>
  <c r="D46" i="60"/>
  <c r="C46" i="60"/>
  <c r="G45" i="60"/>
  <c r="F45" i="60"/>
  <c r="E45" i="60"/>
  <c r="D45" i="60"/>
  <c r="C45" i="60"/>
  <c r="G44" i="60"/>
  <c r="F44" i="60"/>
  <c r="E44" i="60"/>
  <c r="D44" i="60"/>
  <c r="C44" i="60"/>
  <c r="G43" i="60"/>
  <c r="F43" i="60"/>
  <c r="E43" i="60"/>
  <c r="D43" i="60"/>
  <c r="C43" i="60"/>
  <c r="G42" i="60"/>
  <c r="F42" i="60"/>
  <c r="E42" i="60"/>
  <c r="D42" i="60"/>
  <c r="C42" i="60"/>
  <c r="F38" i="60"/>
  <c r="E38" i="60"/>
  <c r="D38" i="60"/>
  <c r="C38" i="60"/>
  <c r="F37" i="60"/>
  <c r="E37" i="60"/>
  <c r="D37" i="60"/>
  <c r="C37" i="60"/>
  <c r="F36" i="60"/>
  <c r="E36" i="60"/>
  <c r="D36" i="60"/>
  <c r="C36" i="60"/>
  <c r="F35" i="60"/>
  <c r="E35" i="60"/>
  <c r="D35" i="60"/>
  <c r="C35" i="60"/>
  <c r="F32" i="60"/>
  <c r="E32" i="60"/>
  <c r="D32" i="60"/>
  <c r="C32" i="60"/>
  <c r="F31" i="60"/>
  <c r="E31" i="60"/>
  <c r="D31" i="60"/>
  <c r="C31" i="60"/>
  <c r="F30" i="60"/>
  <c r="E30" i="60"/>
  <c r="D30" i="60"/>
  <c r="C30" i="60"/>
  <c r="F29" i="60"/>
  <c r="E29" i="60"/>
  <c r="D29" i="60"/>
  <c r="C29" i="60"/>
  <c r="F26" i="60"/>
  <c r="E26" i="60"/>
  <c r="D26" i="60"/>
  <c r="C26" i="60"/>
  <c r="F25" i="60"/>
  <c r="E25" i="60"/>
  <c r="D25" i="60"/>
  <c r="C25" i="60"/>
  <c r="F24" i="60"/>
  <c r="E24" i="60"/>
  <c r="D24" i="60"/>
  <c r="C24" i="60"/>
  <c r="F23" i="60"/>
  <c r="E23" i="60"/>
  <c r="D23" i="60"/>
  <c r="C23" i="60"/>
  <c r="F20" i="60"/>
  <c r="E20" i="60"/>
  <c r="D20" i="60"/>
  <c r="C20" i="60"/>
  <c r="F19" i="60"/>
  <c r="E19" i="60"/>
  <c r="D19" i="60"/>
  <c r="C19" i="60"/>
  <c r="F18" i="60"/>
  <c r="E18" i="60"/>
  <c r="D18" i="60"/>
  <c r="C18" i="60"/>
  <c r="F17" i="60"/>
  <c r="E17" i="60"/>
  <c r="D17" i="60"/>
  <c r="C17" i="60"/>
  <c r="J14" i="60"/>
  <c r="I14" i="60"/>
  <c r="H14" i="60"/>
  <c r="G14" i="60"/>
  <c r="F14" i="60"/>
  <c r="E14" i="60"/>
  <c r="D14" i="60"/>
  <c r="C14" i="60"/>
  <c r="J13" i="60"/>
  <c r="I13" i="60"/>
  <c r="H13" i="60"/>
  <c r="G13" i="60"/>
  <c r="F13" i="60"/>
  <c r="E13" i="60"/>
  <c r="D13" i="60"/>
  <c r="C13" i="60"/>
  <c r="J12" i="60"/>
  <c r="I12" i="60"/>
  <c r="H12" i="60"/>
  <c r="G12" i="60"/>
  <c r="F12" i="60"/>
  <c r="E12" i="60"/>
  <c r="D12" i="60"/>
  <c r="C12" i="60"/>
  <c r="J11" i="60"/>
  <c r="I11" i="60"/>
  <c r="H11" i="60"/>
  <c r="G11" i="60"/>
  <c r="F11" i="60"/>
  <c r="E11" i="60"/>
  <c r="D11" i="60"/>
  <c r="C11" i="60"/>
  <c r="J10" i="60"/>
  <c r="I10" i="60"/>
  <c r="H10" i="60"/>
  <c r="G10" i="60"/>
  <c r="F10" i="60"/>
  <c r="E10" i="60"/>
  <c r="D10" i="60"/>
  <c r="C10" i="60"/>
  <c r="J9" i="60"/>
  <c r="I9" i="60"/>
  <c r="H9" i="60"/>
  <c r="G9" i="60"/>
  <c r="F9" i="60"/>
  <c r="E9" i="60"/>
  <c r="D9" i="60"/>
  <c r="C9" i="60"/>
  <c r="J8" i="60"/>
  <c r="I8" i="60"/>
  <c r="H8" i="60"/>
  <c r="G8" i="60"/>
  <c r="F8" i="60"/>
  <c r="E8" i="60"/>
  <c r="D8" i="60"/>
  <c r="C8" i="60"/>
  <c r="J7" i="60"/>
  <c r="I7" i="60"/>
  <c r="H7" i="60"/>
  <c r="G7" i="60"/>
  <c r="F7" i="60"/>
  <c r="E7" i="60"/>
  <c r="D7" i="60"/>
  <c r="C7" i="60"/>
  <c r="D69" i="62"/>
  <c r="D66" i="62"/>
  <c r="D63" i="62"/>
  <c r="D60" i="62"/>
  <c r="D57" i="62"/>
  <c r="D52" i="62"/>
  <c r="D49" i="62"/>
  <c r="D46" i="62"/>
  <c r="D43" i="62"/>
  <c r="D40" i="62"/>
  <c r="D37" i="62"/>
  <c r="D34" i="62"/>
  <c r="D31" i="62"/>
  <c r="D28" i="62"/>
  <c r="D25" i="62"/>
  <c r="D17" i="62"/>
  <c r="O10" i="62"/>
  <c r="O8" i="62"/>
  <c r="O6" i="62"/>
  <c r="O4" i="62"/>
  <c r="E35" i="63"/>
  <c r="A35" i="63"/>
  <c r="E34" i="63"/>
  <c r="A34" i="63"/>
  <c r="E33" i="63"/>
  <c r="A33" i="63"/>
  <c r="E32" i="63"/>
  <c r="A32" i="63"/>
  <c r="E31" i="63"/>
  <c r="A31" i="63"/>
  <c r="E30" i="63"/>
  <c r="A30" i="63"/>
  <c r="E29" i="63"/>
  <c r="A29" i="63"/>
  <c r="E28" i="63"/>
  <c r="A28" i="63"/>
  <c r="E27" i="63"/>
  <c r="A27" i="63"/>
  <c r="F23" i="63"/>
  <c r="E23" i="63"/>
  <c r="A23" i="63"/>
  <c r="F22" i="63"/>
  <c r="E22" i="63"/>
  <c r="A22" i="63"/>
  <c r="F21" i="63"/>
  <c r="E21" i="63"/>
  <c r="A21" i="63"/>
  <c r="F20" i="63"/>
  <c r="E20" i="63"/>
  <c r="A20" i="63"/>
  <c r="F19" i="63"/>
  <c r="E19" i="63"/>
  <c r="A19" i="63"/>
  <c r="F18" i="63"/>
  <c r="E18" i="63"/>
  <c r="A18" i="63"/>
  <c r="F17" i="63"/>
  <c r="E17" i="63"/>
  <c r="A17" i="63"/>
  <c r="F16" i="63"/>
  <c r="E16" i="63"/>
  <c r="A16" i="63"/>
  <c r="F15" i="63"/>
  <c r="E15" i="63"/>
  <c r="A15" i="63"/>
  <c r="K11" i="63"/>
  <c r="J11" i="63"/>
  <c r="H11" i="63"/>
  <c r="G11" i="63"/>
  <c r="K10" i="63"/>
  <c r="J10" i="63"/>
  <c r="H10" i="63"/>
  <c r="G10" i="63"/>
  <c r="K9" i="63"/>
  <c r="J9" i="63"/>
  <c r="H9" i="63"/>
  <c r="G9" i="63"/>
  <c r="K8" i="63"/>
  <c r="J8" i="63"/>
  <c r="H8" i="63"/>
  <c r="G8" i="63"/>
  <c r="K7" i="63"/>
  <c r="J7" i="63"/>
  <c r="H7" i="63"/>
  <c r="G7" i="63"/>
  <c r="K6" i="63"/>
  <c r="J6" i="63"/>
  <c r="H6" i="63"/>
  <c r="G6" i="63"/>
  <c r="K5" i="63"/>
  <c r="J5" i="63"/>
  <c r="H5" i="63"/>
  <c r="G5" i="63"/>
  <c r="K4" i="63"/>
  <c r="J4" i="63"/>
  <c r="H4" i="63"/>
  <c r="G4" i="63"/>
  <c r="K3" i="63"/>
  <c r="J3" i="63"/>
  <c r="H3" i="63"/>
  <c r="G3" i="63"/>
  <c r="E14" i="64"/>
  <c r="E13" i="64"/>
  <c r="E9" i="64"/>
  <c r="E6" i="64"/>
  <c r="E22" i="65"/>
  <c r="E20" i="65"/>
  <c r="E8" i="65"/>
  <c r="E18" i="66"/>
  <c r="E8" i="66"/>
  <c r="E6" i="66"/>
  <c r="E36" i="67"/>
  <c r="E35" i="67"/>
  <c r="E33" i="67"/>
  <c r="E32" i="67"/>
  <c r="E31" i="67"/>
  <c r="E29" i="67"/>
  <c r="E27" i="67"/>
  <c r="E25" i="67"/>
  <c r="E23" i="67"/>
  <c r="E22" i="67"/>
  <c r="E19" i="67"/>
  <c r="E14" i="67"/>
  <c r="E10" i="67"/>
  <c r="E5" i="67"/>
  <c r="E10" i="69"/>
  <c r="E9" i="69"/>
  <c r="E49" i="70"/>
  <c r="E47" i="70"/>
  <c r="E39" i="70"/>
  <c r="E36" i="70"/>
  <c r="E35" i="70"/>
  <c r="E34" i="70"/>
  <c r="E33" i="70"/>
  <c r="E32" i="70"/>
  <c r="E31" i="70"/>
  <c r="E30" i="70"/>
  <c r="E27" i="70"/>
  <c r="E26" i="70"/>
  <c r="E25" i="70"/>
  <c r="E24" i="70"/>
  <c r="E21" i="70"/>
  <c r="E20" i="70"/>
  <c r="E19" i="70"/>
  <c r="E18" i="70"/>
  <c r="E12" i="71"/>
  <c r="E11" i="71"/>
  <c r="E8" i="71"/>
  <c r="E5" i="71"/>
  <c r="E13" i="72"/>
  <c r="E3" i="72"/>
  <c r="E44" i="73"/>
  <c r="E42" i="73"/>
  <c r="E39" i="73"/>
  <c r="E36" i="73"/>
  <c r="E35" i="73"/>
  <c r="E34" i="73"/>
  <c r="E32" i="73"/>
  <c r="E31" i="73"/>
  <c r="E30" i="73"/>
  <c r="E28" i="73"/>
  <c r="E27" i="73"/>
  <c r="E26" i="73"/>
  <c r="E25" i="73"/>
  <c r="E24" i="73"/>
  <c r="E23" i="73"/>
  <c r="E22" i="73"/>
  <c r="E21" i="73"/>
  <c r="E19" i="73"/>
  <c r="E15" i="73"/>
  <c r="E14" i="73"/>
  <c r="F21" i="77"/>
  <c r="F20" i="77"/>
  <c r="F19" i="77"/>
  <c r="F18" i="77"/>
  <c r="F17" i="77"/>
  <c r="F16" i="77"/>
  <c r="F15" i="77"/>
  <c r="F14" i="77"/>
  <c r="F13" i="77"/>
  <c r="F12" i="77"/>
  <c r="F11" i="77"/>
  <c r="H10" i="77"/>
  <c r="F10" i="77"/>
  <c r="H9" i="77"/>
  <c r="F9" i="77"/>
  <c r="F8" i="77"/>
  <c r="D81" i="78"/>
  <c r="D78" i="78"/>
  <c r="D75" i="78"/>
  <c r="D72" i="78"/>
  <c r="D67" i="78"/>
  <c r="D64" i="78"/>
  <c r="D61" i="78"/>
  <c r="D58" i="78"/>
  <c r="D55" i="78"/>
  <c r="D52" i="78"/>
  <c r="D49" i="78"/>
  <c r="D46" i="78"/>
  <c r="D43" i="78"/>
  <c r="D40" i="78"/>
  <c r="D37" i="78"/>
  <c r="D34" i="78"/>
  <c r="D31" i="78"/>
  <c r="D16" i="78"/>
  <c r="O11" i="78"/>
  <c r="O9" i="78"/>
  <c r="O7" i="78"/>
  <c r="O5" i="78"/>
  <c r="H77" i="79"/>
  <c r="H75" i="79"/>
  <c r="O73" i="79"/>
  <c r="G71" i="79"/>
  <c r="G69" i="79"/>
  <c r="G65" i="79"/>
  <c r="G62" i="79"/>
  <c r="F59" i="79"/>
  <c r="J57" i="79"/>
  <c r="F55" i="79"/>
  <c r="H53" i="79"/>
  <c r="H51" i="79"/>
  <c r="H49" i="79"/>
  <c r="H47" i="79"/>
  <c r="H45" i="79"/>
  <c r="I43" i="79"/>
  <c r="H41" i="79"/>
  <c r="I39" i="79"/>
  <c r="G35" i="79"/>
  <c r="E24" i="79"/>
  <c r="P10" i="79"/>
  <c r="P8" i="79"/>
  <c r="P6" i="79"/>
  <c r="P4" i="79"/>
  <c r="E60" i="80"/>
  <c r="E57" i="80"/>
  <c r="E54" i="80"/>
  <c r="E50" i="80"/>
  <c r="E47" i="80"/>
  <c r="E44" i="80"/>
  <c r="E39" i="80"/>
  <c r="E36" i="80"/>
  <c r="E33" i="80"/>
  <c r="E29" i="80"/>
  <c r="E26" i="80"/>
  <c r="E17" i="80"/>
  <c r="E16" i="80"/>
  <c r="E319" i="82"/>
  <c r="E318" i="82"/>
  <c r="G317" i="82"/>
  <c r="F317" i="82"/>
  <c r="E317" i="82"/>
  <c r="D317" i="82"/>
  <c r="C317" i="82"/>
  <c r="B317" i="82"/>
  <c r="E316" i="82"/>
  <c r="G315" i="82"/>
  <c r="F315" i="82"/>
  <c r="E315" i="82"/>
  <c r="D315" i="82"/>
  <c r="C315" i="82"/>
  <c r="B315" i="82"/>
  <c r="E314" i="82"/>
  <c r="D314" i="82"/>
  <c r="C314" i="82"/>
  <c r="D313" i="82"/>
  <c r="C313" i="82"/>
  <c r="D312" i="82"/>
  <c r="C312" i="82"/>
  <c r="D311" i="82"/>
  <c r="C311" i="82"/>
  <c r="E309" i="82"/>
  <c r="E308" i="82"/>
  <c r="E307" i="82"/>
  <c r="E306" i="82"/>
  <c r="E305" i="82"/>
  <c r="E304" i="82"/>
  <c r="G303" i="82"/>
  <c r="C303" i="82"/>
  <c r="C302" i="82"/>
  <c r="G301" i="82"/>
  <c r="C301" i="82"/>
  <c r="G300" i="82"/>
  <c r="C300" i="82"/>
  <c r="G299" i="82"/>
  <c r="C299" i="82"/>
  <c r="G298" i="82"/>
  <c r="C298" i="82"/>
  <c r="G297" i="82"/>
  <c r="C297" i="82"/>
  <c r="G296" i="82"/>
  <c r="C296" i="82"/>
  <c r="G295" i="82"/>
  <c r="C295" i="82"/>
  <c r="C293" i="82"/>
  <c r="C292" i="82"/>
  <c r="C291" i="82"/>
  <c r="E289" i="82"/>
  <c r="E288" i="82"/>
  <c r="G287" i="82"/>
  <c r="C287" i="82"/>
  <c r="G286" i="82"/>
  <c r="C286" i="82"/>
  <c r="G285" i="82"/>
  <c r="C285" i="82"/>
  <c r="G284" i="82"/>
  <c r="C284" i="82"/>
  <c r="G283" i="82"/>
  <c r="C283" i="82"/>
  <c r="E282" i="82"/>
  <c r="E281" i="82"/>
  <c r="E280" i="82"/>
  <c r="C279" i="82"/>
  <c r="G277" i="82"/>
  <c r="C277" i="82"/>
  <c r="C276" i="82"/>
  <c r="E275" i="82"/>
  <c r="C273" i="82"/>
  <c r="C272" i="82"/>
  <c r="C271" i="82"/>
  <c r="C270" i="82"/>
  <c r="C269" i="82"/>
  <c r="C268" i="82"/>
  <c r="G265" i="82"/>
  <c r="C265" i="82"/>
  <c r="G264" i="82"/>
  <c r="C264" i="82"/>
  <c r="G263" i="82"/>
  <c r="C263" i="82"/>
  <c r="G262" i="82"/>
  <c r="C262" i="82"/>
  <c r="G261" i="82"/>
  <c r="C261" i="82"/>
  <c r="C260" i="82"/>
  <c r="C259" i="82"/>
  <c r="C258" i="82"/>
  <c r="C257" i="82"/>
  <c r="C256" i="82"/>
  <c r="G253" i="82"/>
  <c r="C253" i="82"/>
  <c r="G252" i="82"/>
  <c r="C252" i="82"/>
  <c r="G251" i="82"/>
  <c r="C251" i="82"/>
  <c r="G250" i="82"/>
  <c r="C250" i="82"/>
  <c r="G249" i="82"/>
  <c r="C249" i="82"/>
  <c r="G248" i="82"/>
  <c r="C248" i="82"/>
  <c r="G247" i="82"/>
  <c r="C247" i="82"/>
  <c r="G246" i="82"/>
  <c r="C246" i="82"/>
  <c r="C245" i="82"/>
  <c r="C244" i="82"/>
  <c r="E243" i="82"/>
  <c r="E242" i="82"/>
  <c r="E241" i="82"/>
  <c r="E240" i="82"/>
  <c r="E239" i="82"/>
  <c r="E238" i="82"/>
  <c r="E237" i="82"/>
  <c r="B237" i="82"/>
  <c r="E236" i="82"/>
  <c r="E235" i="82"/>
  <c r="G230" i="82"/>
  <c r="C230" i="82"/>
  <c r="G229" i="82"/>
  <c r="C229" i="82"/>
  <c r="G228" i="82"/>
  <c r="C228" i="82"/>
  <c r="H227" i="82"/>
  <c r="G227" i="82"/>
  <c r="H223" i="82"/>
  <c r="G223" i="82"/>
  <c r="D223" i="82"/>
  <c r="C223" i="82"/>
  <c r="F222" i="82"/>
  <c r="C222" i="82"/>
  <c r="C221" i="82"/>
  <c r="C220" i="82"/>
  <c r="G218" i="82"/>
  <c r="C218" i="82"/>
  <c r="F217" i="82"/>
  <c r="E217" i="82"/>
  <c r="D217" i="82"/>
  <c r="C217" i="82"/>
  <c r="C216" i="82"/>
  <c r="C215" i="82"/>
  <c r="C214" i="82"/>
  <c r="G213" i="82"/>
  <c r="E213" i="82"/>
  <c r="D213" i="82"/>
  <c r="C213" i="82"/>
  <c r="G212" i="82"/>
  <c r="E212" i="82"/>
  <c r="D212" i="82"/>
  <c r="C212" i="82"/>
  <c r="C210" i="82"/>
  <c r="C209" i="82"/>
  <c r="C208" i="82"/>
  <c r="F206" i="82"/>
  <c r="E206" i="82"/>
  <c r="D206" i="82"/>
  <c r="F205" i="82"/>
  <c r="E205" i="82"/>
  <c r="D205" i="82"/>
  <c r="F204" i="82"/>
  <c r="E204" i="82"/>
  <c r="D204" i="82"/>
  <c r="C204" i="82"/>
  <c r="F203" i="82"/>
  <c r="E203" i="82"/>
  <c r="D203" i="82"/>
  <c r="C203" i="82"/>
  <c r="G202" i="82"/>
  <c r="C202" i="82"/>
  <c r="G201" i="82"/>
  <c r="C201" i="82"/>
  <c r="G200" i="82"/>
  <c r="C200" i="82"/>
  <c r="L199" i="82"/>
  <c r="K199" i="82"/>
  <c r="J199" i="82"/>
  <c r="I199" i="82"/>
  <c r="H199" i="82"/>
  <c r="G199" i="82"/>
  <c r="C199" i="82"/>
  <c r="G198" i="82"/>
  <c r="C198" i="82"/>
  <c r="C197" i="82"/>
  <c r="C196" i="82"/>
  <c r="C195" i="82"/>
  <c r="C194" i="82"/>
  <c r="C193" i="82"/>
  <c r="C192" i="82"/>
  <c r="C191" i="82"/>
  <c r="C190" i="82"/>
  <c r="C189" i="82"/>
  <c r="G188" i="82"/>
  <c r="C188" i="82"/>
  <c r="C187" i="82"/>
  <c r="G186" i="82"/>
  <c r="C186" i="82"/>
  <c r="C185" i="82"/>
  <c r="G184" i="82"/>
  <c r="C184" i="82"/>
  <c r="C183" i="82"/>
  <c r="G182" i="82"/>
  <c r="C182" i="82"/>
  <c r="C181" i="82"/>
  <c r="G180" i="82"/>
  <c r="C180" i="82"/>
  <c r="C179" i="82"/>
  <c r="G178" i="82"/>
  <c r="C178" i="82"/>
  <c r="C177" i="82"/>
  <c r="C176" i="82"/>
  <c r="C175" i="82"/>
  <c r="C174" i="82"/>
  <c r="C173" i="82"/>
  <c r="C172" i="82"/>
  <c r="C171" i="82"/>
  <c r="C170" i="82"/>
  <c r="C169" i="82"/>
  <c r="C168" i="82"/>
  <c r="C167" i="82"/>
  <c r="C166" i="82"/>
  <c r="C165" i="82"/>
  <c r="G164" i="82"/>
  <c r="C164" i="82"/>
  <c r="C163" i="82"/>
  <c r="G162" i="82"/>
  <c r="C162" i="82"/>
  <c r="C161" i="82"/>
  <c r="G160" i="82"/>
  <c r="C160" i="82"/>
  <c r="C159" i="82"/>
  <c r="G158" i="82"/>
  <c r="C158" i="82"/>
  <c r="C157" i="82"/>
  <c r="G156" i="82"/>
  <c r="C156" i="82"/>
  <c r="C155" i="82"/>
  <c r="G154" i="82"/>
  <c r="C154" i="82"/>
  <c r="C153" i="82"/>
  <c r="C152" i="82"/>
  <c r="C151" i="82"/>
  <c r="C150" i="82"/>
  <c r="C149" i="82"/>
  <c r="G148" i="82"/>
  <c r="C148" i="82"/>
  <c r="C147" i="82"/>
  <c r="G146" i="82"/>
  <c r="C146" i="82"/>
  <c r="C145" i="82"/>
  <c r="G144" i="82"/>
  <c r="C144" i="82"/>
  <c r="C143" i="82"/>
  <c r="G142" i="82"/>
  <c r="C142" i="82"/>
  <c r="C141" i="82"/>
  <c r="G140" i="82"/>
  <c r="C140" i="82"/>
  <c r="C139" i="82"/>
  <c r="G138" i="82"/>
  <c r="C138" i="82"/>
  <c r="G137" i="82"/>
  <c r="C137" i="82"/>
  <c r="G136" i="82"/>
  <c r="C136" i="82"/>
  <c r="G135" i="82"/>
  <c r="C135" i="82"/>
  <c r="G134" i="82"/>
  <c r="C134" i="82"/>
  <c r="G133" i="82"/>
  <c r="C133" i="82"/>
  <c r="G132" i="82"/>
  <c r="C132" i="82"/>
  <c r="G131" i="82"/>
  <c r="C131" i="82"/>
  <c r="E129" i="82"/>
  <c r="C129" i="82"/>
  <c r="E128" i="82"/>
  <c r="C128" i="82"/>
  <c r="E127" i="82"/>
  <c r="C127" i="82"/>
  <c r="E126" i="82"/>
  <c r="C126" i="82"/>
  <c r="C125" i="82"/>
  <c r="C124" i="82"/>
  <c r="D122" i="82"/>
  <c r="C122" i="82"/>
  <c r="C121" i="82"/>
  <c r="H120" i="82"/>
  <c r="G120" i="82"/>
  <c r="D120" i="82"/>
  <c r="C120" i="82"/>
  <c r="C119" i="82"/>
  <c r="C118" i="82"/>
  <c r="C117" i="82"/>
  <c r="C115" i="82"/>
  <c r="C114" i="82"/>
  <c r="D113" i="82"/>
  <c r="C113" i="82"/>
  <c r="C112" i="82"/>
  <c r="G111" i="82"/>
  <c r="C111" i="82"/>
  <c r="C110" i="82"/>
  <c r="G109" i="82"/>
  <c r="C109" i="82"/>
  <c r="E108" i="82"/>
  <c r="C108" i="82"/>
  <c r="C107" i="82"/>
  <c r="C106" i="82"/>
  <c r="C105" i="82"/>
  <c r="G104" i="82"/>
  <c r="C104" i="82"/>
  <c r="G103" i="82"/>
  <c r="C103" i="82"/>
  <c r="G102" i="82"/>
  <c r="C102" i="82"/>
  <c r="G101" i="82"/>
  <c r="C101" i="82"/>
  <c r="C100" i="82"/>
  <c r="C99" i="82"/>
  <c r="C98" i="82"/>
  <c r="C97" i="82"/>
  <c r="C96" i="82"/>
  <c r="C95" i="82"/>
  <c r="D94" i="82"/>
  <c r="C94" i="82"/>
  <c r="E93" i="82"/>
  <c r="C93" i="82"/>
  <c r="G92" i="82"/>
  <c r="C92" i="82"/>
  <c r="D91" i="82"/>
  <c r="C91" i="82"/>
  <c r="C90" i="82"/>
  <c r="G89" i="82"/>
  <c r="C89" i="82"/>
  <c r="G88" i="82"/>
  <c r="C88" i="82"/>
  <c r="C87" i="82"/>
  <c r="G86" i="82"/>
  <c r="C86" i="82"/>
  <c r="G85" i="82"/>
  <c r="C85" i="82"/>
  <c r="G84" i="82"/>
  <c r="C84" i="82"/>
  <c r="G83" i="82"/>
  <c r="C83" i="82"/>
  <c r="C82" i="82"/>
  <c r="C81" i="82"/>
  <c r="C80" i="82"/>
  <c r="E79" i="82"/>
  <c r="C79" i="82"/>
  <c r="C78" i="82"/>
  <c r="C77" i="82"/>
  <c r="G76" i="82"/>
  <c r="E76" i="82"/>
  <c r="C76" i="82"/>
  <c r="G75" i="82"/>
  <c r="E75" i="82"/>
  <c r="C75" i="82"/>
  <c r="G74" i="82"/>
  <c r="C74" i="82"/>
  <c r="G73" i="82"/>
  <c r="C73" i="82"/>
  <c r="C72" i="82"/>
  <c r="G71" i="82"/>
  <c r="C71" i="82"/>
  <c r="C70" i="82"/>
  <c r="C69" i="82"/>
  <c r="C68" i="82"/>
  <c r="E67" i="82"/>
  <c r="C67" i="82"/>
  <c r="C66" i="82"/>
  <c r="E65" i="82"/>
  <c r="C65" i="82"/>
  <c r="E64" i="82"/>
  <c r="C64" i="82"/>
  <c r="E63" i="82"/>
  <c r="C63" i="82"/>
  <c r="G61" i="82"/>
  <c r="E61" i="82"/>
  <c r="C61" i="82"/>
  <c r="I60" i="82"/>
  <c r="G60" i="82"/>
  <c r="E60" i="82"/>
  <c r="C60" i="82"/>
  <c r="C58" i="82"/>
  <c r="B58" i="82"/>
  <c r="C57" i="82"/>
  <c r="B57" i="82"/>
  <c r="B56" i="82"/>
  <c r="B55" i="82"/>
  <c r="G53" i="82"/>
  <c r="C53" i="82"/>
  <c r="C50" i="82"/>
  <c r="C49" i="82"/>
  <c r="C42" i="82"/>
  <c r="C41" i="82"/>
  <c r="D40" i="82"/>
  <c r="D39" i="82"/>
  <c r="D38" i="82"/>
  <c r="D37" i="82"/>
  <c r="G35" i="82"/>
  <c r="D35" i="82"/>
  <c r="G34" i="82"/>
  <c r="D34" i="82"/>
  <c r="G33" i="82"/>
  <c r="D33" i="82"/>
  <c r="E31" i="82"/>
  <c r="D31" i="82"/>
  <c r="C31" i="82"/>
  <c r="A31" i="82"/>
  <c r="E30" i="82"/>
  <c r="D30" i="82"/>
  <c r="C30" i="82"/>
  <c r="B30" i="82"/>
  <c r="A30" i="82"/>
  <c r="D29" i="82"/>
  <c r="A29" i="82"/>
  <c r="E28" i="82"/>
  <c r="D28" i="82"/>
  <c r="B28" i="82"/>
  <c r="A28" i="82"/>
  <c r="F26" i="82"/>
  <c r="D26" i="82"/>
  <c r="B26" i="82"/>
  <c r="A26" i="82"/>
  <c r="F25" i="82"/>
  <c r="E25" i="82"/>
  <c r="G24" i="82"/>
  <c r="C24" i="82"/>
  <c r="G22" i="82"/>
  <c r="G21" i="82"/>
  <c r="C21" i="82"/>
  <c r="G19" i="82"/>
  <c r="D18" i="82"/>
  <c r="D17" i="82"/>
  <c r="K16" i="82"/>
  <c r="G16" i="82"/>
  <c r="E16" i="82"/>
  <c r="C14" i="82"/>
  <c r="B14" i="82"/>
  <c r="D13" i="82"/>
  <c r="B13" i="82"/>
  <c r="B73" i="93"/>
  <c r="B72" i="93"/>
  <c r="B71" i="93"/>
  <c r="B63" i="93"/>
  <c r="B62" i="93"/>
  <c r="B61" i="93"/>
  <c r="G14" i="93"/>
  <c r="F14" i="93"/>
  <c r="C14" i="93"/>
  <c r="G8" i="93"/>
  <c r="F8" i="93"/>
  <c r="C8" i="93"/>
  <c r="T63" i="98"/>
  <c r="R63" i="98"/>
  <c r="P63" i="98"/>
  <c r="O63" i="98"/>
  <c r="N63" i="98"/>
  <c r="L63" i="98"/>
  <c r="J63" i="98"/>
  <c r="I63" i="98"/>
  <c r="H63" i="98"/>
  <c r="F63" i="98"/>
  <c r="D63" i="98"/>
  <c r="C63" i="98"/>
  <c r="T62" i="98"/>
  <c r="R62" i="98"/>
  <c r="P62" i="98"/>
  <c r="O62" i="98"/>
  <c r="N62" i="98"/>
  <c r="L62" i="98"/>
  <c r="J62" i="98"/>
  <c r="I62" i="98"/>
  <c r="H62" i="98"/>
  <c r="F62" i="98"/>
  <c r="D62" i="98"/>
  <c r="C62" i="98"/>
  <c r="T61" i="98"/>
  <c r="R61" i="98"/>
  <c r="P61" i="98"/>
  <c r="O61" i="98"/>
  <c r="N61" i="98"/>
  <c r="L61" i="98"/>
  <c r="J61" i="98"/>
  <c r="I61" i="98"/>
  <c r="H61" i="98"/>
  <c r="F61" i="98"/>
  <c r="D61" i="98"/>
  <c r="C61" i="98"/>
  <c r="T60" i="98"/>
  <c r="R60" i="98"/>
  <c r="P60" i="98"/>
  <c r="O60" i="98"/>
  <c r="N60" i="98"/>
  <c r="L60" i="98"/>
  <c r="J60" i="98"/>
  <c r="I60" i="98"/>
  <c r="H60" i="98"/>
  <c r="F60" i="98"/>
  <c r="D60" i="98"/>
  <c r="C60" i="98"/>
  <c r="T59" i="98"/>
  <c r="R59" i="98"/>
  <c r="P59" i="98"/>
  <c r="O59" i="98"/>
  <c r="N59" i="98"/>
  <c r="L59" i="98"/>
  <c r="J59" i="98"/>
  <c r="I59" i="98"/>
  <c r="H59" i="98"/>
  <c r="F59" i="98"/>
  <c r="D59" i="98"/>
  <c r="C59" i="98"/>
  <c r="T58" i="98"/>
  <c r="R58" i="98"/>
  <c r="P58" i="98"/>
  <c r="O58" i="98"/>
  <c r="N58" i="98"/>
  <c r="L58" i="98"/>
  <c r="J58" i="98"/>
  <c r="I58" i="98"/>
  <c r="H58" i="98"/>
  <c r="F58" i="98"/>
  <c r="D58" i="98"/>
  <c r="C58" i="98"/>
  <c r="T57" i="98"/>
  <c r="R57" i="98"/>
  <c r="P57" i="98"/>
  <c r="O57" i="98"/>
  <c r="N57" i="98"/>
  <c r="L57" i="98"/>
  <c r="J57" i="98"/>
  <c r="I57" i="98"/>
  <c r="H57" i="98"/>
  <c r="F57" i="98"/>
  <c r="D57" i="98"/>
  <c r="C57" i="98"/>
  <c r="T56" i="98"/>
  <c r="R56" i="98"/>
  <c r="P56" i="98"/>
  <c r="O56" i="98"/>
  <c r="N56" i="98"/>
  <c r="L56" i="98"/>
  <c r="J56" i="98"/>
  <c r="I56" i="98"/>
  <c r="H56" i="98"/>
  <c r="F56" i="98"/>
  <c r="D56" i="98"/>
  <c r="C56" i="98"/>
  <c r="T55" i="98"/>
  <c r="R55" i="98"/>
  <c r="P55" i="98"/>
  <c r="O55" i="98"/>
  <c r="N55" i="98"/>
  <c r="L55" i="98"/>
  <c r="J55" i="98"/>
  <c r="I55" i="98"/>
  <c r="H55" i="98"/>
  <c r="F55" i="98"/>
  <c r="D55" i="98"/>
  <c r="C55" i="98"/>
  <c r="T54" i="98"/>
  <c r="R54" i="98"/>
  <c r="P54" i="98"/>
  <c r="O54" i="98"/>
  <c r="N54" i="98"/>
  <c r="L54" i="98"/>
  <c r="J54" i="98"/>
  <c r="I54" i="98"/>
  <c r="H54" i="98"/>
  <c r="F54" i="98"/>
  <c r="D54" i="98"/>
  <c r="C54" i="98"/>
  <c r="T53" i="98"/>
  <c r="R53" i="98"/>
  <c r="P53" i="98"/>
  <c r="O53" i="98"/>
  <c r="N53" i="98"/>
  <c r="L53" i="98"/>
  <c r="J53" i="98"/>
  <c r="I53" i="98"/>
  <c r="H53" i="98"/>
  <c r="F53" i="98"/>
  <c r="D53" i="98"/>
  <c r="C53" i="98"/>
  <c r="T52" i="98"/>
  <c r="R52" i="98"/>
  <c r="P52" i="98"/>
  <c r="O52" i="98"/>
  <c r="N52" i="98"/>
  <c r="L52" i="98"/>
  <c r="J52" i="98"/>
  <c r="I52" i="98"/>
  <c r="H52" i="98"/>
  <c r="F52" i="98"/>
  <c r="D52" i="98"/>
  <c r="C52" i="98"/>
  <c r="T51" i="98"/>
  <c r="R51" i="98"/>
  <c r="P51" i="98"/>
  <c r="O51" i="98"/>
  <c r="N51" i="98"/>
  <c r="L51" i="98"/>
  <c r="J51" i="98"/>
  <c r="I51" i="98"/>
  <c r="H51" i="98"/>
  <c r="F51" i="98"/>
  <c r="D51" i="98"/>
  <c r="C51" i="98"/>
  <c r="T49" i="98"/>
  <c r="R49" i="98"/>
  <c r="P49" i="98"/>
  <c r="O49" i="98"/>
  <c r="N49" i="98"/>
  <c r="L49" i="98"/>
  <c r="J49" i="98"/>
  <c r="I49" i="98"/>
  <c r="H49" i="98"/>
  <c r="F49" i="98"/>
  <c r="D49" i="98"/>
  <c r="C49" i="98"/>
  <c r="T48" i="98"/>
  <c r="R48" i="98"/>
  <c r="P48" i="98"/>
  <c r="O48" i="98"/>
  <c r="N48" i="98"/>
  <c r="L48" i="98"/>
  <c r="J48" i="98"/>
  <c r="I48" i="98"/>
  <c r="H48" i="98"/>
  <c r="F48" i="98"/>
  <c r="D48" i="98"/>
  <c r="C48" i="98"/>
  <c r="T47" i="98"/>
  <c r="R47" i="98"/>
  <c r="P47" i="98"/>
  <c r="O47" i="98"/>
  <c r="N47" i="98"/>
  <c r="L47" i="98"/>
  <c r="J47" i="98"/>
  <c r="I47" i="98"/>
  <c r="H47" i="98"/>
  <c r="F47" i="98"/>
  <c r="D47" i="98"/>
  <c r="C47" i="98"/>
  <c r="T46" i="98"/>
  <c r="R46" i="98"/>
  <c r="P46" i="98"/>
  <c r="O46" i="98"/>
  <c r="N46" i="98"/>
  <c r="L46" i="98"/>
  <c r="J46" i="98"/>
  <c r="I46" i="98"/>
  <c r="H46" i="98"/>
  <c r="F46" i="98"/>
  <c r="D46" i="98"/>
  <c r="C46" i="98"/>
  <c r="T45" i="98"/>
  <c r="R45" i="98"/>
  <c r="P45" i="98"/>
  <c r="O45" i="98"/>
  <c r="N45" i="98"/>
  <c r="L45" i="98"/>
  <c r="J45" i="98"/>
  <c r="I45" i="98"/>
  <c r="H45" i="98"/>
  <c r="F45" i="98"/>
  <c r="D45" i="98"/>
  <c r="C45" i="98"/>
  <c r="T44" i="98"/>
  <c r="R44" i="98"/>
  <c r="P44" i="98"/>
  <c r="O44" i="98"/>
  <c r="N44" i="98"/>
  <c r="L44" i="98"/>
  <c r="J44" i="98"/>
  <c r="I44" i="98"/>
  <c r="H44" i="98"/>
  <c r="F44" i="98"/>
  <c r="D44" i="98"/>
  <c r="C44" i="98"/>
  <c r="T43" i="98"/>
  <c r="R43" i="98"/>
  <c r="P43" i="98"/>
  <c r="O43" i="98"/>
  <c r="N43" i="98"/>
  <c r="L43" i="98"/>
  <c r="J43" i="98"/>
  <c r="I43" i="98"/>
  <c r="H43" i="98"/>
  <c r="F43" i="98"/>
  <c r="D43" i="98"/>
  <c r="C43" i="98"/>
  <c r="T42" i="98"/>
  <c r="R42" i="98"/>
  <c r="P42" i="98"/>
  <c r="O42" i="98"/>
  <c r="N42" i="98"/>
  <c r="L42" i="98"/>
  <c r="J42" i="98"/>
  <c r="I42" i="98"/>
  <c r="H42" i="98"/>
  <c r="F42" i="98"/>
  <c r="D42" i="98"/>
  <c r="C42" i="98"/>
  <c r="T41" i="98"/>
  <c r="R41" i="98"/>
  <c r="P41" i="98"/>
  <c r="O41" i="98"/>
  <c r="N41" i="98"/>
  <c r="L41" i="98"/>
  <c r="J41" i="98"/>
  <c r="I41" i="98"/>
  <c r="H41" i="98"/>
  <c r="F41" i="98"/>
  <c r="D41" i="98"/>
  <c r="C41" i="98"/>
  <c r="T40" i="98"/>
  <c r="R40" i="98"/>
  <c r="P40" i="98"/>
  <c r="O40" i="98"/>
  <c r="N40" i="98"/>
  <c r="L40" i="98"/>
  <c r="J40" i="98"/>
  <c r="I40" i="98"/>
  <c r="H40" i="98"/>
  <c r="F40" i="98"/>
  <c r="D40" i="98"/>
  <c r="C40" i="98"/>
  <c r="T39" i="98"/>
  <c r="R39" i="98"/>
  <c r="P39" i="98"/>
  <c r="O39" i="98"/>
  <c r="N39" i="98"/>
  <c r="L39" i="98"/>
  <c r="J39" i="98"/>
  <c r="I39" i="98"/>
  <c r="H39" i="98"/>
  <c r="F39" i="98"/>
  <c r="D39" i="98"/>
  <c r="C39" i="98"/>
  <c r="T38" i="98"/>
  <c r="R38" i="98"/>
  <c r="P38" i="98"/>
  <c r="O38" i="98"/>
  <c r="N38" i="98"/>
  <c r="L38" i="98"/>
  <c r="J38" i="98"/>
  <c r="I38" i="98"/>
  <c r="H38" i="98"/>
  <c r="F38" i="98"/>
  <c r="D38" i="98"/>
  <c r="C38" i="98"/>
  <c r="T37" i="98"/>
  <c r="R37" i="98"/>
  <c r="P37" i="98"/>
  <c r="O37" i="98"/>
  <c r="N37" i="98"/>
  <c r="L37" i="98"/>
  <c r="J37" i="98"/>
  <c r="I37" i="98"/>
  <c r="H37" i="98"/>
  <c r="F37" i="98"/>
  <c r="D37" i="98"/>
  <c r="C37" i="98"/>
  <c r="S38" i="102"/>
  <c r="S37" i="102"/>
  <c r="S36" i="102"/>
  <c r="S35" i="102"/>
  <c r="V26" i="102"/>
  <c r="U26" i="102"/>
  <c r="T26" i="102"/>
  <c r="S26" i="102"/>
  <c r="W23" i="102"/>
  <c r="V23" i="102"/>
  <c r="U23" i="102"/>
  <c r="T23" i="102"/>
  <c r="S23" i="102"/>
  <c r="K38" i="104"/>
  <c r="I38" i="104"/>
  <c r="G38" i="104"/>
  <c r="E38" i="104"/>
  <c r="C38" i="104"/>
  <c r="A38" i="104"/>
  <c r="K37" i="104"/>
  <c r="I37" i="104"/>
  <c r="G37" i="104"/>
  <c r="E37" i="104"/>
  <c r="C37" i="104"/>
  <c r="A37" i="104"/>
  <c r="K36" i="104"/>
  <c r="I36" i="104"/>
  <c r="G36" i="104"/>
  <c r="E36" i="104"/>
  <c r="C36" i="104"/>
  <c r="A36" i="104"/>
  <c r="K35" i="104"/>
  <c r="I35" i="104"/>
  <c r="G35" i="104"/>
  <c r="E35" i="104"/>
  <c r="C35" i="104"/>
  <c r="A35" i="104"/>
  <c r="K34" i="104"/>
  <c r="I34" i="104"/>
  <c r="G34" i="104"/>
  <c r="E34" i="104"/>
  <c r="C34" i="104"/>
  <c r="A34" i="104"/>
  <c r="K33" i="104"/>
  <c r="I33" i="104"/>
  <c r="G33" i="104"/>
  <c r="E33" i="104"/>
  <c r="C33" i="104"/>
  <c r="A33" i="104"/>
  <c r="K32" i="104"/>
  <c r="I32" i="104"/>
  <c r="G32" i="104"/>
  <c r="E32" i="104"/>
  <c r="C32" i="104"/>
  <c r="A32" i="104"/>
  <c r="K31" i="104"/>
  <c r="I31" i="104"/>
  <c r="G31" i="104"/>
  <c r="E31" i="104"/>
  <c r="C31" i="104"/>
  <c r="A31" i="104"/>
  <c r="K30" i="104"/>
  <c r="I30" i="104"/>
  <c r="G30" i="104"/>
  <c r="E30" i="104"/>
  <c r="C30" i="104"/>
  <c r="A30" i="104"/>
  <c r="K29" i="104"/>
  <c r="I29" i="104"/>
  <c r="G29" i="104"/>
  <c r="E29" i="104"/>
  <c r="C29" i="104"/>
  <c r="A29" i="104"/>
  <c r="K28" i="104"/>
  <c r="I28" i="104"/>
  <c r="G28" i="104"/>
  <c r="E28" i="104"/>
  <c r="C28" i="104"/>
  <c r="A28" i="104"/>
  <c r="K27" i="104"/>
  <c r="I27" i="104"/>
  <c r="G27" i="104"/>
  <c r="E27" i="104"/>
  <c r="C27" i="104"/>
  <c r="A27" i="104"/>
  <c r="G26" i="104"/>
  <c r="E26" i="104"/>
  <c r="C26" i="104"/>
  <c r="A26" i="104"/>
  <c r="K25" i="104"/>
  <c r="I25" i="104"/>
  <c r="G25" i="104"/>
  <c r="E25" i="104"/>
  <c r="C25" i="104"/>
  <c r="A25" i="104"/>
  <c r="K24" i="104"/>
  <c r="I24" i="104"/>
  <c r="G24" i="104"/>
  <c r="E24" i="104"/>
  <c r="C24" i="104"/>
  <c r="A24" i="104"/>
  <c r="G23" i="104"/>
  <c r="E23" i="104"/>
  <c r="C23" i="104"/>
  <c r="A23" i="104"/>
  <c r="K22" i="104"/>
  <c r="I22" i="104"/>
  <c r="G22" i="104"/>
  <c r="E22" i="104"/>
  <c r="C22" i="104"/>
  <c r="A22" i="104"/>
  <c r="K21" i="104"/>
  <c r="I21" i="104"/>
  <c r="G21" i="104"/>
  <c r="E21" i="104"/>
  <c r="C21" i="104"/>
  <c r="A21" i="104"/>
  <c r="K20" i="104"/>
  <c r="I20" i="104"/>
  <c r="G20" i="104"/>
  <c r="E20" i="104"/>
  <c r="C20" i="104"/>
  <c r="A20" i="104"/>
  <c r="G19" i="104"/>
  <c r="E19" i="104"/>
  <c r="C19" i="104"/>
  <c r="A19" i="104"/>
  <c r="G18" i="104"/>
  <c r="E18" i="104"/>
  <c r="C18" i="104"/>
  <c r="A18" i="104"/>
  <c r="K17" i="104"/>
  <c r="I17" i="104"/>
  <c r="G17" i="104"/>
  <c r="E17" i="104"/>
  <c r="C17" i="104"/>
  <c r="A17" i="104"/>
  <c r="G16" i="104"/>
  <c r="E16" i="104"/>
  <c r="C16" i="104"/>
  <c r="A16" i="104"/>
  <c r="K15" i="104"/>
  <c r="I15" i="104"/>
  <c r="G15" i="104"/>
  <c r="E15" i="104"/>
  <c r="C15" i="104"/>
  <c r="A15" i="104"/>
  <c r="G14" i="104"/>
  <c r="E14" i="104"/>
  <c r="C14" i="104"/>
  <c r="A14" i="104"/>
  <c r="G13" i="104"/>
  <c r="E13" i="104"/>
  <c r="C13" i="104"/>
  <c r="A13" i="104"/>
  <c r="G12" i="104"/>
  <c r="E12" i="104"/>
  <c r="C12" i="104"/>
  <c r="A12" i="104"/>
  <c r="C11" i="104"/>
  <c r="A11" i="104"/>
  <c r="C10" i="104"/>
  <c r="A10" i="104"/>
  <c r="C9" i="104"/>
  <c r="A9" i="104"/>
  <c r="C8" i="104"/>
  <c r="A8" i="104"/>
  <c r="C7" i="104"/>
  <c r="A7" i="104"/>
  <c r="C6" i="104"/>
  <c r="A6" i="104"/>
  <c r="R16" i="112"/>
  <c r="Q16" i="112"/>
  <c r="P16" i="112"/>
  <c r="O16" i="112"/>
  <c r="N16" i="112"/>
  <c r="M16" i="112"/>
  <c r="L16" i="112"/>
  <c r="K16" i="112"/>
  <c r="J16" i="112"/>
  <c r="I16" i="112"/>
  <c r="H16" i="112"/>
  <c r="G16" i="112"/>
  <c r="R14" i="112"/>
  <c r="Q14" i="112"/>
  <c r="P14" i="112"/>
  <c r="O14" i="112"/>
  <c r="N14" i="112"/>
  <c r="M14" i="112"/>
  <c r="L14" i="112"/>
  <c r="K14" i="112"/>
  <c r="J14" i="112"/>
  <c r="I14" i="112"/>
  <c r="H14" i="112"/>
  <c r="G14" i="112"/>
  <c r="R13" i="112"/>
  <c r="Q13" i="112"/>
  <c r="P13" i="112"/>
  <c r="O13" i="112"/>
  <c r="N13" i="112"/>
  <c r="M13" i="112"/>
  <c r="L13" i="112"/>
  <c r="K13" i="112"/>
  <c r="J13" i="112"/>
  <c r="I13" i="112"/>
  <c r="H13" i="112"/>
  <c r="G13" i="112"/>
  <c r="R12" i="112"/>
  <c r="Q12" i="112"/>
  <c r="P12" i="112"/>
  <c r="O12" i="112"/>
  <c r="N12" i="112"/>
  <c r="M12" i="112"/>
  <c r="L12" i="112"/>
  <c r="K12" i="112"/>
  <c r="J12" i="112"/>
  <c r="I12" i="112"/>
  <c r="H12" i="112"/>
  <c r="G12" i="112"/>
  <c r="R11" i="112"/>
  <c r="Q11" i="112"/>
  <c r="P11" i="112"/>
  <c r="O11" i="112"/>
  <c r="N11" i="112"/>
  <c r="M11" i="112"/>
  <c r="L11" i="112"/>
  <c r="K11" i="112"/>
  <c r="J11" i="112"/>
  <c r="I11" i="112"/>
  <c r="H11" i="112"/>
  <c r="G11" i="112"/>
  <c r="K13" i="113"/>
  <c r="J13" i="113"/>
  <c r="I13" i="113"/>
  <c r="H13" i="113"/>
  <c r="G13" i="113"/>
  <c r="F13" i="113"/>
  <c r="E13" i="113"/>
  <c r="D13" i="113"/>
  <c r="C13" i="113"/>
  <c r="K12" i="113"/>
  <c r="J12" i="113"/>
  <c r="I12" i="113"/>
  <c r="H12" i="113"/>
  <c r="G12" i="113"/>
  <c r="F12" i="113"/>
  <c r="E12" i="113"/>
  <c r="D12" i="113"/>
  <c r="C12" i="113"/>
  <c r="K11" i="113"/>
  <c r="J11" i="113"/>
  <c r="I11" i="113"/>
  <c r="H11" i="113"/>
  <c r="G11" i="113"/>
  <c r="F11" i="113"/>
  <c r="E11" i="113"/>
  <c r="D11" i="113"/>
  <c r="C11" i="113"/>
  <c r="N10" i="113"/>
  <c r="M10" i="113"/>
  <c r="L10" i="113"/>
  <c r="K10" i="113"/>
  <c r="J10" i="113"/>
  <c r="I10" i="113"/>
  <c r="H10" i="113"/>
  <c r="G10" i="113"/>
  <c r="F10" i="113"/>
  <c r="E10" i="113"/>
  <c r="D10" i="113"/>
  <c r="C10" i="113"/>
  <c r="K9" i="113"/>
  <c r="J9" i="113"/>
  <c r="I9" i="113"/>
  <c r="H9" i="113"/>
  <c r="G9" i="113"/>
  <c r="F9" i="113"/>
  <c r="E9" i="113"/>
  <c r="D9" i="113"/>
  <c r="C9" i="113"/>
  <c r="R21" i="115"/>
  <c r="Q21" i="115"/>
  <c r="P21" i="115"/>
  <c r="O21" i="115"/>
  <c r="N21" i="115"/>
  <c r="M21" i="115"/>
  <c r="L21" i="115"/>
  <c r="K21" i="115"/>
  <c r="J21" i="115"/>
  <c r="I21" i="115"/>
  <c r="H21" i="115"/>
  <c r="G21" i="115"/>
  <c r="R20" i="115"/>
  <c r="Q20" i="115"/>
  <c r="P20" i="115"/>
  <c r="O20" i="115"/>
  <c r="N20" i="115"/>
  <c r="M20" i="115"/>
  <c r="L20" i="115"/>
  <c r="K20" i="115"/>
  <c r="J20" i="115"/>
  <c r="I20" i="115"/>
  <c r="H20" i="115"/>
  <c r="G20" i="115"/>
  <c r="R16" i="115"/>
  <c r="Q16" i="115"/>
  <c r="P16" i="115"/>
  <c r="O16" i="115"/>
  <c r="N16" i="115"/>
  <c r="M16" i="115"/>
  <c r="L16" i="115"/>
  <c r="K16" i="115"/>
  <c r="J16" i="115"/>
  <c r="I16" i="115"/>
  <c r="H16" i="115"/>
  <c r="G16" i="115"/>
  <c r="R15" i="115"/>
  <c r="Q15" i="115"/>
  <c r="P15" i="115"/>
  <c r="O15" i="115"/>
  <c r="N15" i="115"/>
  <c r="M15" i="115"/>
  <c r="L15" i="115"/>
  <c r="K15" i="115"/>
  <c r="J15" i="115"/>
  <c r="I15" i="115"/>
  <c r="H15" i="115"/>
  <c r="G15" i="115"/>
  <c r="R14" i="115"/>
  <c r="Q14" i="115"/>
  <c r="P14" i="115"/>
  <c r="O14" i="115"/>
  <c r="N14" i="115"/>
  <c r="M14" i="115"/>
  <c r="L14" i="115"/>
  <c r="K14" i="115"/>
  <c r="J14" i="115"/>
  <c r="I14" i="115"/>
  <c r="H14" i="115"/>
  <c r="G14" i="115"/>
  <c r="R13" i="115"/>
  <c r="Q13" i="115"/>
  <c r="P13" i="115"/>
  <c r="O13" i="115"/>
  <c r="N13" i="115"/>
  <c r="M13" i="115"/>
  <c r="L13" i="115"/>
  <c r="K13" i="115"/>
  <c r="J13" i="115"/>
  <c r="I13" i="115"/>
  <c r="H13" i="115"/>
  <c r="G13" i="115"/>
  <c r="R12" i="115"/>
  <c r="Q12" i="115"/>
  <c r="P12" i="115"/>
  <c r="O12" i="115"/>
  <c r="N12" i="115"/>
  <c r="M12" i="115"/>
  <c r="L12" i="115"/>
  <c r="K12" i="115"/>
  <c r="J12" i="115"/>
  <c r="I12" i="115"/>
  <c r="H12" i="115"/>
  <c r="G12" i="115"/>
  <c r="R11" i="115"/>
  <c r="Q11" i="115"/>
  <c r="P11" i="115"/>
  <c r="O11" i="115"/>
  <c r="N11" i="115"/>
  <c r="M11" i="115"/>
  <c r="L11" i="115"/>
  <c r="K11" i="115"/>
  <c r="J11" i="115"/>
  <c r="I11" i="115"/>
  <c r="H11" i="115"/>
  <c r="G11" i="115"/>
  <c r="N14" i="116"/>
  <c r="M14" i="116"/>
  <c r="L14" i="116"/>
  <c r="K14" i="116"/>
  <c r="J14" i="116"/>
  <c r="I14" i="116"/>
  <c r="H14" i="116"/>
  <c r="G14" i="116"/>
  <c r="F14" i="116"/>
  <c r="E14" i="116"/>
  <c r="D14" i="116"/>
  <c r="N13" i="116"/>
  <c r="M13" i="116"/>
  <c r="L13" i="116"/>
  <c r="K13" i="116"/>
  <c r="J13" i="116"/>
  <c r="I13" i="116"/>
  <c r="H13" i="116"/>
  <c r="G13" i="116"/>
  <c r="F13" i="116"/>
  <c r="E13" i="116"/>
  <c r="D13" i="116"/>
  <c r="N12" i="116"/>
  <c r="M12" i="116"/>
  <c r="L12" i="116"/>
  <c r="K12" i="116"/>
  <c r="J12" i="116"/>
  <c r="I12" i="116"/>
  <c r="H12" i="116"/>
  <c r="G12" i="116"/>
  <c r="F12" i="116"/>
  <c r="E12" i="116"/>
  <c r="D12" i="116"/>
  <c r="N10" i="116"/>
  <c r="M10" i="116"/>
  <c r="L10" i="116"/>
  <c r="K10" i="116"/>
  <c r="J10" i="116"/>
  <c r="I10" i="116"/>
  <c r="H10" i="116"/>
  <c r="G10" i="116"/>
  <c r="F10" i="116"/>
  <c r="E10" i="116"/>
  <c r="D10" i="116"/>
  <c r="N9" i="116"/>
  <c r="M9" i="116"/>
  <c r="L9" i="116"/>
  <c r="K9" i="116"/>
  <c r="J9" i="116"/>
  <c r="I9" i="116"/>
  <c r="H9" i="116"/>
  <c r="G9" i="116"/>
  <c r="F9" i="116"/>
  <c r="E9" i="116"/>
  <c r="D9" i="116"/>
  <c r="N8" i="116"/>
  <c r="M8" i="116"/>
  <c r="L8" i="116"/>
  <c r="K8" i="116"/>
  <c r="J8" i="116"/>
  <c r="I8" i="116"/>
  <c r="H8" i="116"/>
  <c r="G8" i="116"/>
  <c r="F8" i="116"/>
  <c r="E8" i="116"/>
  <c r="D8" i="116"/>
  <c r="I88" i="117"/>
  <c r="F88" i="117"/>
  <c r="F87" i="117"/>
  <c r="D87" i="117"/>
  <c r="F86" i="117"/>
  <c r="D86" i="117"/>
  <c r="I83" i="117"/>
  <c r="I82" i="117"/>
  <c r="O79" i="117"/>
  <c r="D79" i="117"/>
  <c r="O78" i="117"/>
  <c r="N78" i="117"/>
  <c r="F78" i="117"/>
  <c r="D78" i="117"/>
  <c r="O77" i="117"/>
  <c r="N77" i="117"/>
  <c r="O76" i="117"/>
  <c r="N76" i="117"/>
  <c r="O75" i="117"/>
  <c r="N75" i="117"/>
  <c r="O74" i="117"/>
  <c r="N74" i="117"/>
  <c r="N73" i="117"/>
  <c r="I70" i="117"/>
  <c r="F70" i="117"/>
  <c r="F69" i="117"/>
  <c r="D69" i="117"/>
  <c r="F68" i="117"/>
  <c r="D68" i="117"/>
  <c r="O67" i="117"/>
  <c r="T66" i="117"/>
  <c r="O66" i="117"/>
  <c r="T65" i="117"/>
  <c r="O65" i="117"/>
  <c r="I65" i="117"/>
  <c r="T64" i="117"/>
  <c r="O64" i="117"/>
  <c r="I64" i="117"/>
  <c r="T63" i="117"/>
  <c r="O63" i="117"/>
  <c r="T62" i="117"/>
  <c r="T61" i="117"/>
  <c r="T60" i="117"/>
  <c r="O60" i="117"/>
  <c r="T58" i="117"/>
  <c r="I58" i="117"/>
  <c r="F58" i="117"/>
  <c r="T57" i="117"/>
  <c r="F57" i="117"/>
  <c r="D57" i="117"/>
  <c r="T56" i="117"/>
  <c r="O56" i="117"/>
  <c r="F56" i="117"/>
  <c r="D56" i="117"/>
  <c r="T55" i="117"/>
  <c r="T54" i="117"/>
  <c r="O54" i="117"/>
  <c r="T53" i="117"/>
  <c r="O53" i="117"/>
  <c r="I53" i="117"/>
  <c r="T52" i="117"/>
  <c r="O52" i="117"/>
  <c r="I52" i="117"/>
  <c r="O49" i="117"/>
  <c r="E49" i="117"/>
  <c r="T48" i="117"/>
  <c r="O48" i="117"/>
  <c r="J48" i="117"/>
  <c r="E48" i="117"/>
  <c r="O47" i="117"/>
  <c r="E47" i="117"/>
  <c r="O46" i="117"/>
  <c r="E46" i="117"/>
  <c r="O45" i="117"/>
  <c r="E45" i="117"/>
  <c r="T44" i="117"/>
  <c r="J44" i="117"/>
  <c r="O42" i="117"/>
  <c r="E42" i="117"/>
  <c r="O41" i="117"/>
  <c r="E41" i="117"/>
  <c r="T40" i="117"/>
  <c r="J40" i="117"/>
  <c r="T39" i="117"/>
  <c r="J39" i="117"/>
  <c r="E39" i="117"/>
  <c r="T38" i="117"/>
  <c r="O38" i="117"/>
  <c r="J38" i="117"/>
  <c r="E38" i="117"/>
  <c r="T37" i="117"/>
  <c r="J37" i="117"/>
  <c r="T36" i="117"/>
  <c r="O36" i="117"/>
  <c r="J36" i="117"/>
  <c r="T35" i="117"/>
  <c r="O35" i="117"/>
  <c r="J35" i="117"/>
  <c r="T34" i="117"/>
  <c r="O34" i="117"/>
  <c r="J34" i="117"/>
  <c r="S31" i="117"/>
  <c r="P31" i="117"/>
  <c r="J31" i="117"/>
  <c r="G31" i="117"/>
  <c r="P30" i="117"/>
  <c r="N30" i="117"/>
  <c r="G30" i="117"/>
  <c r="E30" i="117"/>
  <c r="P29" i="117"/>
  <c r="N29" i="117"/>
  <c r="G29" i="117"/>
  <c r="E29" i="117"/>
  <c r="S26" i="117"/>
  <c r="J26" i="117"/>
  <c r="S25" i="117"/>
  <c r="J25" i="117"/>
  <c r="S22" i="117"/>
  <c r="P22" i="117"/>
  <c r="J22" i="117"/>
  <c r="G22" i="117"/>
  <c r="P21" i="117"/>
  <c r="N21" i="117"/>
  <c r="G21" i="117"/>
  <c r="E21" i="117"/>
  <c r="P20" i="117"/>
  <c r="N20" i="117"/>
  <c r="G20" i="117"/>
  <c r="E20" i="117"/>
  <c r="S17" i="117"/>
  <c r="J17" i="117"/>
  <c r="S16" i="117"/>
  <c r="J16" i="117"/>
  <c r="S13" i="117"/>
  <c r="P13" i="117"/>
  <c r="J13" i="117"/>
  <c r="G13" i="117"/>
  <c r="P12" i="117"/>
  <c r="N12" i="117"/>
  <c r="G12" i="117"/>
  <c r="E12" i="117"/>
  <c r="P11" i="117"/>
  <c r="N11" i="117"/>
  <c r="G11" i="117"/>
  <c r="E11" i="117"/>
  <c r="S8" i="117"/>
  <c r="J8" i="117"/>
  <c r="S7" i="117"/>
  <c r="J7" i="117"/>
  <c r="C43" i="118"/>
  <c r="C39" i="118"/>
  <c r="C37" i="118"/>
  <c r="C35" i="118"/>
  <c r="C33" i="118"/>
  <c r="C32" i="118"/>
  <c r="C30" i="118"/>
  <c r="C28" i="118"/>
  <c r="C24" i="118"/>
  <c r="C22" i="118"/>
  <c r="C43" i="119"/>
  <c r="C39" i="119"/>
  <c r="C37" i="119"/>
  <c r="C35" i="119"/>
  <c r="C33" i="119"/>
  <c r="C32" i="119"/>
  <c r="C30" i="119"/>
  <c r="C28" i="119"/>
  <c r="C24" i="119"/>
  <c r="C22" i="119"/>
  <c r="C36" i="120"/>
  <c r="C32" i="120"/>
  <c r="C30" i="120"/>
  <c r="C28" i="120"/>
  <c r="C26" i="120"/>
  <c r="C25" i="120"/>
  <c r="C23" i="120"/>
  <c r="C21" i="120"/>
  <c r="C17" i="120"/>
  <c r="B6" i="121"/>
  <c r="D51" i="122"/>
  <c r="D50" i="122"/>
  <c r="D48" i="122"/>
  <c r="D46" i="122"/>
  <c r="E42" i="122"/>
  <c r="E40" i="122"/>
  <c r="E37" i="122"/>
  <c r="E34" i="122"/>
  <c r="E31" i="122"/>
  <c r="E28" i="122"/>
  <c r="E25" i="122"/>
  <c r="E24" i="122"/>
  <c r="D19" i="122"/>
  <c r="D10" i="122"/>
  <c r="E27" i="124"/>
  <c r="E26" i="124"/>
  <c r="E25" i="124"/>
  <c r="E24" i="124"/>
  <c r="E23" i="124"/>
  <c r="E22" i="124"/>
  <c r="E21" i="124"/>
  <c r="E20" i="124"/>
  <c r="E19" i="124"/>
  <c r="E18" i="124"/>
  <c r="E17" i="124"/>
  <c r="L18" i="125"/>
  <c r="L14" i="125"/>
  <c r="L4" i="125"/>
  <c r="H363" i="129"/>
  <c r="C363" i="129"/>
  <c r="A363" i="129"/>
  <c r="H362" i="129"/>
  <c r="G362" i="129"/>
  <c r="C362" i="129"/>
  <c r="A362" i="129"/>
  <c r="H361" i="129"/>
  <c r="G361" i="129"/>
  <c r="C361" i="129"/>
  <c r="A361" i="129"/>
  <c r="H360" i="129"/>
  <c r="G360" i="129"/>
  <c r="C360" i="129"/>
  <c r="A360" i="129"/>
  <c r="H359" i="129"/>
  <c r="G359" i="129"/>
  <c r="C359" i="129"/>
  <c r="A359" i="129"/>
  <c r="H358" i="129"/>
  <c r="G358" i="129"/>
  <c r="C358" i="129"/>
  <c r="A358" i="129"/>
  <c r="H357" i="129"/>
  <c r="G357" i="129"/>
  <c r="C357" i="129"/>
  <c r="A357" i="129"/>
  <c r="H356" i="129"/>
  <c r="G356" i="129"/>
  <c r="C356" i="129"/>
  <c r="A356" i="129"/>
  <c r="H355" i="129"/>
  <c r="G355" i="129"/>
  <c r="C355" i="129"/>
  <c r="A355" i="129"/>
  <c r="H354" i="129"/>
  <c r="G354" i="129"/>
  <c r="C354" i="129"/>
  <c r="A354" i="129"/>
  <c r="H353" i="129"/>
  <c r="G353" i="129"/>
  <c r="C353" i="129"/>
  <c r="A353" i="129"/>
  <c r="H352" i="129"/>
  <c r="G352" i="129"/>
  <c r="C352" i="129"/>
  <c r="A352" i="129"/>
  <c r="H351" i="129"/>
  <c r="G351" i="129"/>
  <c r="C351" i="129"/>
  <c r="A351" i="129"/>
  <c r="H350" i="129"/>
  <c r="G350" i="129"/>
  <c r="C350" i="129"/>
  <c r="A350" i="129"/>
  <c r="H349" i="129"/>
  <c r="G349" i="129"/>
  <c r="C349" i="129"/>
  <c r="A349" i="129"/>
  <c r="H348" i="129"/>
  <c r="G348" i="129"/>
  <c r="C348" i="129"/>
  <c r="A348" i="129"/>
  <c r="H347" i="129"/>
  <c r="G347" i="129"/>
  <c r="C347" i="129"/>
  <c r="A347" i="129"/>
  <c r="H346" i="129"/>
  <c r="G346" i="129"/>
  <c r="C346" i="129"/>
  <c r="A346" i="129"/>
  <c r="H345" i="129"/>
  <c r="G345" i="129"/>
  <c r="C345" i="129"/>
  <c r="A345" i="129"/>
  <c r="H344" i="129"/>
  <c r="G344" i="129"/>
  <c r="C344" i="129"/>
  <c r="A344" i="129"/>
  <c r="H343" i="129"/>
  <c r="G343" i="129"/>
  <c r="C343" i="129"/>
  <c r="A343" i="129"/>
  <c r="H342" i="129"/>
  <c r="G342" i="129"/>
  <c r="C342" i="129"/>
  <c r="A342" i="129"/>
  <c r="H341" i="129"/>
  <c r="G341" i="129"/>
  <c r="C341" i="129"/>
  <c r="A341" i="129"/>
  <c r="H340" i="129"/>
  <c r="G340" i="129"/>
  <c r="C340" i="129"/>
  <c r="A340" i="129"/>
  <c r="H339" i="129"/>
  <c r="G339" i="129"/>
  <c r="C339" i="129"/>
  <c r="A339" i="129"/>
  <c r="H338" i="129"/>
  <c r="G338" i="129"/>
  <c r="C338" i="129"/>
  <c r="A338" i="129"/>
  <c r="H337" i="129"/>
  <c r="G337" i="129"/>
  <c r="C337" i="129"/>
  <c r="A337" i="129"/>
  <c r="H336" i="129"/>
  <c r="G336" i="129"/>
  <c r="C336" i="129"/>
  <c r="A336" i="129"/>
  <c r="H335" i="129"/>
  <c r="G335" i="129"/>
  <c r="C335" i="129"/>
  <c r="A335" i="129"/>
  <c r="H334" i="129"/>
  <c r="G334" i="129"/>
  <c r="C334" i="129"/>
  <c r="A334" i="129"/>
  <c r="H333" i="129"/>
  <c r="G333" i="129"/>
  <c r="C333" i="129"/>
  <c r="A333" i="129"/>
  <c r="H332" i="129"/>
  <c r="G332" i="129"/>
  <c r="C332" i="129"/>
  <c r="A332" i="129"/>
  <c r="H331" i="129"/>
  <c r="G331" i="129"/>
  <c r="C331" i="129"/>
  <c r="A331" i="129"/>
  <c r="H330" i="129"/>
  <c r="G330" i="129"/>
  <c r="C330" i="129"/>
  <c r="A330" i="129"/>
  <c r="H329" i="129"/>
  <c r="G329" i="129"/>
  <c r="C329" i="129"/>
  <c r="A329" i="129"/>
  <c r="H328" i="129"/>
  <c r="G328" i="129"/>
  <c r="C328" i="129"/>
  <c r="A328" i="129"/>
  <c r="H327" i="129"/>
  <c r="G327" i="129"/>
  <c r="C327" i="129"/>
  <c r="A327" i="129"/>
  <c r="H326" i="129"/>
  <c r="G326" i="129"/>
  <c r="C326" i="129"/>
  <c r="A326" i="129"/>
  <c r="H325" i="129"/>
  <c r="G325" i="129"/>
  <c r="C325" i="129"/>
  <c r="A325" i="129"/>
  <c r="H324" i="129"/>
  <c r="G324" i="129"/>
  <c r="C324" i="129"/>
  <c r="A324" i="129"/>
  <c r="H323" i="129"/>
  <c r="G323" i="129"/>
  <c r="C323" i="129"/>
  <c r="A323" i="129"/>
  <c r="H322" i="129"/>
  <c r="G322" i="129"/>
  <c r="C322" i="129"/>
  <c r="A322" i="129"/>
  <c r="H321" i="129"/>
  <c r="G321" i="129"/>
  <c r="C321" i="129"/>
  <c r="A321" i="129"/>
  <c r="H320" i="129"/>
  <c r="G320" i="129"/>
  <c r="C320" i="129"/>
  <c r="A320" i="129"/>
  <c r="H319" i="129"/>
  <c r="G319" i="129"/>
  <c r="C319" i="129"/>
  <c r="A319" i="129"/>
  <c r="H318" i="129"/>
  <c r="G318" i="129"/>
  <c r="C318" i="129"/>
  <c r="A318" i="129"/>
  <c r="H317" i="129"/>
  <c r="G317" i="129"/>
  <c r="C317" i="129"/>
  <c r="A317" i="129"/>
  <c r="H316" i="129"/>
  <c r="G316" i="129"/>
  <c r="C316" i="129"/>
  <c r="A316" i="129"/>
  <c r="H315" i="129"/>
  <c r="G315" i="129"/>
  <c r="C315" i="129"/>
  <c r="A315" i="129"/>
  <c r="H314" i="129"/>
  <c r="G314" i="129"/>
  <c r="C314" i="129"/>
  <c r="A314" i="129"/>
  <c r="H313" i="129"/>
  <c r="G313" i="129"/>
  <c r="C313" i="129"/>
  <c r="A313" i="129"/>
  <c r="H312" i="129"/>
  <c r="G312" i="129"/>
  <c r="C312" i="129"/>
  <c r="A312" i="129"/>
  <c r="H311" i="129"/>
  <c r="G311" i="129"/>
  <c r="C311" i="129"/>
  <c r="A311" i="129"/>
  <c r="H310" i="129"/>
  <c r="G310" i="129"/>
  <c r="C310" i="129"/>
  <c r="A310" i="129"/>
  <c r="H309" i="129"/>
  <c r="G309" i="129"/>
  <c r="C309" i="129"/>
  <c r="A309" i="129"/>
  <c r="H308" i="129"/>
  <c r="G308" i="129"/>
  <c r="C308" i="129"/>
  <c r="A308" i="129"/>
  <c r="H307" i="129"/>
  <c r="G307" i="129"/>
  <c r="C307" i="129"/>
  <c r="A307" i="129"/>
  <c r="H306" i="129"/>
  <c r="G306" i="129"/>
  <c r="C306" i="129"/>
  <c r="A306" i="129"/>
  <c r="H305" i="129"/>
  <c r="G305" i="129"/>
  <c r="C305" i="129"/>
  <c r="A305" i="129"/>
  <c r="H304" i="129"/>
  <c r="G304" i="129"/>
  <c r="C304" i="129"/>
  <c r="A304" i="129"/>
  <c r="H303" i="129"/>
  <c r="G303" i="129"/>
  <c r="C303" i="129"/>
  <c r="A303" i="129"/>
  <c r="H302" i="129"/>
  <c r="G302" i="129"/>
  <c r="C302" i="129"/>
  <c r="A302" i="129"/>
  <c r="H301" i="129"/>
  <c r="G301" i="129"/>
  <c r="C301" i="129"/>
  <c r="A301" i="129"/>
  <c r="H300" i="129"/>
  <c r="G300" i="129"/>
  <c r="C300" i="129"/>
  <c r="A300" i="129"/>
  <c r="H299" i="129"/>
  <c r="G299" i="129"/>
  <c r="C299" i="129"/>
  <c r="A299" i="129"/>
  <c r="H298" i="129"/>
  <c r="G298" i="129"/>
  <c r="C298" i="129"/>
  <c r="A298" i="129"/>
  <c r="H297" i="129"/>
  <c r="G297" i="129"/>
  <c r="C297" i="129"/>
  <c r="A297" i="129"/>
  <c r="H296" i="129"/>
  <c r="G296" i="129"/>
  <c r="C296" i="129"/>
  <c r="A296" i="129"/>
  <c r="H295" i="129"/>
  <c r="G295" i="129"/>
  <c r="C295" i="129"/>
  <c r="A295" i="129"/>
  <c r="H294" i="129"/>
  <c r="G294" i="129"/>
  <c r="C294" i="129"/>
  <c r="A294" i="129"/>
  <c r="H293" i="129"/>
  <c r="G293" i="129"/>
  <c r="C293" i="129"/>
  <c r="A293" i="129"/>
  <c r="H292" i="129"/>
  <c r="G292" i="129"/>
  <c r="C292" i="129"/>
  <c r="A292" i="129"/>
  <c r="H291" i="129"/>
  <c r="G291" i="129"/>
  <c r="C291" i="129"/>
  <c r="A291" i="129"/>
  <c r="H290" i="129"/>
  <c r="G290" i="129"/>
  <c r="C290" i="129"/>
  <c r="A290" i="129"/>
  <c r="H289" i="129"/>
  <c r="G289" i="129"/>
  <c r="C289" i="129"/>
  <c r="A289" i="129"/>
  <c r="H288" i="129"/>
  <c r="G288" i="129"/>
  <c r="C288" i="129"/>
  <c r="A288" i="129"/>
  <c r="H287" i="129"/>
  <c r="G287" i="129"/>
  <c r="C287" i="129"/>
  <c r="A287" i="129"/>
  <c r="H286" i="129"/>
  <c r="G286" i="129"/>
  <c r="C286" i="129"/>
  <c r="A286" i="129"/>
  <c r="H285" i="129"/>
  <c r="G285" i="129"/>
  <c r="C285" i="129"/>
  <c r="A285" i="129"/>
  <c r="H284" i="129"/>
  <c r="G284" i="129"/>
  <c r="C284" i="129"/>
  <c r="A284" i="129"/>
  <c r="H283" i="129"/>
  <c r="G283" i="129"/>
  <c r="C283" i="129"/>
  <c r="A283" i="129"/>
  <c r="H282" i="129"/>
  <c r="G282" i="129"/>
  <c r="C282" i="129"/>
  <c r="A282" i="129"/>
  <c r="H281" i="129"/>
  <c r="G281" i="129"/>
  <c r="C281" i="129"/>
  <c r="A281" i="129"/>
  <c r="H280" i="129"/>
  <c r="G280" i="129"/>
  <c r="C280" i="129"/>
  <c r="A280" i="129"/>
  <c r="H279" i="129"/>
  <c r="G279" i="129"/>
  <c r="C279" i="129"/>
  <c r="A279" i="129"/>
  <c r="H278" i="129"/>
  <c r="G278" i="129"/>
  <c r="C278" i="129"/>
  <c r="A278" i="129"/>
  <c r="H277" i="129"/>
  <c r="G277" i="129"/>
  <c r="C277" i="129"/>
  <c r="A277" i="129"/>
  <c r="H276" i="129"/>
  <c r="G276" i="129"/>
  <c r="C276" i="129"/>
  <c r="A276" i="129"/>
  <c r="H275" i="129"/>
  <c r="G275" i="129"/>
  <c r="C275" i="129"/>
  <c r="A275" i="129"/>
  <c r="H274" i="129"/>
  <c r="G274" i="129"/>
  <c r="C274" i="129"/>
  <c r="A274" i="129"/>
  <c r="H273" i="129"/>
  <c r="G273" i="129"/>
  <c r="C273" i="129"/>
  <c r="A273" i="129"/>
  <c r="H272" i="129"/>
  <c r="G272" i="129"/>
  <c r="C272" i="129"/>
  <c r="A272" i="129"/>
  <c r="H271" i="129"/>
  <c r="G271" i="129"/>
  <c r="C271" i="129"/>
  <c r="A271" i="129"/>
  <c r="H270" i="129"/>
  <c r="G270" i="129"/>
  <c r="C270" i="129"/>
  <c r="A270" i="129"/>
  <c r="H269" i="129"/>
  <c r="G269" i="129"/>
  <c r="C269" i="129"/>
  <c r="A269" i="129"/>
  <c r="H268" i="129"/>
  <c r="G268" i="129"/>
  <c r="C268" i="129"/>
  <c r="A268" i="129"/>
  <c r="H267" i="129"/>
  <c r="G267" i="129"/>
  <c r="C267" i="129"/>
  <c r="A267" i="129"/>
  <c r="H266" i="129"/>
  <c r="G266" i="129"/>
  <c r="C266" i="129"/>
  <c r="A266" i="129"/>
  <c r="H265" i="129"/>
  <c r="G265" i="129"/>
  <c r="C265" i="129"/>
  <c r="A265" i="129"/>
  <c r="H264" i="129"/>
  <c r="G264" i="129"/>
  <c r="C264" i="129"/>
  <c r="A264" i="129"/>
  <c r="H263" i="129"/>
  <c r="G263" i="129"/>
  <c r="C263" i="129"/>
  <c r="A263" i="129"/>
  <c r="H262" i="129"/>
  <c r="G262" i="129"/>
  <c r="C262" i="129"/>
  <c r="A262" i="129"/>
  <c r="H261" i="129"/>
  <c r="G261" i="129"/>
  <c r="C261" i="129"/>
  <c r="A261" i="129"/>
  <c r="H260" i="129"/>
  <c r="G260" i="129"/>
  <c r="C260" i="129"/>
  <c r="A260" i="129"/>
  <c r="H259" i="129"/>
  <c r="G259" i="129"/>
  <c r="C259" i="129"/>
  <c r="A259" i="129"/>
  <c r="H258" i="129"/>
  <c r="G258" i="129"/>
  <c r="C258" i="129"/>
  <c r="A258" i="129"/>
  <c r="H257" i="129"/>
  <c r="G257" i="129"/>
  <c r="C257" i="129"/>
  <c r="A257" i="129"/>
  <c r="H256" i="129"/>
  <c r="G256" i="129"/>
  <c r="C256" i="129"/>
  <c r="A256" i="129"/>
  <c r="H255" i="129"/>
  <c r="G255" i="129"/>
  <c r="C255" i="129"/>
  <c r="A255" i="129"/>
  <c r="H254" i="129"/>
  <c r="G254" i="129"/>
  <c r="C254" i="129"/>
  <c r="A254" i="129"/>
  <c r="H253" i="129"/>
  <c r="G253" i="129"/>
  <c r="C253" i="129"/>
  <c r="A253" i="129"/>
  <c r="H252" i="129"/>
  <c r="G252" i="129"/>
  <c r="C252" i="129"/>
  <c r="A252" i="129"/>
  <c r="H251" i="129"/>
  <c r="G251" i="129"/>
  <c r="C251" i="129"/>
  <c r="A251" i="129"/>
  <c r="H250" i="129"/>
  <c r="G250" i="129"/>
  <c r="C250" i="129"/>
  <c r="A250" i="129"/>
  <c r="H249" i="129"/>
  <c r="G249" i="129"/>
  <c r="C249" i="129"/>
  <c r="A249" i="129"/>
  <c r="H248" i="129"/>
  <c r="G248" i="129"/>
  <c r="C248" i="129"/>
  <c r="A248" i="129"/>
  <c r="H247" i="129"/>
  <c r="G247" i="129"/>
  <c r="C247" i="129"/>
  <c r="A247" i="129"/>
  <c r="H246" i="129"/>
  <c r="G246" i="129"/>
  <c r="C246" i="129"/>
  <c r="A246" i="129"/>
  <c r="H245" i="129"/>
  <c r="G245" i="129"/>
  <c r="C245" i="129"/>
  <c r="A245" i="129"/>
  <c r="H244" i="129"/>
  <c r="G244" i="129"/>
  <c r="C244" i="129"/>
  <c r="A244" i="129"/>
  <c r="H243" i="129"/>
  <c r="G243" i="129"/>
  <c r="C243" i="129"/>
  <c r="A243" i="129"/>
  <c r="H242" i="129"/>
  <c r="G242" i="129"/>
  <c r="C242" i="129"/>
  <c r="A242" i="129"/>
  <c r="H241" i="129"/>
  <c r="G241" i="129"/>
  <c r="C241" i="129"/>
  <c r="A241" i="129"/>
  <c r="H240" i="129"/>
  <c r="G240" i="129"/>
  <c r="C240" i="129"/>
  <c r="A240" i="129"/>
  <c r="H239" i="129"/>
  <c r="G239" i="129"/>
  <c r="C239" i="129"/>
  <c r="A239" i="129"/>
  <c r="H238" i="129"/>
  <c r="G238" i="129"/>
  <c r="C238" i="129"/>
  <c r="A238" i="129"/>
  <c r="H237" i="129"/>
  <c r="G237" i="129"/>
  <c r="C237" i="129"/>
  <c r="A237" i="129"/>
  <c r="H236" i="129"/>
  <c r="G236" i="129"/>
  <c r="C236" i="129"/>
  <c r="A236" i="129"/>
  <c r="H235" i="129"/>
  <c r="G235" i="129"/>
  <c r="C235" i="129"/>
  <c r="A235" i="129"/>
  <c r="H234" i="129"/>
  <c r="G234" i="129"/>
  <c r="C234" i="129"/>
  <c r="A234" i="129"/>
  <c r="H233" i="129"/>
  <c r="G233" i="129"/>
  <c r="C233" i="129"/>
  <c r="A233" i="129"/>
  <c r="H232" i="129"/>
  <c r="G232" i="129"/>
  <c r="C232" i="129"/>
  <c r="A232" i="129"/>
  <c r="H231" i="129"/>
  <c r="G231" i="129"/>
  <c r="C231" i="129"/>
  <c r="A231" i="129"/>
  <c r="H230" i="129"/>
  <c r="G230" i="129"/>
  <c r="C230" i="129"/>
  <c r="A230" i="129"/>
  <c r="H229" i="129"/>
  <c r="G229" i="129"/>
  <c r="C229" i="129"/>
  <c r="A229" i="129"/>
  <c r="H228" i="129"/>
  <c r="G228" i="129"/>
  <c r="C228" i="129"/>
  <c r="A228" i="129"/>
  <c r="H227" i="129"/>
  <c r="G227" i="129"/>
  <c r="C227" i="129"/>
  <c r="A227" i="129"/>
  <c r="H226" i="129"/>
  <c r="G226" i="129"/>
  <c r="C226" i="129"/>
  <c r="A226" i="129"/>
  <c r="H225" i="129"/>
  <c r="G225" i="129"/>
  <c r="C225" i="129"/>
  <c r="A225" i="129"/>
  <c r="H224" i="129"/>
  <c r="G224" i="129"/>
  <c r="C224" i="129"/>
  <c r="A224" i="129"/>
  <c r="H223" i="129"/>
  <c r="G223" i="129"/>
  <c r="C223" i="129"/>
  <c r="A223" i="129"/>
  <c r="H222" i="129"/>
  <c r="G222" i="129"/>
  <c r="C222" i="129"/>
  <c r="A222" i="129"/>
  <c r="H221" i="129"/>
  <c r="G221" i="129"/>
  <c r="C221" i="129"/>
  <c r="A221" i="129"/>
  <c r="H220" i="129"/>
  <c r="G220" i="129"/>
  <c r="C220" i="129"/>
  <c r="A220" i="129"/>
  <c r="H219" i="129"/>
  <c r="G219" i="129"/>
  <c r="C219" i="129"/>
  <c r="A219" i="129"/>
  <c r="H218" i="129"/>
  <c r="G218" i="129"/>
  <c r="C218" i="129"/>
  <c r="A218" i="129"/>
  <c r="H217" i="129"/>
  <c r="G217" i="129"/>
  <c r="C217" i="129"/>
  <c r="A217" i="129"/>
  <c r="H216" i="129"/>
  <c r="G216" i="129"/>
  <c r="C216" i="129"/>
  <c r="A216" i="129"/>
  <c r="H215" i="129"/>
  <c r="G215" i="129"/>
  <c r="C215" i="129"/>
  <c r="A215" i="129"/>
  <c r="H214" i="129"/>
  <c r="G214" i="129"/>
  <c r="C214" i="129"/>
  <c r="A214" i="129"/>
  <c r="H213" i="129"/>
  <c r="G213" i="129"/>
  <c r="C213" i="129"/>
  <c r="A213" i="129"/>
  <c r="H212" i="129"/>
  <c r="G212" i="129"/>
  <c r="C212" i="129"/>
  <c r="A212" i="129"/>
  <c r="H211" i="129"/>
  <c r="G211" i="129"/>
  <c r="C211" i="129"/>
  <c r="A211" i="129"/>
  <c r="H210" i="129"/>
  <c r="G210" i="129"/>
  <c r="C210" i="129"/>
  <c r="A210" i="129"/>
  <c r="H209" i="129"/>
  <c r="G209" i="129"/>
  <c r="C209" i="129"/>
  <c r="A209" i="129"/>
  <c r="H208" i="129"/>
  <c r="G208" i="129"/>
  <c r="C208" i="129"/>
  <c r="A208" i="129"/>
  <c r="H207" i="129"/>
  <c r="G207" i="129"/>
  <c r="C207" i="129"/>
  <c r="A207" i="129"/>
  <c r="H206" i="129"/>
  <c r="G206" i="129"/>
  <c r="C206" i="129"/>
  <c r="A206" i="129"/>
  <c r="H205" i="129"/>
  <c r="G205" i="129"/>
  <c r="C205" i="129"/>
  <c r="A205" i="129"/>
  <c r="H204" i="129"/>
  <c r="G204" i="129"/>
  <c r="C204" i="129"/>
  <c r="A204" i="129"/>
  <c r="H203" i="129"/>
  <c r="G203" i="129"/>
  <c r="C203" i="129"/>
  <c r="A203" i="129"/>
  <c r="H202" i="129"/>
  <c r="G202" i="129"/>
  <c r="C202" i="129"/>
  <c r="A202" i="129"/>
  <c r="H201" i="129"/>
  <c r="G201" i="129"/>
  <c r="C201" i="129"/>
  <c r="A201" i="129"/>
  <c r="H200" i="129"/>
  <c r="G200" i="129"/>
  <c r="C200" i="129"/>
  <c r="A200" i="129"/>
  <c r="H199" i="129"/>
  <c r="G199" i="129"/>
  <c r="C199" i="129"/>
  <c r="A199" i="129"/>
  <c r="H198" i="129"/>
  <c r="G198" i="129"/>
  <c r="C198" i="129"/>
  <c r="A198" i="129"/>
  <c r="H197" i="129"/>
  <c r="G197" i="129"/>
  <c r="C197" i="129"/>
  <c r="A197" i="129"/>
  <c r="H196" i="129"/>
  <c r="G196" i="129"/>
  <c r="C196" i="129"/>
  <c r="A196" i="129"/>
  <c r="H195" i="129"/>
  <c r="G195" i="129"/>
  <c r="C195" i="129"/>
  <c r="A195" i="129"/>
  <c r="H194" i="129"/>
  <c r="G194" i="129"/>
  <c r="C194" i="129"/>
  <c r="A194" i="129"/>
  <c r="H193" i="129"/>
  <c r="G193" i="129"/>
  <c r="C193" i="129"/>
  <c r="A193" i="129"/>
  <c r="H192" i="129"/>
  <c r="G192" i="129"/>
  <c r="C192" i="129"/>
  <c r="A192" i="129"/>
  <c r="H191" i="129"/>
  <c r="G191" i="129"/>
  <c r="C191" i="129"/>
  <c r="A191" i="129"/>
  <c r="H190" i="129"/>
  <c r="G190" i="129"/>
  <c r="C190" i="129"/>
  <c r="A190" i="129"/>
  <c r="H189" i="129"/>
  <c r="G189" i="129"/>
  <c r="C189" i="129"/>
  <c r="A189" i="129"/>
  <c r="H188" i="129"/>
  <c r="G188" i="129"/>
  <c r="C188" i="129"/>
  <c r="A188" i="129"/>
  <c r="H187" i="129"/>
  <c r="G187" i="129"/>
  <c r="C187" i="129"/>
  <c r="A187" i="129"/>
  <c r="H186" i="129"/>
  <c r="G186" i="129"/>
  <c r="C186" i="129"/>
  <c r="A186" i="129"/>
  <c r="H185" i="129"/>
  <c r="G185" i="129"/>
  <c r="C185" i="129"/>
  <c r="A185" i="129"/>
  <c r="H184" i="129"/>
  <c r="G184" i="129"/>
  <c r="C184" i="129"/>
  <c r="A184" i="129"/>
  <c r="H183" i="129"/>
  <c r="G183" i="129"/>
  <c r="C183" i="129"/>
  <c r="A183" i="129"/>
  <c r="H182" i="129"/>
  <c r="G182" i="129"/>
  <c r="C182" i="129"/>
  <c r="A182" i="129"/>
  <c r="H181" i="129"/>
  <c r="G181" i="129"/>
  <c r="C181" i="129"/>
  <c r="A181" i="129"/>
  <c r="H180" i="129"/>
  <c r="G180" i="129"/>
  <c r="C180" i="129"/>
  <c r="A180" i="129"/>
  <c r="H179" i="129"/>
  <c r="G179" i="129"/>
  <c r="C179" i="129"/>
  <c r="A179" i="129"/>
  <c r="H178" i="129"/>
  <c r="G178" i="129"/>
  <c r="C178" i="129"/>
  <c r="A178" i="129"/>
  <c r="H177" i="129"/>
  <c r="G177" i="129"/>
  <c r="C177" i="129"/>
  <c r="A177" i="129"/>
  <c r="H176" i="129"/>
  <c r="G176" i="129"/>
  <c r="C176" i="129"/>
  <c r="A176" i="129"/>
  <c r="H175" i="129"/>
  <c r="G175" i="129"/>
  <c r="C175" i="129"/>
  <c r="A175" i="129"/>
  <c r="H174" i="129"/>
  <c r="G174" i="129"/>
  <c r="C174" i="129"/>
  <c r="A174" i="129"/>
  <c r="H173" i="129"/>
  <c r="G173" i="129"/>
  <c r="C173" i="129"/>
  <c r="A173" i="129"/>
  <c r="H172" i="129"/>
  <c r="G172" i="129"/>
  <c r="C172" i="129"/>
  <c r="A172" i="129"/>
  <c r="H171" i="129"/>
  <c r="G171" i="129"/>
  <c r="C171" i="129"/>
  <c r="A171" i="129"/>
  <c r="H170" i="129"/>
  <c r="G170" i="129"/>
  <c r="C170" i="129"/>
  <c r="A170" i="129"/>
  <c r="H169" i="129"/>
  <c r="G169" i="129"/>
  <c r="C169" i="129"/>
  <c r="A169" i="129"/>
  <c r="H168" i="129"/>
  <c r="G168" i="129"/>
  <c r="C168" i="129"/>
  <c r="A168" i="129"/>
  <c r="H167" i="129"/>
  <c r="G167" i="129"/>
  <c r="C167" i="129"/>
  <c r="A167" i="129"/>
  <c r="H166" i="129"/>
  <c r="G166" i="129"/>
  <c r="C166" i="129"/>
  <c r="A166" i="129"/>
  <c r="H165" i="129"/>
  <c r="G165" i="129"/>
  <c r="C165" i="129"/>
  <c r="A165" i="129"/>
  <c r="H164" i="129"/>
  <c r="G164" i="129"/>
  <c r="C164" i="129"/>
  <c r="A164" i="129"/>
  <c r="H163" i="129"/>
  <c r="G163" i="129"/>
  <c r="C163" i="129"/>
  <c r="A163" i="129"/>
  <c r="H162" i="129"/>
  <c r="G162" i="129"/>
  <c r="C162" i="129"/>
  <c r="A162" i="129"/>
  <c r="H161" i="129"/>
  <c r="G161" i="129"/>
  <c r="C161" i="129"/>
  <c r="A161" i="129"/>
  <c r="H160" i="129"/>
  <c r="G160" i="129"/>
  <c r="C160" i="129"/>
  <c r="A160" i="129"/>
  <c r="H159" i="129"/>
  <c r="G159" i="129"/>
  <c r="C159" i="129"/>
  <c r="A159" i="129"/>
  <c r="H158" i="129"/>
  <c r="G158" i="129"/>
  <c r="C158" i="129"/>
  <c r="A158" i="129"/>
  <c r="H157" i="129"/>
  <c r="G157" i="129"/>
  <c r="C157" i="129"/>
  <c r="A157" i="129"/>
  <c r="H156" i="129"/>
  <c r="G156" i="129"/>
  <c r="C156" i="129"/>
  <c r="A156" i="129"/>
  <c r="H155" i="129"/>
  <c r="G155" i="129"/>
  <c r="C155" i="129"/>
  <c r="A155" i="129"/>
  <c r="H154" i="129"/>
  <c r="G154" i="129"/>
  <c r="C154" i="129"/>
  <c r="A154" i="129"/>
  <c r="H153" i="129"/>
  <c r="G153" i="129"/>
  <c r="C153" i="129"/>
  <c r="A153" i="129"/>
  <c r="H152" i="129"/>
  <c r="G152" i="129"/>
  <c r="C152" i="129"/>
  <c r="A152" i="129"/>
  <c r="H151" i="129"/>
  <c r="G151" i="129"/>
  <c r="C151" i="129"/>
  <c r="A151" i="129"/>
  <c r="H150" i="129"/>
  <c r="G150" i="129"/>
  <c r="C150" i="129"/>
  <c r="A150" i="129"/>
  <c r="H149" i="129"/>
  <c r="G149" i="129"/>
  <c r="C149" i="129"/>
  <c r="A149" i="129"/>
  <c r="H148" i="129"/>
  <c r="G148" i="129"/>
  <c r="C148" i="129"/>
  <c r="A148" i="129"/>
  <c r="H147" i="129"/>
  <c r="G147" i="129"/>
  <c r="C147" i="129"/>
  <c r="A147" i="129"/>
  <c r="H146" i="129"/>
  <c r="G146" i="129"/>
  <c r="C146" i="129"/>
  <c r="A146" i="129"/>
  <c r="H145" i="129"/>
  <c r="G145" i="129"/>
  <c r="C145" i="129"/>
  <c r="A145" i="129"/>
  <c r="H144" i="129"/>
  <c r="G144" i="129"/>
  <c r="C144" i="129"/>
  <c r="A144" i="129"/>
  <c r="H143" i="129"/>
  <c r="G143" i="129"/>
  <c r="C143" i="129"/>
  <c r="A143" i="129"/>
  <c r="H142" i="129"/>
  <c r="G142" i="129"/>
  <c r="C142" i="129"/>
  <c r="A142" i="129"/>
  <c r="H141" i="129"/>
  <c r="G141" i="129"/>
  <c r="C141" i="129"/>
  <c r="A141" i="129"/>
  <c r="H140" i="129"/>
  <c r="G140" i="129"/>
  <c r="C140" i="129"/>
  <c r="A140" i="129"/>
  <c r="H139" i="129"/>
  <c r="G139" i="129"/>
  <c r="C139" i="129"/>
  <c r="A139" i="129"/>
  <c r="H138" i="129"/>
  <c r="G138" i="129"/>
  <c r="C138" i="129"/>
  <c r="A138" i="129"/>
  <c r="H137" i="129"/>
  <c r="G137" i="129"/>
  <c r="C137" i="129"/>
  <c r="A137" i="129"/>
  <c r="H136" i="129"/>
  <c r="G136" i="129"/>
  <c r="D136" i="129"/>
  <c r="C136" i="129"/>
  <c r="A136" i="129"/>
  <c r="H135" i="129"/>
  <c r="G135" i="129"/>
  <c r="D135" i="129"/>
  <c r="C135" i="129"/>
  <c r="A135" i="129"/>
  <c r="H134" i="129"/>
  <c r="G134" i="129"/>
  <c r="D134" i="129"/>
  <c r="C134" i="129"/>
  <c r="A134" i="129"/>
  <c r="H133" i="129"/>
  <c r="G133" i="129"/>
  <c r="D133" i="129"/>
  <c r="C133" i="129"/>
  <c r="A133" i="129"/>
  <c r="H132" i="129"/>
  <c r="G132" i="129"/>
  <c r="D132" i="129"/>
  <c r="C132" i="129"/>
  <c r="A132" i="129"/>
  <c r="H131" i="129"/>
  <c r="G131" i="129"/>
  <c r="D131" i="129"/>
  <c r="C131" i="129"/>
  <c r="A131" i="129"/>
  <c r="H130" i="129"/>
  <c r="G130" i="129"/>
  <c r="D130" i="129"/>
  <c r="C130" i="129"/>
  <c r="A130" i="129"/>
  <c r="H129" i="129"/>
  <c r="G129" i="129"/>
  <c r="D129" i="129"/>
  <c r="C129" i="129"/>
  <c r="A129" i="129"/>
  <c r="H128" i="129"/>
  <c r="G128" i="129"/>
  <c r="D128" i="129"/>
  <c r="C128" i="129"/>
  <c r="A128" i="129"/>
  <c r="H127" i="129"/>
  <c r="G127" i="129"/>
  <c r="D127" i="129"/>
  <c r="C127" i="129"/>
  <c r="A127" i="129"/>
  <c r="H126" i="129"/>
  <c r="G126" i="129"/>
  <c r="D126" i="129"/>
  <c r="C126" i="129"/>
  <c r="A126" i="129"/>
  <c r="H125" i="129"/>
  <c r="G125" i="129"/>
  <c r="D125" i="129"/>
  <c r="C125" i="129"/>
  <c r="A125" i="129"/>
  <c r="H124" i="129"/>
  <c r="G124" i="129"/>
  <c r="D124" i="129"/>
  <c r="C124" i="129"/>
  <c r="A124" i="129"/>
  <c r="H123" i="129"/>
  <c r="G123" i="129"/>
  <c r="D123" i="129"/>
  <c r="C123" i="129"/>
  <c r="A123" i="129"/>
  <c r="H122" i="129"/>
  <c r="G122" i="129"/>
  <c r="D122" i="129"/>
  <c r="C122" i="129"/>
  <c r="A122" i="129"/>
  <c r="H121" i="129"/>
  <c r="G121" i="129"/>
  <c r="D121" i="129"/>
  <c r="C121" i="129"/>
  <c r="A121" i="129"/>
  <c r="H120" i="129"/>
  <c r="G120" i="129"/>
  <c r="D120" i="129"/>
  <c r="C120" i="129"/>
  <c r="A120" i="129"/>
  <c r="H119" i="129"/>
  <c r="G119" i="129"/>
  <c r="D119" i="129"/>
  <c r="C119" i="129"/>
  <c r="A119" i="129"/>
  <c r="H118" i="129"/>
  <c r="G118" i="129"/>
  <c r="D118" i="129"/>
  <c r="C118" i="129"/>
  <c r="A118" i="129"/>
  <c r="H117" i="129"/>
  <c r="G117" i="129"/>
  <c r="D117" i="129"/>
  <c r="C117" i="129"/>
  <c r="A117" i="129"/>
  <c r="H116" i="129"/>
  <c r="G116" i="129"/>
  <c r="D116" i="129"/>
  <c r="C116" i="129"/>
  <c r="A116" i="129"/>
  <c r="H115" i="129"/>
  <c r="G115" i="129"/>
  <c r="D115" i="129"/>
  <c r="C115" i="129"/>
  <c r="A115" i="129"/>
  <c r="H114" i="129"/>
  <c r="G114" i="129"/>
  <c r="D114" i="129"/>
  <c r="C114" i="129"/>
  <c r="A114" i="129"/>
  <c r="H113" i="129"/>
  <c r="G113" i="129"/>
  <c r="D113" i="129"/>
  <c r="C113" i="129"/>
  <c r="A113" i="129"/>
  <c r="H112" i="129"/>
  <c r="G112" i="129"/>
  <c r="D112" i="129"/>
  <c r="C112" i="129"/>
  <c r="A112" i="129"/>
  <c r="H111" i="129"/>
  <c r="G111" i="129"/>
  <c r="D111" i="129"/>
  <c r="C111" i="129"/>
  <c r="A111" i="129"/>
  <c r="H110" i="129"/>
  <c r="G110" i="129"/>
  <c r="D110" i="129"/>
  <c r="C110" i="129"/>
  <c r="A110" i="129"/>
  <c r="H109" i="129"/>
  <c r="G109" i="129"/>
  <c r="D109" i="129"/>
  <c r="C109" i="129"/>
  <c r="A109" i="129"/>
  <c r="H108" i="129"/>
  <c r="G108" i="129"/>
  <c r="D108" i="129"/>
  <c r="C108" i="129"/>
  <c r="A108" i="129"/>
  <c r="H107" i="129"/>
  <c r="G107" i="129"/>
  <c r="F107" i="129"/>
  <c r="D107" i="129"/>
  <c r="C107" i="129"/>
  <c r="A107" i="129"/>
  <c r="H106" i="129"/>
  <c r="G106" i="129"/>
  <c r="F106" i="129"/>
  <c r="D106" i="129"/>
  <c r="C106" i="129"/>
  <c r="A106" i="129"/>
  <c r="H105" i="129"/>
  <c r="G105" i="129"/>
  <c r="C105" i="129"/>
  <c r="A105" i="129"/>
  <c r="H104" i="129"/>
  <c r="G104" i="129"/>
  <c r="C104" i="129"/>
  <c r="A104" i="129"/>
  <c r="H103" i="129"/>
  <c r="G103" i="129"/>
  <c r="C103" i="129"/>
  <c r="A103" i="129"/>
  <c r="H102" i="129"/>
  <c r="G102" i="129"/>
  <c r="C102" i="129"/>
  <c r="A102" i="129"/>
  <c r="H101" i="129"/>
  <c r="G101" i="129"/>
  <c r="C101" i="129"/>
  <c r="A101" i="129"/>
  <c r="H100" i="129"/>
  <c r="G100" i="129"/>
  <c r="C100" i="129"/>
  <c r="A100" i="129"/>
  <c r="H99" i="129"/>
  <c r="G99" i="129"/>
  <c r="C99" i="129"/>
  <c r="A99" i="129"/>
  <c r="H98" i="129"/>
  <c r="G98" i="129"/>
  <c r="C98" i="129"/>
  <c r="A98" i="129"/>
  <c r="H97" i="129"/>
  <c r="G97" i="129"/>
  <c r="C97" i="129"/>
  <c r="A97" i="129"/>
  <c r="H96" i="129"/>
  <c r="G96" i="129"/>
  <c r="C96" i="129"/>
  <c r="A96" i="129"/>
  <c r="H95" i="129"/>
  <c r="G95" i="129"/>
  <c r="C95" i="129"/>
  <c r="A95" i="129"/>
  <c r="H94" i="129"/>
  <c r="G94" i="129"/>
  <c r="C94" i="129"/>
  <c r="A94" i="129"/>
  <c r="H93" i="129"/>
  <c r="G93" i="129"/>
  <c r="C93" i="129"/>
  <c r="A93" i="129"/>
  <c r="H92" i="129"/>
  <c r="G92" i="129"/>
  <c r="C92" i="129"/>
  <c r="A92" i="129"/>
  <c r="H91" i="129"/>
  <c r="G91" i="129"/>
  <c r="C91" i="129"/>
  <c r="A91" i="129"/>
  <c r="H90" i="129"/>
  <c r="G90" i="129"/>
  <c r="C90" i="129"/>
  <c r="A90" i="129"/>
  <c r="H89" i="129"/>
  <c r="G89" i="129"/>
  <c r="C89" i="129"/>
  <c r="A89" i="129"/>
  <c r="H88" i="129"/>
  <c r="G88" i="129"/>
  <c r="C88" i="129"/>
  <c r="A88" i="129"/>
  <c r="H87" i="129"/>
  <c r="G87" i="129"/>
  <c r="C87" i="129"/>
  <c r="A87" i="129"/>
  <c r="H86" i="129"/>
  <c r="G86" i="129"/>
  <c r="C86" i="129"/>
  <c r="A86" i="129"/>
  <c r="H85" i="129"/>
  <c r="G85" i="129"/>
  <c r="C85" i="129"/>
  <c r="A85" i="129"/>
  <c r="H84" i="129"/>
  <c r="G84" i="129"/>
  <c r="C84" i="129"/>
  <c r="A84" i="129"/>
  <c r="H83" i="129"/>
  <c r="G83" i="129"/>
  <c r="C83" i="129"/>
  <c r="A83" i="129"/>
  <c r="H82" i="129"/>
  <c r="G82" i="129"/>
  <c r="C82" i="129"/>
  <c r="A82" i="129"/>
  <c r="H81" i="129"/>
  <c r="G81" i="129"/>
  <c r="C81" i="129"/>
  <c r="A81" i="129"/>
  <c r="H80" i="129"/>
  <c r="G80" i="129"/>
  <c r="C80" i="129"/>
  <c r="A80" i="129"/>
  <c r="H79" i="129"/>
  <c r="G79" i="129"/>
  <c r="C79" i="129"/>
  <c r="A79" i="129"/>
  <c r="H78" i="129"/>
  <c r="G78" i="129"/>
  <c r="C78" i="129"/>
  <c r="A78" i="129"/>
  <c r="H77" i="129"/>
  <c r="G77" i="129"/>
  <c r="C77" i="129"/>
  <c r="A77" i="129"/>
  <c r="H76" i="129"/>
  <c r="G76" i="129"/>
  <c r="C76" i="129"/>
  <c r="A76" i="129"/>
  <c r="H75" i="129"/>
  <c r="G75" i="129"/>
  <c r="C75" i="129"/>
  <c r="A75" i="129"/>
  <c r="H74" i="129"/>
  <c r="G74" i="129"/>
  <c r="C74" i="129"/>
  <c r="A74" i="129"/>
  <c r="H73" i="129"/>
  <c r="G73" i="129"/>
  <c r="C73" i="129"/>
  <c r="A73" i="129"/>
  <c r="H72" i="129"/>
  <c r="G72" i="129"/>
  <c r="C72" i="129"/>
  <c r="A72" i="129"/>
  <c r="H71" i="129"/>
  <c r="G71" i="129"/>
  <c r="C71" i="129"/>
  <c r="A71" i="129"/>
  <c r="H70" i="129"/>
  <c r="G70" i="129"/>
  <c r="C70" i="129"/>
  <c r="A70" i="129"/>
  <c r="H69" i="129"/>
  <c r="G69" i="129"/>
  <c r="C69" i="129"/>
  <c r="A69" i="129"/>
  <c r="H68" i="129"/>
  <c r="G68" i="129"/>
  <c r="C68" i="129"/>
  <c r="A68" i="129"/>
  <c r="H67" i="129"/>
  <c r="G67" i="129"/>
  <c r="C67" i="129"/>
  <c r="A67" i="129"/>
  <c r="H66" i="129"/>
  <c r="G66" i="129"/>
  <c r="C66" i="129"/>
  <c r="A66" i="129"/>
  <c r="H65" i="129"/>
  <c r="G65" i="129"/>
  <c r="C65" i="129"/>
  <c r="A65" i="129"/>
  <c r="H64" i="129"/>
  <c r="G64" i="129"/>
  <c r="C64" i="129"/>
  <c r="A64" i="129"/>
  <c r="H63" i="129"/>
  <c r="G63" i="129"/>
  <c r="C63" i="129"/>
  <c r="A63" i="129"/>
  <c r="H62" i="129"/>
  <c r="G62" i="129"/>
  <c r="C62" i="129"/>
  <c r="A62" i="129"/>
  <c r="H61" i="129"/>
  <c r="G61" i="129"/>
  <c r="C61" i="129"/>
  <c r="A61" i="129"/>
  <c r="H60" i="129"/>
  <c r="G60" i="129"/>
  <c r="C60" i="129"/>
  <c r="A60" i="129"/>
  <c r="H59" i="129"/>
  <c r="G59" i="129"/>
  <c r="C59" i="129"/>
  <c r="A59" i="129"/>
  <c r="H58" i="129"/>
  <c r="G58" i="129"/>
  <c r="C58" i="129"/>
  <c r="A58" i="129"/>
  <c r="H57" i="129"/>
  <c r="G57" i="129"/>
  <c r="C57" i="129"/>
  <c r="A57" i="129"/>
  <c r="H56" i="129"/>
  <c r="G56" i="129"/>
  <c r="C56" i="129"/>
  <c r="A56" i="129"/>
  <c r="H55" i="129"/>
  <c r="G55" i="129"/>
  <c r="C55" i="129"/>
  <c r="A55" i="129"/>
  <c r="H54" i="129"/>
  <c r="G54" i="129"/>
  <c r="C54" i="129"/>
  <c r="A54" i="129"/>
  <c r="H53" i="129"/>
  <c r="G53" i="129"/>
  <c r="C53" i="129"/>
  <c r="A53" i="129"/>
  <c r="H52" i="129"/>
  <c r="G52" i="129"/>
  <c r="C52" i="129"/>
  <c r="A52" i="129"/>
  <c r="H51" i="129"/>
  <c r="G51" i="129"/>
  <c r="C51" i="129"/>
  <c r="A51" i="129"/>
  <c r="H50" i="129"/>
  <c r="G50" i="129"/>
  <c r="C50" i="129"/>
  <c r="A50" i="129"/>
  <c r="H49" i="129"/>
  <c r="G49" i="129"/>
  <c r="C49" i="129"/>
  <c r="A49" i="129"/>
  <c r="H48" i="129"/>
  <c r="G48" i="129"/>
  <c r="C48" i="129"/>
  <c r="A48" i="129"/>
  <c r="H47" i="129"/>
  <c r="G47" i="129"/>
  <c r="C47" i="129"/>
  <c r="A47" i="129"/>
  <c r="H46" i="129"/>
  <c r="G46" i="129"/>
  <c r="C46" i="129"/>
  <c r="A46" i="129"/>
  <c r="H45" i="129"/>
  <c r="G45" i="129"/>
  <c r="C45" i="129"/>
  <c r="A45" i="129"/>
  <c r="H44" i="129"/>
  <c r="G44" i="129"/>
  <c r="C44" i="129"/>
  <c r="A44" i="129"/>
  <c r="H43" i="129"/>
  <c r="G43" i="129"/>
  <c r="C43" i="129"/>
  <c r="A43" i="129"/>
  <c r="H42" i="129"/>
  <c r="G42" i="129"/>
  <c r="C42" i="129"/>
  <c r="A42" i="129"/>
  <c r="H41" i="129"/>
  <c r="G41" i="129"/>
  <c r="C41" i="129"/>
  <c r="A41" i="129"/>
  <c r="H40" i="129"/>
  <c r="G40" i="129"/>
  <c r="C40" i="129"/>
  <c r="A40" i="129"/>
  <c r="H39" i="129"/>
  <c r="G39" i="129"/>
  <c r="C39" i="129"/>
  <c r="A39" i="129"/>
  <c r="H38" i="129"/>
  <c r="G38" i="129"/>
  <c r="C38" i="129"/>
  <c r="A38" i="129"/>
  <c r="H37" i="129"/>
  <c r="G37" i="129"/>
  <c r="C37" i="129"/>
  <c r="A37" i="129"/>
  <c r="H36" i="129"/>
  <c r="G36" i="129"/>
  <c r="C36" i="129"/>
  <c r="A36" i="129"/>
  <c r="H35" i="129"/>
  <c r="G35" i="129"/>
  <c r="C35" i="129"/>
  <c r="A35" i="129"/>
  <c r="H34" i="129"/>
  <c r="G34" i="129"/>
  <c r="C34" i="129"/>
  <c r="A34" i="129"/>
  <c r="H33" i="129"/>
  <c r="G33" i="129"/>
  <c r="C33" i="129"/>
  <c r="A33" i="129"/>
  <c r="H32" i="129"/>
  <c r="G32" i="129"/>
  <c r="C32" i="129"/>
  <c r="A32" i="129"/>
  <c r="H31" i="129"/>
  <c r="G31" i="129"/>
  <c r="C31" i="129"/>
  <c r="A31" i="129"/>
  <c r="H30" i="129"/>
  <c r="G30" i="129"/>
  <c r="C30" i="129"/>
  <c r="A30" i="129"/>
  <c r="H29" i="129"/>
  <c r="G29" i="129"/>
  <c r="C29" i="129"/>
  <c r="A29" i="129"/>
  <c r="H28" i="129"/>
  <c r="G28" i="129"/>
  <c r="D28" i="129"/>
  <c r="C28" i="129"/>
  <c r="A28" i="129"/>
  <c r="H27" i="129"/>
  <c r="G27" i="129"/>
  <c r="D27" i="129"/>
  <c r="C27" i="129"/>
  <c r="A27" i="129"/>
  <c r="H26" i="129"/>
  <c r="G26" i="129"/>
  <c r="D26" i="129"/>
  <c r="C26" i="129"/>
  <c r="A26" i="129"/>
  <c r="H25" i="129"/>
  <c r="G25" i="129"/>
  <c r="D25" i="129"/>
  <c r="C25" i="129"/>
  <c r="A25" i="129"/>
  <c r="H24" i="129"/>
  <c r="G24" i="129"/>
  <c r="D24" i="129"/>
  <c r="C24" i="129"/>
  <c r="A24" i="129"/>
  <c r="H23" i="129"/>
  <c r="G23" i="129"/>
  <c r="D23" i="129"/>
  <c r="C23" i="129"/>
  <c r="A23" i="129"/>
  <c r="H22" i="129"/>
  <c r="G22" i="129"/>
  <c r="D22" i="129"/>
  <c r="C22" i="129"/>
  <c r="A22" i="129"/>
  <c r="H21" i="129"/>
  <c r="G21" i="129"/>
  <c r="D21" i="129"/>
  <c r="C21" i="129"/>
  <c r="A21" i="129"/>
  <c r="H20" i="129"/>
  <c r="G20" i="129"/>
  <c r="D20" i="129"/>
  <c r="C20" i="129"/>
  <c r="A20" i="129"/>
  <c r="H19" i="129"/>
  <c r="G19" i="129"/>
  <c r="D19" i="129"/>
  <c r="C19" i="129"/>
  <c r="A19" i="129"/>
  <c r="H18" i="129"/>
  <c r="G18" i="129"/>
  <c r="D18" i="129"/>
  <c r="C18" i="129"/>
  <c r="A18" i="129"/>
  <c r="H17" i="129"/>
  <c r="G17" i="129"/>
  <c r="D17" i="129"/>
  <c r="C17" i="129"/>
  <c r="A17" i="129"/>
  <c r="H16" i="129"/>
  <c r="G16" i="129"/>
  <c r="D16" i="129"/>
  <c r="C16" i="129"/>
  <c r="A16" i="129"/>
  <c r="H15" i="129"/>
  <c r="G15" i="129"/>
  <c r="D15" i="129"/>
  <c r="C15" i="129"/>
  <c r="A15" i="129"/>
  <c r="H14" i="129"/>
  <c r="G14" i="129"/>
  <c r="D14" i="129"/>
  <c r="C14" i="129"/>
  <c r="A14" i="129"/>
  <c r="H13" i="129"/>
  <c r="G13" i="129"/>
  <c r="D13" i="129"/>
  <c r="C13" i="129"/>
  <c r="A13" i="129"/>
  <c r="H12" i="129"/>
  <c r="G12" i="129"/>
  <c r="D12" i="129"/>
  <c r="C12" i="129"/>
  <c r="A12" i="129"/>
  <c r="H11" i="129"/>
  <c r="G11" i="129"/>
  <c r="D11" i="129"/>
  <c r="C11" i="129"/>
  <c r="A11" i="129"/>
  <c r="H10" i="129"/>
  <c r="G10" i="129"/>
  <c r="D10" i="129"/>
  <c r="C10" i="129"/>
  <c r="A10" i="129"/>
  <c r="H9" i="129"/>
  <c r="G9" i="129"/>
  <c r="D9" i="129"/>
  <c r="C9" i="129"/>
  <c r="A9" i="129"/>
  <c r="H8" i="129"/>
  <c r="G8" i="129"/>
  <c r="D8" i="129"/>
  <c r="C8" i="129"/>
  <c r="A8" i="129"/>
  <c r="H7" i="129"/>
  <c r="G7" i="129"/>
  <c r="D7" i="129"/>
  <c r="C7" i="129"/>
  <c r="A7" i="129"/>
  <c r="H6" i="129"/>
  <c r="G6" i="129"/>
  <c r="D6" i="129"/>
  <c r="C6" i="129"/>
  <c r="A6" i="129"/>
  <c r="H5" i="129"/>
  <c r="G5" i="129"/>
  <c r="D5" i="129"/>
  <c r="C5" i="129"/>
  <c r="A5" i="129"/>
  <c r="H4" i="129"/>
  <c r="G4" i="129"/>
  <c r="D4" i="129"/>
  <c r="C4" i="129"/>
  <c r="A4" i="129"/>
  <c r="H3" i="129"/>
  <c r="G3" i="129"/>
  <c r="D3" i="129"/>
  <c r="C3" i="129"/>
  <c r="A3" i="129"/>
  <c r="B76" i="128"/>
  <c r="B75" i="128"/>
  <c r="B74" i="128"/>
  <c r="B73" i="128"/>
  <c r="B72" i="128"/>
  <c r="B71" i="128"/>
  <c r="B70" i="128"/>
  <c r="B69" i="128"/>
  <c r="B68" i="128"/>
  <c r="B67" i="128"/>
  <c r="B66" i="128"/>
  <c r="B65" i="128"/>
  <c r="B64" i="128"/>
  <c r="B63" i="128"/>
  <c r="K62" i="128"/>
  <c r="J62" i="128"/>
  <c r="B62" i="128"/>
  <c r="K61" i="128"/>
  <c r="J61" i="128"/>
  <c r="B61" i="128"/>
  <c r="K60" i="128"/>
  <c r="J60" i="128"/>
  <c r="B60" i="128"/>
  <c r="K59" i="128"/>
  <c r="J59" i="128"/>
  <c r="B59" i="128"/>
  <c r="K58" i="128"/>
  <c r="J58" i="128"/>
  <c r="B58" i="128"/>
  <c r="K57" i="128"/>
  <c r="J57" i="128"/>
  <c r="B57" i="128"/>
  <c r="K56" i="128"/>
  <c r="J56" i="128"/>
  <c r="B56" i="128"/>
  <c r="K55" i="128"/>
  <c r="J55" i="128"/>
  <c r="B55" i="128"/>
  <c r="K54" i="128"/>
  <c r="J54" i="128"/>
  <c r="B54" i="128"/>
  <c r="K53" i="128"/>
  <c r="J53" i="128"/>
  <c r="B53" i="128"/>
  <c r="K52" i="128"/>
  <c r="J52" i="128"/>
  <c r="B52" i="128"/>
  <c r="K51" i="128"/>
  <c r="J51" i="128"/>
  <c r="B51" i="128"/>
  <c r="K50" i="128"/>
  <c r="J50" i="128"/>
  <c r="B50" i="128"/>
  <c r="K49" i="128"/>
  <c r="J49" i="128"/>
  <c r="B49" i="128"/>
  <c r="K48" i="128"/>
  <c r="J48" i="128"/>
  <c r="B48" i="128"/>
  <c r="K47" i="128"/>
  <c r="J47" i="128"/>
  <c r="B47" i="128"/>
  <c r="K46" i="128"/>
  <c r="J46" i="128"/>
  <c r="B46" i="128"/>
  <c r="K45" i="128"/>
  <c r="J45" i="128"/>
  <c r="B45" i="128"/>
  <c r="K44" i="128"/>
  <c r="J44" i="128"/>
  <c r="B44" i="128"/>
  <c r="K43" i="128"/>
  <c r="J43" i="128"/>
  <c r="B43" i="128"/>
  <c r="K42" i="128"/>
  <c r="J42" i="128"/>
  <c r="B42" i="128"/>
  <c r="K41" i="128"/>
  <c r="J41" i="128"/>
  <c r="B41" i="128"/>
  <c r="K40" i="128"/>
  <c r="J40" i="128"/>
  <c r="B40" i="128"/>
  <c r="K39" i="128"/>
  <c r="J39" i="128"/>
  <c r="B39" i="128"/>
  <c r="K38" i="128"/>
  <c r="J38" i="128"/>
  <c r="B38" i="128"/>
  <c r="K37" i="128"/>
  <c r="B37" i="128"/>
  <c r="K36" i="128"/>
  <c r="J36" i="128"/>
  <c r="B36" i="128"/>
  <c r="K35" i="128"/>
  <c r="J35" i="128"/>
  <c r="B35" i="128"/>
  <c r="K34" i="128"/>
  <c r="J34" i="128"/>
  <c r="B34" i="128"/>
  <c r="K33" i="128"/>
  <c r="J33" i="128"/>
  <c r="B33" i="128"/>
  <c r="K32" i="128"/>
  <c r="J32" i="128"/>
  <c r="B32" i="128"/>
  <c r="K31" i="128"/>
  <c r="J31" i="128"/>
  <c r="B31" i="128"/>
  <c r="K30" i="128"/>
  <c r="J30" i="128"/>
  <c r="B30" i="128"/>
  <c r="K29" i="128"/>
  <c r="J29" i="128"/>
  <c r="B29" i="128"/>
  <c r="K28" i="128"/>
  <c r="J28" i="128"/>
  <c r="B28" i="128"/>
  <c r="K27" i="128"/>
  <c r="J27" i="128"/>
  <c r="B27" i="128"/>
  <c r="K26" i="128"/>
  <c r="J26" i="128"/>
  <c r="B26" i="128"/>
  <c r="K25" i="128"/>
  <c r="J25" i="128"/>
  <c r="B25" i="128"/>
  <c r="K24" i="128"/>
  <c r="J24" i="128"/>
  <c r="B24" i="128"/>
  <c r="K23" i="128"/>
  <c r="J23" i="128"/>
  <c r="B23" i="128"/>
  <c r="K22" i="128"/>
  <c r="J22" i="128"/>
  <c r="B22" i="128"/>
  <c r="K21" i="128"/>
  <c r="J21" i="128"/>
  <c r="B21" i="128"/>
  <c r="K20" i="128"/>
  <c r="J20" i="128"/>
  <c r="B20" i="128"/>
  <c r="K19" i="128"/>
  <c r="J19" i="128"/>
  <c r="B19" i="128"/>
  <c r="K18" i="128"/>
  <c r="J18" i="128"/>
  <c r="B18" i="128"/>
  <c r="K17" i="128"/>
  <c r="J17" i="128"/>
  <c r="B17" i="128"/>
  <c r="K16" i="128"/>
  <c r="J16" i="128"/>
  <c r="B16" i="128"/>
  <c r="K15" i="128"/>
  <c r="J15" i="128"/>
  <c r="B15" i="128"/>
  <c r="K14" i="128"/>
  <c r="J14" i="128"/>
  <c r="B14" i="128"/>
  <c r="L13" i="128"/>
  <c r="K13" i="128"/>
  <c r="J13" i="128"/>
  <c r="B13" i="128"/>
  <c r="J12" i="128"/>
  <c r="B12" i="128"/>
  <c r="B11" i="128"/>
  <c r="B10" i="128"/>
  <c r="B9" i="128"/>
  <c r="B8" i="128"/>
  <c r="B7" i="128"/>
  <c r="B6" i="128"/>
  <c r="B5" i="128"/>
  <c r="B4" i="128"/>
  <c r="D362" i="127"/>
  <c r="C362" i="127"/>
  <c r="D361" i="127"/>
  <c r="C361" i="127"/>
  <c r="D360" i="127"/>
  <c r="C360" i="127"/>
  <c r="D359" i="127"/>
  <c r="C359" i="127"/>
  <c r="D358" i="127"/>
  <c r="C358" i="127"/>
  <c r="D357" i="127"/>
  <c r="C357" i="127"/>
  <c r="D356" i="127"/>
  <c r="C356" i="127"/>
  <c r="D355" i="127"/>
  <c r="C355" i="127"/>
  <c r="D354" i="127"/>
  <c r="C354" i="127"/>
  <c r="D353" i="127"/>
  <c r="C353" i="127"/>
  <c r="D352" i="127"/>
  <c r="C352" i="127"/>
  <c r="D351" i="127"/>
  <c r="C351" i="127"/>
  <c r="D350" i="127"/>
  <c r="C350" i="127"/>
  <c r="D349" i="127"/>
  <c r="C349" i="127"/>
  <c r="D348" i="127"/>
  <c r="C348" i="127"/>
  <c r="D347" i="127"/>
  <c r="C347" i="127"/>
  <c r="D346" i="127"/>
  <c r="C346" i="127"/>
  <c r="D345" i="127"/>
  <c r="C345" i="127"/>
  <c r="D344" i="127"/>
  <c r="C344" i="127"/>
  <c r="D343" i="127"/>
  <c r="C343" i="127"/>
  <c r="D342" i="127"/>
  <c r="C342" i="127"/>
  <c r="D341" i="127"/>
  <c r="C341" i="127"/>
  <c r="D340" i="127"/>
  <c r="C340" i="127"/>
  <c r="D339" i="127"/>
  <c r="C339" i="127"/>
  <c r="D338" i="127"/>
  <c r="C338" i="127"/>
  <c r="D337" i="127"/>
  <c r="C337" i="127"/>
  <c r="D336" i="127"/>
  <c r="C336" i="127"/>
  <c r="D335" i="127"/>
  <c r="C335" i="127"/>
  <c r="D334" i="127"/>
  <c r="C334" i="127"/>
  <c r="D333" i="127"/>
  <c r="C333" i="127"/>
  <c r="D332" i="127"/>
  <c r="C332" i="127"/>
  <c r="D331" i="127"/>
  <c r="C331" i="127"/>
  <c r="D330" i="127"/>
  <c r="C330" i="127"/>
  <c r="D329" i="127"/>
  <c r="C329" i="127"/>
  <c r="D328" i="127"/>
  <c r="C328" i="127"/>
  <c r="D327" i="127"/>
  <c r="C327" i="127"/>
  <c r="D326" i="127"/>
  <c r="C326" i="127"/>
  <c r="D325" i="127"/>
  <c r="C325" i="127"/>
  <c r="D324" i="127"/>
  <c r="C324" i="127"/>
  <c r="D323" i="127"/>
  <c r="C323" i="127"/>
  <c r="D322" i="127"/>
  <c r="C322" i="127"/>
  <c r="D321" i="127"/>
  <c r="C321" i="127"/>
  <c r="D320" i="127"/>
  <c r="C320" i="127"/>
  <c r="D319" i="127"/>
  <c r="C319" i="127"/>
  <c r="D318" i="127"/>
  <c r="C318" i="127"/>
  <c r="D317" i="127"/>
  <c r="C317" i="127"/>
  <c r="D316" i="127"/>
  <c r="C316" i="127"/>
  <c r="D315" i="127"/>
  <c r="C315" i="127"/>
  <c r="D314" i="127"/>
  <c r="C314" i="127"/>
  <c r="D313" i="127"/>
  <c r="C313" i="127"/>
  <c r="D312" i="127"/>
  <c r="C312" i="127"/>
  <c r="D311" i="127"/>
  <c r="C311" i="127"/>
  <c r="D310" i="127"/>
  <c r="C310" i="127"/>
  <c r="D309" i="127"/>
  <c r="C309" i="127"/>
  <c r="D308" i="127"/>
  <c r="C308" i="127"/>
  <c r="D307" i="127"/>
  <c r="C307" i="127"/>
  <c r="D306" i="127"/>
  <c r="C306" i="127"/>
  <c r="D305" i="127"/>
  <c r="C305" i="127"/>
  <c r="D304" i="127"/>
  <c r="C304" i="127"/>
  <c r="D303" i="127"/>
  <c r="C303" i="127"/>
  <c r="D302" i="127"/>
  <c r="C302" i="127"/>
  <c r="D301" i="127"/>
  <c r="C301" i="127"/>
  <c r="D300" i="127"/>
  <c r="C300" i="127"/>
  <c r="D299" i="127"/>
  <c r="C299" i="127"/>
  <c r="D298" i="127"/>
  <c r="C298" i="127"/>
  <c r="D297" i="127"/>
  <c r="C297" i="127"/>
  <c r="D296" i="127"/>
  <c r="C296" i="127"/>
  <c r="D295" i="127"/>
  <c r="C295" i="127"/>
  <c r="D294" i="127"/>
  <c r="C294" i="127"/>
  <c r="D293" i="127"/>
  <c r="C293" i="127"/>
  <c r="D292" i="127"/>
  <c r="C292" i="127"/>
  <c r="D291" i="127"/>
  <c r="C291" i="127"/>
  <c r="D290" i="127"/>
  <c r="C290" i="127"/>
  <c r="D289" i="127"/>
  <c r="C289" i="127"/>
  <c r="D288" i="127"/>
  <c r="C288" i="127"/>
  <c r="D287" i="127"/>
  <c r="C287" i="127"/>
  <c r="D286" i="127"/>
  <c r="C286" i="127"/>
  <c r="D285" i="127"/>
  <c r="C285" i="127"/>
  <c r="D284" i="127"/>
  <c r="C284" i="127"/>
  <c r="D283" i="127"/>
  <c r="C283" i="127"/>
  <c r="D282" i="127"/>
  <c r="C282" i="127"/>
  <c r="D281" i="127"/>
  <c r="C281" i="127"/>
  <c r="D280" i="127"/>
  <c r="C280" i="127"/>
  <c r="D279" i="127"/>
  <c r="C279" i="127"/>
  <c r="D278" i="127"/>
  <c r="C278" i="127"/>
  <c r="D277" i="127"/>
  <c r="C277" i="127"/>
  <c r="D276" i="127"/>
  <c r="C276" i="127"/>
  <c r="D275" i="127"/>
  <c r="C275" i="127"/>
  <c r="D274" i="127"/>
  <c r="C274" i="127"/>
  <c r="D273" i="127"/>
  <c r="C273" i="127"/>
  <c r="D272" i="127"/>
  <c r="C272" i="127"/>
  <c r="D271" i="127"/>
  <c r="C271" i="127"/>
  <c r="D270" i="127"/>
  <c r="C270" i="127"/>
  <c r="D269" i="127"/>
  <c r="C269" i="127"/>
  <c r="D268" i="127"/>
  <c r="C268" i="127"/>
  <c r="D267" i="127"/>
  <c r="C267" i="127"/>
  <c r="D266" i="127"/>
  <c r="C266" i="127"/>
  <c r="D265" i="127"/>
  <c r="C265" i="127"/>
  <c r="D264" i="127"/>
  <c r="C264" i="127"/>
  <c r="D263" i="127"/>
  <c r="C263" i="127"/>
  <c r="D262" i="127"/>
  <c r="C262" i="127"/>
  <c r="D261" i="127"/>
  <c r="C261" i="127"/>
  <c r="D260" i="127"/>
  <c r="C260" i="127"/>
  <c r="D259" i="127"/>
  <c r="C259" i="127"/>
  <c r="D258" i="127"/>
  <c r="C258" i="127"/>
  <c r="D257" i="127"/>
  <c r="C257" i="127"/>
  <c r="D256" i="127"/>
  <c r="C256" i="127"/>
  <c r="D255" i="127"/>
  <c r="C255" i="127"/>
  <c r="D254" i="127"/>
  <c r="C254" i="127"/>
  <c r="D253" i="127"/>
  <c r="C253" i="127"/>
  <c r="D252" i="127"/>
  <c r="C252" i="127"/>
  <c r="D251" i="127"/>
  <c r="C251" i="127"/>
  <c r="D250" i="127"/>
  <c r="C250" i="127"/>
  <c r="D249" i="127"/>
  <c r="C249" i="127"/>
  <c r="D248" i="127"/>
  <c r="C248" i="127"/>
  <c r="D247" i="127"/>
  <c r="C247" i="127"/>
  <c r="D246" i="127"/>
  <c r="C246" i="127"/>
  <c r="D245" i="127"/>
  <c r="C245" i="127"/>
  <c r="D244" i="127"/>
  <c r="C244" i="127"/>
  <c r="D243" i="127"/>
  <c r="C243" i="127"/>
  <c r="D242" i="127"/>
  <c r="C242" i="127"/>
  <c r="B242" i="127"/>
  <c r="D241" i="127"/>
  <c r="C241" i="127"/>
  <c r="B241" i="127"/>
  <c r="D240" i="127"/>
  <c r="C240" i="127"/>
  <c r="B240" i="127"/>
  <c r="D239" i="127"/>
  <c r="C239" i="127"/>
  <c r="B239" i="127"/>
  <c r="D238" i="127"/>
  <c r="C238" i="127"/>
  <c r="B238" i="127"/>
  <c r="D237" i="127"/>
  <c r="C237" i="127"/>
  <c r="B237" i="127"/>
  <c r="D236" i="127"/>
  <c r="C236" i="127"/>
  <c r="B236" i="127"/>
  <c r="D235" i="127"/>
  <c r="C235" i="127"/>
  <c r="B235" i="127"/>
  <c r="D234" i="127"/>
  <c r="C234" i="127"/>
  <c r="B234" i="127"/>
  <c r="D233" i="127"/>
  <c r="C233" i="127"/>
  <c r="B233" i="127"/>
  <c r="D232" i="127"/>
  <c r="C232" i="127"/>
  <c r="B232" i="127"/>
  <c r="D231" i="127"/>
  <c r="C231" i="127"/>
  <c r="B231" i="127"/>
  <c r="D230" i="127"/>
  <c r="C230" i="127"/>
  <c r="B230" i="127"/>
  <c r="D229" i="127"/>
  <c r="C229" i="127"/>
  <c r="B229" i="127"/>
  <c r="D228" i="127"/>
  <c r="C228" i="127"/>
  <c r="B228" i="127"/>
  <c r="D227" i="127"/>
  <c r="C227" i="127"/>
  <c r="B227" i="127"/>
  <c r="D226" i="127"/>
  <c r="C226" i="127"/>
  <c r="B226" i="127"/>
  <c r="D225" i="127"/>
  <c r="C225" i="127"/>
  <c r="B225" i="127"/>
  <c r="D224" i="127"/>
  <c r="C224" i="127"/>
  <c r="B224" i="127"/>
  <c r="D223" i="127"/>
  <c r="C223" i="127"/>
  <c r="B223" i="127"/>
  <c r="D222" i="127"/>
  <c r="C222" i="127"/>
  <c r="B222" i="127"/>
  <c r="D221" i="127"/>
  <c r="C221" i="127"/>
  <c r="B221" i="127"/>
  <c r="D220" i="127"/>
  <c r="C220" i="127"/>
  <c r="B220" i="127"/>
  <c r="D219" i="127"/>
  <c r="C219" i="127"/>
  <c r="B219" i="127"/>
  <c r="D218" i="127"/>
  <c r="C218" i="127"/>
  <c r="B218" i="127"/>
  <c r="D217" i="127"/>
  <c r="C217" i="127"/>
  <c r="B217" i="127"/>
  <c r="D216" i="127"/>
  <c r="C216" i="127"/>
  <c r="B216" i="127"/>
  <c r="D215" i="127"/>
  <c r="C215" i="127"/>
  <c r="B215" i="127"/>
  <c r="D214" i="127"/>
  <c r="C214" i="127"/>
  <c r="B214" i="127"/>
  <c r="D213" i="127"/>
  <c r="C213" i="127"/>
  <c r="B213" i="127"/>
  <c r="D212" i="127"/>
  <c r="C212" i="127"/>
  <c r="B212" i="127"/>
  <c r="D211" i="127"/>
  <c r="C211" i="127"/>
  <c r="B211" i="127"/>
  <c r="D210" i="127"/>
  <c r="C210" i="127"/>
  <c r="B210" i="127"/>
  <c r="D209" i="127"/>
  <c r="C209" i="127"/>
  <c r="B209" i="127"/>
  <c r="D208" i="127"/>
  <c r="C208" i="127"/>
  <c r="B208" i="127"/>
  <c r="D207" i="127"/>
  <c r="C207" i="127"/>
  <c r="B207" i="127"/>
  <c r="D206" i="127"/>
  <c r="C206" i="127"/>
  <c r="B206" i="127"/>
  <c r="D205" i="127"/>
  <c r="C205" i="127"/>
  <c r="B205" i="127"/>
  <c r="D204" i="127"/>
  <c r="C204" i="127"/>
  <c r="B204" i="127"/>
  <c r="D203" i="127"/>
  <c r="C203" i="127"/>
  <c r="B203" i="127"/>
  <c r="D202" i="127"/>
  <c r="C202" i="127"/>
  <c r="B202" i="127"/>
  <c r="D201" i="127"/>
  <c r="C201" i="127"/>
  <c r="B201" i="127"/>
  <c r="D200" i="127"/>
  <c r="C200" i="127"/>
  <c r="B200" i="127"/>
  <c r="D199" i="127"/>
  <c r="C199" i="127"/>
  <c r="B199" i="127"/>
  <c r="D198" i="127"/>
  <c r="C198" i="127"/>
  <c r="B198" i="127"/>
  <c r="D197" i="127"/>
  <c r="C197" i="127"/>
  <c r="B197" i="127"/>
  <c r="D196" i="127"/>
  <c r="C196" i="127"/>
  <c r="B196" i="127"/>
  <c r="D195" i="127"/>
  <c r="C195" i="127"/>
  <c r="B195" i="127"/>
  <c r="D194" i="127"/>
  <c r="C194" i="127"/>
  <c r="B194" i="127"/>
  <c r="D193" i="127"/>
  <c r="C193" i="127"/>
  <c r="B193" i="127"/>
  <c r="D192" i="127"/>
  <c r="C192" i="127"/>
  <c r="B192" i="127"/>
  <c r="D191" i="127"/>
  <c r="C191" i="127"/>
  <c r="B191" i="127"/>
  <c r="D190" i="127"/>
  <c r="C190" i="127"/>
  <c r="B190" i="127"/>
  <c r="D189" i="127"/>
  <c r="C189" i="127"/>
  <c r="B189" i="127"/>
  <c r="D188" i="127"/>
  <c r="C188" i="127"/>
  <c r="B188" i="127"/>
  <c r="D187" i="127"/>
  <c r="C187" i="127"/>
  <c r="B187" i="127"/>
  <c r="D186" i="127"/>
  <c r="C186" i="127"/>
  <c r="B186" i="127"/>
  <c r="D185" i="127"/>
  <c r="C185" i="127"/>
  <c r="B185" i="127"/>
  <c r="D184" i="127"/>
  <c r="C184" i="127"/>
  <c r="B184" i="127"/>
  <c r="D183" i="127"/>
  <c r="C183" i="127"/>
  <c r="B183" i="127"/>
  <c r="D182" i="127"/>
  <c r="C182" i="127"/>
  <c r="D181" i="127"/>
  <c r="C181" i="127"/>
  <c r="D180" i="127"/>
  <c r="C180" i="127"/>
  <c r="D179" i="127"/>
  <c r="C179" i="127"/>
  <c r="D178" i="127"/>
  <c r="C178" i="127"/>
  <c r="D177" i="127"/>
  <c r="C177" i="127"/>
  <c r="D176" i="127"/>
  <c r="C176" i="127"/>
  <c r="D175" i="127"/>
  <c r="C175" i="127"/>
  <c r="D174" i="127"/>
  <c r="C174" i="127"/>
  <c r="D173" i="127"/>
  <c r="C173" i="127"/>
  <c r="D172" i="127"/>
  <c r="C172" i="127"/>
  <c r="D171" i="127"/>
  <c r="C171" i="127"/>
  <c r="D170" i="127"/>
  <c r="C170" i="127"/>
  <c r="D169" i="127"/>
  <c r="C169" i="127"/>
  <c r="D168" i="127"/>
  <c r="C168" i="127"/>
  <c r="D167" i="127"/>
  <c r="C167" i="127"/>
  <c r="D166" i="127"/>
  <c r="C166" i="127"/>
  <c r="D165" i="127"/>
  <c r="C165" i="127"/>
  <c r="D164" i="127"/>
  <c r="C164" i="127"/>
  <c r="D163" i="127"/>
  <c r="C163" i="127"/>
  <c r="D162" i="127"/>
  <c r="C162" i="127"/>
  <c r="D161" i="127"/>
  <c r="C161" i="127"/>
  <c r="D160" i="127"/>
  <c r="C160" i="127"/>
  <c r="D159" i="127"/>
  <c r="C159" i="127"/>
  <c r="D158" i="127"/>
  <c r="C158" i="127"/>
  <c r="D157" i="127"/>
  <c r="C157" i="127"/>
  <c r="D156" i="127"/>
  <c r="C156" i="127"/>
  <c r="D155" i="127"/>
  <c r="C155" i="127"/>
  <c r="D154" i="127"/>
  <c r="C154" i="127"/>
  <c r="D153" i="127"/>
  <c r="C153" i="127"/>
  <c r="D152" i="127"/>
  <c r="C152" i="127"/>
  <c r="D151" i="127"/>
  <c r="C151" i="127"/>
  <c r="D150" i="127"/>
  <c r="C150" i="127"/>
  <c r="D149" i="127"/>
  <c r="C149" i="127"/>
  <c r="D148" i="127"/>
  <c r="C148" i="127"/>
  <c r="D147" i="127"/>
  <c r="C147" i="127"/>
  <c r="D146" i="127"/>
  <c r="C146" i="127"/>
  <c r="D145" i="127"/>
  <c r="C145" i="127"/>
  <c r="D144" i="127"/>
  <c r="C144" i="127"/>
  <c r="D143" i="127"/>
  <c r="C143" i="127"/>
  <c r="D142" i="127"/>
  <c r="C142" i="127"/>
  <c r="D141" i="127"/>
  <c r="C141" i="127"/>
  <c r="D140" i="127"/>
  <c r="C140" i="127"/>
  <c r="D139" i="127"/>
  <c r="C139" i="127"/>
  <c r="D138" i="127"/>
  <c r="C138" i="127"/>
  <c r="D137" i="127"/>
  <c r="C137" i="127"/>
  <c r="D136" i="127"/>
  <c r="C136" i="127"/>
  <c r="D135" i="127"/>
  <c r="C135" i="127"/>
  <c r="D134" i="127"/>
  <c r="C134" i="127"/>
  <c r="D133" i="127"/>
  <c r="C133" i="127"/>
  <c r="D132" i="127"/>
  <c r="C132" i="127"/>
  <c r="D131" i="127"/>
  <c r="C131" i="127"/>
  <c r="D130" i="127"/>
  <c r="C130" i="127"/>
  <c r="D129" i="127"/>
  <c r="C129" i="127"/>
  <c r="D128" i="127"/>
  <c r="C128" i="127"/>
  <c r="D127" i="127"/>
  <c r="C127" i="127"/>
  <c r="D126" i="127"/>
  <c r="C126" i="127"/>
  <c r="D125" i="127"/>
  <c r="C125" i="127"/>
  <c r="D124" i="127"/>
  <c r="C124" i="127"/>
  <c r="D123" i="127"/>
  <c r="C123" i="127"/>
  <c r="D122" i="127"/>
  <c r="C122" i="127"/>
  <c r="D121" i="127"/>
  <c r="C121" i="127"/>
  <c r="D120" i="127"/>
  <c r="C120" i="127"/>
  <c r="D119" i="127"/>
  <c r="C119" i="127"/>
  <c r="D118" i="127"/>
  <c r="C118" i="127"/>
  <c r="D117" i="127"/>
  <c r="C117" i="127"/>
  <c r="D116" i="127"/>
  <c r="C116" i="127"/>
  <c r="D115" i="127"/>
  <c r="C115" i="127"/>
  <c r="D114" i="127"/>
  <c r="C114" i="127"/>
  <c r="D113" i="127"/>
  <c r="C113" i="127"/>
  <c r="D112" i="127"/>
  <c r="C112" i="127"/>
  <c r="D111" i="127"/>
  <c r="C111" i="127"/>
  <c r="D110" i="127"/>
  <c r="C110" i="127"/>
  <c r="D109" i="127"/>
  <c r="C109" i="127"/>
  <c r="D108" i="127"/>
  <c r="C108" i="127"/>
  <c r="D107" i="127"/>
  <c r="C107" i="127"/>
  <c r="D106" i="127"/>
  <c r="C106" i="127"/>
  <c r="D105" i="127"/>
  <c r="C105" i="127"/>
  <c r="D104" i="127"/>
  <c r="C104" i="127"/>
  <c r="D103" i="127"/>
  <c r="C103" i="127"/>
  <c r="D102" i="127"/>
  <c r="C102" i="127"/>
  <c r="D101" i="127"/>
  <c r="C101" i="127"/>
  <c r="D100" i="127"/>
  <c r="C100" i="127"/>
  <c r="D99" i="127"/>
  <c r="C99" i="127"/>
  <c r="D98" i="127"/>
  <c r="C98" i="127"/>
  <c r="D97" i="127"/>
  <c r="C97" i="127"/>
  <c r="D96" i="127"/>
  <c r="C96" i="127"/>
  <c r="D95" i="127"/>
  <c r="C95" i="127"/>
  <c r="D94" i="127"/>
  <c r="C94" i="127"/>
  <c r="D93" i="127"/>
  <c r="C93" i="127"/>
  <c r="D92" i="127"/>
  <c r="C92" i="127"/>
  <c r="D91" i="127"/>
  <c r="C91" i="127"/>
  <c r="D90" i="127"/>
  <c r="C90" i="127"/>
  <c r="D89" i="127"/>
  <c r="C89" i="127"/>
  <c r="D88" i="127"/>
  <c r="C88" i="127"/>
  <c r="D87" i="127"/>
  <c r="C87" i="127"/>
  <c r="D86" i="127"/>
  <c r="C86" i="127"/>
  <c r="D85" i="127"/>
  <c r="C85" i="127"/>
  <c r="D84" i="127"/>
  <c r="C84" i="127"/>
  <c r="D83" i="127"/>
  <c r="C83" i="127"/>
  <c r="D82" i="127"/>
  <c r="C82" i="127"/>
  <c r="D81" i="127"/>
  <c r="C81" i="127"/>
  <c r="D80" i="127"/>
  <c r="C80" i="127"/>
  <c r="D79" i="127"/>
  <c r="C79" i="127"/>
  <c r="D78" i="127"/>
  <c r="C78" i="127"/>
  <c r="D77" i="127"/>
  <c r="C77" i="127"/>
  <c r="D76" i="127"/>
  <c r="C76" i="127"/>
  <c r="D75" i="127"/>
  <c r="C75" i="127"/>
  <c r="D74" i="127"/>
  <c r="C74" i="127"/>
  <c r="D73" i="127"/>
  <c r="C73" i="127"/>
  <c r="D72" i="127"/>
  <c r="C72" i="127"/>
  <c r="D71" i="127"/>
  <c r="C71" i="127"/>
  <c r="D70" i="127"/>
  <c r="C70" i="127"/>
  <c r="D69" i="127"/>
  <c r="C69" i="127"/>
  <c r="D68" i="127"/>
  <c r="C68" i="127"/>
  <c r="D67" i="127"/>
  <c r="C67" i="127"/>
  <c r="D66" i="127"/>
  <c r="C66" i="127"/>
  <c r="D65" i="127"/>
  <c r="C65" i="127"/>
  <c r="D64" i="127"/>
  <c r="C64" i="127"/>
  <c r="D63" i="127"/>
  <c r="C63" i="127"/>
  <c r="D62" i="127"/>
  <c r="C62" i="127"/>
  <c r="B62" i="127"/>
  <c r="D61" i="127"/>
  <c r="C61" i="127"/>
  <c r="B61" i="127"/>
  <c r="D60" i="127"/>
  <c r="C60" i="127"/>
  <c r="B60" i="127"/>
  <c r="D59" i="127"/>
  <c r="C59" i="127"/>
  <c r="B59" i="127"/>
  <c r="D58" i="127"/>
  <c r="C58" i="127"/>
  <c r="B58" i="127"/>
  <c r="D57" i="127"/>
  <c r="C57" i="127"/>
  <c r="B57" i="127"/>
  <c r="D56" i="127"/>
  <c r="C56" i="127"/>
  <c r="B56" i="127"/>
  <c r="D55" i="127"/>
  <c r="C55" i="127"/>
  <c r="B55" i="127"/>
  <c r="D54" i="127"/>
  <c r="C54" i="127"/>
  <c r="B54" i="127"/>
  <c r="D53" i="127"/>
  <c r="C53" i="127"/>
  <c r="B53" i="127"/>
  <c r="D52" i="127"/>
  <c r="C52" i="127"/>
  <c r="B52" i="127"/>
  <c r="D51" i="127"/>
  <c r="C51" i="127"/>
  <c r="B51" i="127"/>
  <c r="D50" i="127"/>
  <c r="C50" i="127"/>
  <c r="B50" i="127"/>
  <c r="D49" i="127"/>
  <c r="C49" i="127"/>
  <c r="B49" i="127"/>
  <c r="D48" i="127"/>
  <c r="C48" i="127"/>
  <c r="B48" i="127"/>
  <c r="D47" i="127"/>
  <c r="C47" i="127"/>
  <c r="B47" i="127"/>
  <c r="D46" i="127"/>
  <c r="C46" i="127"/>
  <c r="B46" i="127"/>
  <c r="D45" i="127"/>
  <c r="C45" i="127"/>
  <c r="B45" i="127"/>
  <c r="D44" i="127"/>
  <c r="C44" i="127"/>
  <c r="B44" i="127"/>
  <c r="D43" i="127"/>
  <c r="C43" i="127"/>
  <c r="B43" i="127"/>
  <c r="D42" i="127"/>
  <c r="C42" i="127"/>
  <c r="B42" i="127"/>
  <c r="D41" i="127"/>
  <c r="C41" i="127"/>
  <c r="B41" i="127"/>
  <c r="D40" i="127"/>
  <c r="C40" i="127"/>
  <c r="B40" i="127"/>
  <c r="D39" i="127"/>
  <c r="C39" i="127"/>
  <c r="B39" i="127"/>
  <c r="D38" i="127"/>
  <c r="C38" i="127"/>
  <c r="B38" i="127"/>
  <c r="D37" i="127"/>
  <c r="C37" i="127"/>
  <c r="B37" i="127"/>
  <c r="D36" i="127"/>
  <c r="C36" i="127"/>
  <c r="B36" i="127"/>
  <c r="D35" i="127"/>
  <c r="C35" i="127"/>
  <c r="B35" i="127"/>
  <c r="D34" i="127"/>
  <c r="C34" i="127"/>
  <c r="B34" i="127"/>
  <c r="D33" i="127"/>
  <c r="C33" i="127"/>
  <c r="B33" i="127"/>
  <c r="D32" i="127"/>
  <c r="C32" i="127"/>
  <c r="B32" i="127"/>
  <c r="D31" i="127"/>
  <c r="C31" i="127"/>
  <c r="B31" i="127"/>
  <c r="D30" i="127"/>
  <c r="C30" i="127"/>
  <c r="B30" i="127"/>
  <c r="D29" i="127"/>
  <c r="C29" i="127"/>
  <c r="B29" i="127"/>
  <c r="D28" i="127"/>
  <c r="C28" i="127"/>
  <c r="B28" i="127"/>
  <c r="D27" i="127"/>
  <c r="C27" i="127"/>
  <c r="B27" i="127"/>
  <c r="D26" i="127"/>
  <c r="C26" i="127"/>
  <c r="B26" i="127"/>
  <c r="D25" i="127"/>
  <c r="C25" i="127"/>
  <c r="B25" i="127"/>
  <c r="D24" i="127"/>
  <c r="C24" i="127"/>
  <c r="B24" i="127"/>
  <c r="D23" i="127"/>
  <c r="C23" i="127"/>
  <c r="B23" i="127"/>
  <c r="D22" i="127"/>
  <c r="C22" i="127"/>
  <c r="B22" i="127"/>
  <c r="D21" i="127"/>
  <c r="C21" i="127"/>
  <c r="B21" i="127"/>
  <c r="D20" i="127"/>
  <c r="C20" i="127"/>
  <c r="B20" i="127"/>
  <c r="D19" i="127"/>
  <c r="C19" i="127"/>
  <c r="B19" i="127"/>
  <c r="D18" i="127"/>
  <c r="C18" i="127"/>
  <c r="B18" i="127"/>
  <c r="D17" i="127"/>
  <c r="C17" i="127"/>
  <c r="B17" i="127"/>
  <c r="D16" i="127"/>
  <c r="C16" i="127"/>
  <c r="B16" i="127"/>
  <c r="D15" i="127"/>
  <c r="C15" i="127"/>
  <c r="B15" i="127"/>
  <c r="D14" i="127"/>
  <c r="C14" i="127"/>
  <c r="B14" i="127"/>
  <c r="D13" i="127"/>
  <c r="C13" i="127"/>
  <c r="B13" i="127"/>
  <c r="D12" i="127"/>
  <c r="C12" i="127"/>
  <c r="B12" i="127"/>
  <c r="D11" i="127"/>
  <c r="C11" i="127"/>
  <c r="B11" i="127"/>
  <c r="D10" i="127"/>
  <c r="C10" i="127"/>
  <c r="B10" i="127"/>
  <c r="D9" i="127"/>
  <c r="C9" i="127"/>
  <c r="B9" i="127"/>
  <c r="D8" i="127"/>
  <c r="C8" i="127"/>
  <c r="B8" i="127"/>
  <c r="D7" i="127"/>
  <c r="C7" i="127"/>
  <c r="B7" i="127"/>
  <c r="D6" i="127"/>
  <c r="C6" i="127"/>
  <c r="B6" i="127"/>
  <c r="D5" i="127"/>
  <c r="C5" i="127"/>
  <c r="B5" i="127"/>
  <c r="D4" i="127"/>
  <c r="C4" i="127"/>
  <c r="B4" i="127"/>
  <c r="D3" i="127"/>
  <c r="C3" i="127"/>
  <c r="B3" i="127"/>
  <c r="C23" i="131"/>
  <c r="C22" i="131"/>
  <c r="C21" i="131"/>
  <c r="C20" i="131"/>
  <c r="C19" i="131"/>
  <c r="C18" i="131"/>
  <c r="C17" i="131"/>
  <c r="C16" i="131"/>
  <c r="C15" i="131"/>
  <c r="C14" i="131"/>
  <c r="C13" i="131"/>
  <c r="C12" i="131"/>
  <c r="C8" i="131"/>
  <c r="AJ23" i="135"/>
  <c r="AF23" i="135"/>
  <c r="J23" i="135"/>
  <c r="AG22" i="135"/>
  <c r="AF22" i="135"/>
  <c r="AE22" i="135"/>
  <c r="AM21" i="135"/>
  <c r="AL21" i="135"/>
  <c r="AK21" i="135"/>
  <c r="AJ21" i="135"/>
  <c r="AI21" i="135"/>
  <c r="AH21" i="135"/>
  <c r="AG21" i="135"/>
  <c r="AF21" i="135"/>
  <c r="AE21" i="135"/>
  <c r="Q15" i="135"/>
  <c r="K15" i="135"/>
  <c r="F15" i="135"/>
  <c r="AF14" i="135"/>
  <c r="AE14" i="135"/>
  <c r="Q14" i="135"/>
  <c r="F14" i="135"/>
  <c r="AM13" i="135"/>
  <c r="AL13" i="135"/>
  <c r="AK13" i="135"/>
  <c r="AJ13" i="135"/>
  <c r="AI13" i="135"/>
  <c r="AH13" i="135"/>
  <c r="AG13" i="135"/>
  <c r="AF13" i="135"/>
  <c r="AE13" i="135"/>
  <c r="Q13" i="135"/>
  <c r="F13" i="135"/>
  <c r="N9" i="135"/>
  <c r="C9" i="135"/>
  <c r="Q8" i="135"/>
  <c r="F8" i="135"/>
  <c r="T7" i="135"/>
  <c r="I7" i="135"/>
  <c r="AH5" i="135"/>
  <c r="AG5" i="135"/>
  <c r="AF5" i="135"/>
  <c r="AE5" i="135"/>
  <c r="AB5" i="135"/>
  <c r="Z5" i="135"/>
  <c r="Q5" i="135"/>
  <c r="F5" i="135"/>
  <c r="Y3" i="135"/>
  <c r="Q3" i="135"/>
  <c r="F3" i="135"/>
  <c r="Q2" i="135"/>
  <c r="F2" i="135"/>
  <c r="D24" i="134"/>
  <c r="X21" i="134"/>
  <c r="W21" i="134"/>
  <c r="X20" i="134"/>
  <c r="W20" i="134"/>
  <c r="W17" i="134"/>
  <c r="X15" i="134"/>
  <c r="W15" i="134"/>
  <c r="X13" i="134"/>
  <c r="W13" i="134"/>
  <c r="G13" i="134"/>
  <c r="W12" i="134"/>
  <c r="V12" i="134"/>
  <c r="AD11" i="134"/>
  <c r="AC11" i="134"/>
  <c r="AB11" i="134"/>
  <c r="AA11" i="134"/>
  <c r="Z11" i="134"/>
  <c r="Y11" i="134"/>
  <c r="X11" i="134"/>
  <c r="W11" i="134"/>
  <c r="V11" i="134"/>
  <c r="Y5" i="134"/>
  <c r="X5" i="134"/>
  <c r="W5" i="134"/>
  <c r="V5" i="134"/>
  <c r="S5" i="134"/>
  <c r="Q5" i="134"/>
  <c r="P3" i="134"/>
  <c r="K3" i="134"/>
  <c r="D3" i="134"/>
  <c r="K2" i="134"/>
  <c r="D2" i="134"/>
  <c r="X31" i="133"/>
  <c r="X30" i="133"/>
  <c r="W30" i="133"/>
  <c r="X29" i="133"/>
  <c r="W29" i="133"/>
  <c r="X28" i="133"/>
  <c r="W28" i="133"/>
  <c r="M28" i="133"/>
  <c r="X27" i="133"/>
  <c r="W27" i="133"/>
  <c r="X26" i="133"/>
  <c r="W26" i="133"/>
  <c r="N26" i="133"/>
  <c r="X25" i="133"/>
  <c r="W25" i="133"/>
  <c r="X24" i="133"/>
  <c r="W24" i="133"/>
  <c r="X23" i="133"/>
  <c r="W23" i="133"/>
  <c r="X22" i="133"/>
  <c r="W22" i="133"/>
  <c r="X21" i="133"/>
  <c r="W21" i="133"/>
  <c r="J20" i="133"/>
  <c r="W19" i="133"/>
  <c r="F19" i="133"/>
  <c r="E19" i="133"/>
  <c r="X17" i="133"/>
  <c r="T3" i="133"/>
  <c r="E3" i="133"/>
  <c r="E2" i="133"/>
  <c r="AE36" i="132"/>
  <c r="AE35" i="132"/>
  <c r="AE34" i="132"/>
  <c r="AG32" i="132"/>
  <c r="AE32" i="132"/>
  <c r="AG29" i="132"/>
  <c r="AF29" i="132"/>
  <c r="AE29" i="132"/>
  <c r="AG28" i="132"/>
  <c r="AF28" i="132"/>
  <c r="AE28" i="132"/>
  <c r="AG27" i="132"/>
  <c r="AF27" i="132"/>
  <c r="AE27" i="132"/>
  <c r="AG26" i="132"/>
  <c r="AF26" i="132"/>
  <c r="AE26" i="132"/>
  <c r="AG25" i="132"/>
  <c r="AF25" i="132"/>
  <c r="AE25" i="132"/>
  <c r="AG24" i="132"/>
  <c r="AF24" i="132"/>
  <c r="AE24" i="132"/>
  <c r="AG23" i="132"/>
  <c r="AF23" i="132"/>
  <c r="AE23" i="132"/>
  <c r="AG22" i="132"/>
  <c r="AF22" i="132"/>
  <c r="AE22" i="132"/>
  <c r="AG21" i="132"/>
  <c r="AF21" i="132"/>
  <c r="AE21" i="132"/>
  <c r="AG20" i="132"/>
  <c r="AF20" i="132"/>
  <c r="AE20" i="132"/>
  <c r="Y20" i="132"/>
  <c r="V20" i="132"/>
  <c r="S20" i="132"/>
  <c r="P20" i="132"/>
  <c r="M20" i="132"/>
  <c r="J20" i="132"/>
  <c r="AG19" i="132"/>
  <c r="AF19" i="132"/>
  <c r="AE19" i="132"/>
  <c r="AG18" i="132"/>
  <c r="AF18" i="132"/>
  <c r="AE18" i="132"/>
  <c r="AG17" i="132"/>
  <c r="AF17" i="132"/>
  <c r="AE17" i="132"/>
  <c r="AG16" i="132"/>
  <c r="AF16" i="132"/>
  <c r="AE16" i="132"/>
  <c r="N16" i="132"/>
  <c r="AG15" i="132"/>
  <c r="AF15" i="132"/>
  <c r="AE15" i="132"/>
  <c r="AC15" i="132"/>
  <c r="AB15" i="132"/>
  <c r="AA15" i="132"/>
  <c r="Y15" i="132"/>
  <c r="X15" i="132"/>
  <c r="W15" i="132"/>
  <c r="U15" i="132"/>
  <c r="T15" i="132"/>
  <c r="S15" i="132"/>
  <c r="Q15" i="132"/>
  <c r="P15" i="132"/>
  <c r="O15" i="132"/>
  <c r="M15" i="132"/>
  <c r="L15" i="132"/>
  <c r="K15" i="132"/>
  <c r="AG14" i="132"/>
  <c r="AF14" i="132"/>
  <c r="AE14" i="132"/>
  <c r="AG13" i="132"/>
  <c r="AF13" i="132"/>
  <c r="AE13" i="132"/>
  <c r="AG12" i="132"/>
  <c r="AF12" i="132"/>
  <c r="AE12" i="132"/>
  <c r="AG11" i="132"/>
  <c r="AF11" i="132"/>
  <c r="AE11" i="132"/>
  <c r="AG10" i="132"/>
  <c r="AF10" i="132"/>
  <c r="AE10" i="132"/>
  <c r="AG9" i="132"/>
  <c r="AF9" i="132"/>
  <c r="AE9" i="132"/>
  <c r="AG8" i="132"/>
  <c r="AF8" i="132"/>
  <c r="AE8" i="132"/>
  <c r="AG7" i="132"/>
  <c r="AF7" i="132"/>
  <c r="AE7" i="132"/>
  <c r="AG6" i="132"/>
  <c r="AF6" i="132"/>
  <c r="AE6" i="132"/>
  <c r="AA3" i="132"/>
  <c r="P3" i="132"/>
  <c r="L3" i="132"/>
  <c r="E3" i="132"/>
  <c r="AA27" i="136"/>
  <c r="AA26" i="136"/>
  <c r="AA25" i="136"/>
  <c r="AA24" i="136"/>
  <c r="AA23" i="136"/>
  <c r="AA22" i="136"/>
  <c r="AA21" i="136"/>
  <c r="AA20" i="136"/>
  <c r="X4" i="136"/>
  <c r="E4" i="136"/>
  <c r="E3" i="136"/>
  <c r="G35" i="138"/>
  <c r="G30" i="138"/>
  <c r="G21" i="138"/>
  <c r="G15" i="138"/>
  <c r="G13" i="138"/>
  <c r="C13" i="138"/>
  <c r="G11" i="138"/>
  <c r="G26" i="139"/>
  <c r="G24" i="139"/>
  <c r="G22" i="139"/>
  <c r="G20" i="139"/>
  <c r="G18" i="139"/>
  <c r="G16" i="139"/>
  <c r="G14" i="139"/>
  <c r="G12" i="139"/>
  <c r="G10" i="139"/>
  <c r="G22" i="140"/>
  <c r="G20" i="140"/>
  <c r="G18" i="140"/>
  <c r="G16" i="140"/>
  <c r="G14" i="140"/>
  <c r="G12" i="140"/>
  <c r="G10" i="140"/>
  <c r="G18" i="141"/>
  <c r="G16" i="141"/>
  <c r="G14" i="141"/>
  <c r="G12" i="141"/>
  <c r="G10" i="141"/>
  <c r="G24" i="142"/>
  <c r="G22" i="142"/>
  <c r="G20" i="142"/>
  <c r="G18" i="142"/>
  <c r="G16" i="142"/>
  <c r="G14" i="142"/>
  <c r="G12" i="142"/>
  <c r="G10" i="142"/>
  <c r="G18" i="143"/>
  <c r="G16" i="143"/>
  <c r="G14" i="143"/>
  <c r="G12" i="143"/>
  <c r="G10" i="143"/>
  <c r="G20" i="144"/>
  <c r="G18" i="144"/>
  <c r="G16" i="144"/>
  <c r="G14" i="144"/>
  <c r="G12" i="144"/>
  <c r="G10" i="144"/>
  <c r="G26" i="145"/>
  <c r="G24" i="145"/>
  <c r="G22" i="145"/>
  <c r="G20" i="145"/>
  <c r="G18" i="145"/>
  <c r="G16" i="145"/>
  <c r="G14" i="145"/>
  <c r="G12" i="145"/>
  <c r="G10" i="145"/>
  <c r="G26" i="146"/>
  <c r="G24" i="146"/>
  <c r="G22" i="146"/>
  <c r="G20" i="146"/>
  <c r="G18" i="146"/>
  <c r="G16" i="146"/>
  <c r="G14" i="146"/>
  <c r="G12" i="146"/>
  <c r="G10" i="146"/>
  <c r="G20" i="147"/>
  <c r="G18" i="147"/>
  <c r="G16" i="147"/>
  <c r="G14" i="147"/>
  <c r="G12" i="147"/>
  <c r="G10" i="147"/>
  <c r="G18" i="148"/>
  <c r="G16" i="148"/>
  <c r="G14" i="148"/>
  <c r="G12" i="148"/>
  <c r="G10" i="148"/>
  <c r="G22" i="149"/>
  <c r="G20" i="149"/>
  <c r="G18" i="149"/>
  <c r="G16" i="149"/>
  <c r="G14" i="149"/>
  <c r="G12" i="149"/>
  <c r="G10" i="149"/>
  <c r="G22" i="150"/>
  <c r="G20" i="150"/>
  <c r="G18" i="150"/>
  <c r="G16" i="150"/>
  <c r="G14" i="150"/>
  <c r="G12" i="150"/>
  <c r="G10" i="150"/>
  <c r="G24" i="151"/>
  <c r="G22" i="151"/>
  <c r="G20" i="151"/>
  <c r="G18" i="151"/>
  <c r="G16" i="151"/>
  <c r="G14" i="151"/>
  <c r="G12" i="151"/>
  <c r="G10" i="151"/>
  <c r="G26" i="152"/>
  <c r="G24" i="152"/>
  <c r="G22" i="152"/>
  <c r="G20" i="152"/>
  <c r="G18" i="152"/>
  <c r="G16" i="152"/>
  <c r="G14" i="152"/>
  <c r="G12" i="152"/>
  <c r="G10" i="152"/>
  <c r="G22" i="153"/>
  <c r="G20" i="153"/>
  <c r="G18" i="153"/>
  <c r="G16" i="153"/>
  <c r="G14" i="153"/>
  <c r="G12" i="153"/>
  <c r="G10" i="153"/>
  <c r="G20" i="154"/>
  <c r="G18" i="154"/>
  <c r="G16" i="154"/>
  <c r="G14" i="154"/>
  <c r="G12" i="154"/>
  <c r="G10" i="154"/>
  <c r="G22" i="155"/>
  <c r="G20" i="155"/>
  <c r="G18" i="155"/>
  <c r="G16" i="155"/>
  <c r="G14" i="155"/>
  <c r="G12" i="155"/>
  <c r="G10" i="155"/>
  <c r="G26" i="156"/>
  <c r="G24" i="156"/>
  <c r="G22" i="156"/>
  <c r="G20" i="156"/>
  <c r="G18" i="156"/>
  <c r="G16" i="156"/>
  <c r="G14" i="156"/>
  <c r="G12" i="156"/>
  <c r="G10" i="156"/>
  <c r="B46" i="160"/>
  <c r="B41" i="160"/>
  <c r="B40" i="160"/>
  <c r="C33" i="160"/>
  <c r="B33" i="160"/>
  <c r="C32" i="160"/>
  <c r="B32" i="160"/>
  <c r="C31" i="160"/>
  <c r="B31" i="160"/>
  <c r="D24" i="160"/>
  <c r="C24" i="160"/>
  <c r="D23" i="160"/>
  <c r="C23" i="160"/>
  <c r="G18" i="160"/>
  <c r="D14" i="160"/>
  <c r="D13" i="160"/>
  <c r="G12" i="160"/>
  <c r="D11" i="160"/>
  <c r="D10" i="160"/>
  <c r="D9" i="160"/>
  <c r="D7" i="160"/>
  <c r="B7" i="160"/>
  <c r="D6" i="160"/>
  <c r="B6" i="160"/>
  <c r="D5" i="160"/>
  <c r="B5" i="160"/>
  <c r="B32" i="161"/>
  <c r="B31" i="161"/>
  <c r="B30" i="161"/>
  <c r="B29" i="161"/>
  <c r="B27" i="161"/>
  <c r="B19" i="161"/>
  <c r="B18" i="161"/>
  <c r="B10" i="161"/>
  <c r="B9" i="161"/>
  <c r="B8" i="161"/>
  <c r="J7" i="161"/>
  <c r="B7" i="161"/>
  <c r="H6" i="161"/>
  <c r="B6" i="161"/>
  <c r="H5" i="161"/>
  <c r="H4" i="161"/>
  <c r="H3" i="161"/>
  <c r="H2" i="161"/>
  <c r="H1" i="161"/>
  <c r="D24" i="162"/>
  <c r="D23" i="162"/>
  <c r="B20" i="162"/>
  <c r="B15" i="162"/>
  <c r="D10" i="162"/>
  <c r="B10" i="162"/>
  <c r="B9" i="162"/>
  <c r="D8" i="162"/>
  <c r="D6" i="162"/>
  <c r="D5" i="162"/>
  <c r="B37" i="163"/>
  <c r="B36" i="163"/>
  <c r="D35" i="163"/>
  <c r="B35" i="163"/>
  <c r="D34" i="163"/>
  <c r="B34" i="163"/>
  <c r="B26" i="163"/>
  <c r="B25" i="163"/>
  <c r="D20" i="163"/>
  <c r="B17" i="163"/>
  <c r="B16" i="163"/>
  <c r="B10" i="163"/>
  <c r="B9" i="163"/>
  <c r="B51" i="164"/>
  <c r="B43" i="164"/>
  <c r="B37" i="164"/>
  <c r="D35" i="164"/>
  <c r="A29" i="164"/>
  <c r="A23" i="164"/>
  <c r="D16" i="164"/>
  <c r="D15" i="164"/>
  <c r="C11" i="164"/>
  <c r="B11" i="164"/>
  <c r="C10" i="164"/>
  <c r="B10" i="164"/>
  <c r="B6" i="164"/>
  <c r="A6" i="164"/>
  <c r="D4" i="164"/>
  <c r="C4" i="164"/>
  <c r="B4" i="164"/>
  <c r="A4" i="164"/>
  <c r="B35" i="165"/>
  <c r="C30" i="165"/>
  <c r="C29" i="165"/>
  <c r="C28" i="165"/>
  <c r="B20" i="165"/>
  <c r="B14" i="165"/>
  <c r="B9" i="165"/>
  <c r="B4" i="165"/>
  <c r="G25" i="168"/>
  <c r="G20" i="168"/>
  <c r="G17" i="168"/>
  <c r="G11" i="168"/>
  <c r="I493" i="170"/>
  <c r="G493" i="170"/>
  <c r="I492" i="170"/>
  <c r="G492" i="170"/>
  <c r="I491" i="170"/>
  <c r="G491" i="170"/>
  <c r="I490" i="170"/>
  <c r="G490" i="170"/>
  <c r="I489" i="170"/>
  <c r="G489" i="170"/>
  <c r="I488" i="170"/>
  <c r="G488" i="170"/>
  <c r="I487" i="170"/>
  <c r="G487" i="170"/>
  <c r="I486" i="170"/>
  <c r="G486" i="170"/>
  <c r="I485" i="170"/>
  <c r="G485" i="170"/>
  <c r="I484" i="170"/>
  <c r="G484" i="170"/>
  <c r="I483" i="170"/>
  <c r="G483" i="170"/>
  <c r="I482" i="170"/>
  <c r="G482" i="170"/>
  <c r="I481" i="170"/>
  <c r="G481" i="170"/>
  <c r="I480" i="170"/>
  <c r="G480" i="170"/>
  <c r="I479" i="170"/>
  <c r="G479" i="170"/>
  <c r="I478" i="170"/>
  <c r="G478" i="170"/>
  <c r="I477" i="170"/>
  <c r="G477" i="170"/>
  <c r="I476" i="170"/>
  <c r="G476" i="170"/>
  <c r="I475" i="170"/>
  <c r="G475" i="170"/>
  <c r="I474" i="170"/>
  <c r="G474" i="170"/>
  <c r="I473" i="170"/>
  <c r="G473" i="170"/>
  <c r="I472" i="170"/>
  <c r="G472" i="170"/>
  <c r="I471" i="170"/>
  <c r="G471" i="170"/>
  <c r="I470" i="170"/>
  <c r="G470" i="170"/>
  <c r="I469" i="170"/>
  <c r="G469" i="170"/>
  <c r="I468" i="170"/>
  <c r="G468" i="170"/>
  <c r="I467" i="170"/>
  <c r="G467" i="170"/>
  <c r="I466" i="170"/>
  <c r="G466" i="170"/>
  <c r="I465" i="170"/>
  <c r="G465" i="170"/>
  <c r="I464" i="170"/>
  <c r="G464" i="170"/>
  <c r="I463" i="170"/>
  <c r="G463" i="170"/>
  <c r="I462" i="170"/>
  <c r="G462" i="170"/>
  <c r="I461" i="170"/>
  <c r="G461" i="170"/>
  <c r="I460" i="170"/>
  <c r="G460" i="170"/>
  <c r="I459" i="170"/>
  <c r="G459" i="170"/>
  <c r="I458" i="170"/>
  <c r="G458" i="170"/>
  <c r="I457" i="170"/>
  <c r="G457" i="170"/>
  <c r="I456" i="170"/>
  <c r="G456" i="170"/>
  <c r="I455" i="170"/>
  <c r="G455" i="170"/>
  <c r="I454" i="170"/>
  <c r="G454" i="170"/>
  <c r="I453" i="170"/>
  <c r="G453" i="170"/>
  <c r="I452" i="170"/>
  <c r="G452" i="170"/>
  <c r="I451" i="170"/>
  <c r="G451" i="170"/>
  <c r="I450" i="170"/>
  <c r="G450" i="170"/>
  <c r="I449" i="170"/>
  <c r="G449" i="170"/>
  <c r="I448" i="170"/>
  <c r="G448" i="170"/>
  <c r="I447" i="170"/>
  <c r="G447" i="170"/>
  <c r="I446" i="170"/>
  <c r="G446" i="170"/>
  <c r="I445" i="170"/>
  <c r="G445" i="170"/>
  <c r="I444" i="170"/>
  <c r="G444" i="170"/>
  <c r="I443" i="170"/>
  <c r="G443" i="170"/>
  <c r="I442" i="170"/>
  <c r="G442" i="170"/>
  <c r="I441" i="170"/>
  <c r="G441" i="170"/>
  <c r="I440" i="170"/>
  <c r="G440" i="170"/>
  <c r="I439" i="170"/>
  <c r="G439" i="170"/>
  <c r="I438" i="170"/>
  <c r="G438" i="170"/>
  <c r="I437" i="170"/>
  <c r="G437" i="170"/>
  <c r="I436" i="170"/>
  <c r="G436" i="170"/>
  <c r="I435" i="170"/>
  <c r="G435" i="170"/>
  <c r="I434" i="170"/>
  <c r="G434" i="170"/>
  <c r="I433" i="170"/>
  <c r="G433" i="170"/>
  <c r="I432" i="170"/>
  <c r="G432" i="170"/>
  <c r="I431" i="170"/>
  <c r="G431" i="170"/>
  <c r="I430" i="170"/>
  <c r="G430" i="170"/>
  <c r="I429" i="170"/>
  <c r="G429" i="170"/>
  <c r="I428" i="170"/>
  <c r="G428" i="170"/>
  <c r="I427" i="170"/>
  <c r="G427" i="170"/>
  <c r="I426" i="170"/>
  <c r="G426" i="170"/>
  <c r="I425" i="170"/>
  <c r="G425" i="170"/>
  <c r="I424" i="170"/>
  <c r="G424" i="170"/>
  <c r="I423" i="170"/>
  <c r="G423" i="170"/>
  <c r="I422" i="170"/>
  <c r="G422" i="170"/>
  <c r="I421" i="170"/>
  <c r="G421" i="170"/>
  <c r="I420" i="170"/>
  <c r="G420" i="170"/>
  <c r="I419" i="170"/>
  <c r="G419" i="170"/>
  <c r="I418" i="170"/>
  <c r="G418" i="170"/>
  <c r="I417" i="170"/>
  <c r="G417" i="170"/>
  <c r="I416" i="170"/>
  <c r="G416" i="170"/>
  <c r="I415" i="170"/>
  <c r="G415" i="170"/>
  <c r="I414" i="170"/>
  <c r="G414" i="170"/>
  <c r="I413" i="170"/>
  <c r="G413" i="170"/>
  <c r="I412" i="170"/>
  <c r="G412" i="170"/>
  <c r="I411" i="170"/>
  <c r="G411" i="170"/>
  <c r="I410" i="170"/>
  <c r="G410" i="170"/>
  <c r="I409" i="170"/>
  <c r="G409" i="170"/>
  <c r="I408" i="170"/>
  <c r="G408" i="170"/>
  <c r="I407" i="170"/>
  <c r="G407" i="170"/>
  <c r="I406" i="170"/>
  <c r="G406" i="170"/>
  <c r="I405" i="170"/>
  <c r="G405" i="170"/>
  <c r="I404" i="170"/>
  <c r="G404" i="170"/>
  <c r="I403" i="170"/>
  <c r="G403" i="170"/>
  <c r="I402" i="170"/>
  <c r="G402" i="170"/>
  <c r="I401" i="170"/>
  <c r="G401" i="170"/>
  <c r="I400" i="170"/>
  <c r="G400" i="170"/>
  <c r="I399" i="170"/>
  <c r="G399" i="170"/>
  <c r="I398" i="170"/>
  <c r="G398" i="170"/>
  <c r="I397" i="170"/>
  <c r="G397" i="170"/>
  <c r="I396" i="170"/>
  <c r="G396" i="170"/>
  <c r="I395" i="170"/>
  <c r="G395" i="170"/>
  <c r="I394" i="170"/>
  <c r="G394" i="170"/>
  <c r="I393" i="170"/>
  <c r="G393" i="170"/>
  <c r="I392" i="170"/>
  <c r="G392" i="170"/>
  <c r="I391" i="170"/>
  <c r="G391" i="170"/>
  <c r="I390" i="170"/>
  <c r="G390" i="170"/>
  <c r="I389" i="170"/>
  <c r="G389" i="170"/>
  <c r="I388" i="170"/>
  <c r="G388" i="170"/>
  <c r="I387" i="170"/>
  <c r="G387" i="170"/>
  <c r="I386" i="170"/>
  <c r="G386" i="170"/>
  <c r="I385" i="170"/>
  <c r="G385" i="170"/>
  <c r="I384" i="170"/>
  <c r="G384" i="170"/>
  <c r="I383" i="170"/>
  <c r="G383" i="170"/>
  <c r="I382" i="170"/>
  <c r="G382" i="170"/>
  <c r="I381" i="170"/>
  <c r="G381" i="170"/>
  <c r="I380" i="170"/>
  <c r="G380" i="170"/>
  <c r="I379" i="170"/>
  <c r="G379" i="170"/>
  <c r="I378" i="170"/>
  <c r="G378" i="170"/>
  <c r="I377" i="170"/>
  <c r="G377" i="170"/>
  <c r="I376" i="170"/>
  <c r="G376" i="170"/>
  <c r="I375" i="170"/>
  <c r="G375" i="170"/>
  <c r="I374" i="170"/>
  <c r="G374" i="170"/>
  <c r="I373" i="170"/>
  <c r="G373" i="170"/>
  <c r="I372" i="170"/>
  <c r="G372" i="170"/>
  <c r="I371" i="170"/>
  <c r="G371" i="170"/>
  <c r="I370" i="170"/>
  <c r="G370" i="170"/>
  <c r="I369" i="170"/>
  <c r="G369" i="170"/>
  <c r="I368" i="170"/>
  <c r="G368" i="170"/>
  <c r="I367" i="170"/>
  <c r="G367" i="170"/>
  <c r="I366" i="170"/>
  <c r="G366" i="170"/>
  <c r="I365" i="170"/>
  <c r="G365" i="170"/>
  <c r="I364" i="170"/>
  <c r="G364" i="170"/>
  <c r="I363" i="170"/>
  <c r="G363" i="170"/>
  <c r="I362" i="170"/>
  <c r="G362" i="170"/>
  <c r="I361" i="170"/>
  <c r="G361" i="170"/>
  <c r="I360" i="170"/>
  <c r="G360" i="170"/>
  <c r="I359" i="170"/>
  <c r="G359" i="170"/>
  <c r="I358" i="170"/>
  <c r="G358" i="170"/>
  <c r="I357" i="170"/>
  <c r="G357" i="170"/>
  <c r="I356" i="170"/>
  <c r="G356" i="170"/>
  <c r="I355" i="170"/>
  <c r="G355" i="170"/>
  <c r="I354" i="170"/>
  <c r="G354" i="170"/>
  <c r="I353" i="170"/>
  <c r="G353" i="170"/>
  <c r="I352" i="170"/>
  <c r="G352" i="170"/>
  <c r="I351" i="170"/>
  <c r="G351" i="170"/>
  <c r="I350" i="170"/>
  <c r="G350" i="170"/>
  <c r="I349" i="170"/>
  <c r="G349" i="170"/>
  <c r="I348" i="170"/>
  <c r="G348" i="170"/>
  <c r="I347" i="170"/>
  <c r="G347" i="170"/>
  <c r="I346" i="170"/>
  <c r="G346" i="170"/>
  <c r="I345" i="170"/>
  <c r="G345" i="170"/>
  <c r="I344" i="170"/>
  <c r="G344" i="170"/>
  <c r="I343" i="170"/>
  <c r="G343" i="170"/>
  <c r="I342" i="170"/>
  <c r="G342" i="170"/>
  <c r="I341" i="170"/>
  <c r="G341" i="170"/>
  <c r="I340" i="170"/>
  <c r="G340" i="170"/>
  <c r="I339" i="170"/>
  <c r="G339" i="170"/>
  <c r="I338" i="170"/>
  <c r="G338" i="170"/>
  <c r="I337" i="170"/>
  <c r="G337" i="170"/>
  <c r="I336" i="170"/>
  <c r="G336" i="170"/>
  <c r="I335" i="170"/>
  <c r="G335" i="170"/>
  <c r="I334" i="170"/>
  <c r="G334" i="170"/>
  <c r="I333" i="170"/>
  <c r="G333" i="170"/>
  <c r="I332" i="170"/>
  <c r="G332" i="170"/>
  <c r="I331" i="170"/>
  <c r="G331" i="170"/>
  <c r="I330" i="170"/>
  <c r="G330" i="170"/>
  <c r="I329" i="170"/>
  <c r="G329" i="170"/>
  <c r="I328" i="170"/>
  <c r="G328" i="170"/>
  <c r="I327" i="170"/>
  <c r="G327" i="170"/>
  <c r="I326" i="170"/>
  <c r="G326" i="170"/>
  <c r="I325" i="170"/>
  <c r="G325" i="170"/>
  <c r="I324" i="170"/>
  <c r="G324" i="170"/>
  <c r="I323" i="170"/>
  <c r="G323" i="170"/>
  <c r="I322" i="170"/>
  <c r="G322" i="170"/>
  <c r="I321" i="170"/>
  <c r="G321" i="170"/>
  <c r="I320" i="170"/>
  <c r="G320" i="170"/>
  <c r="I319" i="170"/>
  <c r="G319" i="170"/>
  <c r="I318" i="170"/>
  <c r="G318" i="170"/>
  <c r="I317" i="170"/>
  <c r="G317" i="170"/>
  <c r="I316" i="170"/>
  <c r="G316" i="170"/>
  <c r="I315" i="170"/>
  <c r="G315" i="170"/>
  <c r="I314" i="170"/>
  <c r="G314" i="170"/>
  <c r="I313" i="170"/>
  <c r="G313" i="170"/>
  <c r="I312" i="170"/>
  <c r="G312" i="170"/>
  <c r="I311" i="170"/>
  <c r="G311" i="170"/>
  <c r="I310" i="170"/>
  <c r="G310" i="170"/>
  <c r="I309" i="170"/>
  <c r="G309" i="170"/>
  <c r="I308" i="170"/>
  <c r="G308" i="170"/>
  <c r="I307" i="170"/>
  <c r="G307" i="170"/>
  <c r="I306" i="170"/>
  <c r="G306" i="170"/>
  <c r="I305" i="170"/>
  <c r="G305" i="170"/>
  <c r="I304" i="170"/>
  <c r="G304" i="170"/>
  <c r="I303" i="170"/>
  <c r="G303" i="170"/>
  <c r="I302" i="170"/>
  <c r="G302" i="170"/>
  <c r="I301" i="170"/>
  <c r="G301" i="170"/>
  <c r="I300" i="170"/>
  <c r="G300" i="170"/>
  <c r="I299" i="170"/>
  <c r="G299" i="170"/>
  <c r="I298" i="170"/>
  <c r="G298" i="170"/>
  <c r="I297" i="170"/>
  <c r="G297" i="170"/>
  <c r="I296" i="170"/>
  <c r="G296" i="170"/>
  <c r="I295" i="170"/>
  <c r="G295" i="170"/>
  <c r="I294" i="170"/>
  <c r="G294" i="170"/>
  <c r="I293" i="170"/>
  <c r="G293" i="170"/>
  <c r="I292" i="170"/>
  <c r="G292" i="170"/>
  <c r="I291" i="170"/>
  <c r="G291" i="170"/>
  <c r="I290" i="170"/>
  <c r="G290" i="170"/>
  <c r="I289" i="170"/>
  <c r="G289" i="170"/>
  <c r="I288" i="170"/>
  <c r="G288" i="170"/>
  <c r="I287" i="170"/>
  <c r="G287" i="170"/>
  <c r="I286" i="170"/>
  <c r="G286" i="170"/>
  <c r="I285" i="170"/>
  <c r="G285" i="170"/>
  <c r="I284" i="170"/>
  <c r="G284" i="170"/>
  <c r="I283" i="170"/>
  <c r="G283" i="170"/>
  <c r="I282" i="170"/>
  <c r="G282" i="170"/>
  <c r="I281" i="170"/>
  <c r="G281" i="170"/>
  <c r="I280" i="170"/>
  <c r="G280" i="170"/>
  <c r="I279" i="170"/>
  <c r="G279" i="170"/>
  <c r="I278" i="170"/>
  <c r="G278" i="170"/>
  <c r="I277" i="170"/>
  <c r="G277" i="170"/>
  <c r="I276" i="170"/>
  <c r="G276" i="170"/>
  <c r="I275" i="170"/>
  <c r="G275" i="170"/>
  <c r="I274" i="170"/>
  <c r="G274" i="170"/>
  <c r="I273" i="170"/>
  <c r="G273" i="170"/>
  <c r="I272" i="170"/>
  <c r="G272" i="170"/>
  <c r="I271" i="170"/>
  <c r="G271" i="170"/>
  <c r="I270" i="170"/>
  <c r="G270" i="170"/>
  <c r="I269" i="170"/>
  <c r="G269" i="170"/>
  <c r="I268" i="170"/>
  <c r="G268" i="170"/>
  <c r="I267" i="170"/>
  <c r="G267" i="170"/>
  <c r="I266" i="170"/>
  <c r="G266" i="170"/>
  <c r="I265" i="170"/>
  <c r="G265" i="170"/>
  <c r="I264" i="170"/>
  <c r="G264" i="170"/>
  <c r="I263" i="170"/>
  <c r="G263" i="170"/>
  <c r="I262" i="170"/>
  <c r="G262" i="170"/>
  <c r="I261" i="170"/>
  <c r="G261" i="170"/>
  <c r="I260" i="170"/>
  <c r="G260" i="170"/>
  <c r="I259" i="170"/>
  <c r="G259" i="170"/>
  <c r="I258" i="170"/>
  <c r="G258" i="170"/>
  <c r="I257" i="170"/>
  <c r="G257" i="170"/>
  <c r="I256" i="170"/>
  <c r="G256" i="170"/>
  <c r="I255" i="170"/>
  <c r="G255" i="170"/>
  <c r="I254" i="170"/>
  <c r="G254" i="170"/>
  <c r="I253" i="170"/>
  <c r="G253" i="170"/>
  <c r="I252" i="170"/>
  <c r="G252" i="170"/>
  <c r="I251" i="170"/>
  <c r="G251" i="170"/>
  <c r="I250" i="170"/>
  <c r="G250" i="170"/>
  <c r="I249" i="170"/>
  <c r="G249" i="170"/>
  <c r="I248" i="170"/>
  <c r="G248" i="170"/>
  <c r="I247" i="170"/>
  <c r="G247" i="170"/>
  <c r="I246" i="170"/>
  <c r="G246" i="170"/>
  <c r="I245" i="170"/>
  <c r="G245" i="170"/>
  <c r="I244" i="170"/>
  <c r="G244" i="170"/>
  <c r="I243" i="170"/>
  <c r="G243" i="170"/>
  <c r="I242" i="170"/>
  <c r="G242" i="170"/>
  <c r="I241" i="170"/>
  <c r="G241" i="170"/>
  <c r="I240" i="170"/>
  <c r="G240" i="170"/>
  <c r="I239" i="170"/>
  <c r="G239" i="170"/>
  <c r="I238" i="170"/>
  <c r="G238" i="170"/>
  <c r="I237" i="170"/>
  <c r="G237" i="170"/>
  <c r="I236" i="170"/>
  <c r="G236" i="170"/>
  <c r="I235" i="170"/>
  <c r="G235" i="170"/>
  <c r="I234" i="170"/>
  <c r="G234" i="170"/>
  <c r="I233" i="170"/>
  <c r="G233" i="170"/>
  <c r="I232" i="170"/>
  <c r="G232" i="170"/>
  <c r="I231" i="170"/>
  <c r="G231" i="170"/>
  <c r="I230" i="170"/>
  <c r="G230" i="170"/>
  <c r="I229" i="170"/>
  <c r="G229" i="170"/>
  <c r="I228" i="170"/>
  <c r="G228" i="170"/>
  <c r="I227" i="170"/>
  <c r="G227" i="170"/>
  <c r="I226" i="170"/>
  <c r="G226" i="170"/>
  <c r="I225" i="170"/>
  <c r="G225" i="170"/>
  <c r="I224" i="170"/>
  <c r="G224" i="170"/>
  <c r="I223" i="170"/>
  <c r="G223" i="170"/>
  <c r="I222" i="170"/>
  <c r="G222" i="170"/>
  <c r="I221" i="170"/>
  <c r="G221" i="170"/>
  <c r="I220" i="170"/>
  <c r="G220" i="170"/>
  <c r="I219" i="170"/>
  <c r="G219" i="170"/>
  <c r="I218" i="170"/>
  <c r="G218" i="170"/>
  <c r="I217" i="170"/>
  <c r="G217" i="170"/>
  <c r="I216" i="170"/>
  <c r="G216" i="170"/>
  <c r="I215" i="170"/>
  <c r="G215" i="170"/>
  <c r="I214" i="170"/>
  <c r="G214" i="170"/>
  <c r="I213" i="170"/>
  <c r="G213" i="170"/>
  <c r="I212" i="170"/>
  <c r="G212" i="170"/>
  <c r="I211" i="170"/>
  <c r="G211" i="170"/>
  <c r="I210" i="170"/>
  <c r="G210" i="170"/>
  <c r="I209" i="170"/>
  <c r="G209" i="170"/>
  <c r="I208" i="170"/>
  <c r="G208" i="170"/>
  <c r="I207" i="170"/>
  <c r="G207" i="170"/>
  <c r="I206" i="170"/>
  <c r="G206" i="170"/>
  <c r="I205" i="170"/>
  <c r="G205" i="170"/>
  <c r="I204" i="170"/>
  <c r="G204" i="170"/>
  <c r="I203" i="170"/>
  <c r="G203" i="170"/>
  <c r="I202" i="170"/>
  <c r="G202" i="170"/>
  <c r="I201" i="170"/>
  <c r="G201" i="170"/>
  <c r="I200" i="170"/>
  <c r="G200" i="170"/>
  <c r="I199" i="170"/>
  <c r="G199" i="170"/>
  <c r="I198" i="170"/>
  <c r="G198" i="170"/>
  <c r="I197" i="170"/>
  <c r="G197" i="170"/>
  <c r="I196" i="170"/>
  <c r="G196" i="170"/>
  <c r="I195" i="170"/>
  <c r="G195" i="170"/>
  <c r="I194" i="170"/>
  <c r="G194" i="170"/>
  <c r="I193" i="170"/>
  <c r="G193" i="170"/>
  <c r="I192" i="170"/>
  <c r="G192" i="170"/>
  <c r="I191" i="170"/>
  <c r="G191" i="170"/>
  <c r="I190" i="170"/>
  <c r="G190" i="170"/>
  <c r="I189" i="170"/>
  <c r="G189" i="170"/>
  <c r="I188" i="170"/>
  <c r="G188" i="170"/>
  <c r="I187" i="170"/>
  <c r="G187" i="170"/>
  <c r="I186" i="170"/>
  <c r="G186" i="170"/>
  <c r="I185" i="170"/>
  <c r="G185" i="170"/>
  <c r="I184" i="170"/>
  <c r="G184" i="170"/>
  <c r="I183" i="170"/>
  <c r="G183" i="170"/>
  <c r="I182" i="170"/>
  <c r="G182" i="170"/>
  <c r="I181" i="170"/>
  <c r="G181" i="170"/>
  <c r="I180" i="170"/>
  <c r="G180" i="170"/>
  <c r="I179" i="170"/>
  <c r="G179" i="170"/>
  <c r="I178" i="170"/>
  <c r="G178" i="170"/>
  <c r="I177" i="170"/>
  <c r="G177" i="170"/>
  <c r="I176" i="170"/>
  <c r="G176" i="170"/>
  <c r="I175" i="170"/>
  <c r="G175" i="170"/>
  <c r="I174" i="170"/>
  <c r="G174" i="170"/>
  <c r="I173" i="170"/>
  <c r="G173" i="170"/>
  <c r="I172" i="170"/>
  <c r="G172" i="170"/>
  <c r="I171" i="170"/>
  <c r="G171" i="170"/>
  <c r="I170" i="170"/>
  <c r="G170" i="170"/>
  <c r="I169" i="170"/>
  <c r="G169" i="170"/>
  <c r="I168" i="170"/>
  <c r="G168" i="170"/>
  <c r="I167" i="170"/>
  <c r="G167" i="170"/>
  <c r="I166" i="170"/>
  <c r="G166" i="170"/>
  <c r="I165" i="170"/>
  <c r="G165" i="170"/>
  <c r="I164" i="170"/>
  <c r="G164" i="170"/>
  <c r="I163" i="170"/>
  <c r="G163" i="170"/>
  <c r="I162" i="170"/>
  <c r="G162" i="170"/>
  <c r="I161" i="170"/>
  <c r="G161" i="170"/>
  <c r="I160" i="170"/>
  <c r="G160" i="170"/>
  <c r="I159" i="170"/>
  <c r="G159" i="170"/>
  <c r="I158" i="170"/>
  <c r="G158" i="170"/>
  <c r="I157" i="170"/>
  <c r="G157" i="170"/>
  <c r="I156" i="170"/>
  <c r="G156" i="170"/>
  <c r="I155" i="170"/>
  <c r="G155" i="170"/>
  <c r="I154" i="170"/>
  <c r="G154" i="170"/>
  <c r="I153" i="170"/>
  <c r="G153" i="170"/>
  <c r="I152" i="170"/>
  <c r="G152" i="170"/>
  <c r="I151" i="170"/>
  <c r="G151" i="170"/>
  <c r="I150" i="170"/>
  <c r="G150" i="170"/>
  <c r="I149" i="170"/>
  <c r="G149" i="170"/>
  <c r="I148" i="170"/>
  <c r="G148" i="170"/>
  <c r="I147" i="170"/>
  <c r="G147" i="170"/>
  <c r="I146" i="170"/>
  <c r="G146" i="170"/>
  <c r="I145" i="170"/>
  <c r="G145" i="170"/>
  <c r="I144" i="170"/>
  <c r="G144" i="170"/>
  <c r="I143" i="170"/>
  <c r="G143" i="170"/>
  <c r="I142" i="170"/>
  <c r="G142" i="170"/>
  <c r="I141" i="170"/>
  <c r="G141" i="170"/>
  <c r="I140" i="170"/>
  <c r="G140" i="170"/>
  <c r="I139" i="170"/>
  <c r="G139" i="170"/>
  <c r="I138" i="170"/>
  <c r="G138" i="170"/>
  <c r="I137" i="170"/>
  <c r="G137" i="170"/>
  <c r="I136" i="170"/>
  <c r="G136" i="170"/>
  <c r="I135" i="170"/>
  <c r="G135" i="170"/>
  <c r="I134" i="170"/>
  <c r="G134" i="170"/>
  <c r="I133" i="170"/>
  <c r="G133" i="170"/>
  <c r="I132" i="170"/>
  <c r="G132" i="170"/>
  <c r="I131" i="170"/>
  <c r="G131" i="170"/>
  <c r="I130" i="170"/>
  <c r="G130" i="170"/>
  <c r="I129" i="170"/>
  <c r="G129" i="170"/>
  <c r="I128" i="170"/>
  <c r="G128" i="170"/>
  <c r="I127" i="170"/>
  <c r="G127" i="170"/>
  <c r="I126" i="170"/>
  <c r="G126" i="170"/>
  <c r="I125" i="170"/>
  <c r="G125" i="170"/>
  <c r="I124" i="170"/>
  <c r="G124" i="170"/>
  <c r="I123" i="170"/>
  <c r="G123" i="170"/>
  <c r="I122" i="170"/>
  <c r="G122" i="170"/>
  <c r="I121" i="170"/>
  <c r="G121" i="170"/>
  <c r="I120" i="170"/>
  <c r="G120" i="170"/>
  <c r="I119" i="170"/>
  <c r="G119" i="170"/>
  <c r="I118" i="170"/>
  <c r="G118" i="170"/>
  <c r="I117" i="170"/>
  <c r="G117" i="170"/>
  <c r="I116" i="170"/>
  <c r="G116" i="170"/>
  <c r="I115" i="170"/>
  <c r="G115" i="170"/>
  <c r="I114" i="170"/>
  <c r="G114" i="170"/>
  <c r="I113" i="170"/>
  <c r="G113" i="170"/>
  <c r="I112" i="170"/>
  <c r="G112" i="170"/>
  <c r="I111" i="170"/>
  <c r="G111" i="170"/>
  <c r="I110" i="170"/>
  <c r="G110" i="170"/>
  <c r="I109" i="170"/>
  <c r="G109" i="170"/>
  <c r="I108" i="170"/>
  <c r="G108" i="170"/>
  <c r="I107" i="170"/>
  <c r="G107" i="170"/>
  <c r="I106" i="170"/>
  <c r="G106" i="170"/>
  <c r="I105" i="170"/>
  <c r="G105" i="170"/>
  <c r="I104" i="170"/>
  <c r="G104" i="170"/>
  <c r="I103" i="170"/>
  <c r="G103" i="170"/>
  <c r="I102" i="170"/>
  <c r="G102" i="170"/>
  <c r="I101" i="170"/>
  <c r="G101" i="170"/>
  <c r="I100" i="170"/>
  <c r="G100" i="170"/>
  <c r="I99" i="170"/>
  <c r="G99" i="170"/>
  <c r="I98" i="170"/>
  <c r="G98" i="170"/>
  <c r="I97" i="170"/>
  <c r="G97" i="170"/>
  <c r="I96" i="170"/>
  <c r="G96" i="170"/>
  <c r="I95" i="170"/>
  <c r="G95" i="170"/>
  <c r="I94" i="170"/>
  <c r="G94" i="170"/>
  <c r="I93" i="170"/>
  <c r="G93" i="170"/>
  <c r="I92" i="170"/>
  <c r="G92" i="170"/>
  <c r="I91" i="170"/>
  <c r="G91" i="170"/>
  <c r="I90" i="170"/>
  <c r="G90" i="170"/>
  <c r="I89" i="170"/>
  <c r="G89" i="170"/>
  <c r="I88" i="170"/>
  <c r="G88" i="170"/>
  <c r="I87" i="170"/>
  <c r="G87" i="170"/>
  <c r="I86" i="170"/>
  <c r="G86" i="170"/>
  <c r="I85" i="170"/>
  <c r="G85" i="170"/>
  <c r="I84" i="170"/>
  <c r="G84" i="170"/>
  <c r="I83" i="170"/>
  <c r="G83" i="170"/>
  <c r="I82" i="170"/>
  <c r="G82" i="170"/>
  <c r="I81" i="170"/>
  <c r="G81" i="170"/>
  <c r="I80" i="170"/>
  <c r="G80" i="170"/>
  <c r="I79" i="170"/>
  <c r="G79" i="170"/>
  <c r="I78" i="170"/>
  <c r="G78" i="170"/>
  <c r="I77" i="170"/>
  <c r="G77" i="170"/>
  <c r="I76" i="170"/>
  <c r="G76" i="170"/>
  <c r="I75" i="170"/>
  <c r="G75" i="170"/>
  <c r="I74" i="170"/>
  <c r="G74" i="170"/>
  <c r="I73" i="170"/>
  <c r="G73" i="170"/>
  <c r="I72" i="170"/>
  <c r="G72" i="170"/>
  <c r="I71" i="170"/>
  <c r="G71" i="170"/>
  <c r="I70" i="170"/>
  <c r="G70" i="170"/>
  <c r="I69" i="170"/>
  <c r="G69" i="170"/>
  <c r="I68" i="170"/>
  <c r="G68" i="170"/>
  <c r="I67" i="170"/>
  <c r="G67" i="170"/>
  <c r="I66" i="170"/>
  <c r="G66" i="170"/>
  <c r="I65" i="170"/>
  <c r="G65" i="170"/>
  <c r="I64" i="170"/>
  <c r="G64" i="170"/>
  <c r="I63" i="170"/>
  <c r="G63" i="170"/>
  <c r="I62" i="170"/>
  <c r="G62" i="170"/>
  <c r="I61" i="170"/>
  <c r="G61" i="170"/>
  <c r="I60" i="170"/>
  <c r="G60" i="170"/>
  <c r="I59" i="170"/>
  <c r="G59" i="170"/>
  <c r="I58" i="170"/>
  <c r="G58" i="170"/>
  <c r="I57" i="170"/>
  <c r="G57" i="170"/>
  <c r="I56" i="170"/>
  <c r="G56" i="170"/>
  <c r="I55" i="170"/>
  <c r="G55" i="170"/>
  <c r="I54" i="170"/>
  <c r="G54" i="170"/>
  <c r="I53" i="170"/>
  <c r="G53" i="170"/>
  <c r="I52" i="170"/>
  <c r="G52" i="170"/>
  <c r="I51" i="170"/>
  <c r="G51" i="170"/>
  <c r="I50" i="170"/>
  <c r="G50" i="170"/>
  <c r="I49" i="170"/>
  <c r="G49" i="170"/>
  <c r="I48" i="170"/>
  <c r="G48" i="170"/>
  <c r="I47" i="170"/>
  <c r="G47" i="170"/>
  <c r="I46" i="170"/>
  <c r="G46" i="170"/>
  <c r="I45" i="170"/>
  <c r="G45" i="170"/>
  <c r="I44" i="170"/>
  <c r="G44" i="170"/>
  <c r="I43" i="170"/>
  <c r="G43" i="170"/>
  <c r="I42" i="170"/>
  <c r="G42" i="170"/>
  <c r="I41" i="170"/>
  <c r="G41" i="170"/>
  <c r="I40" i="170"/>
  <c r="G40" i="170"/>
  <c r="I39" i="170"/>
  <c r="G39" i="170"/>
  <c r="I38" i="170"/>
  <c r="G38" i="170"/>
  <c r="I37" i="170"/>
  <c r="G37" i="170"/>
  <c r="I36" i="170"/>
  <c r="G36" i="170"/>
  <c r="I35" i="170"/>
  <c r="G35" i="170"/>
  <c r="I34" i="170"/>
  <c r="G34" i="170"/>
  <c r="I33" i="170"/>
  <c r="G33" i="170"/>
  <c r="I32" i="170"/>
  <c r="G32" i="170"/>
  <c r="I31" i="170"/>
  <c r="G31" i="170"/>
  <c r="I30" i="170"/>
  <c r="G30" i="170"/>
  <c r="I29" i="170"/>
  <c r="G29" i="170"/>
  <c r="I28" i="170"/>
  <c r="G28" i="170"/>
  <c r="I27" i="170"/>
  <c r="G27" i="170"/>
  <c r="I26" i="170"/>
  <c r="G26" i="170"/>
  <c r="I25" i="170"/>
  <c r="G25" i="170"/>
  <c r="I24" i="170"/>
  <c r="G24" i="170"/>
  <c r="I23" i="170"/>
  <c r="G23" i="170"/>
  <c r="I22" i="170"/>
  <c r="G22" i="170"/>
  <c r="I21" i="170"/>
  <c r="G21" i="170"/>
  <c r="I20" i="170"/>
  <c r="G20" i="170"/>
  <c r="I19" i="170"/>
  <c r="G19" i="170"/>
  <c r="I18" i="170"/>
  <c r="G18" i="170"/>
  <c r="I17" i="170"/>
  <c r="G17" i="170"/>
  <c r="I16" i="170"/>
  <c r="G16" i="170"/>
  <c r="I15" i="170"/>
  <c r="G15" i="170"/>
  <c r="I14" i="170"/>
  <c r="G14" i="170"/>
  <c r="I13" i="170"/>
  <c r="G13" i="170"/>
  <c r="I12" i="170"/>
  <c r="G12" i="170"/>
  <c r="I11" i="170"/>
  <c r="G11" i="170"/>
  <c r="I10" i="170"/>
  <c r="G10" i="170"/>
  <c r="I9" i="170"/>
  <c r="G9" i="170"/>
  <c r="I8" i="170"/>
  <c r="G8" i="170"/>
  <c r="I7" i="170"/>
  <c r="G7" i="170"/>
  <c r="I6" i="170"/>
  <c r="G6" i="170"/>
  <c r="I5" i="170"/>
  <c r="G5" i="170"/>
  <c r="I4" i="170"/>
  <c r="G4" i="170"/>
  <c r="G389" i="177"/>
  <c r="F389" i="177"/>
  <c r="E389" i="177"/>
  <c r="D389" i="177"/>
  <c r="C389" i="177"/>
  <c r="B389" i="177"/>
  <c r="E388" i="177"/>
  <c r="G387" i="177"/>
  <c r="F387" i="177"/>
  <c r="E387" i="177"/>
  <c r="D387" i="177"/>
  <c r="C387" i="177"/>
  <c r="B387" i="177"/>
  <c r="G386" i="177"/>
  <c r="F386" i="177"/>
  <c r="E386" i="177"/>
  <c r="F385" i="177"/>
  <c r="E385" i="177"/>
  <c r="F384" i="177"/>
  <c r="E384" i="177"/>
  <c r="F383" i="177"/>
  <c r="E383" i="177"/>
  <c r="E381" i="177"/>
  <c r="E380" i="177"/>
  <c r="E379" i="177"/>
  <c r="E378" i="177"/>
  <c r="E377" i="177"/>
  <c r="E376" i="177"/>
  <c r="G375" i="177"/>
  <c r="C375" i="177"/>
  <c r="G374" i="177"/>
  <c r="C374" i="177"/>
  <c r="G373" i="177"/>
  <c r="C373" i="177"/>
  <c r="G372" i="177"/>
  <c r="C372" i="177"/>
  <c r="G371" i="177"/>
  <c r="C371" i="177"/>
  <c r="G370" i="177"/>
  <c r="C370" i="177"/>
  <c r="G369" i="177"/>
  <c r="C369" i="177"/>
  <c r="G368" i="177"/>
  <c r="C368" i="177"/>
  <c r="G367" i="177"/>
  <c r="C367" i="177"/>
  <c r="G365" i="177"/>
  <c r="C365" i="177"/>
  <c r="G364" i="177"/>
  <c r="C364" i="177"/>
  <c r="G363" i="177"/>
  <c r="C363" i="177"/>
  <c r="E361" i="177"/>
  <c r="E360" i="177"/>
  <c r="G359" i="177"/>
  <c r="C359" i="177"/>
  <c r="G358" i="177"/>
  <c r="C358" i="177"/>
  <c r="G357" i="177"/>
  <c r="C357" i="177"/>
  <c r="G356" i="177"/>
  <c r="C356" i="177"/>
  <c r="G355" i="177"/>
  <c r="C355" i="177"/>
  <c r="E354" i="177"/>
  <c r="E353" i="177"/>
  <c r="E352" i="177"/>
  <c r="C351" i="177"/>
  <c r="G349" i="177"/>
  <c r="C349" i="177"/>
  <c r="G348" i="177"/>
  <c r="C348" i="177"/>
  <c r="G347" i="177"/>
  <c r="C347" i="177"/>
  <c r="E346" i="177"/>
  <c r="G343" i="177"/>
  <c r="C343" i="177"/>
  <c r="G342" i="177"/>
  <c r="C342" i="177"/>
  <c r="G341" i="177"/>
  <c r="C341" i="177"/>
  <c r="G340" i="177"/>
  <c r="C340" i="177"/>
  <c r="G337" i="177"/>
  <c r="C337" i="177"/>
  <c r="G336" i="177"/>
  <c r="C336" i="177"/>
  <c r="G335" i="177"/>
  <c r="C335" i="177"/>
  <c r="G334" i="177"/>
  <c r="C334" i="177"/>
  <c r="G333" i="177"/>
  <c r="C333" i="177"/>
  <c r="G332" i="177"/>
  <c r="C332" i="177"/>
  <c r="G331" i="177"/>
  <c r="C331" i="177"/>
  <c r="G330" i="177"/>
  <c r="C330" i="177"/>
  <c r="G329" i="177"/>
  <c r="C329" i="177"/>
  <c r="G328" i="177"/>
  <c r="C328" i="177"/>
  <c r="G325" i="177"/>
  <c r="C325" i="177"/>
  <c r="E324" i="177"/>
  <c r="G323" i="177"/>
  <c r="C323" i="177"/>
  <c r="G322" i="177"/>
  <c r="C322" i="177"/>
  <c r="G321" i="177"/>
  <c r="C321" i="177"/>
  <c r="G320" i="177"/>
  <c r="C320" i="177"/>
  <c r="G319" i="177"/>
  <c r="C319" i="177"/>
  <c r="G318" i="177"/>
  <c r="C318" i="177"/>
  <c r="G317" i="177"/>
  <c r="C317" i="177"/>
  <c r="G316" i="177"/>
  <c r="C316" i="177"/>
  <c r="E315" i="177"/>
  <c r="E314" i="177"/>
  <c r="E313" i="177"/>
  <c r="E312" i="177"/>
  <c r="E311" i="177"/>
  <c r="E310" i="177"/>
  <c r="G309" i="177"/>
  <c r="C309" i="177"/>
  <c r="G308" i="177"/>
  <c r="C308" i="177"/>
  <c r="G307" i="177"/>
  <c r="C307" i="177"/>
  <c r="B307" i="177"/>
  <c r="E306" i="177"/>
  <c r="E305" i="177"/>
  <c r="G304" i="177"/>
  <c r="C304" i="177"/>
  <c r="E303" i="177"/>
  <c r="G299" i="177"/>
  <c r="C299" i="177"/>
  <c r="G298" i="177"/>
  <c r="C298" i="177"/>
  <c r="G297" i="177"/>
  <c r="C297" i="177"/>
  <c r="H296" i="177"/>
  <c r="G296" i="177"/>
  <c r="H291" i="177"/>
  <c r="G291" i="177"/>
  <c r="D291" i="177"/>
  <c r="C291" i="177"/>
  <c r="F290" i="177"/>
  <c r="C290" i="177"/>
  <c r="C289" i="177"/>
  <c r="C288" i="177"/>
  <c r="G286" i="177"/>
  <c r="C286" i="177"/>
  <c r="H285" i="177"/>
  <c r="G285" i="177"/>
  <c r="F285" i="177"/>
  <c r="E285" i="177"/>
  <c r="D285" i="177"/>
  <c r="C285" i="177"/>
  <c r="C284" i="177"/>
  <c r="C283" i="177"/>
  <c r="G282" i="177"/>
  <c r="C282" i="177"/>
  <c r="I281" i="177"/>
  <c r="H281" i="177"/>
  <c r="G281" i="177"/>
  <c r="E281" i="177"/>
  <c r="D281" i="177"/>
  <c r="C281" i="177"/>
  <c r="I280" i="177"/>
  <c r="H280" i="177"/>
  <c r="G280" i="177"/>
  <c r="E280" i="177"/>
  <c r="D280" i="177"/>
  <c r="C280" i="177"/>
  <c r="G279" i="177"/>
  <c r="C279" i="177"/>
  <c r="I278" i="177"/>
  <c r="H278" i="177"/>
  <c r="G278" i="177"/>
  <c r="E278" i="177"/>
  <c r="D278" i="177"/>
  <c r="C278" i="177"/>
  <c r="I277" i="177"/>
  <c r="H277" i="177"/>
  <c r="G277" i="177"/>
  <c r="E277" i="177"/>
  <c r="D277" i="177"/>
  <c r="C277" i="177"/>
  <c r="G275" i="177"/>
  <c r="C275" i="177"/>
  <c r="G274" i="177"/>
  <c r="C274" i="177"/>
  <c r="G273" i="177"/>
  <c r="C273" i="177"/>
  <c r="G272" i="177"/>
  <c r="C272" i="177"/>
  <c r="G271" i="177"/>
  <c r="C271" i="177"/>
  <c r="G270" i="177"/>
  <c r="C270" i="177"/>
  <c r="F268" i="177"/>
  <c r="E268" i="177"/>
  <c r="D268" i="177"/>
  <c r="F267" i="177"/>
  <c r="E267" i="177"/>
  <c r="D267" i="177"/>
  <c r="F266" i="177"/>
  <c r="E266" i="177"/>
  <c r="D266" i="177"/>
  <c r="C266" i="177"/>
  <c r="F265" i="177"/>
  <c r="E265" i="177"/>
  <c r="D265" i="177"/>
  <c r="C265" i="177"/>
  <c r="E264" i="177"/>
  <c r="D264" i="177"/>
  <c r="E263" i="177"/>
  <c r="D263" i="177"/>
  <c r="E262" i="177"/>
  <c r="D262" i="177"/>
  <c r="C262" i="177"/>
  <c r="E261" i="177"/>
  <c r="D261" i="177"/>
  <c r="C261" i="177"/>
  <c r="E260" i="177"/>
  <c r="D260" i="177"/>
  <c r="C260" i="177"/>
  <c r="E259" i="177"/>
  <c r="D259" i="177"/>
  <c r="C259" i="177"/>
  <c r="E258" i="177"/>
  <c r="D258" i="177"/>
  <c r="C258" i="177"/>
  <c r="E257" i="177"/>
  <c r="D257" i="177"/>
  <c r="C257" i="177"/>
  <c r="C256" i="177"/>
  <c r="C255" i="177"/>
  <c r="C254" i="177"/>
  <c r="C253" i="177"/>
  <c r="C252" i="177"/>
  <c r="C251" i="177"/>
  <c r="C250" i="177"/>
  <c r="C249" i="177"/>
  <c r="C248" i="177"/>
  <c r="C247" i="177"/>
  <c r="C246" i="177"/>
  <c r="C245" i="177"/>
  <c r="C244" i="177"/>
  <c r="C243" i="177"/>
  <c r="C242" i="177"/>
  <c r="F241" i="177"/>
  <c r="E241" i="177"/>
  <c r="D241" i="177"/>
  <c r="C241" i="177"/>
  <c r="G240" i="177"/>
  <c r="C240" i="177"/>
  <c r="G239" i="177"/>
  <c r="C239" i="177"/>
  <c r="G238" i="177"/>
  <c r="C238" i="177"/>
  <c r="G237" i="177"/>
  <c r="C237" i="177"/>
  <c r="G236" i="177"/>
  <c r="C236" i="177"/>
  <c r="C235" i="177"/>
  <c r="C234" i="177"/>
  <c r="C233" i="177"/>
  <c r="C232" i="177"/>
  <c r="C231" i="177"/>
  <c r="C230" i="177"/>
  <c r="C229" i="177"/>
  <c r="C228" i="177"/>
  <c r="C227" i="177"/>
  <c r="C226" i="177"/>
  <c r="C225" i="177"/>
  <c r="C224" i="177"/>
  <c r="C223" i="177"/>
  <c r="C222" i="177"/>
  <c r="C221" i="177"/>
  <c r="C220" i="177"/>
  <c r="G219" i="177"/>
  <c r="C219" i="177"/>
  <c r="G218" i="177"/>
  <c r="C218" i="177"/>
  <c r="G217" i="177"/>
  <c r="C217" i="177"/>
  <c r="G216" i="177"/>
  <c r="C216" i="177"/>
  <c r="G215" i="177"/>
  <c r="C215" i="177"/>
  <c r="G214" i="177"/>
  <c r="C214" i="177"/>
  <c r="G213" i="177"/>
  <c r="C213" i="177"/>
  <c r="G212" i="177"/>
  <c r="C212" i="177"/>
  <c r="G211" i="177"/>
  <c r="C211" i="177"/>
  <c r="G210" i="177"/>
  <c r="C210" i="177"/>
  <c r="G209" i="177"/>
  <c r="C209" i="177"/>
  <c r="G208" i="177"/>
  <c r="C208" i="177"/>
  <c r="G207" i="177"/>
  <c r="C207" i="177"/>
  <c r="G206" i="177"/>
  <c r="C206" i="177"/>
  <c r="G205" i="177"/>
  <c r="C205" i="177"/>
  <c r="G204" i="177"/>
  <c r="C204" i="177"/>
  <c r="G203" i="177"/>
  <c r="C203" i="177"/>
  <c r="G202" i="177"/>
  <c r="C202" i="177"/>
  <c r="G201" i="177"/>
  <c r="C201" i="177"/>
  <c r="G200" i="177"/>
  <c r="C200" i="177"/>
  <c r="G199" i="177"/>
  <c r="C199" i="177"/>
  <c r="G198" i="177"/>
  <c r="C198" i="177"/>
  <c r="G197" i="177"/>
  <c r="C197" i="177"/>
  <c r="G196" i="177"/>
  <c r="C196" i="177"/>
  <c r="G195" i="177"/>
  <c r="C195" i="177"/>
  <c r="G194" i="177"/>
  <c r="C194" i="177"/>
  <c r="G193" i="177"/>
  <c r="C193" i="177"/>
  <c r="G192" i="177"/>
  <c r="C192" i="177"/>
  <c r="G191" i="177"/>
  <c r="C191" i="177"/>
  <c r="G190" i="177"/>
  <c r="C190" i="177"/>
  <c r="G189" i="177"/>
  <c r="C189" i="177"/>
  <c r="G188" i="177"/>
  <c r="C188" i="177"/>
  <c r="G187" i="177"/>
  <c r="C187" i="177"/>
  <c r="G186" i="177"/>
  <c r="C186" i="177"/>
  <c r="G185" i="177"/>
  <c r="C185" i="177"/>
  <c r="G184" i="177"/>
  <c r="C184" i="177"/>
  <c r="G183" i="177"/>
  <c r="C183" i="177"/>
  <c r="G182" i="177"/>
  <c r="C182" i="177"/>
  <c r="G181" i="177"/>
  <c r="C181" i="177"/>
  <c r="G180" i="177"/>
  <c r="C180" i="177"/>
  <c r="G179" i="177"/>
  <c r="C179" i="177"/>
  <c r="G178" i="177"/>
  <c r="C178" i="177"/>
  <c r="G177" i="177"/>
  <c r="C177" i="177"/>
  <c r="G176" i="177"/>
  <c r="C176" i="177"/>
  <c r="G175" i="177"/>
  <c r="C175" i="177"/>
  <c r="G174" i="177"/>
  <c r="C174" i="177"/>
  <c r="G173" i="177"/>
  <c r="C173" i="177"/>
  <c r="G172" i="177"/>
  <c r="C172" i="177"/>
  <c r="G171" i="177"/>
  <c r="C171" i="177"/>
  <c r="G170" i="177"/>
  <c r="C170" i="177"/>
  <c r="G169" i="177"/>
  <c r="C169" i="177"/>
  <c r="G168" i="177"/>
  <c r="C168" i="177"/>
  <c r="G167" i="177"/>
  <c r="C167" i="177"/>
  <c r="G166" i="177"/>
  <c r="C166" i="177"/>
  <c r="G165" i="177"/>
  <c r="C165" i="177"/>
  <c r="G164" i="177"/>
  <c r="C164" i="177"/>
  <c r="G163" i="177"/>
  <c r="C163" i="177"/>
  <c r="G162" i="177"/>
  <c r="C162" i="177"/>
  <c r="G161" i="177"/>
  <c r="C161" i="177"/>
  <c r="I159" i="177"/>
  <c r="G159" i="177"/>
  <c r="E159" i="177"/>
  <c r="C159" i="177"/>
  <c r="I158" i="177"/>
  <c r="G158" i="177"/>
  <c r="E158" i="177"/>
  <c r="C158" i="177"/>
  <c r="I157" i="177"/>
  <c r="G157" i="177"/>
  <c r="E157" i="177"/>
  <c r="C157" i="177"/>
  <c r="I156" i="177"/>
  <c r="G156" i="177"/>
  <c r="E156" i="177"/>
  <c r="C156" i="177"/>
  <c r="G155" i="177"/>
  <c r="C155" i="177"/>
  <c r="G154" i="177"/>
  <c r="C154" i="177"/>
  <c r="H152" i="177"/>
  <c r="G152" i="177"/>
  <c r="D152" i="177"/>
  <c r="C152" i="177"/>
  <c r="G151" i="177"/>
  <c r="C151" i="177"/>
  <c r="H150" i="177"/>
  <c r="G150" i="177"/>
  <c r="D150" i="177"/>
  <c r="C150" i="177"/>
  <c r="H149" i="177"/>
  <c r="G149" i="177"/>
  <c r="D149" i="177"/>
  <c r="C149" i="177"/>
  <c r="G148" i="177"/>
  <c r="C148" i="177"/>
  <c r="C147" i="177"/>
  <c r="G145" i="177"/>
  <c r="C145" i="177"/>
  <c r="G144" i="177"/>
  <c r="C144" i="177"/>
  <c r="H143" i="177"/>
  <c r="G143" i="177"/>
  <c r="D143" i="177"/>
  <c r="C143" i="177"/>
  <c r="G142" i="177"/>
  <c r="C142" i="177"/>
  <c r="G141" i="177"/>
  <c r="C141" i="177"/>
  <c r="G140" i="177"/>
  <c r="C140" i="177"/>
  <c r="G139" i="177"/>
  <c r="C139" i="177"/>
  <c r="I138" i="177"/>
  <c r="G138" i="177"/>
  <c r="E138" i="177"/>
  <c r="C138" i="177"/>
  <c r="G137" i="177"/>
  <c r="C137" i="177"/>
  <c r="G136" i="177"/>
  <c r="C136" i="177"/>
  <c r="G135" i="177"/>
  <c r="C135" i="177"/>
  <c r="G134" i="177"/>
  <c r="C134" i="177"/>
  <c r="G133" i="177"/>
  <c r="C133" i="177"/>
  <c r="G132" i="177"/>
  <c r="C132" i="177"/>
  <c r="G131" i="177"/>
  <c r="C131" i="177"/>
  <c r="G130" i="177"/>
  <c r="C130" i="177"/>
  <c r="G129" i="177"/>
  <c r="C129" i="177"/>
  <c r="G128" i="177"/>
  <c r="C128" i="177"/>
  <c r="G127" i="177"/>
  <c r="C127" i="177"/>
  <c r="G126" i="177"/>
  <c r="C126" i="177"/>
  <c r="G125" i="177"/>
  <c r="C125" i="177"/>
  <c r="H124" i="177"/>
  <c r="G124" i="177"/>
  <c r="D124" i="177"/>
  <c r="C124" i="177"/>
  <c r="I123" i="177"/>
  <c r="G123" i="177"/>
  <c r="E123" i="177"/>
  <c r="C123" i="177"/>
  <c r="G122" i="177"/>
  <c r="C122" i="177"/>
  <c r="I121" i="177"/>
  <c r="G121" i="177"/>
  <c r="E121" i="177"/>
  <c r="C121" i="177"/>
  <c r="G120" i="177"/>
  <c r="C120" i="177"/>
  <c r="G119" i="177"/>
  <c r="C119" i="177"/>
  <c r="G118" i="177"/>
  <c r="C118" i="177"/>
  <c r="I117" i="177"/>
  <c r="G117" i="177"/>
  <c r="E117" i="177"/>
  <c r="C117" i="177"/>
  <c r="G116" i="177"/>
  <c r="C116" i="177"/>
  <c r="I115" i="177"/>
  <c r="G115" i="177"/>
  <c r="E115" i="177"/>
  <c r="C115" i="177"/>
  <c r="G114" i="177"/>
  <c r="C114" i="177"/>
  <c r="G113" i="177"/>
  <c r="C113" i="177"/>
  <c r="G112" i="177"/>
  <c r="C112" i="177"/>
  <c r="G111" i="177"/>
  <c r="C111" i="177"/>
  <c r="G110" i="177"/>
  <c r="C110" i="177"/>
  <c r="C109" i="177"/>
  <c r="E108" i="177"/>
  <c r="C108" i="177"/>
  <c r="C107" i="177"/>
  <c r="C106" i="177"/>
  <c r="G105" i="177"/>
  <c r="C105" i="177"/>
  <c r="G104" i="177"/>
  <c r="C104" i="177"/>
  <c r="I103" i="177"/>
  <c r="G103" i="177"/>
  <c r="E103" i="177"/>
  <c r="C103" i="177"/>
  <c r="I102" i="177"/>
  <c r="G102" i="177"/>
  <c r="E102" i="177"/>
  <c r="C102" i="177"/>
  <c r="I101" i="177"/>
  <c r="G101" i="177"/>
  <c r="E101" i="177"/>
  <c r="C101" i="177"/>
  <c r="I100" i="177"/>
  <c r="G100" i="177"/>
  <c r="E100" i="177"/>
  <c r="C100" i="177"/>
  <c r="I99" i="177"/>
  <c r="G99" i="177"/>
  <c r="E99" i="177"/>
  <c r="C99" i="177"/>
  <c r="G98" i="177"/>
  <c r="C98" i="177"/>
  <c r="G97" i="177"/>
  <c r="C97" i="177"/>
  <c r="C96" i="177"/>
  <c r="E95" i="177"/>
  <c r="C95" i="177"/>
  <c r="I94" i="177"/>
  <c r="G94" i="177"/>
  <c r="E94" i="177"/>
  <c r="C94" i="177"/>
  <c r="I93" i="177"/>
  <c r="G93" i="177"/>
  <c r="E93" i="177"/>
  <c r="C93" i="177"/>
  <c r="I92" i="177"/>
  <c r="G92" i="177"/>
  <c r="E92" i="177"/>
  <c r="C92" i="177"/>
  <c r="G91" i="177"/>
  <c r="C91" i="177"/>
  <c r="I90" i="177"/>
  <c r="G90" i="177"/>
  <c r="E90" i="177"/>
  <c r="C90" i="177"/>
  <c r="I89" i="177"/>
  <c r="G89" i="177"/>
  <c r="E89" i="177"/>
  <c r="C89" i="177"/>
  <c r="E88" i="177"/>
  <c r="C88" i="177"/>
  <c r="E87" i="177"/>
  <c r="C87" i="177"/>
  <c r="E84" i="177"/>
  <c r="G83" i="177"/>
  <c r="C83" i="177"/>
  <c r="I82" i="177"/>
  <c r="H82" i="177"/>
  <c r="G82" i="177"/>
  <c r="E82" i="177"/>
  <c r="D82" i="177"/>
  <c r="C82" i="177"/>
  <c r="G80" i="177"/>
  <c r="F80" i="177"/>
  <c r="C80" i="177"/>
  <c r="B80" i="177"/>
  <c r="G79" i="177"/>
  <c r="F79" i="177"/>
  <c r="C79" i="177"/>
  <c r="B79" i="177"/>
  <c r="F78" i="177"/>
  <c r="B78" i="177"/>
  <c r="F77" i="177"/>
  <c r="B77" i="177"/>
  <c r="G75" i="177"/>
  <c r="C75" i="177"/>
  <c r="C72" i="177"/>
  <c r="C71" i="177"/>
  <c r="C65" i="177"/>
  <c r="B65" i="177"/>
  <c r="C64" i="177"/>
  <c r="B64" i="177"/>
  <c r="D63" i="177"/>
  <c r="B63" i="177"/>
  <c r="D62" i="177"/>
  <c r="B62" i="177"/>
  <c r="E61" i="177"/>
  <c r="D61" i="177"/>
  <c r="B61" i="177"/>
  <c r="D60" i="177"/>
  <c r="B60" i="177"/>
  <c r="D56" i="177"/>
  <c r="G55" i="177"/>
  <c r="D55" i="177"/>
  <c r="G54" i="177"/>
  <c r="D54" i="177"/>
  <c r="G53" i="177"/>
  <c r="D53" i="177"/>
  <c r="E52" i="177"/>
  <c r="D52" i="177"/>
  <c r="C52" i="177"/>
  <c r="B52" i="177"/>
  <c r="A52" i="177"/>
  <c r="D51" i="177"/>
  <c r="C51" i="177"/>
  <c r="B51" i="177"/>
  <c r="A51" i="177"/>
  <c r="G50" i="177"/>
  <c r="E50" i="177"/>
  <c r="C50" i="177"/>
  <c r="B50" i="177"/>
  <c r="G49" i="177"/>
  <c r="E49" i="177"/>
  <c r="D49" i="177"/>
  <c r="B49" i="177"/>
  <c r="A49" i="177"/>
  <c r="C48" i="177"/>
  <c r="B48" i="177"/>
  <c r="A48" i="177"/>
  <c r="E47" i="177"/>
  <c r="D47" i="177"/>
  <c r="C47" i="177"/>
  <c r="B47" i="177"/>
  <c r="F46" i="177"/>
  <c r="E46" i="177"/>
  <c r="D46" i="177"/>
  <c r="C46" i="177"/>
  <c r="B46" i="177"/>
  <c r="F45" i="177"/>
  <c r="D45" i="177"/>
  <c r="B45" i="177"/>
  <c r="D44" i="177"/>
  <c r="B44" i="177"/>
  <c r="G43" i="177"/>
  <c r="C43" i="177"/>
  <c r="H42" i="177"/>
  <c r="G42" i="177"/>
  <c r="D42" i="177"/>
  <c r="C42" i="177"/>
  <c r="A42" i="177"/>
  <c r="A41" i="177"/>
  <c r="H40" i="177"/>
  <c r="G40" i="177"/>
  <c r="F40" i="177"/>
  <c r="D40" i="177"/>
  <c r="C40" i="177"/>
  <c r="B40" i="177"/>
  <c r="A40" i="177"/>
  <c r="C39" i="177"/>
  <c r="B39" i="177"/>
  <c r="A39" i="177"/>
  <c r="C38" i="177"/>
  <c r="G37" i="177"/>
  <c r="C37" i="177"/>
  <c r="C36" i="177"/>
  <c r="B36" i="177"/>
  <c r="A36" i="177"/>
  <c r="G35" i="177"/>
  <c r="C35" i="177"/>
  <c r="G33" i="177"/>
  <c r="G32" i="177"/>
  <c r="C32" i="177"/>
  <c r="G29" i="177"/>
  <c r="C29" i="177"/>
  <c r="G28" i="177"/>
  <c r="C28" i="177"/>
  <c r="C27" i="177"/>
  <c r="B27" i="177"/>
  <c r="C26" i="177"/>
  <c r="B26" i="177"/>
  <c r="D25" i="177"/>
  <c r="B25" i="177"/>
  <c r="D24" i="177"/>
  <c r="B24" i="177"/>
  <c r="H23" i="177"/>
  <c r="F23" i="177"/>
  <c r="D23" i="177"/>
  <c r="B23" i="177"/>
  <c r="A23" i="177"/>
  <c r="I22" i="177"/>
  <c r="H22" i="177"/>
  <c r="G22" i="177"/>
  <c r="F22" i="177"/>
  <c r="E22" i="177"/>
  <c r="D22" i="177"/>
  <c r="C22" i="177"/>
  <c r="B22" i="177"/>
  <c r="A22" i="177"/>
  <c r="D21" i="177"/>
  <c r="G20" i="177"/>
  <c r="E19" i="177"/>
  <c r="D19" i="177"/>
  <c r="B19" i="177"/>
  <c r="A19" i="177"/>
  <c r="H18" i="177"/>
  <c r="F18" i="177"/>
  <c r="D18" i="177"/>
  <c r="B18" i="177"/>
  <c r="A18" i="177"/>
  <c r="C17" i="177"/>
  <c r="D16" i="177"/>
  <c r="B16" i="177"/>
  <c r="A16" i="177"/>
  <c r="D15" i="177"/>
  <c r="C364" i="179"/>
  <c r="C363" i="179"/>
  <c r="C362" i="179"/>
  <c r="C361" i="179"/>
  <c r="C359" i="179"/>
  <c r="C358" i="179"/>
  <c r="C357" i="179"/>
  <c r="C356" i="179"/>
  <c r="C355" i="179"/>
  <c r="C354" i="179"/>
  <c r="C353" i="179"/>
  <c r="C352" i="179"/>
  <c r="C351" i="179"/>
  <c r="C350" i="179"/>
  <c r="C349" i="179"/>
  <c r="C348" i="179"/>
  <c r="A347" i="179"/>
  <c r="C344" i="179"/>
  <c r="C343" i="179"/>
  <c r="C342" i="179"/>
  <c r="C341" i="179"/>
  <c r="C339" i="179"/>
  <c r="C338" i="179"/>
  <c r="C337" i="179"/>
  <c r="C336" i="179"/>
  <c r="C335" i="179"/>
  <c r="C334" i="179"/>
  <c r="C333" i="179"/>
  <c r="C332" i="179"/>
  <c r="C331" i="179"/>
  <c r="C330" i="179"/>
  <c r="C329" i="179"/>
  <c r="C328" i="179"/>
  <c r="D327" i="179"/>
  <c r="C327" i="179"/>
  <c r="A327" i="179"/>
  <c r="C324" i="179"/>
  <c r="C323" i="179"/>
  <c r="C322" i="179"/>
  <c r="C320" i="179"/>
  <c r="C319" i="179"/>
  <c r="C318" i="179"/>
  <c r="C317" i="179"/>
  <c r="C316" i="179"/>
  <c r="C315" i="179"/>
  <c r="C314" i="179"/>
  <c r="C313" i="179"/>
  <c r="C309" i="179"/>
  <c r="C308" i="179"/>
  <c r="C307" i="179"/>
  <c r="E305" i="179"/>
  <c r="C305" i="179"/>
  <c r="C304" i="179"/>
  <c r="C303" i="179"/>
  <c r="C302" i="179"/>
  <c r="C301" i="179"/>
  <c r="C300" i="179"/>
  <c r="E298" i="179"/>
  <c r="C298" i="179"/>
  <c r="C297" i="179"/>
  <c r="C293" i="179"/>
  <c r="C292" i="179"/>
  <c r="C291" i="179"/>
  <c r="C290" i="179"/>
  <c r="C289" i="179"/>
  <c r="C288" i="179"/>
  <c r="C287" i="179"/>
  <c r="C286" i="179"/>
  <c r="C285" i="179"/>
  <c r="C284" i="179"/>
  <c r="C283" i="179"/>
  <c r="C282" i="179"/>
  <c r="C281" i="179"/>
  <c r="C280" i="179"/>
  <c r="C279" i="179"/>
  <c r="C278" i="179"/>
  <c r="C277" i="179"/>
  <c r="B277" i="179"/>
  <c r="A277" i="179"/>
  <c r="C276" i="179"/>
  <c r="C275" i="179"/>
  <c r="C274" i="179"/>
  <c r="C273" i="179"/>
  <c r="G269" i="179"/>
  <c r="E269" i="179"/>
  <c r="B269" i="179"/>
  <c r="B268" i="179"/>
  <c r="E267" i="179"/>
  <c r="B267" i="179"/>
  <c r="H265" i="179"/>
  <c r="E265" i="179"/>
  <c r="G260" i="179"/>
  <c r="C260" i="179"/>
  <c r="G259" i="179"/>
  <c r="C259" i="179"/>
  <c r="G258" i="179"/>
  <c r="C258" i="179"/>
  <c r="G257" i="179"/>
  <c r="C257" i="179"/>
  <c r="G256" i="179"/>
  <c r="C256" i="179"/>
  <c r="G255" i="179"/>
  <c r="C255" i="179"/>
  <c r="G254" i="179"/>
  <c r="C254" i="179"/>
  <c r="G253" i="179"/>
  <c r="C253" i="179"/>
  <c r="H252" i="179"/>
  <c r="G252" i="179"/>
  <c r="D252" i="179"/>
  <c r="C252" i="179"/>
  <c r="I251" i="179"/>
  <c r="H251" i="179"/>
  <c r="G251" i="179"/>
  <c r="F251" i="179"/>
  <c r="E251" i="179"/>
  <c r="D251" i="179"/>
  <c r="C251" i="179"/>
  <c r="H250" i="179"/>
  <c r="G250" i="179"/>
  <c r="D250" i="179"/>
  <c r="C250" i="179"/>
  <c r="H249" i="179"/>
  <c r="G249" i="179"/>
  <c r="D249" i="179"/>
  <c r="C249" i="179"/>
  <c r="G248" i="179"/>
  <c r="C248" i="179"/>
  <c r="G247" i="179"/>
  <c r="C247" i="179"/>
  <c r="G246" i="179"/>
  <c r="C246" i="179"/>
  <c r="G245" i="179"/>
  <c r="C245" i="179"/>
  <c r="G244" i="179"/>
  <c r="C244" i="179"/>
  <c r="G243" i="179"/>
  <c r="C243" i="179"/>
  <c r="G242" i="179"/>
  <c r="C242" i="179"/>
  <c r="I241" i="179"/>
  <c r="G241" i="179"/>
  <c r="E241" i="179"/>
  <c r="C241" i="179"/>
  <c r="I240" i="179"/>
  <c r="G240" i="179"/>
  <c r="E240" i="179"/>
  <c r="C240" i="179"/>
  <c r="I239" i="179"/>
  <c r="G239" i="179"/>
  <c r="E239" i="179"/>
  <c r="C239" i="179"/>
  <c r="I238" i="179"/>
  <c r="G238" i="179"/>
  <c r="E238" i="179"/>
  <c r="C238" i="179"/>
  <c r="G237" i="179"/>
  <c r="C237" i="179"/>
  <c r="G236" i="179"/>
  <c r="C236" i="179"/>
  <c r="G235" i="179"/>
  <c r="C235" i="179"/>
  <c r="G234" i="179"/>
  <c r="C234" i="179"/>
  <c r="G233" i="179"/>
  <c r="C233" i="179"/>
  <c r="I232" i="179"/>
  <c r="G232" i="179"/>
  <c r="E232" i="179"/>
  <c r="C232" i="179"/>
  <c r="G231" i="179"/>
  <c r="C231" i="179"/>
  <c r="G230" i="179"/>
  <c r="C230" i="179"/>
  <c r="G229" i="179"/>
  <c r="C229" i="179"/>
  <c r="G228" i="179"/>
  <c r="C228" i="179"/>
  <c r="G227" i="179"/>
  <c r="C227" i="179"/>
  <c r="G226" i="179"/>
  <c r="C226" i="179"/>
  <c r="G225" i="179"/>
  <c r="C225" i="179"/>
  <c r="G224" i="179"/>
  <c r="E224" i="179"/>
  <c r="C224" i="179"/>
  <c r="G223" i="179"/>
  <c r="C223" i="179"/>
  <c r="G222" i="179"/>
  <c r="C222" i="179"/>
  <c r="I220" i="179"/>
  <c r="H220" i="179"/>
  <c r="G220" i="179"/>
  <c r="F220" i="179"/>
  <c r="E220" i="179"/>
  <c r="I219" i="179"/>
  <c r="H219" i="179"/>
  <c r="G219" i="179"/>
  <c r="F219" i="179"/>
  <c r="E219" i="179"/>
  <c r="D219" i="179"/>
  <c r="C219" i="179"/>
  <c r="I218" i="179"/>
  <c r="H218" i="179"/>
  <c r="G218" i="179"/>
  <c r="F218" i="179"/>
  <c r="E218" i="179"/>
  <c r="I217" i="179"/>
  <c r="H217" i="179"/>
  <c r="G217" i="179"/>
  <c r="F217" i="179"/>
  <c r="E217" i="179"/>
  <c r="D217" i="179"/>
  <c r="C217" i="179"/>
  <c r="C216" i="179"/>
  <c r="I215" i="179"/>
  <c r="H215" i="179"/>
  <c r="G215" i="179"/>
  <c r="F215" i="179"/>
  <c r="E215" i="179"/>
  <c r="D215" i="179"/>
  <c r="C215" i="179"/>
  <c r="C214" i="179"/>
  <c r="C212" i="179"/>
  <c r="D211" i="179"/>
  <c r="C211" i="179"/>
  <c r="D210" i="179"/>
  <c r="C210" i="179"/>
  <c r="D209" i="179"/>
  <c r="C209" i="179"/>
  <c r="C208" i="179"/>
  <c r="C207" i="179"/>
  <c r="C206" i="179"/>
  <c r="C205" i="179"/>
  <c r="C204" i="179"/>
  <c r="C203" i="179"/>
  <c r="C202" i="179"/>
  <c r="C201" i="179"/>
  <c r="C200" i="179"/>
  <c r="C199" i="179"/>
  <c r="C198" i="179"/>
  <c r="C197" i="179"/>
  <c r="C196" i="179"/>
  <c r="C195" i="179"/>
  <c r="E194" i="179"/>
  <c r="C194" i="179"/>
  <c r="C193" i="179"/>
  <c r="C192" i="179"/>
  <c r="C189" i="179"/>
  <c r="D188" i="179"/>
  <c r="C188" i="179"/>
  <c r="D187" i="179"/>
  <c r="C187" i="179"/>
  <c r="D186" i="179"/>
  <c r="C186" i="179"/>
  <c r="C185" i="179"/>
  <c r="C184" i="179"/>
  <c r="E183" i="179"/>
  <c r="C183" i="179"/>
  <c r="C182" i="179"/>
  <c r="C181" i="179"/>
  <c r="C180" i="179"/>
  <c r="E179" i="179"/>
  <c r="C179" i="179"/>
  <c r="C178" i="179"/>
  <c r="C177" i="179"/>
  <c r="C176" i="179"/>
  <c r="C175" i="179"/>
  <c r="C174" i="179"/>
  <c r="C173" i="179"/>
  <c r="I172" i="179"/>
  <c r="H172" i="179"/>
  <c r="G172" i="179"/>
  <c r="F172" i="179"/>
  <c r="E172" i="179"/>
  <c r="D172" i="179"/>
  <c r="C172" i="179"/>
  <c r="I171" i="179"/>
  <c r="H171" i="179"/>
  <c r="G171" i="179"/>
  <c r="F171" i="179"/>
  <c r="E171" i="179"/>
  <c r="D171" i="179"/>
  <c r="C171" i="179"/>
  <c r="I170" i="179"/>
  <c r="H170" i="179"/>
  <c r="G170" i="179"/>
  <c r="F170" i="179"/>
  <c r="E170" i="179"/>
  <c r="D170" i="179"/>
  <c r="C170" i="179"/>
  <c r="D167" i="179"/>
  <c r="C167" i="179"/>
  <c r="C166" i="179"/>
  <c r="D165" i="179"/>
  <c r="C165" i="179"/>
  <c r="C164" i="179"/>
  <c r="C160" i="179"/>
  <c r="G159" i="179"/>
  <c r="C159" i="179"/>
  <c r="C158" i="179"/>
  <c r="C157" i="179"/>
  <c r="D156" i="179"/>
  <c r="C156" i="179"/>
  <c r="D155" i="179"/>
  <c r="C155" i="179"/>
  <c r="C154" i="179"/>
  <c r="C153" i="179"/>
  <c r="C152" i="179"/>
  <c r="C151" i="179"/>
  <c r="C150" i="179"/>
  <c r="C149" i="179"/>
  <c r="C148" i="179"/>
  <c r="C147" i="179"/>
  <c r="C146" i="179"/>
  <c r="C145" i="179"/>
  <c r="C144" i="179"/>
  <c r="C143" i="179"/>
  <c r="C142" i="179"/>
  <c r="C141" i="179"/>
  <c r="C140" i="179"/>
  <c r="C139" i="179"/>
  <c r="C138" i="179"/>
  <c r="C137" i="179"/>
  <c r="C136" i="179"/>
  <c r="G135" i="179"/>
  <c r="E135" i="179"/>
  <c r="C135" i="179"/>
  <c r="C134" i="179"/>
  <c r="C133" i="179"/>
  <c r="C132" i="179"/>
  <c r="C131" i="179"/>
  <c r="C130" i="179"/>
  <c r="E129" i="179"/>
  <c r="C129" i="179"/>
  <c r="C128" i="179"/>
  <c r="C127" i="179"/>
  <c r="C126" i="179"/>
  <c r="C125" i="179"/>
  <c r="C124" i="179"/>
  <c r="C123" i="179"/>
  <c r="C122" i="179"/>
  <c r="G121" i="179"/>
  <c r="E121" i="179"/>
  <c r="C121" i="179"/>
  <c r="G120" i="179"/>
  <c r="E120" i="179"/>
  <c r="C120" i="179"/>
  <c r="E119" i="179"/>
  <c r="C119" i="179"/>
  <c r="C118" i="179"/>
  <c r="E117" i="179"/>
  <c r="C117" i="179"/>
  <c r="E116" i="179"/>
  <c r="C116" i="179"/>
  <c r="E115" i="179"/>
  <c r="C115" i="179"/>
  <c r="C112" i="179"/>
  <c r="E109" i="179"/>
  <c r="C109" i="179"/>
  <c r="E108" i="179"/>
  <c r="C108" i="179"/>
  <c r="E107" i="179"/>
  <c r="C107" i="179"/>
  <c r="C106" i="179"/>
  <c r="E105" i="179"/>
  <c r="C105" i="179"/>
  <c r="C104" i="179"/>
  <c r="C103" i="179"/>
  <c r="B103" i="179"/>
  <c r="C102" i="179"/>
  <c r="B102" i="179"/>
  <c r="B101" i="179"/>
  <c r="B100" i="179"/>
  <c r="E97" i="179"/>
  <c r="C93" i="179"/>
  <c r="E90" i="179"/>
  <c r="C90" i="179"/>
  <c r="E89" i="179"/>
  <c r="C89" i="179"/>
  <c r="E88" i="179"/>
  <c r="C88" i="179"/>
  <c r="C87" i="179"/>
  <c r="E86" i="179"/>
  <c r="C86" i="179"/>
  <c r="C85" i="179"/>
  <c r="C84" i="179"/>
  <c r="B84" i="179"/>
  <c r="C83" i="179"/>
  <c r="B83" i="179"/>
  <c r="B82" i="179"/>
  <c r="B81" i="179"/>
  <c r="E80" i="179"/>
  <c r="D79" i="179"/>
  <c r="C79" i="179"/>
  <c r="D77" i="179"/>
  <c r="C77" i="179"/>
  <c r="C76" i="179"/>
  <c r="A76" i="179"/>
  <c r="E75" i="179"/>
  <c r="B74" i="179"/>
  <c r="A74" i="179"/>
  <c r="I73" i="179"/>
  <c r="H73" i="179"/>
  <c r="G73" i="179"/>
  <c r="F73" i="179"/>
  <c r="E73" i="179"/>
  <c r="I72" i="179"/>
  <c r="H72" i="179"/>
  <c r="G72" i="179"/>
  <c r="F72" i="179"/>
  <c r="E72" i="179"/>
  <c r="D72" i="179"/>
  <c r="C72" i="179"/>
  <c r="A72" i="179"/>
  <c r="I71" i="179"/>
  <c r="G71" i="179"/>
  <c r="E71" i="179"/>
  <c r="D71" i="179"/>
  <c r="C71" i="179"/>
  <c r="C69" i="179"/>
  <c r="C67" i="179"/>
  <c r="C66" i="179"/>
  <c r="C65" i="179"/>
  <c r="C64" i="179"/>
  <c r="B64" i="179"/>
  <c r="C63" i="179"/>
  <c r="B63" i="179"/>
  <c r="B62" i="179"/>
  <c r="B61" i="179"/>
  <c r="E60" i="179"/>
  <c r="D60" i="179"/>
  <c r="C60" i="179"/>
  <c r="E59" i="179"/>
  <c r="D59" i="179"/>
  <c r="C59" i="179"/>
  <c r="E58" i="179"/>
  <c r="D58" i="179"/>
  <c r="D57" i="179"/>
  <c r="C57" i="179"/>
  <c r="E56" i="179"/>
  <c r="E55" i="179"/>
  <c r="D52" i="179"/>
  <c r="C52" i="179"/>
  <c r="C51" i="179"/>
  <c r="C50" i="179"/>
  <c r="C49" i="179"/>
  <c r="B49" i="179"/>
  <c r="C48" i="179"/>
  <c r="B48" i="179"/>
  <c r="B47" i="179"/>
  <c r="B46" i="179"/>
  <c r="E45" i="179"/>
  <c r="D45" i="179"/>
  <c r="C45" i="179"/>
  <c r="C44" i="179"/>
  <c r="E43" i="179"/>
  <c r="D43" i="179"/>
  <c r="D42" i="179"/>
  <c r="C42" i="179"/>
  <c r="D41" i="179"/>
  <c r="C41" i="179"/>
  <c r="D40" i="179"/>
  <c r="C40" i="179"/>
  <c r="C39" i="179"/>
  <c r="C38" i="179"/>
  <c r="C37" i="179"/>
  <c r="E36" i="179"/>
  <c r="D36" i="179"/>
  <c r="A36" i="179"/>
  <c r="F35" i="179"/>
  <c r="E35" i="179"/>
  <c r="D35" i="179"/>
  <c r="C35" i="179"/>
  <c r="A35" i="179"/>
  <c r="C34" i="179"/>
  <c r="C33" i="179"/>
  <c r="D32" i="179"/>
  <c r="C32" i="179"/>
  <c r="D29" i="179"/>
  <c r="E28" i="179"/>
  <c r="C28" i="179"/>
  <c r="E27" i="179"/>
  <c r="D27" i="179"/>
  <c r="B27" i="179"/>
  <c r="A27" i="179"/>
  <c r="C25" i="179"/>
  <c r="C24" i="179"/>
  <c r="C21" i="179"/>
  <c r="C18" i="179"/>
  <c r="D17" i="179"/>
  <c r="D16" i="179"/>
  <c r="C14" i="179"/>
  <c r="D13" i="179"/>
  <c r="D11" i="179"/>
  <c r="B11" i="179"/>
  <c r="H485" i="178"/>
  <c r="G485" i="178"/>
  <c r="D485" i="178"/>
  <c r="C485" i="178"/>
  <c r="H484" i="178"/>
  <c r="G484" i="178"/>
  <c r="D484" i="178"/>
  <c r="C484" i="178"/>
  <c r="F483" i="178"/>
  <c r="E483" i="178"/>
  <c r="F482" i="178"/>
  <c r="E482" i="178"/>
  <c r="E481" i="178"/>
  <c r="E480" i="178"/>
  <c r="H479" i="178"/>
  <c r="G479" i="178"/>
  <c r="D479" i="178"/>
  <c r="C479" i="178"/>
  <c r="H478" i="178"/>
  <c r="G478" i="178"/>
  <c r="D478" i="178"/>
  <c r="C478" i="178"/>
  <c r="H477" i="178"/>
  <c r="G477" i="178"/>
  <c r="D477" i="178"/>
  <c r="C477" i="178"/>
  <c r="H476" i="178"/>
  <c r="G476" i="178"/>
  <c r="D476" i="178"/>
  <c r="C476" i="178"/>
  <c r="C475" i="178"/>
  <c r="E474" i="178"/>
  <c r="E473" i="178"/>
  <c r="G472" i="178"/>
  <c r="F472" i="178"/>
  <c r="E472" i="178"/>
  <c r="D472" i="178"/>
  <c r="C472" i="178"/>
  <c r="B472" i="178"/>
  <c r="E471" i="178"/>
  <c r="G470" i="178"/>
  <c r="F470" i="178"/>
  <c r="E470" i="178"/>
  <c r="D470" i="178"/>
  <c r="C470" i="178"/>
  <c r="B470" i="178"/>
  <c r="G469" i="178"/>
  <c r="F469" i="178"/>
  <c r="E469" i="178"/>
  <c r="F468" i="178"/>
  <c r="E468" i="178"/>
  <c r="F467" i="178"/>
  <c r="E467" i="178"/>
  <c r="F466" i="178"/>
  <c r="E466" i="178"/>
  <c r="E464" i="178"/>
  <c r="E463" i="178"/>
  <c r="E462" i="178"/>
  <c r="E461" i="178"/>
  <c r="E460" i="178"/>
  <c r="E459" i="178"/>
  <c r="G458" i="178"/>
  <c r="C458" i="178"/>
  <c r="G457" i="178"/>
  <c r="C457" i="178"/>
  <c r="G456" i="178"/>
  <c r="C456" i="178"/>
  <c r="G455" i="178"/>
  <c r="C455" i="178"/>
  <c r="G454" i="178"/>
  <c r="C454" i="178"/>
  <c r="G453" i="178"/>
  <c r="C453" i="178"/>
  <c r="G452" i="178"/>
  <c r="C452" i="178"/>
  <c r="G451" i="178"/>
  <c r="C451" i="178"/>
  <c r="G450" i="178"/>
  <c r="C450" i="178"/>
  <c r="G449" i="178"/>
  <c r="C449" i="178"/>
  <c r="G448" i="178"/>
  <c r="C448" i="178"/>
  <c r="G446" i="178"/>
  <c r="C446" i="178"/>
  <c r="G445" i="178"/>
  <c r="C445" i="178"/>
  <c r="G444" i="178"/>
  <c r="C444" i="178"/>
  <c r="E442" i="178"/>
  <c r="E441" i="178"/>
  <c r="G440" i="178"/>
  <c r="C440" i="178"/>
  <c r="G439" i="178"/>
  <c r="C439" i="178"/>
  <c r="G438" i="178"/>
  <c r="C438" i="178"/>
  <c r="G437" i="178"/>
  <c r="C437" i="178"/>
  <c r="G436" i="178"/>
  <c r="C436" i="178"/>
  <c r="E435" i="178"/>
  <c r="E434" i="178"/>
  <c r="E433" i="178"/>
  <c r="C432" i="178"/>
  <c r="G430" i="178"/>
  <c r="C430" i="178"/>
  <c r="G429" i="178"/>
  <c r="C429" i="178"/>
  <c r="G428" i="178"/>
  <c r="C428" i="178"/>
  <c r="G427" i="178"/>
  <c r="C427" i="178"/>
  <c r="G426" i="178"/>
  <c r="C426" i="178"/>
  <c r="E425" i="178"/>
  <c r="G422" i="178"/>
  <c r="C422" i="178"/>
  <c r="G421" i="178"/>
  <c r="C421" i="178"/>
  <c r="G420" i="178"/>
  <c r="C420" i="178"/>
  <c r="G419" i="178"/>
  <c r="C419" i="178"/>
  <c r="G418" i="178"/>
  <c r="C418" i="178"/>
  <c r="G417" i="178"/>
  <c r="C417" i="178"/>
  <c r="G416" i="178"/>
  <c r="C416" i="178"/>
  <c r="G415" i="178"/>
  <c r="C415" i="178"/>
  <c r="G414" i="178"/>
  <c r="C414" i="178"/>
  <c r="G413" i="178"/>
  <c r="C413" i="178"/>
  <c r="G412" i="178"/>
  <c r="C412" i="178"/>
  <c r="G411" i="178"/>
  <c r="C411" i="178"/>
  <c r="G408" i="178"/>
  <c r="C408" i="178"/>
  <c r="G407" i="178"/>
  <c r="C407" i="178"/>
  <c r="G406" i="178"/>
  <c r="C406" i="178"/>
  <c r="G405" i="178"/>
  <c r="C405" i="178"/>
  <c r="G404" i="178"/>
  <c r="C404" i="178"/>
  <c r="G403" i="178"/>
  <c r="C403" i="178"/>
  <c r="G402" i="178"/>
  <c r="C402" i="178"/>
  <c r="G401" i="178"/>
  <c r="C401" i="178"/>
  <c r="G400" i="178"/>
  <c r="C400" i="178"/>
  <c r="G399" i="178"/>
  <c r="C399" i="178"/>
  <c r="G396" i="178"/>
  <c r="C396" i="178"/>
  <c r="E395" i="178"/>
  <c r="G394" i="178"/>
  <c r="C394" i="178"/>
  <c r="G393" i="178"/>
  <c r="C393" i="178"/>
  <c r="G392" i="178"/>
  <c r="C392" i="178"/>
  <c r="G391" i="178"/>
  <c r="C391" i="178"/>
  <c r="G390" i="178"/>
  <c r="C390" i="178"/>
  <c r="G389" i="178"/>
  <c r="C389" i="178"/>
  <c r="G388" i="178"/>
  <c r="C388" i="178"/>
  <c r="G387" i="178"/>
  <c r="C387" i="178"/>
  <c r="E386" i="178"/>
  <c r="E385" i="178"/>
  <c r="E384" i="178"/>
  <c r="E383" i="178"/>
  <c r="E382" i="178"/>
  <c r="E381" i="178"/>
  <c r="E380" i="178"/>
  <c r="E379" i="178"/>
  <c r="E378" i="178"/>
  <c r="B378" i="178"/>
  <c r="A378" i="178"/>
  <c r="E377" i="178"/>
  <c r="E376" i="178"/>
  <c r="G375" i="178"/>
  <c r="C375" i="178"/>
  <c r="G371" i="178"/>
  <c r="C371" i="178"/>
  <c r="G370" i="178"/>
  <c r="C370" i="178"/>
  <c r="G369" i="178"/>
  <c r="C369" i="178"/>
  <c r="C368" i="178"/>
  <c r="H367" i="178"/>
  <c r="G367" i="178"/>
  <c r="H362" i="178"/>
  <c r="G362" i="178"/>
  <c r="D362" i="178"/>
  <c r="C362" i="178"/>
  <c r="G361" i="178"/>
  <c r="C361" i="178"/>
  <c r="G360" i="178"/>
  <c r="C360" i="178"/>
  <c r="G359" i="178"/>
  <c r="C359" i="178"/>
  <c r="C357" i="178"/>
  <c r="C356" i="178"/>
  <c r="E355" i="178"/>
  <c r="C355" i="178"/>
  <c r="I354" i="178"/>
  <c r="J353" i="178"/>
  <c r="I353" i="178"/>
  <c r="G353" i="178"/>
  <c r="C353" i="178"/>
  <c r="I352" i="178"/>
  <c r="G352" i="178"/>
  <c r="E352" i="178"/>
  <c r="K351" i="178"/>
  <c r="J351" i="178"/>
  <c r="I351" i="178"/>
  <c r="G351" i="178"/>
  <c r="E351" i="178"/>
  <c r="C351" i="178"/>
  <c r="I350" i="178"/>
  <c r="G350" i="178"/>
  <c r="E350" i="178"/>
  <c r="C350" i="178"/>
  <c r="I349" i="178"/>
  <c r="G349" i="178"/>
  <c r="E349" i="178"/>
  <c r="C349" i="178"/>
  <c r="I348" i="178"/>
  <c r="G348" i="178"/>
  <c r="E348" i="178"/>
  <c r="C348" i="178"/>
  <c r="I347" i="178"/>
  <c r="G347" i="178"/>
  <c r="E347" i="178"/>
  <c r="I346" i="178"/>
  <c r="C346" i="178"/>
  <c r="J345" i="178"/>
  <c r="I345" i="178"/>
  <c r="G345" i="178"/>
  <c r="C345" i="178"/>
  <c r="I344" i="178"/>
  <c r="G344" i="178"/>
  <c r="E344" i="178"/>
  <c r="K343" i="178"/>
  <c r="J343" i="178"/>
  <c r="I343" i="178"/>
  <c r="G343" i="178"/>
  <c r="E343" i="178"/>
  <c r="C343" i="178"/>
  <c r="I342" i="178"/>
  <c r="G342" i="178"/>
  <c r="E342" i="178"/>
  <c r="C342" i="178"/>
  <c r="I341" i="178"/>
  <c r="G341" i="178"/>
  <c r="E341" i="178"/>
  <c r="C341" i="178"/>
  <c r="I340" i="178"/>
  <c r="G340" i="178"/>
  <c r="E340" i="178"/>
  <c r="C340" i="178"/>
  <c r="I339" i="178"/>
  <c r="G339" i="178"/>
  <c r="E339" i="178"/>
  <c r="C338" i="178"/>
  <c r="D337" i="178"/>
  <c r="C337" i="178"/>
  <c r="G336" i="178"/>
  <c r="C336" i="178"/>
  <c r="C335" i="178"/>
  <c r="I334" i="178"/>
  <c r="G334" i="178"/>
  <c r="E334" i="178"/>
  <c r="C334" i="178"/>
  <c r="C333" i="178"/>
  <c r="K332" i="178"/>
  <c r="K331" i="178"/>
  <c r="C331" i="178"/>
  <c r="K330" i="178"/>
  <c r="C330" i="178"/>
  <c r="C329" i="178"/>
  <c r="K328" i="178"/>
  <c r="I328" i="178"/>
  <c r="G328" i="178"/>
  <c r="E328" i="178"/>
  <c r="C328" i="178"/>
  <c r="C327" i="178"/>
  <c r="C326" i="178"/>
  <c r="C325" i="178"/>
  <c r="K324" i="178"/>
  <c r="I324" i="178"/>
  <c r="G324" i="178"/>
  <c r="E324" i="178"/>
  <c r="C324" i="178"/>
  <c r="I323" i="178"/>
  <c r="G323" i="178"/>
  <c r="E323" i="178"/>
  <c r="C323" i="178"/>
  <c r="G322" i="178"/>
  <c r="H319" i="178"/>
  <c r="G319" i="178"/>
  <c r="E319" i="178"/>
  <c r="C319" i="178"/>
  <c r="E318" i="178"/>
  <c r="C318" i="178"/>
  <c r="E317" i="178"/>
  <c r="C317" i="178"/>
  <c r="H313" i="178"/>
  <c r="G313" i="178"/>
  <c r="D313" i="178"/>
  <c r="C313" i="178"/>
  <c r="F312" i="178"/>
  <c r="C312" i="178"/>
  <c r="C311" i="178"/>
  <c r="C310" i="178"/>
  <c r="G308" i="178"/>
  <c r="C308" i="178"/>
  <c r="H307" i="178"/>
  <c r="G307" i="178"/>
  <c r="F307" i="178"/>
  <c r="E307" i="178"/>
  <c r="D307" i="178"/>
  <c r="C307" i="178"/>
  <c r="C306" i="178"/>
  <c r="C305" i="178"/>
  <c r="G304" i="178"/>
  <c r="C304" i="178"/>
  <c r="I303" i="178"/>
  <c r="H303" i="178"/>
  <c r="G303" i="178"/>
  <c r="E303" i="178"/>
  <c r="D303" i="178"/>
  <c r="C303" i="178"/>
  <c r="I302" i="178"/>
  <c r="H302" i="178"/>
  <c r="G302" i="178"/>
  <c r="E302" i="178"/>
  <c r="D302" i="178"/>
  <c r="C302" i="178"/>
  <c r="G301" i="178"/>
  <c r="C301" i="178"/>
  <c r="I300" i="178"/>
  <c r="H300" i="178"/>
  <c r="G300" i="178"/>
  <c r="E300" i="178"/>
  <c r="D300" i="178"/>
  <c r="C300" i="178"/>
  <c r="I299" i="178"/>
  <c r="H299" i="178"/>
  <c r="G299" i="178"/>
  <c r="E299" i="178"/>
  <c r="D299" i="178"/>
  <c r="C299" i="178"/>
  <c r="G297" i="178"/>
  <c r="C297" i="178"/>
  <c r="G296" i="178"/>
  <c r="C296" i="178"/>
  <c r="G295" i="178"/>
  <c r="C295" i="178"/>
  <c r="G294" i="178"/>
  <c r="C294" i="178"/>
  <c r="G293" i="178"/>
  <c r="C293" i="178"/>
  <c r="G292" i="178"/>
  <c r="C292" i="178"/>
  <c r="F290" i="178"/>
  <c r="E290" i="178"/>
  <c r="D290" i="178"/>
  <c r="F289" i="178"/>
  <c r="E289" i="178"/>
  <c r="D289" i="178"/>
  <c r="F288" i="178"/>
  <c r="E288" i="178"/>
  <c r="D288" i="178"/>
  <c r="C288" i="178"/>
  <c r="F287" i="178"/>
  <c r="E287" i="178"/>
  <c r="D287" i="178"/>
  <c r="C287" i="178"/>
  <c r="E286" i="178"/>
  <c r="D286" i="178"/>
  <c r="E285" i="178"/>
  <c r="D285" i="178"/>
  <c r="E284" i="178"/>
  <c r="D284" i="178"/>
  <c r="C284" i="178"/>
  <c r="E283" i="178"/>
  <c r="D283" i="178"/>
  <c r="C283" i="178"/>
  <c r="E282" i="178"/>
  <c r="D282" i="178"/>
  <c r="C282" i="178"/>
  <c r="E281" i="178"/>
  <c r="D281" i="178"/>
  <c r="C281" i="178"/>
  <c r="E280" i="178"/>
  <c r="D280" i="178"/>
  <c r="C280" i="178"/>
  <c r="E279" i="178"/>
  <c r="D279" i="178"/>
  <c r="C279" i="178"/>
  <c r="C278" i="178"/>
  <c r="C277" i="178"/>
  <c r="C276" i="178"/>
  <c r="C275" i="178"/>
  <c r="C274" i="178"/>
  <c r="C273" i="178"/>
  <c r="C272" i="178"/>
  <c r="C271" i="178"/>
  <c r="C270" i="178"/>
  <c r="C269" i="178"/>
  <c r="C268" i="178"/>
  <c r="C267" i="178"/>
  <c r="C266" i="178"/>
  <c r="C265" i="178"/>
  <c r="C264" i="178"/>
  <c r="F263" i="178"/>
  <c r="E263" i="178"/>
  <c r="D263" i="178"/>
  <c r="C263" i="178"/>
  <c r="G262" i="178"/>
  <c r="C262" i="178"/>
  <c r="G261" i="178"/>
  <c r="C261" i="178"/>
  <c r="G260" i="178"/>
  <c r="C260" i="178"/>
  <c r="G259" i="178"/>
  <c r="C259" i="178"/>
  <c r="G258" i="178"/>
  <c r="C258" i="178"/>
  <c r="C257" i="178"/>
  <c r="C256" i="178"/>
  <c r="C255" i="178"/>
  <c r="C254" i="178"/>
  <c r="C253" i="178"/>
  <c r="C252" i="178"/>
  <c r="C251" i="178"/>
  <c r="C250" i="178"/>
  <c r="C249" i="178"/>
  <c r="D248" i="178"/>
  <c r="C248" i="178"/>
  <c r="C247" i="178"/>
  <c r="C246" i="178"/>
  <c r="C245" i="178"/>
  <c r="C244" i="178"/>
  <c r="C243" i="178"/>
  <c r="C242" i="178"/>
  <c r="G241" i="178"/>
  <c r="C241" i="178"/>
  <c r="G240" i="178"/>
  <c r="C240" i="178"/>
  <c r="G239" i="178"/>
  <c r="C239" i="178"/>
  <c r="G238" i="178"/>
  <c r="C238" i="178"/>
  <c r="G237" i="178"/>
  <c r="C237" i="178"/>
  <c r="G236" i="178"/>
  <c r="C236" i="178"/>
  <c r="G235" i="178"/>
  <c r="C235" i="178"/>
  <c r="G234" i="178"/>
  <c r="C234" i="178"/>
  <c r="G233" i="178"/>
  <c r="C233" i="178"/>
  <c r="G232" i="178"/>
  <c r="C232" i="178"/>
  <c r="G231" i="178"/>
  <c r="C231" i="178"/>
  <c r="G230" i="178"/>
  <c r="C230" i="178"/>
  <c r="G229" i="178"/>
  <c r="C229" i="178"/>
  <c r="G228" i="178"/>
  <c r="C228" i="178"/>
  <c r="G227" i="178"/>
  <c r="C227" i="178"/>
  <c r="G226" i="178"/>
  <c r="C226" i="178"/>
  <c r="G225" i="178"/>
  <c r="C225" i="178"/>
  <c r="G224" i="178"/>
  <c r="C224" i="178"/>
  <c r="G223" i="178"/>
  <c r="C223" i="178"/>
  <c r="G222" i="178"/>
  <c r="C222" i="178"/>
  <c r="G221" i="178"/>
  <c r="C221" i="178"/>
  <c r="G220" i="178"/>
  <c r="C220" i="178"/>
  <c r="G219" i="178"/>
  <c r="C219" i="178"/>
  <c r="G218" i="178"/>
  <c r="C218" i="178"/>
  <c r="G217" i="178"/>
  <c r="C217" i="178"/>
  <c r="G216" i="178"/>
  <c r="C216" i="178"/>
  <c r="G215" i="178"/>
  <c r="C215" i="178"/>
  <c r="G214" i="178"/>
  <c r="C214" i="178"/>
  <c r="G213" i="178"/>
  <c r="C213" i="178"/>
  <c r="G212" i="178"/>
  <c r="C212" i="178"/>
  <c r="G211" i="178"/>
  <c r="C211" i="178"/>
  <c r="G210" i="178"/>
  <c r="C210" i="178"/>
  <c r="G209" i="178"/>
  <c r="C209" i="178"/>
  <c r="G208" i="178"/>
  <c r="C208" i="178"/>
  <c r="G207" i="178"/>
  <c r="C207" i="178"/>
  <c r="G206" i="178"/>
  <c r="C206" i="178"/>
  <c r="G205" i="178"/>
  <c r="C205" i="178"/>
  <c r="G204" i="178"/>
  <c r="C204" i="178"/>
  <c r="G203" i="178"/>
  <c r="C203" i="178"/>
  <c r="G202" i="178"/>
  <c r="C202" i="178"/>
  <c r="G201" i="178"/>
  <c r="C201" i="178"/>
  <c r="G200" i="178"/>
  <c r="C200" i="178"/>
  <c r="G199" i="178"/>
  <c r="C199" i="178"/>
  <c r="G198" i="178"/>
  <c r="C198" i="178"/>
  <c r="G197" i="178"/>
  <c r="C197" i="178"/>
  <c r="G196" i="178"/>
  <c r="C196" i="178"/>
  <c r="G195" i="178"/>
  <c r="C195" i="178"/>
  <c r="G194" i="178"/>
  <c r="C194" i="178"/>
  <c r="G193" i="178"/>
  <c r="C193" i="178"/>
  <c r="G192" i="178"/>
  <c r="C192" i="178"/>
  <c r="G191" i="178"/>
  <c r="C191" i="178"/>
  <c r="G190" i="178"/>
  <c r="C190" i="178"/>
  <c r="G189" i="178"/>
  <c r="C189" i="178"/>
  <c r="G188" i="178"/>
  <c r="C188" i="178"/>
  <c r="G187" i="178"/>
  <c r="C187" i="178"/>
  <c r="G186" i="178"/>
  <c r="C186" i="178"/>
  <c r="G185" i="178"/>
  <c r="C185" i="178"/>
  <c r="G184" i="178"/>
  <c r="C184" i="178"/>
  <c r="G183" i="178"/>
  <c r="C183" i="178"/>
  <c r="I181" i="178"/>
  <c r="G181" i="178"/>
  <c r="E181" i="178"/>
  <c r="C181" i="178"/>
  <c r="I180" i="178"/>
  <c r="G180" i="178"/>
  <c r="E180" i="178"/>
  <c r="C180" i="178"/>
  <c r="I179" i="178"/>
  <c r="G179" i="178"/>
  <c r="E179" i="178"/>
  <c r="C179" i="178"/>
  <c r="I178" i="178"/>
  <c r="G178" i="178"/>
  <c r="E178" i="178"/>
  <c r="C178" i="178"/>
  <c r="G177" i="178"/>
  <c r="C177" i="178"/>
  <c r="G176" i="178"/>
  <c r="C176" i="178"/>
  <c r="G175" i="178"/>
  <c r="C175" i="178"/>
  <c r="G174" i="178"/>
  <c r="C174" i="178"/>
  <c r="I172" i="178"/>
  <c r="H172" i="178"/>
  <c r="G172" i="178"/>
  <c r="E172" i="178"/>
  <c r="D172" i="178"/>
  <c r="C172" i="178"/>
  <c r="I171" i="178"/>
  <c r="G171" i="178"/>
  <c r="E171" i="178"/>
  <c r="C171" i="178"/>
  <c r="I170" i="178"/>
  <c r="H170" i="178"/>
  <c r="G170" i="178"/>
  <c r="E170" i="178"/>
  <c r="D170" i="178"/>
  <c r="C170" i="178"/>
  <c r="G169" i="178"/>
  <c r="C169" i="178"/>
  <c r="G168" i="178"/>
  <c r="C168" i="178"/>
  <c r="H167" i="178"/>
  <c r="G167" i="178"/>
  <c r="D167" i="178"/>
  <c r="C167" i="178"/>
  <c r="H166" i="178"/>
  <c r="G166" i="178"/>
  <c r="D166" i="178"/>
  <c r="C166" i="178"/>
  <c r="C165" i="178"/>
  <c r="H164" i="178"/>
  <c r="G164" i="178"/>
  <c r="D164" i="178"/>
  <c r="C164" i="178"/>
  <c r="H163" i="178"/>
  <c r="G163" i="178"/>
  <c r="D163" i="178"/>
  <c r="C163" i="178"/>
  <c r="G162" i="178"/>
  <c r="C162" i="178"/>
  <c r="P161" i="178"/>
  <c r="C161" i="178"/>
  <c r="P160" i="178"/>
  <c r="C160" i="178"/>
  <c r="P159" i="178"/>
  <c r="E159" i="178"/>
  <c r="C159" i="178"/>
  <c r="P158" i="178"/>
  <c r="P157" i="178"/>
  <c r="G157" i="178"/>
  <c r="C157" i="178"/>
  <c r="P156" i="178"/>
  <c r="G156" i="178"/>
  <c r="C156" i="178"/>
  <c r="H155" i="178"/>
  <c r="G155" i="178"/>
  <c r="D155" i="178"/>
  <c r="C155" i="178"/>
  <c r="P154" i="178"/>
  <c r="G154" i="178"/>
  <c r="C154" i="178"/>
  <c r="P153" i="178"/>
  <c r="G153" i="178"/>
  <c r="C153" i="178"/>
  <c r="P152" i="178"/>
  <c r="G152" i="178"/>
  <c r="C152" i="178"/>
  <c r="P151" i="178"/>
  <c r="G151" i="178"/>
  <c r="C151" i="178"/>
  <c r="P150" i="178"/>
  <c r="I150" i="178"/>
  <c r="G150" i="178"/>
  <c r="E150" i="178"/>
  <c r="C150" i="178"/>
  <c r="P149" i="178"/>
  <c r="G149" i="178"/>
  <c r="C149" i="178"/>
  <c r="G148" i="178"/>
  <c r="C148" i="178"/>
  <c r="G147" i="178"/>
  <c r="C147" i="178"/>
  <c r="G146" i="178"/>
  <c r="C146" i="178"/>
  <c r="G145" i="178"/>
  <c r="C145" i="178"/>
  <c r="G144" i="178"/>
  <c r="C144" i="178"/>
  <c r="G143" i="178"/>
  <c r="C143" i="178"/>
  <c r="G142" i="178"/>
  <c r="C142" i="178"/>
  <c r="G141" i="178"/>
  <c r="C141" i="178"/>
  <c r="G140" i="178"/>
  <c r="C140" i="178"/>
  <c r="G139" i="178"/>
  <c r="C139" i="178"/>
  <c r="G138" i="178"/>
  <c r="C138" i="178"/>
  <c r="G137" i="178"/>
  <c r="C137" i="178"/>
  <c r="H136" i="178"/>
  <c r="G136" i="178"/>
  <c r="E136" i="178"/>
  <c r="D136" i="178"/>
  <c r="C136" i="178"/>
  <c r="G135" i="178"/>
  <c r="E135" i="178"/>
  <c r="C135" i="178"/>
  <c r="G134" i="178"/>
  <c r="C134" i="178"/>
  <c r="I133" i="178"/>
  <c r="H133" i="178"/>
  <c r="G133" i="178"/>
  <c r="E133" i="178"/>
  <c r="D133" i="178"/>
  <c r="C133" i="178"/>
  <c r="C132" i="178"/>
  <c r="G131" i="178"/>
  <c r="C131" i="178"/>
  <c r="G130" i="178"/>
  <c r="C130" i="178"/>
  <c r="G129" i="178"/>
  <c r="C129" i="178"/>
  <c r="G128" i="178"/>
  <c r="C128" i="178"/>
  <c r="G127" i="178"/>
  <c r="C127" i="178"/>
  <c r="G126" i="178"/>
  <c r="C126" i="178"/>
  <c r="G125" i="178"/>
  <c r="C125" i="178"/>
  <c r="C124" i="178"/>
  <c r="C123" i="178"/>
  <c r="G122" i="178"/>
  <c r="C122" i="178"/>
  <c r="G121" i="178"/>
  <c r="C121" i="178"/>
  <c r="C120" i="178"/>
  <c r="C119" i="178"/>
  <c r="E118" i="178"/>
  <c r="C118" i="178"/>
  <c r="C117" i="178"/>
  <c r="C116" i="178"/>
  <c r="G115" i="178"/>
  <c r="E115" i="178"/>
  <c r="C115" i="178"/>
  <c r="G114" i="178"/>
  <c r="E114" i="178"/>
  <c r="C114" i="178"/>
  <c r="G113" i="178"/>
  <c r="C113" i="178"/>
  <c r="G112" i="178"/>
  <c r="C112" i="178"/>
  <c r="G111" i="178"/>
  <c r="C111" i="178"/>
  <c r="C110" i="178"/>
  <c r="C109" i="178"/>
  <c r="C108" i="178"/>
  <c r="C107" i="178"/>
  <c r="C106" i="178"/>
  <c r="C105" i="178"/>
  <c r="E104" i="178"/>
  <c r="C104" i="178"/>
  <c r="C103" i="178"/>
  <c r="E102" i="178"/>
  <c r="C102" i="178"/>
  <c r="E101" i="178"/>
  <c r="C101" i="178"/>
  <c r="E100" i="178"/>
  <c r="C100" i="178"/>
  <c r="H98" i="178"/>
  <c r="G98" i="178"/>
  <c r="D98" i="178"/>
  <c r="C98" i="178"/>
  <c r="B98" i="178"/>
  <c r="A98" i="178"/>
  <c r="H97" i="178"/>
  <c r="G97" i="178"/>
  <c r="D97" i="178"/>
  <c r="C97" i="178"/>
  <c r="B97" i="178"/>
  <c r="A97" i="178"/>
  <c r="H96" i="178"/>
  <c r="G96" i="178"/>
  <c r="D96" i="178"/>
  <c r="C96" i="178"/>
  <c r="B96" i="178"/>
  <c r="A96" i="178"/>
  <c r="F95" i="178"/>
  <c r="E95" i="178"/>
  <c r="B95" i="178"/>
  <c r="A95" i="178"/>
  <c r="F94" i="178"/>
  <c r="E94" i="178"/>
  <c r="B94" i="178"/>
  <c r="A94" i="178"/>
  <c r="F93" i="178"/>
  <c r="E93" i="178"/>
  <c r="B93" i="178"/>
  <c r="A93" i="178"/>
  <c r="F92" i="178"/>
  <c r="E92" i="178"/>
  <c r="B92" i="178"/>
  <c r="A92" i="178"/>
  <c r="F91" i="178"/>
  <c r="E91" i="178"/>
  <c r="B91" i="178"/>
  <c r="A91" i="178"/>
  <c r="G90" i="178"/>
  <c r="F90" i="178"/>
  <c r="C90" i="178"/>
  <c r="B90" i="178"/>
  <c r="G89" i="178"/>
  <c r="F89" i="178"/>
  <c r="C89" i="178"/>
  <c r="B89" i="178"/>
  <c r="F88" i="178"/>
  <c r="B88" i="178"/>
  <c r="F87" i="178"/>
  <c r="B87" i="178"/>
  <c r="H86" i="178"/>
  <c r="G86" i="178"/>
  <c r="F86" i="178"/>
  <c r="E86" i="178"/>
  <c r="D86" i="178"/>
  <c r="B86" i="178"/>
  <c r="A86" i="178"/>
  <c r="H85" i="178"/>
  <c r="G85" i="178"/>
  <c r="F85" i="178"/>
  <c r="E85" i="178"/>
  <c r="D85" i="178"/>
  <c r="B85" i="178"/>
  <c r="A85" i="178"/>
  <c r="H84" i="178"/>
  <c r="G84" i="178"/>
  <c r="F84" i="178"/>
  <c r="E84" i="178"/>
  <c r="D84" i="178"/>
  <c r="B84" i="178"/>
  <c r="A84" i="178"/>
  <c r="E82" i="178"/>
  <c r="D82" i="178"/>
  <c r="A82" i="178"/>
  <c r="D80" i="178"/>
  <c r="G78" i="178"/>
  <c r="C78" i="178"/>
  <c r="G77" i="178"/>
  <c r="C77" i="178"/>
  <c r="G76" i="178"/>
  <c r="E76" i="178"/>
  <c r="C76" i="178"/>
  <c r="I75" i="178"/>
  <c r="H75" i="178"/>
  <c r="G75" i="178"/>
  <c r="E75" i="178"/>
  <c r="D75" i="178"/>
  <c r="C75" i="178"/>
  <c r="J74" i="178"/>
  <c r="I74" i="178"/>
  <c r="G74" i="178"/>
  <c r="E74" i="178"/>
  <c r="C74" i="178"/>
  <c r="J73" i="178"/>
  <c r="I73" i="178"/>
  <c r="H73" i="178"/>
  <c r="G73" i="178"/>
  <c r="E73" i="178"/>
  <c r="D73" i="178"/>
  <c r="C73" i="178"/>
  <c r="G71" i="178"/>
  <c r="F71" i="178"/>
  <c r="C71" i="178"/>
  <c r="B71" i="178"/>
  <c r="G70" i="178"/>
  <c r="F70" i="178"/>
  <c r="C70" i="178"/>
  <c r="B70" i="178"/>
  <c r="F69" i="178"/>
  <c r="B69" i="178"/>
  <c r="F68" i="178"/>
  <c r="B68" i="178"/>
  <c r="G66" i="178"/>
  <c r="C66" i="178"/>
  <c r="C63" i="178"/>
  <c r="C62" i="178"/>
  <c r="C56" i="178"/>
  <c r="B56" i="178"/>
  <c r="C55" i="178"/>
  <c r="B55" i="178"/>
  <c r="D54" i="178"/>
  <c r="B54" i="178"/>
  <c r="D53" i="178"/>
  <c r="B53" i="178"/>
  <c r="E52" i="178"/>
  <c r="D52" i="178"/>
  <c r="B52" i="178"/>
  <c r="D51" i="178"/>
  <c r="B51" i="178"/>
  <c r="D47" i="178"/>
  <c r="G46" i="178"/>
  <c r="D46" i="178"/>
  <c r="G45" i="178"/>
  <c r="C45" i="178"/>
  <c r="D44" i="178"/>
  <c r="G43" i="178"/>
  <c r="D43" i="178"/>
  <c r="F42" i="178"/>
  <c r="E42" i="178"/>
  <c r="C42" i="178"/>
  <c r="B42" i="178"/>
  <c r="E41" i="178"/>
  <c r="D41" i="178"/>
  <c r="B41" i="178"/>
  <c r="A41" i="178"/>
  <c r="F40" i="178"/>
  <c r="E40" i="178"/>
  <c r="C39" i="178"/>
  <c r="C38" i="178"/>
  <c r="G37" i="178"/>
  <c r="F37" i="178"/>
  <c r="E37" i="178"/>
  <c r="D37" i="178"/>
  <c r="E36" i="178"/>
  <c r="C36" i="178"/>
  <c r="C35" i="178"/>
  <c r="B35" i="178"/>
  <c r="C34" i="178"/>
  <c r="B34" i="178"/>
  <c r="B33" i="178"/>
  <c r="B32" i="178"/>
  <c r="J31" i="178"/>
  <c r="F31" i="178"/>
  <c r="J30" i="178"/>
  <c r="F30" i="178"/>
  <c r="C29" i="178"/>
  <c r="C28" i="178"/>
  <c r="C25" i="178"/>
  <c r="G23" i="178"/>
  <c r="C22" i="178"/>
  <c r="D20" i="178"/>
  <c r="G19" i="178"/>
  <c r="E19" i="178"/>
  <c r="C16" i="178"/>
  <c r="B16" i="178"/>
  <c r="D15" i="178"/>
  <c r="B15" i="178"/>
  <c r="E186" i="180"/>
  <c r="E185" i="180"/>
  <c r="E184" i="180"/>
  <c r="E183" i="180"/>
  <c r="E182" i="180"/>
  <c r="E181" i="180"/>
  <c r="E180" i="180"/>
  <c r="E179" i="180"/>
  <c r="E178" i="180"/>
  <c r="E177" i="180"/>
  <c r="E173" i="180"/>
  <c r="E172" i="180"/>
  <c r="E171" i="180"/>
  <c r="E170" i="180"/>
  <c r="E169" i="180"/>
  <c r="E168" i="180"/>
  <c r="E167" i="180"/>
  <c r="E166" i="180"/>
  <c r="E165" i="180"/>
  <c r="E162" i="180"/>
  <c r="E161" i="180"/>
  <c r="E160" i="180"/>
  <c r="E159" i="180"/>
  <c r="E158" i="180"/>
  <c r="E157" i="180"/>
  <c r="E156" i="180"/>
  <c r="E155" i="180"/>
  <c r="E154" i="180"/>
  <c r="E153" i="180"/>
  <c r="E152" i="180"/>
  <c r="E151" i="180"/>
  <c r="E150" i="180"/>
  <c r="E149" i="180"/>
  <c r="B149" i="180"/>
  <c r="A149" i="180"/>
  <c r="E148" i="180"/>
  <c r="E147" i="180"/>
  <c r="E146" i="180"/>
  <c r="G142" i="180"/>
  <c r="C142" i="180"/>
  <c r="C141" i="180"/>
  <c r="G140" i="180"/>
  <c r="C140" i="180"/>
  <c r="H139" i="180"/>
  <c r="G139" i="180"/>
  <c r="H127" i="180"/>
  <c r="G127" i="180"/>
  <c r="I126" i="180"/>
  <c r="H126" i="180"/>
  <c r="G126" i="180"/>
  <c r="H125" i="180"/>
  <c r="G125" i="180"/>
  <c r="G124" i="180"/>
  <c r="G123" i="180"/>
  <c r="I122" i="180"/>
  <c r="G122" i="180"/>
  <c r="G121" i="180"/>
  <c r="I120" i="180"/>
  <c r="H120" i="180"/>
  <c r="G120" i="180"/>
  <c r="I119" i="180"/>
  <c r="G119" i="180"/>
  <c r="I118" i="180"/>
  <c r="G118" i="180"/>
  <c r="I117" i="180"/>
  <c r="G117" i="180"/>
  <c r="I116" i="180"/>
  <c r="G116" i="180"/>
  <c r="G115" i="180"/>
  <c r="I114" i="180"/>
  <c r="G114" i="180"/>
  <c r="I113" i="180"/>
  <c r="G113" i="180"/>
  <c r="I112" i="180"/>
  <c r="G112" i="180"/>
  <c r="E112" i="180"/>
  <c r="G111" i="180"/>
  <c r="I110" i="180"/>
  <c r="G110" i="180"/>
  <c r="G109" i="180"/>
  <c r="G108" i="180"/>
  <c r="I107" i="180"/>
  <c r="G107" i="180"/>
  <c r="I106" i="180"/>
  <c r="G106" i="180"/>
  <c r="I105" i="180"/>
  <c r="G105" i="180"/>
  <c r="G104" i="180"/>
  <c r="G103" i="180"/>
  <c r="G102" i="180"/>
  <c r="G101" i="180"/>
  <c r="G100" i="180"/>
  <c r="G99" i="180"/>
  <c r="G98" i="180"/>
  <c r="G97" i="180"/>
  <c r="I96" i="180"/>
  <c r="G96" i="180"/>
  <c r="G95" i="180"/>
  <c r="G94" i="180"/>
  <c r="G93" i="180"/>
  <c r="J91" i="180"/>
  <c r="I91" i="180"/>
  <c r="H91" i="180"/>
  <c r="G91" i="180"/>
  <c r="F91" i="180"/>
  <c r="E91" i="180"/>
  <c r="J90" i="180"/>
  <c r="I90" i="180"/>
  <c r="H90" i="180"/>
  <c r="G90" i="180"/>
  <c r="F90" i="180"/>
  <c r="E90" i="180"/>
  <c r="J89" i="180"/>
  <c r="I89" i="180"/>
  <c r="H89" i="180"/>
  <c r="G89" i="180"/>
  <c r="F89" i="180"/>
  <c r="E89" i="180"/>
  <c r="G86" i="180"/>
  <c r="G85" i="180"/>
  <c r="I84" i="180"/>
  <c r="G84" i="180"/>
  <c r="G83" i="180"/>
  <c r="G82" i="180"/>
  <c r="G81" i="180"/>
  <c r="G80" i="180"/>
  <c r="G79" i="180"/>
  <c r="G78" i="180"/>
  <c r="C77" i="180"/>
  <c r="C76" i="180"/>
  <c r="C75" i="180"/>
  <c r="G74" i="180"/>
  <c r="G73" i="180"/>
  <c r="C72" i="180"/>
  <c r="G71" i="180"/>
  <c r="G70" i="180"/>
  <c r="E69" i="180"/>
  <c r="C69" i="180"/>
  <c r="C68" i="180"/>
  <c r="E67" i="180"/>
  <c r="C67" i="180"/>
  <c r="E66" i="180"/>
  <c r="C66" i="180"/>
  <c r="E65" i="180"/>
  <c r="C65" i="180"/>
  <c r="D61" i="180"/>
  <c r="C61" i="180"/>
  <c r="B61" i="180"/>
  <c r="E60" i="180"/>
  <c r="C60" i="180"/>
  <c r="D59" i="180"/>
  <c r="C59" i="180"/>
  <c r="B59" i="180"/>
  <c r="E58" i="180"/>
  <c r="C58" i="180"/>
  <c r="C57" i="180"/>
  <c r="B57" i="180"/>
  <c r="C56" i="180"/>
  <c r="B56" i="180"/>
  <c r="B55" i="180"/>
  <c r="B54" i="180"/>
  <c r="C53" i="180"/>
  <c r="C52" i="180"/>
  <c r="C50" i="180"/>
  <c r="C47" i="180"/>
  <c r="C46" i="180"/>
  <c r="D42" i="180"/>
  <c r="C42" i="180"/>
  <c r="B42" i="180"/>
  <c r="E41" i="180"/>
  <c r="C41" i="180"/>
  <c r="D40" i="180"/>
  <c r="C40" i="180"/>
  <c r="B40" i="180"/>
  <c r="E39" i="180"/>
  <c r="C39" i="180"/>
  <c r="C38" i="180"/>
  <c r="B38" i="180"/>
  <c r="C37" i="180"/>
  <c r="B37" i="180"/>
  <c r="B36" i="180"/>
  <c r="B35" i="180"/>
  <c r="C34" i="180"/>
  <c r="E33" i="180"/>
  <c r="D33" i="180"/>
  <c r="C33" i="180"/>
  <c r="E32" i="180"/>
  <c r="D32" i="180"/>
  <c r="D31" i="180"/>
  <c r="C31" i="180"/>
  <c r="C30" i="180"/>
  <c r="C29" i="180"/>
  <c r="C28" i="180"/>
  <c r="D27" i="180"/>
  <c r="I26" i="180"/>
  <c r="H26" i="180"/>
  <c r="G26" i="180"/>
  <c r="F26" i="180"/>
  <c r="E26" i="180"/>
  <c r="D26" i="180"/>
  <c r="C26" i="180"/>
  <c r="E24" i="180"/>
  <c r="C23" i="180"/>
  <c r="C22" i="180"/>
  <c r="C20" i="180"/>
  <c r="C18" i="180"/>
  <c r="C15" i="180"/>
  <c r="D10" i="180"/>
  <c r="B10" i="180"/>
  <c r="I50" i="181"/>
  <c r="G50" i="181"/>
  <c r="E50" i="181"/>
  <c r="C50" i="181"/>
  <c r="I49" i="181"/>
  <c r="G49" i="181"/>
  <c r="E49" i="181"/>
  <c r="C49" i="181"/>
  <c r="K48" i="181"/>
  <c r="I48" i="181"/>
  <c r="G48" i="181"/>
  <c r="E48" i="181"/>
  <c r="C48" i="181"/>
  <c r="K47" i="181"/>
  <c r="I47" i="181"/>
  <c r="G47" i="181"/>
  <c r="E47" i="181"/>
  <c r="C47" i="181"/>
  <c r="K46" i="181"/>
  <c r="I46" i="181"/>
  <c r="G46" i="181"/>
  <c r="E46" i="181"/>
  <c r="C46" i="181"/>
  <c r="K45" i="181"/>
  <c r="I45" i="181"/>
  <c r="G45" i="181"/>
  <c r="E45" i="181"/>
  <c r="C45" i="181"/>
  <c r="K44" i="181"/>
  <c r="I44" i="181"/>
  <c r="G44" i="181"/>
  <c r="E44" i="181"/>
  <c r="C44" i="181"/>
  <c r="I43" i="181"/>
  <c r="G43" i="181"/>
  <c r="E43" i="181"/>
  <c r="C43" i="181"/>
  <c r="I42" i="181"/>
  <c r="G42" i="181"/>
  <c r="E42" i="181"/>
  <c r="C42" i="181"/>
  <c r="K41" i="181"/>
  <c r="I41" i="181"/>
  <c r="G41" i="181"/>
  <c r="E41" i="181"/>
  <c r="C41" i="181"/>
  <c r="K40" i="181"/>
  <c r="I40" i="181"/>
  <c r="G40" i="181"/>
  <c r="E40" i="181"/>
  <c r="C40" i="181"/>
  <c r="K39" i="181"/>
  <c r="I39" i="181"/>
  <c r="G39" i="181"/>
  <c r="E39" i="181"/>
  <c r="C39" i="181"/>
  <c r="K38" i="181"/>
  <c r="I38" i="181"/>
  <c r="G38" i="181"/>
  <c r="E38" i="181"/>
  <c r="C38" i="181"/>
  <c r="K37" i="181"/>
  <c r="I37" i="181"/>
  <c r="G37" i="181"/>
  <c r="E37" i="181"/>
  <c r="C37" i="181"/>
  <c r="K36" i="181"/>
  <c r="I36" i="181"/>
  <c r="G36" i="181"/>
  <c r="E36" i="181"/>
  <c r="C36" i="181"/>
  <c r="K35" i="181"/>
  <c r="I35" i="181"/>
  <c r="G35" i="181"/>
  <c r="E35" i="181"/>
  <c r="C35" i="181"/>
  <c r="Q34" i="181"/>
  <c r="P34" i="181"/>
  <c r="K34" i="181"/>
  <c r="I34" i="181"/>
  <c r="G34" i="181"/>
  <c r="E34" i="181"/>
  <c r="C34" i="181"/>
  <c r="P33" i="181"/>
  <c r="K33" i="181"/>
  <c r="I33" i="181"/>
  <c r="G33" i="181"/>
  <c r="E33" i="181"/>
  <c r="C33" i="181"/>
  <c r="P32" i="181"/>
  <c r="K32" i="181"/>
  <c r="I32" i="181"/>
  <c r="G32" i="181"/>
  <c r="E32" i="181"/>
  <c r="C32" i="181"/>
  <c r="Q31" i="181"/>
  <c r="K31" i="181"/>
  <c r="I31" i="181"/>
  <c r="G31" i="181"/>
  <c r="E31" i="181"/>
  <c r="C31" i="181"/>
  <c r="Q30" i="181"/>
  <c r="P30" i="181"/>
  <c r="K30" i="181"/>
  <c r="I30" i="181"/>
  <c r="G30" i="181"/>
  <c r="E30" i="181"/>
  <c r="C30" i="181"/>
  <c r="Q29" i="181"/>
  <c r="P29" i="181"/>
  <c r="K29" i="181"/>
  <c r="I29" i="181"/>
  <c r="G29" i="181"/>
  <c r="E29" i="181"/>
  <c r="C29" i="181"/>
  <c r="Q28" i="181"/>
  <c r="P28" i="181"/>
  <c r="K28" i="181"/>
  <c r="I28" i="181"/>
  <c r="G28" i="181"/>
  <c r="E28" i="181"/>
  <c r="C28" i="181"/>
  <c r="Q27" i="181"/>
  <c r="P27" i="181"/>
  <c r="K27" i="181"/>
  <c r="I27" i="181"/>
  <c r="G27" i="181"/>
  <c r="E27" i="181"/>
  <c r="C27" i="181"/>
  <c r="Q26" i="181"/>
  <c r="P26" i="181"/>
  <c r="K26" i="181"/>
  <c r="I26" i="181"/>
  <c r="G26" i="181"/>
  <c r="E26" i="181"/>
  <c r="C26" i="181"/>
  <c r="P25" i="181"/>
  <c r="K25" i="181"/>
  <c r="I25" i="181"/>
  <c r="G25" i="181"/>
  <c r="E25" i="181"/>
  <c r="C25" i="181"/>
  <c r="Q24" i="181"/>
  <c r="P24" i="181"/>
  <c r="K24" i="181"/>
  <c r="I24" i="181"/>
  <c r="G24" i="181"/>
  <c r="E24" i="181"/>
  <c r="C24" i="181"/>
  <c r="Q23" i="181"/>
  <c r="P23" i="181"/>
  <c r="K23" i="181"/>
  <c r="I23" i="181"/>
  <c r="G23" i="181"/>
  <c r="E23" i="181"/>
  <c r="C23" i="181"/>
  <c r="Q22" i="181"/>
  <c r="P22" i="181"/>
  <c r="K22" i="181"/>
  <c r="I22" i="181"/>
  <c r="G22" i="181"/>
  <c r="E22" i="181"/>
  <c r="C22" i="181"/>
  <c r="Q21" i="181"/>
  <c r="K21" i="181"/>
  <c r="I21" i="181"/>
  <c r="G21" i="181"/>
  <c r="E21" i="181"/>
  <c r="C21" i="181"/>
  <c r="Q20" i="181"/>
  <c r="K20" i="181"/>
  <c r="I20" i="181"/>
  <c r="G20" i="181"/>
  <c r="E20" i="181"/>
  <c r="C20" i="181"/>
  <c r="Q19" i="181"/>
  <c r="K19" i="181"/>
  <c r="I19" i="181"/>
  <c r="G19" i="181"/>
  <c r="E19" i="181"/>
  <c r="C19" i="181"/>
  <c r="Q18" i="181"/>
  <c r="K18" i="181"/>
  <c r="I18" i="181"/>
  <c r="G18" i="181"/>
  <c r="E18" i="181"/>
  <c r="C18" i="181"/>
  <c r="Q17" i="181"/>
  <c r="K17" i="181"/>
  <c r="I17" i="181"/>
  <c r="G17" i="181"/>
  <c r="E17" i="181"/>
  <c r="C17" i="181"/>
  <c r="Q16" i="181"/>
  <c r="K16" i="181"/>
  <c r="I16" i="181"/>
  <c r="G16" i="181"/>
  <c r="E16" i="181"/>
  <c r="C16" i="181"/>
  <c r="P15" i="181"/>
  <c r="K15" i="181"/>
  <c r="I15" i="181"/>
  <c r="G15" i="181"/>
  <c r="E15" i="181"/>
  <c r="C15" i="181"/>
  <c r="P14" i="181"/>
  <c r="K14" i="181"/>
  <c r="I14" i="181"/>
  <c r="G14" i="181"/>
  <c r="E14" i="181"/>
  <c r="C14" i="181"/>
  <c r="Q13" i="181"/>
  <c r="Q12" i="181"/>
  <c r="P12" i="181"/>
  <c r="V8" i="181"/>
  <c r="G575" i="182"/>
  <c r="G574" i="182"/>
  <c r="G573" i="182"/>
  <c r="G572" i="182"/>
  <c r="G571" i="182"/>
  <c r="G570" i="182"/>
  <c r="G569" i="182"/>
  <c r="G568" i="182"/>
  <c r="G567" i="182"/>
  <c r="G566" i="182"/>
  <c r="F566" i="182"/>
  <c r="G565" i="182"/>
  <c r="G563" i="182"/>
  <c r="G562" i="182"/>
  <c r="G561" i="182"/>
  <c r="G560" i="182"/>
  <c r="G559" i="182"/>
  <c r="G558" i="182"/>
  <c r="G557" i="182"/>
  <c r="G556" i="182"/>
  <c r="G555" i="182"/>
  <c r="G554" i="182"/>
  <c r="E553" i="182"/>
  <c r="C552" i="182"/>
  <c r="C551" i="182"/>
  <c r="E549" i="182"/>
  <c r="E548" i="182"/>
  <c r="G547" i="182"/>
  <c r="G546" i="182"/>
  <c r="G545" i="182"/>
  <c r="G544" i="182"/>
  <c r="G543" i="182"/>
  <c r="C543" i="182"/>
  <c r="G542" i="182"/>
  <c r="C542" i="182"/>
  <c r="E539" i="182"/>
  <c r="G538" i="182"/>
  <c r="F538" i="182"/>
  <c r="E538" i="182"/>
  <c r="D538" i="182"/>
  <c r="C538" i="182"/>
  <c r="B538" i="182"/>
  <c r="E537" i="182"/>
  <c r="G536" i="182"/>
  <c r="F536" i="182"/>
  <c r="E536" i="182"/>
  <c r="D536" i="182"/>
  <c r="C536" i="182"/>
  <c r="B536" i="182"/>
  <c r="G535" i="182"/>
  <c r="F535" i="182"/>
  <c r="E535" i="182"/>
  <c r="F534" i="182"/>
  <c r="E534" i="182"/>
  <c r="F533" i="182"/>
  <c r="E533" i="182"/>
  <c r="F532" i="182"/>
  <c r="E532" i="182"/>
  <c r="E530" i="182"/>
  <c r="E529" i="182"/>
  <c r="E528" i="182"/>
  <c r="E527" i="182"/>
  <c r="E526" i="182"/>
  <c r="E525" i="182"/>
  <c r="G524" i="182"/>
  <c r="C524" i="182"/>
  <c r="G523" i="182"/>
  <c r="C523" i="182"/>
  <c r="G522" i="182"/>
  <c r="C522" i="182"/>
  <c r="G521" i="182"/>
  <c r="C521" i="182"/>
  <c r="G520" i="182"/>
  <c r="C520" i="182"/>
  <c r="G519" i="182"/>
  <c r="C519" i="182"/>
  <c r="G518" i="182"/>
  <c r="C518" i="182"/>
  <c r="G517" i="182"/>
  <c r="C517" i="182"/>
  <c r="G516" i="182"/>
  <c r="C516" i="182"/>
  <c r="G515" i="182"/>
  <c r="C515" i="182"/>
  <c r="G514" i="182"/>
  <c r="C514" i="182"/>
  <c r="G513" i="182"/>
  <c r="C513" i="182"/>
  <c r="G512" i="182"/>
  <c r="C512" i="182"/>
  <c r="G511" i="182"/>
  <c r="C511" i="182"/>
  <c r="E510" i="182"/>
  <c r="E509" i="182"/>
  <c r="G508" i="182"/>
  <c r="C508" i="182"/>
  <c r="G507" i="182"/>
  <c r="C507" i="182"/>
  <c r="G506" i="182"/>
  <c r="C506" i="182"/>
  <c r="G505" i="182"/>
  <c r="C505" i="182"/>
  <c r="G504" i="182"/>
  <c r="C504" i="182"/>
  <c r="E503" i="182"/>
  <c r="E502" i="182"/>
  <c r="E501" i="182"/>
  <c r="C500" i="182"/>
  <c r="G498" i="182"/>
  <c r="C498" i="182"/>
  <c r="G497" i="182"/>
  <c r="C497" i="182"/>
  <c r="G496" i="182"/>
  <c r="C496" i="182"/>
  <c r="G495" i="182"/>
  <c r="C495" i="182"/>
  <c r="G494" i="182"/>
  <c r="C494" i="182"/>
  <c r="G493" i="182"/>
  <c r="C493" i="182"/>
  <c r="G492" i="182"/>
  <c r="C492" i="182"/>
  <c r="G491" i="182"/>
  <c r="C491" i="182"/>
  <c r="G490" i="182"/>
  <c r="C490" i="182"/>
  <c r="G489" i="182"/>
  <c r="C489" i="182"/>
  <c r="G488" i="182"/>
  <c r="C488" i="182"/>
  <c r="G487" i="182"/>
  <c r="C487" i="182"/>
  <c r="G486" i="182"/>
  <c r="C486" i="182"/>
  <c r="G485" i="182"/>
  <c r="C485" i="182"/>
  <c r="G484" i="182"/>
  <c r="C484" i="182"/>
  <c r="G483" i="182"/>
  <c r="C483" i="182"/>
  <c r="G479" i="182"/>
  <c r="C479" i="182"/>
  <c r="G478" i="182"/>
  <c r="C478" i="182"/>
  <c r="G477" i="182"/>
  <c r="C477" i="182"/>
  <c r="G476" i="182"/>
  <c r="C476" i="182"/>
  <c r="G475" i="182"/>
  <c r="C475" i="182"/>
  <c r="G474" i="182"/>
  <c r="C474" i="182"/>
  <c r="C473" i="182"/>
  <c r="C472" i="182"/>
  <c r="C471" i="182"/>
  <c r="G470" i="182"/>
  <c r="C470" i="182"/>
  <c r="G469" i="182"/>
  <c r="C469" i="182"/>
  <c r="G468" i="182"/>
  <c r="C468" i="182"/>
  <c r="G465" i="182"/>
  <c r="C465" i="182"/>
  <c r="E464" i="182"/>
  <c r="E463" i="182"/>
  <c r="G462" i="182"/>
  <c r="C462" i="182"/>
  <c r="G461" i="182"/>
  <c r="C461" i="182"/>
  <c r="G460" i="182"/>
  <c r="C460" i="182"/>
  <c r="G459" i="182"/>
  <c r="C459" i="182"/>
  <c r="G458" i="182"/>
  <c r="C458" i="182"/>
  <c r="G457" i="182"/>
  <c r="C457" i="182"/>
  <c r="G456" i="182"/>
  <c r="C456" i="182"/>
  <c r="G455" i="182"/>
  <c r="C455" i="182"/>
  <c r="G454" i="182"/>
  <c r="C454" i="182"/>
  <c r="G453" i="182"/>
  <c r="C453" i="182"/>
  <c r="G452" i="182"/>
  <c r="C452" i="182"/>
  <c r="G451" i="182"/>
  <c r="C451" i="182"/>
  <c r="E450" i="182"/>
  <c r="E449" i="182"/>
  <c r="E448" i="182"/>
  <c r="E447" i="182"/>
  <c r="E446" i="182"/>
  <c r="E445" i="182"/>
  <c r="E444" i="182"/>
  <c r="E443" i="182"/>
  <c r="E442" i="182"/>
  <c r="B442" i="182"/>
  <c r="A442" i="182"/>
  <c r="E441" i="182"/>
  <c r="E440" i="182"/>
  <c r="G439" i="182"/>
  <c r="C439" i="182"/>
  <c r="G438" i="182"/>
  <c r="C438" i="182"/>
  <c r="G434" i="182"/>
  <c r="C434" i="182"/>
  <c r="G433" i="182"/>
  <c r="C433" i="182"/>
  <c r="G432" i="182"/>
  <c r="C432" i="182"/>
  <c r="C431" i="182"/>
  <c r="H430" i="182"/>
  <c r="G430" i="182"/>
  <c r="H425" i="182"/>
  <c r="G425" i="182"/>
  <c r="D425" i="182"/>
  <c r="C425" i="182"/>
  <c r="F424" i="182"/>
  <c r="C424" i="182"/>
  <c r="C423" i="182"/>
  <c r="C422" i="182"/>
  <c r="G420" i="182"/>
  <c r="C420" i="182"/>
  <c r="H419" i="182"/>
  <c r="G419" i="182"/>
  <c r="F419" i="182"/>
  <c r="E419" i="182"/>
  <c r="D419" i="182"/>
  <c r="C419" i="182"/>
  <c r="C418" i="182"/>
  <c r="C417" i="182"/>
  <c r="G416" i="182"/>
  <c r="C416" i="182"/>
  <c r="I415" i="182"/>
  <c r="H415" i="182"/>
  <c r="G415" i="182"/>
  <c r="E415" i="182"/>
  <c r="D415" i="182"/>
  <c r="C415" i="182"/>
  <c r="I414" i="182"/>
  <c r="H414" i="182"/>
  <c r="G414" i="182"/>
  <c r="E414" i="182"/>
  <c r="D414" i="182"/>
  <c r="C414" i="182"/>
  <c r="G413" i="182"/>
  <c r="C413" i="182"/>
  <c r="G412" i="182"/>
  <c r="C412" i="182"/>
  <c r="G411" i="182"/>
  <c r="C411" i="182"/>
  <c r="F410" i="182"/>
  <c r="E410" i="182"/>
  <c r="D410" i="182"/>
  <c r="F409" i="182"/>
  <c r="E409" i="182"/>
  <c r="D409" i="182"/>
  <c r="F408" i="182"/>
  <c r="E408" i="182"/>
  <c r="D408" i="182"/>
  <c r="C408" i="182"/>
  <c r="F407" i="182"/>
  <c r="E407" i="182"/>
  <c r="D407" i="182"/>
  <c r="C407" i="182"/>
  <c r="E406" i="182"/>
  <c r="D406" i="182"/>
  <c r="E405" i="182"/>
  <c r="D405" i="182"/>
  <c r="E404" i="182"/>
  <c r="D404" i="182"/>
  <c r="C404" i="182"/>
  <c r="E403" i="182"/>
  <c r="D403" i="182"/>
  <c r="C403" i="182"/>
  <c r="E402" i="182"/>
  <c r="D402" i="182"/>
  <c r="C402" i="182"/>
  <c r="E401" i="182"/>
  <c r="D401" i="182"/>
  <c r="C401" i="182"/>
  <c r="E400" i="182"/>
  <c r="D400" i="182"/>
  <c r="C400" i="182"/>
  <c r="E399" i="182"/>
  <c r="D399" i="182"/>
  <c r="C399" i="182"/>
  <c r="C398" i="182"/>
  <c r="C397" i="182"/>
  <c r="C396" i="182"/>
  <c r="C395" i="182"/>
  <c r="C394" i="182"/>
  <c r="C393" i="182"/>
  <c r="G392" i="182"/>
  <c r="C392" i="182"/>
  <c r="G391" i="182"/>
  <c r="C391" i="182"/>
  <c r="G390" i="182"/>
  <c r="C390" i="182"/>
  <c r="C389" i="182"/>
  <c r="C388" i="182"/>
  <c r="C387" i="182"/>
  <c r="C386" i="182"/>
  <c r="G385" i="182"/>
  <c r="C385" i="182"/>
  <c r="C384" i="182"/>
  <c r="F383" i="182"/>
  <c r="E383" i="182"/>
  <c r="D383" i="182"/>
  <c r="C383" i="182"/>
  <c r="G382" i="182"/>
  <c r="C382" i="182"/>
  <c r="G381" i="182"/>
  <c r="C381" i="182"/>
  <c r="G380" i="182"/>
  <c r="C380" i="182"/>
  <c r="G379" i="182"/>
  <c r="C379" i="182"/>
  <c r="G378" i="182"/>
  <c r="C378" i="182"/>
  <c r="C377" i="182"/>
  <c r="C376" i="182"/>
  <c r="C375" i="182"/>
  <c r="C374" i="182"/>
  <c r="C373" i="182"/>
  <c r="C372" i="182"/>
  <c r="C371" i="182"/>
  <c r="C370" i="182"/>
  <c r="C369" i="182"/>
  <c r="D368" i="182"/>
  <c r="C368" i="182"/>
  <c r="C367" i="182"/>
  <c r="C366" i="182"/>
  <c r="C365" i="182"/>
  <c r="C364" i="182"/>
  <c r="C363" i="182"/>
  <c r="C362" i="182"/>
  <c r="G361" i="182"/>
  <c r="C361" i="182"/>
  <c r="G360" i="182"/>
  <c r="C360" i="182"/>
  <c r="G359" i="182"/>
  <c r="C359" i="182"/>
  <c r="G358" i="182"/>
  <c r="C358" i="182"/>
  <c r="G357" i="182"/>
  <c r="C357" i="182"/>
  <c r="G356" i="182"/>
  <c r="C356" i="182"/>
  <c r="G355" i="182"/>
  <c r="C355" i="182"/>
  <c r="G354" i="182"/>
  <c r="C354" i="182"/>
  <c r="G353" i="182"/>
  <c r="C353" i="182"/>
  <c r="G352" i="182"/>
  <c r="C352" i="182"/>
  <c r="G351" i="182"/>
  <c r="C351" i="182"/>
  <c r="G350" i="182"/>
  <c r="C350" i="182"/>
  <c r="G349" i="182"/>
  <c r="C349" i="182"/>
  <c r="G348" i="182"/>
  <c r="C348" i="182"/>
  <c r="G347" i="182"/>
  <c r="C347" i="182"/>
  <c r="G346" i="182"/>
  <c r="C346" i="182"/>
  <c r="G345" i="182"/>
  <c r="C345" i="182"/>
  <c r="G344" i="182"/>
  <c r="C344" i="182"/>
  <c r="G343" i="182"/>
  <c r="C343" i="182"/>
  <c r="G342" i="182"/>
  <c r="C342" i="182"/>
  <c r="G341" i="182"/>
  <c r="C341" i="182"/>
  <c r="G340" i="182"/>
  <c r="C340" i="182"/>
  <c r="G339" i="182"/>
  <c r="C339" i="182"/>
  <c r="G338" i="182"/>
  <c r="C338" i="182"/>
  <c r="G337" i="182"/>
  <c r="C337" i="182"/>
  <c r="G336" i="182"/>
  <c r="C336" i="182"/>
  <c r="G335" i="182"/>
  <c r="C335" i="182"/>
  <c r="G334" i="182"/>
  <c r="C334" i="182"/>
  <c r="G333" i="182"/>
  <c r="C333" i="182"/>
  <c r="G332" i="182"/>
  <c r="C332" i="182"/>
  <c r="G331" i="182"/>
  <c r="C331" i="182"/>
  <c r="G330" i="182"/>
  <c r="C330" i="182"/>
  <c r="G329" i="182"/>
  <c r="C329" i="182"/>
  <c r="G328" i="182"/>
  <c r="C328" i="182"/>
  <c r="G327" i="182"/>
  <c r="C327" i="182"/>
  <c r="G326" i="182"/>
  <c r="C326" i="182"/>
  <c r="G325" i="182"/>
  <c r="C325" i="182"/>
  <c r="G324" i="182"/>
  <c r="C324" i="182"/>
  <c r="G323" i="182"/>
  <c r="C323" i="182"/>
  <c r="G322" i="182"/>
  <c r="C322" i="182"/>
  <c r="G321" i="182"/>
  <c r="C321" i="182"/>
  <c r="G320" i="182"/>
  <c r="C320" i="182"/>
  <c r="G319" i="182"/>
  <c r="C319" i="182"/>
  <c r="G318" i="182"/>
  <c r="C318" i="182"/>
  <c r="G317" i="182"/>
  <c r="C317" i="182"/>
  <c r="G316" i="182"/>
  <c r="C316" i="182"/>
  <c r="G315" i="182"/>
  <c r="C315" i="182"/>
  <c r="G314" i="182"/>
  <c r="C314" i="182"/>
  <c r="G313" i="182"/>
  <c r="C313" i="182"/>
  <c r="G312" i="182"/>
  <c r="C312" i="182"/>
  <c r="G311" i="182"/>
  <c r="C311" i="182"/>
  <c r="G310" i="182"/>
  <c r="C310" i="182"/>
  <c r="G309" i="182"/>
  <c r="C309" i="182"/>
  <c r="G308" i="182"/>
  <c r="C308" i="182"/>
  <c r="G307" i="182"/>
  <c r="C307" i="182"/>
  <c r="G306" i="182"/>
  <c r="C306" i="182"/>
  <c r="G305" i="182"/>
  <c r="C305" i="182"/>
  <c r="G304" i="182"/>
  <c r="C304" i="182"/>
  <c r="G303" i="182"/>
  <c r="C303" i="182"/>
  <c r="M300" i="182"/>
  <c r="L300" i="182"/>
  <c r="H300" i="182"/>
  <c r="G300" i="182"/>
  <c r="L299" i="182"/>
  <c r="G299" i="182"/>
  <c r="N298" i="182"/>
  <c r="L298" i="182"/>
  <c r="I298" i="182"/>
  <c r="G298" i="182"/>
  <c r="N297" i="182"/>
  <c r="L297" i="182"/>
  <c r="I297" i="182"/>
  <c r="G297" i="182"/>
  <c r="M296" i="182"/>
  <c r="L296" i="182"/>
  <c r="H296" i="182"/>
  <c r="G296" i="182"/>
  <c r="N295" i="182"/>
  <c r="M295" i="182"/>
  <c r="L295" i="182"/>
  <c r="I295" i="182"/>
  <c r="H295" i="182"/>
  <c r="G295" i="182"/>
  <c r="M294" i="182"/>
  <c r="L294" i="182"/>
  <c r="H294" i="182"/>
  <c r="G294" i="182"/>
  <c r="L293" i="182"/>
  <c r="G293" i="182"/>
  <c r="M292" i="182"/>
  <c r="L292" i="182"/>
  <c r="H292" i="182"/>
  <c r="G292" i="182"/>
  <c r="L291" i="182"/>
  <c r="G291" i="182"/>
  <c r="M290" i="182"/>
  <c r="L290" i="182"/>
  <c r="H290" i="182"/>
  <c r="G290" i="182"/>
  <c r="L289" i="182"/>
  <c r="G289" i="182"/>
  <c r="L288" i="182"/>
  <c r="G288" i="182"/>
  <c r="N287" i="182"/>
  <c r="L287" i="182"/>
  <c r="I287" i="182"/>
  <c r="G287" i="182"/>
  <c r="L286" i="182"/>
  <c r="G286" i="182"/>
  <c r="N285" i="182"/>
  <c r="L285" i="182"/>
  <c r="I285" i="182"/>
  <c r="G285" i="182"/>
  <c r="N284" i="182"/>
  <c r="L284" i="182"/>
  <c r="I284" i="182"/>
  <c r="G284" i="182"/>
  <c r="N283" i="182"/>
  <c r="M283" i="182"/>
  <c r="L283" i="182"/>
  <c r="I283" i="182"/>
  <c r="H283" i="182"/>
  <c r="G283" i="182"/>
  <c r="N282" i="182"/>
  <c r="L282" i="182"/>
  <c r="I282" i="182"/>
  <c r="G282" i="182"/>
  <c r="N281" i="182"/>
  <c r="L281" i="182"/>
  <c r="I281" i="182"/>
  <c r="G281" i="182"/>
  <c r="N280" i="182"/>
  <c r="L280" i="182"/>
  <c r="I280" i="182"/>
  <c r="G280" i="182"/>
  <c r="N279" i="182"/>
  <c r="L279" i="182"/>
  <c r="I279" i="182"/>
  <c r="G279" i="182"/>
  <c r="L278" i="182"/>
  <c r="G278" i="182"/>
  <c r="N277" i="182"/>
  <c r="L277" i="182"/>
  <c r="I277" i="182"/>
  <c r="G277" i="182"/>
  <c r="N276" i="182"/>
  <c r="L276" i="182"/>
  <c r="I276" i="182"/>
  <c r="G276" i="182"/>
  <c r="L275" i="182"/>
  <c r="J275" i="182"/>
  <c r="G275" i="182"/>
  <c r="E275" i="182"/>
  <c r="L274" i="182"/>
  <c r="G274" i="182"/>
  <c r="N273" i="182"/>
  <c r="L273" i="182"/>
  <c r="I273" i="182"/>
  <c r="G273" i="182"/>
  <c r="L272" i="182"/>
  <c r="G272" i="182"/>
  <c r="L271" i="182"/>
  <c r="G271" i="182"/>
  <c r="N270" i="182"/>
  <c r="L270" i="182"/>
  <c r="I270" i="182"/>
  <c r="G270" i="182"/>
  <c r="N269" i="182"/>
  <c r="L269" i="182"/>
  <c r="I269" i="182"/>
  <c r="G269" i="182"/>
  <c r="N268" i="182"/>
  <c r="L268" i="182"/>
  <c r="I268" i="182"/>
  <c r="G268" i="182"/>
  <c r="L267" i="182"/>
  <c r="G267" i="182"/>
  <c r="L266" i="182"/>
  <c r="G266" i="182"/>
  <c r="L265" i="182"/>
  <c r="G265" i="182"/>
  <c r="L264" i="182"/>
  <c r="G264" i="182"/>
  <c r="L263" i="182"/>
  <c r="G263" i="182"/>
  <c r="L262" i="182"/>
  <c r="L261" i="182"/>
  <c r="G261" i="182"/>
  <c r="L260" i="182"/>
  <c r="L259" i="182"/>
  <c r="N258" i="182"/>
  <c r="L258" i="182"/>
  <c r="G258" i="182"/>
  <c r="L257" i="182"/>
  <c r="G257" i="182"/>
  <c r="N256" i="182"/>
  <c r="L256" i="182"/>
  <c r="I256" i="182"/>
  <c r="G256" i="182"/>
  <c r="L255" i="182"/>
  <c r="G255" i="182"/>
  <c r="L254" i="182"/>
  <c r="G254" i="182"/>
  <c r="L253" i="182"/>
  <c r="G253" i="182"/>
  <c r="P251" i="182"/>
  <c r="O251" i="182"/>
  <c r="N251" i="182"/>
  <c r="M251" i="182"/>
  <c r="L251" i="182"/>
  <c r="K251" i="182"/>
  <c r="J251" i="182"/>
  <c r="I251" i="182"/>
  <c r="H251" i="182"/>
  <c r="G251" i="182"/>
  <c r="F251" i="182"/>
  <c r="E251" i="182"/>
  <c r="P250" i="182"/>
  <c r="O250" i="182"/>
  <c r="N250" i="182"/>
  <c r="M250" i="182"/>
  <c r="L250" i="182"/>
  <c r="K250" i="182"/>
  <c r="J250" i="182"/>
  <c r="I250" i="182"/>
  <c r="H250" i="182"/>
  <c r="G250" i="182"/>
  <c r="F250" i="182"/>
  <c r="E250" i="182"/>
  <c r="P249" i="182"/>
  <c r="O249" i="182"/>
  <c r="N249" i="182"/>
  <c r="M249" i="182"/>
  <c r="L249" i="182"/>
  <c r="K249" i="182"/>
  <c r="J249" i="182"/>
  <c r="I249" i="182"/>
  <c r="H249" i="182"/>
  <c r="G249" i="182"/>
  <c r="F249" i="182"/>
  <c r="E249" i="182"/>
  <c r="D245" i="182"/>
  <c r="C245" i="182"/>
  <c r="C244" i="182"/>
  <c r="D243" i="182"/>
  <c r="C243" i="182"/>
  <c r="C242" i="182"/>
  <c r="I239" i="182"/>
  <c r="G239" i="182"/>
  <c r="E239" i="182"/>
  <c r="C239" i="182"/>
  <c r="I238" i="182"/>
  <c r="G238" i="182"/>
  <c r="E238" i="182"/>
  <c r="C238" i="182"/>
  <c r="I237" i="182"/>
  <c r="G237" i="182"/>
  <c r="E237" i="182"/>
  <c r="C237" i="182"/>
  <c r="I236" i="182"/>
  <c r="G236" i="182"/>
  <c r="E236" i="182"/>
  <c r="C236" i="182"/>
  <c r="I235" i="182"/>
  <c r="G235" i="182"/>
  <c r="E235" i="182"/>
  <c r="C235" i="182"/>
  <c r="I234" i="182"/>
  <c r="G234" i="182"/>
  <c r="E234" i="182"/>
  <c r="C234" i="182"/>
  <c r="I233" i="182"/>
  <c r="G233" i="182"/>
  <c r="E233" i="182"/>
  <c r="C233" i="182"/>
  <c r="I232" i="182"/>
  <c r="G232" i="182"/>
  <c r="E232" i="182"/>
  <c r="C232" i="182"/>
  <c r="G231" i="182"/>
  <c r="C231" i="182"/>
  <c r="G230" i="182"/>
  <c r="C230" i="182"/>
  <c r="G229" i="182"/>
  <c r="C229" i="182"/>
  <c r="G228" i="182"/>
  <c r="C228" i="182"/>
  <c r="G227" i="182"/>
  <c r="C227" i="182"/>
  <c r="G226" i="182"/>
  <c r="C226" i="182"/>
  <c r="G225" i="182"/>
  <c r="C225" i="182"/>
  <c r="G224" i="182"/>
  <c r="C224" i="182"/>
  <c r="D222" i="182"/>
  <c r="C222" i="182"/>
  <c r="C221" i="182"/>
  <c r="H220" i="182"/>
  <c r="G220" i="182"/>
  <c r="D220" i="182"/>
  <c r="C220" i="182"/>
  <c r="J219" i="182"/>
  <c r="H219" i="182"/>
  <c r="G219" i="182"/>
  <c r="D219" i="182"/>
  <c r="C219" i="182"/>
  <c r="J218" i="182"/>
  <c r="G218" i="182"/>
  <c r="C218" i="182"/>
  <c r="G217" i="182"/>
  <c r="C217" i="182"/>
  <c r="G216" i="182"/>
  <c r="C216" i="182"/>
  <c r="G215" i="182"/>
  <c r="C215" i="182"/>
  <c r="G214" i="182"/>
  <c r="C214" i="182"/>
  <c r="G213" i="182"/>
  <c r="C213" i="182"/>
  <c r="C212" i="182"/>
  <c r="C211" i="182"/>
  <c r="C210" i="182"/>
  <c r="C209" i="182"/>
  <c r="C208" i="182"/>
  <c r="G206" i="182"/>
  <c r="C206" i="182"/>
  <c r="G205" i="182"/>
  <c r="C205" i="182"/>
  <c r="I204" i="182"/>
  <c r="G204" i="182"/>
  <c r="E204" i="182"/>
  <c r="C204" i="182"/>
  <c r="G203" i="182"/>
  <c r="C203" i="182"/>
  <c r="I202" i="182"/>
  <c r="G202" i="182"/>
  <c r="C202" i="182"/>
  <c r="G201" i="182"/>
  <c r="C201" i="182"/>
  <c r="G200" i="182"/>
  <c r="C200" i="182"/>
  <c r="G199" i="182"/>
  <c r="C199" i="182"/>
  <c r="G198" i="182"/>
  <c r="C198" i="182"/>
  <c r="G197" i="182"/>
  <c r="C197" i="182"/>
  <c r="G196" i="182"/>
  <c r="C196" i="182"/>
  <c r="G195" i="182"/>
  <c r="C195" i="182"/>
  <c r="G194" i="182"/>
  <c r="C194" i="182"/>
  <c r="G193" i="182"/>
  <c r="C193" i="182"/>
  <c r="G192" i="182"/>
  <c r="C192" i="182"/>
  <c r="I191" i="182"/>
  <c r="G191" i="182"/>
  <c r="C191" i="182"/>
  <c r="I190" i="182"/>
  <c r="G190" i="182"/>
  <c r="C190" i="182"/>
  <c r="C189" i="182"/>
  <c r="C188" i="182"/>
  <c r="C187" i="182"/>
  <c r="G186" i="182"/>
  <c r="C186" i="182"/>
  <c r="G185" i="182"/>
  <c r="C185" i="182"/>
  <c r="G184" i="182"/>
  <c r="C184" i="182"/>
  <c r="G183" i="182"/>
  <c r="C183" i="182"/>
  <c r="H182" i="182"/>
  <c r="G182" i="182"/>
  <c r="E182" i="182"/>
  <c r="D182" i="182"/>
  <c r="C182" i="182"/>
  <c r="G181" i="182"/>
  <c r="E181" i="182"/>
  <c r="C181" i="182"/>
  <c r="G180" i="182"/>
  <c r="E180" i="182"/>
  <c r="C180" i="182"/>
  <c r="G179" i="182"/>
  <c r="E179" i="182"/>
  <c r="C179" i="182"/>
  <c r="G178" i="182"/>
  <c r="E178" i="182"/>
  <c r="D178" i="182"/>
  <c r="C178" i="182"/>
  <c r="I177" i="182"/>
  <c r="H177" i="182"/>
  <c r="G177" i="182"/>
  <c r="E177" i="182"/>
  <c r="D177" i="182"/>
  <c r="C177" i="182"/>
  <c r="I176" i="182"/>
  <c r="H176" i="182"/>
  <c r="G176" i="182"/>
  <c r="E176" i="182"/>
  <c r="D176" i="182"/>
  <c r="C176" i="182"/>
  <c r="I175" i="182"/>
  <c r="H175" i="182"/>
  <c r="G175" i="182"/>
  <c r="E175" i="182"/>
  <c r="D175" i="182"/>
  <c r="C175" i="182"/>
  <c r="C174" i="182"/>
  <c r="E173" i="182"/>
  <c r="C173" i="182"/>
  <c r="G172" i="182"/>
  <c r="C172" i="182"/>
  <c r="G171" i="182"/>
  <c r="C171" i="182"/>
  <c r="G170" i="182"/>
  <c r="C170" i="182"/>
  <c r="G169" i="182"/>
  <c r="C169" i="182"/>
  <c r="G168" i="182"/>
  <c r="C168" i="182"/>
  <c r="G167" i="182"/>
  <c r="C167" i="182"/>
  <c r="G166" i="182"/>
  <c r="C166" i="182"/>
  <c r="G165" i="182"/>
  <c r="C165" i="182"/>
  <c r="G164" i="182"/>
  <c r="C164" i="182"/>
  <c r="G163" i="182"/>
  <c r="C163" i="182"/>
  <c r="G162" i="182"/>
  <c r="C162" i="182"/>
  <c r="G161" i="182"/>
  <c r="C161" i="182"/>
  <c r="G160" i="182"/>
  <c r="C160" i="182"/>
  <c r="C159" i="182"/>
  <c r="C158" i="182"/>
  <c r="G157" i="182"/>
  <c r="C157" i="182"/>
  <c r="G156" i="182"/>
  <c r="C156" i="182"/>
  <c r="C155" i="182"/>
  <c r="C154" i="182"/>
  <c r="E153" i="182"/>
  <c r="C153" i="182"/>
  <c r="C152" i="182"/>
  <c r="C151" i="182"/>
  <c r="I150" i="182"/>
  <c r="C150" i="182"/>
  <c r="I149" i="182"/>
  <c r="E149" i="182"/>
  <c r="C149" i="182"/>
  <c r="G148" i="182"/>
  <c r="C148" i="182"/>
  <c r="G147" i="182"/>
  <c r="C147" i="182"/>
  <c r="G146" i="182"/>
  <c r="C146" i="182"/>
  <c r="C145" i="182"/>
  <c r="C144" i="182"/>
  <c r="C143" i="182"/>
  <c r="G142" i="182"/>
  <c r="C142" i="182"/>
  <c r="G141" i="182"/>
  <c r="C141" i="182"/>
  <c r="C140" i="182"/>
  <c r="C139" i="182"/>
  <c r="E138" i="182"/>
  <c r="C138" i="182"/>
  <c r="C137" i="182"/>
  <c r="E136" i="182"/>
  <c r="C136" i="182"/>
  <c r="E135" i="182"/>
  <c r="C135" i="182"/>
  <c r="E134" i="182"/>
  <c r="C134" i="182"/>
  <c r="I131" i="182"/>
  <c r="H131" i="182"/>
  <c r="G131" i="182"/>
  <c r="F131" i="182"/>
  <c r="I130" i="182"/>
  <c r="G130" i="182"/>
  <c r="A130" i="182"/>
  <c r="I129" i="182"/>
  <c r="H129" i="182"/>
  <c r="G129" i="182"/>
  <c r="F129" i="182"/>
  <c r="G128" i="182"/>
  <c r="A128" i="182"/>
  <c r="I127" i="182"/>
  <c r="H127" i="182"/>
  <c r="G127" i="182"/>
  <c r="F127" i="182"/>
  <c r="I126" i="182"/>
  <c r="G126" i="182"/>
  <c r="A126" i="182"/>
  <c r="I125" i="182"/>
  <c r="H125" i="182"/>
  <c r="G125" i="182"/>
  <c r="F125" i="182"/>
  <c r="I124" i="182"/>
  <c r="G124" i="182"/>
  <c r="A124" i="182"/>
  <c r="G123" i="182"/>
  <c r="I122" i="182"/>
  <c r="H122" i="182"/>
  <c r="G122" i="182"/>
  <c r="G121" i="182"/>
  <c r="F121" i="182"/>
  <c r="G120" i="182"/>
  <c r="F120" i="182"/>
  <c r="F119" i="182"/>
  <c r="F118" i="182"/>
  <c r="I117" i="182"/>
  <c r="H117" i="182"/>
  <c r="I116" i="182"/>
  <c r="H116" i="182"/>
  <c r="G116" i="182"/>
  <c r="H115" i="182"/>
  <c r="G115" i="182"/>
  <c r="G114" i="182"/>
  <c r="F114" i="182"/>
  <c r="G113" i="182"/>
  <c r="F113" i="182"/>
  <c r="F112" i="182"/>
  <c r="F111" i="182"/>
  <c r="I110" i="182"/>
  <c r="H110" i="182"/>
  <c r="I109" i="182"/>
  <c r="H109" i="182"/>
  <c r="H108" i="182"/>
  <c r="I106" i="182"/>
  <c r="H106" i="182"/>
  <c r="G106" i="182"/>
  <c r="F106" i="182"/>
  <c r="I105" i="182"/>
  <c r="G105" i="182"/>
  <c r="A105" i="182"/>
  <c r="I104" i="182"/>
  <c r="H104" i="182"/>
  <c r="G104" i="182"/>
  <c r="F104" i="182"/>
  <c r="G103" i="182"/>
  <c r="A103" i="182"/>
  <c r="I102" i="182"/>
  <c r="H102" i="182"/>
  <c r="G102" i="182"/>
  <c r="F102" i="182"/>
  <c r="I101" i="182"/>
  <c r="G101" i="182"/>
  <c r="A101" i="182"/>
  <c r="I100" i="182"/>
  <c r="H100" i="182"/>
  <c r="G100" i="182"/>
  <c r="F100" i="182"/>
  <c r="I99" i="182"/>
  <c r="G99" i="182"/>
  <c r="A99" i="182"/>
  <c r="G98" i="182"/>
  <c r="F98" i="182"/>
  <c r="G97" i="182"/>
  <c r="F97" i="182"/>
  <c r="F96" i="182"/>
  <c r="F95" i="182"/>
  <c r="G94" i="182"/>
  <c r="I93" i="182"/>
  <c r="H93" i="182"/>
  <c r="G93" i="182"/>
  <c r="I92" i="182"/>
  <c r="H92" i="182"/>
  <c r="H91" i="182"/>
  <c r="G91" i="182"/>
  <c r="H90" i="182"/>
  <c r="G90" i="182"/>
  <c r="G89" i="182"/>
  <c r="G88" i="182"/>
  <c r="G87" i="182"/>
  <c r="H86" i="182"/>
  <c r="I85" i="182"/>
  <c r="H85" i="182"/>
  <c r="G85" i="182"/>
  <c r="F85" i="182"/>
  <c r="E85" i="182"/>
  <c r="D85" i="182"/>
  <c r="C85" i="182"/>
  <c r="C83" i="182"/>
  <c r="C82" i="182"/>
  <c r="A82" i="182"/>
  <c r="G80" i="182"/>
  <c r="E80" i="182"/>
  <c r="C80" i="182"/>
  <c r="G79" i="182"/>
  <c r="E79" i="182"/>
  <c r="C79" i="182"/>
  <c r="G78" i="182"/>
  <c r="G77" i="182"/>
  <c r="G76" i="182"/>
  <c r="G75" i="182"/>
  <c r="G74" i="182"/>
  <c r="C74" i="182"/>
  <c r="G73" i="182"/>
  <c r="C73" i="182"/>
  <c r="G71" i="182"/>
  <c r="F71" i="182"/>
  <c r="C71" i="182"/>
  <c r="B71" i="182"/>
  <c r="G70" i="182"/>
  <c r="F70" i="182"/>
  <c r="C70" i="182"/>
  <c r="B70" i="182"/>
  <c r="F69" i="182"/>
  <c r="B69" i="182"/>
  <c r="F68" i="182"/>
  <c r="B68" i="182"/>
  <c r="G66" i="182"/>
  <c r="C66" i="182"/>
  <c r="C63" i="182"/>
  <c r="C62" i="182"/>
  <c r="C56" i="182"/>
  <c r="B56" i="182"/>
  <c r="C55" i="182"/>
  <c r="B55" i="182"/>
  <c r="D54" i="182"/>
  <c r="B54" i="182"/>
  <c r="D53" i="182"/>
  <c r="B53" i="182"/>
  <c r="E52" i="182"/>
  <c r="D52" i="182"/>
  <c r="B52" i="182"/>
  <c r="D51" i="182"/>
  <c r="B51" i="182"/>
  <c r="D47" i="182"/>
  <c r="G46" i="182"/>
  <c r="E46" i="182"/>
  <c r="D46" i="182"/>
  <c r="G45" i="182"/>
  <c r="E45" i="182"/>
  <c r="D45" i="182"/>
  <c r="G44" i="182"/>
  <c r="E44" i="182"/>
  <c r="D44" i="182"/>
  <c r="E43" i="182"/>
  <c r="C42" i="182"/>
  <c r="C41" i="182"/>
  <c r="B41" i="182"/>
  <c r="E40" i="182"/>
  <c r="D40" i="182"/>
  <c r="B40" i="182"/>
  <c r="A40" i="182"/>
  <c r="F39" i="182"/>
  <c r="E39" i="182"/>
  <c r="C38" i="182"/>
  <c r="C37" i="182"/>
  <c r="G36" i="182"/>
  <c r="F36" i="182"/>
  <c r="E36" i="182"/>
  <c r="D36" i="182"/>
  <c r="E35" i="182"/>
  <c r="C35" i="182"/>
  <c r="G34" i="182"/>
  <c r="E34" i="182"/>
  <c r="C34" i="182"/>
  <c r="B34" i="182"/>
  <c r="G33" i="182"/>
  <c r="C33" i="182"/>
  <c r="B33" i="182"/>
  <c r="B32" i="182"/>
  <c r="B31" i="182"/>
  <c r="G30" i="182"/>
  <c r="E30" i="182"/>
  <c r="D30" i="182"/>
  <c r="F29" i="182"/>
  <c r="E29" i="182"/>
  <c r="C28" i="182"/>
  <c r="C27" i="182"/>
  <c r="C24" i="182"/>
  <c r="E22" i="182"/>
  <c r="D22" i="182"/>
  <c r="G21" i="182"/>
  <c r="C20" i="182"/>
  <c r="D18" i="182"/>
  <c r="G17" i="182"/>
  <c r="D16" i="182"/>
  <c r="C14" i="182"/>
  <c r="B14" i="182"/>
  <c r="D13" i="182"/>
  <c r="B13" i="182"/>
  <c r="D71" i="174"/>
  <c r="C68" i="174"/>
  <c r="E65" i="174"/>
  <c r="E64" i="174"/>
  <c r="C63" i="174"/>
  <c r="C61" i="174"/>
  <c r="C44" i="174"/>
  <c r="E43" i="174"/>
  <c r="C20" i="174"/>
  <c r="C18" i="174"/>
  <c r="C17" i="174"/>
  <c r="E12" i="174"/>
  <c r="K11" i="176"/>
  <c r="J11" i="176"/>
  <c r="E11" i="176"/>
  <c r="D11" i="176"/>
  <c r="K10" i="176"/>
  <c r="J10" i="176"/>
  <c r="E10" i="176"/>
  <c r="D10" i="176"/>
  <c r="K9" i="176"/>
  <c r="J9" i="176"/>
  <c r="E9" i="176"/>
  <c r="D9" i="176"/>
  <c r="K8" i="176"/>
  <c r="J8" i="176"/>
  <c r="E8" i="176"/>
  <c r="D8" i="176"/>
  <c r="K7" i="176"/>
  <c r="J7" i="176"/>
  <c r="E7" i="176"/>
  <c r="D7" i="176"/>
  <c r="K6" i="176"/>
  <c r="J6" i="176"/>
  <c r="E6" i="176"/>
  <c r="D6" i="176"/>
  <c r="K5" i="176"/>
  <c r="J5" i="176"/>
  <c r="E5" i="176"/>
  <c r="D5" i="176"/>
  <c r="K4" i="176"/>
  <c r="J4" i="176"/>
  <c r="E4" i="176"/>
  <c r="D4" i="176"/>
  <c r="K3" i="176"/>
  <c r="J3" i="176"/>
  <c r="E3" i="176"/>
  <c r="D3" i="176"/>
  <c r="D25" i="175"/>
  <c r="D24" i="175"/>
  <c r="D21" i="175"/>
  <c r="D18" i="175"/>
  <c r="E9" i="175"/>
  <c r="E7" i="175"/>
  <c r="C7" i="175"/>
  <c r="D67" i="183"/>
  <c r="D66" i="183"/>
  <c r="D61" i="183"/>
  <c r="D60" i="183"/>
  <c r="D58" i="183"/>
  <c r="D57" i="183"/>
  <c r="D49" i="183"/>
  <c r="D45" i="183"/>
  <c r="D43" i="183"/>
  <c r="D30" i="183"/>
  <c r="D22" i="183"/>
  <c r="D18" i="183"/>
  <c r="D10" i="183"/>
  <c r="D6" i="183"/>
  <c r="H320" i="185"/>
  <c r="G320" i="185"/>
  <c r="F320" i="185"/>
  <c r="E320" i="185"/>
  <c r="C320" i="185"/>
  <c r="G314" i="185"/>
  <c r="G313" i="185"/>
  <c r="G311" i="185"/>
  <c r="B311" i="185"/>
  <c r="G310" i="185"/>
  <c r="B310" i="185"/>
  <c r="C307" i="185"/>
  <c r="G306" i="185"/>
  <c r="B306" i="185"/>
  <c r="G305" i="185"/>
  <c r="G302" i="185"/>
  <c r="B302" i="185"/>
  <c r="G301" i="185"/>
  <c r="C301" i="185"/>
  <c r="B299" i="185"/>
  <c r="G298" i="185"/>
  <c r="C298" i="185"/>
  <c r="G297" i="185"/>
  <c r="B297" i="185"/>
  <c r="G296" i="185"/>
  <c r="C296" i="185"/>
  <c r="F294" i="185"/>
  <c r="B292" i="185"/>
  <c r="D289" i="185"/>
  <c r="B289" i="185"/>
  <c r="H288" i="185"/>
  <c r="F288" i="185"/>
  <c r="E288" i="185"/>
  <c r="D288" i="185"/>
  <c r="C288" i="185"/>
  <c r="B288" i="185"/>
  <c r="A288" i="185"/>
  <c r="H286" i="185"/>
  <c r="F285" i="185"/>
  <c r="F284" i="185"/>
  <c r="B284" i="185"/>
  <c r="B283" i="185"/>
  <c r="C280" i="185"/>
  <c r="C279" i="185"/>
  <c r="G278" i="185"/>
  <c r="F278" i="185"/>
  <c r="E278" i="185"/>
  <c r="B277" i="185"/>
  <c r="H276" i="185"/>
  <c r="G276" i="185"/>
  <c r="F276" i="185"/>
  <c r="E276" i="185"/>
  <c r="C273" i="185"/>
  <c r="C272" i="185"/>
  <c r="F271" i="185"/>
  <c r="B270" i="185"/>
  <c r="C267" i="185"/>
  <c r="C266" i="185"/>
  <c r="B265" i="185"/>
  <c r="E264" i="185"/>
  <c r="D264" i="185"/>
  <c r="C264" i="185"/>
  <c r="B264" i="185"/>
  <c r="G262" i="185"/>
  <c r="F262" i="185"/>
  <c r="E262" i="185"/>
  <c r="D262" i="185"/>
  <c r="C262" i="185"/>
  <c r="B262" i="185"/>
  <c r="E258" i="185"/>
  <c r="B258" i="185"/>
  <c r="B257" i="185"/>
  <c r="B254" i="185"/>
  <c r="E251" i="185"/>
  <c r="B251" i="185"/>
  <c r="B250" i="185"/>
  <c r="F247" i="185"/>
  <c r="B247" i="185"/>
  <c r="H246" i="185"/>
  <c r="F246" i="185"/>
  <c r="B246" i="185"/>
  <c r="H239" i="185"/>
  <c r="F239" i="185"/>
  <c r="B239" i="185"/>
  <c r="B236" i="185"/>
  <c r="C235" i="185"/>
  <c r="B235" i="185"/>
  <c r="F233" i="185"/>
  <c r="F227" i="185"/>
  <c r="F226" i="185"/>
  <c r="F225" i="185"/>
  <c r="F222" i="185"/>
  <c r="E222" i="185"/>
  <c r="C222" i="185"/>
  <c r="B222" i="185"/>
  <c r="A222" i="185"/>
  <c r="F217" i="185"/>
  <c r="B217" i="185"/>
  <c r="H216" i="185"/>
  <c r="E216" i="185"/>
  <c r="B216" i="185"/>
  <c r="C212" i="185"/>
  <c r="C211" i="185"/>
  <c r="B201" i="185"/>
  <c r="B198" i="185"/>
  <c r="F197" i="185"/>
  <c r="E197" i="185"/>
  <c r="B197" i="185"/>
  <c r="H193" i="185"/>
  <c r="G193" i="185"/>
  <c r="F193" i="185"/>
  <c r="E193" i="185"/>
  <c r="D193" i="185"/>
  <c r="H191" i="185"/>
  <c r="G191" i="185"/>
  <c r="F191" i="185"/>
  <c r="E191" i="185"/>
  <c r="B191" i="185"/>
  <c r="F188" i="185"/>
  <c r="B187" i="185"/>
  <c r="G182" i="185"/>
  <c r="F182" i="185"/>
  <c r="E182" i="185"/>
  <c r="B182" i="185"/>
  <c r="B178" i="185"/>
  <c r="F177" i="185"/>
  <c r="H176" i="185"/>
  <c r="C176" i="185"/>
  <c r="B176" i="185"/>
  <c r="B174" i="185"/>
  <c r="H171" i="185"/>
  <c r="F171" i="185"/>
  <c r="H170" i="185"/>
  <c r="H169" i="185"/>
  <c r="H168" i="185"/>
  <c r="B167" i="185"/>
  <c r="H166" i="185"/>
  <c r="E164" i="185"/>
  <c r="B164" i="185"/>
  <c r="F157" i="185"/>
  <c r="B155" i="185"/>
  <c r="F152" i="185"/>
  <c r="E152" i="185"/>
  <c r="B152" i="185"/>
  <c r="F149" i="185"/>
  <c r="E149" i="185"/>
  <c r="H147" i="185"/>
  <c r="G147" i="185"/>
  <c r="F147" i="185"/>
  <c r="E147" i="185"/>
  <c r="B147" i="185"/>
  <c r="B142" i="185"/>
  <c r="G141" i="185"/>
  <c r="F141" i="185"/>
  <c r="E141" i="185"/>
  <c r="B141" i="185"/>
  <c r="B138" i="185"/>
  <c r="F137" i="185"/>
  <c r="B132" i="185"/>
  <c r="H127" i="185"/>
  <c r="B127" i="185"/>
  <c r="H126" i="185"/>
  <c r="F123" i="185"/>
  <c r="H121" i="185"/>
  <c r="H120" i="185"/>
  <c r="H119" i="185"/>
  <c r="B119" i="185"/>
  <c r="G92" i="185"/>
  <c r="F92" i="185"/>
  <c r="C92" i="185"/>
  <c r="D90" i="185"/>
  <c r="D89" i="185"/>
  <c r="E87" i="185"/>
  <c r="B87" i="185"/>
  <c r="F86" i="185"/>
  <c r="D85" i="185"/>
  <c r="D84" i="185"/>
  <c r="B77" i="185"/>
  <c r="F76" i="185"/>
  <c r="F73" i="185"/>
  <c r="E73" i="185"/>
  <c r="C73" i="185"/>
  <c r="C70" i="185"/>
  <c r="F69" i="185"/>
  <c r="E69" i="185"/>
  <c r="C69" i="185"/>
  <c r="C66" i="185"/>
  <c r="F65" i="185"/>
  <c r="E65" i="185"/>
  <c r="C65" i="185"/>
  <c r="E58" i="185"/>
  <c r="E52" i="185"/>
  <c r="C52" i="185"/>
  <c r="E51" i="185"/>
  <c r="E50" i="185"/>
  <c r="E49" i="185"/>
  <c r="C41" i="185"/>
  <c r="C80" i="186"/>
  <c r="B79" i="186"/>
  <c r="G78" i="186"/>
  <c r="G77" i="186"/>
  <c r="F76" i="186"/>
  <c r="F75" i="186"/>
  <c r="F74" i="186"/>
  <c r="F73" i="186"/>
  <c r="G72" i="186"/>
  <c r="E72" i="186"/>
  <c r="G69" i="186"/>
  <c r="H68" i="186"/>
  <c r="B68" i="186"/>
  <c r="B65" i="186"/>
  <c r="G64" i="186"/>
  <c r="G63" i="186"/>
  <c r="F62" i="186"/>
  <c r="F61" i="186"/>
  <c r="F59" i="186"/>
  <c r="G58" i="186"/>
  <c r="E58" i="186"/>
  <c r="B55" i="186"/>
  <c r="B52" i="186"/>
  <c r="F51" i="186"/>
  <c r="F50" i="186"/>
  <c r="F49" i="186"/>
  <c r="G48" i="186"/>
  <c r="G47" i="186"/>
  <c r="F46" i="186"/>
  <c r="F45" i="186"/>
  <c r="F44" i="186"/>
  <c r="F43" i="186"/>
  <c r="G42" i="186"/>
  <c r="E42" i="186"/>
  <c r="C38" i="186"/>
  <c r="B37" i="186"/>
  <c r="E36" i="186"/>
  <c r="G35" i="186"/>
  <c r="F34" i="186"/>
  <c r="F33" i="186"/>
  <c r="F31" i="186"/>
  <c r="G30" i="186"/>
  <c r="E30" i="186"/>
  <c r="B27" i="186"/>
  <c r="G26" i="186"/>
  <c r="F25" i="186"/>
  <c r="F24" i="186"/>
  <c r="F22" i="186"/>
  <c r="G21" i="186"/>
  <c r="E21" i="186"/>
  <c r="B18" i="186"/>
  <c r="G17" i="186"/>
  <c r="F16" i="186"/>
  <c r="F15" i="186"/>
  <c r="F13" i="186"/>
  <c r="G12" i="186"/>
  <c r="E12" i="186"/>
  <c r="D8" i="186"/>
  <c r="D7" i="186"/>
  <c r="D6" i="186"/>
  <c r="D5" i="186"/>
  <c r="D4" i="186"/>
  <c r="D3" i="186"/>
  <c r="D162" i="187"/>
  <c r="D161" i="187"/>
  <c r="D159" i="187"/>
  <c r="D158" i="187"/>
  <c r="D157" i="187"/>
  <c r="D156" i="187"/>
  <c r="D155" i="187"/>
  <c r="D153" i="187"/>
  <c r="D151" i="187"/>
  <c r="D150" i="187"/>
  <c r="D149" i="187"/>
  <c r="D148" i="187"/>
  <c r="D147" i="187"/>
  <c r="D141" i="187"/>
  <c r="D140" i="187"/>
  <c r="I128" i="187"/>
  <c r="G128" i="187"/>
  <c r="E128" i="187"/>
  <c r="I122" i="187"/>
  <c r="G122" i="187"/>
  <c r="E122" i="187"/>
  <c r="D53" i="187"/>
  <c r="D52" i="187"/>
  <c r="D51" i="187"/>
  <c r="D49" i="187"/>
  <c r="D48" i="187"/>
  <c r="D47" i="187"/>
  <c r="D46" i="187"/>
  <c r="D20" i="187"/>
  <c r="D19" i="187"/>
  <c r="D18" i="187"/>
  <c r="D16" i="187"/>
  <c r="D15" i="187"/>
  <c r="D14" i="187"/>
  <c r="N24" i="189"/>
  <c r="M24" i="189"/>
  <c r="L24" i="189"/>
  <c r="K24" i="189"/>
  <c r="J24" i="189"/>
  <c r="I24" i="189"/>
  <c r="H24" i="189"/>
  <c r="G24" i="189"/>
  <c r="F24" i="189"/>
  <c r="E24" i="189"/>
  <c r="D24" i="189"/>
  <c r="N23" i="189"/>
  <c r="M23" i="189"/>
  <c r="L23" i="189"/>
  <c r="K23" i="189"/>
  <c r="J23" i="189"/>
  <c r="I23" i="189"/>
  <c r="H23" i="189"/>
  <c r="G23" i="189"/>
  <c r="F23" i="189"/>
  <c r="E23" i="189"/>
  <c r="D23" i="189"/>
  <c r="N22" i="189"/>
  <c r="M22" i="189"/>
  <c r="L22" i="189"/>
  <c r="K22" i="189"/>
  <c r="J22" i="189"/>
  <c r="I22" i="189"/>
  <c r="H22" i="189"/>
  <c r="G22" i="189"/>
  <c r="F22" i="189"/>
  <c r="E22" i="189"/>
  <c r="D22" i="189"/>
  <c r="N21" i="189"/>
  <c r="M21" i="189"/>
  <c r="L21" i="189"/>
  <c r="K21" i="189"/>
  <c r="J21" i="189"/>
  <c r="I21" i="189"/>
  <c r="H21" i="189"/>
  <c r="G21" i="189"/>
  <c r="F21" i="189"/>
  <c r="E21" i="189"/>
  <c r="D21" i="189"/>
  <c r="N20" i="189"/>
  <c r="M20" i="189"/>
  <c r="L20" i="189"/>
  <c r="K20" i="189"/>
  <c r="J20" i="189"/>
  <c r="I20" i="189"/>
  <c r="H20" i="189"/>
  <c r="G20" i="189"/>
  <c r="F20" i="189"/>
  <c r="E20" i="189"/>
  <c r="D20" i="189"/>
  <c r="N19" i="189"/>
  <c r="M19" i="189"/>
  <c r="L19" i="189"/>
  <c r="K19" i="189"/>
  <c r="J19" i="189"/>
  <c r="I19" i="189"/>
  <c r="H19" i="189"/>
  <c r="G19" i="189"/>
  <c r="F19" i="189"/>
  <c r="E19" i="189"/>
  <c r="D19" i="189"/>
  <c r="N18" i="189"/>
  <c r="M18" i="189"/>
  <c r="L18" i="189"/>
  <c r="K18" i="189"/>
  <c r="J18" i="189"/>
  <c r="I18" i="189"/>
  <c r="H18" i="189"/>
  <c r="G18" i="189"/>
  <c r="F18" i="189"/>
  <c r="E18" i="189"/>
  <c r="D18" i="189"/>
  <c r="N17" i="189"/>
  <c r="M17" i="189"/>
  <c r="L17" i="189"/>
  <c r="K17" i="189"/>
  <c r="J17" i="189"/>
  <c r="I17" i="189"/>
  <c r="H17" i="189"/>
  <c r="G17" i="189"/>
  <c r="F17" i="189"/>
  <c r="E17" i="189"/>
  <c r="D17" i="189"/>
  <c r="N16" i="189"/>
  <c r="M16" i="189"/>
  <c r="L16" i="189"/>
  <c r="K16" i="189"/>
  <c r="J16" i="189"/>
  <c r="I16" i="189"/>
  <c r="H16" i="189"/>
  <c r="G16" i="189"/>
  <c r="F16" i="189"/>
  <c r="E16" i="189"/>
  <c r="D16" i="189"/>
  <c r="N15" i="189"/>
  <c r="M15" i="189"/>
  <c r="L15" i="189"/>
  <c r="K15" i="189"/>
  <c r="J15" i="189"/>
  <c r="I15" i="189"/>
  <c r="H15" i="189"/>
  <c r="G15" i="189"/>
  <c r="F15" i="189"/>
  <c r="E15" i="189"/>
  <c r="D15" i="189"/>
  <c r="N14" i="189"/>
  <c r="M14" i="189"/>
  <c r="L14" i="189"/>
  <c r="K14" i="189"/>
  <c r="J14" i="189"/>
  <c r="I14" i="189"/>
  <c r="H14" i="189"/>
  <c r="G14" i="189"/>
  <c r="F14" i="189"/>
  <c r="E14" i="189"/>
  <c r="D14" i="189"/>
  <c r="N13" i="189"/>
  <c r="M13" i="189"/>
  <c r="L13" i="189"/>
  <c r="K13" i="189"/>
  <c r="J13" i="189"/>
  <c r="I13" i="189"/>
  <c r="H13" i="189"/>
  <c r="G13" i="189"/>
  <c r="F13" i="189"/>
  <c r="E13" i="189"/>
  <c r="D13" i="189"/>
  <c r="N12" i="189"/>
  <c r="M12" i="189"/>
  <c r="L12" i="189"/>
  <c r="K12" i="189"/>
  <c r="J12" i="189"/>
  <c r="I12" i="189"/>
  <c r="H12" i="189"/>
  <c r="G12" i="189"/>
  <c r="F12" i="189"/>
  <c r="E12" i="189"/>
  <c r="D12" i="189"/>
  <c r="N11" i="189"/>
  <c r="M11" i="189"/>
  <c r="L11" i="189"/>
  <c r="K11" i="189"/>
  <c r="J11" i="189"/>
  <c r="I11" i="189"/>
  <c r="H11" i="189"/>
  <c r="G11" i="189"/>
  <c r="F11" i="189"/>
  <c r="E11" i="189"/>
  <c r="D11" i="189"/>
  <c r="N10" i="189"/>
  <c r="M10" i="189"/>
  <c r="L10" i="189"/>
  <c r="K10" i="189"/>
  <c r="J10" i="189"/>
  <c r="I10" i="189"/>
  <c r="H10" i="189"/>
  <c r="G10" i="189"/>
  <c r="F10" i="189"/>
  <c r="E10" i="189"/>
  <c r="D10" i="189"/>
  <c r="N9" i="189"/>
  <c r="M9" i="189"/>
  <c r="L9" i="189"/>
  <c r="K9" i="189"/>
  <c r="J9" i="189"/>
  <c r="I9" i="189"/>
  <c r="H9" i="189"/>
  <c r="G9" i="189"/>
  <c r="F9" i="189"/>
  <c r="E9" i="189"/>
  <c r="D9" i="189"/>
  <c r="N8" i="189"/>
  <c r="M8" i="189"/>
  <c r="L8" i="189"/>
  <c r="K8" i="189"/>
  <c r="J8" i="189"/>
  <c r="I8" i="189"/>
  <c r="H8" i="189"/>
  <c r="G8" i="189"/>
  <c r="F8" i="189"/>
  <c r="E8" i="189"/>
  <c r="D8" i="189"/>
  <c r="N7" i="189"/>
  <c r="M7" i="189"/>
  <c r="L7" i="189"/>
  <c r="K7" i="189"/>
  <c r="J7" i="189"/>
  <c r="I7" i="189"/>
  <c r="H7" i="189"/>
  <c r="G7" i="189"/>
  <c r="F7" i="189"/>
  <c r="E7" i="189"/>
  <c r="D7" i="189"/>
  <c r="G24" i="190"/>
  <c r="F24" i="190"/>
  <c r="C24" i="190"/>
  <c r="B24" i="190"/>
  <c r="E21" i="190"/>
  <c r="B21" i="190"/>
  <c r="C18" i="190"/>
  <c r="B18" i="190"/>
  <c r="E15" i="190"/>
  <c r="B15" i="190"/>
  <c r="L13" i="190"/>
  <c r="E11" i="190"/>
  <c r="B11" i="190"/>
  <c r="E7" i="190"/>
  <c r="B7" i="190"/>
  <c r="E4" i="190"/>
  <c r="B4" i="190"/>
  <c r="C33" i="191"/>
  <c r="C32" i="191"/>
  <c r="C30" i="191"/>
  <c r="C29" i="191"/>
  <c r="C28" i="191"/>
  <c r="H27" i="191"/>
  <c r="G27" i="191"/>
  <c r="F27" i="191"/>
  <c r="E27" i="191"/>
  <c r="F21" i="191"/>
  <c r="E21" i="191"/>
  <c r="E20" i="191"/>
  <c r="J18" i="191"/>
  <c r="H18" i="191"/>
  <c r="F18" i="191"/>
  <c r="E18" i="191"/>
  <c r="H17" i="191"/>
  <c r="F17" i="191"/>
  <c r="E17" i="191"/>
  <c r="H13" i="191"/>
  <c r="F13" i="191"/>
  <c r="E13" i="191"/>
  <c r="E12" i="191"/>
  <c r="E10" i="191"/>
  <c r="E8" i="191"/>
  <c r="J7" i="191"/>
  <c r="E7" i="191"/>
  <c r="E6" i="191"/>
  <c r="E4" i="191"/>
  <c r="H13" i="196"/>
  <c r="G13" i="196"/>
  <c r="F13" i="196"/>
  <c r="E13" i="196"/>
  <c r="H12" i="196"/>
  <c r="G12" i="196"/>
  <c r="F12" i="196"/>
  <c r="E12" i="196"/>
  <c r="H11" i="196"/>
  <c r="G11" i="196"/>
  <c r="F11" i="196"/>
  <c r="E11" i="196"/>
  <c r="H10" i="196"/>
  <c r="G10" i="196"/>
  <c r="F10" i="196"/>
  <c r="E10" i="196"/>
  <c r="H9" i="196"/>
  <c r="G9" i="196"/>
  <c r="F9" i="196"/>
  <c r="E9" i="196"/>
  <c r="H8" i="196"/>
  <c r="G8" i="196"/>
  <c r="F8" i="196"/>
  <c r="E8" i="196"/>
  <c r="H7" i="196"/>
  <c r="G7" i="196"/>
  <c r="F7" i="196"/>
  <c r="E7" i="196"/>
  <c r="H6" i="196"/>
  <c r="G6" i="196"/>
  <c r="F6" i="196"/>
  <c r="E6" i="196"/>
  <c r="F5" i="198"/>
  <c r="E5" i="198"/>
  <c r="A5" i="198"/>
  <c r="P26" i="200"/>
  <c r="N26" i="200"/>
  <c r="H21" i="200"/>
  <c r="F21" i="200"/>
  <c r="B21" i="200"/>
  <c r="E17" i="201"/>
  <c r="E13" i="201"/>
  <c r="I37" i="202"/>
  <c r="H37" i="202"/>
  <c r="G37" i="202"/>
  <c r="F37" i="202"/>
  <c r="E37" i="202"/>
  <c r="D37" i="202"/>
  <c r="C37" i="202"/>
  <c r="I31" i="202"/>
  <c r="H31" i="202"/>
  <c r="G31" i="202"/>
  <c r="F31" i="202"/>
  <c r="E31" i="202"/>
  <c r="D31" i="202"/>
  <c r="C31" i="202"/>
  <c r="L11" i="202"/>
  <c r="K11" i="202"/>
  <c r="J11" i="202"/>
  <c r="I11" i="202"/>
  <c r="H11" i="202"/>
  <c r="G11" i="202"/>
  <c r="F11" i="202"/>
  <c r="E11" i="202"/>
  <c r="D11" i="202"/>
  <c r="L5" i="202"/>
  <c r="K5" i="202"/>
  <c r="J5" i="202"/>
  <c r="I5" i="202"/>
  <c r="H5" i="202"/>
  <c r="G5" i="202"/>
  <c r="F5" i="202"/>
  <c r="E5" i="202"/>
  <c r="D5" i="202"/>
  <c r="J9" i="203"/>
  <c r="I9" i="203"/>
  <c r="E9" i="203"/>
  <c r="D9" i="203"/>
  <c r="L18" i="204"/>
  <c r="K18" i="204"/>
  <c r="J18" i="204"/>
  <c r="I18" i="204"/>
  <c r="H18" i="204"/>
  <c r="F18" i="204"/>
  <c r="E18" i="204"/>
  <c r="D18" i="204"/>
  <c r="C18" i="204"/>
  <c r="B18" i="204"/>
  <c r="A18" i="204"/>
  <c r="Q15" i="204"/>
  <c r="P15" i="204"/>
  <c r="L15" i="204"/>
  <c r="K15" i="204"/>
  <c r="Q14" i="204"/>
  <c r="P14" i="204"/>
  <c r="L14" i="204"/>
  <c r="K14" i="204"/>
  <c r="Q13" i="204"/>
  <c r="P13" i="204"/>
  <c r="L13" i="204"/>
  <c r="K13" i="204"/>
  <c r="Q12" i="204"/>
  <c r="P12" i="204"/>
  <c r="L12" i="204"/>
  <c r="K12" i="204"/>
  <c r="Q11" i="204"/>
  <c r="P11" i="204"/>
  <c r="L11" i="204"/>
  <c r="K11" i="204"/>
  <c r="Q10" i="204"/>
  <c r="P10" i="204"/>
  <c r="L10" i="204"/>
  <c r="K10" i="204"/>
  <c r="Q9" i="204"/>
  <c r="P9" i="204"/>
  <c r="L9" i="204"/>
  <c r="K9" i="204"/>
  <c r="Q8" i="204"/>
  <c r="P8" i="204"/>
  <c r="L8" i="204"/>
  <c r="K8" i="204"/>
  <c r="Q7" i="204"/>
  <c r="P7" i="204"/>
  <c r="L7" i="204"/>
  <c r="K7" i="204"/>
  <c r="Q6" i="204"/>
  <c r="P6" i="204"/>
  <c r="L6" i="204"/>
  <c r="K6" i="204"/>
  <c r="Q5" i="204"/>
  <c r="P5" i="204"/>
  <c r="L5" i="204"/>
  <c r="K5" i="204"/>
  <c r="Q4" i="204"/>
  <c r="P4" i="204"/>
  <c r="L4" i="204"/>
  <c r="K4" i="204"/>
  <c r="R16" i="205"/>
  <c r="Q16" i="205"/>
  <c r="P16" i="205"/>
  <c r="O16" i="205"/>
  <c r="R15" i="205"/>
  <c r="Q15" i="205"/>
  <c r="P15" i="205"/>
  <c r="O15" i="205"/>
  <c r="N15" i="205"/>
  <c r="M15" i="205"/>
  <c r="L15" i="205"/>
  <c r="I15" i="205"/>
  <c r="H15" i="205"/>
  <c r="G15" i="205"/>
  <c r="F15" i="205"/>
  <c r="R14" i="205"/>
  <c r="Q14" i="205"/>
  <c r="P14" i="205"/>
  <c r="O14" i="205"/>
  <c r="N14" i="205"/>
  <c r="M14" i="205"/>
  <c r="L14" i="205"/>
  <c r="I14" i="205"/>
  <c r="H14" i="205"/>
  <c r="G14" i="205"/>
  <c r="F14" i="205"/>
  <c r="E14" i="205"/>
  <c r="D14" i="205"/>
  <c r="C14" i="205"/>
  <c r="R13" i="205"/>
  <c r="Q13" i="205"/>
  <c r="P13" i="205"/>
  <c r="O13" i="205"/>
  <c r="N13" i="205"/>
  <c r="M13" i="205"/>
  <c r="L13" i="205"/>
  <c r="I13" i="205"/>
  <c r="H13" i="205"/>
  <c r="G13" i="205"/>
  <c r="F13" i="205"/>
  <c r="E13" i="205"/>
  <c r="D13" i="205"/>
  <c r="C13" i="205"/>
  <c r="R12" i="205"/>
  <c r="Q12" i="205"/>
  <c r="P12" i="205"/>
  <c r="O12" i="205"/>
  <c r="N12" i="205"/>
  <c r="M12" i="205"/>
  <c r="L12" i="205"/>
  <c r="I12" i="205"/>
  <c r="H12" i="205"/>
  <c r="G12" i="205"/>
  <c r="F12" i="205"/>
  <c r="E12" i="205"/>
  <c r="D12" i="205"/>
  <c r="C12" i="205"/>
  <c r="R11" i="205"/>
  <c r="Q11" i="205"/>
  <c r="P11" i="205"/>
  <c r="O11" i="205"/>
  <c r="N11" i="205"/>
  <c r="M11" i="205"/>
  <c r="L11" i="205"/>
  <c r="I11" i="205"/>
  <c r="H11" i="205"/>
  <c r="G11" i="205"/>
  <c r="F11" i="205"/>
  <c r="E11" i="205"/>
  <c r="D11" i="205"/>
  <c r="C11" i="205"/>
  <c r="R10" i="205"/>
  <c r="Q10" i="205"/>
  <c r="P10" i="205"/>
  <c r="O10" i="205"/>
  <c r="N10" i="205"/>
  <c r="M10" i="205"/>
  <c r="L10" i="205"/>
  <c r="I10" i="205"/>
  <c r="H10" i="205"/>
  <c r="G10" i="205"/>
  <c r="F10" i="205"/>
  <c r="E10" i="205"/>
  <c r="D10" i="205"/>
  <c r="C10" i="205"/>
  <c r="R9" i="205"/>
  <c r="Q9" i="205"/>
  <c r="P9" i="205"/>
  <c r="O9" i="205"/>
  <c r="N9" i="205"/>
  <c r="M9" i="205"/>
  <c r="L9" i="205"/>
  <c r="I9" i="205"/>
  <c r="H9" i="205"/>
  <c r="G9" i="205"/>
  <c r="F9" i="205"/>
  <c r="E9" i="205"/>
  <c r="D9" i="205"/>
  <c r="C9" i="205"/>
  <c r="R8" i="205"/>
  <c r="Q8" i="205"/>
  <c r="P8" i="205"/>
  <c r="O8" i="205"/>
  <c r="N8" i="205"/>
  <c r="M8" i="205"/>
  <c r="L8" i="205"/>
  <c r="I8" i="205"/>
  <c r="H8" i="205"/>
  <c r="G8" i="205"/>
  <c r="F8" i="205"/>
  <c r="E8" i="205"/>
  <c r="D8" i="205"/>
  <c r="C8" i="205"/>
  <c r="R7" i="205"/>
  <c r="Q7" i="205"/>
  <c r="P7" i="205"/>
  <c r="O7" i="205"/>
  <c r="N7" i="205"/>
  <c r="M7" i="205"/>
  <c r="L7" i="205"/>
  <c r="I7" i="205"/>
  <c r="H7" i="205"/>
  <c r="G7" i="205"/>
  <c r="F7" i="205"/>
  <c r="E7" i="205"/>
  <c r="D7" i="205"/>
  <c r="C7" i="205"/>
  <c r="R6" i="205"/>
  <c r="Q6" i="205"/>
  <c r="P6" i="205"/>
  <c r="O6" i="205"/>
  <c r="N6" i="205"/>
  <c r="M6" i="205"/>
  <c r="L6" i="205"/>
  <c r="I6" i="205"/>
  <c r="H6" i="205"/>
  <c r="G6" i="205"/>
  <c r="F6" i="205"/>
  <c r="E6" i="205"/>
  <c r="D6" i="205"/>
  <c r="C6" i="205"/>
  <c r="R5" i="205"/>
  <c r="Q5" i="205"/>
  <c r="P5" i="205"/>
  <c r="O5" i="205"/>
  <c r="N5" i="205"/>
  <c r="M5" i="205"/>
  <c r="L5" i="205"/>
  <c r="I5" i="205"/>
  <c r="H5" i="205"/>
  <c r="G5" i="205"/>
  <c r="F5" i="205"/>
  <c r="E5" i="205"/>
  <c r="D5" i="205"/>
  <c r="C5" i="205"/>
  <c r="T31" i="207"/>
  <c r="S31" i="207"/>
  <c r="T30" i="207"/>
  <c r="S30" i="207"/>
  <c r="Q30" i="207"/>
  <c r="W29" i="207"/>
  <c r="T29" i="207"/>
  <c r="R29" i="207"/>
  <c r="J29" i="207"/>
  <c r="I29" i="207"/>
  <c r="C29" i="207"/>
  <c r="B29" i="207"/>
  <c r="W28" i="207"/>
  <c r="V28" i="207"/>
  <c r="T28" i="207"/>
  <c r="S28" i="207"/>
  <c r="R28" i="207"/>
  <c r="O28" i="207"/>
  <c r="N28" i="207"/>
  <c r="M28" i="207"/>
  <c r="J28" i="207"/>
  <c r="I28" i="207"/>
  <c r="H28" i="207"/>
  <c r="C28" i="207"/>
  <c r="B28" i="207"/>
  <c r="A28" i="207"/>
  <c r="W25" i="207"/>
  <c r="T25" i="207"/>
  <c r="R25" i="207"/>
  <c r="J25" i="207"/>
  <c r="W24" i="207"/>
  <c r="V24" i="207"/>
  <c r="U24" i="207"/>
  <c r="T24" i="207"/>
  <c r="R24" i="207"/>
  <c r="Q24" i="207"/>
  <c r="N24" i="207"/>
  <c r="M24" i="207"/>
  <c r="J24" i="207"/>
  <c r="H24" i="207"/>
  <c r="W23" i="207"/>
  <c r="T23" i="207"/>
  <c r="R23" i="207"/>
  <c r="J23" i="207"/>
  <c r="C23" i="207"/>
  <c r="W22" i="207"/>
  <c r="V22" i="207"/>
  <c r="U22" i="207"/>
  <c r="T22" i="207"/>
  <c r="R22" i="207"/>
  <c r="Q22" i="207"/>
  <c r="O22" i="207"/>
  <c r="N22" i="207"/>
  <c r="M22" i="207"/>
  <c r="J22" i="207"/>
  <c r="H22" i="207"/>
  <c r="C22" i="207"/>
  <c r="W21" i="207"/>
  <c r="T21" i="207"/>
  <c r="R21" i="207"/>
  <c r="J21" i="207"/>
  <c r="C21" i="207"/>
  <c r="W20" i="207"/>
  <c r="V20" i="207"/>
  <c r="U20" i="207"/>
  <c r="T20" i="207"/>
  <c r="R20" i="207"/>
  <c r="Q20" i="207"/>
  <c r="O20" i="207"/>
  <c r="N20" i="207"/>
  <c r="M20" i="207"/>
  <c r="J20" i="207"/>
  <c r="H20" i="207"/>
  <c r="C20" i="207"/>
  <c r="W19" i="207"/>
  <c r="T19" i="207"/>
  <c r="R19" i="207"/>
  <c r="J19" i="207"/>
  <c r="C19" i="207"/>
  <c r="W18" i="207"/>
  <c r="V18" i="207"/>
  <c r="U18" i="207"/>
  <c r="T18" i="207"/>
  <c r="R18" i="207"/>
  <c r="Q18" i="207"/>
  <c r="O18" i="207"/>
  <c r="N18" i="207"/>
  <c r="M18" i="207"/>
  <c r="J18" i="207"/>
  <c r="H18" i="207"/>
  <c r="C18" i="207"/>
  <c r="W17" i="207"/>
  <c r="T17" i="207"/>
  <c r="R17" i="207"/>
  <c r="J17" i="207"/>
  <c r="C17" i="207"/>
  <c r="W16" i="207"/>
  <c r="V16" i="207"/>
  <c r="U16" i="207"/>
  <c r="T16" i="207"/>
  <c r="R16" i="207"/>
  <c r="Q16" i="207"/>
  <c r="O16" i="207"/>
  <c r="N16" i="207"/>
  <c r="M16" i="207"/>
  <c r="J16" i="207"/>
  <c r="H16" i="207"/>
  <c r="C16" i="207"/>
  <c r="W15" i="207"/>
  <c r="T15" i="207"/>
  <c r="R15" i="207"/>
  <c r="J15" i="207"/>
  <c r="C15" i="207"/>
  <c r="W14" i="207"/>
  <c r="V14" i="207"/>
  <c r="U14" i="207"/>
  <c r="T14" i="207"/>
  <c r="R14" i="207"/>
  <c r="Q14" i="207"/>
  <c r="O14" i="207"/>
  <c r="N14" i="207"/>
  <c r="M14" i="207"/>
  <c r="J14" i="207"/>
  <c r="H14" i="207"/>
  <c r="C14" i="207"/>
  <c r="W13" i="207"/>
  <c r="T13" i="207"/>
  <c r="R13" i="207"/>
  <c r="J13" i="207"/>
  <c r="C13" i="207"/>
  <c r="W12" i="207"/>
  <c r="V12" i="207"/>
  <c r="U12" i="207"/>
  <c r="T12" i="207"/>
  <c r="R12" i="207"/>
  <c r="Q12" i="207"/>
  <c r="O12" i="207"/>
  <c r="N12" i="207"/>
  <c r="M12" i="207"/>
  <c r="J12" i="207"/>
  <c r="H12" i="207"/>
  <c r="C12" i="207"/>
  <c r="W11" i="207"/>
  <c r="T11" i="207"/>
  <c r="R11" i="207"/>
  <c r="J11" i="207"/>
  <c r="C11" i="207"/>
  <c r="W10" i="207"/>
  <c r="V10" i="207"/>
  <c r="U10" i="207"/>
  <c r="T10" i="207"/>
  <c r="R10" i="207"/>
  <c r="Q10" i="207"/>
  <c r="O10" i="207"/>
  <c r="N10" i="207"/>
  <c r="M10" i="207"/>
  <c r="J10" i="207"/>
  <c r="H10" i="207"/>
  <c r="C10" i="207"/>
  <c r="W9" i="207"/>
  <c r="T9" i="207"/>
  <c r="R9" i="207"/>
  <c r="J9" i="207"/>
  <c r="C9" i="207"/>
  <c r="W8" i="207"/>
  <c r="V8" i="207"/>
  <c r="U8" i="207"/>
  <c r="T8" i="207"/>
  <c r="R8" i="207"/>
  <c r="Q8" i="207"/>
  <c r="O8" i="207"/>
  <c r="N8" i="207"/>
  <c r="M8" i="207"/>
  <c r="J8" i="207"/>
  <c r="H8" i="207"/>
  <c r="C8" i="207"/>
  <c r="W7" i="207"/>
  <c r="T7" i="207"/>
  <c r="R7" i="207"/>
  <c r="J7" i="207"/>
  <c r="C7" i="207"/>
  <c r="W6" i="207"/>
  <c r="V6" i="207"/>
  <c r="U6" i="207"/>
  <c r="T6" i="207"/>
  <c r="R6" i="207"/>
  <c r="Q6" i="207"/>
  <c r="O6" i="207"/>
  <c r="N6" i="207"/>
  <c r="M6" i="207"/>
  <c r="J6" i="207"/>
  <c r="H6" i="207"/>
  <c r="C6" i="207"/>
  <c r="W5" i="207"/>
  <c r="T5" i="207"/>
  <c r="R5" i="207"/>
  <c r="J5" i="207"/>
  <c r="C5" i="207"/>
  <c r="W4" i="207"/>
  <c r="V4" i="207"/>
  <c r="U4" i="207"/>
  <c r="T4" i="207"/>
  <c r="R4" i="207"/>
  <c r="Q4" i="207"/>
  <c r="O4" i="207"/>
  <c r="N4" i="207"/>
  <c r="M4" i="207"/>
  <c r="J4" i="207"/>
  <c r="H4" i="207"/>
  <c r="C4" i="207"/>
  <c r="AR24" i="211"/>
  <c r="AQ24" i="211"/>
  <c r="AP24" i="211"/>
  <c r="AO24" i="211"/>
  <c r="AN24" i="211"/>
  <c r="AM24" i="211"/>
  <c r="AL24" i="211"/>
  <c r="AK24" i="211"/>
  <c r="AJ24" i="211"/>
  <c r="AI24" i="211"/>
  <c r="AH24" i="211"/>
  <c r="AG24" i="211"/>
  <c r="AF24" i="211"/>
  <c r="AE24" i="211"/>
  <c r="AD24" i="211"/>
  <c r="AC24" i="211"/>
  <c r="AB24" i="211"/>
  <c r="AA24" i="211"/>
  <c r="Z24" i="211"/>
  <c r="Y24" i="211"/>
  <c r="X24" i="211"/>
  <c r="W24" i="211"/>
  <c r="V24" i="211"/>
  <c r="U24" i="211"/>
  <c r="T24" i="211"/>
  <c r="S24" i="211"/>
  <c r="R24" i="211"/>
  <c r="Q24" i="211"/>
  <c r="P24" i="211"/>
  <c r="O24" i="211"/>
  <c r="N24" i="211"/>
  <c r="M24" i="211"/>
  <c r="L24" i="211"/>
  <c r="K24" i="211"/>
  <c r="J24" i="211"/>
  <c r="I24" i="211"/>
  <c r="H24" i="211"/>
  <c r="G24" i="211"/>
  <c r="F24" i="211"/>
  <c r="E24" i="211"/>
  <c r="AR23" i="211"/>
  <c r="AQ23" i="211"/>
  <c r="AP23" i="211"/>
  <c r="AO23" i="211"/>
  <c r="AN23" i="211"/>
  <c r="AM23" i="211"/>
  <c r="AL23" i="211"/>
  <c r="AK23" i="211"/>
  <c r="AJ23" i="211"/>
  <c r="AI23" i="211"/>
  <c r="AH23" i="211"/>
  <c r="AG23" i="211"/>
  <c r="AF23" i="211"/>
  <c r="AE23" i="211"/>
  <c r="AD23" i="211"/>
  <c r="AC23" i="211"/>
  <c r="AB23" i="211"/>
  <c r="AA23" i="211"/>
  <c r="Z23" i="211"/>
  <c r="Y23" i="211"/>
  <c r="X23" i="211"/>
  <c r="W23" i="211"/>
  <c r="V23" i="211"/>
  <c r="U23" i="211"/>
  <c r="T23" i="211"/>
  <c r="S23" i="211"/>
  <c r="R23" i="211"/>
  <c r="Q23" i="211"/>
  <c r="P23" i="211"/>
  <c r="O23" i="211"/>
  <c r="N23" i="211"/>
  <c r="M23" i="211"/>
  <c r="L23" i="211"/>
  <c r="K23" i="211"/>
  <c r="J23" i="211"/>
  <c r="I23" i="211"/>
  <c r="H23" i="211"/>
  <c r="G23" i="211"/>
  <c r="F23" i="211"/>
  <c r="E23" i="211"/>
  <c r="AR22" i="211"/>
  <c r="AQ22" i="211"/>
  <c r="AP22" i="211"/>
  <c r="AO22" i="211"/>
  <c r="AN22" i="211"/>
  <c r="AM22" i="211"/>
  <c r="AL22" i="211"/>
  <c r="AK22" i="211"/>
  <c r="AJ22" i="211"/>
  <c r="AI22" i="211"/>
  <c r="AH22" i="211"/>
  <c r="AG22" i="211"/>
  <c r="AF22" i="211"/>
  <c r="AE22" i="211"/>
  <c r="AD22" i="211"/>
  <c r="AC22" i="211"/>
  <c r="AB22" i="211"/>
  <c r="AA22" i="211"/>
  <c r="Z22" i="211"/>
  <c r="Y22" i="211"/>
  <c r="X22" i="211"/>
  <c r="W22" i="211"/>
  <c r="V22" i="211"/>
  <c r="U22" i="211"/>
  <c r="T22" i="211"/>
  <c r="S22" i="211"/>
  <c r="R22" i="211"/>
  <c r="Q22" i="211"/>
  <c r="P22" i="211"/>
  <c r="O22" i="211"/>
  <c r="N22" i="211"/>
  <c r="M22" i="211"/>
  <c r="L22" i="211"/>
  <c r="K22" i="211"/>
  <c r="J22" i="211"/>
  <c r="I22" i="211"/>
  <c r="H22" i="211"/>
  <c r="G22" i="211"/>
  <c r="F22" i="211"/>
  <c r="E22" i="211"/>
  <c r="AR21" i="211"/>
  <c r="AQ21" i="211"/>
  <c r="AP21" i="211"/>
  <c r="AO21" i="211"/>
  <c r="AN21" i="211"/>
  <c r="AM21" i="211"/>
  <c r="AL21" i="211"/>
  <c r="AK21" i="211"/>
  <c r="AJ21" i="211"/>
  <c r="AI21" i="211"/>
  <c r="AH21" i="211"/>
  <c r="AG21" i="211"/>
  <c r="AF21" i="211"/>
  <c r="AE21" i="211"/>
  <c r="AD21" i="211"/>
  <c r="AC21" i="211"/>
  <c r="AB21" i="211"/>
  <c r="AA21" i="211"/>
  <c r="Z21" i="211"/>
  <c r="Y21" i="211"/>
  <c r="X21" i="211"/>
  <c r="W21" i="211"/>
  <c r="V21" i="211"/>
  <c r="U21" i="211"/>
  <c r="T21" i="211"/>
  <c r="S21" i="211"/>
  <c r="R21" i="211"/>
  <c r="Q21" i="211"/>
  <c r="P21" i="211"/>
  <c r="O21" i="211"/>
  <c r="N21" i="211"/>
  <c r="M21" i="211"/>
  <c r="L21" i="211"/>
  <c r="K21" i="211"/>
  <c r="J21" i="211"/>
  <c r="I21" i="211"/>
  <c r="H21" i="211"/>
  <c r="G21" i="211"/>
  <c r="F21" i="211"/>
  <c r="E21" i="211"/>
  <c r="AR20" i="211"/>
  <c r="AQ20" i="211"/>
  <c r="AP20" i="211"/>
  <c r="AO20" i="211"/>
  <c r="AN20" i="211"/>
  <c r="AM20" i="211"/>
  <c r="AL20" i="211"/>
  <c r="AK20" i="211"/>
  <c r="AJ20" i="211"/>
  <c r="AI20" i="211"/>
  <c r="AH20" i="211"/>
  <c r="AG20" i="211"/>
  <c r="AF20" i="211"/>
  <c r="AE20" i="211"/>
  <c r="AD20" i="211"/>
  <c r="AC20" i="211"/>
  <c r="AB20" i="211"/>
  <c r="AA20" i="211"/>
  <c r="Z20" i="211"/>
  <c r="Y20" i="211"/>
  <c r="X20" i="211"/>
  <c r="W20" i="211"/>
  <c r="V20" i="211"/>
  <c r="U20" i="211"/>
  <c r="T20" i="211"/>
  <c r="S20" i="211"/>
  <c r="R20" i="211"/>
  <c r="Q20" i="211"/>
  <c r="P20" i="211"/>
  <c r="O20" i="211"/>
  <c r="N20" i="211"/>
  <c r="M20" i="211"/>
  <c r="L20" i="211"/>
  <c r="K20" i="211"/>
  <c r="J20" i="211"/>
  <c r="I20" i="211"/>
  <c r="H20" i="211"/>
  <c r="G20" i="211"/>
  <c r="F20" i="211"/>
  <c r="E20" i="211"/>
  <c r="AR19" i="211"/>
  <c r="AQ19" i="211"/>
  <c r="AP19" i="211"/>
  <c r="AO19" i="211"/>
  <c r="AN19" i="211"/>
  <c r="AM19" i="211"/>
  <c r="AL19" i="211"/>
  <c r="AK19" i="211"/>
  <c r="AJ19" i="211"/>
  <c r="AI19" i="211"/>
  <c r="AH19" i="211"/>
  <c r="AG19" i="211"/>
  <c r="AF19" i="211"/>
  <c r="AE19" i="211"/>
  <c r="AD19" i="211"/>
  <c r="AC19" i="211"/>
  <c r="AB19" i="211"/>
  <c r="AA19" i="211"/>
  <c r="Z19" i="211"/>
  <c r="Y19" i="211"/>
  <c r="X19" i="211"/>
  <c r="W19" i="211"/>
  <c r="V19" i="211"/>
  <c r="U19" i="211"/>
  <c r="T19" i="211"/>
  <c r="S19" i="211"/>
  <c r="R19" i="211"/>
  <c r="Q19" i="211"/>
  <c r="P19" i="211"/>
  <c r="O19" i="211"/>
  <c r="N19" i="211"/>
  <c r="M19" i="211"/>
  <c r="L19" i="211"/>
  <c r="K19" i="211"/>
  <c r="J19" i="211"/>
  <c r="I19" i="211"/>
  <c r="H19" i="211"/>
  <c r="G19" i="211"/>
  <c r="F19" i="211"/>
  <c r="E19" i="211"/>
  <c r="AR18" i="211"/>
  <c r="AQ18" i="211"/>
  <c r="AP18" i="211"/>
  <c r="AO18" i="211"/>
  <c r="AN18" i="211"/>
  <c r="AM18" i="211"/>
  <c r="AL18" i="211"/>
  <c r="AK18" i="211"/>
  <c r="AJ18" i="211"/>
  <c r="AI18" i="211"/>
  <c r="AH18" i="211"/>
  <c r="AG18" i="211"/>
  <c r="AF18" i="211"/>
  <c r="AE18" i="211"/>
  <c r="AD18" i="211"/>
  <c r="AC18" i="211"/>
  <c r="AB18" i="211"/>
  <c r="AA18" i="211"/>
  <c r="Z18" i="211"/>
  <c r="Y18" i="211"/>
  <c r="X18" i="211"/>
  <c r="W18" i="211"/>
  <c r="V18" i="211"/>
  <c r="U18" i="211"/>
  <c r="T18" i="211"/>
  <c r="S18" i="211"/>
  <c r="R18" i="211"/>
  <c r="Q18" i="211"/>
  <c r="P18" i="211"/>
  <c r="O18" i="211"/>
  <c r="N18" i="211"/>
  <c r="M18" i="211"/>
  <c r="L18" i="211"/>
  <c r="K18" i="211"/>
  <c r="J18" i="211"/>
  <c r="I18" i="211"/>
  <c r="H18" i="211"/>
  <c r="G18" i="211"/>
  <c r="F18" i="211"/>
  <c r="E18" i="211"/>
  <c r="AR17" i="211"/>
  <c r="AQ17" i="211"/>
  <c r="AP17" i="211"/>
  <c r="AO17" i="211"/>
  <c r="AN17" i="211"/>
  <c r="AM17" i="211"/>
  <c r="AL17" i="211"/>
  <c r="AK17" i="211"/>
  <c r="AJ17" i="211"/>
  <c r="AI17" i="211"/>
  <c r="AH17" i="211"/>
  <c r="AG17" i="211"/>
  <c r="AF17" i="211"/>
  <c r="AE17" i="211"/>
  <c r="AD17" i="211"/>
  <c r="AC17" i="211"/>
  <c r="AB17" i="211"/>
  <c r="AA17" i="211"/>
  <c r="Z17" i="211"/>
  <c r="Y17" i="211"/>
  <c r="X17" i="211"/>
  <c r="W17" i="211"/>
  <c r="V17" i="211"/>
  <c r="U17" i="211"/>
  <c r="T17" i="211"/>
  <c r="S17" i="211"/>
  <c r="R17" i="211"/>
  <c r="Q17" i="211"/>
  <c r="P17" i="211"/>
  <c r="O17" i="211"/>
  <c r="N17" i="211"/>
  <c r="M17" i="211"/>
  <c r="L17" i="211"/>
  <c r="K17" i="211"/>
  <c r="J17" i="211"/>
  <c r="I17" i="211"/>
  <c r="H17" i="211"/>
  <c r="G17" i="211"/>
  <c r="F17" i="211"/>
  <c r="E17" i="211"/>
  <c r="AR16" i="211"/>
  <c r="AQ16" i="211"/>
  <c r="AP16" i="211"/>
  <c r="AO16" i="211"/>
  <c r="AN16" i="211"/>
  <c r="AM16" i="211"/>
  <c r="AL16" i="211"/>
  <c r="AK16" i="211"/>
  <c r="AJ16" i="211"/>
  <c r="AI16" i="211"/>
  <c r="AH16" i="211"/>
  <c r="AG16" i="211"/>
  <c r="AF16" i="211"/>
  <c r="AE16" i="211"/>
  <c r="AD16" i="211"/>
  <c r="AC16" i="211"/>
  <c r="AB16" i="211"/>
  <c r="AA16" i="211"/>
  <c r="Z16" i="211"/>
  <c r="Y16" i="211"/>
  <c r="X16" i="211"/>
  <c r="W16" i="211"/>
  <c r="V16" i="211"/>
  <c r="U16" i="211"/>
  <c r="T16" i="211"/>
  <c r="S16" i="211"/>
  <c r="R16" i="211"/>
  <c r="Q16" i="211"/>
  <c r="P16" i="211"/>
  <c r="O16" i="211"/>
  <c r="N16" i="211"/>
  <c r="M16" i="211"/>
  <c r="L16" i="211"/>
  <c r="K16" i="211"/>
  <c r="J16" i="211"/>
  <c r="I16" i="211"/>
  <c r="H16" i="211"/>
  <c r="G16" i="211"/>
  <c r="F16" i="211"/>
  <c r="E16" i="211"/>
  <c r="AR15" i="211"/>
  <c r="AQ15" i="211"/>
  <c r="AP15" i="211"/>
  <c r="AO15" i="211"/>
  <c r="AN15" i="211"/>
  <c r="AM15" i="211"/>
  <c r="AL15" i="211"/>
  <c r="AK15" i="211"/>
  <c r="AJ15" i="211"/>
  <c r="AI15" i="211"/>
  <c r="AH15" i="211"/>
  <c r="AG15" i="211"/>
  <c r="AF15" i="211"/>
  <c r="AE15" i="211"/>
  <c r="AD15" i="211"/>
  <c r="AC15" i="211"/>
  <c r="AB15" i="211"/>
  <c r="AA15" i="211"/>
  <c r="Z15" i="211"/>
  <c r="Y15" i="211"/>
  <c r="X15" i="211"/>
  <c r="W15" i="211"/>
  <c r="V15" i="211"/>
  <c r="U15" i="211"/>
  <c r="T15" i="211"/>
  <c r="S15" i="211"/>
  <c r="R15" i="211"/>
  <c r="Q15" i="211"/>
  <c r="P15" i="211"/>
  <c r="O15" i="211"/>
  <c r="N15" i="211"/>
  <c r="M15" i="211"/>
  <c r="L15" i="211"/>
  <c r="K15" i="211"/>
  <c r="J15" i="211"/>
  <c r="I15" i="211"/>
  <c r="H15" i="211"/>
  <c r="G15" i="211"/>
  <c r="F15" i="211"/>
  <c r="E15" i="211"/>
  <c r="AR14" i="211"/>
  <c r="AQ14" i="211"/>
  <c r="AP14" i="211"/>
  <c r="AO14" i="211"/>
  <c r="AN14" i="211"/>
  <c r="AM14" i="211"/>
  <c r="AL14" i="211"/>
  <c r="AK14" i="211"/>
  <c r="AJ14" i="211"/>
  <c r="AI14" i="211"/>
  <c r="AH14" i="211"/>
  <c r="AG14" i="211"/>
  <c r="AF14" i="211"/>
  <c r="AE14" i="211"/>
  <c r="AD14" i="211"/>
  <c r="AC14" i="211"/>
  <c r="AB14" i="211"/>
  <c r="AA14" i="211"/>
  <c r="Z14" i="211"/>
  <c r="Y14" i="211"/>
  <c r="X14" i="211"/>
  <c r="W14" i="211"/>
  <c r="V14" i="211"/>
  <c r="U14" i="211"/>
  <c r="T14" i="211"/>
  <c r="S14" i="211"/>
  <c r="R14" i="211"/>
  <c r="Q14" i="211"/>
  <c r="P14" i="211"/>
  <c r="O14" i="211"/>
  <c r="N14" i="211"/>
  <c r="M14" i="211"/>
  <c r="L14" i="211"/>
  <c r="K14" i="211"/>
  <c r="J14" i="211"/>
  <c r="I14" i="211"/>
  <c r="H14" i="211"/>
  <c r="G14" i="211"/>
  <c r="F14" i="211"/>
  <c r="E14" i="211"/>
  <c r="AR13" i="211"/>
  <c r="AQ13" i="211"/>
  <c r="AP13" i="211"/>
  <c r="AO13" i="211"/>
  <c r="AN13" i="211"/>
  <c r="AM13" i="211"/>
  <c r="AL13" i="211"/>
  <c r="AK13" i="211"/>
  <c r="AJ13" i="211"/>
  <c r="AI13" i="211"/>
  <c r="AH13" i="211"/>
  <c r="AG13" i="211"/>
  <c r="AF13" i="211"/>
  <c r="AE13" i="211"/>
  <c r="AD13" i="211"/>
  <c r="AC13" i="211"/>
  <c r="AB13" i="211"/>
  <c r="AA13" i="211"/>
  <c r="Z13" i="211"/>
  <c r="Y13" i="211"/>
  <c r="X13" i="211"/>
  <c r="W13" i="211"/>
  <c r="V13" i="211"/>
  <c r="U13" i="211"/>
  <c r="T13" i="211"/>
  <c r="S13" i="211"/>
  <c r="R13" i="211"/>
  <c r="Q13" i="211"/>
  <c r="P13" i="211"/>
  <c r="O13" i="211"/>
  <c r="N13" i="211"/>
  <c r="M13" i="211"/>
  <c r="L13" i="211"/>
  <c r="K13" i="211"/>
  <c r="J13" i="211"/>
  <c r="I13" i="211"/>
  <c r="H13" i="211"/>
  <c r="G13" i="211"/>
  <c r="F13" i="211"/>
  <c r="E13" i="211"/>
  <c r="AR12" i="211"/>
  <c r="AQ12" i="211"/>
  <c r="AP12" i="211"/>
  <c r="AO12" i="211"/>
  <c r="AN12" i="211"/>
  <c r="AM12" i="211"/>
  <c r="AL12" i="211"/>
  <c r="AK12" i="211"/>
  <c r="AJ12" i="211"/>
  <c r="AI12" i="211"/>
  <c r="AH12" i="211"/>
  <c r="AG12" i="211"/>
  <c r="AF12" i="211"/>
  <c r="AE12" i="211"/>
  <c r="AD12" i="211"/>
  <c r="AC12" i="211"/>
  <c r="AB12" i="211"/>
  <c r="AA12" i="211"/>
  <c r="Z12" i="211"/>
  <c r="Y12" i="211"/>
  <c r="X12" i="211"/>
  <c r="W12" i="211"/>
  <c r="V12" i="211"/>
  <c r="U12" i="211"/>
  <c r="T12" i="211"/>
  <c r="S12" i="211"/>
  <c r="R12" i="211"/>
  <c r="Q12" i="211"/>
  <c r="P12" i="211"/>
  <c r="O12" i="211"/>
  <c r="N12" i="211"/>
  <c r="M12" i="211"/>
  <c r="L12" i="211"/>
  <c r="K12" i="211"/>
  <c r="J12" i="211"/>
  <c r="I12" i="211"/>
  <c r="H12" i="211"/>
  <c r="G12" i="211"/>
  <c r="F12" i="211"/>
  <c r="E12" i="211"/>
  <c r="AR11" i="211"/>
  <c r="AQ11" i="211"/>
  <c r="AP11" i="211"/>
  <c r="AO11" i="211"/>
  <c r="AN11" i="211"/>
  <c r="AM11" i="211"/>
  <c r="AL11" i="211"/>
  <c r="AK11" i="211"/>
  <c r="AJ11" i="211"/>
  <c r="AI11" i="211"/>
  <c r="AH11" i="211"/>
  <c r="AG11" i="211"/>
  <c r="AF11" i="211"/>
  <c r="AE11" i="211"/>
  <c r="AD11" i="211"/>
  <c r="AC11" i="211"/>
  <c r="AB11" i="211"/>
  <c r="AA11" i="211"/>
  <c r="Z11" i="211"/>
  <c r="Y11" i="211"/>
  <c r="X11" i="211"/>
  <c r="W11" i="211"/>
  <c r="V11" i="211"/>
  <c r="U11" i="211"/>
  <c r="T11" i="211"/>
  <c r="S11" i="211"/>
  <c r="R11" i="211"/>
  <c r="Q11" i="211"/>
  <c r="P11" i="211"/>
  <c r="O11" i="211"/>
  <c r="N11" i="211"/>
  <c r="M11" i="211"/>
  <c r="L11" i="211"/>
  <c r="K11" i="211"/>
  <c r="J11" i="211"/>
  <c r="I11" i="211"/>
  <c r="H11" i="211"/>
  <c r="G11" i="211"/>
  <c r="F11" i="211"/>
  <c r="E11" i="211"/>
  <c r="AR10" i="211"/>
  <c r="AQ10" i="211"/>
  <c r="AP10" i="211"/>
  <c r="AO10" i="211"/>
  <c r="AN10" i="211"/>
  <c r="AM10" i="211"/>
  <c r="AL10" i="211"/>
  <c r="AK10" i="211"/>
  <c r="AJ10" i="211"/>
  <c r="AI10" i="211"/>
  <c r="AH10" i="211"/>
  <c r="AG10" i="211"/>
  <c r="AF10" i="211"/>
  <c r="AE10" i="211"/>
  <c r="AD10" i="211"/>
  <c r="AC10" i="211"/>
  <c r="AB10" i="211"/>
  <c r="AA10" i="211"/>
  <c r="Z10" i="211"/>
  <c r="Y10" i="211"/>
  <c r="X10" i="211"/>
  <c r="W10" i="211"/>
  <c r="V10" i="211"/>
  <c r="U10" i="211"/>
  <c r="T10" i="211"/>
  <c r="S10" i="211"/>
  <c r="R10" i="211"/>
  <c r="Q10" i="211"/>
  <c r="P10" i="211"/>
  <c r="O10" i="211"/>
  <c r="N10" i="211"/>
  <c r="M10" i="211"/>
  <c r="L10" i="211"/>
  <c r="K10" i="211"/>
  <c r="J10" i="211"/>
  <c r="I10" i="211"/>
  <c r="H10" i="211"/>
  <c r="G10" i="211"/>
  <c r="F10" i="211"/>
  <c r="E10" i="211"/>
  <c r="AR9" i="211"/>
  <c r="AQ9" i="211"/>
  <c r="AP9" i="211"/>
  <c r="AO9" i="211"/>
  <c r="AN9" i="211"/>
  <c r="AM9" i="211"/>
  <c r="AL9" i="211"/>
  <c r="AK9" i="211"/>
  <c r="AJ9" i="211"/>
  <c r="AI9" i="211"/>
  <c r="AH9" i="211"/>
  <c r="AG9" i="211"/>
  <c r="AF9" i="211"/>
  <c r="AE9" i="211"/>
  <c r="AD9" i="211"/>
  <c r="AC9" i="211"/>
  <c r="AB9" i="211"/>
  <c r="AA9" i="211"/>
  <c r="Z9" i="211"/>
  <c r="Y9" i="211"/>
  <c r="X9" i="211"/>
  <c r="W9" i="211"/>
  <c r="V9" i="211"/>
  <c r="U9" i="211"/>
  <c r="T9" i="211"/>
  <c r="S9" i="211"/>
  <c r="R9" i="211"/>
  <c r="Q9" i="211"/>
  <c r="P9" i="211"/>
  <c r="O9" i="211"/>
  <c r="N9" i="211"/>
  <c r="M9" i="211"/>
  <c r="L9" i="211"/>
  <c r="K9" i="211"/>
  <c r="J9" i="211"/>
  <c r="I9" i="211"/>
  <c r="H9" i="211"/>
  <c r="G9" i="211"/>
  <c r="F9" i="211"/>
  <c r="E9" i="211"/>
  <c r="AR8" i="211"/>
  <c r="AQ8" i="211"/>
  <c r="AP8" i="211"/>
  <c r="AO8" i="211"/>
  <c r="AN8" i="211"/>
  <c r="AM8" i="211"/>
  <c r="AL8" i="211"/>
  <c r="AK8" i="211"/>
  <c r="AJ8" i="211"/>
  <c r="AI8" i="211"/>
  <c r="AH8" i="211"/>
  <c r="AG8" i="211"/>
  <c r="AF8" i="211"/>
  <c r="AE8" i="211"/>
  <c r="AD8" i="211"/>
  <c r="AC8" i="211"/>
  <c r="AB8" i="211"/>
  <c r="AA8" i="211"/>
  <c r="Z8" i="211"/>
  <c r="Y8" i="211"/>
  <c r="X8" i="211"/>
  <c r="W8" i="211"/>
  <c r="V8" i="211"/>
  <c r="U8" i="211"/>
  <c r="T8" i="211"/>
  <c r="S8" i="211"/>
  <c r="R8" i="211"/>
  <c r="Q8" i="211"/>
  <c r="P8" i="211"/>
  <c r="O8" i="211"/>
  <c r="N8" i="211"/>
  <c r="M8" i="211"/>
  <c r="L8" i="211"/>
  <c r="K8" i="211"/>
  <c r="J8" i="211"/>
  <c r="I8" i="211"/>
  <c r="H8" i="211"/>
  <c r="G8" i="211"/>
  <c r="F8" i="211"/>
  <c r="E8" i="211"/>
  <c r="AR7" i="211"/>
  <c r="AQ7" i="211"/>
  <c r="AP7" i="211"/>
  <c r="AO7" i="211"/>
  <c r="AN7" i="211"/>
  <c r="AM7" i="211"/>
  <c r="AL7" i="211"/>
  <c r="AK7" i="211"/>
  <c r="AJ7" i="211"/>
  <c r="AI7" i="211"/>
  <c r="AH7" i="211"/>
  <c r="AG7" i="211"/>
  <c r="AF7" i="211"/>
  <c r="AE7" i="211"/>
  <c r="AD7" i="211"/>
  <c r="AC7" i="211"/>
  <c r="AB7" i="211"/>
  <c r="AA7" i="211"/>
  <c r="Z7" i="211"/>
  <c r="Y7" i="211"/>
  <c r="X7" i="211"/>
  <c r="W7" i="211"/>
  <c r="V7" i="211"/>
  <c r="U7" i="211"/>
  <c r="T7" i="211"/>
  <c r="S7" i="211"/>
  <c r="R7" i="211"/>
  <c r="Q7" i="211"/>
  <c r="P7" i="211"/>
  <c r="O7" i="211"/>
  <c r="N7" i="211"/>
  <c r="M7" i="211"/>
  <c r="L7" i="211"/>
  <c r="K7" i="211"/>
  <c r="J7" i="211"/>
  <c r="I7" i="211"/>
  <c r="H7" i="211"/>
  <c r="G7" i="211"/>
  <c r="F7" i="211"/>
  <c r="E7" i="211"/>
  <c r="AR6" i="211"/>
  <c r="AQ6" i="211"/>
  <c r="AP6" i="211"/>
  <c r="AO6" i="211"/>
  <c r="AN6" i="211"/>
  <c r="AM6" i="211"/>
  <c r="AL6" i="211"/>
  <c r="AK6" i="211"/>
  <c r="AJ6" i="211"/>
  <c r="AI6" i="211"/>
  <c r="AH6" i="211"/>
  <c r="AG6" i="211"/>
  <c r="AF6" i="211"/>
  <c r="AE6" i="211"/>
  <c r="AD6" i="211"/>
  <c r="AC6" i="211"/>
  <c r="AB6" i="211"/>
  <c r="AA6" i="211"/>
  <c r="Z6" i="211"/>
  <c r="Y6" i="211"/>
  <c r="X6" i="211"/>
  <c r="W6" i="211"/>
  <c r="V6" i="211"/>
  <c r="U6" i="211"/>
  <c r="T6" i="211"/>
  <c r="S6" i="211"/>
  <c r="R6" i="211"/>
  <c r="Q6" i="211"/>
  <c r="P6" i="211"/>
  <c r="O6" i="211"/>
  <c r="N6" i="211"/>
  <c r="M6" i="211"/>
  <c r="L6" i="211"/>
  <c r="K6" i="211"/>
  <c r="J6" i="211"/>
  <c r="I6" i="211"/>
  <c r="H6" i="211"/>
  <c r="G6" i="211"/>
  <c r="F6" i="211"/>
  <c r="E6" i="211"/>
  <c r="AR5" i="211"/>
  <c r="AQ5" i="211"/>
  <c r="AP5" i="211"/>
  <c r="AO5" i="211"/>
  <c r="AN5" i="211"/>
  <c r="AM5" i="211"/>
  <c r="AL5" i="211"/>
  <c r="AK5" i="211"/>
  <c r="AJ5" i="211"/>
  <c r="AI5" i="211"/>
  <c r="AH5" i="211"/>
  <c r="AG5" i="211"/>
  <c r="AF5" i="211"/>
  <c r="AE5" i="211"/>
  <c r="AD5" i="211"/>
  <c r="AC5" i="211"/>
  <c r="AB5" i="211"/>
  <c r="AA5" i="211"/>
  <c r="Z5" i="211"/>
  <c r="Y5" i="211"/>
  <c r="X5" i="211"/>
  <c r="W5" i="211"/>
  <c r="V5" i="211"/>
  <c r="U5" i="211"/>
  <c r="T5" i="211"/>
  <c r="S5" i="211"/>
  <c r="R5" i="211"/>
  <c r="Q5" i="211"/>
  <c r="P5" i="211"/>
  <c r="O5" i="211"/>
  <c r="N5" i="211"/>
  <c r="M5" i="211"/>
  <c r="L5" i="211"/>
  <c r="K5" i="211"/>
  <c r="J5" i="211"/>
  <c r="I5" i="211"/>
  <c r="H5" i="211"/>
  <c r="G5" i="211"/>
  <c r="F5" i="211"/>
  <c r="E5" i="211"/>
  <c r="G45" i="213"/>
  <c r="F45" i="213"/>
  <c r="H41" i="213"/>
  <c r="H40" i="213"/>
  <c r="H39" i="213"/>
  <c r="H38" i="213"/>
  <c r="H37" i="213"/>
  <c r="K31" i="213"/>
  <c r="J31" i="213"/>
  <c r="G26" i="213"/>
  <c r="F26" i="213"/>
  <c r="G25" i="213"/>
  <c r="F25" i="213"/>
  <c r="G24" i="213"/>
  <c r="F24" i="213"/>
  <c r="G23" i="213"/>
  <c r="F23" i="213"/>
  <c r="J20" i="213"/>
  <c r="I20" i="213"/>
  <c r="J19" i="213"/>
  <c r="I19" i="213"/>
  <c r="J18" i="213"/>
  <c r="I18" i="213"/>
  <c r="J17" i="213"/>
  <c r="I17" i="213"/>
  <c r="H12" i="213"/>
  <c r="G12" i="213"/>
  <c r="H10" i="213"/>
  <c r="G10" i="213"/>
  <c r="H9" i="213"/>
  <c r="G9" i="213"/>
  <c r="H7" i="213"/>
  <c r="G7" i="213"/>
  <c r="H5" i="213"/>
  <c r="G5" i="213"/>
  <c r="H3" i="213"/>
  <c r="G3" i="213"/>
  <c r="D61" i="215"/>
  <c r="D60" i="215"/>
  <c r="D58" i="215"/>
  <c r="D57" i="215"/>
  <c r="F55" i="215"/>
  <c r="D55" i="215"/>
  <c r="D53" i="215"/>
  <c r="D52" i="215"/>
  <c r="D50" i="215"/>
  <c r="D49" i="215"/>
  <c r="D48" i="215"/>
  <c r="D47" i="215"/>
  <c r="D46" i="215"/>
  <c r="D45" i="215"/>
  <c r="D44" i="215"/>
  <c r="D43" i="215"/>
  <c r="D42" i="215"/>
  <c r="D41" i="215"/>
  <c r="D40" i="215"/>
  <c r="D38" i="215"/>
  <c r="C33" i="215"/>
  <c r="D32" i="215"/>
  <c r="D31" i="215"/>
  <c r="C28" i="215"/>
  <c r="C27" i="215"/>
  <c r="K25" i="215"/>
  <c r="I25" i="215"/>
  <c r="F25" i="215"/>
  <c r="K24" i="215"/>
  <c r="I24" i="215"/>
  <c r="K23" i="215"/>
  <c r="I23" i="215"/>
  <c r="K22" i="215"/>
  <c r="I22" i="215"/>
  <c r="K21" i="215"/>
  <c r="I21" i="215"/>
  <c r="K20" i="215"/>
  <c r="I20" i="215"/>
  <c r="K19" i="215"/>
  <c r="I19" i="215"/>
  <c r="I18" i="215"/>
  <c r="K17" i="215"/>
  <c r="I17" i="215"/>
  <c r="K16" i="215"/>
  <c r="I16" i="215"/>
  <c r="I15" i="215"/>
  <c r="K14" i="215"/>
  <c r="I14" i="215"/>
  <c r="K13" i="215"/>
  <c r="I13" i="215"/>
  <c r="I12" i="215"/>
  <c r="K11" i="215"/>
  <c r="I11" i="215"/>
  <c r="P10" i="215"/>
  <c r="I10" i="215"/>
  <c r="K9" i="215"/>
  <c r="I9" i="215"/>
  <c r="I8" i="215"/>
  <c r="K7" i="215"/>
  <c r="I7" i="215"/>
  <c r="K6" i="215"/>
  <c r="I6" i="215"/>
  <c r="I5" i="215"/>
  <c r="D48" i="214"/>
  <c r="D47" i="214"/>
  <c r="D46" i="214"/>
  <c r="D45" i="214"/>
  <c r="D44" i="214"/>
  <c r="D42" i="214"/>
  <c r="D41" i="214"/>
  <c r="D40" i="214"/>
  <c r="D39" i="214"/>
  <c r="D38" i="214"/>
  <c r="D37" i="214"/>
  <c r="D36" i="214"/>
  <c r="D34" i="214"/>
  <c r="D33" i="214"/>
  <c r="D32" i="214"/>
  <c r="D26" i="214"/>
  <c r="C26" i="214"/>
  <c r="D25" i="214"/>
  <c r="D24" i="214"/>
  <c r="J23" i="214"/>
  <c r="D23" i="214"/>
  <c r="C19" i="214"/>
  <c r="C18" i="214"/>
  <c r="H16" i="214"/>
  <c r="H15" i="214"/>
  <c r="H14" i="214"/>
  <c r="H13" i="214"/>
  <c r="H12" i="214"/>
  <c r="H11" i="214"/>
  <c r="I10" i="214"/>
  <c r="H10" i="214"/>
  <c r="H9" i="214"/>
  <c r="H8" i="214"/>
  <c r="H6" i="2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PANGSD</author>
  </authors>
  <commentList>
    <comment ref="B55" authorId="0" shapeId="0" xr:uid="{00000000-0006-0000-1E00-000001000000}">
      <text>
        <r>
          <rPr>
            <b/>
            <sz val="9"/>
            <rFont val="宋体"/>
            <family val="3"/>
            <charset val="134"/>
          </rPr>
          <t>注意:</t>
        </r>
        <r>
          <rPr>
            <sz val="9"/>
            <rFont val="宋体"/>
            <family val="3"/>
            <charset val="134"/>
          </rPr>
          <t xml:space="preserve">
该值需运量Q=0时计算</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PANGSD</author>
  </authors>
  <commentList>
    <comment ref="C55" authorId="0" shapeId="0" xr:uid="{00000000-0006-0000-1F00-000001000000}">
      <text>
        <r>
          <rPr>
            <b/>
            <sz val="9"/>
            <rFont val="宋体"/>
            <family val="3"/>
            <charset val="134"/>
          </rPr>
          <t>注意:该值自行计算输入</t>
        </r>
        <r>
          <rPr>
            <sz val="9"/>
            <rFont val="宋体"/>
            <family val="3"/>
            <charset val="134"/>
          </rPr>
          <t xml:space="preserve">
</t>
        </r>
      </text>
    </comment>
    <comment ref="B184" authorId="0" shapeId="0" xr:uid="{00000000-0006-0000-1F00-000002000000}">
      <text>
        <r>
          <rPr>
            <b/>
            <sz val="9"/>
            <rFont val="宋体"/>
            <family val="3"/>
            <charset val="134"/>
          </rPr>
          <t>注意:经验数值，可根据情况确定</t>
        </r>
        <r>
          <rPr>
            <sz val="9"/>
            <rFont val="宋体"/>
            <family val="3"/>
            <charset val="134"/>
          </rPr>
          <t xml:space="preserve">
</t>
        </r>
      </text>
    </comment>
    <comment ref="A228" authorId="0" shapeId="0" xr:uid="{00000000-0006-0000-1F00-000003000000}">
      <text>
        <r>
          <rPr>
            <b/>
            <sz val="9"/>
            <rFont val="宋体"/>
            <family val="3"/>
            <charset val="134"/>
          </rPr>
          <t>注意:
按照FLANDER减速器选型</t>
        </r>
        <r>
          <rPr>
            <sz val="9"/>
            <rFont val="宋体"/>
            <family val="3"/>
            <charset val="134"/>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00000000-0006-0000-2300-000001000000}">
      <text>
        <r>
          <rPr>
            <sz val="9"/>
            <rFont val="宋体"/>
            <family val="3"/>
            <charset val="134"/>
          </rPr>
          <t xml:space="preserve">下拉选择空气压力：通常选择0.4或0.5MPa
</t>
        </r>
      </text>
    </comment>
    <comment ref="D23" authorId="0" shapeId="0" xr:uid="{00000000-0006-0000-2300-000002000000}">
      <text>
        <r>
          <rPr>
            <sz val="9"/>
            <rFont val="宋体"/>
            <family val="3"/>
            <charset val="134"/>
          </rPr>
          <t xml:space="preserve">选择大于且最接近计算缸径的型号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T1295</author>
  </authors>
  <commentList>
    <comment ref="L12" authorId="0" shapeId="0" xr:uid="{00000000-0006-0000-4C00-000001000000}">
      <text>
        <r>
          <rPr>
            <b/>
            <sz val="12"/>
            <color indexed="10"/>
            <rFont val="PMingLiU"/>
            <family val="1"/>
            <charset val="136"/>
          </rPr>
          <t>輸入單位為</t>
        </r>
        <r>
          <rPr>
            <b/>
            <sz val="12"/>
            <color indexed="10"/>
            <rFont val="Times New Roman"/>
            <family val="1"/>
          </rPr>
          <t xml:space="preserve"> "mm"</t>
        </r>
      </text>
    </comment>
    <comment ref="L14" authorId="0" shapeId="0" xr:uid="{00000000-0006-0000-4C00-000002000000}">
      <text>
        <r>
          <rPr>
            <b/>
            <sz val="12"/>
            <color indexed="10"/>
            <rFont val="PMingLiU"/>
            <family val="1"/>
            <charset val="136"/>
          </rPr>
          <t>輸入單位為</t>
        </r>
        <r>
          <rPr>
            <b/>
            <sz val="12"/>
            <color indexed="10"/>
            <rFont val="Times New Roman"/>
            <family val="1"/>
          </rPr>
          <t xml:space="preserve"> "mm"</t>
        </r>
      </text>
    </comment>
    <comment ref="L16" authorId="0" shapeId="0" xr:uid="{00000000-0006-0000-4C00-000003000000}">
      <text>
        <r>
          <rPr>
            <b/>
            <sz val="12"/>
            <color indexed="10"/>
            <rFont val="PMingLiU"/>
            <family val="1"/>
            <charset val="136"/>
          </rPr>
          <t>輸入單位為</t>
        </r>
        <r>
          <rPr>
            <b/>
            <sz val="12"/>
            <color indexed="10"/>
            <rFont val="Times New Roman"/>
            <family val="1"/>
          </rPr>
          <t xml:space="preserve"> "mm"</t>
        </r>
      </text>
    </comment>
    <comment ref="F17" authorId="0" shapeId="0" xr:uid="{00000000-0006-0000-4C00-000004000000}">
      <text>
        <r>
          <rPr>
            <b/>
            <sz val="12"/>
            <color indexed="10"/>
            <rFont val="PMingLiU"/>
            <family val="1"/>
            <charset val="136"/>
          </rPr>
          <t>輸入單位為</t>
        </r>
        <r>
          <rPr>
            <b/>
            <sz val="12"/>
            <color indexed="10"/>
            <rFont val="Times New Roman"/>
            <family val="1"/>
          </rPr>
          <t xml:space="preserve"> "mm"</t>
        </r>
      </text>
    </comment>
    <comment ref="L19" authorId="0" shapeId="0" xr:uid="{00000000-0006-0000-4C00-000005000000}">
      <text>
        <r>
          <rPr>
            <b/>
            <sz val="12"/>
            <color indexed="10"/>
            <rFont val="PMingLiU"/>
            <family val="1"/>
            <charset val="136"/>
          </rPr>
          <t>請選擇正確材料種類
輸入錯誤無法計算重量</t>
        </r>
        <r>
          <rPr>
            <b/>
            <sz val="9"/>
            <rFont val="PMingLiU"/>
            <family val="1"/>
            <charset val="136"/>
          </rPr>
          <t xml:space="preserve">
</t>
        </r>
      </text>
    </comment>
    <comment ref="F26" authorId="0" shapeId="0" xr:uid="{00000000-0006-0000-4C00-000006000000}">
      <text>
        <r>
          <rPr>
            <b/>
            <sz val="12"/>
            <color indexed="10"/>
            <rFont val="PMingLiU"/>
            <family val="1"/>
            <charset val="136"/>
          </rPr>
          <t>輸入單位為</t>
        </r>
        <r>
          <rPr>
            <b/>
            <sz val="12"/>
            <color indexed="10"/>
            <rFont val="Times New Roman"/>
            <family val="1"/>
          </rPr>
          <t xml:space="preserve"> "mm"</t>
        </r>
        <r>
          <rPr>
            <sz val="9"/>
            <rFont val="PMingLiU"/>
            <family val="1"/>
            <charset val="136"/>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T1295</author>
  </authors>
  <commentList>
    <comment ref="J4" authorId="0" shapeId="0" xr:uid="{00000000-0006-0000-4D00-000001000000}">
      <text>
        <r>
          <rPr>
            <b/>
            <sz val="12"/>
            <color indexed="10"/>
            <rFont val="PMingLiU"/>
            <family val="1"/>
            <charset val="136"/>
          </rPr>
          <t>请利用下列工具帮助您计算剪断长度
每一种形状提供</t>
        </r>
        <r>
          <rPr>
            <b/>
            <sz val="12"/>
            <color indexed="10"/>
            <rFont val="Times New Roman"/>
            <family val="1"/>
          </rPr>
          <t>3</t>
        </r>
        <r>
          <rPr>
            <b/>
            <sz val="12"/>
            <color indexed="10"/>
            <rFont val="PMingLiU"/>
            <family val="1"/>
            <charset val="136"/>
          </rPr>
          <t>种尺寸计算栏位
如栏位不够多请分次计算再加总</t>
        </r>
      </text>
    </comment>
    <comment ref="C5" authorId="0" shapeId="0" xr:uid="{00000000-0006-0000-4D00-000002000000}">
      <text>
        <r>
          <rPr>
            <b/>
            <sz val="12"/>
            <color indexed="10"/>
            <rFont val="PMingLiU"/>
            <family val="1"/>
            <charset val="136"/>
          </rPr>
          <t>请选择正确的材料特性种类
不正确的输入计算值将为</t>
        </r>
        <r>
          <rPr>
            <b/>
            <sz val="12"/>
            <color indexed="10"/>
            <rFont val="Times New Roman"/>
            <family val="1"/>
          </rPr>
          <t xml:space="preserve"> " 0 "
</t>
        </r>
        <r>
          <rPr>
            <sz val="9"/>
            <rFont val="PMingLiU"/>
            <family val="1"/>
            <charset val="136"/>
          </rPr>
          <t xml:space="preserve">
</t>
        </r>
      </text>
    </comment>
    <comment ref="F5" authorId="0" shapeId="0" xr:uid="{00000000-0006-0000-4D00-000003000000}">
      <text>
        <r>
          <rPr>
            <b/>
            <sz val="8"/>
            <color indexed="10"/>
            <rFont val="PMingLiU"/>
            <family val="1"/>
            <charset val="136"/>
          </rPr>
          <t>请选择正确的材料种类
不正确的选择计算值将为</t>
        </r>
        <r>
          <rPr>
            <b/>
            <sz val="8"/>
            <color indexed="10"/>
            <rFont val="Times New Roman"/>
            <family val="1"/>
          </rPr>
          <t xml:space="preserve"> "0"
 1.  铅		3	---
 2.  锡		4	---
 3.  纯铝		9	16
 4.  杜拉铝		22	36
 5.  耐蚀铝		11	18
 6.  锌		12	20
 7.  铜		20	30
 8.  黄铜		25	40
 9.  磷青铜		35	60
10. 铍铜		45	70
11. 冷轧钢(SPCC)		32	35
12. 冷轧钢(SPCD)		32	35
13. 冷轧钢(SPCE)		32	35
14. 碳钢0.2%C		32	40
15. 碳钢0.3%C		36	48
16. 碳钢0.4%C		45	56
17. 碳钢0.6%C		55	72
18. 碳钢0.8%C		70	90
19. 碳钢1.0%C		80	105
20. 不锈钢		20	56
21. 硅钢片		45	55
22. 镍钢		25	30
23. 热硬化树脂		13	----
24. 云母		8	----
</t>
        </r>
      </text>
    </comment>
    <comment ref="C10" authorId="0" shapeId="0" xr:uid="{00000000-0006-0000-4D00-000004000000}">
      <text>
        <r>
          <rPr>
            <b/>
            <sz val="12"/>
            <color indexed="10"/>
            <rFont val="PMingLiU"/>
            <family val="1"/>
            <charset val="136"/>
          </rPr>
          <t>请输入正确的材料厚度
输入单位为</t>
        </r>
        <r>
          <rPr>
            <b/>
            <sz val="12"/>
            <color indexed="10"/>
            <rFont val="Times New Roman"/>
            <family val="1"/>
          </rPr>
          <t xml:space="preserve">mm
</t>
        </r>
        <r>
          <rPr>
            <b/>
            <sz val="12"/>
            <color indexed="10"/>
            <rFont val="PMingLiU"/>
            <family val="1"/>
            <charset val="136"/>
          </rPr>
          <t>无输入时计算值将为</t>
        </r>
        <r>
          <rPr>
            <b/>
            <sz val="12"/>
            <color indexed="10"/>
            <rFont val="Times New Roman"/>
            <family val="1"/>
          </rPr>
          <t xml:space="preserve"> "0"</t>
        </r>
      </text>
    </comment>
    <comment ref="Z12" authorId="0" shapeId="0" xr:uid="{00000000-0006-0000-4D00-000005000000}">
      <text>
        <r>
          <rPr>
            <b/>
            <sz val="14"/>
            <color indexed="10"/>
            <rFont val="PMingLiU"/>
            <family val="1"/>
            <charset val="136"/>
          </rPr>
          <t>三角形之短边为</t>
        </r>
        <r>
          <rPr>
            <b/>
            <sz val="14"/>
            <color indexed="10"/>
            <rFont val="Times New Roman"/>
            <family val="1"/>
          </rPr>
          <t xml:space="preserve"> "0"</t>
        </r>
      </text>
    </comment>
    <comment ref="C13" authorId="0" shapeId="0" xr:uid="{00000000-0006-0000-4D00-000006000000}">
      <text>
        <r>
          <rPr>
            <b/>
            <sz val="12"/>
            <color indexed="10"/>
            <rFont val="PMingLiU"/>
            <family val="1"/>
            <charset val="136"/>
          </rPr>
          <t>请计算并输入正确周长
输入单位为</t>
        </r>
        <r>
          <rPr>
            <b/>
            <sz val="12"/>
            <color indexed="10"/>
            <rFont val="Times New Roman"/>
            <family val="1"/>
          </rPr>
          <t xml:space="preserve">mm
</t>
        </r>
        <r>
          <rPr>
            <b/>
            <sz val="12"/>
            <color indexed="10"/>
            <rFont val="PMingLiU"/>
            <family val="1"/>
            <charset val="136"/>
          </rPr>
          <t>无输入时计算值将为</t>
        </r>
        <r>
          <rPr>
            <b/>
            <sz val="12"/>
            <color indexed="10"/>
            <rFont val="Times New Roman"/>
            <family val="1"/>
          </rPr>
          <t xml:space="preserve"> "0"</t>
        </r>
      </text>
    </comment>
    <comment ref="C16" authorId="0" shapeId="0" xr:uid="{00000000-0006-0000-4D00-000007000000}">
      <text>
        <r>
          <rPr>
            <b/>
            <sz val="14"/>
            <color indexed="10"/>
            <rFont val="PMingLiU"/>
            <family val="1"/>
            <charset val="136"/>
          </rPr>
          <t>一般选择</t>
        </r>
        <r>
          <rPr>
            <b/>
            <sz val="14"/>
            <color indexed="10"/>
            <rFont val="Times New Roman"/>
            <family val="1"/>
          </rPr>
          <t xml:space="preserve">  15%
</t>
        </r>
        <r>
          <rPr>
            <b/>
            <sz val="14"/>
            <color indexed="10"/>
            <rFont val="PMingLiU"/>
            <family val="1"/>
            <charset val="136"/>
          </rPr>
          <t>不需要时输入</t>
        </r>
        <r>
          <rPr>
            <b/>
            <sz val="14"/>
            <color indexed="10"/>
            <rFont val="Times New Roman"/>
            <family val="1"/>
          </rPr>
          <t xml:space="preserve"> " 0 "
</t>
        </r>
        <r>
          <rPr>
            <b/>
            <sz val="14"/>
            <color indexed="10"/>
            <rFont val="PMingLiU"/>
            <family val="1"/>
            <charset val="136"/>
          </rPr>
          <t>输入错误时以</t>
        </r>
        <r>
          <rPr>
            <b/>
            <sz val="14"/>
            <color indexed="10"/>
            <rFont val="Times New Roman"/>
            <family val="1"/>
          </rPr>
          <t xml:space="preserve"> " 0 %  "</t>
        </r>
        <r>
          <rPr>
            <b/>
            <sz val="14"/>
            <color indexed="10"/>
            <rFont val="PMingLiU"/>
            <family val="1"/>
            <charset val="136"/>
          </rPr>
          <t>计算</t>
        </r>
        <r>
          <rPr>
            <b/>
            <sz val="12"/>
            <color indexed="10"/>
            <rFont val="PMingLiU"/>
            <family val="1"/>
            <charset val="136"/>
          </rPr>
          <t xml:space="preserve">
</t>
        </r>
      </text>
    </comment>
    <comment ref="C22" authorId="0" shapeId="0" xr:uid="{00000000-0006-0000-4D00-000008000000}">
      <text>
        <r>
          <rPr>
            <b/>
            <sz val="14"/>
            <color indexed="10"/>
            <rFont val="PMingLiU"/>
            <family val="1"/>
            <charset val="136"/>
          </rPr>
          <t>冲剪过程中模具刃口变钝会使抗剪力增加</t>
        </r>
        <r>
          <rPr>
            <b/>
            <sz val="14"/>
            <color indexed="10"/>
            <rFont val="Times New Roman"/>
            <family val="1"/>
          </rPr>
          <t xml:space="preserve">30%
</t>
        </r>
        <r>
          <rPr>
            <b/>
            <sz val="14"/>
            <color indexed="10"/>
            <rFont val="PMingLiU"/>
            <family val="1"/>
            <charset val="136"/>
          </rPr>
          <t>一般选择</t>
        </r>
        <r>
          <rPr>
            <b/>
            <sz val="14"/>
            <color indexed="10"/>
            <rFont val="Times New Roman"/>
            <family val="1"/>
          </rPr>
          <t xml:space="preserve">   35%
</t>
        </r>
        <r>
          <rPr>
            <b/>
            <sz val="14"/>
            <color indexed="10"/>
            <rFont val="PMingLiU"/>
            <family val="1"/>
            <charset val="136"/>
          </rPr>
          <t>不需要时输入</t>
        </r>
        <r>
          <rPr>
            <b/>
            <sz val="14"/>
            <color indexed="10"/>
            <rFont val="Times New Roman"/>
            <family val="1"/>
          </rPr>
          <t xml:space="preserve"> " 0 "
</t>
        </r>
        <r>
          <rPr>
            <b/>
            <sz val="14"/>
            <color indexed="10"/>
            <rFont val="PMingLiU"/>
            <family val="1"/>
            <charset val="136"/>
          </rPr>
          <t>输入错误时以</t>
        </r>
        <r>
          <rPr>
            <b/>
            <sz val="14"/>
            <color indexed="10"/>
            <rFont val="Times New Roman"/>
            <family val="1"/>
          </rPr>
          <t xml:space="preserve"> 0% </t>
        </r>
        <r>
          <rPr>
            <b/>
            <sz val="14"/>
            <color indexed="10"/>
            <rFont val="PMingLiU"/>
            <family val="1"/>
            <charset val="136"/>
          </rPr>
          <t>计算</t>
        </r>
        <r>
          <rPr>
            <sz val="9"/>
            <rFont val="PMingLiU"/>
            <family val="1"/>
            <charset val="136"/>
          </rPr>
          <t xml:space="preserve">
</t>
        </r>
      </text>
    </comment>
    <comment ref="C28" authorId="0" shapeId="0" xr:uid="{00000000-0006-0000-4D00-000009000000}">
      <text>
        <r>
          <rPr>
            <b/>
            <sz val="14"/>
            <color indexed="10"/>
            <rFont val="PMingLiU"/>
            <family val="1"/>
            <charset val="136"/>
          </rPr>
          <t>请选择安全系数</t>
        </r>
        <r>
          <rPr>
            <b/>
            <sz val="14"/>
            <color indexed="10"/>
            <rFont val="Times New Roman"/>
            <family val="1"/>
          </rPr>
          <t xml:space="preserve">   
  1.  10%
  2.  20%
</t>
        </r>
        <r>
          <rPr>
            <b/>
            <sz val="14"/>
            <color indexed="10"/>
            <rFont val="PMingLiU"/>
            <family val="1"/>
            <charset val="136"/>
          </rPr>
          <t>不留安全系数时</t>
        </r>
        <r>
          <rPr>
            <b/>
            <sz val="14"/>
            <color indexed="10"/>
            <rFont val="Times New Roman"/>
            <family val="1"/>
          </rPr>
          <t xml:space="preserve"> , </t>
        </r>
        <r>
          <rPr>
            <b/>
            <sz val="14"/>
            <color indexed="10"/>
            <rFont val="PMingLiU"/>
            <family val="1"/>
            <charset val="136"/>
          </rPr>
          <t>输入</t>
        </r>
        <r>
          <rPr>
            <b/>
            <sz val="14"/>
            <color indexed="10"/>
            <rFont val="Times New Roman"/>
            <family val="1"/>
          </rPr>
          <t xml:space="preserve"> " 0 "</t>
        </r>
        <r>
          <rPr>
            <b/>
            <sz val="14"/>
            <color indexed="10"/>
            <rFont val="PMingLiU"/>
            <family val="1"/>
            <charset val="136"/>
          </rPr>
          <t xml:space="preserve">
无输入时以</t>
        </r>
        <r>
          <rPr>
            <b/>
            <sz val="14"/>
            <color indexed="10"/>
            <rFont val="Times New Roman"/>
            <family val="1"/>
          </rPr>
          <t xml:space="preserve"> " 0% " </t>
        </r>
        <r>
          <rPr>
            <b/>
            <sz val="14"/>
            <color indexed="10"/>
            <rFont val="PMingLiU"/>
            <family val="1"/>
            <charset val="136"/>
          </rPr>
          <t>计算</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庄筑合</author>
  </authors>
  <commentList>
    <comment ref="E4" authorId="0" shapeId="0" xr:uid="{00000000-0006-0000-7C00-000001000000}">
      <text>
        <r>
          <rPr>
            <sz val="9"/>
            <rFont val="宋体"/>
            <family val="3"/>
            <charset val="134"/>
          </rPr>
          <t>请注意!!!此分割数的值之结果需为整数,不可有小数点,以免累积误差,此为自动运算值,不要自行输入</t>
        </r>
      </text>
    </comment>
    <comment ref="E24" authorId="0" shapeId="0" xr:uid="{00000000-0006-0000-7C00-000002000000}">
      <text>
        <r>
          <rPr>
            <sz val="9"/>
            <rFont val="宋体"/>
            <family val="3"/>
            <charset val="134"/>
          </rPr>
          <t xml:space="preserve">此格为自动运算值,不需您重新输入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f1023529</author>
  </authors>
  <commentList>
    <comment ref="B57" authorId="0" shapeId="0" xr:uid="{00000000-0006-0000-7D00-000001000000}">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houshuai</author>
  </authors>
  <commentList>
    <comment ref="E5" authorId="0" shapeId="0" xr:uid="{00000000-0006-0000-8400-000001000000}">
      <text>
        <r>
          <rPr>
            <sz val="9"/>
            <rFont val="宋体"/>
            <family val="3"/>
            <charset val="134"/>
          </rPr>
          <t xml:space="preserve">houshuai: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番茄花园</author>
    <author>chenw</author>
  </authors>
  <commentList>
    <comment ref="A1" authorId="0" shapeId="0" xr:uid="{00000000-0006-0000-9400-000001000000}">
      <text>
        <r>
          <rPr>
            <sz val="9"/>
            <rFont val="宋体"/>
            <family val="3"/>
            <charset val="134"/>
          </rPr>
          <t>本计算程序只需人工输入绿色单元格参数.</t>
        </r>
      </text>
    </comment>
    <comment ref="A3" authorId="1" shapeId="0" xr:uid="{00000000-0006-0000-9400-000002000000}">
      <text>
        <r>
          <rPr>
            <sz val="9"/>
            <rFont val="宋体"/>
            <family val="3"/>
            <charset val="134"/>
          </rPr>
          <t>chenw:
单位：m/s</t>
        </r>
      </text>
    </comment>
    <comment ref="B3" authorId="1" shapeId="0" xr:uid="{00000000-0006-0000-9400-000003000000}">
      <text>
        <r>
          <rPr>
            <sz val="9"/>
            <rFont val="宋体"/>
            <family val="3"/>
            <charset val="134"/>
          </rPr>
          <t>chenw:
单位：N</t>
        </r>
      </text>
    </comment>
    <comment ref="C3" authorId="1" shapeId="0" xr:uid="{00000000-0006-0000-9400-000004000000}">
      <text>
        <r>
          <rPr>
            <sz val="9"/>
            <rFont val="宋体"/>
            <family val="3"/>
            <charset val="134"/>
          </rPr>
          <t>chenw:
一般取值在0.8～0.95之间</t>
        </r>
      </text>
    </comment>
    <comment ref="A6" authorId="1" shapeId="0" xr:uid="{00000000-0006-0000-9400-000005000000}">
      <text>
        <r>
          <rPr>
            <sz val="9"/>
            <rFont val="宋体"/>
            <family val="3"/>
            <charset val="134"/>
          </rPr>
          <t>chenw:
单位：N.M</t>
        </r>
      </text>
    </comment>
    <comment ref="B6" authorId="1" shapeId="0" xr:uid="{00000000-0006-0000-9400-000006000000}">
      <text>
        <r>
          <rPr>
            <sz val="9"/>
            <rFont val="宋体"/>
            <family val="3"/>
            <charset val="134"/>
          </rPr>
          <t>chenw:
单位r/min</t>
        </r>
      </text>
    </comment>
    <comment ref="C6" authorId="1" shapeId="0" xr:uid="{00000000-0006-0000-9400-000007000000}">
      <text>
        <r>
          <rPr>
            <sz val="9"/>
            <rFont val="宋体"/>
            <family val="3"/>
            <charset val="134"/>
          </rPr>
          <t>chenw:
一般取值在0.8～0.95之间</t>
        </r>
      </text>
    </comment>
    <comment ref="A9" authorId="1" shapeId="0" xr:uid="{00000000-0006-0000-9400-000008000000}">
      <text>
        <r>
          <rPr>
            <sz val="9"/>
            <rFont val="宋体"/>
            <family val="3"/>
            <charset val="134"/>
          </rPr>
          <t>chenw:
单位：Kw</t>
        </r>
      </text>
    </comment>
    <comment ref="B9" authorId="1" shapeId="0" xr:uid="{00000000-0006-0000-9400-000009000000}">
      <text>
        <r>
          <rPr>
            <sz val="9"/>
            <rFont val="宋体"/>
            <family val="3"/>
            <charset val="134"/>
          </rPr>
          <t>chenw:
单位r/min</t>
        </r>
      </text>
    </comment>
    <comment ref="C9" authorId="1" shapeId="0" xr:uid="{00000000-0006-0000-9400-00000A000000}">
      <text>
        <r>
          <rPr>
            <sz val="9"/>
            <rFont val="宋体"/>
            <family val="3"/>
            <charset val="134"/>
          </rPr>
          <t>chenw:
若是减速电机，ηd=1;若在电机后安装减速器，ηd=0.95.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fan</author>
  </authors>
  <commentList>
    <comment ref="C24" authorId="0" shapeId="0" xr:uid="{00000000-0006-0000-AA00-000001000000}">
      <text>
        <r>
          <rPr>
            <sz val="9"/>
            <rFont val="宋体"/>
            <family val="3"/>
            <charset val="134"/>
          </rPr>
          <t xml:space="preserve">中点螺旋角一般为 35 度，当重合度较小时，可适当加大螺旋角。
中点螺旋角为 0 度时即“零度弧齿锥齿轮”。  
</t>
        </r>
      </text>
    </comment>
    <comment ref="G24" authorId="0" shapeId="0" xr:uid="{00000000-0006-0000-AA00-000002000000}">
      <text>
        <r>
          <rPr>
            <sz val="9"/>
            <rFont val="宋体"/>
            <family val="3"/>
            <charset val="134"/>
          </rPr>
          <t>可查《齿轮手册》上册
图 5.4-2。当齿数比为 1 时，切向变位系数可
取为 0。</t>
        </r>
      </text>
    </comment>
    <comment ref="C25" authorId="0" shapeId="0" xr:uid="{00000000-0006-0000-AA00-000003000000}">
      <text>
        <r>
          <rPr>
            <sz val="9"/>
            <rFont val="宋体"/>
            <family val="3"/>
            <charset val="134"/>
          </rPr>
          <t xml:space="preserve">齿宽按 0.3 * 外锥距
和 10 * 模数 二者中的小者选取。
</t>
        </r>
      </text>
    </comment>
    <comment ref="C31" authorId="0" shapeId="0" xr:uid="{00000000-0006-0000-AA00-000004000000}">
      <text>
        <r>
          <rPr>
            <sz val="9"/>
            <rFont val="宋体"/>
            <family val="3"/>
            <charset val="134"/>
          </rPr>
          <t xml:space="preserve">有a, b,c, d, e, h 等6种，最小法向侧隙以 a 最小，h 为 0。
</t>
        </r>
      </text>
    </comment>
    <comment ref="C32" authorId="0" shapeId="0" xr:uid="{00000000-0006-0000-AA00-000005000000}">
      <text>
        <r>
          <rPr>
            <sz val="9"/>
            <rFont val="宋体"/>
            <family val="3"/>
            <charset val="134"/>
          </rPr>
          <t xml:space="preserve">有 A,B,C,D,H 等5种，A 最大，H 最小。允许与不同最小法向侧隙组合，一般情况，推荐对应组合。即：a-A,b-B,c-C,d-D,e-H,h-H.
</t>
        </r>
      </text>
    </comment>
    <comment ref="C42" authorId="0" shapeId="0" xr:uid="{00000000-0006-0000-AA00-000006000000}">
      <text>
        <r>
          <rPr>
            <sz val="9"/>
            <rFont val="宋体"/>
            <family val="3"/>
            <charset val="134"/>
          </rPr>
          <t>当“选择刀盘失败”时，请参照下表修正齿轮有关参数：
刀盘直径  中点螺旋角  外锥距    最大齿高  最大齿宽  大端模数
   mm         度        mm         mm        mm        mm
------------------------------------------------------------
         ≤15        20-40                  14   
  88.9    &gt;15-30     30-54        9         18       2.5-4
 (3.5")   &gt;30        45-65                  20
------------------------------------------------------------
          ≤15       35-75                  24       2.5-4.5
 152.4     &gt;15-30    50-87        10        30       2.5-5
 (6")      &gt;30       60-110                 30       2.5-5
------------------------------------------------------------
           ≤15      50-90                  30       4-6
 190.5     &gt;15-30    65-110       15        40       4-7.5
 (7.5")    &gt;30       95-135                 40       4-8
------------------------------------------------------------
          ≤15       60-120                 36       4-6.5
 228.6     &gt;15-30    78-130       15        45       4-7.5
 (9")      &gt;30       115-165                50       4-8
------------------------------------------------------------
          ≤15       90-180                 50       5-9
 304.8     &gt;15-30    105-175      20        60       5-10
 (12")     &gt;30       150-220                65       5-11
------------------------------------------------------------
           ≤15      140-240                70       6-12
 457.2     &gt;15-25    140-230      28        80       6-14
 (18")     &gt;25-35    195-290                100      6-15
           &gt;35       200-360                100      6-15</t>
        </r>
      </text>
    </comment>
    <comment ref="H44" authorId="0" shapeId="0" xr:uid="{00000000-0006-0000-AA00-000007000000}">
      <text>
        <r>
          <rPr>
            <sz val="9"/>
            <rFont val="宋体"/>
            <family val="3"/>
            <charset val="134"/>
          </rPr>
          <t>当ε总小于 2 时，ε纵向 必须大于 1.25， 否则被认为重合度过小。可通过适当加大螺旋角或齿面宽来解决。</t>
        </r>
      </text>
    </comment>
    <comment ref="E46" authorId="0" shapeId="0" xr:uid="{00000000-0006-0000-AA00-000008000000}">
      <text>
        <r>
          <rPr>
            <sz val="9"/>
            <rFont val="宋体"/>
            <family val="3"/>
            <charset val="134"/>
          </rPr>
          <t>如果βi大于βa，则出现“反向收缩”，须修改有关参数。</t>
        </r>
      </text>
    </comment>
  </commentList>
</comments>
</file>

<file path=xl/sharedStrings.xml><?xml version="1.0" encoding="utf-8"?>
<sst xmlns="http://schemas.openxmlformats.org/spreadsheetml/2006/main" count="44694" uniqueCount="15327">
  <si>
    <t>类型</t>
  </si>
  <si>
    <t>电机选型（7）</t>
  </si>
  <si>
    <t>皮带轮（8）</t>
  </si>
  <si>
    <t>气动选型（7）</t>
  </si>
  <si>
    <t>丝杆运动（2）</t>
  </si>
  <si>
    <t>齿轮计算（7）</t>
  </si>
  <si>
    <t>螺杆螺纹（8）</t>
  </si>
  <si>
    <t>蜗杆计算（4）</t>
  </si>
  <si>
    <t>菜单</t>
  </si>
  <si>
    <t>负载转矩计算</t>
  </si>
  <si>
    <t>皮带轮间歇运动</t>
  </si>
  <si>
    <t>气缸内径选型</t>
  </si>
  <si>
    <t>丝杠水平运动</t>
  </si>
  <si>
    <t>外啮合变位圆柱齿轮传动几何尺寸计算</t>
  </si>
  <si>
    <t>螺纹中小径计算</t>
  </si>
  <si>
    <t>圆柱蜗杆传动</t>
  </si>
  <si>
    <t>惯量（惯性矩）计算</t>
  </si>
  <si>
    <t>皮带轮连续运动</t>
  </si>
  <si>
    <t>气缸推力计算</t>
  </si>
  <si>
    <t>丝杠垂直运动</t>
  </si>
  <si>
    <t>齿轮齿条</t>
  </si>
  <si>
    <t>公制/美制 粗螺纹</t>
  </si>
  <si>
    <t>圆柱蜗杆传动主要参数搭配推荐值</t>
  </si>
  <si>
    <t>电机常识</t>
  </si>
  <si>
    <t>三角皮带长度计算</t>
  </si>
  <si>
    <t>气缸理论出力表</t>
  </si>
  <si>
    <t>皮带传动</t>
  </si>
  <si>
    <t>齿轮常用材料及其力学性能</t>
  </si>
  <si>
    <t>公制螺纹大全</t>
  </si>
  <si>
    <t>蜗轮传动</t>
  </si>
  <si>
    <t>常用Y系列电机型号参数表</t>
  </si>
  <si>
    <t>三角皮带参数表</t>
  </si>
  <si>
    <t>真空吸盘的选型</t>
  </si>
  <si>
    <t>高度变位斜齿轮跨棒(球)距</t>
  </si>
  <si>
    <t>英制螺纹底孔对照表</t>
  </si>
  <si>
    <t>电机功率确定程序</t>
  </si>
  <si>
    <t>SPA、SPB带轮规格</t>
  </si>
  <si>
    <t>耗气量计算及电磁阀选择</t>
  </si>
  <si>
    <t>高变位齿轮尺寸计算</t>
  </si>
  <si>
    <t>美制特细螺纹&amp;英制电器螺纹</t>
  </si>
  <si>
    <t>伺服电机选型自动版</t>
  </si>
  <si>
    <t>A型三角带规格</t>
  </si>
  <si>
    <t>真空元件的选定</t>
  </si>
  <si>
    <t>锥齿轮传动设计计算</t>
  </si>
  <si>
    <t>英制、美制管螺纹</t>
  </si>
  <si>
    <t>减速机公称功率</t>
  </si>
  <si>
    <t>B型三角带规格</t>
  </si>
  <si>
    <t>亚德客油压缓冲器</t>
  </si>
  <si>
    <t>齿轮齿条传动设计计算</t>
  </si>
  <si>
    <t>英制螺纹</t>
  </si>
  <si>
    <t>步进电机与驱动选型</t>
  </si>
  <si>
    <t>C型三角带规格</t>
  </si>
  <si>
    <t>气缸与系统选型指南</t>
  </si>
  <si>
    <t>齿轮齿条电机选型</t>
  </si>
  <si>
    <t>米制细牙螺纹</t>
  </si>
  <si>
    <t>伺服电机和步进电机的区别</t>
  </si>
  <si>
    <t>气缸力计算及使用</t>
  </si>
  <si>
    <t>齿轮的换算公式</t>
  </si>
  <si>
    <t>挤压丝锥公制螺纹底孔直径</t>
  </si>
  <si>
    <t>伺服电机选型</t>
  </si>
  <si>
    <t>气动元件的选型计算</t>
  </si>
  <si>
    <t>单位换算（1）</t>
  </si>
  <si>
    <t>带轮计算（2）</t>
  </si>
  <si>
    <t>链轮&amp;链条（5）</t>
  </si>
  <si>
    <t>材料学（5）</t>
  </si>
  <si>
    <t>键槽&amp;销计算（5）</t>
  </si>
  <si>
    <t>凸轮分割器选型（5）</t>
  </si>
  <si>
    <t>其他公式（5）</t>
  </si>
  <si>
    <t>单位换算</t>
  </si>
  <si>
    <t>同步带轮传动设计</t>
  </si>
  <si>
    <t>链轮的基本参数</t>
  </si>
  <si>
    <t>常用工程材料属性</t>
  </si>
  <si>
    <t>外花键跨棒距</t>
  </si>
  <si>
    <t>分割器选型知识</t>
  </si>
  <si>
    <t>立柱计算</t>
  </si>
  <si>
    <t xml:space="preserve"> 电机功率换算转矩（扭矩）</t>
  </si>
  <si>
    <t>链条计算</t>
  </si>
  <si>
    <t>轴向齿廓及尺寸</t>
  </si>
  <si>
    <t>材料价格计算表</t>
  </si>
  <si>
    <t>内花键棒间距</t>
  </si>
  <si>
    <t>分度盘</t>
  </si>
  <si>
    <t>压入力计算</t>
  </si>
  <si>
    <t>功率计算公式</t>
  </si>
  <si>
    <t>功率及张力计算</t>
  </si>
  <si>
    <t>链条长度计算</t>
  </si>
  <si>
    <t>常用材料硬度表</t>
  </si>
  <si>
    <t>键的强度计算</t>
  </si>
  <si>
    <t>圆盘</t>
  </si>
  <si>
    <t>弹性模量、泊松系数</t>
  </si>
  <si>
    <t>所有换算单位</t>
  </si>
  <si>
    <t>张力逐点计算</t>
  </si>
  <si>
    <t>传动用短节距精密滚子链</t>
  </si>
  <si>
    <t>金属材料密度表</t>
  </si>
  <si>
    <t>销的强度计算</t>
  </si>
  <si>
    <t>间歇回转转盘运动</t>
  </si>
  <si>
    <t>焊缝及键连接受力计算比较</t>
  </si>
  <si>
    <t>同步轮</t>
  </si>
  <si>
    <t>倍速链线马达功率计算</t>
  </si>
  <si>
    <t>塑料材料性能</t>
  </si>
  <si>
    <t>平键和键槽查询</t>
  </si>
  <si>
    <t>摇摆输送驱动</t>
  </si>
  <si>
    <t>稳定性系数</t>
  </si>
  <si>
    <t>倍速链的张力计算</t>
  </si>
  <si>
    <t>七国铝合金牌号对照</t>
  </si>
  <si>
    <t>齿轮分割驱动</t>
  </si>
  <si>
    <t>几何体计算表</t>
  </si>
  <si>
    <t>链轮齿槽形状</t>
  </si>
  <si>
    <t>七国钢材牌号对照表</t>
  </si>
  <si>
    <t>输送带式驱动</t>
  </si>
  <si>
    <t>LED显示英寸计算长宽</t>
  </si>
  <si>
    <t>传动用短节距精密滚子链轮参数计算表</t>
  </si>
  <si>
    <t>常用金属材料密度表</t>
  </si>
  <si>
    <t>传送带式凸轮分割器选型</t>
  </si>
  <si>
    <t>常用材料力学性能</t>
  </si>
  <si>
    <t>回转圆盘式凸轮分割器选型</t>
  </si>
  <si>
    <t>机械配合（4）</t>
  </si>
  <si>
    <t>凸轮（5）</t>
  </si>
  <si>
    <t>公差查询（4）</t>
  </si>
  <si>
    <t>标准件A（4）</t>
  </si>
  <si>
    <t>标准件B（5）</t>
  </si>
  <si>
    <t>标准件C（2）</t>
  </si>
  <si>
    <t>弹簧（2）</t>
  </si>
  <si>
    <t xml:space="preserve"> 转矩【扭矩】计算</t>
  </si>
  <si>
    <t>凸轮各曲线特征</t>
  </si>
  <si>
    <t>公差</t>
  </si>
  <si>
    <t>深沟球轴承规格表</t>
  </si>
  <si>
    <t>孔用弹性挡圈</t>
  </si>
  <si>
    <t>沉孔尺寸</t>
  </si>
  <si>
    <t>弹簧刚度计算大全</t>
  </si>
  <si>
    <t>万向联轴器计算</t>
  </si>
  <si>
    <t>正弦加速度凸轮</t>
  </si>
  <si>
    <t>轴的基本偏差</t>
  </si>
  <si>
    <t>超越离合器设计</t>
  </si>
  <si>
    <t>轴用弹性挡圈</t>
  </si>
  <si>
    <t>塞打螺丝常用规格表</t>
  </si>
  <si>
    <t>弹簧计算</t>
  </si>
  <si>
    <t>齿式联轴器计算</t>
  </si>
  <si>
    <t>正弦余弦对照表</t>
  </si>
  <si>
    <t>孔偏差</t>
  </si>
  <si>
    <t>推力球轴承尺寸表</t>
  </si>
  <si>
    <t>轴用E形扣环</t>
  </si>
  <si>
    <t>UCT带滑块轴承座规格表</t>
  </si>
  <si>
    <t>压簧计算表</t>
  </si>
  <si>
    <t>棘轮计算</t>
  </si>
  <si>
    <t>凸轮轮廓曲线设计</t>
  </si>
  <si>
    <t>形位公差</t>
  </si>
  <si>
    <t>圆锥滚子轴承</t>
  </si>
  <si>
    <t>扳手空间尺寸</t>
  </si>
  <si>
    <t>减速器选用方法</t>
  </si>
  <si>
    <t>氮气弹簧计算</t>
  </si>
  <si>
    <t>尺寸链计算</t>
  </si>
  <si>
    <t>T型槽尺寸</t>
  </si>
  <si>
    <t>紧固螺钉旋入深度及螺孔底孔深度</t>
  </si>
  <si>
    <t>超越离合器设计计算表</t>
  </si>
  <si>
    <t>尺寸链知识</t>
  </si>
  <si>
    <t>常用螺栓强度极限＆屈服极限＆预紧力＆预紧力矩一览表</t>
  </si>
  <si>
    <t>公差计算表</t>
  </si>
  <si>
    <t>尺寸链计算表</t>
  </si>
  <si>
    <t>冲压力计算</t>
  </si>
  <si>
    <t>力学性能</t>
  </si>
  <si>
    <t>力学性能2</t>
  </si>
  <si>
    <t>液压系统</t>
  </si>
  <si>
    <t>表面处理</t>
  </si>
  <si>
    <t>机械加工</t>
  </si>
  <si>
    <t>【理论】总冲裁力的计算</t>
  </si>
  <si>
    <t>圆</t>
  </si>
  <si>
    <t>空心正方形（圆）</t>
  </si>
  <si>
    <t>液压油</t>
  </si>
  <si>
    <t>交错轴斜齿轮传动计算</t>
  </si>
  <si>
    <t>电镀余量参考</t>
  </si>
  <si>
    <t>CNC钢料切削参数表</t>
  </si>
  <si>
    <t>剪切力計算</t>
  </si>
  <si>
    <t>半圆环</t>
  </si>
  <si>
    <t>空心正方形</t>
  </si>
  <si>
    <t>缝隙.管路</t>
  </si>
  <si>
    <t>外啮合圆柱齿轮传动设计计算</t>
  </si>
  <si>
    <t>钢料加工参数参考表</t>
  </si>
  <si>
    <t>板材压印成型之加工压力</t>
  </si>
  <si>
    <t>半圆</t>
  </si>
  <si>
    <t>六边形</t>
  </si>
  <si>
    <t>蓄能器</t>
  </si>
  <si>
    <t>外齿轮插齿、剃齿验算</t>
  </si>
  <si>
    <t>CNC加工参数</t>
  </si>
  <si>
    <t>V型 弯曲力之计算</t>
  </si>
  <si>
    <t>带横孔圆</t>
  </si>
  <si>
    <t>三角形</t>
  </si>
  <si>
    <t>油箱.热平衡</t>
  </si>
  <si>
    <t>内齿轮插齿顶切验算</t>
  </si>
  <si>
    <t>立铣刀选用表</t>
  </si>
  <si>
    <t>U型 弯曲力之计算</t>
  </si>
  <si>
    <t>钢型截面</t>
  </si>
  <si>
    <t>扇形</t>
  </si>
  <si>
    <t>泵.马达</t>
  </si>
  <si>
    <t>准双曲面齿轮设计计算</t>
  </si>
  <si>
    <t>切削速度计算公式</t>
  </si>
  <si>
    <t>卷料冲压效率</t>
  </si>
  <si>
    <t>花键</t>
  </si>
  <si>
    <t>扇形圆环</t>
  </si>
  <si>
    <t>油缸</t>
  </si>
  <si>
    <t>内齿轮传动计算及插齿刀验算</t>
  </si>
  <si>
    <t>椭圆</t>
  </si>
  <si>
    <t>薄壁正方形</t>
  </si>
  <si>
    <t>液压冲击计算</t>
  </si>
  <si>
    <t>空心椭圆</t>
  </si>
  <si>
    <t>正方形</t>
  </si>
  <si>
    <t>空心圆</t>
  </si>
  <si>
    <t>机械设计常用计算公式</t>
  </si>
  <si>
    <t>此表为转盘式分割器选型，在输入框中输入条件（E和F列），会自动计算出负载扭矩和所需马达功率，选择分割器时动态扭矩大于此数值即可，马达同样</t>
  </si>
  <si>
    <t>只需输入此列数值</t>
  </si>
  <si>
    <t>图示</t>
  </si>
  <si>
    <t>输入</t>
  </si>
  <si>
    <t>内容</t>
  </si>
  <si>
    <t>值</t>
  </si>
  <si>
    <t>单位</t>
  </si>
  <si>
    <t>值转换</t>
  </si>
  <si>
    <t>转换后单位</t>
  </si>
  <si>
    <t>序号</t>
  </si>
  <si>
    <t>曲线类型</t>
  </si>
  <si>
    <t>用途</t>
  </si>
  <si>
    <t>1.间歇分割数 N</t>
  </si>
  <si>
    <t>NA</t>
  </si>
  <si>
    <t>变形台（梯）形曲线</t>
  </si>
  <si>
    <t>高速和轻负载</t>
  </si>
  <si>
    <r>
      <rPr>
        <sz val="11"/>
        <color theme="1"/>
        <rFont val="宋体"/>
        <family val="3"/>
        <charset val="134"/>
        <scheme val="minor"/>
      </rPr>
      <t>2.每等分回转时间∶秒</t>
    </r>
    <r>
      <rPr>
        <sz val="1"/>
        <color rgb="FFFFFFFF"/>
        <rFont val="宋体"/>
        <family val="3"/>
        <charset val="134"/>
      </rPr>
      <t>  _' C  Y6 w8 U) R2 K6 ?</t>
    </r>
  </si>
  <si>
    <t>变形正弦曲线</t>
  </si>
  <si>
    <t>中高速和中度负载</t>
  </si>
  <si>
    <t>3.输入轴回转数,凸轮轴速度(每分钟回转数)∶n</t>
  </si>
  <si>
    <t>rpm</t>
  </si>
  <si>
    <t>变形等速度曲线</t>
  </si>
  <si>
    <t>低速和重负载</t>
  </si>
  <si>
    <t>3.凸轮曲线（一般有4种）∶</t>
  </si>
  <si>
    <t>有理式曲线</t>
  </si>
  <si>
    <t>振动控制</t>
  </si>
  <si>
    <t>4.回转盘尺寸，材质∶直径D*厚度h</t>
  </si>
  <si>
    <t>mm</t>
  </si>
  <si>
    <t>M</t>
  </si>
  <si>
    <t>S45C</t>
  </si>
  <si>
    <r>
      <rPr>
        <sz val="11"/>
        <color theme="1"/>
        <rFont val="宋体"/>
        <family val="3"/>
        <charset val="134"/>
        <scheme val="minor"/>
      </rPr>
      <t>5.夹具重量∶</t>
    </r>
    <r>
      <rPr>
        <sz val="1"/>
        <color rgb="FFFFFFFF"/>
        <rFont val="宋体"/>
        <family val="3"/>
        <charset val="134"/>
      </rPr>
      <t xml:space="preserve"> L- u, t3 i4 c; h' _  R</t>
    </r>
  </si>
  <si>
    <t>KG/组</t>
  </si>
  <si>
    <t>6.工件(产品)重量:</t>
  </si>
  <si>
    <t>7.转盘依靠其底部滑动面支持本身重量负荷，有效半径∶R</t>
  </si>
  <si>
    <t xml:space="preserve">8.夹具固定位置（节圆直径） </t>
  </si>
  <si>
    <t>9.动静比</t>
  </si>
  <si>
    <t>负载扭矩</t>
  </si>
  <si>
    <t>KG.M</t>
  </si>
  <si>
    <t>马达功率</t>
  </si>
  <si>
    <t>W</t>
  </si>
  <si>
    <t>常量</t>
  </si>
  <si>
    <t>pi</t>
  </si>
  <si>
    <t>计算</t>
  </si>
  <si>
    <t>公式</t>
  </si>
  <si>
    <t>计算结果</t>
  </si>
  <si>
    <t>G</t>
  </si>
  <si>
    <t>分割数</t>
  </si>
  <si>
    <t>S45C 密度</t>
  </si>
  <si>
    <t>KG/M^3</t>
  </si>
  <si>
    <t>转位角度（驱动角）𝜃h</t>
  </si>
  <si>
    <t>度</t>
  </si>
  <si>
    <t>AL 密度</t>
  </si>
  <si>
    <t>入力轴转速</t>
  </si>
  <si>
    <t>凸轮曲线</t>
  </si>
  <si>
    <t>Vm</t>
  </si>
  <si>
    <t>Am</t>
  </si>
  <si>
    <t>Qm</t>
  </si>
  <si>
    <t>负载扭矩：Tt</t>
  </si>
  <si>
    <t>5.1 惯性扭矩：Ti</t>
  </si>
  <si>
    <t>a:重量</t>
  </si>
  <si>
    <t>转盘重量 W1</t>
  </si>
  <si>
    <t>W1=密度*体积=ρ*π*r*r*h</t>
  </si>
  <si>
    <t>KG</t>
  </si>
  <si>
    <t>夹具重量W2</t>
  </si>
  <si>
    <t>W2=夹具重量*夹具数</t>
  </si>
  <si>
    <t>工件重量W3</t>
  </si>
  <si>
    <t>W3=夹具重量*夹具数</t>
  </si>
  <si>
    <t>b:回转盘惯性扭矩</t>
  </si>
  <si>
    <t>转盘惯性距I1</t>
  </si>
  <si>
    <t>KG.M.S.S</t>
  </si>
  <si>
    <t>夹具惯性距I2</t>
  </si>
  <si>
    <t>工件惯性距I3</t>
  </si>
  <si>
    <t>c:总惯性矩I</t>
  </si>
  <si>
    <t>I=I1+I2+I3</t>
  </si>
  <si>
    <t>d:出力轴最大角加速度：α</t>
  </si>
  <si>
    <t>rad/(s.s)</t>
  </si>
  <si>
    <t>e:静扭矩（惯性扭矩）：Ti</t>
  </si>
  <si>
    <t>Ti=I*α</t>
  </si>
  <si>
    <t>kg.m</t>
  </si>
  <si>
    <t>5.2 摩擦扭矩： Tf
摩擦系数取 u=0.15</t>
  </si>
  <si>
    <t>Tf=u*W*Re</t>
  </si>
  <si>
    <t>5.3 工作扭矩 Tw</t>
  </si>
  <si>
    <t>在间歇分割时没有作功因此Tw=0</t>
  </si>
  <si>
    <t>5.4 以上总负载扭矩  Tt</t>
  </si>
  <si>
    <t>Tt=Ti+Tf+Tw</t>
  </si>
  <si>
    <t>实际负载扭矩∶
Te 安全负载之因数 fc=1.5</t>
  </si>
  <si>
    <t>Te=Tt*fc</t>
  </si>
  <si>
    <t>fc</t>
  </si>
  <si>
    <t>输入轴扭矩∶Tc
输入轴起动负载扭矩视为0,因此Tca=0</t>
  </si>
  <si>
    <t>计算所需之马力∶P
假设效率Q=60%</t>
  </si>
  <si>
    <t>P=Tc*n/(716*Q)(HP)</t>
  </si>
  <si>
    <t>HP</t>
  </si>
  <si>
    <t>P= Tc*n/(975*Q)(kw)</t>
  </si>
  <si>
    <t>KW</t>
  </si>
  <si>
    <t>事实上，以上所计算数值为起动时最大马力，而连续传动所需之马力为1/2</t>
  </si>
  <si>
    <t>选择适用之间歇分割器</t>
  </si>
  <si>
    <t>根据以上所计算之资料以及输入轴转速80rpm来选择，请参考说明书上所记载，凡是输出轴扭矩高于以上所计算之Te值者均可选用。</t>
  </si>
  <si>
    <t>注：我公司建议安全因素考量</t>
  </si>
  <si>
    <t>输入轴转速低于30rpm时，以30rpm计算</t>
  </si>
  <si>
    <t>当驱动角度90°时，安全负载之因素fc=2.0计算</t>
  </si>
  <si>
    <t>凸轮分割器配合输出轴之齿轮装置应用于传动输送带，从而使输送带移动达到使用要求</t>
  </si>
  <si>
    <t>输送带输送间距 Pc</t>
  </si>
  <si>
    <t>cm</t>
  </si>
  <si>
    <t>回转角度：𝜃h</t>
  </si>
  <si>
    <t>每行程运转时间 t</t>
  </si>
  <si>
    <t>S/周期</t>
  </si>
  <si>
    <t>凸轮曲线∶</t>
  </si>
  <si>
    <t>主齿轮A 质量 W1</t>
  </si>
  <si>
    <t>主齿轮A 节圆直径D1</t>
  </si>
  <si>
    <t>从动齿轮B 质量 W2</t>
  </si>
  <si>
    <t>从动齿轮B 节圆直径D2</t>
  </si>
  <si>
    <t>传动轴质量 W3</t>
  </si>
  <si>
    <t>KG/支</t>
  </si>
  <si>
    <t>传动轴数量 N3</t>
  </si>
  <si>
    <t>支</t>
  </si>
  <si>
    <t>传动轴直径</t>
  </si>
  <si>
    <t>链轮质量 W4</t>
  </si>
  <si>
    <t>链轮组数 N4</t>
  </si>
  <si>
    <t>组</t>
  </si>
  <si>
    <t>链轮节圆直径 Dc</t>
  </si>
  <si>
    <t>链条质量 W5</t>
  </si>
  <si>
    <t>链条组数  N5</t>
  </si>
  <si>
    <t>夹具质量 W6</t>
  </si>
  <si>
    <t>夹具组数 N6</t>
  </si>
  <si>
    <t>工件质量 W7</t>
  </si>
  <si>
    <t>工件组数</t>
  </si>
  <si>
    <t>速度比 ：𝛾</t>
  </si>
  <si>
    <t>输送带摩擦系数</t>
  </si>
  <si>
    <t>定位等分（分割数）N</t>
  </si>
  <si>
    <t>输入轴转速</t>
  </si>
  <si>
    <t>n=60/t</t>
  </si>
  <si>
    <t>负载扭矩： Tt</t>
  </si>
  <si>
    <t>静扭矩（惯性扭矩）：Ti</t>
  </si>
  <si>
    <t>a:主动齿轮重量∶W1=8kg 节圆直径=φ180 
那么主动齿轮惯性矩∶</t>
  </si>
  <si>
    <t>kg,cm,s,s</t>
  </si>
  <si>
    <t>b:输送带惯性矩：</t>
  </si>
  <si>
    <t>① 从动齿轮惯性距：I2</t>
  </si>
  <si>
    <t>② 传动轴之惯性矩∶I3</t>
  </si>
  <si>
    <t>③ 链轮之惯性矩∶I4</t>
  </si>
  <si>
    <t>④ 链条之惯性矩∶I5</t>
  </si>
  <si>
    <t>⑤ 夹具之惯性矩∶I6</t>
  </si>
  <si>
    <t>⑥ 工件之惯性矩∶I7</t>
  </si>
  <si>
    <t>⑦ 因此输送带之总惯性矩∶IB</t>
  </si>
  <si>
    <t>IB=I2+I3+I4+I5+I6+I7</t>
  </si>
  <si>
    <t>c:输送带之有效总惯性矩∶IBe</t>
  </si>
  <si>
    <t>d:总惯性矩为(a)+(c)之和:I</t>
  </si>
  <si>
    <t>I=IA+Ibe</t>
  </si>
  <si>
    <t>e:出力轴最大角加速度∶</t>
  </si>
  <si>
    <t>rad.s.s</t>
  </si>
  <si>
    <t>f:静扭矩(惯性扭矩)∶Ti应为(d)项与(e)项相乘</t>
  </si>
  <si>
    <t>Ti=I*𝛼</t>
  </si>
  <si>
    <t>kg.cm</t>
  </si>
  <si>
    <t>摩擦扭矩： Tf</t>
  </si>
  <si>
    <t>a:摩擦负荷应等于滑动面上链条和夹具的一半重量
和工件全部重量所造成之摩擦力</t>
  </si>
  <si>
    <t>Tf=u.W.R</t>
  </si>
  <si>
    <t>b:输送带之有效摩擦扭矩：Tfe</t>
  </si>
  <si>
    <t>工作扭矩∶Tw  在间歇分割时没有作功，因此Tw=0</t>
  </si>
  <si>
    <t>Tw</t>
  </si>
  <si>
    <t>负载扭矩∶Tt</t>
  </si>
  <si>
    <t>注∶请认明所有数值单位，以免错误，重力引力加速度G=980cm／s.s;=9.8米／s.s</t>
  </si>
  <si>
    <r>
      <rPr>
        <sz val="12"/>
        <color theme="1"/>
        <rFont val="宋体"/>
        <family val="3"/>
        <charset val="134"/>
      </rPr>
      <t>实际负荷之矩∶Te，安全负荷之因数fe=2</t>
    </r>
    <r>
      <rPr>
        <sz val="1"/>
        <color rgb="FFFFFFFF"/>
        <rFont val="宋体"/>
        <family val="3"/>
        <charset val="134"/>
      </rPr>
      <t xml:space="preserve">4 </t>
    </r>
  </si>
  <si>
    <t>输入轴扭矩∶Tc</t>
  </si>
  <si>
    <t>Tca</t>
  </si>
  <si>
    <t>注∶输入轴起动负载扭矩视为0 ，因此Tca=0</t>
  </si>
  <si>
    <t>选择所适用之间歇分割器</t>
  </si>
  <si>
    <t>根据以上计算资料所得输入轴转速为30rpm，请参考说明书上所记载，凡是输出轴扭矩高于以上所计算之Te值者均可选用。</t>
  </si>
  <si>
    <t>Te=7.69(kg.m)应选RU-80DS型</t>
  </si>
  <si>
    <r>
      <t>车削速度计算</t>
    </r>
    <r>
      <rPr>
        <sz val="12"/>
        <rFont val="华文新魏"/>
        <family val="3"/>
        <charset val="134"/>
      </rPr>
      <t>（公众号：曼仑）</t>
    </r>
  </si>
  <si>
    <t>YT15</t>
  </si>
  <si>
    <r>
      <rPr>
        <sz val="18"/>
        <rFont val="宋体"/>
        <family val="3"/>
        <charset val="134"/>
      </rPr>
      <t>C</t>
    </r>
    <r>
      <rPr>
        <vertAlign val="subscript"/>
        <sz val="18"/>
        <rFont val="宋体"/>
        <family val="3"/>
        <charset val="134"/>
      </rPr>
      <t>v</t>
    </r>
  </si>
  <si>
    <t>t(min)</t>
  </si>
  <si>
    <r>
      <rPr>
        <sz val="18"/>
        <rFont val="宋体"/>
        <family val="3"/>
        <charset val="134"/>
      </rPr>
      <t>a</t>
    </r>
    <r>
      <rPr>
        <vertAlign val="subscript"/>
        <sz val="18"/>
        <rFont val="宋体"/>
        <family val="3"/>
        <charset val="134"/>
      </rPr>
      <t>p</t>
    </r>
    <r>
      <rPr>
        <sz val="18"/>
        <rFont val="宋体"/>
        <family val="3"/>
        <charset val="134"/>
      </rPr>
      <t>(mm)</t>
    </r>
  </si>
  <si>
    <t>f(mm/r)</t>
  </si>
  <si>
    <t>V(m/min)</t>
  </si>
  <si>
    <t>v(r/min)</t>
  </si>
  <si>
    <t>D(mm)</t>
  </si>
  <si>
    <t>F≤0.3</t>
  </si>
  <si>
    <t>F≤0.75</t>
  </si>
  <si>
    <t>F＞0.75</t>
  </si>
  <si>
    <t>YG6</t>
  </si>
  <si>
    <t>F&gt;0.4</t>
  </si>
  <si>
    <t>F&lt;0.4</t>
  </si>
  <si>
    <t>W18Cr4V</t>
  </si>
  <si>
    <t>铣削速度计算</t>
  </si>
  <si>
    <t>YG8(HB180)</t>
  </si>
  <si>
    <t>d(mm)</t>
  </si>
  <si>
    <t>fz(mm/r)</t>
  </si>
  <si>
    <r>
      <rPr>
        <sz val="18"/>
        <rFont val="宋体"/>
        <family val="3"/>
        <charset val="134"/>
      </rPr>
      <t>a</t>
    </r>
    <r>
      <rPr>
        <vertAlign val="subscript"/>
        <sz val="18"/>
        <rFont val="宋体"/>
        <family val="3"/>
        <charset val="134"/>
      </rPr>
      <t>e</t>
    </r>
    <r>
      <rPr>
        <sz val="18"/>
        <rFont val="宋体"/>
        <family val="3"/>
        <charset val="134"/>
      </rPr>
      <t>(mm)</t>
    </r>
  </si>
  <si>
    <t>z</t>
  </si>
  <si>
    <t>盘铣刀</t>
  </si>
  <si>
    <t>立铣刀</t>
  </si>
  <si>
    <t>套式面铣刀</t>
  </si>
  <si>
    <t>钻削速度计算</t>
  </si>
  <si>
    <t>f&lt;0.3mm/r</t>
  </si>
  <si>
    <t>f&gt;0.3mm/r</t>
  </si>
  <si>
    <t>扩孔</t>
  </si>
  <si>
    <t>铰孔</t>
  </si>
  <si>
    <t>螺纹加工</t>
  </si>
  <si>
    <t>p(mm)</t>
  </si>
  <si>
    <r>
      <rPr>
        <sz val="18"/>
        <rFont val="宋体"/>
        <family val="3"/>
        <charset val="134"/>
      </rPr>
      <t>d</t>
    </r>
    <r>
      <rPr>
        <vertAlign val="subscript"/>
        <sz val="18"/>
        <rFont val="宋体"/>
        <family val="3"/>
        <charset val="134"/>
      </rPr>
      <t>0</t>
    </r>
    <r>
      <rPr>
        <sz val="18"/>
        <rFont val="宋体"/>
        <family val="3"/>
        <charset val="134"/>
      </rPr>
      <t>(mm)</t>
    </r>
  </si>
  <si>
    <t>x</t>
  </si>
  <si>
    <t>m</t>
  </si>
  <si>
    <t>y</t>
  </si>
  <si>
    <t>磨削切前用量的计算公式</t>
  </si>
  <si>
    <t>d</t>
  </si>
  <si>
    <t>v</t>
  </si>
  <si>
    <t>fB</t>
  </si>
  <si>
    <t>K1</t>
  </si>
  <si>
    <t>K2</t>
  </si>
  <si>
    <t>ft</t>
  </si>
  <si>
    <t>K3</t>
  </si>
  <si>
    <t>外圆磨</t>
  </si>
  <si>
    <t>粗磨圆柱表面的横进给量</t>
  </si>
  <si>
    <t>精磨圆柱表面的横进给量</t>
  </si>
  <si>
    <t>内圆磨</t>
  </si>
  <si>
    <t>粗磨内圆的横进给量</t>
  </si>
  <si>
    <t>D&gt;12</t>
  </si>
  <si>
    <t>D=10-12</t>
  </si>
  <si>
    <t>滚齿、花键加工</t>
  </si>
  <si>
    <t>钢</t>
  </si>
  <si>
    <t>m=7-26</t>
  </si>
  <si>
    <t>t</t>
  </si>
  <si>
    <t>f</t>
  </si>
  <si>
    <t>V</t>
  </si>
  <si>
    <t>切速</t>
  </si>
  <si>
    <t>应用</t>
  </si>
  <si>
    <t>ISO</t>
  </si>
  <si>
    <t>材料</t>
  </si>
  <si>
    <t>操作</t>
  </si>
  <si>
    <t>优先级</t>
  </si>
  <si>
    <t>型号</t>
  </si>
  <si>
    <t>图形</t>
  </si>
  <si>
    <t>范围</t>
  </si>
  <si>
    <t>场合</t>
  </si>
  <si>
    <t>分组</t>
  </si>
  <si>
    <t>方式</t>
  </si>
  <si>
    <t>常规</t>
  </si>
  <si>
    <t>铣槽</t>
  </si>
  <si>
    <t>P</t>
  </si>
  <si>
    <r>
      <rPr>
        <sz val="12"/>
        <rFont val="宋体"/>
        <family val="3"/>
        <charset val="134"/>
      </rPr>
      <t>钢</t>
    </r>
    <r>
      <rPr>
        <sz val="12"/>
        <rFont val="Times New Roman"/>
        <family val="1"/>
      </rPr>
      <t>HRC&lt;=38</t>
    </r>
  </si>
  <si>
    <t>首选</t>
  </si>
  <si>
    <t>5501R302GM</t>
  </si>
  <si>
    <t>5601R302GM</t>
  </si>
  <si>
    <t>5502R302GM</t>
  </si>
  <si>
    <t>5602R302GM</t>
  </si>
  <si>
    <t>5108R302GM</t>
  </si>
  <si>
    <t>R</t>
  </si>
  <si>
    <t>5602R404GR</t>
  </si>
  <si>
    <t>备选</t>
  </si>
  <si>
    <t>5501R303GM</t>
  </si>
  <si>
    <t>5601R303GM</t>
  </si>
  <si>
    <t>5502R303GM</t>
  </si>
  <si>
    <t>5602R303GM</t>
  </si>
  <si>
    <t>5108R303GM</t>
  </si>
  <si>
    <t>不锈钢</t>
  </si>
  <si>
    <t>K</t>
  </si>
  <si>
    <t>铸铁</t>
  </si>
  <si>
    <t>N</t>
  </si>
  <si>
    <r>
      <rPr>
        <sz val="12"/>
        <rFont val="宋体"/>
        <family val="3"/>
        <charset val="134"/>
      </rPr>
      <t>铝合金</t>
    </r>
    <r>
      <rPr>
        <sz val="12"/>
        <rFont val="Times New Roman"/>
        <family val="1"/>
      </rPr>
      <t>Si&lt;10%</t>
    </r>
  </si>
  <si>
    <t>5502R402NM</t>
  </si>
  <si>
    <r>
      <rPr>
        <sz val="12"/>
        <rFont val="宋体"/>
        <family val="3"/>
        <charset val="134"/>
      </rPr>
      <t>铝合金</t>
    </r>
    <r>
      <rPr>
        <sz val="12"/>
        <rFont val="Times New Roman"/>
        <family val="1"/>
      </rPr>
      <t>Si&gt;10%</t>
    </r>
  </si>
  <si>
    <t xml:space="preserve">5502R453GM </t>
  </si>
  <si>
    <t>5602R453GM</t>
  </si>
  <si>
    <t>5108R453GM</t>
  </si>
  <si>
    <t>S</t>
  </si>
  <si>
    <t>高温合金</t>
  </si>
  <si>
    <t xml:space="preserve">5501R302GM </t>
  </si>
  <si>
    <t>侧铣</t>
  </si>
  <si>
    <t>F</t>
  </si>
  <si>
    <t>5501R304GF</t>
  </si>
  <si>
    <t>5601R304GF</t>
  </si>
  <si>
    <t>5502R304GF</t>
  </si>
  <si>
    <t>5602R304GF</t>
  </si>
  <si>
    <t xml:space="preserve">5108R304GF  </t>
  </si>
  <si>
    <t>5589R45MGFR</t>
  </si>
  <si>
    <t>5502R453GM</t>
  </si>
  <si>
    <t>5108R304GF</t>
  </si>
  <si>
    <t>仿形铣削</t>
  </si>
  <si>
    <t>5565R302GF</t>
  </si>
  <si>
    <t>5566R302GF</t>
  </si>
  <si>
    <t>H</t>
  </si>
  <si>
    <t>5565R302NH</t>
  </si>
  <si>
    <t>5566R302NH</t>
  </si>
  <si>
    <t>高速切削</t>
  </si>
  <si>
    <t>淬硬钢材</t>
  </si>
  <si>
    <t>5501R554HH</t>
  </si>
  <si>
    <t>5585R554HHR</t>
  </si>
  <si>
    <t>5586R554HHR</t>
  </si>
  <si>
    <t>5585R304GHR</t>
  </si>
  <si>
    <t>5586R304GHR</t>
  </si>
  <si>
    <t>5585R302NHR</t>
  </si>
  <si>
    <t>5586R302NHR</t>
  </si>
  <si>
    <t>5502R55MHH</t>
  </si>
  <si>
    <t>5565R302GH</t>
  </si>
  <si>
    <t>5566R302GH</t>
  </si>
  <si>
    <t>5565R302HH</t>
  </si>
  <si>
    <t>5566R302HH</t>
  </si>
  <si>
    <t>5566R304HH</t>
  </si>
  <si>
    <r>
      <t>常用螺栓强度极限/屈服极限/预紧力/预紧力矩一览表</t>
    </r>
    <r>
      <rPr>
        <sz val="14"/>
        <color theme="1"/>
        <rFont val="宋体"/>
        <family val="3"/>
        <charset val="134"/>
        <scheme val="minor"/>
      </rPr>
      <t>（公众号：曼仑）</t>
    </r>
  </si>
  <si>
    <t>螺       栓       规      格</t>
  </si>
  <si>
    <t>螺栓型号</t>
  </si>
  <si>
    <t>螺栓公称直径D/MM</t>
  </si>
  <si>
    <t>应力截面积/MM²</t>
  </si>
  <si>
    <t>性能等级</t>
  </si>
  <si>
    <t>强度极限/N</t>
  </si>
  <si>
    <t>屈服极限/N</t>
  </si>
  <si>
    <t>预紧力/N</t>
  </si>
  <si>
    <t>预紧力矩/N.M</t>
  </si>
  <si>
    <t>M1</t>
  </si>
  <si>
    <t>M2</t>
  </si>
  <si>
    <t>M3</t>
  </si>
  <si>
    <t>M4</t>
  </si>
  <si>
    <t>M5</t>
  </si>
  <si>
    <t>M6</t>
  </si>
  <si>
    <t>M8</t>
  </si>
  <si>
    <t>M10</t>
  </si>
  <si>
    <t>M12</t>
  </si>
  <si>
    <t>M14</t>
  </si>
  <si>
    <t>M16</t>
  </si>
  <si>
    <t>M18</t>
  </si>
  <si>
    <t>M20</t>
  </si>
  <si>
    <t>M22</t>
  </si>
  <si>
    <t>M24</t>
  </si>
  <si>
    <t>M27</t>
  </si>
  <si>
    <t>M30</t>
  </si>
  <si>
    <t>M33</t>
  </si>
  <si>
    <t>M36</t>
  </si>
  <si>
    <t>M39</t>
  </si>
  <si>
    <t>表    一</t>
  </si>
  <si>
    <t>预紧力矩K值表</t>
  </si>
  <si>
    <t>表    二</t>
  </si>
  <si>
    <t>紧螺栓连接的许用应力级安全系数</t>
  </si>
  <si>
    <t>表    三</t>
  </si>
  <si>
    <t>许用剪切和挤压应力及安全系数</t>
  </si>
  <si>
    <t>摩擦表面状况</t>
  </si>
  <si>
    <t>有润滑</t>
  </si>
  <si>
    <t>无润滑</t>
  </si>
  <si>
    <t>K=</t>
  </si>
  <si>
    <t>许用应力</t>
  </si>
  <si>
    <t>不控制预紧力时的安全系数</t>
  </si>
  <si>
    <t>控制预紧力时的安全系数</t>
  </si>
  <si>
    <t>许用应力及安全系数及被连接材料</t>
  </si>
  <si>
    <t>剪应力</t>
  </si>
  <si>
    <t>挤压</t>
  </si>
  <si>
    <t>精加工表面</t>
  </si>
  <si>
    <t>[σ]=σs/S</t>
  </si>
  <si>
    <t>直径/材料</t>
  </si>
  <si>
    <t>M6-M16</t>
  </si>
  <si>
    <t>M16-M30</t>
  </si>
  <si>
    <t>M30-M60</t>
  </si>
  <si>
    <t>不分直径</t>
  </si>
  <si>
    <t>[τ]=σs/S</t>
  </si>
  <si>
    <t>[σp]=σs/S</t>
  </si>
  <si>
    <t>一般加工表面</t>
  </si>
  <si>
    <t>0.13-0.15</t>
  </si>
  <si>
    <t>0.18-0.21</t>
  </si>
  <si>
    <t>表面氧化</t>
  </si>
  <si>
    <t>碳钢/合金钢</t>
  </si>
  <si>
    <t>4-3/5-4</t>
  </si>
  <si>
    <t>3-2/4-3</t>
  </si>
  <si>
    <t>2-1.3/2.5</t>
  </si>
  <si>
    <t>1.2-1.5</t>
  </si>
  <si>
    <t>[σp]=σb/S</t>
  </si>
  <si>
    <t>2-2.5</t>
  </si>
  <si>
    <t>镀锌表面</t>
  </si>
  <si>
    <t>干燥的粗加工表面</t>
  </si>
  <si>
    <t>0.26-0.3</t>
  </si>
  <si>
    <t>静载荷</t>
  </si>
  <si>
    <t>1-1.25</t>
  </si>
  <si>
    <r>
      <rPr>
        <sz val="11"/>
        <color rgb="FFFF0000"/>
        <rFont val="宋体"/>
        <family val="3"/>
        <charset val="134"/>
        <scheme val="minor"/>
      </rPr>
      <t>注：请选择相应的预紧力矩K值输入</t>
    </r>
    <r>
      <rPr>
        <sz val="11"/>
        <color rgb="FF002060"/>
        <rFont val="宋体"/>
        <family val="3"/>
        <charset val="134"/>
        <scheme val="minor"/>
      </rPr>
      <t>蓝色</t>
    </r>
    <r>
      <rPr>
        <sz val="11"/>
        <color rgb="FFFF0000"/>
        <rFont val="宋体"/>
        <family val="3"/>
        <charset val="134"/>
        <scheme val="minor"/>
      </rPr>
      <t>框内！</t>
    </r>
  </si>
  <si>
    <t>变载荷</t>
  </si>
  <si>
    <t>3.5-5</t>
  </si>
  <si>
    <t>1.6-2</t>
  </si>
  <si>
    <t>2.5-3.5</t>
  </si>
  <si>
    <t>鹏程电脑锣</t>
  </si>
  <si>
    <r>
      <rPr>
        <sz val="16"/>
        <rFont val="Times New Roman"/>
        <family val="1"/>
      </rPr>
      <t xml:space="preserve">CNC </t>
    </r>
    <r>
      <rPr>
        <sz val="16"/>
        <rFont val="宋体"/>
        <family val="3"/>
        <charset val="134"/>
      </rPr>
      <t>加</t>
    </r>
    <r>
      <rPr>
        <sz val="16"/>
        <rFont val="Times New Roman"/>
        <family val="1"/>
      </rPr>
      <t xml:space="preserve"> </t>
    </r>
    <r>
      <rPr>
        <sz val="16"/>
        <rFont val="宋体"/>
        <family val="3"/>
        <charset val="134"/>
      </rPr>
      <t>工</t>
    </r>
    <r>
      <rPr>
        <sz val="16"/>
        <rFont val="Times New Roman"/>
        <family val="1"/>
      </rPr>
      <t xml:space="preserve"> </t>
    </r>
    <r>
      <rPr>
        <sz val="16"/>
        <rFont val="宋体"/>
        <family val="3"/>
        <charset val="134"/>
      </rPr>
      <t>参</t>
    </r>
    <r>
      <rPr>
        <sz val="16"/>
        <rFont val="Times New Roman"/>
        <family val="1"/>
      </rPr>
      <t xml:space="preserve"> </t>
    </r>
    <r>
      <rPr>
        <sz val="16"/>
        <rFont val="宋体"/>
        <family val="3"/>
        <charset val="134"/>
      </rPr>
      <t>数</t>
    </r>
  </si>
  <si>
    <t>刀具</t>
  </si>
  <si>
    <t>一般钢料</t>
  </si>
  <si>
    <t>加硬钢料</t>
  </si>
  <si>
    <t>铜料</t>
  </si>
  <si>
    <r>
      <rPr>
        <sz val="18"/>
        <rFont val="宋体"/>
        <family val="3"/>
        <charset val="134"/>
      </rPr>
      <t>备</t>
    </r>
    <r>
      <rPr>
        <sz val="18"/>
        <rFont val="Times New Roman"/>
        <family val="1"/>
      </rPr>
      <t xml:space="preserve">     </t>
    </r>
    <r>
      <rPr>
        <sz val="18"/>
        <rFont val="宋体"/>
        <family val="3"/>
        <charset val="134"/>
      </rPr>
      <t>注</t>
    </r>
  </si>
  <si>
    <t>刀径</t>
  </si>
  <si>
    <t>开粗</t>
  </si>
  <si>
    <t>光刀</t>
  </si>
  <si>
    <r>
      <rPr>
        <sz val="9"/>
        <rFont val="宋体"/>
        <family val="3"/>
        <charset val="134"/>
      </rPr>
      <t>转速</t>
    </r>
    <r>
      <rPr>
        <sz val="9"/>
        <rFont val="Times New Roman"/>
        <family val="1"/>
      </rPr>
      <t>(S)</t>
    </r>
  </si>
  <si>
    <r>
      <rPr>
        <sz val="9"/>
        <rFont val="宋体"/>
        <family val="3"/>
        <charset val="134"/>
      </rPr>
      <t>进给</t>
    </r>
    <r>
      <rPr>
        <sz val="9"/>
        <rFont val="Times New Roman"/>
        <family val="1"/>
      </rPr>
      <t>(F)</t>
    </r>
  </si>
  <si>
    <t>step</t>
  </si>
  <si>
    <r>
      <rPr>
        <sz val="14"/>
        <rFont val="宋体"/>
        <family val="3"/>
        <charset val="134"/>
      </rPr>
      <t>φ</t>
    </r>
    <r>
      <rPr>
        <sz val="14"/>
        <rFont val="Times New Roman"/>
        <family val="1"/>
      </rPr>
      <t>16</t>
    </r>
  </si>
  <si>
    <r>
      <rPr>
        <sz val="12"/>
        <rFont val="Times New Roman"/>
        <family val="1"/>
      </rPr>
      <t>R8</t>
    </r>
    <r>
      <rPr>
        <sz val="12"/>
        <rFont val="宋体"/>
        <family val="3"/>
        <charset val="134"/>
      </rPr>
      <t>普长飞刀</t>
    </r>
  </si>
  <si>
    <t>加硬钢料最适用</t>
  </si>
  <si>
    <r>
      <rPr>
        <sz val="12"/>
        <rFont val="Times New Roman"/>
        <family val="1"/>
      </rPr>
      <t>R8</t>
    </r>
    <r>
      <rPr>
        <sz val="12"/>
        <rFont val="宋体"/>
        <family val="3"/>
        <charset val="134"/>
      </rPr>
      <t>加长飞刀</t>
    </r>
  </si>
  <si>
    <t>较大工件常用</t>
  </si>
  <si>
    <r>
      <rPr>
        <sz val="12"/>
        <rFont val="Times New Roman"/>
        <family val="1"/>
      </rPr>
      <t>R8</t>
    </r>
    <r>
      <rPr>
        <sz val="12"/>
        <rFont val="宋体"/>
        <family val="3"/>
        <charset val="134"/>
      </rPr>
      <t>粗飞刀</t>
    </r>
  </si>
  <si>
    <t>一般不用作光刀</t>
  </si>
  <si>
    <r>
      <rPr>
        <sz val="12"/>
        <rFont val="Times New Roman"/>
        <family val="1"/>
      </rPr>
      <t>R8</t>
    </r>
    <r>
      <rPr>
        <sz val="12"/>
        <rFont val="宋体"/>
        <family val="3"/>
        <charset val="134"/>
      </rPr>
      <t>白钢粗刀</t>
    </r>
  </si>
  <si>
    <t>铜公开粗最适用</t>
  </si>
  <si>
    <r>
      <rPr>
        <sz val="12"/>
        <rFont val="Times New Roman"/>
        <family val="1"/>
      </rPr>
      <t>R8</t>
    </r>
    <r>
      <rPr>
        <sz val="12"/>
        <rFont val="宋体"/>
        <family val="3"/>
        <charset val="134"/>
        <scheme val="minor"/>
      </rPr>
      <t>钨钢光</t>
    </r>
    <r>
      <rPr>
        <sz val="12"/>
        <rFont val="宋体"/>
        <family val="3"/>
        <charset val="134"/>
      </rPr>
      <t>刀</t>
    </r>
  </si>
  <si>
    <t>一般不用作钢料光刀</t>
  </si>
  <si>
    <r>
      <rPr>
        <sz val="12"/>
        <rFont val="Times New Roman"/>
        <family val="1"/>
      </rPr>
      <t>R4</t>
    </r>
    <r>
      <rPr>
        <sz val="12"/>
        <rFont val="宋体"/>
        <family val="3"/>
        <charset val="134"/>
      </rPr>
      <t>普长飞刀</t>
    </r>
  </si>
  <si>
    <t>一般不作光刀</t>
  </si>
  <si>
    <r>
      <rPr>
        <sz val="12"/>
        <rFont val="Times New Roman"/>
        <family val="1"/>
      </rPr>
      <t>R0.8</t>
    </r>
    <r>
      <rPr>
        <sz val="12"/>
        <rFont val="宋体"/>
        <family val="3"/>
        <charset val="134"/>
      </rPr>
      <t>加长飞刀</t>
    </r>
  </si>
  <si>
    <t>光刀宜不准数</t>
  </si>
  <si>
    <r>
      <rPr>
        <sz val="12"/>
        <rFont val="Times New Roman"/>
        <family val="1"/>
      </rPr>
      <t>R0.8</t>
    </r>
    <r>
      <rPr>
        <sz val="12"/>
        <rFont val="宋体"/>
        <family val="3"/>
        <charset val="134"/>
      </rPr>
      <t>普长飞刀</t>
    </r>
  </si>
  <si>
    <t>常用飞刀</t>
  </si>
  <si>
    <r>
      <rPr>
        <sz val="12"/>
        <rFont val="Times New Roman"/>
        <family val="1"/>
      </rPr>
      <t>R0.4</t>
    </r>
    <r>
      <rPr>
        <sz val="12"/>
        <rFont val="宋体"/>
        <family val="3"/>
        <charset val="134"/>
      </rPr>
      <t>加长飞刀</t>
    </r>
  </si>
  <si>
    <t>不宜铜公光刀</t>
  </si>
  <si>
    <r>
      <rPr>
        <sz val="12"/>
        <rFont val="Times New Roman"/>
        <family val="1"/>
      </rPr>
      <t>R0.4</t>
    </r>
    <r>
      <rPr>
        <sz val="12"/>
        <rFont val="宋体"/>
        <family val="3"/>
        <charset val="134"/>
      </rPr>
      <t>普长飞刀</t>
    </r>
  </si>
  <si>
    <t>白钢平底普长刀</t>
  </si>
  <si>
    <r>
      <rPr>
        <sz val="10"/>
        <rFont val="宋体"/>
        <family val="3"/>
        <charset val="134"/>
      </rPr>
      <t>最常用白钢刀</t>
    </r>
    <r>
      <rPr>
        <sz val="10"/>
        <rFont val="Times New Roman"/>
        <family val="1"/>
      </rPr>
      <t>&lt;</t>
    </r>
    <r>
      <rPr>
        <sz val="10"/>
        <rFont val="宋体"/>
        <family val="3"/>
        <charset val="134"/>
      </rPr>
      <t>常用侧锋</t>
    </r>
    <r>
      <rPr>
        <sz val="10"/>
        <rFont val="Times New Roman"/>
        <family val="1"/>
      </rPr>
      <t>&gt;</t>
    </r>
  </si>
  <si>
    <t>白钢平底加长刀</t>
  </si>
  <si>
    <t>常用侧锋光刀</t>
  </si>
  <si>
    <t>钨钢平底加长刀</t>
  </si>
  <si>
    <t>钨钢平底普长刀</t>
  </si>
  <si>
    <r>
      <rPr>
        <sz val="14"/>
        <rFont val="宋体"/>
        <family val="3"/>
        <charset val="134"/>
      </rPr>
      <t>φ</t>
    </r>
    <r>
      <rPr>
        <sz val="14"/>
        <rFont val="Times New Roman"/>
        <family val="1"/>
      </rPr>
      <t>12</t>
    </r>
  </si>
  <si>
    <r>
      <rPr>
        <sz val="12"/>
        <rFont val="Times New Roman"/>
        <family val="1"/>
      </rPr>
      <t>R6</t>
    </r>
    <r>
      <rPr>
        <sz val="12"/>
        <rFont val="宋体"/>
        <family val="3"/>
        <charset val="134"/>
      </rPr>
      <t>加长飞刀</t>
    </r>
  </si>
  <si>
    <t>一般不作铜公光刀</t>
  </si>
  <si>
    <r>
      <rPr>
        <sz val="12"/>
        <rFont val="Times New Roman"/>
        <family val="1"/>
      </rPr>
      <t>R6</t>
    </r>
    <r>
      <rPr>
        <sz val="12"/>
        <rFont val="宋体"/>
        <family val="3"/>
        <charset val="134"/>
      </rPr>
      <t>白钢粗刀</t>
    </r>
  </si>
  <si>
    <r>
      <rPr>
        <sz val="12"/>
        <rFont val="Times New Roman"/>
        <family val="1"/>
      </rPr>
      <t>R6</t>
    </r>
    <r>
      <rPr>
        <sz val="12"/>
        <rFont val="宋体"/>
        <family val="3"/>
        <charset val="134"/>
      </rPr>
      <t>钨钢加长刀</t>
    </r>
  </si>
  <si>
    <r>
      <rPr>
        <sz val="12"/>
        <rFont val="Times New Roman"/>
        <family val="1"/>
      </rPr>
      <t>R6</t>
    </r>
    <r>
      <rPr>
        <sz val="12"/>
        <rFont val="宋体"/>
        <family val="3"/>
        <charset val="134"/>
      </rPr>
      <t>钨钢普长刀</t>
    </r>
  </si>
  <si>
    <t>平底白钢加长刀</t>
  </si>
  <si>
    <t>平底白钢普长刀</t>
  </si>
  <si>
    <t>最常用粗刀</t>
  </si>
  <si>
    <t>平底钨钢加长刀</t>
  </si>
  <si>
    <t>平底钨钢普长刀</t>
  </si>
  <si>
    <t>最常用光刀</t>
  </si>
  <si>
    <r>
      <rPr>
        <sz val="14"/>
        <rFont val="宋体"/>
        <family val="3"/>
        <charset val="134"/>
      </rPr>
      <t>φ</t>
    </r>
    <r>
      <rPr>
        <sz val="14"/>
        <rFont val="Times New Roman"/>
        <family val="1"/>
      </rPr>
      <t>10</t>
    </r>
  </si>
  <si>
    <r>
      <rPr>
        <sz val="12"/>
        <rFont val="Times New Roman"/>
        <family val="1"/>
      </rPr>
      <t>R5</t>
    </r>
    <r>
      <rPr>
        <sz val="12"/>
        <rFont val="宋体"/>
        <family val="3"/>
        <charset val="134"/>
      </rPr>
      <t>普长飞刀</t>
    </r>
  </si>
  <si>
    <r>
      <rPr>
        <sz val="12"/>
        <rFont val="Times New Roman"/>
        <family val="1"/>
      </rPr>
      <t>R5</t>
    </r>
    <r>
      <rPr>
        <sz val="12"/>
        <rFont val="宋体"/>
        <family val="3"/>
        <charset val="134"/>
      </rPr>
      <t>白钢粗刀</t>
    </r>
  </si>
  <si>
    <r>
      <rPr>
        <sz val="12"/>
        <rFont val="Times New Roman"/>
        <family val="1"/>
      </rPr>
      <t>R5</t>
    </r>
    <r>
      <rPr>
        <sz val="12"/>
        <rFont val="宋体"/>
        <family val="3"/>
        <charset val="134"/>
      </rPr>
      <t>钨钢普长刀</t>
    </r>
  </si>
  <si>
    <r>
      <rPr>
        <sz val="12"/>
        <rFont val="Times New Roman"/>
        <family val="1"/>
      </rPr>
      <t>R5</t>
    </r>
    <r>
      <rPr>
        <sz val="12"/>
        <rFont val="宋体"/>
        <family val="3"/>
        <charset val="134"/>
      </rPr>
      <t>钨钢加长刀</t>
    </r>
  </si>
  <si>
    <t>白钢普长平底刀</t>
  </si>
  <si>
    <t>常用刀具</t>
  </si>
  <si>
    <t>钨钢普长平底刀</t>
  </si>
  <si>
    <t>钨钢加长平底刀</t>
  </si>
  <si>
    <r>
      <rPr>
        <sz val="14"/>
        <rFont val="宋体"/>
        <family val="3"/>
        <charset val="134"/>
      </rPr>
      <t>φ</t>
    </r>
    <r>
      <rPr>
        <sz val="14"/>
        <rFont val="Times New Roman"/>
        <family val="1"/>
      </rPr>
      <t xml:space="preserve">50
</t>
    </r>
    <r>
      <rPr>
        <sz val="14"/>
        <rFont val="宋体"/>
        <family val="3"/>
        <charset val="134"/>
      </rPr>
      <t>φ</t>
    </r>
    <r>
      <rPr>
        <sz val="14"/>
        <rFont val="Times New Roman"/>
        <family val="1"/>
      </rPr>
      <t>63</t>
    </r>
  </si>
  <si>
    <t>光刀误差较大</t>
  </si>
  <si>
    <r>
      <rPr>
        <sz val="12"/>
        <rFont val="Times New Roman"/>
        <family val="1"/>
      </rPr>
      <t>R6</t>
    </r>
    <r>
      <rPr>
        <sz val="12"/>
        <rFont val="宋体"/>
        <family val="3"/>
        <charset val="134"/>
      </rPr>
      <t>普长飞刀</t>
    </r>
  </si>
  <si>
    <t>用作开粗及光平面</t>
  </si>
  <si>
    <r>
      <rPr>
        <sz val="14"/>
        <rFont val="宋体"/>
        <family val="3"/>
        <charset val="134"/>
      </rPr>
      <t>φ</t>
    </r>
    <r>
      <rPr>
        <sz val="14"/>
        <rFont val="Times New Roman"/>
        <family val="1"/>
      </rPr>
      <t>35</t>
    </r>
  </si>
  <si>
    <r>
      <rPr>
        <sz val="12"/>
        <rFont val="Times New Roman"/>
        <family val="1"/>
      </rPr>
      <t>R5</t>
    </r>
    <r>
      <rPr>
        <sz val="12"/>
        <rFont val="宋体"/>
        <family val="3"/>
        <charset val="134"/>
        <scheme val="minor"/>
      </rPr>
      <t>加长飞刀</t>
    </r>
  </si>
  <si>
    <t>一般不宜作侧边光刀</t>
  </si>
  <si>
    <r>
      <rPr>
        <sz val="14"/>
        <rFont val="宋体"/>
        <family val="3"/>
        <charset val="134"/>
      </rPr>
      <t>φ</t>
    </r>
    <r>
      <rPr>
        <sz val="14"/>
        <rFont val="Times New Roman"/>
        <family val="1"/>
      </rPr>
      <t>31R5</t>
    </r>
  </si>
  <si>
    <t>普长飞刀</t>
  </si>
  <si>
    <t>大机不适用</t>
  </si>
  <si>
    <r>
      <rPr>
        <sz val="14"/>
        <rFont val="宋体"/>
        <family val="3"/>
        <charset val="134"/>
      </rPr>
      <t>φ</t>
    </r>
    <r>
      <rPr>
        <sz val="14"/>
        <rFont val="Times New Roman"/>
        <family val="1"/>
      </rPr>
      <t>32</t>
    </r>
  </si>
  <si>
    <r>
      <rPr>
        <sz val="14"/>
        <rFont val="宋体"/>
        <family val="3"/>
        <charset val="134"/>
      </rPr>
      <t>Φ</t>
    </r>
    <r>
      <rPr>
        <sz val="14"/>
        <rFont val="Times New Roman"/>
        <family val="1"/>
      </rPr>
      <t>30R5</t>
    </r>
  </si>
  <si>
    <t>特长飞刀</t>
  </si>
  <si>
    <t>光刀不宜光准</t>
  </si>
  <si>
    <t>加长飞刀</t>
  </si>
  <si>
    <t>最常用飞刀</t>
  </si>
  <si>
    <r>
      <rPr>
        <sz val="14"/>
        <rFont val="宋体"/>
        <family val="3"/>
        <charset val="134"/>
      </rPr>
      <t>φ</t>
    </r>
    <r>
      <rPr>
        <sz val="14"/>
        <rFont val="Times New Roman"/>
        <family val="1"/>
      </rPr>
      <t>25</t>
    </r>
  </si>
  <si>
    <r>
      <rPr>
        <sz val="12"/>
        <rFont val="Times New Roman"/>
        <family val="1"/>
      </rPr>
      <t>R5</t>
    </r>
    <r>
      <rPr>
        <sz val="12"/>
        <rFont val="宋体"/>
        <family val="3"/>
        <charset val="134"/>
      </rPr>
      <t>加长飞刀</t>
    </r>
  </si>
  <si>
    <t>白钢加长平底刀</t>
  </si>
  <si>
    <t>钢料加工不常用</t>
  </si>
  <si>
    <t>白钢超长平底刀</t>
  </si>
  <si>
    <r>
      <rPr>
        <sz val="14"/>
        <rFont val="宋体"/>
        <family val="3"/>
        <charset val="134"/>
      </rPr>
      <t>φ</t>
    </r>
    <r>
      <rPr>
        <sz val="14"/>
        <rFont val="Times New Roman"/>
        <family val="1"/>
      </rPr>
      <t>20</t>
    </r>
  </si>
  <si>
    <r>
      <rPr>
        <sz val="12"/>
        <rFont val="Times New Roman"/>
        <family val="1"/>
      </rPr>
      <t>R10</t>
    </r>
    <r>
      <rPr>
        <sz val="12"/>
        <rFont val="宋体"/>
        <family val="3"/>
        <charset val="134"/>
      </rPr>
      <t>加长飞刀</t>
    </r>
  </si>
  <si>
    <t>铜公加工不常用</t>
  </si>
  <si>
    <r>
      <rPr>
        <sz val="12"/>
        <rFont val="Times New Roman"/>
        <family val="1"/>
      </rPr>
      <t>R10</t>
    </r>
    <r>
      <rPr>
        <sz val="12"/>
        <rFont val="宋体"/>
        <family val="3"/>
        <charset val="134"/>
      </rPr>
      <t>普长飞刀</t>
    </r>
  </si>
  <si>
    <r>
      <rPr>
        <sz val="12"/>
        <rFont val="Times New Roman"/>
        <family val="1"/>
      </rPr>
      <t>R10</t>
    </r>
    <r>
      <rPr>
        <sz val="12"/>
        <rFont val="宋体"/>
        <family val="3"/>
        <charset val="134"/>
      </rPr>
      <t>加长白钢刀</t>
    </r>
  </si>
  <si>
    <t>光刀不常用</t>
  </si>
  <si>
    <r>
      <rPr>
        <sz val="12"/>
        <rFont val="Times New Roman"/>
        <family val="1"/>
      </rPr>
      <t>R10</t>
    </r>
    <r>
      <rPr>
        <sz val="12"/>
        <rFont val="宋体"/>
        <family val="3"/>
        <charset val="134"/>
      </rPr>
      <t>普长白钢刀</t>
    </r>
  </si>
  <si>
    <t>平底加长白钢刀</t>
  </si>
  <si>
    <t>平底普长白钢刀</t>
  </si>
  <si>
    <t>平底钨钢刀</t>
  </si>
  <si>
    <t>平底加长钨钢刀</t>
  </si>
  <si>
    <t>钢料开粗不常用</t>
  </si>
  <si>
    <r>
      <rPr>
        <sz val="14"/>
        <rFont val="宋体"/>
        <family val="3"/>
        <charset val="134"/>
      </rPr>
      <t>φ</t>
    </r>
    <r>
      <rPr>
        <sz val="14"/>
        <rFont val="Times New Roman"/>
        <family val="1"/>
      </rPr>
      <t>8</t>
    </r>
  </si>
  <si>
    <r>
      <rPr>
        <sz val="12"/>
        <rFont val="Times New Roman"/>
        <family val="1"/>
      </rPr>
      <t>R4</t>
    </r>
    <r>
      <rPr>
        <sz val="12"/>
        <rFont val="宋体"/>
        <family val="3"/>
        <charset val="134"/>
      </rPr>
      <t>白钢粗刀</t>
    </r>
  </si>
  <si>
    <r>
      <rPr>
        <sz val="12"/>
        <rFont val="Times New Roman"/>
        <family val="1"/>
      </rPr>
      <t>R4</t>
    </r>
    <r>
      <rPr>
        <sz val="12"/>
        <rFont val="宋体"/>
        <family val="3"/>
        <charset val="134"/>
      </rPr>
      <t>钨钢加长刀</t>
    </r>
  </si>
  <si>
    <r>
      <rPr>
        <sz val="12"/>
        <rFont val="Times New Roman"/>
        <family val="1"/>
      </rPr>
      <t>R4</t>
    </r>
    <r>
      <rPr>
        <sz val="12"/>
        <rFont val="宋体"/>
        <family val="3"/>
        <charset val="134"/>
      </rPr>
      <t>钨钢普长刀</t>
    </r>
  </si>
  <si>
    <r>
      <rPr>
        <sz val="14"/>
        <rFont val="宋体"/>
        <family val="3"/>
        <charset val="134"/>
      </rPr>
      <t>φ</t>
    </r>
    <r>
      <rPr>
        <sz val="14"/>
        <rFont val="Times New Roman"/>
        <family val="1"/>
      </rPr>
      <t>6</t>
    </r>
  </si>
  <si>
    <r>
      <rPr>
        <sz val="12"/>
        <rFont val="Times New Roman"/>
        <family val="1"/>
      </rPr>
      <t>R3</t>
    </r>
    <r>
      <rPr>
        <sz val="12"/>
        <rFont val="宋体"/>
        <family val="3"/>
        <charset val="134"/>
      </rPr>
      <t>白钢刀</t>
    </r>
  </si>
  <si>
    <r>
      <rPr>
        <sz val="12"/>
        <rFont val="Times New Roman"/>
        <family val="1"/>
      </rPr>
      <t>R3</t>
    </r>
    <r>
      <rPr>
        <sz val="12"/>
        <rFont val="宋体"/>
        <family val="3"/>
        <charset val="134"/>
      </rPr>
      <t>加长钨钢刀</t>
    </r>
  </si>
  <si>
    <r>
      <rPr>
        <sz val="12"/>
        <rFont val="Times New Roman"/>
        <family val="1"/>
      </rPr>
      <t>R3</t>
    </r>
    <r>
      <rPr>
        <sz val="12"/>
        <rFont val="宋体"/>
        <family val="3"/>
        <charset val="134"/>
      </rPr>
      <t>普长钨钢刀</t>
    </r>
  </si>
  <si>
    <t>常用光刀</t>
  </si>
  <si>
    <t>平底普长钨钢刀</t>
  </si>
  <si>
    <r>
      <rPr>
        <sz val="14"/>
        <rFont val="宋体"/>
        <family val="3"/>
        <charset val="134"/>
      </rPr>
      <t>φ</t>
    </r>
    <r>
      <rPr>
        <sz val="14"/>
        <rFont val="Times New Roman"/>
        <family val="1"/>
      </rPr>
      <t>5</t>
    </r>
  </si>
  <si>
    <r>
      <rPr>
        <sz val="12"/>
        <rFont val="Times New Roman"/>
        <family val="1"/>
      </rPr>
      <t>R2.5</t>
    </r>
    <r>
      <rPr>
        <sz val="12"/>
        <rFont val="宋体"/>
        <family val="3"/>
        <charset val="134"/>
      </rPr>
      <t>白钢刀</t>
    </r>
  </si>
  <si>
    <r>
      <rPr>
        <sz val="12"/>
        <rFont val="Times New Roman"/>
        <family val="1"/>
      </rPr>
      <t>R2.5</t>
    </r>
    <r>
      <rPr>
        <sz val="12"/>
        <rFont val="宋体"/>
        <family val="3"/>
        <charset val="134"/>
      </rPr>
      <t>钨钢刀</t>
    </r>
  </si>
  <si>
    <t>平底白钢刀</t>
  </si>
  <si>
    <r>
      <rPr>
        <sz val="14"/>
        <rFont val="宋体"/>
        <family val="3"/>
        <charset val="134"/>
      </rPr>
      <t>φ</t>
    </r>
    <r>
      <rPr>
        <sz val="14"/>
        <rFont val="Times New Roman"/>
        <family val="1"/>
      </rPr>
      <t>4</t>
    </r>
  </si>
  <si>
    <r>
      <rPr>
        <sz val="12"/>
        <rFont val="Times New Roman"/>
        <family val="1"/>
      </rPr>
      <t>R2</t>
    </r>
    <r>
      <rPr>
        <sz val="12"/>
        <rFont val="宋体"/>
        <family val="3"/>
        <charset val="134"/>
      </rPr>
      <t>白钢刀</t>
    </r>
  </si>
  <si>
    <r>
      <rPr>
        <sz val="12"/>
        <rFont val="Times New Roman"/>
        <family val="1"/>
      </rPr>
      <t>R2</t>
    </r>
    <r>
      <rPr>
        <sz val="12"/>
        <rFont val="宋体"/>
        <family val="3"/>
        <charset val="134"/>
      </rPr>
      <t>普长钨钢刀</t>
    </r>
  </si>
  <si>
    <r>
      <rPr>
        <sz val="14"/>
        <rFont val="宋体"/>
        <family val="3"/>
        <charset val="134"/>
      </rPr>
      <t>φ</t>
    </r>
    <r>
      <rPr>
        <sz val="14"/>
        <rFont val="Times New Roman"/>
        <family val="1"/>
      </rPr>
      <t>3</t>
    </r>
  </si>
  <si>
    <r>
      <rPr>
        <sz val="12"/>
        <rFont val="Times New Roman"/>
        <family val="1"/>
      </rPr>
      <t>R1.5</t>
    </r>
    <r>
      <rPr>
        <sz val="12"/>
        <rFont val="宋体"/>
        <family val="3"/>
        <charset val="134"/>
      </rPr>
      <t>钨钢刀</t>
    </r>
  </si>
  <si>
    <r>
      <rPr>
        <sz val="12"/>
        <rFont val="Times New Roman"/>
        <family val="1"/>
      </rPr>
      <t>R1.5</t>
    </r>
    <r>
      <rPr>
        <sz val="12"/>
        <rFont val="宋体"/>
        <family val="3"/>
        <charset val="134"/>
      </rPr>
      <t>白钢刀</t>
    </r>
  </si>
  <si>
    <r>
      <rPr>
        <sz val="14"/>
        <rFont val="宋体"/>
        <family val="3"/>
        <charset val="134"/>
      </rPr>
      <t>φ</t>
    </r>
    <r>
      <rPr>
        <sz val="14"/>
        <rFont val="Times New Roman"/>
        <family val="1"/>
      </rPr>
      <t>2.5</t>
    </r>
  </si>
  <si>
    <r>
      <rPr>
        <sz val="12"/>
        <rFont val="Times New Roman"/>
        <family val="1"/>
      </rPr>
      <t>R1.25</t>
    </r>
    <r>
      <rPr>
        <sz val="12"/>
        <rFont val="宋体"/>
        <family val="3"/>
        <charset val="134"/>
      </rPr>
      <t>钨钢刀</t>
    </r>
  </si>
  <si>
    <t>加工钢料少用</t>
  </si>
  <si>
    <r>
      <rPr>
        <sz val="14"/>
        <rFont val="宋体"/>
        <family val="3"/>
        <charset val="134"/>
      </rPr>
      <t>φ</t>
    </r>
    <r>
      <rPr>
        <sz val="14"/>
        <rFont val="Times New Roman"/>
        <family val="1"/>
      </rPr>
      <t>2</t>
    </r>
  </si>
  <si>
    <r>
      <rPr>
        <sz val="12"/>
        <rFont val="Times New Roman"/>
        <family val="1"/>
      </rPr>
      <t>R1</t>
    </r>
    <r>
      <rPr>
        <sz val="12"/>
        <rFont val="宋体"/>
        <family val="3"/>
        <charset val="134"/>
      </rPr>
      <t>白钢刀</t>
    </r>
  </si>
  <si>
    <r>
      <rPr>
        <sz val="12"/>
        <rFont val="Times New Roman"/>
        <family val="1"/>
      </rPr>
      <t>R1</t>
    </r>
    <r>
      <rPr>
        <sz val="12"/>
        <rFont val="宋体"/>
        <family val="3"/>
        <charset val="134"/>
      </rPr>
      <t>钨钢刀</t>
    </r>
  </si>
  <si>
    <t>钨钢平底刀</t>
  </si>
  <si>
    <t>φ1.5</t>
  </si>
  <si>
    <r>
      <rPr>
        <sz val="12"/>
        <rFont val="Times New Roman"/>
        <family val="1"/>
      </rPr>
      <t>R0.75</t>
    </r>
    <r>
      <rPr>
        <sz val="12"/>
        <rFont val="宋体"/>
        <family val="3"/>
        <charset val="134"/>
      </rPr>
      <t>钨钢刀</t>
    </r>
  </si>
  <si>
    <r>
      <rPr>
        <sz val="12"/>
        <rFont val="Times New Roman"/>
        <family val="1"/>
      </rPr>
      <t>R0.75</t>
    </r>
    <r>
      <rPr>
        <sz val="12"/>
        <rFont val="宋体"/>
        <family val="3"/>
        <charset val="134"/>
      </rPr>
      <t>白钢刀</t>
    </r>
  </si>
  <si>
    <r>
      <rPr>
        <sz val="14"/>
        <rFont val="宋体"/>
        <family val="3"/>
        <charset val="134"/>
      </rPr>
      <t>φ</t>
    </r>
    <r>
      <rPr>
        <sz val="14"/>
        <rFont val="Times New Roman"/>
        <family val="1"/>
      </rPr>
      <t>1</t>
    </r>
  </si>
  <si>
    <t>R0.5白钢刀</t>
  </si>
  <si>
    <t>R0.5钨钢刀</t>
  </si>
  <si>
    <r>
      <rPr>
        <sz val="14"/>
        <rFont val="宋体"/>
        <family val="3"/>
        <charset val="134"/>
      </rPr>
      <t>φ</t>
    </r>
    <r>
      <rPr>
        <sz val="14"/>
        <rFont val="Times New Roman"/>
        <family val="1"/>
      </rPr>
      <t>12R1</t>
    </r>
  </si>
  <si>
    <r>
      <rPr>
        <sz val="12"/>
        <rFont val="宋体"/>
        <family val="3"/>
        <charset val="134"/>
      </rPr>
      <t>钨钢</t>
    </r>
    <r>
      <rPr>
        <sz val="12"/>
        <rFont val="Times New Roman"/>
        <family val="1"/>
      </rPr>
      <t>R</t>
    </r>
    <r>
      <rPr>
        <sz val="12"/>
        <rFont val="宋体"/>
        <family val="3"/>
        <charset val="134"/>
      </rPr>
      <t>角刀</t>
    </r>
  </si>
  <si>
    <r>
      <rPr>
        <sz val="14"/>
        <rFont val="宋体"/>
        <family val="3"/>
        <charset val="134"/>
      </rPr>
      <t>φ</t>
    </r>
    <r>
      <rPr>
        <sz val="14"/>
        <rFont val="Times New Roman"/>
        <family val="1"/>
      </rPr>
      <t>10R1</t>
    </r>
  </si>
  <si>
    <r>
      <rPr>
        <sz val="14"/>
        <rFont val="宋体"/>
        <family val="3"/>
        <charset val="134"/>
      </rPr>
      <t>φ</t>
    </r>
    <r>
      <rPr>
        <sz val="14"/>
        <rFont val="Times New Roman"/>
        <family val="1"/>
      </rPr>
      <t>8R0.5</t>
    </r>
  </si>
  <si>
    <r>
      <rPr>
        <sz val="14"/>
        <rFont val="宋体"/>
        <family val="3"/>
        <charset val="134"/>
      </rPr>
      <t>φ</t>
    </r>
    <r>
      <rPr>
        <sz val="14"/>
        <rFont val="Times New Roman"/>
        <family val="1"/>
      </rPr>
      <t>8R1</t>
    </r>
  </si>
  <si>
    <r>
      <rPr>
        <sz val="14"/>
        <rFont val="宋体"/>
        <family val="3"/>
        <charset val="134"/>
      </rPr>
      <t>φ</t>
    </r>
    <r>
      <rPr>
        <sz val="14"/>
        <rFont val="Times New Roman"/>
        <family val="1"/>
      </rPr>
      <t>6R0.5</t>
    </r>
  </si>
  <si>
    <r>
      <rPr>
        <sz val="13"/>
        <rFont val="宋体"/>
        <family val="3"/>
        <charset val="134"/>
      </rPr>
      <t>注意：</t>
    </r>
    <r>
      <rPr>
        <sz val="13"/>
        <rFont val="Times New Roman"/>
        <family val="1"/>
      </rPr>
      <t>1</t>
    </r>
    <r>
      <rPr>
        <sz val="13"/>
        <rFont val="宋体"/>
        <family val="3"/>
        <charset val="134"/>
      </rPr>
      <t>、加长钨钢刀锣钢料光刀时，不宜用刀侧锋。</t>
    </r>
  </si>
  <si>
    <r>
      <rPr>
        <sz val="13"/>
        <rFont val="Times New Roman"/>
        <family val="1"/>
      </rPr>
      <t xml:space="preserve">           2</t>
    </r>
    <r>
      <rPr>
        <sz val="13"/>
        <rFont val="宋体"/>
        <family val="3"/>
        <charset val="134"/>
      </rPr>
      <t>、一般不宜用飞刀光铜公。</t>
    </r>
  </si>
  <si>
    <r>
      <rPr>
        <sz val="13"/>
        <rFont val="Times New Roman"/>
        <family val="1"/>
      </rPr>
      <t xml:space="preserve">           3</t>
    </r>
    <r>
      <rPr>
        <sz val="13"/>
        <rFont val="宋体"/>
        <family val="3"/>
        <charset val="134"/>
      </rPr>
      <t>、刀直径φ</t>
    </r>
    <r>
      <rPr>
        <sz val="13"/>
        <rFont val="Times New Roman"/>
        <family val="1"/>
      </rPr>
      <t>8</t>
    </r>
    <r>
      <rPr>
        <sz val="13"/>
        <rFont val="宋体"/>
        <family val="3"/>
        <charset val="134"/>
      </rPr>
      <t>以下（不含φ</t>
    </r>
    <r>
      <rPr>
        <sz val="13"/>
        <rFont val="Times New Roman"/>
        <family val="1"/>
      </rPr>
      <t>8</t>
    </r>
    <r>
      <rPr>
        <sz val="13"/>
        <rFont val="宋体"/>
        <family val="3"/>
        <charset val="134"/>
      </rPr>
      <t>）刀具不宜用侧锋光刀。</t>
    </r>
  </si>
  <si>
    <r>
      <rPr>
        <sz val="13"/>
        <rFont val="Times New Roman"/>
        <family val="1"/>
      </rPr>
      <t xml:space="preserve">           4</t>
    </r>
    <r>
      <rPr>
        <sz val="13"/>
        <rFont val="宋体"/>
        <family val="3"/>
        <charset val="134"/>
      </rPr>
      <t>、大面积的飞刀光刀必须测量刀直径方可加工。</t>
    </r>
  </si>
  <si>
    <r>
      <rPr>
        <sz val="13"/>
        <rFont val="Times New Roman"/>
        <family val="1"/>
      </rPr>
      <t xml:space="preserve">           5</t>
    </r>
    <r>
      <rPr>
        <sz val="13"/>
        <rFont val="宋体"/>
        <family val="3"/>
        <charset val="134"/>
      </rPr>
      <t>、以上参数非固定不变值，可以有±</t>
    </r>
    <r>
      <rPr>
        <sz val="13"/>
        <rFont val="Times New Roman"/>
        <family val="1"/>
      </rPr>
      <t>300</t>
    </r>
    <r>
      <rPr>
        <sz val="13"/>
        <rFont val="宋体"/>
        <family val="3"/>
        <charset val="134"/>
      </rPr>
      <t>以内的浮动区间可根据装刀的长短、余量的</t>
    </r>
  </si>
  <si>
    <r>
      <rPr>
        <sz val="13"/>
        <rFont val="Times New Roman"/>
        <family val="1"/>
      </rPr>
      <t xml:space="preserve">                </t>
    </r>
    <r>
      <rPr>
        <sz val="13"/>
        <rFont val="宋体"/>
        <family val="3"/>
        <charset val="134"/>
      </rPr>
      <t>多少和材料的特性差异作适当调整，特殊情况差异更大，以师傅实际调试</t>
    </r>
    <r>
      <rPr>
        <sz val="13"/>
        <rFont val="Times New Roman"/>
        <family val="1"/>
      </rPr>
      <t>OK</t>
    </r>
    <r>
      <rPr>
        <sz val="13"/>
        <rFont val="宋体"/>
        <family val="3"/>
        <charset val="134"/>
      </rPr>
      <t>为准。</t>
    </r>
  </si>
  <si>
    <r>
      <rPr>
        <sz val="13"/>
        <rFont val="Times New Roman"/>
        <family val="1"/>
      </rPr>
      <t xml:space="preserve">           6</t>
    </r>
    <r>
      <rPr>
        <sz val="13"/>
        <rFont val="宋体"/>
        <family val="3"/>
        <charset val="134"/>
      </rPr>
      <t>、以上为使用刀尖部分加工参数，若使用刀底加工时，进给率在</t>
    </r>
    <r>
      <rPr>
        <sz val="13"/>
        <rFont val="Times New Roman"/>
        <family val="1"/>
      </rPr>
      <t>300~450</t>
    </r>
    <r>
      <rPr>
        <sz val="13"/>
        <rFont val="宋体"/>
        <family val="3"/>
        <charset val="134"/>
      </rPr>
      <t>之间，转速是上</t>
    </r>
  </si>
  <si>
    <r>
      <rPr>
        <sz val="13"/>
        <rFont val="Times New Roman"/>
        <family val="1"/>
      </rPr>
      <t xml:space="preserve">                </t>
    </r>
    <r>
      <rPr>
        <sz val="13"/>
        <rFont val="宋体"/>
        <family val="3"/>
        <charset val="134"/>
      </rPr>
      <t>述正常值，或经上述参数高</t>
    </r>
    <r>
      <rPr>
        <sz val="13"/>
        <rFont val="Times New Roman"/>
        <family val="1"/>
      </rPr>
      <t>10%</t>
    </r>
    <r>
      <rPr>
        <sz val="13"/>
        <rFont val="宋体"/>
        <family val="3"/>
        <charset val="134"/>
      </rPr>
      <t>左右，若使用刀锋光刀时，进给率在</t>
    </r>
    <r>
      <rPr>
        <sz val="13"/>
        <rFont val="Times New Roman"/>
        <family val="1"/>
      </rPr>
      <t>300~450</t>
    </r>
    <r>
      <rPr>
        <sz val="13"/>
        <rFont val="宋体"/>
        <family val="3"/>
        <charset val="134"/>
      </rPr>
      <t>之间，转</t>
    </r>
  </si>
  <si>
    <r>
      <rPr>
        <sz val="13"/>
        <rFont val="Times New Roman"/>
        <family val="1"/>
      </rPr>
      <t xml:space="preserve">                </t>
    </r>
    <r>
      <rPr>
        <sz val="13"/>
        <rFont val="宋体"/>
        <family val="3"/>
        <charset val="134"/>
      </rPr>
      <t>速是上述参数值的</t>
    </r>
    <r>
      <rPr>
        <sz val="13"/>
        <rFont val="Times New Roman"/>
        <family val="1"/>
      </rPr>
      <t>80%</t>
    </r>
    <r>
      <rPr>
        <sz val="13"/>
        <rFont val="宋体"/>
        <family val="3"/>
        <charset val="134"/>
      </rPr>
      <t>左右。</t>
    </r>
  </si>
  <si>
    <r>
      <rPr>
        <sz val="13"/>
        <rFont val="Times New Roman"/>
        <family val="1"/>
      </rPr>
      <t xml:space="preserve">          7</t>
    </r>
    <r>
      <rPr>
        <sz val="13"/>
        <rFont val="宋体"/>
        <family val="3"/>
        <charset val="134"/>
      </rPr>
      <t>、</t>
    </r>
    <r>
      <rPr>
        <sz val="13"/>
        <rFont val="Times New Roman"/>
        <family val="1"/>
      </rPr>
      <t>stp</t>
    </r>
    <r>
      <rPr>
        <sz val="13"/>
        <rFont val="宋体"/>
        <family val="3"/>
        <charset val="134"/>
      </rPr>
      <t>在使用非球头刀具时指代为切削深度，而在使用球头刀具时指代水平步距。</t>
    </r>
  </si>
  <si>
    <r>
      <rPr>
        <sz val="13"/>
        <rFont val="Times New Roman"/>
        <family val="1"/>
      </rPr>
      <t xml:space="preserve">          8</t>
    </r>
    <r>
      <rPr>
        <sz val="13"/>
        <rFont val="宋体"/>
        <family val="3"/>
        <charset val="134"/>
      </rPr>
      <t>、大机转速最高</t>
    </r>
    <r>
      <rPr>
        <sz val="13"/>
        <rFont val="Times New Roman"/>
        <family val="1"/>
      </rPr>
      <t>4000</t>
    </r>
    <r>
      <rPr>
        <sz val="13"/>
        <rFont val="宋体"/>
        <family val="3"/>
        <charset val="134"/>
      </rPr>
      <t>，故有转速大于或等于</t>
    </r>
    <r>
      <rPr>
        <sz val="13"/>
        <rFont val="Times New Roman"/>
        <family val="1"/>
      </rPr>
      <t>4000</t>
    </r>
    <r>
      <rPr>
        <sz val="13"/>
        <rFont val="宋体"/>
        <family val="3"/>
        <charset val="134"/>
      </rPr>
      <t>之参数转速可尽可能接近或等于</t>
    </r>
    <r>
      <rPr>
        <sz val="13"/>
        <rFont val="Times New Roman"/>
        <family val="1"/>
      </rPr>
      <t>4000</t>
    </r>
    <r>
      <rPr>
        <sz val="13"/>
        <rFont val="宋体"/>
        <family val="3"/>
        <charset val="134"/>
      </rPr>
      <t>进</t>
    </r>
  </si>
  <si>
    <r>
      <rPr>
        <sz val="13"/>
        <rFont val="Times New Roman"/>
        <family val="1"/>
      </rPr>
      <t xml:space="preserve">               </t>
    </r>
    <r>
      <rPr>
        <sz val="13"/>
        <rFont val="宋体"/>
        <family val="3"/>
        <charset val="134"/>
      </rPr>
      <t>给率以参数值乘以0.8计算。</t>
    </r>
  </si>
  <si>
    <t>钢料加工参数参考表（公众号：曼仑）</t>
  </si>
  <si>
    <r>
      <rPr>
        <sz val="12"/>
        <rFont val="宋体"/>
        <family val="3"/>
        <charset val="134"/>
      </rPr>
      <t xml:space="preserve">  </t>
    </r>
    <r>
      <rPr>
        <sz val="14"/>
        <rFont val="宋体"/>
        <family val="3"/>
        <charset val="134"/>
      </rPr>
      <t>八千转以下加工中心切削参数</t>
    </r>
  </si>
  <si>
    <t>最低转速为5000的雕铣机</t>
  </si>
  <si>
    <t>刀具名称</t>
  </si>
  <si>
    <t>转速</t>
  </si>
  <si>
    <t>进给</t>
  </si>
  <si>
    <t>每刀切削深度</t>
  </si>
  <si>
    <t>步距</t>
  </si>
  <si>
    <t>D50R5</t>
  </si>
  <si>
    <t>0.8-0.6</t>
  </si>
  <si>
    <t>75%(刀具直径）</t>
  </si>
  <si>
    <t>D16</t>
  </si>
  <si>
    <t>75%刀具直径</t>
  </si>
  <si>
    <t>D35R5</t>
  </si>
  <si>
    <t>0.5-0.8</t>
  </si>
  <si>
    <t>D12</t>
  </si>
  <si>
    <t>D30R5</t>
  </si>
  <si>
    <t>0.5-0.6</t>
  </si>
  <si>
    <t>D10</t>
  </si>
  <si>
    <t>0.03-0.05</t>
  </si>
  <si>
    <t>D25R5</t>
  </si>
  <si>
    <t>D8</t>
  </si>
  <si>
    <t>D20R5</t>
  </si>
  <si>
    <t>D6</t>
  </si>
  <si>
    <t>D20R4</t>
  </si>
  <si>
    <t>D5</t>
  </si>
  <si>
    <t>D20R0.8</t>
  </si>
  <si>
    <t>D4</t>
  </si>
  <si>
    <t>D16R4</t>
  </si>
  <si>
    <t>D3</t>
  </si>
  <si>
    <t>D16R0.8</t>
  </si>
  <si>
    <t>D2</t>
  </si>
  <si>
    <t>50%刀具直径</t>
  </si>
  <si>
    <t>D12R0.4</t>
  </si>
  <si>
    <t>D1.5</t>
  </si>
  <si>
    <t>以上刀具都是装刀片的刀粒刀（R4，R5刀片比较适合开粗。                                R0.4和R0.8刀片比较适合中铣，也可以用来光平面）</t>
  </si>
  <si>
    <t>D1</t>
  </si>
  <si>
    <t>D0.8</t>
  </si>
  <si>
    <t>D20</t>
  </si>
  <si>
    <t>D0.6</t>
  </si>
  <si>
    <t>D0.5</t>
  </si>
  <si>
    <t>0.25-0.28</t>
  </si>
  <si>
    <t>0.22-0.25</t>
  </si>
  <si>
    <t>3800-4000</t>
  </si>
  <si>
    <t>0.2-0.22</t>
  </si>
  <si>
    <t>4200-4500</t>
  </si>
  <si>
    <t>0.15-0.18</t>
  </si>
  <si>
    <t>D12R0.5</t>
  </si>
  <si>
    <t>75%(刀具直径去圆角后的75%）</t>
  </si>
  <si>
    <t>4300-4600</t>
  </si>
  <si>
    <t>0.12-0.15</t>
  </si>
  <si>
    <t>D10R0.5</t>
  </si>
  <si>
    <t>4500-4800</t>
  </si>
  <si>
    <t>1300-1500</t>
  </si>
  <si>
    <t>0.11-0.12</t>
  </si>
  <si>
    <t>D8R0.5</t>
  </si>
  <si>
    <t>4600-5000</t>
  </si>
  <si>
    <t>800-1000</t>
  </si>
  <si>
    <t>50%(刀具直径）</t>
  </si>
  <si>
    <t>D6R0.5</t>
  </si>
  <si>
    <t>5000-5200</t>
  </si>
  <si>
    <t>400-600</t>
  </si>
  <si>
    <t>0.02-0.03</t>
  </si>
  <si>
    <t>D4R0.5</t>
  </si>
  <si>
    <t>200-300</t>
  </si>
  <si>
    <t>0.01-0.02</t>
  </si>
  <si>
    <t>D4R0.4</t>
  </si>
  <si>
    <t>5500-5800</t>
  </si>
  <si>
    <t>150-200</t>
  </si>
  <si>
    <t>在加工钢料时，小口径铣刀比较少用到，如果有必要，可以拆电极。</t>
  </si>
  <si>
    <t>这些铣刀在实际加工中很少用于加工钢料</t>
  </si>
  <si>
    <t>D3R0.5</t>
  </si>
  <si>
    <t>以上都是平刀，在实际加工中开粗时步距一般为50%-70%，平面光面时步距一般为30%刀具直径</t>
  </si>
  <si>
    <t>R6</t>
  </si>
  <si>
    <t>R5</t>
  </si>
  <si>
    <t>0.13-0.16</t>
  </si>
  <si>
    <t>R4</t>
  </si>
  <si>
    <t>R3</t>
  </si>
  <si>
    <t>R2</t>
  </si>
  <si>
    <t>0.1-0.12</t>
  </si>
  <si>
    <t>R1.5</t>
  </si>
  <si>
    <t>0.06-0.08</t>
  </si>
  <si>
    <t>4000-4200</t>
  </si>
  <si>
    <t>R1</t>
  </si>
  <si>
    <t>R0.75</t>
  </si>
  <si>
    <t>0.1-0.13</t>
  </si>
  <si>
    <t>R0.5</t>
  </si>
  <si>
    <t>1000-1300</t>
  </si>
  <si>
    <t>R0.3</t>
  </si>
  <si>
    <t>650-800</t>
  </si>
  <si>
    <t>0.05-0.08</t>
  </si>
  <si>
    <t>要尽量避免中间下刀和吃全刀的状况，在编程时选择跟随工件即可</t>
  </si>
  <si>
    <t>以上都是圆鼻刀，仅以R0.5为例，市场中也有其他型号圆鼻刀，可以此参数                    作为参考，一般圆角越大强度越好，圆角越小，强度越差，可适当调节进给量</t>
  </si>
  <si>
    <t>R8</t>
  </si>
  <si>
    <t>1500-1800</t>
  </si>
  <si>
    <t>0.18-0.2(步进）</t>
  </si>
  <si>
    <t>1500-1600</t>
  </si>
  <si>
    <t>3600-3800</t>
  </si>
  <si>
    <t>3800-4200</t>
  </si>
  <si>
    <t>4000-4500</t>
  </si>
  <si>
    <t>4200-4600</t>
  </si>
  <si>
    <t>700-900</t>
  </si>
  <si>
    <t>400-500</t>
  </si>
  <si>
    <t>6000-6500</t>
  </si>
  <si>
    <t>100-200</t>
  </si>
  <si>
    <t>6500-7000</t>
  </si>
  <si>
    <t>100-150</t>
  </si>
  <si>
    <t>CNC 钢料 切削参数表（高速机）（公众号：曼仑）</t>
  </si>
  <si>
    <t xml:space="preserve">            代码诠释：</t>
  </si>
  <si>
    <r>
      <rPr>
        <b/>
        <sz val="12"/>
        <rFont val="宋体"/>
        <family val="3"/>
        <charset val="134"/>
      </rPr>
      <t>D</t>
    </r>
    <r>
      <rPr>
        <sz val="9"/>
        <rFont val="宋体"/>
        <family val="3"/>
        <charset val="134"/>
      </rPr>
      <t xml:space="preserve">=刀具直径                       </t>
    </r>
    <r>
      <rPr>
        <b/>
        <sz val="12"/>
        <rFont val="宋体"/>
        <family val="3"/>
        <charset val="134"/>
      </rPr>
      <t>R</t>
    </r>
    <r>
      <rPr>
        <sz val="9"/>
        <rFont val="宋体"/>
        <family val="3"/>
        <charset val="134"/>
      </rPr>
      <t>=刀角半径</t>
    </r>
  </si>
  <si>
    <r>
      <rPr>
        <b/>
        <sz val="12"/>
        <rFont val="宋体"/>
        <family val="3"/>
        <charset val="134"/>
      </rPr>
      <t>F</t>
    </r>
    <r>
      <rPr>
        <sz val="9"/>
        <rFont val="宋体"/>
        <family val="3"/>
        <charset val="134"/>
      </rPr>
      <t xml:space="preserve">=进给速率                       </t>
    </r>
    <r>
      <rPr>
        <b/>
        <sz val="12"/>
        <rFont val="宋体"/>
        <family val="3"/>
        <charset val="134"/>
      </rPr>
      <t>S</t>
    </r>
    <r>
      <rPr>
        <sz val="9"/>
        <rFont val="宋体"/>
        <family val="3"/>
        <charset val="134"/>
      </rPr>
      <t>=主轴转数</t>
    </r>
  </si>
  <si>
    <r>
      <rPr>
        <b/>
        <sz val="12"/>
        <rFont val="宋体"/>
        <family val="3"/>
        <charset val="134"/>
      </rPr>
      <t>Vc</t>
    </r>
    <r>
      <rPr>
        <sz val="9"/>
        <rFont val="宋体"/>
        <family val="3"/>
        <charset val="134"/>
      </rPr>
      <t xml:space="preserve">=线性切削速度 (m/min)        </t>
    </r>
    <r>
      <rPr>
        <b/>
        <sz val="12"/>
        <rFont val="宋体"/>
        <family val="3"/>
        <charset val="134"/>
      </rPr>
      <t>Fz</t>
    </r>
    <r>
      <rPr>
        <sz val="9"/>
        <rFont val="宋体"/>
        <family val="3"/>
        <charset val="134"/>
      </rPr>
      <t>=每齿切削量(mm/tooth)</t>
    </r>
  </si>
  <si>
    <r>
      <rPr>
        <b/>
        <sz val="12"/>
        <rFont val="宋体"/>
        <family val="3"/>
        <charset val="134"/>
      </rPr>
      <t>Ae</t>
    </r>
    <r>
      <rPr>
        <sz val="9"/>
        <rFont val="宋体"/>
        <family val="3"/>
        <charset val="134"/>
      </rPr>
      <t xml:space="preserve">=径向进给量   (mm)           </t>
    </r>
    <r>
      <rPr>
        <b/>
        <sz val="12"/>
        <rFont val="宋体"/>
        <family val="3"/>
        <charset val="134"/>
      </rPr>
      <t>Ap</t>
    </r>
    <r>
      <rPr>
        <sz val="9"/>
        <rFont val="宋体"/>
        <family val="3"/>
        <charset val="134"/>
      </rPr>
      <t>=轴向进给量(mm)</t>
    </r>
  </si>
  <si>
    <t xml:space="preserve">            加工参数的注意事项：</t>
  </si>
  <si>
    <t>1 当刀具长度在直径的5倍以内下列参数适用.切记!刀具长度不可大过直径的9倍</t>
  </si>
  <si>
    <t>2 当刀具长度在直径的5倍以上时需将F/S值下调10%；Ae/Ap减小30%</t>
  </si>
  <si>
    <t>3 工件在精加工之前需保证余量均匀；不可让刀具产生过大的切削负荷</t>
  </si>
  <si>
    <t>n=主轴转数（公式套用）</t>
  </si>
  <si>
    <t>4 工件锐角处需做过渡圆角；钢料为R2、铜料为R1 石墨为R0.6</t>
  </si>
  <si>
    <t>半精加工</t>
  </si>
  <si>
    <t>仿形精加工</t>
  </si>
  <si>
    <t>底面/侧面精加工</t>
  </si>
  <si>
    <t>PL面仿形精加工</t>
  </si>
  <si>
    <r>
      <rPr>
        <b/>
        <sz val="12"/>
        <rFont val="宋体"/>
        <family val="3"/>
        <charset val="134"/>
      </rPr>
      <t>Vc</t>
    </r>
    <r>
      <rPr>
        <sz val="12"/>
        <rFont val="宋体"/>
        <family val="3"/>
        <charset val="134"/>
        <scheme val="minor"/>
      </rPr>
      <t xml:space="preserve">=150-300     </t>
    </r>
    <r>
      <rPr>
        <b/>
        <sz val="12"/>
        <rFont val="宋体"/>
        <family val="3"/>
        <charset val="134"/>
      </rPr>
      <t>Fz</t>
    </r>
    <r>
      <rPr>
        <sz val="12"/>
        <rFont val="宋体"/>
        <family val="3"/>
        <charset val="134"/>
        <scheme val="minor"/>
      </rPr>
      <t xml:space="preserve">=0.15  </t>
    </r>
  </si>
  <si>
    <r>
      <rPr>
        <b/>
        <sz val="12"/>
        <rFont val="宋体"/>
        <family val="3"/>
        <charset val="134"/>
      </rPr>
      <t>Vc</t>
    </r>
    <r>
      <rPr>
        <sz val="12"/>
        <rFont val="宋体"/>
        <family val="3"/>
        <charset val="134"/>
        <scheme val="minor"/>
      </rPr>
      <t xml:space="preserve">=160-280    </t>
    </r>
    <r>
      <rPr>
        <b/>
        <sz val="12"/>
        <rFont val="宋体"/>
        <family val="3"/>
        <charset val="134"/>
      </rPr>
      <t>Fz</t>
    </r>
    <r>
      <rPr>
        <sz val="12"/>
        <rFont val="宋体"/>
        <family val="3"/>
        <charset val="134"/>
        <scheme val="minor"/>
      </rPr>
      <t xml:space="preserve">=0.13 </t>
    </r>
  </si>
  <si>
    <r>
      <rPr>
        <b/>
        <sz val="12"/>
        <rFont val="宋体"/>
        <family val="3"/>
        <charset val="134"/>
      </rPr>
      <t>Vc</t>
    </r>
    <r>
      <rPr>
        <sz val="12"/>
        <rFont val="宋体"/>
        <family val="3"/>
        <charset val="134"/>
        <scheme val="minor"/>
      </rPr>
      <t xml:space="preserve">=50-350    </t>
    </r>
    <r>
      <rPr>
        <b/>
        <sz val="12"/>
        <rFont val="宋体"/>
        <family val="3"/>
        <charset val="134"/>
      </rPr>
      <t xml:space="preserve"> Fz</t>
    </r>
    <r>
      <rPr>
        <sz val="12"/>
        <rFont val="宋体"/>
        <family val="3"/>
        <charset val="134"/>
        <scheme val="minor"/>
      </rPr>
      <t>=0.09</t>
    </r>
  </si>
  <si>
    <r>
      <rPr>
        <b/>
        <sz val="12"/>
        <rFont val="宋体"/>
        <family val="3"/>
        <charset val="134"/>
      </rPr>
      <t>Vc</t>
    </r>
    <r>
      <rPr>
        <sz val="12"/>
        <rFont val="宋体"/>
        <family val="3"/>
        <charset val="134"/>
        <scheme val="minor"/>
      </rPr>
      <t xml:space="preserve">=260     </t>
    </r>
    <r>
      <rPr>
        <b/>
        <sz val="12"/>
        <rFont val="宋体"/>
        <family val="3"/>
        <charset val="134"/>
      </rPr>
      <t>Fz</t>
    </r>
    <r>
      <rPr>
        <sz val="12"/>
        <rFont val="宋体"/>
        <family val="3"/>
        <charset val="134"/>
        <scheme val="minor"/>
      </rPr>
      <t>=0.03</t>
    </r>
  </si>
  <si>
    <r>
      <rPr>
        <b/>
        <sz val="12"/>
        <rFont val="宋体"/>
        <family val="3"/>
        <charset val="134"/>
      </rPr>
      <t>Vc</t>
    </r>
    <r>
      <rPr>
        <sz val="12"/>
        <rFont val="宋体"/>
        <family val="3"/>
        <charset val="134"/>
        <scheme val="minor"/>
      </rPr>
      <t xml:space="preserve">=200-260     </t>
    </r>
    <r>
      <rPr>
        <b/>
        <sz val="12"/>
        <rFont val="宋体"/>
        <family val="3"/>
        <charset val="134"/>
      </rPr>
      <t>Fz</t>
    </r>
    <r>
      <rPr>
        <sz val="12"/>
        <rFont val="宋体"/>
        <family val="3"/>
        <charset val="134"/>
        <scheme val="minor"/>
      </rPr>
      <t>=0.13</t>
    </r>
  </si>
  <si>
    <t>ae</t>
  </si>
  <si>
    <t>ap</t>
  </si>
  <si>
    <t xml:space="preserve"> D12</t>
  </si>
  <si>
    <t xml:space="preserve"> D8</t>
  </si>
  <si>
    <t xml:space="preserve"> D6</t>
  </si>
  <si>
    <t xml:space="preserve"> D4</t>
  </si>
  <si>
    <t xml:space="preserve"> D3</t>
  </si>
  <si>
    <t xml:space="preserve"> D2</t>
  </si>
  <si>
    <t xml:space="preserve"> D12R0.5</t>
  </si>
  <si>
    <t xml:space="preserve"> D8R0.5</t>
  </si>
  <si>
    <t xml:space="preserve"> D6R0.5</t>
  </si>
  <si>
    <t xml:space="preserve"> D4R0.5</t>
  </si>
  <si>
    <t xml:space="preserve"> R6</t>
  </si>
  <si>
    <t xml:space="preserve"> R4</t>
  </si>
  <si>
    <t xml:space="preserve"> R3</t>
  </si>
  <si>
    <t xml:space="preserve"> R2</t>
  </si>
  <si>
    <t xml:space="preserve"> R1.5</t>
  </si>
  <si>
    <t xml:space="preserve"> 26ER0.8</t>
  </si>
  <si>
    <t xml:space="preserve"> 21ER2</t>
  </si>
  <si>
    <t xml:space="preserve"> 21ER0.8</t>
  </si>
  <si>
    <t xml:space="preserve"> 17ER0.8</t>
  </si>
  <si>
    <t xml:space="preserve"> 16BR8</t>
  </si>
  <si>
    <t xml:space="preserve"> 12BR6</t>
  </si>
  <si>
    <t>制表：刘亚超      2009-06-15</t>
  </si>
  <si>
    <t>审核：</t>
  </si>
  <si>
    <t>CNC 钢料 切削参数表（低速机）</t>
  </si>
  <si>
    <r>
      <rPr>
        <b/>
        <sz val="12"/>
        <rFont val="宋体"/>
        <family val="3"/>
        <charset val="134"/>
      </rPr>
      <t>Vc</t>
    </r>
    <r>
      <rPr>
        <sz val="12"/>
        <rFont val="宋体"/>
        <family val="3"/>
        <charset val="134"/>
        <scheme val="minor"/>
      </rPr>
      <t xml:space="preserve">=130-160     </t>
    </r>
    <r>
      <rPr>
        <b/>
        <sz val="12"/>
        <rFont val="宋体"/>
        <family val="3"/>
        <charset val="134"/>
      </rPr>
      <t>Fz</t>
    </r>
    <r>
      <rPr>
        <sz val="12"/>
        <rFont val="宋体"/>
        <family val="3"/>
        <charset val="134"/>
        <scheme val="minor"/>
      </rPr>
      <t xml:space="preserve">=0.22  </t>
    </r>
  </si>
  <si>
    <r>
      <rPr>
        <b/>
        <sz val="12"/>
        <rFont val="宋体"/>
        <family val="3"/>
        <charset val="134"/>
      </rPr>
      <t>Vc</t>
    </r>
    <r>
      <rPr>
        <sz val="12"/>
        <rFont val="宋体"/>
        <family val="3"/>
        <charset val="134"/>
        <scheme val="minor"/>
      </rPr>
      <t xml:space="preserve">=110-200    </t>
    </r>
    <r>
      <rPr>
        <b/>
        <sz val="12"/>
        <rFont val="宋体"/>
        <family val="3"/>
        <charset val="134"/>
      </rPr>
      <t>Fz</t>
    </r>
    <r>
      <rPr>
        <sz val="12"/>
        <rFont val="宋体"/>
        <family val="3"/>
        <charset val="134"/>
        <scheme val="minor"/>
      </rPr>
      <t xml:space="preserve">=0.15 </t>
    </r>
  </si>
  <si>
    <r>
      <rPr>
        <b/>
        <sz val="12"/>
        <rFont val="宋体"/>
        <family val="3"/>
        <charset val="134"/>
      </rPr>
      <t>Vc</t>
    </r>
    <r>
      <rPr>
        <sz val="12"/>
        <rFont val="宋体"/>
        <family val="3"/>
        <charset val="134"/>
        <scheme val="minor"/>
      </rPr>
      <t xml:space="preserve">=80-200    </t>
    </r>
    <r>
      <rPr>
        <b/>
        <sz val="12"/>
        <rFont val="宋体"/>
        <family val="3"/>
        <charset val="134"/>
      </rPr>
      <t xml:space="preserve"> Fz</t>
    </r>
    <r>
      <rPr>
        <sz val="12"/>
        <rFont val="宋体"/>
        <family val="3"/>
        <charset val="134"/>
        <scheme val="minor"/>
      </rPr>
      <t>=0.1</t>
    </r>
  </si>
  <si>
    <r>
      <rPr>
        <b/>
        <sz val="12"/>
        <rFont val="宋体"/>
        <family val="3"/>
        <charset val="134"/>
      </rPr>
      <t>Vc</t>
    </r>
    <r>
      <rPr>
        <sz val="12"/>
        <rFont val="宋体"/>
        <family val="3"/>
        <charset val="134"/>
        <scheme val="minor"/>
      </rPr>
      <t xml:space="preserve">=150-200    </t>
    </r>
    <r>
      <rPr>
        <b/>
        <sz val="12"/>
        <rFont val="宋体"/>
        <family val="3"/>
        <charset val="134"/>
      </rPr>
      <t>Fz</t>
    </r>
    <r>
      <rPr>
        <sz val="12"/>
        <rFont val="宋体"/>
        <family val="3"/>
        <charset val="134"/>
        <scheme val="minor"/>
      </rPr>
      <t>=0.035</t>
    </r>
  </si>
  <si>
    <r>
      <rPr>
        <b/>
        <sz val="12"/>
        <rFont val="宋体"/>
        <family val="3"/>
        <charset val="134"/>
      </rPr>
      <t>Vc</t>
    </r>
    <r>
      <rPr>
        <sz val="12"/>
        <rFont val="宋体"/>
        <family val="3"/>
        <charset val="134"/>
        <scheme val="minor"/>
      </rPr>
      <t xml:space="preserve">=160-200     </t>
    </r>
    <r>
      <rPr>
        <b/>
        <sz val="12"/>
        <rFont val="宋体"/>
        <family val="3"/>
        <charset val="134"/>
      </rPr>
      <t>Fz</t>
    </r>
    <r>
      <rPr>
        <sz val="12"/>
        <rFont val="宋体"/>
        <family val="3"/>
        <charset val="134"/>
        <scheme val="minor"/>
      </rPr>
      <t>=0.13</t>
    </r>
  </si>
  <si>
    <t xml:space="preserve"> R1</t>
  </si>
  <si>
    <t xml:space="preserve"> 30ER5</t>
  </si>
  <si>
    <t>CNC 铜料电极 切削参数表</t>
  </si>
  <si>
    <t>细小工件/骨位精加工</t>
  </si>
  <si>
    <r>
      <rPr>
        <b/>
        <sz val="12"/>
        <rFont val="宋体"/>
        <family val="3"/>
        <charset val="134"/>
      </rPr>
      <t>Vc</t>
    </r>
    <r>
      <rPr>
        <sz val="12"/>
        <rFont val="宋体"/>
        <family val="3"/>
        <charset val="134"/>
        <scheme val="minor"/>
      </rPr>
      <t xml:space="preserve">=110-300     </t>
    </r>
    <r>
      <rPr>
        <b/>
        <sz val="12"/>
        <rFont val="宋体"/>
        <family val="3"/>
        <charset val="134"/>
      </rPr>
      <t>Fz</t>
    </r>
    <r>
      <rPr>
        <sz val="12"/>
        <rFont val="宋体"/>
        <family val="3"/>
        <charset val="134"/>
        <scheme val="minor"/>
      </rPr>
      <t xml:space="preserve">=0.2  </t>
    </r>
  </si>
  <si>
    <r>
      <rPr>
        <b/>
        <sz val="12"/>
        <rFont val="宋体"/>
        <family val="3"/>
        <charset val="134"/>
      </rPr>
      <t>Vc</t>
    </r>
    <r>
      <rPr>
        <sz val="12"/>
        <rFont val="宋体"/>
        <family val="3"/>
        <charset val="134"/>
        <scheme val="minor"/>
      </rPr>
      <t xml:space="preserve">=110-300    </t>
    </r>
    <r>
      <rPr>
        <b/>
        <sz val="12"/>
        <rFont val="宋体"/>
        <family val="3"/>
        <charset val="134"/>
      </rPr>
      <t>Fz</t>
    </r>
    <r>
      <rPr>
        <sz val="12"/>
        <rFont val="宋体"/>
        <family val="3"/>
        <charset val="134"/>
        <scheme val="minor"/>
      </rPr>
      <t xml:space="preserve">=0.15 </t>
    </r>
  </si>
  <si>
    <r>
      <rPr>
        <b/>
        <sz val="12"/>
        <rFont val="宋体"/>
        <family val="3"/>
        <charset val="134"/>
      </rPr>
      <t>Vc</t>
    </r>
    <r>
      <rPr>
        <sz val="12"/>
        <rFont val="宋体"/>
        <family val="3"/>
        <charset val="134"/>
        <scheme val="minor"/>
      </rPr>
      <t xml:space="preserve">=150-320    </t>
    </r>
    <r>
      <rPr>
        <b/>
        <sz val="12"/>
        <rFont val="宋体"/>
        <family val="3"/>
        <charset val="134"/>
      </rPr>
      <t xml:space="preserve"> Fz</t>
    </r>
    <r>
      <rPr>
        <sz val="12"/>
        <rFont val="宋体"/>
        <family val="3"/>
        <charset val="134"/>
        <scheme val="minor"/>
      </rPr>
      <t>=0.1</t>
    </r>
  </si>
  <si>
    <r>
      <rPr>
        <b/>
        <sz val="12"/>
        <rFont val="宋体"/>
        <family val="3"/>
        <charset val="134"/>
      </rPr>
      <t>Vc</t>
    </r>
    <r>
      <rPr>
        <sz val="12"/>
        <rFont val="宋体"/>
        <family val="3"/>
        <charset val="134"/>
        <scheme val="minor"/>
      </rPr>
      <t xml:space="preserve">=150-200    </t>
    </r>
    <r>
      <rPr>
        <b/>
        <sz val="12"/>
        <rFont val="宋体"/>
        <family val="3"/>
        <charset val="134"/>
      </rPr>
      <t>Fz</t>
    </r>
    <r>
      <rPr>
        <sz val="12"/>
        <rFont val="宋体"/>
        <family val="3"/>
        <charset val="134"/>
        <scheme val="minor"/>
      </rPr>
      <t>=0.05</t>
    </r>
  </si>
  <si>
    <r>
      <rPr>
        <b/>
        <sz val="12"/>
        <rFont val="宋体"/>
        <family val="3"/>
        <charset val="134"/>
      </rPr>
      <t>Vc</t>
    </r>
    <r>
      <rPr>
        <sz val="12"/>
        <rFont val="宋体"/>
        <family val="3"/>
        <charset val="134"/>
        <scheme val="minor"/>
      </rPr>
      <t xml:space="preserve">=160-200     </t>
    </r>
    <r>
      <rPr>
        <b/>
        <sz val="12"/>
        <rFont val="宋体"/>
        <family val="3"/>
        <charset val="134"/>
      </rPr>
      <t>Fz</t>
    </r>
    <r>
      <rPr>
        <sz val="12"/>
        <rFont val="宋体"/>
        <family val="3"/>
        <charset val="134"/>
        <scheme val="minor"/>
      </rPr>
      <t>=0.1</t>
    </r>
  </si>
  <si>
    <t xml:space="preserve"> D1.5</t>
  </si>
  <si>
    <t xml:space="preserve"> D1</t>
  </si>
  <si>
    <t xml:space="preserve"> D3R0.5</t>
  </si>
  <si>
    <t xml:space="preserve"> R0.5</t>
  </si>
  <si>
    <t>CNC 石墨电极 切削参数表</t>
  </si>
  <si>
    <r>
      <rPr>
        <b/>
        <sz val="12"/>
        <rFont val="宋体"/>
        <family val="3"/>
        <charset val="134"/>
      </rPr>
      <t>Vc</t>
    </r>
    <r>
      <rPr>
        <sz val="12"/>
        <rFont val="宋体"/>
        <family val="3"/>
        <charset val="134"/>
        <scheme val="minor"/>
      </rPr>
      <t xml:space="preserve">=110-300     </t>
    </r>
    <r>
      <rPr>
        <b/>
        <sz val="12"/>
        <rFont val="宋体"/>
        <family val="3"/>
        <charset val="134"/>
      </rPr>
      <t>Fz</t>
    </r>
    <r>
      <rPr>
        <sz val="12"/>
        <rFont val="宋体"/>
        <family val="3"/>
        <charset val="134"/>
        <scheme val="minor"/>
      </rPr>
      <t xml:space="preserve">=0.25  </t>
    </r>
  </si>
  <si>
    <r>
      <rPr>
        <b/>
        <sz val="12"/>
        <rFont val="宋体"/>
        <family val="3"/>
        <charset val="134"/>
      </rPr>
      <t>Vc</t>
    </r>
    <r>
      <rPr>
        <sz val="12"/>
        <rFont val="宋体"/>
        <family val="3"/>
        <charset val="134"/>
        <scheme val="minor"/>
      </rPr>
      <t xml:space="preserve">=110-300    </t>
    </r>
    <r>
      <rPr>
        <b/>
        <sz val="12"/>
        <rFont val="宋体"/>
        <family val="3"/>
        <charset val="134"/>
      </rPr>
      <t>Fz</t>
    </r>
    <r>
      <rPr>
        <sz val="12"/>
        <rFont val="宋体"/>
        <family val="3"/>
        <charset val="134"/>
        <scheme val="minor"/>
      </rPr>
      <t xml:space="preserve">=0.2 </t>
    </r>
  </si>
  <si>
    <r>
      <rPr>
        <b/>
        <sz val="12"/>
        <rFont val="宋体"/>
        <family val="3"/>
        <charset val="134"/>
      </rPr>
      <t>Vc</t>
    </r>
    <r>
      <rPr>
        <sz val="12"/>
        <rFont val="宋体"/>
        <family val="3"/>
        <charset val="134"/>
        <scheme val="minor"/>
      </rPr>
      <t xml:space="preserve">=150-300    </t>
    </r>
    <r>
      <rPr>
        <b/>
        <sz val="12"/>
        <rFont val="宋体"/>
        <family val="3"/>
        <charset val="134"/>
      </rPr>
      <t xml:space="preserve"> Fz</t>
    </r>
    <r>
      <rPr>
        <sz val="12"/>
        <rFont val="宋体"/>
        <family val="3"/>
        <charset val="134"/>
        <scheme val="minor"/>
      </rPr>
      <t>=0.15</t>
    </r>
  </si>
  <si>
    <r>
      <rPr>
        <b/>
        <sz val="12"/>
        <rFont val="宋体"/>
        <family val="3"/>
        <charset val="134"/>
      </rPr>
      <t>Vc</t>
    </r>
    <r>
      <rPr>
        <sz val="12"/>
        <rFont val="宋体"/>
        <family val="3"/>
        <charset val="134"/>
        <scheme val="minor"/>
      </rPr>
      <t xml:space="preserve">=150-200    </t>
    </r>
    <r>
      <rPr>
        <b/>
        <sz val="12"/>
        <rFont val="宋体"/>
        <family val="3"/>
        <charset val="134"/>
      </rPr>
      <t>Fz</t>
    </r>
    <r>
      <rPr>
        <sz val="12"/>
        <rFont val="宋体"/>
        <family val="3"/>
        <charset val="134"/>
        <scheme val="minor"/>
      </rPr>
      <t>=0.15</t>
    </r>
  </si>
  <si>
    <t>设计尺寸链</t>
  </si>
  <si>
    <r>
      <rPr>
        <b/>
        <sz val="10"/>
        <color indexed="10"/>
        <rFont val="仿宋_GB2312"/>
        <charset val="134"/>
      </rPr>
      <t>极值法</t>
    </r>
    <r>
      <rPr>
        <b/>
        <sz val="10"/>
        <color indexed="62"/>
        <rFont val="仿宋_GB2312"/>
        <charset val="134"/>
      </rPr>
      <t xml:space="preserve">  </t>
    </r>
    <r>
      <rPr>
        <b/>
        <sz val="10"/>
        <color indexed="12"/>
        <rFont val="仿宋_GB2312"/>
        <charset val="134"/>
      </rPr>
      <t>工艺尺寸链</t>
    </r>
  </si>
  <si>
    <r>
      <rPr>
        <b/>
        <sz val="10"/>
        <color indexed="10"/>
        <rFont val="仿宋_GB2312"/>
        <charset val="134"/>
      </rPr>
      <t>概率法</t>
    </r>
    <r>
      <rPr>
        <b/>
        <sz val="10"/>
        <rFont val="仿宋_GB2312"/>
        <charset val="134"/>
      </rPr>
      <t xml:space="preserve">  </t>
    </r>
    <r>
      <rPr>
        <b/>
        <sz val="10"/>
        <color indexed="12"/>
        <rFont val="仿宋_GB2312"/>
        <charset val="134"/>
      </rPr>
      <t>工艺尺寸链</t>
    </r>
  </si>
  <si>
    <t>转换为非双向偏差</t>
  </si>
  <si>
    <t>组成环尺寸</t>
  </si>
  <si>
    <t>试算 组成环尺寸</t>
  </si>
  <si>
    <t>调整后组成环尺寸</t>
  </si>
  <si>
    <t>基本尺寸</t>
  </si>
  <si>
    <t>极限  偏差</t>
  </si>
  <si>
    <t>极限尺寸</t>
  </si>
  <si>
    <t>组成环属性</t>
  </si>
  <si>
    <t>选择加工 封闭环</t>
  </si>
  <si>
    <t>设定  偏差</t>
  </si>
  <si>
    <t>原尺寸 双向偏差</t>
  </si>
  <si>
    <t>组成环   属性</t>
  </si>
  <si>
    <t>极限偏差</t>
  </si>
  <si>
    <t>增环</t>
  </si>
  <si>
    <t>封闭环</t>
  </si>
  <si>
    <t>减环</t>
  </si>
  <si>
    <t>封闭环尺寸</t>
  </si>
  <si>
    <t>试算 封闭环尺寸</t>
  </si>
  <si>
    <t>调整后封闭环尺寸</t>
  </si>
  <si>
    <t>红色框区与设计尺寸比较→</t>
  </si>
  <si>
    <t xml:space="preserve">    1、本计算表主要用于产品线性工艺尺寸链计算，角度及空间尺寸链不在本表计算范围内。</t>
  </si>
  <si>
    <t xml:space="preserve">    2、本计算表包括极值和概率两种方法，其中概率法假设各尺寸链公差处于正态分布状态，其他非正态分布的情况因比较复杂此表不考虑。</t>
  </si>
  <si>
    <r>
      <rPr>
        <sz val="10"/>
        <color indexed="13"/>
        <rFont val="宋体"/>
        <family val="3"/>
        <charset val="134"/>
      </rPr>
      <t xml:space="preserve">    3、</t>
    </r>
    <r>
      <rPr>
        <sz val="10"/>
        <color indexed="47"/>
        <rFont val="宋体"/>
        <family val="3"/>
        <charset val="134"/>
      </rPr>
      <t>■</t>
    </r>
    <r>
      <rPr>
        <sz val="10"/>
        <color indexed="13"/>
        <rFont val="宋体"/>
        <family val="3"/>
        <charset val="134"/>
      </rPr>
      <t>区域为人工输入区或采用下拉菜单输入区，其他颜色区域不需填写，由计算表自动计算。</t>
    </r>
  </si>
  <si>
    <t xml:space="preserve">    4、本计算表欢迎各位同行试用和建议。</t>
  </si>
  <si>
    <t xml:space="preserve">    5、作者：张滨    QQ：361270178 </t>
  </si>
  <si>
    <t>工艺尺寸链.pdf</t>
  </si>
  <si>
    <t>装配尺寸链.ppt</t>
  </si>
  <si>
    <t>GBT5487-86 尺寸链计算方法.pdf</t>
  </si>
  <si>
    <t>设计尺寸链  公差计算表</t>
  </si>
  <si>
    <r>
      <rPr>
        <b/>
        <sz val="10"/>
        <color indexed="10"/>
        <rFont val="宋体"/>
        <family val="3"/>
        <charset val="134"/>
      </rPr>
      <t>极值法</t>
    </r>
    <r>
      <rPr>
        <sz val="12"/>
        <rFont val="宋体"/>
        <family val="3"/>
        <charset val="134"/>
        <scheme val="minor"/>
      </rPr>
      <t xml:space="preserve">  工艺尺寸链  公差计算表</t>
    </r>
  </si>
  <si>
    <t>组成环</t>
  </si>
  <si>
    <t>环属性</t>
  </si>
  <si>
    <t>上偏差</t>
  </si>
  <si>
    <t>下偏差</t>
  </si>
  <si>
    <t>增减环上下偏差累计和</t>
  </si>
  <si>
    <t>极值法求封闭环尺寸</t>
  </si>
  <si>
    <t>概率法求封闭环尺寸</t>
  </si>
  <si>
    <t>最大值</t>
  </si>
  <si>
    <t>最小值</t>
  </si>
  <si>
    <t>平均值</t>
  </si>
  <si>
    <t>公差平方</t>
  </si>
  <si>
    <t>板材16：9</t>
  </si>
  <si>
    <t>板材4：3</t>
  </si>
  <si>
    <t>英寸</t>
  </si>
  <si>
    <t>长</t>
  </si>
  <si>
    <t>宽</t>
  </si>
  <si>
    <t>平截正圆锥体几何计算表</t>
  </si>
  <si>
    <t>公式一</t>
  </si>
  <si>
    <t>大圆半径R</t>
  </si>
  <si>
    <t>小圆半径r</t>
  </si>
  <si>
    <t>高度H</t>
  </si>
  <si>
    <t>斜边长L</t>
  </si>
  <si>
    <t>重心高ZS</t>
  </si>
  <si>
    <t>侧面积A</t>
  </si>
  <si>
    <t>全面积AN</t>
  </si>
  <si>
    <t>体积V</t>
  </si>
  <si>
    <t>A</t>
  </si>
  <si>
    <t>B</t>
  </si>
  <si>
    <t>e</t>
  </si>
  <si>
    <t>α</t>
  </si>
  <si>
    <r>
      <rPr>
        <sz val="12"/>
        <rFont val="楷体_GB2312"/>
        <charset val="134"/>
      </rPr>
      <t>M</t>
    </r>
    <r>
      <rPr>
        <vertAlign val="superscript"/>
        <sz val="12"/>
        <rFont val="楷体_GB2312"/>
        <charset val="134"/>
      </rPr>
      <t>2</t>
    </r>
  </si>
  <si>
    <r>
      <rPr>
        <sz val="12"/>
        <rFont val="楷体_GB2312"/>
        <charset val="134"/>
      </rPr>
      <t>M</t>
    </r>
    <r>
      <rPr>
        <vertAlign val="superscript"/>
        <sz val="12"/>
        <rFont val="楷体_GB2312"/>
        <charset val="134"/>
      </rPr>
      <t>3</t>
    </r>
  </si>
  <si>
    <t>公式二</t>
  </si>
  <si>
    <t>使用条件:若α≤180,则使用公式一</t>
  </si>
  <si>
    <r>
      <rPr>
        <sz val="12"/>
        <rFont val="楷体_GB2312"/>
        <charset val="134"/>
      </rPr>
      <t>使用条件:若α</t>
    </r>
    <r>
      <rPr>
        <sz val="12"/>
        <rFont val="宋体"/>
        <family val="3"/>
        <charset val="134"/>
        <scheme val="minor"/>
      </rPr>
      <t>&gt;</t>
    </r>
    <r>
      <rPr>
        <sz val="12"/>
        <rFont val="楷体_GB2312"/>
        <charset val="134"/>
      </rPr>
      <t>180,则使用公式二</t>
    </r>
  </si>
  <si>
    <t>正圆锥体几何计算表</t>
  </si>
  <si>
    <t>圆半径R</t>
  </si>
  <si>
    <t>伺服电机选型需要的条件</t>
  </si>
  <si>
    <t>交流伺服电机选型条件计算方法</t>
  </si>
  <si>
    <t>一、转速和编码器分辨率的确认。转速高运动速度快, 编码器分辨率越高精度越高.　　</t>
  </si>
  <si>
    <t>二、电机轴上负载力矩的折算和加减速力矩的计算。 　　</t>
  </si>
  <si>
    <t>三、计算负载惯量，要和负载惯量的匹配，如日本安川伺服电机，部分产品惯量匹配可达50倍，但实际越小越好，这样对精度和响应速度好。 　　</t>
  </si>
  <si>
    <t>四、再生电阻的计算和选择，对于伺服，一般2kw以上，要外配置。 　　</t>
  </si>
  <si>
    <t>五、机芯架电缆选择，编码器电缆双绞屏蔽的，对于安川伺服等日系产品绝对值编码器是6芯，增量式是4芯</t>
  </si>
  <si>
    <r>
      <rPr>
        <sz val="10.5"/>
        <color indexed="18"/>
        <rFont val="宋体"/>
        <family val="3"/>
        <charset val="134"/>
      </rPr>
      <t>平衡方程式中：功率的单位（</t>
    </r>
    <r>
      <rPr>
        <sz val="10.5"/>
        <color indexed="18"/>
        <rFont val="Times New Roman"/>
        <family val="1"/>
      </rPr>
      <t>kW</t>
    </r>
    <r>
      <rPr>
        <sz val="10.5"/>
        <color indexed="18"/>
        <rFont val="宋体"/>
        <family val="3"/>
        <charset val="134"/>
      </rPr>
      <t>）；转速的单位（</t>
    </r>
    <r>
      <rPr>
        <sz val="10.5"/>
        <color indexed="18"/>
        <rFont val="Times New Roman"/>
        <family val="1"/>
      </rPr>
      <t>r/min)</t>
    </r>
    <r>
      <rPr>
        <sz val="10.5"/>
        <color indexed="18"/>
        <rFont val="宋体"/>
        <family val="3"/>
        <charset val="134"/>
      </rPr>
      <t>；转矩的单位（</t>
    </r>
    <r>
      <rPr>
        <sz val="10.5"/>
        <color indexed="18"/>
        <rFont val="Times New Roman"/>
        <family val="1"/>
      </rPr>
      <t>N.m</t>
    </r>
    <r>
      <rPr>
        <sz val="10.5"/>
        <color indexed="18"/>
        <rFont val="宋体"/>
        <family val="3"/>
        <charset val="134"/>
      </rPr>
      <t>）；</t>
    </r>
    <r>
      <rPr>
        <sz val="10.5"/>
        <color indexed="18"/>
        <rFont val="Times New Roman"/>
        <family val="1"/>
      </rPr>
      <t>9550</t>
    </r>
    <r>
      <rPr>
        <sz val="10.5"/>
        <color indexed="18"/>
        <rFont val="宋体"/>
        <family val="3"/>
        <charset val="134"/>
      </rPr>
      <t>是计算系数。</t>
    </r>
  </si>
  <si>
    <r>
      <rPr>
        <sz val="12"/>
        <rFont val="宋体"/>
        <family val="3"/>
        <charset val="134"/>
      </rPr>
      <t>功率</t>
    </r>
    <r>
      <rPr>
        <sz val="10.5"/>
        <color indexed="18"/>
        <rFont val="Times New Roman"/>
        <family val="1"/>
      </rPr>
      <t>=</t>
    </r>
    <r>
      <rPr>
        <sz val="10.5"/>
        <color indexed="18"/>
        <rFont val="宋体"/>
        <family val="3"/>
        <charset val="134"/>
      </rPr>
      <t>转速</t>
    </r>
    <r>
      <rPr>
        <sz val="10.5"/>
        <color indexed="18"/>
        <rFont val="Times New Roman"/>
        <family val="1"/>
      </rPr>
      <t>*</t>
    </r>
    <r>
      <rPr>
        <sz val="10.5"/>
        <color indexed="18"/>
        <rFont val="宋体"/>
        <family val="3"/>
        <charset val="134"/>
      </rPr>
      <t>转矩</t>
    </r>
    <r>
      <rPr>
        <sz val="10.5"/>
        <color indexed="18"/>
        <rFont val="Times New Roman"/>
        <family val="1"/>
      </rPr>
      <t>/9550</t>
    </r>
  </si>
  <si>
    <t>转速/min</t>
  </si>
  <si>
    <t>转矩N.m</t>
  </si>
  <si>
    <t>功率KW</t>
  </si>
  <si>
    <t>计算公式</t>
  </si>
  <si>
    <r>
      <rPr>
        <sz val="10.5"/>
        <color indexed="18"/>
        <rFont val="宋体"/>
        <family val="3"/>
        <charset val="134"/>
      </rPr>
      <t>转矩</t>
    </r>
    <r>
      <rPr>
        <sz val="10.5"/>
        <color indexed="18"/>
        <rFont val="Times New Roman"/>
        <family val="1"/>
      </rPr>
      <t>=9550*</t>
    </r>
    <r>
      <rPr>
        <sz val="10.5"/>
        <color indexed="18"/>
        <rFont val="宋体"/>
        <family val="3"/>
        <charset val="134"/>
      </rPr>
      <t>功率</t>
    </r>
    <r>
      <rPr>
        <sz val="10.5"/>
        <color indexed="18"/>
        <rFont val="Times New Roman"/>
        <family val="1"/>
      </rPr>
      <t>/</t>
    </r>
    <r>
      <rPr>
        <sz val="10.5"/>
        <color indexed="18"/>
        <rFont val="宋体"/>
        <family val="3"/>
        <charset val="134"/>
      </rPr>
      <t>转速</t>
    </r>
  </si>
  <si>
    <t>什么是转矩</t>
  </si>
  <si>
    <t>使机械元件转动的力矩称为转动力矩，简称转矩</t>
  </si>
  <si>
    <t>什么是扭矩</t>
  </si>
  <si>
    <t>扭矩是使物体发生转动的力。发动机的扭矩就是指发动机从曲轴端输出的力,矩扭矩在物理学中就是力矩的大小，等于力和力臂的乘积，国际单位是牛米Nm，</t>
  </si>
  <si>
    <t>kgf是力的单位，可以叫做“公斤力”或“千克力</t>
  </si>
  <si>
    <t>（1）气缸缸径。根据气缸负载力的大小来确定气缸的输出力，由此计算出气缸的缸径。</t>
  </si>
  <si>
    <t>（2）气缸的行程。气缸的行程与使用的场合和机构的行程有关，但一般不选用满行程。</t>
  </si>
  <si>
    <t>（3）气缸的强度和稳定性计算</t>
  </si>
  <si>
    <t>（4）气缸的安装形式。气缸的安装形式根据安装位置和使用目的等因素决定。一般情况下，采用固定式气缸。</t>
  </si>
  <si>
    <t>在需要随工作机构连续回转时（如车床、磨床等），应选用回转气缸。在活塞杆除直线运动外，还需作圆弧摆动时，则选用轴销式气缸。有特殊要求时，应选用相应的特种气缸。</t>
  </si>
  <si>
    <t>（5）气缸的缓冲装置。根据活塞的速度决定是否应采用缓冲装置。</t>
  </si>
  <si>
    <t>（6）磁性开关。当气动系统采用电气控制方式时，可选用带磁性开关的气缸。</t>
  </si>
  <si>
    <t>（7）其它要求。如气缸工作在有灰尘等恶劣环境下，需在活塞杆伸出端安装防尘罩。要求无污染时需选用无给油或无油润滑气缸。</t>
  </si>
  <si>
    <r>
      <rPr>
        <b/>
        <i/>
        <sz val="10.5"/>
        <rFont val="宋体"/>
        <family val="3"/>
        <charset val="134"/>
      </rPr>
      <t>气缸力的计算</t>
    </r>
    <r>
      <rPr>
        <sz val="10.5"/>
        <rFont val="Times New Roman"/>
        <family val="1"/>
      </rPr>
      <t xml:space="preserve"> </t>
    </r>
  </si>
  <si>
    <t>F=P(气压)*S(面积)  KG/cm2</t>
  </si>
  <si>
    <t>以普通治具缸推出力计算为例:</t>
  </si>
  <si>
    <t>设缸径63mm,气压4kgf/cm2</t>
  </si>
  <si>
    <t>F=P*S</t>
  </si>
  <si>
    <t>气缸力=气压*面积()</t>
  </si>
  <si>
    <t>缸径mm</t>
  </si>
  <si>
    <t>缸径cm</t>
  </si>
  <si>
    <t>面积计算Kgf/c㎡</t>
  </si>
  <si>
    <t>气缸力kgf</t>
  </si>
  <si>
    <t>气缸工作压力（一般为0.4 MPa～0.6 MPa）</t>
  </si>
  <si>
    <t>工件重量KG</t>
  </si>
  <si>
    <t>工件与导轨间的摩擦系数m</t>
  </si>
  <si>
    <t>气缸行程每S走MM</t>
  </si>
  <si>
    <t>经S时间工件运动到位</t>
  </si>
  <si>
    <t>系统工作压力Mpa</t>
  </si>
  <si>
    <t>选定气缸直径</t>
  </si>
  <si>
    <t>气缸实际轴向负载N</t>
  </si>
  <si>
    <r>
      <rPr>
        <sz val="10.5"/>
        <color indexed="14"/>
        <rFont val="宋体"/>
        <family val="3"/>
        <charset val="134"/>
      </rPr>
      <t>一、控制精度不同</t>
    </r>
    <r>
      <rPr>
        <sz val="10.5"/>
        <color indexed="14"/>
        <rFont val="Arial"/>
        <family val="2"/>
      </rPr>
      <t xml:space="preserve"> </t>
    </r>
  </si>
  <si>
    <r>
      <rPr>
        <sz val="10.5"/>
        <rFont val="宋体"/>
        <family val="3"/>
        <charset val="134"/>
      </rPr>
      <t>两相混合式</t>
    </r>
    <r>
      <rPr>
        <sz val="10.5"/>
        <color indexed="10"/>
        <rFont val="宋体"/>
        <family val="3"/>
        <charset val="134"/>
      </rPr>
      <t>步进电机</t>
    </r>
    <r>
      <rPr>
        <sz val="10.5"/>
        <rFont val="宋体"/>
        <family val="3"/>
        <charset val="134"/>
      </rPr>
      <t>步距角一般为</t>
    </r>
    <r>
      <rPr>
        <sz val="10.5"/>
        <rFont val="Arial"/>
        <family val="2"/>
      </rPr>
      <t>3.6°</t>
    </r>
    <r>
      <rPr>
        <sz val="10.5"/>
        <rFont val="宋体"/>
        <family val="3"/>
        <charset val="134"/>
      </rPr>
      <t>、</t>
    </r>
    <r>
      <rPr>
        <sz val="10.5"/>
        <rFont val="Arial"/>
        <family val="2"/>
      </rPr>
      <t xml:space="preserve"> 1.8°</t>
    </r>
    <r>
      <rPr>
        <sz val="10.5"/>
        <rFont val="宋体"/>
        <family val="3"/>
        <charset val="134"/>
      </rPr>
      <t>，五相混合式步进电机步距角一般为</t>
    </r>
    <r>
      <rPr>
        <sz val="10.5"/>
        <rFont val="Arial"/>
        <family val="2"/>
      </rPr>
      <t>0.72 °</t>
    </r>
  </si>
  <si>
    <r>
      <rPr>
        <sz val="10.5"/>
        <rFont val="宋体"/>
        <family val="3"/>
        <charset val="134"/>
      </rPr>
      <t>三相混合式步进电机其步距角可通过拨码开关设置为</t>
    </r>
    <r>
      <rPr>
        <sz val="10.5"/>
        <rFont val="Arial"/>
        <family val="2"/>
      </rPr>
      <t>1.8°</t>
    </r>
    <r>
      <rPr>
        <sz val="10.5"/>
        <rFont val="宋体"/>
        <family val="3"/>
        <charset val="134"/>
      </rPr>
      <t>、</t>
    </r>
    <r>
      <rPr>
        <sz val="10.5"/>
        <rFont val="Arial"/>
        <family val="2"/>
      </rPr>
      <t>0.9°</t>
    </r>
    <r>
      <rPr>
        <sz val="10.5"/>
        <rFont val="宋体"/>
        <family val="3"/>
        <charset val="134"/>
      </rPr>
      <t>、</t>
    </r>
    <r>
      <rPr>
        <sz val="10.5"/>
        <rFont val="Arial"/>
        <family val="2"/>
      </rPr>
      <t>0.72°</t>
    </r>
    <r>
      <rPr>
        <sz val="10.5"/>
        <rFont val="宋体"/>
        <family val="3"/>
        <charset val="134"/>
      </rPr>
      <t>、</t>
    </r>
    <r>
      <rPr>
        <sz val="10.5"/>
        <rFont val="Arial"/>
        <family val="2"/>
      </rPr>
      <t>0.36°</t>
    </r>
    <r>
      <rPr>
        <sz val="10.5"/>
        <rFont val="宋体"/>
        <family val="3"/>
        <charset val="134"/>
      </rPr>
      <t>、</t>
    </r>
    <r>
      <rPr>
        <sz val="10.5"/>
        <rFont val="Arial"/>
        <family val="2"/>
      </rPr>
      <t>0.18°</t>
    </r>
    <r>
      <rPr>
        <sz val="10.5"/>
        <rFont val="宋体"/>
        <family val="3"/>
        <charset val="134"/>
      </rPr>
      <t>、</t>
    </r>
    <r>
      <rPr>
        <sz val="10.5"/>
        <rFont val="Arial"/>
        <family val="2"/>
      </rPr>
      <t>0.09°</t>
    </r>
    <r>
      <rPr>
        <sz val="10.5"/>
        <rFont val="宋体"/>
        <family val="3"/>
        <charset val="134"/>
      </rPr>
      <t>、</t>
    </r>
    <r>
      <rPr>
        <sz val="10.5"/>
        <rFont val="Arial"/>
        <family val="2"/>
      </rPr>
      <t>0.072°</t>
    </r>
  </si>
  <si>
    <r>
      <rPr>
        <sz val="10.5"/>
        <color indexed="10"/>
        <rFont val="宋体"/>
        <family val="3"/>
        <charset val="134"/>
      </rPr>
      <t>交流伺服电机</t>
    </r>
    <r>
      <rPr>
        <sz val="10.5"/>
        <rFont val="宋体"/>
        <family val="3"/>
        <charset val="134"/>
      </rPr>
      <t>的控制精度由电机轴后端的旋转编码器保证。</t>
    </r>
  </si>
  <si>
    <r>
      <rPr>
        <sz val="10.5"/>
        <rFont val="宋体"/>
        <family val="3"/>
        <charset val="134"/>
      </rPr>
      <t>脉冲电机转一圈，即其脉冲当量为</t>
    </r>
    <r>
      <rPr>
        <sz val="10.5"/>
        <rFont val="Arial"/>
        <family val="2"/>
      </rPr>
      <t>360°/131072=9.89</t>
    </r>
    <r>
      <rPr>
        <sz val="10.5"/>
        <rFont val="宋体"/>
        <family val="3"/>
        <charset val="134"/>
      </rPr>
      <t>秒。是步距角为</t>
    </r>
    <r>
      <rPr>
        <sz val="10.5"/>
        <rFont val="Arial"/>
        <family val="2"/>
      </rPr>
      <t>1.8°</t>
    </r>
    <r>
      <rPr>
        <sz val="10.5"/>
        <rFont val="宋体"/>
        <family val="3"/>
        <charset val="134"/>
      </rPr>
      <t>的步进电机的脉冲当量的</t>
    </r>
    <r>
      <rPr>
        <sz val="10.5"/>
        <rFont val="Arial"/>
        <family val="2"/>
      </rPr>
      <t>1/655</t>
    </r>
    <r>
      <rPr>
        <sz val="10.5"/>
        <rFont val="宋体"/>
        <family val="3"/>
        <charset val="134"/>
      </rPr>
      <t>。</t>
    </r>
    <r>
      <rPr>
        <sz val="10.5"/>
        <rFont val="Arial"/>
        <family val="2"/>
      </rPr>
      <t xml:space="preserve"> </t>
    </r>
  </si>
  <si>
    <t>二、低频特性不同</t>
  </si>
  <si>
    <r>
      <rPr>
        <sz val="10.5"/>
        <color indexed="10"/>
        <rFont val="宋体"/>
        <family val="3"/>
        <charset val="134"/>
      </rPr>
      <t>步进电机</t>
    </r>
    <r>
      <rPr>
        <sz val="10.5"/>
        <rFont val="宋体"/>
        <family val="3"/>
        <charset val="134"/>
      </rPr>
      <t>在低速时易出现低频振动现象。振动频率与负载情况和驱动器性能有关，一般认为振动频率为电机空载起跳频率的一半</t>
    </r>
  </si>
  <si>
    <t>这种由步进电机的工作原理所决定的低频振动现象对于机器的正常运转非常不利。当步进电机工作在低速时</t>
  </si>
  <si>
    <r>
      <rPr>
        <sz val="10.5"/>
        <rFont val="宋体"/>
        <family val="3"/>
        <charset val="134"/>
      </rPr>
      <t>一般应采用阻尼技术来克服低频振动现象，比如在电机上加阻尼器，或驱动器上采用细分技术等。</t>
    </r>
    <r>
      <rPr>
        <sz val="10.5"/>
        <rFont val="Arial"/>
        <family val="2"/>
      </rPr>
      <t xml:space="preserve"> </t>
    </r>
  </si>
  <si>
    <r>
      <rPr>
        <sz val="10.5"/>
        <color indexed="10"/>
        <rFont val="宋体"/>
        <family val="3"/>
        <charset val="134"/>
      </rPr>
      <t>交流伺服电机</t>
    </r>
    <r>
      <rPr>
        <sz val="10.5"/>
        <rFont val="宋体"/>
        <family val="3"/>
        <charset val="134"/>
      </rPr>
      <t>运转非常平稳，即使在低速时也不会出现振动现象。交流伺服系统具有共振抑制功能，可涵盖机械的刚性不足，</t>
    </r>
  </si>
  <si>
    <r>
      <rPr>
        <sz val="10.5"/>
        <rFont val="宋体"/>
        <family val="3"/>
        <charset val="134"/>
      </rPr>
      <t>并且系统内部具有频率解析机能（</t>
    </r>
    <r>
      <rPr>
        <sz val="10.5"/>
        <rFont val="Arial"/>
        <family val="2"/>
      </rPr>
      <t>FFT</t>
    </r>
    <r>
      <rPr>
        <sz val="10.5"/>
        <rFont val="宋体"/>
        <family val="3"/>
        <charset val="134"/>
      </rPr>
      <t>），可检测出机械的共振点，便于系统调整。</t>
    </r>
    <r>
      <rPr>
        <sz val="10.5"/>
        <rFont val="Arial"/>
        <family val="2"/>
      </rPr>
      <t xml:space="preserve"> </t>
    </r>
  </si>
  <si>
    <r>
      <rPr>
        <sz val="10.5"/>
        <color indexed="14"/>
        <rFont val="宋体"/>
        <family val="3"/>
        <charset val="134"/>
      </rPr>
      <t>三、矩频特性不同</t>
    </r>
    <r>
      <rPr>
        <sz val="10.5"/>
        <rFont val="Arial"/>
        <family val="2"/>
      </rPr>
      <t xml:space="preserve"> </t>
    </r>
  </si>
  <si>
    <r>
      <rPr>
        <sz val="10.5"/>
        <color indexed="10"/>
        <rFont val="宋体"/>
        <family val="3"/>
        <charset val="134"/>
      </rPr>
      <t>步进电机</t>
    </r>
    <r>
      <rPr>
        <sz val="10.5"/>
        <rFont val="宋体"/>
        <family val="3"/>
        <charset val="134"/>
      </rPr>
      <t>的输出力矩随转速升高而下降，且在较高转速时会急剧下降，所以其最高工作转速一般在</t>
    </r>
    <r>
      <rPr>
        <sz val="10.5"/>
        <rFont val="Arial"/>
        <family val="2"/>
      </rPr>
      <t>300</t>
    </r>
    <r>
      <rPr>
        <sz val="10.5"/>
        <rFont val="宋体"/>
        <family val="3"/>
        <charset val="134"/>
      </rPr>
      <t>～</t>
    </r>
    <r>
      <rPr>
        <sz val="10.5"/>
        <rFont val="Arial"/>
        <family val="2"/>
      </rPr>
      <t>600RPM</t>
    </r>
  </si>
  <si>
    <r>
      <rPr>
        <sz val="10.5"/>
        <color indexed="10"/>
        <rFont val="宋体"/>
        <family val="3"/>
        <charset val="134"/>
      </rPr>
      <t>交流伺服电机</t>
    </r>
    <r>
      <rPr>
        <sz val="10.5"/>
        <rFont val="宋体"/>
        <family val="3"/>
        <charset val="134"/>
      </rPr>
      <t>为恒力矩输出，即在其额定转速（一般为</t>
    </r>
    <r>
      <rPr>
        <sz val="10.5"/>
        <rFont val="Arial"/>
        <family val="2"/>
      </rPr>
      <t>2000RPM</t>
    </r>
    <r>
      <rPr>
        <sz val="10.5"/>
        <rFont val="宋体"/>
        <family val="3"/>
        <charset val="134"/>
      </rPr>
      <t>或</t>
    </r>
    <r>
      <rPr>
        <sz val="10.5"/>
        <rFont val="Arial"/>
        <family val="2"/>
      </rPr>
      <t>3000RPM</t>
    </r>
    <r>
      <rPr>
        <sz val="10.5"/>
        <rFont val="宋体"/>
        <family val="3"/>
        <charset val="134"/>
      </rPr>
      <t>）以内，都能输出额定转矩，在额定转速以上为恒功率输出。</t>
    </r>
  </si>
  <si>
    <r>
      <rPr>
        <sz val="10.5"/>
        <color indexed="14"/>
        <rFont val="宋体"/>
        <family val="3"/>
        <charset val="134"/>
      </rPr>
      <t>四、过载能力不同</t>
    </r>
    <r>
      <rPr>
        <sz val="10.5"/>
        <rFont val="Arial"/>
        <family val="2"/>
      </rPr>
      <t xml:space="preserve"> </t>
    </r>
  </si>
  <si>
    <r>
      <rPr>
        <sz val="10.5"/>
        <color indexed="10"/>
        <rFont val="宋体"/>
        <family val="3"/>
        <charset val="134"/>
      </rPr>
      <t>步进电机</t>
    </r>
    <r>
      <rPr>
        <sz val="10.5"/>
        <rFont val="宋体"/>
        <family val="3"/>
        <charset val="134"/>
      </rPr>
      <t xml:space="preserve">一般不具有过载能力,步进电机因为没有这种过载能力，在选型时为了克服这种惯性力矩，往往需要选取较大转矩的电机，而机器在正常工作期间又不需要那么大的转矩，便出现了力矩浪费的现象。 </t>
    </r>
  </si>
  <si>
    <r>
      <rPr>
        <sz val="10.5"/>
        <color indexed="10"/>
        <rFont val="宋体"/>
        <family val="3"/>
        <charset val="134"/>
      </rPr>
      <t>交流伺服电机</t>
    </r>
    <r>
      <rPr>
        <sz val="10.5"/>
        <rFont val="宋体"/>
        <family val="3"/>
        <charset val="134"/>
      </rPr>
      <t>具有较强的过载能力,它具有速度过载和转矩过载能力。其最大转矩为额定转矩的三倍，可用于克服惯性负载在启动瞬间的惯性力矩</t>
    </r>
  </si>
  <si>
    <t>五、运行性能不同</t>
  </si>
  <si>
    <r>
      <rPr>
        <sz val="10.5"/>
        <color indexed="10"/>
        <rFont val="宋体"/>
        <family val="3"/>
        <charset val="134"/>
      </rPr>
      <t>步进电机</t>
    </r>
    <r>
      <rPr>
        <sz val="10.5"/>
        <rFont val="宋体"/>
        <family val="3"/>
        <charset val="134"/>
      </rPr>
      <t>的控制为开环控制，启动频率过高或负载过大易出现丢步或堵转的现象，停止时转速过高易出现过冲的现象，所以为保证其控制精度，应处理好升、降速问题</t>
    </r>
  </si>
  <si>
    <t>什么是开环控制：就是电机在运行时它的位置和速度不会反馈信号给控制器</t>
  </si>
  <si>
    <r>
      <rPr>
        <sz val="10.5"/>
        <color indexed="10"/>
        <rFont val="宋体"/>
        <family val="3"/>
        <charset val="134"/>
      </rPr>
      <t>交流伺服</t>
    </r>
    <r>
      <rPr>
        <sz val="10.5"/>
        <rFont val="宋体"/>
        <family val="3"/>
        <charset val="134"/>
      </rPr>
      <t>驱动系统为闭环控制，驱动器可直接对电机编码器反馈信号进行采样，内部构成位置环和速度环，一般不会出现步进电机的丢步或过冲的现象，控制性能更为可靠。</t>
    </r>
    <r>
      <rPr>
        <sz val="10.5"/>
        <rFont val="Arial"/>
        <family val="2"/>
      </rPr>
      <t xml:space="preserve"> </t>
    </r>
  </si>
  <si>
    <r>
      <rPr>
        <sz val="10.5"/>
        <color indexed="14"/>
        <rFont val="宋体"/>
        <family val="3"/>
        <charset val="134"/>
      </rPr>
      <t>六、速度响应性能不同</t>
    </r>
    <r>
      <rPr>
        <sz val="10.5"/>
        <rFont val="Arial"/>
        <family val="2"/>
      </rPr>
      <t xml:space="preserve"> </t>
    </r>
  </si>
  <si>
    <r>
      <rPr>
        <sz val="10.5"/>
        <color indexed="10"/>
        <rFont val="宋体"/>
        <family val="3"/>
        <charset val="134"/>
      </rPr>
      <t>步进电机</t>
    </r>
    <r>
      <rPr>
        <sz val="10.5"/>
        <rFont val="宋体"/>
        <family val="3"/>
        <charset val="134"/>
      </rPr>
      <t>从静止加速到工作转速（一般为每分钟几百转）需要</t>
    </r>
    <r>
      <rPr>
        <sz val="10.5"/>
        <rFont val="Arial"/>
        <family val="2"/>
      </rPr>
      <t>200</t>
    </r>
    <r>
      <rPr>
        <sz val="10.5"/>
        <rFont val="宋体"/>
        <family val="3"/>
        <charset val="134"/>
      </rPr>
      <t>～</t>
    </r>
    <r>
      <rPr>
        <sz val="10.5"/>
        <rFont val="Arial"/>
        <family val="2"/>
      </rPr>
      <t>400</t>
    </r>
    <r>
      <rPr>
        <sz val="10.5"/>
        <rFont val="宋体"/>
        <family val="3"/>
        <charset val="134"/>
      </rPr>
      <t>毫秒</t>
    </r>
  </si>
  <si>
    <r>
      <rPr>
        <sz val="10.5"/>
        <color indexed="10"/>
        <rFont val="宋体"/>
        <family val="3"/>
        <charset val="134"/>
      </rPr>
      <t>交流伺服</t>
    </r>
    <r>
      <rPr>
        <sz val="10.5"/>
        <rFont val="宋体"/>
        <family val="3"/>
        <charset val="134"/>
      </rPr>
      <t>系统的加速性能较好，以松下</t>
    </r>
    <r>
      <rPr>
        <sz val="10.5"/>
        <rFont val="Arial"/>
        <family val="2"/>
      </rPr>
      <t>MSMA 400W</t>
    </r>
    <r>
      <rPr>
        <sz val="10.5"/>
        <rFont val="宋体"/>
        <family val="3"/>
        <charset val="134"/>
      </rPr>
      <t>交流伺服电机为例，从静止加速到其额定转速</t>
    </r>
    <r>
      <rPr>
        <sz val="10.5"/>
        <rFont val="Arial"/>
        <family val="2"/>
      </rPr>
      <t>3000RPM</t>
    </r>
    <r>
      <rPr>
        <sz val="10.5"/>
        <rFont val="宋体"/>
        <family val="3"/>
        <charset val="134"/>
      </rPr>
      <t>仅需几毫秒，可用于要求快速启停的控制场合。</t>
    </r>
    <r>
      <rPr>
        <sz val="10.5"/>
        <rFont val="Arial"/>
        <family val="2"/>
      </rPr>
      <t xml:space="preserve"> </t>
    </r>
  </si>
  <si>
    <r>
      <rPr>
        <sz val="10.5"/>
        <color indexed="10"/>
        <rFont val="宋体"/>
        <family val="3"/>
        <charset val="134"/>
      </rPr>
      <t>步进电机</t>
    </r>
    <r>
      <rPr>
        <sz val="10.5"/>
        <rFont val="Arial"/>
        <family val="2"/>
      </rPr>
      <t>:</t>
    </r>
    <r>
      <rPr>
        <sz val="10.5"/>
        <rFont val="宋体"/>
        <family val="3"/>
        <charset val="134"/>
      </rPr>
      <t>把一圈分成若干步</t>
    </r>
    <r>
      <rPr>
        <sz val="10.5"/>
        <rFont val="Arial"/>
        <family val="2"/>
      </rPr>
      <t>,</t>
    </r>
    <r>
      <rPr>
        <sz val="10.5"/>
        <rFont val="宋体"/>
        <family val="3"/>
        <charset val="134"/>
      </rPr>
      <t>不累积误差</t>
    </r>
    <r>
      <rPr>
        <sz val="10.5"/>
        <rFont val="Arial"/>
        <family val="2"/>
      </rPr>
      <t>,</t>
    </r>
    <r>
      <rPr>
        <sz val="10.5"/>
        <rFont val="宋体"/>
        <family val="3"/>
        <charset val="134"/>
      </rPr>
      <t>一般用做开环控制</t>
    </r>
    <r>
      <rPr>
        <sz val="10.5"/>
        <rFont val="Arial"/>
        <family val="2"/>
      </rPr>
      <t>.</t>
    </r>
  </si>
  <si>
    <r>
      <rPr>
        <sz val="10.5"/>
        <color indexed="10"/>
        <rFont val="宋体"/>
        <family val="3"/>
        <charset val="134"/>
      </rPr>
      <t>伺服电机</t>
    </r>
    <r>
      <rPr>
        <sz val="10.5"/>
        <rFont val="宋体"/>
        <family val="3"/>
        <charset val="134"/>
      </rPr>
      <t>一般是功率小</t>
    </r>
    <r>
      <rPr>
        <sz val="10.5"/>
        <rFont val="Arial"/>
        <family val="2"/>
      </rPr>
      <t>,</t>
    </r>
    <r>
      <rPr>
        <sz val="10.5"/>
        <rFont val="宋体"/>
        <family val="3"/>
        <charset val="134"/>
      </rPr>
      <t>运行精确</t>
    </r>
    <r>
      <rPr>
        <sz val="10.5"/>
        <rFont val="Arial"/>
        <family val="2"/>
      </rPr>
      <t>,</t>
    </r>
    <r>
      <rPr>
        <sz val="10.5"/>
        <rFont val="宋体"/>
        <family val="3"/>
        <charset val="134"/>
      </rPr>
      <t>能高速制动</t>
    </r>
    <r>
      <rPr>
        <sz val="10.5"/>
        <rFont val="Arial"/>
        <family val="2"/>
      </rPr>
      <t>,</t>
    </r>
    <r>
      <rPr>
        <sz val="10.5"/>
        <rFont val="宋体"/>
        <family val="3"/>
        <charset val="134"/>
      </rPr>
      <t>惯量小</t>
    </r>
    <r>
      <rPr>
        <sz val="10.5"/>
        <rFont val="Arial"/>
        <family val="2"/>
      </rPr>
      <t>,</t>
    </r>
    <r>
      <rPr>
        <sz val="10.5"/>
        <rFont val="宋体"/>
        <family val="3"/>
        <charset val="134"/>
      </rPr>
      <t>适合闭环控制</t>
    </r>
    <r>
      <rPr>
        <sz val="10.5"/>
        <rFont val="Arial"/>
        <family val="2"/>
      </rPr>
      <t>,</t>
    </r>
    <r>
      <rPr>
        <sz val="10.5"/>
        <rFont val="宋体"/>
        <family val="3"/>
        <charset val="134"/>
      </rPr>
      <t>也就是能检测到实际位置和理论位置的误差</t>
    </r>
    <r>
      <rPr>
        <sz val="10.5"/>
        <rFont val="Arial"/>
        <family val="2"/>
      </rPr>
      <t>,</t>
    </r>
    <r>
      <rPr>
        <sz val="10.5"/>
        <rFont val="宋体"/>
        <family val="3"/>
        <charset val="134"/>
      </rPr>
      <t>并消除</t>
    </r>
    <r>
      <rPr>
        <sz val="10.5"/>
        <rFont val="Arial"/>
        <family val="2"/>
      </rPr>
      <t>.</t>
    </r>
  </si>
  <si>
    <t>外毂接触内表面直径</t>
  </si>
  <si>
    <t>滚柱数目</t>
  </si>
  <si>
    <t>滚柱直径</t>
  </si>
  <si>
    <t>滚柱楔入角</t>
  </si>
  <si>
    <t>楔紧平面至轴心线的距离</t>
  </si>
  <si>
    <t>滚柱长度</t>
  </si>
  <si>
    <t>D(MM)</t>
  </si>
  <si>
    <t>Z(个)</t>
  </si>
  <si>
    <t>d1(MM)</t>
  </si>
  <si>
    <t>α(度)</t>
  </si>
  <si>
    <t>h(MM)</t>
  </si>
  <si>
    <t>L(MM)</t>
  </si>
  <si>
    <t>注:1.滚柱数目:D≤80时取3;  D＞80时,可取3或5</t>
  </si>
  <si>
    <t xml:space="preserve">   2.滚柱楔入角:2.5～8.5,钢与钢摩擦一般取7度</t>
  </si>
  <si>
    <r>
      <rPr>
        <sz val="14"/>
        <rFont val="宋体"/>
        <family val="3"/>
        <charset val="134"/>
      </rPr>
      <t>选择减速头</t>
    </r>
    <r>
      <rPr>
        <sz val="14"/>
        <rFont val="Times New Roman"/>
        <family val="1"/>
      </rPr>
      <t>:</t>
    </r>
    <r>
      <rPr>
        <sz val="14"/>
        <rFont val="宋体"/>
        <family val="3"/>
        <charset val="134"/>
      </rPr>
      <t>主要看的就是</t>
    </r>
    <r>
      <rPr>
        <sz val="14"/>
        <rFont val="Times New Roman"/>
        <family val="1"/>
      </rPr>
      <t xml:space="preserve"> </t>
    </r>
    <r>
      <rPr>
        <sz val="14"/>
        <rFont val="宋体"/>
        <family val="3"/>
        <charset val="134"/>
      </rPr>
      <t>输出扭矩</t>
    </r>
    <r>
      <rPr>
        <sz val="14"/>
        <rFont val="Times New Roman"/>
        <family val="1"/>
      </rPr>
      <t xml:space="preserve"> </t>
    </r>
    <r>
      <rPr>
        <sz val="14"/>
        <rFont val="宋体"/>
        <family val="3"/>
        <charset val="134"/>
      </rPr>
      <t>扭转刚性</t>
    </r>
    <r>
      <rPr>
        <sz val="14"/>
        <rFont val="Times New Roman"/>
        <family val="1"/>
      </rPr>
      <t xml:space="preserve"> </t>
    </r>
    <r>
      <rPr>
        <sz val="14"/>
        <rFont val="宋体"/>
        <family val="3"/>
        <charset val="134"/>
      </rPr>
      <t>精度</t>
    </r>
    <r>
      <rPr>
        <sz val="14"/>
        <rFont val="Times New Roman"/>
        <family val="1"/>
      </rPr>
      <t xml:space="preserve"> </t>
    </r>
    <r>
      <rPr>
        <sz val="14"/>
        <rFont val="宋体"/>
        <family val="3"/>
        <charset val="134"/>
      </rPr>
      <t>轴向力</t>
    </r>
    <r>
      <rPr>
        <sz val="14"/>
        <rFont val="Times New Roman"/>
        <family val="1"/>
      </rPr>
      <t xml:space="preserve"> </t>
    </r>
    <r>
      <rPr>
        <sz val="14"/>
        <rFont val="宋体"/>
        <family val="3"/>
        <charset val="134"/>
      </rPr>
      <t>径向力</t>
    </r>
  </si>
  <si>
    <t>GM-GR型 选型参数表(恒功率)</t>
  </si>
  <si>
    <t>电机功率</t>
  </si>
  <si>
    <t>传动比</t>
  </si>
  <si>
    <t>输出转速</t>
  </si>
  <si>
    <t>输出转矩</t>
  </si>
  <si>
    <t>减速功率</t>
  </si>
  <si>
    <t>使用系数</t>
  </si>
  <si>
    <t>许用径向</t>
  </si>
  <si>
    <t>机型号</t>
  </si>
  <si>
    <t>电机级数</t>
  </si>
  <si>
    <t>质量</t>
  </si>
  <si>
    <t>i</t>
  </si>
  <si>
    <t>r/m</t>
  </si>
  <si>
    <t>N.m</t>
  </si>
  <si>
    <t>fa</t>
  </si>
  <si>
    <t>载荷 N</t>
  </si>
  <si>
    <t>(mode)</t>
  </si>
  <si>
    <t>kg</t>
  </si>
  <si>
    <t>GR167</t>
  </si>
  <si>
    <t>4P</t>
  </si>
  <si>
    <t>GRF167</t>
  </si>
  <si>
    <t>说明:</t>
  </si>
  <si>
    <r>
      <rPr>
        <sz val="12"/>
        <rFont val="宋体"/>
        <family val="3"/>
        <charset val="134"/>
      </rPr>
      <t xml:space="preserve">    </t>
    </r>
    <r>
      <rPr>
        <b/>
        <sz val="12"/>
        <rFont val="宋体"/>
        <family val="3"/>
        <charset val="134"/>
      </rPr>
      <t>1.</t>
    </r>
    <r>
      <rPr>
        <sz val="12"/>
        <rFont val="宋体"/>
        <family val="3"/>
        <charset val="134"/>
        <scheme val="minor"/>
      </rPr>
      <t>在这里,数据表头上的[恒功率],并不是指电机工作的状态是恒功率还是恒扭矩,而是指减速器工作状态.</t>
    </r>
    <r>
      <rPr>
        <b/>
        <sz val="12"/>
        <color indexed="10"/>
        <rFont val="宋体"/>
        <family val="3"/>
        <charset val="134"/>
      </rPr>
      <t>通常,减速器也分恒功率和恒扭矩两种,选型是应特别注意!</t>
    </r>
  </si>
  <si>
    <r>
      <rPr>
        <sz val="12"/>
        <rFont val="宋体"/>
        <family val="3"/>
        <charset val="134"/>
      </rPr>
      <t xml:space="preserve">    </t>
    </r>
    <r>
      <rPr>
        <b/>
        <sz val="12"/>
        <rFont val="宋体"/>
        <family val="3"/>
        <charset val="134"/>
      </rPr>
      <t>2.</t>
    </r>
    <r>
      <rPr>
        <sz val="12"/>
        <rFont val="宋体"/>
        <family val="3"/>
        <charset val="134"/>
        <scheme val="minor"/>
      </rPr>
      <t>数据表中的[使用系数 fa ],是指在相同工作状况下,减速器使用寿命长短而言的.</t>
    </r>
  </si>
  <si>
    <r>
      <rPr>
        <sz val="12"/>
        <color indexed="14"/>
        <rFont val="宋体"/>
        <family val="3"/>
        <charset val="134"/>
      </rPr>
      <t xml:space="preserve">    </t>
    </r>
    <r>
      <rPr>
        <b/>
        <sz val="12"/>
        <color indexed="14"/>
        <rFont val="宋体"/>
        <family val="3"/>
        <charset val="134"/>
      </rPr>
      <t>定义:减速器使用系数越大,减速器使用寿命越长.</t>
    </r>
  </si>
  <si>
    <r>
      <rPr>
        <sz val="12"/>
        <rFont val="宋体"/>
        <family val="3"/>
        <charset val="134"/>
      </rPr>
      <t xml:space="preserve">    从表中可以看到,使用系数增大的,减速器传动比,输出转矩反而减小.</t>
    </r>
  </si>
  <si>
    <r>
      <rPr>
        <sz val="12"/>
        <rFont val="宋体"/>
        <family val="3"/>
        <charset val="134"/>
      </rPr>
      <t xml:space="preserve">    对于同种电机而言,减速器输出转矩减小就意味着"大马拉小车",即电机并不是满功率运行,这对减速器来说,使用寿命将更长!</t>
    </r>
  </si>
  <si>
    <t xml:space="preserve">   通常,减速器选择时,应使[使用系数 fa ]控制在 1.2-1.3 之间最合理,电机和减速器使用效率最佳,寿命更长!</t>
  </si>
  <si>
    <r>
      <rPr>
        <b/>
        <sz val="12"/>
        <rFont val="宋体"/>
        <family val="3"/>
        <charset val="134"/>
      </rPr>
      <t xml:space="preserve">    3.</t>
    </r>
    <r>
      <rPr>
        <b/>
        <sz val="12"/>
        <color indexed="60"/>
        <rFont val="宋体"/>
        <family val="3"/>
        <charset val="134"/>
      </rPr>
      <t>传动比i=四级电机转速/减速器输出转速</t>
    </r>
  </si>
  <si>
    <r>
      <rPr>
        <sz val="12"/>
        <rFont val="宋体"/>
        <family val="3"/>
        <charset val="134"/>
      </rPr>
      <t xml:space="preserve">    </t>
    </r>
    <r>
      <rPr>
        <b/>
        <sz val="12"/>
        <rFont val="宋体"/>
        <family val="3"/>
        <charset val="134"/>
      </rPr>
      <t>4.</t>
    </r>
    <r>
      <rPr>
        <b/>
        <sz val="12"/>
        <color indexed="60"/>
        <rFont val="宋体"/>
        <family val="3"/>
        <charset val="134"/>
      </rPr>
      <t>输出转矩=9550*电机功率*减速器传递效率/减速器输出转速 (能量传递守恒原则)</t>
    </r>
  </si>
  <si>
    <r>
      <rPr>
        <sz val="12"/>
        <color indexed="10"/>
        <rFont val="宋体"/>
        <family val="3"/>
        <charset val="134"/>
      </rPr>
      <t xml:space="preserve">    </t>
    </r>
    <r>
      <rPr>
        <b/>
        <sz val="12"/>
        <color indexed="10"/>
        <rFont val="宋体"/>
        <family val="3"/>
        <charset val="134"/>
      </rPr>
      <t>由计算可知,表中输出转矩额定或最大值!</t>
    </r>
  </si>
  <si>
    <r>
      <rPr>
        <sz val="12"/>
        <rFont val="宋体"/>
        <family val="3"/>
        <charset val="134"/>
      </rPr>
      <t xml:space="preserve">    </t>
    </r>
    <r>
      <rPr>
        <b/>
        <sz val="12"/>
        <rFont val="宋体"/>
        <family val="3"/>
        <charset val="134"/>
      </rPr>
      <t>5.</t>
    </r>
    <r>
      <rPr>
        <sz val="12"/>
        <rFont val="宋体"/>
        <family val="3"/>
        <charset val="134"/>
      </rPr>
      <t>对于[恒功率]减速器而言</t>
    </r>
    <r>
      <rPr>
        <sz val="12"/>
        <rFont val="宋体"/>
        <family val="3"/>
        <charset val="134"/>
        <scheme val="minor"/>
      </rPr>
      <t>,由上面计算可知:</t>
    </r>
  </si>
  <si>
    <t xml:space="preserve">         减速器输出功率=[输出转矩*减速器输出转速]/9551==28.501 Kw (恒定值)</t>
  </si>
  <si>
    <r>
      <rPr>
        <sz val="12"/>
        <rFont val="宋体"/>
        <family val="3"/>
        <charset val="134"/>
      </rPr>
      <t xml:space="preserve">    </t>
    </r>
    <r>
      <rPr>
        <sz val="12"/>
        <rFont val="宋体"/>
        <family val="3"/>
        <charset val="134"/>
        <scheme val="minor"/>
      </rPr>
      <t xml:space="preserve"> </t>
    </r>
    <r>
      <rPr>
        <b/>
        <sz val="12"/>
        <rFont val="宋体"/>
        <family val="3"/>
        <charset val="134"/>
      </rPr>
      <t>即,  减速器传递的电机功率==电机功率*(1-减速器传递效率)</t>
    </r>
  </si>
  <si>
    <t>由上式可知,减速器传递的功率 &amp; 电机输出功率,因此称这种减速器为恒功率减速器!</t>
  </si>
  <si>
    <r>
      <rPr>
        <sz val="12"/>
        <rFont val="宋体"/>
        <family val="3"/>
        <charset val="134"/>
      </rPr>
      <t xml:space="preserve">    6.对于[恒功率]减速器而言,其减速机输出轴要比同规格电机的[恒扭矩]减速器输出轴细</t>
    </r>
    <r>
      <rPr>
        <sz val="12"/>
        <rFont val="宋体"/>
        <family val="3"/>
        <charset val="134"/>
        <scheme val="minor"/>
      </rPr>
      <t>.</t>
    </r>
  </si>
  <si>
    <t>设计举例</t>
  </si>
  <si>
    <t>条件: 1.主电机 30KW-6P 大理石切割 ,电机直接连接飞轮直径Φ800MM,有效直径Φ770MM;</t>
  </si>
  <si>
    <t xml:space="preserve">      2.金刚石绳子速度22-38M/S,正常36M/S;</t>
  </si>
  <si>
    <t xml:space="preserve">      3.小车电机 0.75KW-4P ,相配减速器 i==5000,外挂轮减速比(19/13);</t>
  </si>
  <si>
    <t xml:space="preserve">      4.小车行走轮Φ200MM,有效直径Φ127MM;</t>
  </si>
  <si>
    <t>求: ①飞轮电机速度,功率,拉力等物理量之间的关系;</t>
  </si>
  <si>
    <t xml:space="preserve">    ②行走小车拉力;</t>
  </si>
  <si>
    <t>解答:</t>
  </si>
  <si>
    <t>ONE:A. 主电机 30KW-6P,则:</t>
  </si>
  <si>
    <t xml:space="preserve">     T主电机扭矩== (30Kw*9550)/(980r/m)= 292.35N.M            formula--1</t>
  </si>
  <si>
    <t xml:space="preserve">     F主电机产生拉力== T主电机扭矩/R                           formula--2</t>
  </si>
  <si>
    <t xml:space="preserve">                   == 292.35N.M/(0.77M/2) ==759.34 N == 75.9Kg*f </t>
  </si>
  <si>
    <t xml:space="preserve">   B. 小车电机 0.75KW-4P,则:</t>
  </si>
  <si>
    <t xml:space="preserve">     T小车电机扭矩== (0.75Kw*9550)/(1390r/m)= 5.1528N.M      formula--1</t>
  </si>
  <si>
    <t xml:space="preserve">     F主电机产生拉力== T主电机扭矩/R                          formula--2</t>
  </si>
  <si>
    <t xml:space="preserve">                   =={5.1528N.M*[(i=5000)*(19/13)]*(り=0.8)} /(0.127M/2)</t>
  </si>
  <si>
    <t xml:space="preserve">                   ==474401.8N ==47440Kg*f</t>
  </si>
  <si>
    <t>选择减速头:主要看的就是 输出扭矩 扭转刚性 精度 轴向力 径向力</t>
  </si>
  <si>
    <r>
      <rPr>
        <b/>
        <sz val="11.5"/>
        <color indexed="14"/>
        <rFont val="宋体"/>
        <family val="3"/>
        <charset val="134"/>
      </rPr>
      <t>什么是扭转刚性</t>
    </r>
    <r>
      <rPr>
        <b/>
        <sz val="11.5"/>
        <color indexed="14"/>
        <rFont val="Times New Roman"/>
        <family val="1"/>
      </rPr>
      <t>:</t>
    </r>
    <r>
      <rPr>
        <sz val="10.5"/>
        <color indexed="14"/>
        <rFont val="Times New Roman"/>
        <family val="1"/>
      </rPr>
      <t xml:space="preserve"> </t>
    </r>
    <r>
      <rPr>
        <sz val="10.5"/>
        <color indexed="14"/>
        <rFont val="宋体"/>
        <family val="3"/>
        <charset val="134"/>
      </rPr>
      <t>举个例子，一根轴输入端旋转了</t>
    </r>
    <r>
      <rPr>
        <sz val="10.5"/>
        <color indexed="14"/>
        <rFont val="Times New Roman"/>
        <family val="1"/>
      </rPr>
      <t>360</t>
    </r>
    <r>
      <rPr>
        <sz val="10.5"/>
        <color indexed="14"/>
        <rFont val="宋体"/>
        <family val="3"/>
        <charset val="134"/>
      </rPr>
      <t>度，输出端只旋转</t>
    </r>
    <r>
      <rPr>
        <sz val="10.5"/>
        <color indexed="14"/>
        <rFont val="Times New Roman"/>
        <family val="1"/>
      </rPr>
      <t>359</t>
    </r>
    <r>
      <rPr>
        <sz val="10.5"/>
        <color indexed="14"/>
        <rFont val="宋体"/>
        <family val="3"/>
        <charset val="134"/>
      </rPr>
      <t>度，轴的自身变形产生了</t>
    </r>
    <r>
      <rPr>
        <sz val="10.5"/>
        <color indexed="14"/>
        <rFont val="Times New Roman"/>
        <family val="1"/>
      </rPr>
      <t>1</t>
    </r>
    <r>
      <rPr>
        <sz val="10.5"/>
        <color indexed="14"/>
        <rFont val="宋体"/>
        <family val="3"/>
        <charset val="134"/>
      </rPr>
      <t>度的偏差，想想一下拧麻花，类似。在同样的作用扭矩下，自身产生的扭转型变越大就说明此种材料抗扭性能越差，扭转刚性越小</t>
    </r>
  </si>
  <si>
    <t>电动机用皮带轮输出动力时，电机轴只受径向力；</t>
  </si>
  <si>
    <t>台钻在钻孔时，钻杆只受轴向力；</t>
  </si>
  <si>
    <t>车削时，车床的主轴主要受径向力，也受轴向力。</t>
  </si>
  <si>
    <r>
      <rPr>
        <sz val="12"/>
        <color indexed="14"/>
        <rFont val="宋体"/>
        <family val="3"/>
        <charset val="134"/>
      </rPr>
      <t>轴向力</t>
    </r>
    <r>
      <rPr>
        <sz val="10.5"/>
        <rFont val="Times New Roman"/>
        <family val="1"/>
      </rPr>
      <t>:</t>
    </r>
  </si>
  <si>
    <t>般惯性力的大小与物体的角速度，质量，形状，以及质心等等都有关心，并不是简单的就可以用一个公式解答的</t>
  </si>
  <si>
    <r>
      <rPr>
        <sz val="12"/>
        <color indexed="14"/>
        <rFont val="宋体"/>
        <family val="3"/>
        <charset val="134"/>
      </rPr>
      <t>一般质点在绕定轴旋转时，向心力</t>
    </r>
    <r>
      <rPr>
        <sz val="10.5"/>
        <rFont val="Times New Roman"/>
        <family val="1"/>
      </rPr>
      <t>F=m*w^2*r</t>
    </r>
    <r>
      <rPr>
        <sz val="10.5"/>
        <rFont val="宋体"/>
        <family val="3"/>
        <charset val="134"/>
      </rPr>
      <t>，</t>
    </r>
    <r>
      <rPr>
        <sz val="10.5"/>
        <rFont val="Times New Roman"/>
        <family val="1"/>
      </rPr>
      <t>m</t>
    </r>
    <r>
      <rPr>
        <sz val="10.5"/>
        <rFont val="宋体"/>
        <family val="3"/>
        <charset val="134"/>
      </rPr>
      <t>是质点的质量，</t>
    </r>
    <r>
      <rPr>
        <sz val="10.5"/>
        <rFont val="Times New Roman"/>
        <family val="1"/>
      </rPr>
      <t>w</t>
    </r>
    <r>
      <rPr>
        <sz val="10.5"/>
        <rFont val="宋体"/>
        <family val="3"/>
        <charset val="134"/>
      </rPr>
      <t>是旋转角速度，</t>
    </r>
    <r>
      <rPr>
        <sz val="10.5"/>
        <rFont val="Times New Roman"/>
        <family val="1"/>
      </rPr>
      <t>r</t>
    </r>
    <r>
      <rPr>
        <sz val="10.5"/>
        <rFont val="宋体"/>
        <family val="3"/>
        <charset val="134"/>
      </rPr>
      <t>是旋转半径。如果是刚体的定轴转动，产生惯性力，这属于静平衡和动平衡</t>
    </r>
  </si>
  <si>
    <t>这是我们学工程力学时候的概念，轴向力，顾名思义就是沿着轴的力啊，你拉一个圆柱把圆柱纵向拉长，我们就叫那个力是轴向拉力。</t>
  </si>
  <si>
    <r>
      <rPr>
        <sz val="12"/>
        <color indexed="14"/>
        <rFont val="宋体"/>
        <family val="3"/>
        <charset val="134"/>
      </rPr>
      <t>求减速机扭矩如下公式：</t>
    </r>
    <r>
      <rPr>
        <sz val="9"/>
        <color indexed="63"/>
        <rFont val="ˎ̥"/>
        <family val="1"/>
      </rPr>
      <t xml:space="preserve"> </t>
    </r>
  </si>
  <si>
    <r>
      <rPr>
        <sz val="12"/>
        <color indexed="14"/>
        <rFont val="宋体"/>
        <family val="3"/>
        <charset val="134"/>
      </rPr>
      <t>减速机扭矩</t>
    </r>
    <r>
      <rPr>
        <sz val="9"/>
        <color indexed="63"/>
        <rFont val="ˎ̥"/>
        <family val="1"/>
      </rPr>
      <t>=9550×</t>
    </r>
    <r>
      <rPr>
        <sz val="9"/>
        <color indexed="63"/>
        <rFont val="宋体"/>
        <family val="3"/>
        <charset val="134"/>
      </rPr>
      <t>电机功率</t>
    </r>
    <r>
      <rPr>
        <sz val="9"/>
        <color indexed="63"/>
        <rFont val="ˎ̥"/>
        <family val="1"/>
      </rPr>
      <t>÷</t>
    </r>
    <r>
      <rPr>
        <sz val="9"/>
        <color indexed="63"/>
        <rFont val="宋体"/>
        <family val="3"/>
        <charset val="134"/>
      </rPr>
      <t>电机功率输入转数</t>
    </r>
    <r>
      <rPr>
        <sz val="9"/>
        <color indexed="63"/>
        <rFont val="ˎ̥"/>
        <family val="1"/>
      </rPr>
      <t>×</t>
    </r>
    <r>
      <rPr>
        <sz val="9"/>
        <color indexed="63"/>
        <rFont val="宋体"/>
        <family val="3"/>
        <charset val="134"/>
      </rPr>
      <t>速比</t>
    </r>
    <r>
      <rPr>
        <sz val="9"/>
        <color indexed="63"/>
        <rFont val="ˎ̥"/>
        <family val="1"/>
      </rPr>
      <t>×</t>
    </r>
    <r>
      <rPr>
        <sz val="9"/>
        <color indexed="63"/>
        <rFont val="宋体"/>
        <family val="3"/>
        <charset val="134"/>
      </rPr>
      <t>使用系数</t>
    </r>
    <r>
      <rPr>
        <sz val="9"/>
        <color indexed="63"/>
        <rFont val="ˎ̥"/>
        <family val="1"/>
      </rPr>
      <t xml:space="preserve"> </t>
    </r>
  </si>
  <si>
    <r>
      <rPr>
        <sz val="12"/>
        <color indexed="14"/>
        <rFont val="宋体"/>
        <family val="3"/>
        <charset val="134"/>
      </rPr>
      <t>知道扭矩和减速机输出转数及使用系数，求减速机所需配电机功率如下公式：</t>
    </r>
    <r>
      <rPr>
        <sz val="9"/>
        <color indexed="63"/>
        <rFont val="ˎ̥"/>
        <family val="1"/>
      </rPr>
      <t xml:space="preserve"> </t>
    </r>
  </si>
  <si>
    <r>
      <rPr>
        <sz val="12"/>
        <color indexed="14"/>
        <rFont val="宋体"/>
        <family val="3"/>
        <charset val="134"/>
      </rPr>
      <t>电机功率</t>
    </r>
    <r>
      <rPr>
        <sz val="9"/>
        <color indexed="63"/>
        <rFont val="ˎ̥"/>
        <family val="1"/>
      </rPr>
      <t>=</t>
    </r>
    <r>
      <rPr>
        <sz val="9"/>
        <color indexed="63"/>
        <rFont val="宋体"/>
        <family val="3"/>
        <charset val="134"/>
      </rPr>
      <t>扭矩</t>
    </r>
    <r>
      <rPr>
        <sz val="9"/>
        <color indexed="63"/>
        <rFont val="ˎ̥"/>
        <family val="1"/>
      </rPr>
      <t>÷9550×</t>
    </r>
    <r>
      <rPr>
        <sz val="9"/>
        <color indexed="63"/>
        <rFont val="宋体"/>
        <family val="3"/>
        <charset val="134"/>
      </rPr>
      <t>电机功率输入转数</t>
    </r>
    <r>
      <rPr>
        <sz val="9"/>
        <color indexed="63"/>
        <rFont val="ˎ̥"/>
        <family val="1"/>
      </rPr>
      <t>÷</t>
    </r>
    <r>
      <rPr>
        <sz val="9"/>
        <color indexed="63"/>
        <rFont val="宋体"/>
        <family val="3"/>
        <charset val="134"/>
      </rPr>
      <t>速比</t>
    </r>
    <r>
      <rPr>
        <sz val="9"/>
        <color indexed="63"/>
        <rFont val="ˎ̥"/>
        <family val="1"/>
      </rPr>
      <t>÷</t>
    </r>
    <r>
      <rPr>
        <sz val="9"/>
        <color indexed="63"/>
        <rFont val="宋体"/>
        <family val="3"/>
        <charset val="134"/>
      </rPr>
      <t>使用系数</t>
    </r>
    <r>
      <rPr>
        <sz val="9"/>
        <color indexed="63"/>
        <rFont val="ˎ̥"/>
        <family val="1"/>
      </rPr>
      <t>(end)</t>
    </r>
  </si>
  <si>
    <t>调速电机在调速时它的扭矩效果：如用减速头来控制，比数越大，力矩越大</t>
  </si>
  <si>
    <t>调速电机在调速时它的扭矩效果：如用调速器和变频器来控制，频率越越大，力矩越小</t>
  </si>
  <si>
    <t>力矩:使物体转动的力乘以到转轴的距离</t>
  </si>
  <si>
    <t>制表日期:2002年8月30日</t>
  </si>
  <si>
    <t>俗称</t>
  </si>
  <si>
    <t>节距</t>
  </si>
  <si>
    <t>滚子直径</t>
  </si>
  <si>
    <t>齿数</t>
  </si>
  <si>
    <t>分度圆直径</t>
  </si>
  <si>
    <t>齿根圆直径</t>
  </si>
  <si>
    <t>齿顶圆直径</t>
  </si>
  <si>
    <t>最大轮毂直径</t>
  </si>
  <si>
    <t>齿宽b</t>
  </si>
  <si>
    <t>排距Pt</t>
  </si>
  <si>
    <r>
      <rPr>
        <sz val="14"/>
        <rFont val="楷体_GB2312"/>
        <charset val="134"/>
      </rPr>
      <t>d</t>
    </r>
    <r>
      <rPr>
        <vertAlign val="subscript"/>
        <sz val="14"/>
        <rFont val="楷体_GB2312"/>
        <charset val="134"/>
      </rPr>
      <t>r</t>
    </r>
  </si>
  <si>
    <t>Z</t>
  </si>
  <si>
    <r>
      <rPr>
        <sz val="14"/>
        <rFont val="楷体_GB2312"/>
        <charset val="134"/>
      </rPr>
      <t>D</t>
    </r>
    <r>
      <rPr>
        <vertAlign val="subscript"/>
        <sz val="14"/>
        <rFont val="楷体_GB2312"/>
        <charset val="134"/>
      </rPr>
      <t>f</t>
    </r>
  </si>
  <si>
    <t>Di</t>
  </si>
  <si>
    <t>De</t>
  </si>
  <si>
    <r>
      <rPr>
        <sz val="14"/>
        <rFont val="楷体_GB2312"/>
        <charset val="134"/>
      </rPr>
      <t>D</t>
    </r>
    <r>
      <rPr>
        <vertAlign val="subscript"/>
        <sz val="14"/>
        <rFont val="楷体_GB2312"/>
        <charset val="134"/>
      </rPr>
      <t>H</t>
    </r>
  </si>
  <si>
    <t>单排</t>
  </si>
  <si>
    <t>2、3排</t>
  </si>
  <si>
    <t>4排以上</t>
  </si>
  <si>
    <t>3/8"</t>
  </si>
  <si>
    <t>1/2"(A 型）</t>
  </si>
  <si>
    <t>5/8"</t>
  </si>
  <si>
    <t>3/4"</t>
  </si>
  <si>
    <t>｛ 此 三 栏 固 定 ｝</t>
  </si>
  <si>
    <t>｛此栏必填｝</t>
  </si>
  <si>
    <t>｛ 这    四    栏    自    动    生    成 ｝</t>
  </si>
  <si>
    <t>｛ 此 四 栏 固 定 ｝</t>
  </si>
  <si>
    <t>q</t>
  </si>
  <si>
    <t>节距pb</t>
  </si>
  <si>
    <t>bw</t>
  </si>
  <si>
    <t>hg</t>
  </si>
  <si>
    <t>Ψ+1.5°</t>
  </si>
  <si>
    <t>rb</t>
  </si>
  <si>
    <t>rt</t>
  </si>
  <si>
    <r>
      <rPr>
        <b/>
        <sz val="11"/>
        <rFont val="宋体"/>
        <family val="3"/>
        <charset val="134"/>
      </rPr>
      <t>2</t>
    </r>
    <r>
      <rPr>
        <b/>
        <sz val="11"/>
        <rFont val="Times New Roman"/>
        <family val="1"/>
      </rPr>
      <t>δ</t>
    </r>
  </si>
  <si>
    <t>MXL</t>
  </si>
  <si>
    <t>20</t>
  </si>
  <si>
    <t>XL</t>
  </si>
  <si>
    <t>25</t>
  </si>
  <si>
    <t>L</t>
  </si>
  <si>
    <t>1.6</t>
  </si>
  <si>
    <t>XH</t>
  </si>
  <si>
    <t>22.225</t>
  </si>
  <si>
    <t>7.90±0.15</t>
  </si>
  <si>
    <t>7.14</t>
  </si>
  <si>
    <t>1.98</t>
  </si>
  <si>
    <t>2.39</t>
  </si>
  <si>
    <t>2.794</t>
  </si>
  <si>
    <t>XXH</t>
  </si>
  <si>
    <t>31.750</t>
  </si>
  <si>
    <t>12.17±0.18</t>
  </si>
  <si>
    <t>10.31</t>
  </si>
  <si>
    <t>3.96</t>
  </si>
  <si>
    <t>3.18</t>
  </si>
  <si>
    <t>3.048</t>
  </si>
  <si>
    <t>规格</t>
  </si>
  <si>
    <t xml:space="preserve">节径 D </t>
  </si>
  <si>
    <t>外径 Do</t>
  </si>
  <si>
    <t>档边直径 Df</t>
  </si>
  <si>
    <t>档边内径 db</t>
  </si>
  <si>
    <t>档边厚度 h</t>
  </si>
  <si>
    <t>节径 d</t>
  </si>
  <si>
    <t xml:space="preserve">外径 do </t>
  </si>
  <si>
    <t>档边直径 df</t>
  </si>
  <si>
    <t xml:space="preserve">档边内径 db </t>
  </si>
  <si>
    <t>节径</t>
  </si>
  <si>
    <t>档边直径Df</t>
  </si>
  <si>
    <t>22MXL</t>
  </si>
  <si>
    <t>10XL</t>
  </si>
  <si>
    <t>12L</t>
  </si>
  <si>
    <t>14H</t>
  </si>
  <si>
    <t>18XH</t>
  </si>
  <si>
    <t>18XXH</t>
  </si>
  <si>
    <t>23MXL</t>
  </si>
  <si>
    <t>11XL</t>
  </si>
  <si>
    <t>13L</t>
  </si>
  <si>
    <t>15H</t>
  </si>
  <si>
    <t>19XH</t>
  </si>
  <si>
    <t>19XXH</t>
  </si>
  <si>
    <t>24MXL</t>
  </si>
  <si>
    <t>12XL</t>
  </si>
  <si>
    <t>14L</t>
  </si>
  <si>
    <t>16H</t>
  </si>
  <si>
    <t>20XH</t>
  </si>
  <si>
    <t>20XXH</t>
  </si>
  <si>
    <t>25MXL</t>
  </si>
  <si>
    <t>13XL</t>
  </si>
  <si>
    <t>15L</t>
  </si>
  <si>
    <t>17H</t>
  </si>
  <si>
    <t>21XH</t>
  </si>
  <si>
    <t>21XXH</t>
  </si>
  <si>
    <t>26MXL</t>
  </si>
  <si>
    <t>14XL</t>
  </si>
  <si>
    <t>16L</t>
  </si>
  <si>
    <t>18H</t>
  </si>
  <si>
    <t>22XH</t>
  </si>
  <si>
    <t>22XXH</t>
  </si>
  <si>
    <t>27MXL</t>
  </si>
  <si>
    <t>15XL</t>
  </si>
  <si>
    <t>17L</t>
  </si>
  <si>
    <t>19H</t>
  </si>
  <si>
    <t>23XH</t>
  </si>
  <si>
    <t>24XXH</t>
  </si>
  <si>
    <t>/</t>
  </si>
  <si>
    <t>28MXL</t>
  </si>
  <si>
    <t>16XL</t>
  </si>
  <si>
    <t>18L</t>
  </si>
  <si>
    <t>20H</t>
  </si>
  <si>
    <t>24XH</t>
  </si>
  <si>
    <t>25XXH</t>
  </si>
  <si>
    <t>29MXL</t>
  </si>
  <si>
    <t>17XL</t>
  </si>
  <si>
    <t>19L</t>
  </si>
  <si>
    <t>21H</t>
  </si>
  <si>
    <t>25XH</t>
  </si>
  <si>
    <t>26XXH</t>
  </si>
  <si>
    <t>30MXL</t>
  </si>
  <si>
    <t>18XL</t>
  </si>
  <si>
    <t>20L</t>
  </si>
  <si>
    <t>22H</t>
  </si>
  <si>
    <t>26XH</t>
  </si>
  <si>
    <t>27XXH</t>
  </si>
  <si>
    <t> / </t>
  </si>
  <si>
    <t>32MXL</t>
  </si>
  <si>
    <t>19XL</t>
  </si>
  <si>
    <t>21L</t>
  </si>
  <si>
    <t>23H</t>
  </si>
  <si>
    <t>27XH</t>
  </si>
  <si>
    <t>30XXH</t>
  </si>
  <si>
    <t xml:space="preserve">/ </t>
  </si>
  <si>
    <t>34MXL</t>
  </si>
  <si>
    <t>20XL</t>
  </si>
  <si>
    <t>22L</t>
  </si>
  <si>
    <t>24H</t>
  </si>
  <si>
    <t>28XH</t>
  </si>
  <si>
    <t>40XXH</t>
  </si>
  <si>
    <t>36MXL</t>
  </si>
  <si>
    <t>21XL</t>
  </si>
  <si>
    <t>23L</t>
  </si>
  <si>
    <t>25H</t>
  </si>
  <si>
    <t>30XH</t>
  </si>
  <si>
    <t>48XXH</t>
  </si>
  <si>
    <t>38MXL</t>
  </si>
  <si>
    <t>22XL</t>
  </si>
  <si>
    <t>24L</t>
  </si>
  <si>
    <t>26H</t>
  </si>
  <si>
    <t>32XH</t>
  </si>
  <si>
    <t>60XXH</t>
  </si>
  <si>
    <t>40MXL</t>
  </si>
  <si>
    <t>23XL</t>
  </si>
  <si>
    <t>25L</t>
  </si>
  <si>
    <t>27H</t>
  </si>
  <si>
    <t>40XH</t>
  </si>
  <si>
    <t>72XXH</t>
  </si>
  <si>
    <t>42MXL</t>
  </si>
  <si>
    <t>24XL</t>
  </si>
  <si>
    <t>26L</t>
  </si>
  <si>
    <t>28H</t>
  </si>
  <si>
    <t>48XH</t>
  </si>
  <si>
    <t>/ </t>
  </si>
  <si>
    <t>44MXL</t>
  </si>
  <si>
    <t>25XL</t>
  </si>
  <si>
    <t>27L</t>
  </si>
  <si>
    <t>30H</t>
  </si>
  <si>
    <t>60XH</t>
  </si>
  <si>
    <t>46MXL</t>
  </si>
  <si>
    <t>26XL</t>
  </si>
  <si>
    <t>28L</t>
  </si>
  <si>
    <t>32H</t>
  </si>
  <si>
    <t>72XH</t>
  </si>
  <si>
    <t>48MXL</t>
  </si>
  <si>
    <t>27XL</t>
  </si>
  <si>
    <t>30L</t>
  </si>
  <si>
    <t>34H</t>
  </si>
  <si>
    <t>84XH</t>
  </si>
  <si>
    <t>50MXL</t>
  </si>
  <si>
    <t>28XL</t>
  </si>
  <si>
    <t>32L</t>
  </si>
  <si>
    <t>36H</t>
  </si>
  <si>
    <t>96XH</t>
  </si>
  <si>
    <t>52MXL</t>
  </si>
  <si>
    <t>30XL</t>
  </si>
  <si>
    <t>34L</t>
  </si>
  <si>
    <t>38H</t>
  </si>
  <si>
    <t>120XH</t>
  </si>
  <si>
    <t>60MXL</t>
  </si>
  <si>
    <t>32XL</t>
  </si>
  <si>
    <t>36L</t>
  </si>
  <si>
    <t>40H</t>
  </si>
  <si>
    <t>72MXL</t>
  </si>
  <si>
    <t>34XL</t>
  </si>
  <si>
    <t>38L</t>
  </si>
  <si>
    <t>42H</t>
  </si>
  <si>
    <t>36XL</t>
  </si>
  <si>
    <t>40L</t>
  </si>
  <si>
    <t>44H</t>
  </si>
  <si>
    <t>38XL</t>
  </si>
  <si>
    <t>42L</t>
  </si>
  <si>
    <t>46H</t>
  </si>
  <si>
    <t>40XL</t>
  </si>
  <si>
    <t>44L</t>
  </si>
  <si>
    <t>48H</t>
  </si>
  <si>
    <t>42XL</t>
  </si>
  <si>
    <t>46L</t>
  </si>
  <si>
    <t>50H</t>
  </si>
  <si>
    <t>44XL</t>
  </si>
  <si>
    <t>48L</t>
  </si>
  <si>
    <t>60H</t>
  </si>
  <si>
    <t>欢迎给我们留言</t>
  </si>
  <si>
    <t>46XL</t>
  </si>
  <si>
    <t>50L</t>
  </si>
  <si>
    <t>　/</t>
  </si>
  <si>
    <t>72H</t>
  </si>
  <si>
    <t>48XL</t>
  </si>
  <si>
    <t>60L</t>
  </si>
  <si>
    <t>84H</t>
  </si>
  <si>
    <t>留言内容</t>
  </si>
  <si>
    <t>50XL</t>
  </si>
  <si>
    <t>72L</t>
  </si>
  <si>
    <t>96H</t>
  </si>
  <si>
    <t>60XL</t>
  </si>
  <si>
    <t>84L</t>
  </si>
  <si>
    <t>*</t>
  </si>
  <si>
    <t>72XL</t>
  </si>
  <si>
    <t>96L</t>
  </si>
  <si>
    <t>姓名</t>
  </si>
  <si>
    <t>电话</t>
  </si>
  <si>
    <t>地址</t>
  </si>
  <si>
    <t>齿高</t>
  </si>
  <si>
    <t>底圆半径</t>
  </si>
  <si>
    <t>齿槽宽</t>
  </si>
  <si>
    <t>齿顶圆半径</t>
  </si>
  <si>
    <t>齿形角</t>
  </si>
  <si>
    <t>3M</t>
  </si>
  <si>
    <t>≈14°</t>
  </si>
  <si>
    <t>邮箱</t>
  </si>
  <si>
    <t>5M</t>
  </si>
  <si>
    <t>8M</t>
  </si>
  <si>
    <t>百度提供技术支持</t>
  </si>
  <si>
    <t>14M</t>
  </si>
  <si>
    <t>发送</t>
  </si>
  <si>
    <t>节径 D</t>
  </si>
  <si>
    <t>外径Do</t>
  </si>
  <si>
    <t>15-3M</t>
  </si>
  <si>
    <t>14-5M</t>
  </si>
  <si>
    <t>22-8M</t>
  </si>
  <si>
    <t>28-14M</t>
  </si>
  <si>
    <t>16-3M</t>
  </si>
  <si>
    <t>15-5M</t>
  </si>
  <si>
    <t>23-8M</t>
  </si>
  <si>
    <t>29-14M</t>
  </si>
  <si>
    <t>17-3M</t>
  </si>
  <si>
    <t>16-5M</t>
  </si>
  <si>
    <t>24-8M</t>
  </si>
  <si>
    <t>30-14M</t>
  </si>
  <si>
    <t>18-3M</t>
  </si>
  <si>
    <t>17-5M</t>
  </si>
  <si>
    <t>25-8M</t>
  </si>
  <si>
    <t>32-14M</t>
  </si>
  <si>
    <t>19-3M</t>
  </si>
  <si>
    <t>18-5M</t>
  </si>
  <si>
    <t>26-8M</t>
  </si>
  <si>
    <t>34-14M</t>
  </si>
  <si>
    <t>20-3M</t>
  </si>
  <si>
    <t>19-5M</t>
  </si>
  <si>
    <t>27-8M</t>
  </si>
  <si>
    <t>36-14M</t>
  </si>
  <si>
    <t>21-3M</t>
  </si>
  <si>
    <t>20-5M</t>
  </si>
  <si>
    <t>28-8M</t>
  </si>
  <si>
    <t>38-14M</t>
  </si>
  <si>
    <t>22-3M</t>
  </si>
  <si>
    <t>21-5M</t>
  </si>
  <si>
    <t>30-8M</t>
  </si>
  <si>
    <t>40-14M</t>
  </si>
  <si>
    <t>23-3M</t>
  </si>
  <si>
    <t>22-5M</t>
  </si>
  <si>
    <t>32-8M</t>
  </si>
  <si>
    <t>42-14M</t>
  </si>
  <si>
    <t>24-3M</t>
  </si>
  <si>
    <t>23-5M</t>
  </si>
  <si>
    <t>34-8M</t>
  </si>
  <si>
    <t>44-14M</t>
  </si>
  <si>
    <t>25-3M</t>
  </si>
  <si>
    <t>24-5M</t>
  </si>
  <si>
    <t>36-8M</t>
  </si>
  <si>
    <t>46-14M</t>
  </si>
  <si>
    <t>26-3M</t>
  </si>
  <si>
    <t>25-5M</t>
  </si>
  <si>
    <t>38-8M</t>
  </si>
  <si>
    <t>48-14M</t>
  </si>
  <si>
    <t>27-3M</t>
  </si>
  <si>
    <t>26-5M</t>
  </si>
  <si>
    <t>40-8M</t>
  </si>
  <si>
    <t>50-14M</t>
  </si>
  <si>
    <t>28-3M</t>
  </si>
  <si>
    <t>27-5M</t>
  </si>
  <si>
    <t>42-8M</t>
  </si>
  <si>
    <t>56-14M</t>
  </si>
  <si>
    <t>30-3M</t>
  </si>
  <si>
    <t>28-5M</t>
  </si>
  <si>
    <t>44-8M</t>
  </si>
  <si>
    <t>64-14M</t>
  </si>
  <si>
    <t>32-3M</t>
  </si>
  <si>
    <t>30-5M</t>
  </si>
  <si>
    <t>46-8M</t>
  </si>
  <si>
    <t>72-14M</t>
  </si>
  <si>
    <t>34-3M</t>
  </si>
  <si>
    <t>32-5M</t>
  </si>
  <si>
    <t>48-8M</t>
  </si>
  <si>
    <t>80-14M</t>
  </si>
  <si>
    <t>36-3M</t>
  </si>
  <si>
    <t>34-5M</t>
  </si>
  <si>
    <t>50-8M</t>
  </si>
  <si>
    <t>90-14M</t>
  </si>
  <si>
    <t>38-3M</t>
  </si>
  <si>
    <t>36-5M</t>
  </si>
  <si>
    <t>64-8M</t>
  </si>
  <si>
    <t>40-3M</t>
  </si>
  <si>
    <t>38-5M</t>
  </si>
  <si>
    <t>72-8M</t>
  </si>
  <si>
    <t>42-3M</t>
  </si>
  <si>
    <t>40-5M</t>
  </si>
  <si>
    <t>80-8M</t>
  </si>
  <si>
    <t>44-3M</t>
  </si>
  <si>
    <t>42-5M</t>
  </si>
  <si>
    <t>90-8M</t>
  </si>
  <si>
    <t>46-3M</t>
  </si>
  <si>
    <t>44-5M</t>
  </si>
  <si>
    <t>112-8M</t>
  </si>
  <si>
    <t>48-3M</t>
  </si>
  <si>
    <t>46-5M</t>
  </si>
  <si>
    <t>50-3M</t>
  </si>
  <si>
    <t>48-5M</t>
  </si>
  <si>
    <t>60-3M</t>
  </si>
  <si>
    <t>50-5M</t>
  </si>
  <si>
    <t>72-3M</t>
  </si>
  <si>
    <t>60-5M</t>
  </si>
  <si>
    <t>72-5M</t>
  </si>
  <si>
    <t>步进电机选型表</t>
  </si>
  <si>
    <r>
      <rPr>
        <b/>
        <sz val="10"/>
        <rFont val="宋体"/>
        <family val="3"/>
        <charset val="134"/>
      </rPr>
      <t>相数</t>
    </r>
    <r>
      <rPr>
        <b/>
        <sz val="10"/>
        <rFont val="ˎ̥"/>
        <family val="1"/>
      </rPr>
      <t xml:space="preserve"> </t>
    </r>
  </si>
  <si>
    <r>
      <rPr>
        <b/>
        <sz val="10"/>
        <rFont val="宋体"/>
        <family val="3"/>
        <charset val="134"/>
      </rPr>
      <t>外型</t>
    </r>
    <r>
      <rPr>
        <b/>
        <sz val="10"/>
        <rFont val="ˎ̥"/>
        <family val="1"/>
      </rPr>
      <t xml:space="preserve"> </t>
    </r>
  </si>
  <si>
    <r>
      <rPr>
        <b/>
        <sz val="10"/>
        <rFont val="宋体"/>
        <family val="3"/>
        <charset val="134"/>
      </rPr>
      <t>型号</t>
    </r>
    <r>
      <rPr>
        <b/>
        <sz val="10"/>
        <rFont val="ˎ̥"/>
        <family val="1"/>
      </rPr>
      <t xml:space="preserve"> </t>
    </r>
  </si>
  <si>
    <r>
      <rPr>
        <b/>
        <sz val="10"/>
        <rFont val="宋体"/>
        <family val="3"/>
        <charset val="134"/>
      </rPr>
      <t>静扭矩</t>
    </r>
    <r>
      <rPr>
        <b/>
        <sz val="10"/>
        <rFont val="ˎ̥"/>
        <family val="1"/>
      </rPr>
      <t xml:space="preserve">(NM) </t>
    </r>
  </si>
  <si>
    <r>
      <rPr>
        <b/>
        <sz val="10"/>
        <rFont val="宋体"/>
        <family val="3"/>
        <charset val="134"/>
      </rPr>
      <t>步距角</t>
    </r>
    <r>
      <rPr>
        <b/>
        <sz val="10"/>
        <rFont val="ˎ̥"/>
        <family val="1"/>
      </rPr>
      <t xml:space="preserve">(º) </t>
    </r>
  </si>
  <si>
    <r>
      <rPr>
        <b/>
        <sz val="10"/>
        <rFont val="宋体"/>
        <family val="3"/>
        <charset val="134"/>
      </rPr>
      <t>引线数</t>
    </r>
    <r>
      <rPr>
        <b/>
        <sz val="10"/>
        <rFont val="ˎ̥"/>
        <family val="1"/>
      </rPr>
      <t xml:space="preserve"> </t>
    </r>
  </si>
  <si>
    <r>
      <rPr>
        <b/>
        <sz val="10"/>
        <rFont val="宋体"/>
        <family val="3"/>
        <charset val="134"/>
      </rPr>
      <t>相电流</t>
    </r>
    <r>
      <rPr>
        <b/>
        <sz val="10"/>
        <rFont val="ˎ̥"/>
        <family val="1"/>
      </rPr>
      <t xml:space="preserve"> </t>
    </r>
  </si>
  <si>
    <r>
      <rPr>
        <b/>
        <sz val="10"/>
        <rFont val="宋体"/>
        <family val="3"/>
        <charset val="134"/>
      </rPr>
      <t>电阻</t>
    </r>
    <r>
      <rPr>
        <b/>
        <sz val="10"/>
        <rFont val="ˎ̥"/>
        <family val="1"/>
      </rPr>
      <t xml:space="preserve">(Ω) </t>
    </r>
  </si>
  <si>
    <r>
      <rPr>
        <b/>
        <sz val="10"/>
        <rFont val="宋体"/>
        <family val="3"/>
        <charset val="134"/>
      </rPr>
      <t>电感</t>
    </r>
    <r>
      <rPr>
        <b/>
        <sz val="10"/>
        <rFont val="ˎ̥"/>
        <family val="1"/>
      </rPr>
      <t xml:space="preserve">(mH) </t>
    </r>
  </si>
  <si>
    <r>
      <rPr>
        <b/>
        <sz val="10"/>
        <rFont val="宋体"/>
        <family val="3"/>
        <charset val="134"/>
      </rPr>
      <t>长度</t>
    </r>
    <r>
      <rPr>
        <b/>
        <sz val="10"/>
        <rFont val="ˎ̥"/>
        <family val="1"/>
      </rPr>
      <t>L(mm)</t>
    </r>
  </si>
  <si>
    <r>
      <rPr>
        <b/>
        <sz val="10"/>
        <rFont val="宋体"/>
        <family val="3"/>
        <charset val="134"/>
      </rPr>
      <t>转子惯量</t>
    </r>
    <r>
      <rPr>
        <b/>
        <sz val="10"/>
        <rFont val="ˎ̥"/>
        <family val="1"/>
      </rPr>
      <t xml:space="preserve">(g.cm²) </t>
    </r>
  </si>
  <si>
    <r>
      <rPr>
        <b/>
        <sz val="10"/>
        <rFont val="宋体"/>
        <family val="3"/>
        <charset val="134"/>
      </rPr>
      <t>重量</t>
    </r>
    <r>
      <rPr>
        <b/>
        <sz val="10"/>
        <rFont val="ˎ̥"/>
        <family val="1"/>
      </rPr>
      <t xml:space="preserve">(kg) </t>
    </r>
  </si>
  <si>
    <r>
      <rPr>
        <b/>
        <sz val="10"/>
        <rFont val="宋体"/>
        <family val="3"/>
        <charset val="134"/>
      </rPr>
      <t>适配驱动器</t>
    </r>
    <r>
      <rPr>
        <b/>
        <sz val="10"/>
        <rFont val="ˎ̥"/>
        <family val="1"/>
      </rPr>
      <t xml:space="preserve"> </t>
    </r>
  </si>
  <si>
    <r>
      <rPr>
        <b/>
        <sz val="10"/>
        <rFont val="宋体"/>
        <family val="3"/>
        <charset val="134"/>
      </rPr>
      <t>串联</t>
    </r>
    <r>
      <rPr>
        <b/>
        <sz val="10"/>
        <rFont val="ˎ̥"/>
        <family val="1"/>
      </rPr>
      <t xml:space="preserve"> </t>
    </r>
  </si>
  <si>
    <r>
      <rPr>
        <b/>
        <sz val="10"/>
        <rFont val="宋体"/>
        <family val="3"/>
        <charset val="134"/>
      </rPr>
      <t>并联</t>
    </r>
    <r>
      <rPr>
        <b/>
        <sz val="10"/>
        <rFont val="ˎ̥"/>
        <family val="1"/>
      </rPr>
      <t xml:space="preserve"> </t>
    </r>
  </si>
  <si>
    <t>两
相
步
进
电
机</t>
  </si>
  <si>
    <t>39HS01</t>
  </si>
  <si>
    <t>EZM322</t>
  </si>
  <si>
    <t>39HS02</t>
  </si>
  <si>
    <t>42HS02</t>
  </si>
  <si>
    <t>42HS03</t>
  </si>
  <si>
    <t>57HS04</t>
  </si>
  <si>
    <t>EZM542</t>
  </si>
  <si>
    <t>57HS06</t>
  </si>
  <si>
    <t>57HS09</t>
  </si>
  <si>
    <t>57HS13</t>
  </si>
  <si>
    <t>86HS35</t>
  </si>
  <si>
    <t>EZM872</t>
  </si>
  <si>
    <t>86HS45</t>
  </si>
  <si>
    <t>86HS85</t>
  </si>
  <si>
    <t>110HS10</t>
  </si>
  <si>
    <t>EZM1172/EZM2272</t>
  </si>
  <si>
    <t>110HS20</t>
  </si>
  <si>
    <t>三
相
步
进
电
机</t>
  </si>
  <si>
    <t>573S05</t>
  </si>
  <si>
    <t>3EZM580</t>
  </si>
  <si>
    <t>573S09</t>
  </si>
  <si>
    <t>573S15</t>
  </si>
  <si>
    <t>863S22</t>
  </si>
  <si>
    <t>3EZM880</t>
  </si>
  <si>
    <t>863S42</t>
  </si>
  <si>
    <t>863S68H</t>
  </si>
  <si>
    <t>控制事业部由资深控制和电机专家组成，公司设计开发了DSP控制技术，全数字步进驱动系列产品，产品包括标准型EZM系列、控制型EZD系列和简易网络型EZN系列。英纳仕电气设计开发的数字式步进驱动产品突出特点如下：
    1、具有PLC接线接口，控制信号可以PLC直接连接；
    2、具有低噪声、高平稳性、低振动和低发热等特点；
    3、具有高加速和高起跳速度特点；
    4、具有电机缺相、过压、过流和短路保护；
    5、最高细分为512，最小细分单位为1；
    6、具有交直流输入版本。</t>
  </si>
  <si>
    <t>工作电压</t>
  </si>
  <si>
    <t>推荐工作电压</t>
  </si>
  <si>
    <t>工作电流（A）</t>
  </si>
  <si>
    <t>使用电机</t>
  </si>
  <si>
    <t>备注</t>
  </si>
  <si>
    <t>12~30VDC</t>
  </si>
  <si>
    <t>12~24VDC</t>
  </si>
  <si>
    <t>0.5~2.2</t>
  </si>
  <si>
    <t>35 39 42</t>
  </si>
  <si>
    <r>
      <rPr>
        <b/>
        <sz val="10"/>
        <rFont val="宋体"/>
        <family val="3"/>
        <charset val="134"/>
      </rPr>
      <t>标准型EZM系列数字步进驱动器主要特点：</t>
    </r>
    <r>
      <rPr>
        <sz val="10"/>
        <rFont val="宋体"/>
        <family val="3"/>
        <charset val="134"/>
      </rPr>
      <t xml:space="preserve">
1、在传统标准差分控制信号接口上，具有PLC接线接口，控制型号可以与PLC直接连接；
2、具有低噪声、高平稳性、低振动和低发热特点；
3、具有高加速和高起跳速度特点；
4、具有电机缺相、过压、过流和短路保护；
5、具有高细分，最高512，最细分单位为1；
6、具有交直流输入电源版本；
</t>
    </r>
    <r>
      <rPr>
        <b/>
        <sz val="10"/>
        <rFont val="宋体"/>
        <family val="3"/>
        <charset val="134"/>
      </rPr>
      <t>EZM适用领域：</t>
    </r>
    <r>
      <rPr>
        <sz val="10"/>
        <rFont val="宋体"/>
        <family val="3"/>
        <charset val="134"/>
      </rPr>
      <t xml:space="preserve">
激光加工、医疗机械、生化仪器、小型数控系统、雕刻、包装等领域。
</t>
    </r>
  </si>
  <si>
    <t>EZM552</t>
  </si>
  <si>
    <t>20~50VDC</t>
  </si>
  <si>
    <t>24~36VDC</t>
  </si>
  <si>
    <t>0.5~5.2</t>
  </si>
  <si>
    <t>42 57</t>
  </si>
  <si>
    <t>30~80VDC</t>
  </si>
  <si>
    <t>36~60VDC</t>
  </si>
  <si>
    <t>2.0~7.2</t>
  </si>
  <si>
    <t>57 86</t>
  </si>
  <si>
    <t>EZM872A</t>
  </si>
  <si>
    <t>20~60VAC</t>
  </si>
  <si>
    <t>24~48VAC</t>
  </si>
  <si>
    <t>EZM872H</t>
  </si>
  <si>
    <t>30~80VAC</t>
  </si>
  <si>
    <t>36~60VAC</t>
  </si>
  <si>
    <t>86 110</t>
  </si>
  <si>
    <t>EZM1172</t>
  </si>
  <si>
    <t>80~150VAC</t>
  </si>
  <si>
    <t>110VAC</t>
  </si>
  <si>
    <t>110 130</t>
  </si>
  <si>
    <t>150~230VAC</t>
  </si>
  <si>
    <t>220VAC</t>
  </si>
  <si>
    <t>2.0~8.0</t>
  </si>
  <si>
    <t>3EZM880A</t>
  </si>
  <si>
    <t>3EZM880H</t>
  </si>
  <si>
    <t>3EZM1180</t>
  </si>
  <si>
    <t>3EZM2280</t>
  </si>
  <si>
    <t>EZD552</t>
  </si>
  <si>
    <t>2.0~5.2</t>
  </si>
  <si>
    <r>
      <rPr>
        <b/>
        <sz val="10"/>
        <rFont val="宋体"/>
        <family val="3"/>
        <charset val="134"/>
      </rPr>
      <t>控制型EZD系列数字步进驱动器主要特点：</t>
    </r>
    <r>
      <rPr>
        <sz val="10"/>
        <rFont val="宋体"/>
        <family val="3"/>
        <charset val="134"/>
      </rPr>
      <t xml:space="preserve">
1、具有速度控制指令模式，无需外部控制脉冲实现对电机精确控制；
2、具有低噪声、高平稳性、低振动和低发热特点；
3、具有电机缺相、过压、过流和短路保护；
4、具有限位保护功能</t>
    </r>
  </si>
  <si>
    <t>EZD872</t>
  </si>
  <si>
    <t>30~60VDC</t>
  </si>
  <si>
    <t>EZD872A</t>
  </si>
  <si>
    <t>EZD872H</t>
  </si>
  <si>
    <t>EZN552</t>
  </si>
  <si>
    <r>
      <rPr>
        <b/>
        <sz val="10"/>
        <rFont val="宋体"/>
        <family val="3"/>
        <charset val="134"/>
      </rPr>
      <t>简易网络型EZN系列数字步进驱动器主要特点：</t>
    </r>
    <r>
      <rPr>
        <sz val="10"/>
        <rFont val="宋体"/>
        <family val="3"/>
        <charset val="134"/>
      </rPr>
      <t xml:space="preserve">
1、具有RS485通讯接口和modebus通讯协议，可通过控制指令实现对电机精准控制；
2、具有低噪声、高平稳性、低振动和低发热特点；
3、具有电机缺相、过压、过流和短路保护；
4、具有回原点和限位保护功能；</t>
    </r>
  </si>
  <si>
    <t>EZN872</t>
  </si>
  <si>
    <t>EZN872A</t>
  </si>
  <si>
    <t>EZN872H</t>
  </si>
  <si>
    <t>常用金属密度表</t>
  </si>
  <si>
    <t>常用金属材料密度表，包括黑色、有色金属材料及其合金材料的密度。      </t>
  </si>
  <si>
    <t>材料名称</t>
  </si>
  <si>
    <t>密度</t>
  </si>
  <si>
    <r>
      <rPr>
        <sz val="9"/>
        <rFont val="宋体"/>
        <family val="3"/>
        <charset val="134"/>
      </rPr>
      <t>克/厘米</t>
    </r>
    <r>
      <rPr>
        <vertAlign val="superscript"/>
        <sz val="9"/>
        <rFont val="宋体"/>
        <family val="3"/>
        <charset val="134"/>
      </rPr>
      <t>3</t>
    </r>
  </si>
  <si>
    <t>灰口铸铁</t>
  </si>
  <si>
    <t>6.6~7.4</t>
  </si>
  <si>
    <t>1Crl8NillNb、Cr23Ni18</t>
  </si>
  <si>
    <t>白口铸铁</t>
  </si>
  <si>
    <t>7.4~7.7</t>
  </si>
  <si>
    <t>2Cr13Ni4Mn9</t>
  </si>
  <si>
    <t>可锻铸铁</t>
  </si>
  <si>
    <t>7.2~7.4</t>
  </si>
  <si>
    <t>3Cr13Ni7Si2</t>
  </si>
  <si>
    <t>铸钢</t>
  </si>
  <si>
    <t>纯铜材</t>
  </si>
  <si>
    <t>工业纯铁</t>
  </si>
  <si>
    <t>59、62、65、68黄铜</t>
  </si>
  <si>
    <t>普通碳素钢</t>
  </si>
  <si>
    <t>80、85、90黄铜</t>
  </si>
  <si>
    <t>优质碳素钢</t>
  </si>
  <si>
    <t>96黄铜</t>
  </si>
  <si>
    <t>碳素工具钢</t>
  </si>
  <si>
    <t>59-1、63-3铅黄铜</t>
  </si>
  <si>
    <t>易切钢</t>
  </si>
  <si>
    <t>74-3铅黄铜</t>
  </si>
  <si>
    <t>锰钢</t>
  </si>
  <si>
    <t>90-1锡黄铜</t>
  </si>
  <si>
    <t>15CrA铬钢</t>
  </si>
  <si>
    <t>70-1锡黄铜</t>
  </si>
  <si>
    <t>20Cr、30Cr、40Cr铬钢</t>
  </si>
  <si>
    <t>60-1和62-1锡黄铜</t>
  </si>
  <si>
    <t>38CrA铬钢</t>
  </si>
  <si>
    <t>77-2铝黄铜</t>
  </si>
  <si>
    <t>铬钒、铬镍、铬镍钼、铬锰、硅、铬锰硅镍、硅锰、硅铬钢</t>
  </si>
  <si>
    <t>67-2.5、66-6-3-2、60-1-1铝黄铜</t>
  </si>
  <si>
    <t>镍黄铜</t>
  </si>
  <si>
    <t>铬镍钨钢</t>
  </si>
  <si>
    <t>锰黄铜</t>
  </si>
  <si>
    <t>铬钼铝钢</t>
  </si>
  <si>
    <t>硅黄铜、镍黄铜、铁黄铜</t>
  </si>
  <si>
    <t>含钨9高速工具钢</t>
  </si>
  <si>
    <t>5-5-5铸锡青铜</t>
  </si>
  <si>
    <t>含钨18高速工具钢</t>
  </si>
  <si>
    <t>3-12-5铸锡青铜</t>
  </si>
  <si>
    <t>高强度合金钢</t>
  </si>
  <si>
    <t>6-6-3铸锡青铜</t>
  </si>
  <si>
    <t>轴承钢</t>
  </si>
  <si>
    <t>7-0.2、6.5-0.4、6.5-0.1、4-3锡青铜</t>
  </si>
  <si>
    <t>0Cr13、1Cr13、2Cr13、3Cr13、4Cr13、Cr17Ni2、Cr18、9Cr18、Cr25、Cr28</t>
  </si>
  <si>
    <t>4-0.3、4-4-4锡青铜</t>
  </si>
  <si>
    <t>Cr14、Cr17</t>
  </si>
  <si>
    <t>4-4-2.5锡青铜</t>
  </si>
  <si>
    <t>0Cr18Ni9、1Cr18Ni9、Cr18Ni9Ti、2Cr18Ni9</t>
  </si>
  <si>
    <t>5铝青铜</t>
  </si>
  <si>
    <t>1Cr18Ni11Si4A1Ti</t>
  </si>
  <si>
    <t>锻铝</t>
  </si>
  <si>
    <t>LD8</t>
  </si>
  <si>
    <t>7铝青铜</t>
  </si>
  <si>
    <t>LD7、LD9、LD10</t>
  </si>
  <si>
    <t>19-2铝青铜</t>
  </si>
  <si>
    <t>超硬铝</t>
  </si>
  <si>
    <t>9-4、10-3-1.5铝青铜</t>
  </si>
  <si>
    <t>LT1特殊铝</t>
  </si>
  <si>
    <t>10-4-4铝青铜</t>
  </si>
  <si>
    <t>工业纯镁</t>
  </si>
  <si>
    <t>铍青铜</t>
  </si>
  <si>
    <t>变形镁</t>
  </si>
  <si>
    <t>MB1</t>
  </si>
  <si>
    <t>3-1硅青铜</t>
  </si>
  <si>
    <t>MB2、MB8</t>
  </si>
  <si>
    <t>1-3硅青铜</t>
  </si>
  <si>
    <t>MB3</t>
  </si>
  <si>
    <t>1铍青铜</t>
  </si>
  <si>
    <t>MB5、MB6、MB7、MB15</t>
  </si>
  <si>
    <t>0.5镉青铜</t>
  </si>
  <si>
    <t>铸镁</t>
  </si>
  <si>
    <t>0.5铬青铜</t>
  </si>
  <si>
    <t>工业纯钛（TA1、TA2、TA3）</t>
  </si>
  <si>
    <t>1.5锰青铜</t>
  </si>
  <si>
    <t>钛合金</t>
  </si>
  <si>
    <t>TA4、TA5、TC6</t>
  </si>
  <si>
    <t>5锰青铜</t>
  </si>
  <si>
    <t>TA6</t>
  </si>
  <si>
    <t>白铜</t>
  </si>
  <si>
    <t>B5、B19、B30、BMn40-1.5</t>
  </si>
  <si>
    <t>TA7、TC5</t>
  </si>
  <si>
    <t>BMn3-12</t>
  </si>
  <si>
    <t>TA8</t>
  </si>
  <si>
    <t>BZN15-20</t>
  </si>
  <si>
    <t>TB1、TB2</t>
  </si>
  <si>
    <t>BA16-1.5</t>
  </si>
  <si>
    <t>TC1、TC2</t>
  </si>
  <si>
    <t>BA113-3</t>
  </si>
  <si>
    <t>TC3、TC4</t>
  </si>
  <si>
    <t>纯铝</t>
  </si>
  <si>
    <t>TC7</t>
  </si>
  <si>
    <t>防锈铝</t>
  </si>
  <si>
    <t>LF2、LF43</t>
  </si>
  <si>
    <t>TC8</t>
  </si>
  <si>
    <t>LF3</t>
  </si>
  <si>
    <t>TC9</t>
  </si>
  <si>
    <t>LF5、LF10、LF11</t>
  </si>
  <si>
    <t>TC10</t>
  </si>
  <si>
    <t>LF6</t>
  </si>
  <si>
    <t>纯镍、阳极镍、电真空镍</t>
  </si>
  <si>
    <t>LF21</t>
  </si>
  <si>
    <t>镍铜、镍镁、镍硅合金</t>
  </si>
  <si>
    <t>硬铝</t>
  </si>
  <si>
    <t>LY1、LY2、LY4、LY6</t>
  </si>
  <si>
    <t>镍铬合金</t>
  </si>
  <si>
    <t>LY3</t>
  </si>
  <si>
    <t>锌锭（Zn0.1、Zn1、Zn2、Zn3）</t>
  </si>
  <si>
    <t>LY7、LY8、LY10、LY11、LY14</t>
  </si>
  <si>
    <t>铸锌</t>
  </si>
  <si>
    <t>LY9、LY12</t>
  </si>
  <si>
    <t>4-1铸造锌铝合金</t>
  </si>
  <si>
    <t>LY16、LY17</t>
  </si>
  <si>
    <t>4-0.5铸造锌铝合金</t>
  </si>
  <si>
    <t>LD2、LD30</t>
  </si>
  <si>
    <t>铅和铅锑合金</t>
  </si>
  <si>
    <t>LD4</t>
  </si>
  <si>
    <t>铅阳极板</t>
  </si>
  <si>
    <t>LD5</t>
  </si>
  <si>
    <t>KALLER氮气弹簧压力计算</t>
  </si>
  <si>
    <t>型    号：</t>
  </si>
  <si>
    <t>CU_420</t>
  </si>
  <si>
    <t>规    格：</t>
  </si>
  <si>
    <t>CU 420-006</t>
  </si>
  <si>
    <t>使用行程：</t>
  </si>
  <si>
    <t>多变指数：</t>
  </si>
  <si>
    <t>描  述</t>
  </si>
  <si>
    <t>最大行程：</t>
  </si>
  <si>
    <t>初始压力：</t>
  </si>
  <si>
    <t>终止压力：</t>
  </si>
  <si>
    <t>计算结果：</t>
  </si>
  <si>
    <t>Fs=4250×{6/[6-0×(1-4250/7000)]}^1</t>
  </si>
  <si>
    <r>
      <rPr>
        <sz val="10"/>
        <rFont val="Arial"/>
        <family val="2"/>
      </rPr>
      <t>Coil diameter</t>
    </r>
    <r>
      <rPr>
        <sz val="10"/>
        <rFont val="宋体"/>
        <family val="3"/>
        <charset val="134"/>
      </rPr>
      <t>钢丝直径</t>
    </r>
  </si>
  <si>
    <t>弹簧中径</t>
  </si>
  <si>
    <r>
      <rPr>
        <sz val="12"/>
        <rFont val="宋体"/>
        <family val="3"/>
        <charset val="134"/>
      </rPr>
      <t>Mean spring diameter</t>
    </r>
    <r>
      <rPr>
        <sz val="10"/>
        <rFont val="宋体"/>
        <family val="3"/>
        <charset val="134"/>
      </rPr>
      <t>弹簧外径</t>
    </r>
  </si>
  <si>
    <r>
      <rPr>
        <sz val="12"/>
        <rFont val="宋体"/>
        <family val="3"/>
        <charset val="134"/>
      </rPr>
      <t>Number of usefull coil</t>
    </r>
    <r>
      <rPr>
        <sz val="10"/>
        <rFont val="宋体"/>
        <family val="3"/>
        <charset val="134"/>
      </rPr>
      <t>有效圈数</t>
    </r>
  </si>
  <si>
    <r>
      <rPr>
        <sz val="12"/>
        <rFont val="宋体"/>
        <family val="3"/>
        <charset val="134"/>
      </rPr>
      <t>Number of coil</t>
    </r>
    <r>
      <rPr>
        <sz val="10"/>
        <rFont val="宋体"/>
        <family val="3"/>
        <charset val="134"/>
      </rPr>
      <t>总圈数</t>
    </r>
  </si>
  <si>
    <r>
      <rPr>
        <sz val="12"/>
        <rFont val="宋体"/>
        <family val="3"/>
        <charset val="134"/>
      </rPr>
      <t>Axial coil pitch</t>
    </r>
    <r>
      <rPr>
        <sz val="10"/>
        <rFont val="宋体"/>
        <family val="3"/>
        <charset val="134"/>
      </rPr>
      <t>轴向节距</t>
    </r>
  </si>
  <si>
    <t>(0.28-0.5)D2</t>
  </si>
  <si>
    <t>间距</t>
  </si>
  <si>
    <t>自由高度</t>
  </si>
  <si>
    <t>压缩弹簧高径比</t>
  </si>
  <si>
    <r>
      <rPr>
        <sz val="10"/>
        <rFont val="宋体"/>
        <family val="3"/>
        <charset val="134"/>
      </rPr>
      <t>两端固定</t>
    </r>
    <r>
      <rPr>
        <sz val="12"/>
        <rFont val="宋体"/>
        <family val="3"/>
        <charset val="134"/>
        <scheme val="minor"/>
      </rPr>
      <t>&lt;5.3,</t>
    </r>
    <r>
      <rPr>
        <sz val="10"/>
        <rFont val="宋体"/>
        <family val="3"/>
        <charset val="134"/>
      </rPr>
      <t>一端固定</t>
    </r>
    <r>
      <rPr>
        <sz val="12"/>
        <rFont val="宋体"/>
        <family val="3"/>
        <charset val="134"/>
        <scheme val="minor"/>
      </rPr>
      <t>&lt;3.7,</t>
    </r>
    <r>
      <rPr>
        <sz val="10"/>
        <rFont val="宋体"/>
        <family val="3"/>
        <charset val="134"/>
      </rPr>
      <t>两端回转</t>
    </r>
    <r>
      <rPr>
        <sz val="12"/>
        <rFont val="宋体"/>
        <family val="3"/>
        <charset val="134"/>
        <scheme val="minor"/>
      </rPr>
      <t>&lt;2.6</t>
    </r>
  </si>
  <si>
    <r>
      <rPr>
        <b/>
        <sz val="10"/>
        <rFont val="Arial"/>
        <family val="2"/>
      </rPr>
      <t>Calcul results</t>
    </r>
    <r>
      <rPr>
        <b/>
        <sz val="10"/>
        <rFont val="宋体"/>
        <family val="3"/>
        <charset val="134"/>
      </rPr>
      <t>计算结果</t>
    </r>
  </si>
  <si>
    <r>
      <rPr>
        <sz val="12"/>
        <rFont val="宋体"/>
        <family val="3"/>
        <charset val="134"/>
      </rPr>
      <t>coils in toutch</t>
    </r>
    <r>
      <rPr>
        <sz val="10"/>
        <rFont val="宋体"/>
        <family val="3"/>
        <charset val="134"/>
      </rPr>
      <t>并圈</t>
    </r>
  </si>
  <si>
    <r>
      <rPr>
        <sz val="12"/>
        <rFont val="宋体"/>
        <family val="3"/>
        <charset val="134"/>
      </rPr>
      <t>In place</t>
    </r>
    <r>
      <rPr>
        <sz val="10"/>
        <rFont val="宋体"/>
        <family val="3"/>
        <charset val="134"/>
      </rPr>
      <t>安装</t>
    </r>
  </si>
  <si>
    <r>
      <rPr>
        <sz val="12"/>
        <rFont val="宋体"/>
        <family val="3"/>
        <charset val="134"/>
      </rPr>
      <t>Maximum</t>
    </r>
    <r>
      <rPr>
        <sz val="10"/>
        <rFont val="宋体"/>
        <family val="3"/>
        <charset val="134"/>
      </rPr>
      <t>最大</t>
    </r>
  </si>
  <si>
    <r>
      <rPr>
        <sz val="12"/>
        <rFont val="宋体"/>
        <family val="3"/>
        <charset val="134"/>
      </rPr>
      <t>Height</t>
    </r>
    <r>
      <rPr>
        <sz val="10"/>
        <rFont val="宋体"/>
        <family val="3"/>
        <charset val="134"/>
      </rPr>
      <t>高度</t>
    </r>
  </si>
  <si>
    <r>
      <rPr>
        <sz val="12"/>
        <rFont val="宋体"/>
        <family val="3"/>
        <charset val="134"/>
      </rPr>
      <t>Load</t>
    </r>
    <r>
      <rPr>
        <sz val="10"/>
        <rFont val="宋体"/>
        <family val="3"/>
        <charset val="134"/>
      </rPr>
      <t>负荷</t>
    </r>
  </si>
  <si>
    <t>安装预压缩力要求</t>
  </si>
  <si>
    <t>PI()*d0^2/4*deltap</t>
  </si>
  <si>
    <t>气门全开时惯性力</t>
  </si>
  <si>
    <t>气门升程</t>
  </si>
  <si>
    <r>
      <rPr>
        <sz val="12"/>
        <rFont val="宋体"/>
        <family val="3"/>
        <charset val="134"/>
      </rPr>
      <t>Stiffness</t>
    </r>
    <r>
      <rPr>
        <sz val="10"/>
        <rFont val="宋体"/>
        <family val="3"/>
        <charset val="134"/>
      </rPr>
      <t>刚度</t>
    </r>
  </si>
  <si>
    <t>N/mm</t>
  </si>
  <si>
    <r>
      <rPr>
        <sz val="12"/>
        <rFont val="宋体"/>
        <family val="3"/>
        <charset val="134"/>
      </rPr>
      <t>Stress</t>
    </r>
    <r>
      <rPr>
        <sz val="10"/>
        <rFont val="宋体"/>
        <family val="3"/>
        <charset val="134"/>
      </rPr>
      <t>应力</t>
    </r>
  </si>
  <si>
    <t>MPa</t>
  </si>
  <si>
    <r>
      <rPr>
        <sz val="12"/>
        <rFont val="宋体"/>
        <family val="3"/>
        <charset val="134"/>
      </rPr>
      <t>Natural frequency</t>
    </r>
    <r>
      <rPr>
        <sz val="10"/>
        <rFont val="宋体"/>
        <family val="3"/>
        <charset val="134"/>
      </rPr>
      <t>自振频率</t>
    </r>
  </si>
  <si>
    <t>Hz</t>
  </si>
  <si>
    <t>弹簧展开长度</t>
  </si>
  <si>
    <r>
      <rPr>
        <sz val="10"/>
        <rFont val="宋体"/>
        <family val="3"/>
        <charset val="134"/>
      </rPr>
      <t>螺旋角……</t>
    </r>
    <r>
      <rPr>
        <sz val="12"/>
        <rFont val="宋体"/>
        <family val="3"/>
        <charset val="134"/>
        <scheme val="minor"/>
      </rPr>
      <t>r</t>
    </r>
  </si>
  <si>
    <r>
      <rPr>
        <sz val="12"/>
        <rFont val="宋体"/>
        <family val="3"/>
        <charset val="134"/>
      </rPr>
      <t>(5-9</t>
    </r>
    <r>
      <rPr>
        <sz val="10"/>
        <rFont val="宋体"/>
        <family val="3"/>
        <charset val="134"/>
      </rPr>
      <t>）度范围内</t>
    </r>
  </si>
  <si>
    <r>
      <rPr>
        <sz val="12"/>
        <rFont val="宋体"/>
        <family val="3"/>
        <charset val="134"/>
      </rPr>
      <t xml:space="preserve">SHOT BLASTED CHARACTERISTICS </t>
    </r>
    <r>
      <rPr>
        <sz val="10"/>
        <rFont val="宋体"/>
        <family val="3"/>
        <charset val="134"/>
      </rPr>
      <t>喷丸处理材料性能</t>
    </r>
  </si>
  <si>
    <t>50CrVA</t>
  </si>
  <si>
    <t>60Si2CrA</t>
  </si>
  <si>
    <t>65Mn</t>
  </si>
  <si>
    <t>60Si2CrVA</t>
  </si>
  <si>
    <r>
      <rPr>
        <sz val="12"/>
        <rFont val="宋体"/>
        <family val="3"/>
        <charset val="134"/>
      </rPr>
      <t>Shear modulus</t>
    </r>
    <r>
      <rPr>
        <sz val="10"/>
        <rFont val="宋体"/>
        <family val="3"/>
        <charset val="134"/>
      </rPr>
      <t>剪切弹性模量</t>
    </r>
  </si>
  <si>
    <r>
      <rPr>
        <sz val="10"/>
        <rFont val="宋体"/>
        <family val="3"/>
        <charset val="134"/>
      </rPr>
      <t>弹性模量</t>
    </r>
    <r>
      <rPr>
        <sz val="12"/>
        <rFont val="宋体"/>
        <family val="3"/>
        <charset val="134"/>
        <scheme val="minor"/>
      </rPr>
      <t>_E</t>
    </r>
  </si>
  <si>
    <r>
      <rPr>
        <sz val="12"/>
        <rFont val="宋体"/>
        <family val="3"/>
        <charset val="134"/>
      </rPr>
      <t>Ultimate strength</t>
    </r>
    <r>
      <rPr>
        <sz val="10"/>
        <rFont val="宋体"/>
        <family val="3"/>
        <charset val="134"/>
      </rPr>
      <t>极限强度</t>
    </r>
    <r>
      <rPr>
        <sz val="12"/>
        <rFont val="宋体"/>
        <family val="3"/>
        <charset val="134"/>
        <scheme val="minor"/>
      </rPr>
      <t>deta_b</t>
    </r>
  </si>
  <si>
    <t>许用切应力</t>
  </si>
  <si>
    <r>
      <rPr>
        <sz val="12"/>
        <rFont val="宋体"/>
        <family val="3"/>
        <charset val="134"/>
      </rPr>
      <t>K_</t>
    </r>
    <r>
      <rPr>
        <sz val="10"/>
        <rFont val="宋体"/>
        <family val="3"/>
        <charset val="134"/>
      </rPr>
      <t>曲度系数</t>
    </r>
  </si>
  <si>
    <r>
      <rPr>
        <sz val="12"/>
        <rFont val="宋体"/>
        <family val="3"/>
        <charset val="134"/>
      </rPr>
      <t>C_</t>
    </r>
    <r>
      <rPr>
        <sz val="10"/>
        <rFont val="宋体"/>
        <family val="3"/>
        <charset val="134"/>
      </rPr>
      <t>旋绕比</t>
    </r>
  </si>
  <si>
    <r>
      <rPr>
        <sz val="12"/>
        <rFont val="宋体"/>
        <family val="3"/>
        <charset val="134"/>
      </rPr>
      <t>D2_</t>
    </r>
    <r>
      <rPr>
        <sz val="10"/>
        <rFont val="宋体"/>
        <family val="3"/>
        <charset val="134"/>
      </rPr>
      <t>弹簧中径</t>
    </r>
  </si>
  <si>
    <t>凸轮轴最高转速</t>
  </si>
  <si>
    <r>
      <rPr>
        <sz val="10"/>
        <rFont val="宋体"/>
        <family val="3"/>
        <charset val="134"/>
      </rPr>
      <t>转</t>
    </r>
    <r>
      <rPr>
        <sz val="12"/>
        <rFont val="宋体"/>
        <family val="3"/>
        <charset val="134"/>
        <scheme val="minor"/>
      </rPr>
      <t>/</t>
    </r>
    <r>
      <rPr>
        <sz val="10"/>
        <rFont val="宋体"/>
        <family val="3"/>
        <charset val="134"/>
      </rPr>
      <t>分</t>
    </r>
  </si>
  <si>
    <r>
      <rPr>
        <sz val="12"/>
        <rFont val="宋体"/>
        <family val="3"/>
        <charset val="134"/>
      </rPr>
      <t>ne_</t>
    </r>
    <r>
      <rPr>
        <sz val="10"/>
        <rFont val="宋体"/>
        <family val="3"/>
        <charset val="134"/>
      </rPr>
      <t>弹簧自振频率</t>
    </r>
  </si>
  <si>
    <r>
      <rPr>
        <sz val="10"/>
        <rFont val="宋体"/>
        <family val="3"/>
        <charset val="134"/>
      </rPr>
      <t>次</t>
    </r>
    <r>
      <rPr>
        <sz val="12"/>
        <rFont val="宋体"/>
        <family val="3"/>
        <charset val="134"/>
        <scheme val="minor"/>
      </rPr>
      <t>/</t>
    </r>
    <r>
      <rPr>
        <sz val="10"/>
        <rFont val="宋体"/>
        <family val="3"/>
        <charset val="134"/>
      </rPr>
      <t>分</t>
    </r>
  </si>
  <si>
    <r>
      <rPr>
        <sz val="10"/>
        <rFont val="宋体"/>
        <family val="3"/>
        <charset val="134"/>
      </rPr>
      <t>自振频率</t>
    </r>
    <r>
      <rPr>
        <sz val="12"/>
        <rFont val="宋体"/>
        <family val="3"/>
        <charset val="134"/>
        <scheme val="minor"/>
      </rPr>
      <t>/</t>
    </r>
    <r>
      <rPr>
        <sz val="10"/>
        <rFont val="宋体"/>
        <family val="3"/>
        <charset val="134"/>
      </rPr>
      <t>凸轮最高转速</t>
    </r>
  </si>
  <si>
    <r>
      <rPr>
        <sz val="10"/>
        <color indexed="10"/>
        <rFont val="宋体"/>
        <family val="3"/>
        <charset val="134"/>
      </rPr>
      <t>（气门弹簧必须大于</t>
    </r>
    <r>
      <rPr>
        <sz val="10"/>
        <color indexed="10"/>
        <rFont val="Arial"/>
        <family val="2"/>
      </rPr>
      <t>10</t>
    </r>
    <r>
      <rPr>
        <sz val="10"/>
        <color indexed="10"/>
        <rFont val="宋体"/>
        <family val="3"/>
        <charset val="134"/>
      </rPr>
      <t>－</t>
    </r>
    <r>
      <rPr>
        <sz val="10"/>
        <color indexed="10"/>
        <rFont val="Arial"/>
        <family val="2"/>
      </rPr>
      <t>14</t>
    </r>
    <r>
      <rPr>
        <sz val="10"/>
        <color indexed="10"/>
        <rFont val="宋体"/>
        <family val="3"/>
        <charset val="134"/>
      </rPr>
      <t>）</t>
    </r>
  </si>
  <si>
    <t>单位计算</t>
  </si>
  <si>
    <t>请直接输入带有黄色的数值</t>
  </si>
  <si>
    <t>kgf/c㎡</t>
  </si>
  <si>
    <t>Kpa</t>
  </si>
  <si>
    <t>kgf</t>
  </si>
  <si>
    <t>N(牛顿)</t>
  </si>
  <si>
    <t>桶容量计算公式</t>
  </si>
  <si>
    <t>桶直径(mm)</t>
  </si>
  <si>
    <t>桶高度(mm)</t>
  </si>
  <si>
    <t>桶容量L</t>
  </si>
  <si>
    <t>Mpa</t>
  </si>
  <si>
    <t>Kgf/c㎡</t>
  </si>
  <si>
    <t>Pa</t>
  </si>
  <si>
    <t>Kg/C㎡</t>
  </si>
  <si>
    <t>马力</t>
  </si>
  <si>
    <t>瓦</t>
  </si>
  <si>
    <t>1米制马力=735.49875瓦</t>
  </si>
  <si>
    <t xml:space="preserve">100KW=100000÷735.49875≈136米制马力 </t>
  </si>
  <si>
    <t>1英制马力=745.699872瓦</t>
  </si>
  <si>
    <t>100KW=100000÷745.699872≈134英制马力</t>
  </si>
  <si>
    <t>气缸参数</t>
  </si>
  <si>
    <t>标准输出力</t>
  </si>
  <si>
    <t>具体使用情况出力</t>
  </si>
  <si>
    <t>1.当使用速度V≥500mm/s时</t>
  </si>
  <si>
    <t>2.当使用速度V≤500mm/s时</t>
  </si>
  <si>
    <t>3.静压力时</t>
  </si>
  <si>
    <t>4.受力为垂直方向</t>
  </si>
  <si>
    <t>5.受力为水平方向</t>
  </si>
  <si>
    <t>安全效率η:</t>
  </si>
  <si>
    <t>安全效率η=0.7</t>
  </si>
  <si>
    <t>安全效率η=0.5</t>
  </si>
  <si>
    <t>气缸实力</t>
  </si>
  <si>
    <t>缸径D(mm)</t>
  </si>
  <si>
    <t>杆径(mm)</t>
  </si>
  <si>
    <t>气压(Mpa)</t>
  </si>
  <si>
    <t>伸出力(KgN)</t>
  </si>
  <si>
    <t>回缩力(KgN)</t>
  </si>
  <si>
    <t>持续力(KgN)</t>
  </si>
  <si>
    <t>为保证电镀后工件符合客户需求,特制定下表共参考:</t>
  </si>
  <si>
    <t>项目</t>
  </si>
  <si>
    <t>表面处理类型</t>
  </si>
  <si>
    <t>单边镀层厚度   (单位:mm)</t>
  </si>
  <si>
    <t>供应商   名称</t>
  </si>
  <si>
    <t>镀层颜色</t>
  </si>
  <si>
    <t>普通沉镍</t>
  </si>
  <si>
    <t>0.003~0.005</t>
  </si>
  <si>
    <t>铝</t>
  </si>
  <si>
    <t>艺发</t>
  </si>
  <si>
    <t>光亮      浅黄色</t>
  </si>
  <si>
    <t>0.004~0.006</t>
  </si>
  <si>
    <t>铜</t>
  </si>
  <si>
    <t>王牌S136、S416</t>
  </si>
  <si>
    <t>加厚沉镍</t>
  </si>
  <si>
    <t>0.010~0.015</t>
  </si>
  <si>
    <t>铝、铜、王牌、S136、S416</t>
  </si>
  <si>
    <t>氧化白</t>
  </si>
  <si>
    <t>白色</t>
  </si>
  <si>
    <t>氧化黑</t>
  </si>
  <si>
    <t>黑色</t>
  </si>
  <si>
    <t>氧化黄</t>
  </si>
  <si>
    <t>0.03~0.005</t>
  </si>
  <si>
    <t>黄色</t>
  </si>
  <si>
    <t>电硬黑</t>
  </si>
  <si>
    <t>0.008~0.010</t>
  </si>
  <si>
    <t>电硬白</t>
  </si>
  <si>
    <t>白色偏浅黄</t>
  </si>
  <si>
    <t>电黑锌</t>
  </si>
  <si>
    <t>钢铁类</t>
  </si>
  <si>
    <t>处理层质软易花易磨损</t>
  </si>
  <si>
    <t>发(煲)黑</t>
  </si>
  <si>
    <t>0.002~0.004</t>
  </si>
  <si>
    <t>45#、40Cr、  S136等</t>
  </si>
  <si>
    <t>镀硬铬</t>
  </si>
  <si>
    <t>王牌、S136、铬钢</t>
  </si>
  <si>
    <t>银白</t>
  </si>
  <si>
    <t>镀金</t>
  </si>
  <si>
    <t>0.001~0.002</t>
  </si>
  <si>
    <t>铝、铜</t>
  </si>
  <si>
    <t>山水/鑫艺彩</t>
  </si>
  <si>
    <t>金黄色</t>
  </si>
  <si>
    <t>氮化(QPQ)            氮化/渗碳</t>
  </si>
  <si>
    <t>0.001~0.003</t>
  </si>
  <si>
    <t>不锈钢类</t>
  </si>
  <si>
    <t>万利达</t>
  </si>
  <si>
    <t xml:space="preserve">黑色      </t>
  </si>
  <si>
    <t>灰白色</t>
  </si>
  <si>
    <t>注：</t>
  </si>
  <si>
    <t>1. 以上为普通表面处理增厚数据.</t>
  </si>
  <si>
    <t>2. 对无要求之普通表面处理,加工时一律按以上镀层增厚留足电镀余量;QC按留后</t>
  </si>
  <si>
    <t xml:space="preserve">   要求检测.</t>
  </si>
  <si>
    <t>3. 对少部分有膜厚要求的表处则需按要求注明,加工检测也按其要求执行.</t>
  </si>
  <si>
    <t>4. 留意电镀后外形尺寸变化是单边增加，孔距及同位台阶无变化.</t>
  </si>
  <si>
    <t>5. 铬钢做发黑处理则偏红色，S136则为棕黑/灰,且都易锈,一般情况下不建议做发</t>
  </si>
  <si>
    <t xml:space="preserve">   黑处理.</t>
  </si>
  <si>
    <t>6. 线割件表面处理要求:线割部位及周边需用砂纸省光至无明显纹路.</t>
  </si>
  <si>
    <t>7. 名词解释:增厚——原工件表面增加的电镀层厚度.可以用一般长度测量工具测量.</t>
  </si>
  <si>
    <t xml:space="preserve">     膜厚——单面表面处理层总厚,包括表面增厚和渗透入工件表层的厚度.需用专</t>
  </si>
  <si>
    <t xml:space="preserve">     业仪器测量计算.</t>
  </si>
  <si>
    <t>另附:</t>
  </si>
  <si>
    <t xml:space="preserve"> 艺发表面处理代码如下表</t>
  </si>
  <si>
    <t xml:space="preserve">AC--氧化白  </t>
  </si>
  <si>
    <t>AA--硬白</t>
  </si>
  <si>
    <t>AH--硬黑</t>
  </si>
  <si>
    <t>AB--氧化黑</t>
  </si>
  <si>
    <t>NI--沉镍</t>
  </si>
  <si>
    <t>AP--煲黑</t>
  </si>
  <si>
    <t>CI--硬铬</t>
  </si>
  <si>
    <t>Nitriding--氧化</t>
  </si>
  <si>
    <t>金博 品质部</t>
  </si>
  <si>
    <t xml:space="preserve">                  2009.02.14更新</t>
  </si>
  <si>
    <t>模数</t>
  </si>
  <si>
    <t>m=p/3.1415926</t>
  </si>
  <si>
    <t>齿距</t>
  </si>
  <si>
    <t>p</t>
  </si>
  <si>
    <t>p=3.1415926 x m</t>
  </si>
  <si>
    <t>齿顶高</t>
  </si>
  <si>
    <t>ha</t>
  </si>
  <si>
    <t>ha=m</t>
  </si>
  <si>
    <t>齿根高</t>
  </si>
  <si>
    <t>hf</t>
  </si>
  <si>
    <t>hf=1.25m</t>
  </si>
  <si>
    <t>h</t>
  </si>
  <si>
    <t>h=2.25m</t>
  </si>
  <si>
    <t>d=mz</t>
  </si>
  <si>
    <t>da</t>
  </si>
  <si>
    <t>da=m(Z+2)</t>
  </si>
  <si>
    <t>df</t>
  </si>
  <si>
    <t>df=m(z-2.5)</t>
  </si>
  <si>
    <t>中心距</t>
  </si>
  <si>
    <t>a</t>
  </si>
  <si>
    <t>a=m(z1+z2)/2</t>
  </si>
  <si>
    <t>测绘正齿轮的方法</t>
  </si>
  <si>
    <t>数出齿轮的齿数Z=20</t>
  </si>
  <si>
    <t>测量出齿轮的外径Da=60</t>
  </si>
  <si>
    <t>M模数=Da/(Z+2)=</t>
  </si>
  <si>
    <t>标准模数GB1357-87 公制</t>
  </si>
  <si>
    <t>第一系列</t>
  </si>
  <si>
    <t xml:space="preserve">0.1  0.12 0.15 0.2 </t>
  </si>
  <si>
    <t xml:space="preserve">0.25 0.3 0.4 </t>
  </si>
  <si>
    <t>0.5 0.6 0.8 1 1.25</t>
  </si>
  <si>
    <t xml:space="preserve">1.5 2 2.5 3 4 5 </t>
  </si>
  <si>
    <t>6 8 10 12 16 20 25</t>
  </si>
  <si>
    <t>32 40 50</t>
  </si>
  <si>
    <t>第二系列</t>
  </si>
  <si>
    <t>0.35 0.7 0.9 1.75</t>
  </si>
  <si>
    <t>2.25 2.75 (3.25)</t>
  </si>
  <si>
    <t>3.5 (3.75) 4.5 5.5</t>
  </si>
  <si>
    <t>(6.5) 7 9 (11)</t>
  </si>
  <si>
    <t>14 18 22 28 36 45</t>
  </si>
  <si>
    <t>注：在用模数</t>
  </si>
  <si>
    <t>时尽力用第一列</t>
  </si>
  <si>
    <t>25.4/节径</t>
  </si>
  <si>
    <t>m=25.4/</t>
  </si>
  <si>
    <t>英制的模数在约算法是；</t>
  </si>
  <si>
    <t xml:space="preserve">                   25.4除节径（节径是标准的要推数）等于的数相当公制模数</t>
  </si>
  <si>
    <t>0.5-0.75-1-1.5-2.0-2.5-3.0-3.5-4-5-6-8-10-12-16-20-24-32-40-48-64-72-80-96-120-200</t>
  </si>
  <si>
    <t>（传动）圆弧齿计算公式</t>
  </si>
  <si>
    <t xml:space="preserve">槽型 </t>
  </si>
  <si>
    <t>节距 Pb</t>
  </si>
  <si>
    <t>齿槽深 hg</t>
  </si>
  <si>
    <t>齿槽圆弧半径  R</t>
  </si>
  <si>
    <t>齿顶圆角半径  R1</t>
  </si>
  <si>
    <t>两倍节顶距 2￡</t>
  </si>
  <si>
    <t>0.26-0.35</t>
  </si>
  <si>
    <t>0.48-0.52</t>
  </si>
  <si>
    <t>0.78-0.84</t>
  </si>
  <si>
    <t>1.36-1.50</t>
  </si>
  <si>
    <t>20M</t>
  </si>
  <si>
    <t>1.95-2.25</t>
  </si>
  <si>
    <t>节圆直径</t>
  </si>
  <si>
    <t>d＝pbz/3.1415926</t>
  </si>
  <si>
    <t>外径</t>
  </si>
  <si>
    <t>do＝d-2￡</t>
  </si>
  <si>
    <t>材料体积,质量计算表</t>
  </si>
  <si>
    <t>长方体</t>
  </si>
  <si>
    <t>高</t>
  </si>
  <si>
    <r>
      <rPr>
        <sz val="12"/>
        <color indexed="15"/>
        <rFont val="宋体"/>
        <family val="3"/>
        <charset val="134"/>
      </rPr>
      <t>体积(cm</t>
    </r>
    <r>
      <rPr>
        <vertAlign val="superscript"/>
        <sz val="12"/>
        <color indexed="15"/>
        <rFont val="宋体"/>
        <family val="3"/>
        <charset val="134"/>
      </rPr>
      <t>3</t>
    </r>
    <r>
      <rPr>
        <sz val="12"/>
        <color indexed="15"/>
        <rFont val="宋体"/>
        <family val="3"/>
        <charset val="134"/>
      </rPr>
      <t>)</t>
    </r>
  </si>
  <si>
    <t>比重</t>
  </si>
  <si>
    <t>单重(kg)</t>
  </si>
  <si>
    <t>单价</t>
  </si>
  <si>
    <t>金额</t>
  </si>
  <si>
    <t>体积平方厘米=长X宽X高除以1000=</t>
  </si>
  <si>
    <t>圆柱体</t>
  </si>
  <si>
    <t>半径</t>
  </si>
  <si>
    <t>体积(cm3)</t>
  </si>
  <si>
    <t>圆弧圆柱蜗杆蜗轮换算</t>
  </si>
  <si>
    <t>名称</t>
  </si>
  <si>
    <t>代号</t>
  </si>
  <si>
    <t>a=(d1+d2+2x2m)/2</t>
  </si>
  <si>
    <t>i=z2/z1</t>
  </si>
  <si>
    <t>蜗杆头数</t>
  </si>
  <si>
    <r>
      <rPr>
        <sz val="14"/>
        <rFont val="宋体"/>
        <family val="3"/>
        <charset val="134"/>
      </rPr>
      <t>Z</t>
    </r>
    <r>
      <rPr>
        <sz val="10"/>
        <rFont val="宋体"/>
        <family val="3"/>
        <charset val="134"/>
      </rPr>
      <t>1</t>
    </r>
  </si>
  <si>
    <t>z1=1,2,4,6</t>
  </si>
  <si>
    <t>蜗轮齿数</t>
  </si>
  <si>
    <r>
      <rPr>
        <sz val="14"/>
        <rFont val="宋体"/>
        <family val="3"/>
        <charset val="134"/>
      </rPr>
      <t>Z</t>
    </r>
    <r>
      <rPr>
        <sz val="10"/>
        <rFont val="宋体"/>
        <family val="3"/>
        <charset val="134"/>
      </rPr>
      <t>2</t>
    </r>
  </si>
  <si>
    <t>z2=iz1</t>
  </si>
  <si>
    <t>轴向齿形角</t>
  </si>
  <si>
    <t>ax</t>
  </si>
  <si>
    <t>ax=23</t>
  </si>
  <si>
    <t>轴向模数</t>
  </si>
  <si>
    <t>Mx</t>
  </si>
  <si>
    <t>M=d2/z2</t>
  </si>
  <si>
    <t>蜗轮变位系数</t>
  </si>
  <si>
    <t>x2</t>
  </si>
  <si>
    <t>x2=a/m-(d1+d2)/2m)</t>
  </si>
  <si>
    <t xml:space="preserve">蜗杆齿顶高 </t>
  </si>
  <si>
    <t>ha1</t>
  </si>
  <si>
    <t>ha1=m</t>
  </si>
  <si>
    <t>蜗杆齿根高</t>
  </si>
  <si>
    <t>hf1</t>
  </si>
  <si>
    <t>hf1=1.2m</t>
  </si>
  <si>
    <t>顶隙</t>
  </si>
  <si>
    <t>C</t>
  </si>
  <si>
    <t>c=0.2m</t>
  </si>
  <si>
    <t>蜗杆齿顶圆直径</t>
  </si>
  <si>
    <t>da1</t>
  </si>
  <si>
    <t>da1=d1+2m</t>
  </si>
  <si>
    <t>蜗杆齿根圆直径</t>
  </si>
  <si>
    <t>df1</t>
  </si>
  <si>
    <t>df1=d1-2hf1=d1-2.4m</t>
  </si>
  <si>
    <t>导程角</t>
  </si>
  <si>
    <t>r</t>
  </si>
  <si>
    <t>r=arctanx(mz1/d1)</t>
  </si>
  <si>
    <t>=</t>
  </si>
  <si>
    <t>蜗杆轴向齿厚</t>
  </si>
  <si>
    <t>sx</t>
  </si>
  <si>
    <t>sx=0.4mx3.1415926</t>
  </si>
  <si>
    <t>蜗杆法向齿厚</t>
  </si>
  <si>
    <t>sn</t>
  </si>
  <si>
    <t>sn=sxcosr</t>
  </si>
  <si>
    <t>蜗轮分度圆直径</t>
  </si>
  <si>
    <t>d2</t>
  </si>
  <si>
    <r>
      <rPr>
        <sz val="12"/>
        <rFont val="宋体"/>
        <family val="3"/>
        <charset val="134"/>
      </rPr>
      <t>d2=</t>
    </r>
    <r>
      <rPr>
        <sz val="14"/>
        <rFont val="宋体"/>
        <family val="3"/>
        <charset val="134"/>
      </rPr>
      <t>mz</t>
    </r>
    <r>
      <rPr>
        <sz val="8"/>
        <rFont val="宋体"/>
        <family val="3"/>
        <charset val="134"/>
      </rPr>
      <t>2</t>
    </r>
  </si>
  <si>
    <t>蜗轮齿顶高</t>
  </si>
  <si>
    <t>ha2</t>
  </si>
  <si>
    <t>ha2=m(1+x2)</t>
  </si>
  <si>
    <t>蜗轮齿根高</t>
  </si>
  <si>
    <t>hf2</t>
  </si>
  <si>
    <t>hf2=m(1.2-x2)</t>
  </si>
  <si>
    <t>蜗轮喉圆直径</t>
  </si>
  <si>
    <t>da2</t>
  </si>
  <si>
    <t>da2=d2+2m(1+x2)</t>
  </si>
  <si>
    <t>蜗轮齿根直径</t>
  </si>
  <si>
    <t>df2</t>
  </si>
  <si>
    <t>df2=d2-2m(1.2-x2</t>
  </si>
  <si>
    <t>蜗轮顶圆直径</t>
  </si>
  <si>
    <t>de2</t>
  </si>
  <si>
    <t>de2≤da2+(0.8-1)m取整</t>
  </si>
  <si>
    <t>蜗杆导程</t>
  </si>
  <si>
    <t>PZ</t>
  </si>
  <si>
    <r>
      <rPr>
        <sz val="12"/>
        <rFont val="宋体"/>
        <family val="3"/>
        <charset val="134"/>
      </rPr>
      <t>PZ=3.1415926M</t>
    </r>
    <r>
      <rPr>
        <sz val="8"/>
        <rFont val="宋体"/>
        <family val="3"/>
        <charset val="134"/>
      </rPr>
      <t>X</t>
    </r>
    <r>
      <rPr>
        <sz val="12"/>
        <rFont val="宋体"/>
        <family val="3"/>
        <charset val="134"/>
        <scheme val="minor"/>
      </rPr>
      <t>Z</t>
    </r>
    <r>
      <rPr>
        <sz val="8"/>
        <rFont val="宋体"/>
        <family val="3"/>
        <charset val="134"/>
      </rPr>
      <t>1</t>
    </r>
  </si>
  <si>
    <t>齿距x蜗杆杆数</t>
  </si>
  <si>
    <t>蜗杆齿距</t>
  </si>
  <si>
    <r>
      <rPr>
        <sz val="12"/>
        <rFont val="宋体"/>
        <family val="3"/>
        <charset val="134"/>
      </rPr>
      <t>P</t>
    </r>
    <r>
      <rPr>
        <sz val="8"/>
        <rFont val="宋体"/>
        <family val="3"/>
        <charset val="134"/>
      </rPr>
      <t>X</t>
    </r>
  </si>
  <si>
    <t>PX=3.1415926M</t>
  </si>
  <si>
    <t>蜗杆分度圆直径</t>
  </si>
  <si>
    <r>
      <rPr>
        <sz val="14"/>
        <rFont val="宋体"/>
        <family val="3"/>
        <charset val="134"/>
      </rPr>
      <t>d</t>
    </r>
    <r>
      <rPr>
        <sz val="10"/>
        <rFont val="宋体"/>
        <family val="3"/>
        <charset val="134"/>
      </rPr>
      <t>1</t>
    </r>
  </si>
  <si>
    <r>
      <rPr>
        <sz val="12"/>
        <rFont val="宋体"/>
        <family val="3"/>
        <charset val="134"/>
      </rPr>
      <t>d1=QM</t>
    </r>
    <r>
      <rPr>
        <sz val="8"/>
        <rFont val="宋体"/>
        <family val="3"/>
        <charset val="134"/>
      </rPr>
      <t>X</t>
    </r>
  </si>
  <si>
    <t>直径系数</t>
  </si>
  <si>
    <t>Q</t>
  </si>
  <si>
    <t>Q=d1/Mx</t>
  </si>
  <si>
    <r>
      <rPr>
        <sz val="12"/>
        <rFont val="宋体"/>
        <family val="3"/>
        <charset val="134"/>
      </rPr>
      <t>直径系数Q是蜗杆的节径d1与轴向模数M</t>
    </r>
    <r>
      <rPr>
        <sz val="8"/>
        <rFont val="宋体"/>
        <family val="3"/>
        <charset val="134"/>
      </rPr>
      <t>X</t>
    </r>
    <r>
      <rPr>
        <sz val="12"/>
        <rFont val="宋体"/>
        <family val="3"/>
        <charset val="134"/>
      </rPr>
      <t>的比</t>
    </r>
  </si>
  <si>
    <t>1注：圆柱蜗杆轴向模数</t>
  </si>
  <si>
    <t>1，1.25，1.60，2.00，2.50，3.15，4.0，5.0</t>
  </si>
  <si>
    <t xml:space="preserve">           6.3，8.0，10.0，12.5，.16.0，20.0，25.0</t>
  </si>
  <si>
    <r>
      <rPr>
        <sz val="12"/>
        <rFont val="宋体"/>
        <family val="3"/>
        <charset val="134"/>
      </rPr>
      <t>1注：圆柱蜗杆分度圆直径</t>
    </r>
    <r>
      <rPr>
        <sz val="18"/>
        <rFont val="宋体"/>
        <family val="3"/>
        <charset val="134"/>
      </rPr>
      <t>d</t>
    </r>
    <r>
      <rPr>
        <sz val="10"/>
        <rFont val="宋体"/>
        <family val="3"/>
        <charset val="134"/>
      </rPr>
      <t>1值</t>
    </r>
  </si>
  <si>
    <t>4/4.5/5/5.6/6.3/7.1/7.5/8/8.5//9/10/11.2/12.5/</t>
  </si>
  <si>
    <t>圆弧圆柱蜗杆计算</t>
  </si>
  <si>
    <t>齿距除以3.1415926</t>
  </si>
  <si>
    <t>3.1415926*模数x杆数</t>
  </si>
  <si>
    <t>3.1415926*模数,量出来</t>
  </si>
  <si>
    <t>圆弧圆柱蜗轮计算</t>
  </si>
  <si>
    <t>与蜗杆模数一样</t>
  </si>
  <si>
    <r>
      <rPr>
        <sz val="14"/>
        <rFont val="宋体"/>
        <family val="3"/>
        <charset val="134"/>
      </rPr>
      <t>d</t>
    </r>
    <r>
      <rPr>
        <sz val="10"/>
        <rFont val="宋体"/>
        <family val="3"/>
        <charset val="134"/>
      </rPr>
      <t>2</t>
    </r>
  </si>
  <si>
    <t>Z2*Mx</t>
  </si>
  <si>
    <t>齿数x模数</t>
  </si>
  <si>
    <t>分度圆直径+2*齿顶高+模数</t>
  </si>
  <si>
    <t>1+(Xt2)*模数</t>
  </si>
  <si>
    <t>1+(切向变位系数)*模数</t>
  </si>
  <si>
    <t>切向变位系数</t>
  </si>
  <si>
    <t>Xt2</t>
  </si>
  <si>
    <t>蜗轮、蜗杆的计算公式：</t>
  </si>
  <si>
    <r>
      <rPr>
        <sz val="9"/>
        <rFont val="Arial"/>
        <family val="2"/>
      </rPr>
      <t>1</t>
    </r>
    <r>
      <rPr>
        <sz val="9"/>
        <rFont val="宋体"/>
        <family val="3"/>
        <charset val="134"/>
      </rPr>
      <t>，传动比</t>
    </r>
    <r>
      <rPr>
        <sz val="9"/>
        <rFont val="Arial"/>
        <family val="2"/>
      </rPr>
      <t>=</t>
    </r>
    <r>
      <rPr>
        <sz val="9"/>
        <rFont val="宋体"/>
        <family val="3"/>
        <charset val="134"/>
      </rPr>
      <t>蜗轮齿数</t>
    </r>
    <r>
      <rPr>
        <sz val="9"/>
        <rFont val="Arial"/>
        <family val="2"/>
      </rPr>
      <t>÷</t>
    </r>
    <r>
      <rPr>
        <sz val="9"/>
        <rFont val="宋体"/>
        <family val="3"/>
        <charset val="134"/>
      </rPr>
      <t>蜗杆头数</t>
    </r>
  </si>
  <si>
    <t>2，中心距=（蜗轮节径+蜗杆节径）÷2</t>
  </si>
  <si>
    <t>3，蜗轮吼径=（齿数+2）×模数</t>
  </si>
  <si>
    <t>4，蜗轮节径=模数×齿数</t>
  </si>
  <si>
    <t>5，蜗杆节径=蜗杆外径-2×模数</t>
  </si>
  <si>
    <t>6，蜗杆导程=π×模数×头数</t>
  </si>
  <si>
    <t>7，螺旋角（导程角）tgB=（模数×头数）÷蜗杆节径</t>
  </si>
  <si>
    <t>张力逐点计算法</t>
  </si>
  <si>
    <t>一、已知条件：</t>
  </si>
  <si>
    <r>
      <rPr>
        <sz val="10"/>
        <rFont val="Times New Roman"/>
        <family val="1"/>
      </rPr>
      <t>1.</t>
    </r>
    <r>
      <rPr>
        <sz val="10"/>
        <rFont val="宋体"/>
        <family val="3"/>
        <charset val="134"/>
      </rPr>
      <t>第二传动滚筒奔离点输送带张力</t>
    </r>
    <r>
      <rPr>
        <sz val="10"/>
        <rFont val="Times New Roman"/>
        <family val="1"/>
      </rPr>
      <t xml:space="preserve">       S</t>
    </r>
    <r>
      <rPr>
        <vertAlign val="subscript"/>
        <sz val="10"/>
        <rFont val="Times New Roman"/>
        <family val="1"/>
      </rPr>
      <t>2</t>
    </r>
    <r>
      <rPr>
        <sz val="10"/>
        <rFont val="Times New Roman"/>
        <family val="1"/>
      </rPr>
      <t>=</t>
    </r>
  </si>
  <si>
    <r>
      <rPr>
        <sz val="10"/>
        <rFont val="Times New Roman"/>
        <family val="1"/>
      </rPr>
      <t>2.</t>
    </r>
    <r>
      <rPr>
        <sz val="10"/>
        <rFont val="宋体"/>
        <family val="3"/>
        <charset val="134"/>
      </rPr>
      <t>第二传动滚筒趋入点输送带张力</t>
    </r>
    <r>
      <rPr>
        <sz val="10"/>
        <rFont val="Times New Roman"/>
        <family val="1"/>
      </rPr>
      <t xml:space="preserve">       S</t>
    </r>
    <r>
      <rPr>
        <vertAlign val="subscript"/>
        <sz val="10"/>
        <rFont val="Times New Roman"/>
        <family val="1"/>
      </rPr>
      <t>2</t>
    </r>
    <r>
      <rPr>
        <vertAlign val="superscript"/>
        <sz val="10"/>
        <rFont val="Times New Roman"/>
        <family val="1"/>
      </rPr>
      <t>'</t>
    </r>
    <r>
      <rPr>
        <sz val="10"/>
        <rFont val="Times New Roman"/>
        <family val="1"/>
      </rPr>
      <t>=</t>
    </r>
  </si>
  <si>
    <r>
      <rPr>
        <sz val="10"/>
        <rFont val="Times New Roman"/>
        <family val="1"/>
      </rPr>
      <t>3.</t>
    </r>
    <r>
      <rPr>
        <sz val="10"/>
        <rFont val="宋体"/>
        <family val="3"/>
        <charset val="134"/>
      </rPr>
      <t>第一传动滚筒趋入点输送带张力</t>
    </r>
    <r>
      <rPr>
        <sz val="10"/>
        <rFont val="Times New Roman"/>
        <family val="1"/>
      </rPr>
      <t xml:space="preserve">       S</t>
    </r>
    <r>
      <rPr>
        <vertAlign val="subscript"/>
        <sz val="10"/>
        <rFont val="Times New Roman"/>
        <family val="1"/>
      </rPr>
      <t>1</t>
    </r>
    <r>
      <rPr>
        <sz val="10"/>
        <rFont val="Times New Roman"/>
        <family val="1"/>
      </rPr>
      <t>=</t>
    </r>
  </si>
  <si>
    <r>
      <rPr>
        <sz val="10"/>
        <rFont val="Times New Roman"/>
        <family val="1"/>
      </rPr>
      <t>4.</t>
    </r>
    <r>
      <rPr>
        <sz val="10"/>
        <rFont val="宋体"/>
        <family val="3"/>
        <charset val="134"/>
      </rPr>
      <t>第一传动滚筒奔离点输送带张力</t>
    </r>
    <r>
      <rPr>
        <sz val="10"/>
        <rFont val="Times New Roman"/>
        <family val="1"/>
      </rPr>
      <t xml:space="preserve">       S</t>
    </r>
    <r>
      <rPr>
        <vertAlign val="subscript"/>
        <sz val="10"/>
        <rFont val="Times New Roman"/>
        <family val="1"/>
      </rPr>
      <t>1</t>
    </r>
    <r>
      <rPr>
        <vertAlign val="superscript"/>
        <sz val="10"/>
        <rFont val="Times New Roman"/>
        <family val="1"/>
      </rPr>
      <t>'</t>
    </r>
    <r>
      <rPr>
        <sz val="10"/>
        <rFont val="Times New Roman"/>
        <family val="1"/>
      </rPr>
      <t>=</t>
    </r>
  </si>
  <si>
    <r>
      <rPr>
        <sz val="10"/>
        <rFont val="Times New Roman"/>
        <family val="1"/>
      </rPr>
      <t xml:space="preserve">5. </t>
    </r>
    <r>
      <rPr>
        <sz val="10"/>
        <rFont val="宋体"/>
        <family val="3"/>
        <charset val="134"/>
      </rPr>
      <t>尾部滚筒胶带趋入点输送带张力</t>
    </r>
    <r>
      <rPr>
        <sz val="10"/>
        <rFont val="Times New Roman"/>
        <family val="1"/>
      </rPr>
      <t xml:space="preserve">      S</t>
    </r>
    <r>
      <rPr>
        <vertAlign val="subscript"/>
        <sz val="10"/>
        <rFont val="Times New Roman"/>
        <family val="1"/>
      </rPr>
      <t>3</t>
    </r>
    <r>
      <rPr>
        <sz val="10"/>
        <rFont val="Times New Roman"/>
        <family val="1"/>
      </rPr>
      <t>=</t>
    </r>
  </si>
  <si>
    <r>
      <rPr>
        <sz val="10"/>
        <rFont val="Times New Roman"/>
        <family val="1"/>
      </rPr>
      <t xml:space="preserve">6. </t>
    </r>
    <r>
      <rPr>
        <sz val="10"/>
        <rFont val="宋体"/>
        <family val="3"/>
        <charset val="134"/>
      </rPr>
      <t>尾部滚筒胶带奔离点输送带张力</t>
    </r>
    <r>
      <rPr>
        <sz val="10"/>
        <rFont val="Times New Roman"/>
        <family val="1"/>
      </rPr>
      <t xml:space="preserve">      S</t>
    </r>
    <r>
      <rPr>
        <vertAlign val="subscript"/>
        <sz val="10"/>
        <rFont val="Times New Roman"/>
        <family val="1"/>
      </rPr>
      <t>4</t>
    </r>
    <r>
      <rPr>
        <sz val="10"/>
        <rFont val="Times New Roman"/>
        <family val="1"/>
      </rPr>
      <t>=</t>
    </r>
  </si>
  <si>
    <t>二、计算</t>
  </si>
  <si>
    <r>
      <rPr>
        <sz val="10"/>
        <rFont val="宋体"/>
        <family val="3"/>
        <charset val="134"/>
      </rPr>
      <t>3）空载段S</t>
    </r>
    <r>
      <rPr>
        <vertAlign val="subscript"/>
        <sz val="10"/>
        <rFont val="宋体"/>
        <family val="3"/>
        <charset val="134"/>
      </rPr>
      <t>23</t>
    </r>
    <r>
      <rPr>
        <sz val="10"/>
        <rFont val="宋体"/>
        <family val="3"/>
        <charset val="134"/>
      </rPr>
      <t>=</t>
    </r>
  </si>
  <si>
    <r>
      <rPr>
        <sz val="10"/>
        <rFont val="宋体"/>
        <family val="3"/>
        <charset val="134"/>
      </rPr>
      <t>S</t>
    </r>
    <r>
      <rPr>
        <vertAlign val="subscript"/>
        <sz val="10"/>
        <rFont val="宋体"/>
        <family val="3"/>
        <charset val="134"/>
      </rPr>
      <t>22</t>
    </r>
    <r>
      <rPr>
        <sz val="10"/>
        <rFont val="宋体"/>
        <family val="3"/>
        <charset val="134"/>
      </rPr>
      <t>+L</t>
    </r>
    <r>
      <rPr>
        <vertAlign val="subscript"/>
        <sz val="10"/>
        <rFont val="宋体"/>
        <family val="3"/>
        <charset val="134"/>
      </rPr>
      <t>23</t>
    </r>
    <r>
      <rPr>
        <sz val="10"/>
        <rFont val="宋体"/>
        <family val="3"/>
        <charset val="134"/>
      </rPr>
      <t>ωg(q</t>
    </r>
    <r>
      <rPr>
        <vertAlign val="subscript"/>
        <sz val="10"/>
        <rFont val="宋体"/>
        <family val="3"/>
        <charset val="134"/>
      </rPr>
      <t>0</t>
    </r>
    <r>
      <rPr>
        <sz val="10"/>
        <rFont val="宋体"/>
        <family val="3"/>
        <charset val="134"/>
      </rPr>
      <t>+q</t>
    </r>
    <r>
      <rPr>
        <vertAlign val="subscript"/>
        <sz val="10"/>
        <rFont val="宋体"/>
        <family val="3"/>
        <charset val="134"/>
      </rPr>
      <t>2</t>
    </r>
    <r>
      <rPr>
        <sz val="10"/>
        <rFont val="宋体"/>
        <family val="3"/>
        <charset val="134"/>
      </rPr>
      <t>)-L</t>
    </r>
    <r>
      <rPr>
        <vertAlign val="subscript"/>
        <sz val="10"/>
        <rFont val="宋体"/>
        <family val="3"/>
        <charset val="134"/>
      </rPr>
      <t>23</t>
    </r>
    <r>
      <rPr>
        <sz val="10"/>
        <rFont val="宋体"/>
        <family val="3"/>
        <charset val="134"/>
      </rPr>
      <t>q</t>
    </r>
    <r>
      <rPr>
        <vertAlign val="subscript"/>
        <sz val="10"/>
        <rFont val="宋体"/>
        <family val="3"/>
        <charset val="134"/>
      </rPr>
      <t>0</t>
    </r>
    <r>
      <rPr>
        <sz val="10"/>
        <rFont val="宋体"/>
        <family val="3"/>
        <charset val="134"/>
      </rPr>
      <t>gtgβ</t>
    </r>
  </si>
  <si>
    <t>式中：</t>
  </si>
  <si>
    <r>
      <rPr>
        <sz val="10"/>
        <rFont val="宋体"/>
        <family val="3"/>
        <charset val="134"/>
      </rPr>
      <t>折线段倾角β</t>
    </r>
    <r>
      <rPr>
        <vertAlign val="subscript"/>
        <sz val="10"/>
        <rFont val="宋体"/>
        <family val="3"/>
        <charset val="134"/>
      </rPr>
      <t>3</t>
    </r>
    <r>
      <rPr>
        <sz val="10"/>
        <rFont val="宋体"/>
        <family val="3"/>
        <charset val="134"/>
      </rPr>
      <t>=</t>
    </r>
  </si>
  <si>
    <t>°      =</t>
  </si>
  <si>
    <t>弧度</t>
  </si>
  <si>
    <r>
      <rPr>
        <sz val="10"/>
        <rFont val="宋体"/>
        <family val="3"/>
        <charset val="134"/>
      </rPr>
      <t>S</t>
    </r>
    <r>
      <rPr>
        <vertAlign val="subscript"/>
        <sz val="10"/>
        <rFont val="宋体"/>
        <family val="3"/>
        <charset val="134"/>
      </rPr>
      <t>22</t>
    </r>
    <r>
      <rPr>
        <sz val="10"/>
        <rFont val="宋体"/>
        <family val="3"/>
        <charset val="134"/>
      </rPr>
      <t>＝</t>
    </r>
  </si>
  <si>
    <r>
      <rPr>
        <sz val="10"/>
        <rFont val="宋体"/>
        <family val="3"/>
        <charset val="134"/>
      </rPr>
      <t>折线段长度</t>
    </r>
    <r>
      <rPr>
        <sz val="10"/>
        <rFont val="Times New Roman"/>
        <family val="1"/>
      </rPr>
      <t xml:space="preserve">  L</t>
    </r>
    <r>
      <rPr>
        <vertAlign val="subscript"/>
        <sz val="10"/>
        <rFont val="Times New Roman"/>
        <family val="1"/>
      </rPr>
      <t>23</t>
    </r>
    <r>
      <rPr>
        <sz val="10"/>
        <rFont val="Times New Roman"/>
        <family val="1"/>
      </rPr>
      <t>=</t>
    </r>
  </si>
  <si>
    <r>
      <rPr>
        <sz val="10"/>
        <rFont val="宋体"/>
        <family val="3"/>
        <charset val="134"/>
      </rPr>
      <t>上下胶带模拟阻力系数：ω</t>
    </r>
    <r>
      <rPr>
        <sz val="10"/>
        <rFont val="Times New Roman"/>
        <family val="1"/>
      </rPr>
      <t>=</t>
    </r>
  </si>
  <si>
    <r>
      <rPr>
        <sz val="10"/>
        <rFont val="宋体"/>
        <family val="3"/>
        <charset val="134"/>
      </rPr>
      <t>每米机长胶带质量：</t>
    </r>
    <r>
      <rPr>
        <sz val="10"/>
        <rFont val="Times New Roman"/>
        <family val="1"/>
      </rPr>
      <t>q</t>
    </r>
    <r>
      <rPr>
        <vertAlign val="subscript"/>
        <sz val="10"/>
        <rFont val="Times New Roman"/>
        <family val="1"/>
      </rPr>
      <t>0</t>
    </r>
    <r>
      <rPr>
        <sz val="10"/>
        <rFont val="Times New Roman"/>
        <family val="1"/>
      </rPr>
      <t>=</t>
    </r>
  </si>
  <si>
    <t>kg/m</t>
  </si>
  <si>
    <r>
      <rPr>
        <sz val="10"/>
        <rFont val="宋体"/>
        <family val="3"/>
        <charset val="134"/>
      </rPr>
      <t>每米机长下辊子旋转部分质量：q</t>
    </r>
    <r>
      <rPr>
        <vertAlign val="subscript"/>
        <sz val="10"/>
        <rFont val="宋体"/>
        <family val="3"/>
        <charset val="134"/>
      </rPr>
      <t>2</t>
    </r>
    <r>
      <rPr>
        <sz val="10"/>
        <rFont val="宋体"/>
        <family val="3"/>
        <charset val="134"/>
      </rPr>
      <t>=</t>
    </r>
  </si>
  <si>
    <r>
      <rPr>
        <sz val="10"/>
        <rFont val="宋体"/>
        <family val="3"/>
        <charset val="134"/>
      </rPr>
      <t>4）空载段S</t>
    </r>
    <r>
      <rPr>
        <vertAlign val="subscript"/>
        <sz val="10"/>
        <rFont val="宋体"/>
        <family val="3"/>
        <charset val="134"/>
      </rPr>
      <t>24</t>
    </r>
    <r>
      <rPr>
        <sz val="10"/>
        <rFont val="宋体"/>
        <family val="3"/>
        <charset val="134"/>
      </rPr>
      <t>=</t>
    </r>
  </si>
  <si>
    <r>
      <rPr>
        <sz val="10"/>
        <rFont val="宋体"/>
        <family val="3"/>
        <charset val="134"/>
      </rPr>
      <t>S</t>
    </r>
    <r>
      <rPr>
        <vertAlign val="subscript"/>
        <sz val="10"/>
        <rFont val="宋体"/>
        <family val="3"/>
        <charset val="134"/>
      </rPr>
      <t>5</t>
    </r>
    <r>
      <rPr>
        <sz val="10"/>
        <rFont val="宋体"/>
        <family val="3"/>
        <charset val="134"/>
      </rPr>
      <t>+L</t>
    </r>
    <r>
      <rPr>
        <vertAlign val="subscript"/>
        <sz val="10"/>
        <rFont val="宋体"/>
        <family val="3"/>
        <charset val="134"/>
      </rPr>
      <t>24</t>
    </r>
    <r>
      <rPr>
        <sz val="10"/>
        <rFont val="宋体"/>
        <family val="3"/>
        <charset val="134"/>
      </rPr>
      <t>ωg(q</t>
    </r>
    <r>
      <rPr>
        <vertAlign val="subscript"/>
        <sz val="10"/>
        <rFont val="宋体"/>
        <family val="3"/>
        <charset val="134"/>
      </rPr>
      <t>0</t>
    </r>
    <r>
      <rPr>
        <sz val="10"/>
        <rFont val="宋体"/>
        <family val="3"/>
        <charset val="134"/>
      </rPr>
      <t>+q</t>
    </r>
    <r>
      <rPr>
        <vertAlign val="subscript"/>
        <sz val="10"/>
        <rFont val="宋体"/>
        <family val="3"/>
        <charset val="134"/>
      </rPr>
      <t>2</t>
    </r>
    <r>
      <rPr>
        <sz val="10"/>
        <rFont val="宋体"/>
        <family val="3"/>
        <charset val="134"/>
      </rPr>
      <t>)-L</t>
    </r>
    <r>
      <rPr>
        <vertAlign val="subscript"/>
        <sz val="10"/>
        <rFont val="宋体"/>
        <family val="3"/>
        <charset val="134"/>
      </rPr>
      <t>24</t>
    </r>
    <r>
      <rPr>
        <sz val="10"/>
        <rFont val="宋体"/>
        <family val="3"/>
        <charset val="134"/>
      </rPr>
      <t>q</t>
    </r>
    <r>
      <rPr>
        <vertAlign val="subscript"/>
        <sz val="10"/>
        <rFont val="宋体"/>
        <family val="3"/>
        <charset val="134"/>
      </rPr>
      <t>0</t>
    </r>
    <r>
      <rPr>
        <sz val="10"/>
        <rFont val="宋体"/>
        <family val="3"/>
        <charset val="134"/>
      </rPr>
      <t>gtgβ</t>
    </r>
  </si>
  <si>
    <r>
      <rPr>
        <sz val="10"/>
        <rFont val="宋体"/>
        <family val="3"/>
        <charset val="134"/>
      </rPr>
      <t>折线段倾角β</t>
    </r>
    <r>
      <rPr>
        <vertAlign val="subscript"/>
        <sz val="10"/>
        <rFont val="宋体"/>
        <family val="3"/>
        <charset val="134"/>
      </rPr>
      <t>2</t>
    </r>
    <r>
      <rPr>
        <sz val="10"/>
        <rFont val="宋体"/>
        <family val="3"/>
        <charset val="134"/>
      </rPr>
      <t>=</t>
    </r>
  </si>
  <si>
    <r>
      <rPr>
        <sz val="10"/>
        <rFont val="宋体"/>
        <family val="3"/>
        <charset val="134"/>
      </rPr>
      <t>S</t>
    </r>
    <r>
      <rPr>
        <vertAlign val="subscript"/>
        <sz val="10"/>
        <rFont val="宋体"/>
        <family val="3"/>
        <charset val="134"/>
      </rPr>
      <t>5</t>
    </r>
    <r>
      <rPr>
        <sz val="10"/>
        <rFont val="宋体"/>
        <family val="3"/>
        <charset val="134"/>
      </rPr>
      <t>＝</t>
    </r>
  </si>
  <si>
    <r>
      <rPr>
        <sz val="10"/>
        <rFont val="宋体"/>
        <family val="3"/>
        <charset val="134"/>
      </rPr>
      <t>折线段长度</t>
    </r>
    <r>
      <rPr>
        <sz val="10"/>
        <rFont val="Times New Roman"/>
        <family val="1"/>
      </rPr>
      <t xml:space="preserve">  L</t>
    </r>
    <r>
      <rPr>
        <vertAlign val="subscript"/>
        <sz val="10"/>
        <rFont val="Times New Roman"/>
        <family val="1"/>
      </rPr>
      <t>24</t>
    </r>
    <r>
      <rPr>
        <sz val="10"/>
        <rFont val="Times New Roman"/>
        <family val="1"/>
      </rPr>
      <t>=</t>
    </r>
  </si>
  <si>
    <r>
      <rPr>
        <sz val="10"/>
        <rFont val="宋体"/>
        <family val="3"/>
        <charset val="134"/>
      </rPr>
      <t>5）空载段S</t>
    </r>
    <r>
      <rPr>
        <vertAlign val="subscript"/>
        <sz val="10"/>
        <rFont val="宋体"/>
        <family val="3"/>
        <charset val="134"/>
      </rPr>
      <t>25</t>
    </r>
    <r>
      <rPr>
        <sz val="10"/>
        <rFont val="宋体"/>
        <family val="3"/>
        <charset val="134"/>
      </rPr>
      <t>=</t>
    </r>
  </si>
  <si>
    <r>
      <rPr>
        <sz val="10"/>
        <rFont val="宋体"/>
        <family val="3"/>
        <charset val="134"/>
      </rPr>
      <t>S</t>
    </r>
    <r>
      <rPr>
        <vertAlign val="subscript"/>
        <sz val="10"/>
        <rFont val="宋体"/>
        <family val="3"/>
        <charset val="134"/>
      </rPr>
      <t>24</t>
    </r>
    <r>
      <rPr>
        <sz val="10"/>
        <rFont val="宋体"/>
        <family val="3"/>
        <charset val="134"/>
      </rPr>
      <t>+L</t>
    </r>
    <r>
      <rPr>
        <vertAlign val="subscript"/>
        <sz val="10"/>
        <rFont val="宋体"/>
        <family val="3"/>
        <charset val="134"/>
      </rPr>
      <t>25</t>
    </r>
    <r>
      <rPr>
        <sz val="10"/>
        <rFont val="宋体"/>
        <family val="3"/>
        <charset val="134"/>
      </rPr>
      <t>ωg(q</t>
    </r>
    <r>
      <rPr>
        <vertAlign val="subscript"/>
        <sz val="10"/>
        <rFont val="宋体"/>
        <family val="3"/>
        <charset val="134"/>
      </rPr>
      <t>0</t>
    </r>
    <r>
      <rPr>
        <sz val="10"/>
        <rFont val="宋体"/>
        <family val="3"/>
        <charset val="134"/>
      </rPr>
      <t>+q</t>
    </r>
    <r>
      <rPr>
        <vertAlign val="subscript"/>
        <sz val="10"/>
        <rFont val="宋体"/>
        <family val="3"/>
        <charset val="134"/>
      </rPr>
      <t>2</t>
    </r>
    <r>
      <rPr>
        <sz val="10"/>
        <rFont val="宋体"/>
        <family val="3"/>
        <charset val="134"/>
      </rPr>
      <t>)-L</t>
    </r>
    <r>
      <rPr>
        <vertAlign val="subscript"/>
        <sz val="10"/>
        <rFont val="宋体"/>
        <family val="3"/>
        <charset val="134"/>
      </rPr>
      <t>25</t>
    </r>
    <r>
      <rPr>
        <sz val="10"/>
        <rFont val="宋体"/>
        <family val="3"/>
        <charset val="134"/>
      </rPr>
      <t>q</t>
    </r>
    <r>
      <rPr>
        <vertAlign val="subscript"/>
        <sz val="10"/>
        <rFont val="宋体"/>
        <family val="3"/>
        <charset val="134"/>
      </rPr>
      <t>0</t>
    </r>
    <r>
      <rPr>
        <sz val="10"/>
        <rFont val="宋体"/>
        <family val="3"/>
        <charset val="134"/>
      </rPr>
      <t>gtgβ+F</t>
    </r>
    <r>
      <rPr>
        <vertAlign val="subscript"/>
        <sz val="10"/>
        <rFont val="宋体"/>
        <family val="3"/>
        <charset val="134"/>
      </rPr>
      <t>4</t>
    </r>
  </si>
  <si>
    <r>
      <rPr>
        <sz val="10"/>
        <rFont val="宋体"/>
        <family val="3"/>
        <charset val="134"/>
      </rPr>
      <t>折线段倾角β</t>
    </r>
    <r>
      <rPr>
        <vertAlign val="subscript"/>
        <sz val="10"/>
        <rFont val="宋体"/>
        <family val="3"/>
        <charset val="134"/>
      </rPr>
      <t>1</t>
    </r>
    <r>
      <rPr>
        <sz val="10"/>
        <rFont val="宋体"/>
        <family val="3"/>
        <charset val="134"/>
      </rPr>
      <t>=</t>
    </r>
  </si>
  <si>
    <r>
      <rPr>
        <sz val="10"/>
        <rFont val="宋体"/>
        <family val="3"/>
        <charset val="134"/>
      </rPr>
      <t>S</t>
    </r>
    <r>
      <rPr>
        <vertAlign val="subscript"/>
        <sz val="10"/>
        <rFont val="宋体"/>
        <family val="3"/>
        <charset val="134"/>
      </rPr>
      <t>24</t>
    </r>
    <r>
      <rPr>
        <sz val="10"/>
        <rFont val="宋体"/>
        <family val="3"/>
        <charset val="134"/>
      </rPr>
      <t>＝</t>
    </r>
  </si>
  <si>
    <r>
      <rPr>
        <sz val="10"/>
        <rFont val="宋体"/>
        <family val="3"/>
        <charset val="134"/>
      </rPr>
      <t>折线段长度</t>
    </r>
    <r>
      <rPr>
        <sz val="10"/>
        <rFont val="Times New Roman"/>
        <family val="1"/>
      </rPr>
      <t xml:space="preserve">  L</t>
    </r>
    <r>
      <rPr>
        <vertAlign val="subscript"/>
        <sz val="10"/>
        <rFont val="Times New Roman"/>
        <family val="1"/>
      </rPr>
      <t>25</t>
    </r>
    <r>
      <rPr>
        <sz val="10"/>
        <rFont val="Times New Roman"/>
        <family val="1"/>
      </rPr>
      <t>=</t>
    </r>
  </si>
  <si>
    <r>
      <rPr>
        <sz val="10"/>
        <rFont val="宋体"/>
        <family val="3"/>
        <charset val="134"/>
      </rPr>
      <t>尾清阻力F</t>
    </r>
    <r>
      <rPr>
        <vertAlign val="subscript"/>
        <sz val="10"/>
        <rFont val="宋体"/>
        <family val="3"/>
        <charset val="134"/>
      </rPr>
      <t>4</t>
    </r>
    <r>
      <rPr>
        <sz val="10"/>
        <rFont val="宋体"/>
        <family val="3"/>
        <charset val="134"/>
      </rPr>
      <t>＝</t>
    </r>
  </si>
  <si>
    <r>
      <rPr>
        <sz val="10"/>
        <rFont val="宋体"/>
        <family val="3"/>
        <charset val="134"/>
      </rPr>
      <t>校核</t>
    </r>
    <r>
      <rPr>
        <sz val="10"/>
        <rFont val="Times New Roman"/>
        <family val="1"/>
      </rPr>
      <t xml:space="preserve">             </t>
    </r>
    <r>
      <rPr>
        <sz val="10"/>
        <rFont val="宋体"/>
        <family val="3"/>
        <charset val="134"/>
      </rPr>
      <t>≈</t>
    </r>
  </si>
  <si>
    <r>
      <rPr>
        <sz val="10"/>
        <rFont val="宋体"/>
        <family val="3"/>
        <charset val="134"/>
      </rPr>
      <t xml:space="preserve">  S</t>
    </r>
    <r>
      <rPr>
        <vertAlign val="subscript"/>
        <sz val="10"/>
        <rFont val="宋体"/>
        <family val="3"/>
        <charset val="134"/>
      </rPr>
      <t xml:space="preserve">3    </t>
    </r>
    <r>
      <rPr>
        <sz val="10"/>
        <rFont val="宋体"/>
        <family val="3"/>
        <charset val="134"/>
      </rPr>
      <t>=</t>
    </r>
  </si>
  <si>
    <r>
      <rPr>
        <sz val="10"/>
        <rFont val="宋体"/>
        <family val="3"/>
        <charset val="134"/>
      </rPr>
      <t>4）重载段S</t>
    </r>
    <r>
      <rPr>
        <vertAlign val="subscript"/>
        <sz val="10"/>
        <rFont val="宋体"/>
        <family val="3"/>
        <charset val="134"/>
      </rPr>
      <t>44</t>
    </r>
    <r>
      <rPr>
        <sz val="10"/>
        <rFont val="宋体"/>
        <family val="3"/>
        <charset val="134"/>
      </rPr>
      <t>=</t>
    </r>
  </si>
  <si>
    <r>
      <rPr>
        <sz val="10"/>
        <rFont val="宋体"/>
        <family val="3"/>
        <charset val="134"/>
      </rPr>
      <t>S</t>
    </r>
    <r>
      <rPr>
        <vertAlign val="subscript"/>
        <sz val="10"/>
        <rFont val="宋体"/>
        <family val="3"/>
        <charset val="134"/>
      </rPr>
      <t>4</t>
    </r>
    <r>
      <rPr>
        <sz val="10"/>
        <rFont val="宋体"/>
        <family val="3"/>
        <charset val="134"/>
      </rPr>
      <t>+L</t>
    </r>
    <r>
      <rPr>
        <vertAlign val="subscript"/>
        <sz val="10"/>
        <rFont val="宋体"/>
        <family val="3"/>
        <charset val="134"/>
      </rPr>
      <t>25</t>
    </r>
    <r>
      <rPr>
        <sz val="10"/>
        <rFont val="宋体"/>
        <family val="3"/>
        <charset val="134"/>
      </rPr>
      <t>ωg(q+q</t>
    </r>
    <r>
      <rPr>
        <vertAlign val="subscript"/>
        <sz val="10"/>
        <rFont val="宋体"/>
        <family val="3"/>
        <charset val="134"/>
      </rPr>
      <t>0</t>
    </r>
    <r>
      <rPr>
        <sz val="10"/>
        <rFont val="宋体"/>
        <family val="3"/>
        <charset val="134"/>
      </rPr>
      <t>+q</t>
    </r>
    <r>
      <rPr>
        <vertAlign val="subscript"/>
        <sz val="10"/>
        <rFont val="宋体"/>
        <family val="3"/>
        <charset val="134"/>
      </rPr>
      <t>1</t>
    </r>
    <r>
      <rPr>
        <sz val="10"/>
        <rFont val="宋体"/>
        <family val="3"/>
        <charset val="134"/>
      </rPr>
      <t>)+L</t>
    </r>
    <r>
      <rPr>
        <vertAlign val="subscript"/>
        <sz val="10"/>
        <rFont val="宋体"/>
        <family val="3"/>
        <charset val="134"/>
      </rPr>
      <t>25</t>
    </r>
    <r>
      <rPr>
        <sz val="10"/>
        <rFont val="宋体"/>
        <family val="3"/>
        <charset val="134"/>
      </rPr>
      <t>（q</t>
    </r>
    <r>
      <rPr>
        <vertAlign val="subscript"/>
        <sz val="10"/>
        <rFont val="宋体"/>
        <family val="3"/>
        <charset val="134"/>
      </rPr>
      <t>0</t>
    </r>
    <r>
      <rPr>
        <sz val="10"/>
        <rFont val="宋体"/>
        <family val="3"/>
        <charset val="134"/>
      </rPr>
      <t>+q）gtgβ+F</t>
    </r>
    <r>
      <rPr>
        <vertAlign val="subscript"/>
        <sz val="10"/>
        <rFont val="宋体"/>
        <family val="3"/>
        <charset val="134"/>
      </rPr>
      <t>5</t>
    </r>
    <r>
      <rPr>
        <sz val="10"/>
        <rFont val="宋体"/>
        <family val="3"/>
        <charset val="134"/>
      </rPr>
      <t>+F</t>
    </r>
    <r>
      <rPr>
        <vertAlign val="subscript"/>
        <sz val="10"/>
        <rFont val="宋体"/>
        <family val="3"/>
        <charset val="134"/>
      </rPr>
      <t>6</t>
    </r>
    <r>
      <rPr>
        <sz val="10"/>
        <rFont val="宋体"/>
        <family val="3"/>
        <charset val="134"/>
      </rPr>
      <t>+F</t>
    </r>
    <r>
      <rPr>
        <vertAlign val="subscript"/>
        <sz val="10"/>
        <rFont val="宋体"/>
        <family val="3"/>
        <charset val="134"/>
      </rPr>
      <t>7</t>
    </r>
  </si>
  <si>
    <r>
      <rPr>
        <sz val="10"/>
        <rFont val="宋体"/>
        <family val="3"/>
        <charset val="134"/>
      </rPr>
      <t>S</t>
    </r>
    <r>
      <rPr>
        <vertAlign val="subscript"/>
        <sz val="10"/>
        <rFont val="宋体"/>
        <family val="3"/>
        <charset val="134"/>
      </rPr>
      <t>4</t>
    </r>
    <r>
      <rPr>
        <sz val="10"/>
        <rFont val="宋体"/>
        <family val="3"/>
        <charset val="134"/>
      </rPr>
      <t>＝</t>
    </r>
  </si>
  <si>
    <r>
      <rPr>
        <sz val="10"/>
        <rFont val="宋体"/>
        <family val="3"/>
        <charset val="134"/>
      </rPr>
      <t>每米机长上辊子旋转部分质量：q</t>
    </r>
    <r>
      <rPr>
        <vertAlign val="subscript"/>
        <sz val="10"/>
        <rFont val="宋体"/>
        <family val="3"/>
        <charset val="134"/>
      </rPr>
      <t>1</t>
    </r>
    <r>
      <rPr>
        <sz val="10"/>
        <rFont val="宋体"/>
        <family val="3"/>
        <charset val="134"/>
      </rPr>
      <t>=</t>
    </r>
  </si>
  <si>
    <t>每米机长物料质量 ：         q=</t>
  </si>
  <si>
    <r>
      <rPr>
        <sz val="9"/>
        <rFont val="宋体"/>
        <family val="3"/>
        <charset val="134"/>
      </rPr>
      <t>托辊前倾阻力</t>
    </r>
    <r>
      <rPr>
        <sz val="9"/>
        <rFont val="Times New Roman"/>
        <family val="1"/>
      </rPr>
      <t xml:space="preserve">       F</t>
    </r>
    <r>
      <rPr>
        <vertAlign val="subscript"/>
        <sz val="9"/>
        <rFont val="Times New Roman"/>
        <family val="1"/>
      </rPr>
      <t>5</t>
    </r>
    <r>
      <rPr>
        <sz val="9"/>
        <rFont val="Times New Roman"/>
        <family val="1"/>
      </rPr>
      <t>=</t>
    </r>
  </si>
  <si>
    <r>
      <rPr>
        <sz val="9"/>
        <rFont val="宋体"/>
        <family val="3"/>
        <charset val="134"/>
      </rPr>
      <t>导料板阻力</t>
    </r>
    <r>
      <rPr>
        <sz val="9"/>
        <rFont val="Times New Roman"/>
        <family val="1"/>
      </rPr>
      <t xml:space="preserve">           F</t>
    </r>
    <r>
      <rPr>
        <vertAlign val="subscript"/>
        <sz val="9"/>
        <rFont val="Times New Roman"/>
        <family val="1"/>
      </rPr>
      <t>6</t>
    </r>
    <r>
      <rPr>
        <sz val="9"/>
        <rFont val="Times New Roman"/>
        <family val="1"/>
      </rPr>
      <t>=</t>
    </r>
  </si>
  <si>
    <r>
      <rPr>
        <sz val="9"/>
        <rFont val="Times New Roman"/>
        <family val="1"/>
      </rPr>
      <t xml:space="preserve"> </t>
    </r>
    <r>
      <rPr>
        <sz val="9"/>
        <rFont val="宋体"/>
        <family val="3"/>
        <charset val="134"/>
      </rPr>
      <t>给料点处物料附加阻力</t>
    </r>
    <r>
      <rPr>
        <sz val="9"/>
        <rFont val="Times New Roman"/>
        <family val="1"/>
      </rPr>
      <t xml:space="preserve"> F</t>
    </r>
    <r>
      <rPr>
        <vertAlign val="subscript"/>
        <sz val="9"/>
        <rFont val="Times New Roman"/>
        <family val="1"/>
      </rPr>
      <t>6</t>
    </r>
    <r>
      <rPr>
        <sz val="9"/>
        <rFont val="Times New Roman"/>
        <family val="1"/>
      </rPr>
      <t>=</t>
    </r>
  </si>
  <si>
    <r>
      <rPr>
        <sz val="10"/>
        <rFont val="Times New Roman"/>
        <family val="1"/>
      </rPr>
      <t xml:space="preserve">  5</t>
    </r>
    <r>
      <rPr>
        <sz val="10"/>
        <rFont val="宋体"/>
        <family val="3"/>
        <charset val="134"/>
      </rPr>
      <t>）第一折线β</t>
    </r>
    <r>
      <rPr>
        <sz val="10"/>
        <rFont val="Times New Roman"/>
        <family val="1"/>
      </rPr>
      <t>1</t>
    </r>
    <r>
      <rPr>
        <sz val="10"/>
        <rFont val="宋体"/>
        <family val="3"/>
        <charset val="134"/>
      </rPr>
      <t>～β</t>
    </r>
    <r>
      <rPr>
        <sz val="10"/>
        <rFont val="Times New Roman"/>
        <family val="1"/>
      </rPr>
      <t>2</t>
    </r>
    <r>
      <rPr>
        <sz val="10"/>
        <rFont val="宋体"/>
        <family val="3"/>
        <charset val="134"/>
      </rPr>
      <t>处凹弧半径计算</t>
    </r>
  </si>
  <si>
    <r>
      <rPr>
        <sz val="10"/>
        <rFont val="Times New Roman"/>
        <family val="1"/>
      </rPr>
      <t>R</t>
    </r>
    <r>
      <rPr>
        <vertAlign val="subscript"/>
        <sz val="10"/>
        <rFont val="Times New Roman"/>
        <family val="1"/>
      </rPr>
      <t>1</t>
    </r>
    <r>
      <rPr>
        <sz val="10"/>
        <rFont val="宋体"/>
        <family val="3"/>
        <charset val="134"/>
      </rPr>
      <t>＝</t>
    </r>
  </si>
  <si>
    <r>
      <rPr>
        <sz val="10"/>
        <color indexed="12"/>
        <rFont val="Times New Roman"/>
        <family val="1"/>
      </rPr>
      <t>1.35S</t>
    </r>
    <r>
      <rPr>
        <vertAlign val="subscript"/>
        <sz val="10"/>
        <color indexed="12"/>
        <rFont val="Times New Roman"/>
        <family val="1"/>
      </rPr>
      <t>44</t>
    </r>
    <r>
      <rPr>
        <sz val="10"/>
        <color indexed="12"/>
        <rFont val="Times New Roman"/>
        <family val="1"/>
      </rPr>
      <t>/q</t>
    </r>
    <r>
      <rPr>
        <vertAlign val="subscript"/>
        <sz val="10"/>
        <color indexed="12"/>
        <rFont val="Times New Roman"/>
        <family val="1"/>
      </rPr>
      <t>0</t>
    </r>
    <r>
      <rPr>
        <sz val="10"/>
        <color indexed="12"/>
        <rFont val="Times New Roman"/>
        <family val="1"/>
      </rPr>
      <t>g</t>
    </r>
  </si>
  <si>
    <t>＝</t>
  </si>
  <si>
    <r>
      <rPr>
        <sz val="10"/>
        <rFont val="宋体"/>
        <family val="3"/>
        <charset val="134"/>
      </rPr>
      <t>6）重载段S</t>
    </r>
    <r>
      <rPr>
        <vertAlign val="subscript"/>
        <sz val="10"/>
        <rFont val="宋体"/>
        <family val="3"/>
        <charset val="134"/>
      </rPr>
      <t>43</t>
    </r>
    <r>
      <rPr>
        <sz val="10"/>
        <rFont val="宋体"/>
        <family val="3"/>
        <charset val="134"/>
      </rPr>
      <t>=</t>
    </r>
  </si>
  <si>
    <r>
      <rPr>
        <sz val="10"/>
        <rFont val="宋体"/>
        <family val="3"/>
        <charset val="134"/>
      </rPr>
      <t>S</t>
    </r>
    <r>
      <rPr>
        <vertAlign val="subscript"/>
        <sz val="10"/>
        <rFont val="宋体"/>
        <family val="3"/>
        <charset val="134"/>
      </rPr>
      <t>44</t>
    </r>
    <r>
      <rPr>
        <sz val="10"/>
        <rFont val="宋体"/>
        <family val="3"/>
        <charset val="134"/>
      </rPr>
      <t>+L</t>
    </r>
    <r>
      <rPr>
        <vertAlign val="subscript"/>
        <sz val="10"/>
        <rFont val="宋体"/>
        <family val="3"/>
        <charset val="134"/>
      </rPr>
      <t>24</t>
    </r>
    <r>
      <rPr>
        <sz val="10"/>
        <rFont val="宋体"/>
        <family val="3"/>
        <charset val="134"/>
      </rPr>
      <t>ωg(q+q</t>
    </r>
    <r>
      <rPr>
        <vertAlign val="subscript"/>
        <sz val="10"/>
        <rFont val="宋体"/>
        <family val="3"/>
        <charset val="134"/>
      </rPr>
      <t>0</t>
    </r>
    <r>
      <rPr>
        <sz val="10"/>
        <rFont val="宋体"/>
        <family val="3"/>
        <charset val="134"/>
      </rPr>
      <t>+q</t>
    </r>
    <r>
      <rPr>
        <vertAlign val="subscript"/>
        <sz val="10"/>
        <rFont val="宋体"/>
        <family val="3"/>
        <charset val="134"/>
      </rPr>
      <t>1</t>
    </r>
    <r>
      <rPr>
        <sz val="10"/>
        <rFont val="宋体"/>
        <family val="3"/>
        <charset val="134"/>
      </rPr>
      <t>)+L</t>
    </r>
    <r>
      <rPr>
        <vertAlign val="subscript"/>
        <sz val="10"/>
        <rFont val="宋体"/>
        <family val="3"/>
        <charset val="134"/>
      </rPr>
      <t>24</t>
    </r>
    <r>
      <rPr>
        <sz val="10"/>
        <rFont val="宋体"/>
        <family val="3"/>
        <charset val="134"/>
      </rPr>
      <t>（q</t>
    </r>
    <r>
      <rPr>
        <vertAlign val="subscript"/>
        <sz val="10"/>
        <rFont val="宋体"/>
        <family val="3"/>
        <charset val="134"/>
      </rPr>
      <t>0</t>
    </r>
    <r>
      <rPr>
        <sz val="10"/>
        <rFont val="宋体"/>
        <family val="3"/>
        <charset val="134"/>
      </rPr>
      <t>+q）gtgβ</t>
    </r>
  </si>
  <si>
    <r>
      <rPr>
        <sz val="10"/>
        <rFont val="宋体"/>
        <family val="3"/>
        <charset val="134"/>
      </rPr>
      <t>S</t>
    </r>
    <r>
      <rPr>
        <vertAlign val="subscript"/>
        <sz val="10"/>
        <rFont val="宋体"/>
        <family val="3"/>
        <charset val="134"/>
      </rPr>
      <t>42</t>
    </r>
    <r>
      <rPr>
        <sz val="10"/>
        <rFont val="宋体"/>
        <family val="3"/>
        <charset val="134"/>
      </rPr>
      <t>＝</t>
    </r>
  </si>
  <si>
    <r>
      <rPr>
        <sz val="10"/>
        <rFont val="宋体"/>
        <family val="3"/>
        <charset val="134"/>
      </rPr>
      <t>折线段长度</t>
    </r>
    <r>
      <rPr>
        <sz val="10"/>
        <rFont val="Times New Roman"/>
        <family val="1"/>
      </rPr>
      <t xml:space="preserve">            L</t>
    </r>
    <r>
      <rPr>
        <vertAlign val="subscript"/>
        <sz val="10"/>
        <rFont val="Times New Roman"/>
        <family val="1"/>
      </rPr>
      <t>24</t>
    </r>
    <r>
      <rPr>
        <sz val="10"/>
        <rFont val="Times New Roman"/>
        <family val="1"/>
      </rPr>
      <t>=</t>
    </r>
  </si>
  <si>
    <r>
      <rPr>
        <sz val="10"/>
        <rFont val="Times New Roman"/>
        <family val="1"/>
      </rPr>
      <t xml:space="preserve">   7</t>
    </r>
    <r>
      <rPr>
        <sz val="10"/>
        <rFont val="宋体"/>
        <family val="3"/>
        <charset val="134"/>
      </rPr>
      <t>）第二折线β</t>
    </r>
    <r>
      <rPr>
        <sz val="10"/>
        <rFont val="Times New Roman"/>
        <family val="1"/>
      </rPr>
      <t>2</t>
    </r>
    <r>
      <rPr>
        <sz val="10"/>
        <rFont val="宋体"/>
        <family val="3"/>
        <charset val="134"/>
      </rPr>
      <t>～β</t>
    </r>
    <r>
      <rPr>
        <sz val="10"/>
        <rFont val="Times New Roman"/>
        <family val="1"/>
      </rPr>
      <t>3</t>
    </r>
    <r>
      <rPr>
        <sz val="10"/>
        <rFont val="宋体"/>
        <family val="3"/>
        <charset val="134"/>
      </rPr>
      <t>处凸弧半径计算</t>
    </r>
  </si>
  <si>
    <r>
      <rPr>
        <sz val="10"/>
        <rFont val="Times New Roman"/>
        <family val="1"/>
      </rPr>
      <t>R</t>
    </r>
    <r>
      <rPr>
        <vertAlign val="subscript"/>
        <sz val="10"/>
        <rFont val="Times New Roman"/>
        <family val="1"/>
      </rPr>
      <t>2</t>
    </r>
    <r>
      <rPr>
        <sz val="10"/>
        <rFont val="宋体"/>
        <family val="3"/>
        <charset val="134"/>
      </rPr>
      <t>＝</t>
    </r>
  </si>
  <si>
    <t>150Bsinε</t>
  </si>
  <si>
    <t>ε—托辊前槽角；</t>
  </si>
  <si>
    <t>ε=</t>
  </si>
  <si>
    <t>（弧度）=</t>
  </si>
  <si>
    <t>B=</t>
  </si>
  <si>
    <r>
      <rPr>
        <sz val="10"/>
        <rFont val="宋体"/>
        <family val="3"/>
        <charset val="134"/>
      </rPr>
      <t>8）重载段S</t>
    </r>
    <r>
      <rPr>
        <vertAlign val="subscript"/>
        <sz val="10"/>
        <rFont val="宋体"/>
        <family val="3"/>
        <charset val="134"/>
      </rPr>
      <t>42</t>
    </r>
    <r>
      <rPr>
        <sz val="10"/>
        <rFont val="宋体"/>
        <family val="3"/>
        <charset val="134"/>
      </rPr>
      <t>=</t>
    </r>
  </si>
  <si>
    <r>
      <rPr>
        <sz val="10"/>
        <rFont val="宋体"/>
        <family val="3"/>
        <charset val="134"/>
      </rPr>
      <t>S</t>
    </r>
    <r>
      <rPr>
        <vertAlign val="subscript"/>
        <sz val="10"/>
        <rFont val="宋体"/>
        <family val="3"/>
        <charset val="134"/>
      </rPr>
      <t>42</t>
    </r>
    <r>
      <rPr>
        <sz val="10"/>
        <rFont val="宋体"/>
        <family val="3"/>
        <charset val="134"/>
      </rPr>
      <t>+L</t>
    </r>
    <r>
      <rPr>
        <vertAlign val="subscript"/>
        <sz val="10"/>
        <rFont val="宋体"/>
        <family val="3"/>
        <charset val="134"/>
      </rPr>
      <t>23</t>
    </r>
    <r>
      <rPr>
        <sz val="10"/>
        <rFont val="宋体"/>
        <family val="3"/>
        <charset val="134"/>
      </rPr>
      <t>ωg(q+q</t>
    </r>
    <r>
      <rPr>
        <vertAlign val="subscript"/>
        <sz val="10"/>
        <rFont val="宋体"/>
        <family val="3"/>
        <charset val="134"/>
      </rPr>
      <t>0</t>
    </r>
    <r>
      <rPr>
        <sz val="10"/>
        <rFont val="宋体"/>
        <family val="3"/>
        <charset val="134"/>
      </rPr>
      <t>+q</t>
    </r>
    <r>
      <rPr>
        <vertAlign val="subscript"/>
        <sz val="10"/>
        <rFont val="宋体"/>
        <family val="3"/>
        <charset val="134"/>
      </rPr>
      <t>1</t>
    </r>
    <r>
      <rPr>
        <sz val="10"/>
        <rFont val="宋体"/>
        <family val="3"/>
        <charset val="134"/>
      </rPr>
      <t>)+L</t>
    </r>
    <r>
      <rPr>
        <vertAlign val="subscript"/>
        <sz val="10"/>
        <rFont val="宋体"/>
        <family val="3"/>
        <charset val="134"/>
      </rPr>
      <t>23</t>
    </r>
    <r>
      <rPr>
        <sz val="10"/>
        <rFont val="宋体"/>
        <family val="3"/>
        <charset val="134"/>
      </rPr>
      <t>（q</t>
    </r>
    <r>
      <rPr>
        <vertAlign val="subscript"/>
        <sz val="10"/>
        <rFont val="宋体"/>
        <family val="3"/>
        <charset val="134"/>
      </rPr>
      <t>0</t>
    </r>
    <r>
      <rPr>
        <sz val="10"/>
        <rFont val="宋体"/>
        <family val="3"/>
        <charset val="134"/>
      </rPr>
      <t>+q）gtgβ</t>
    </r>
  </si>
  <si>
    <r>
      <rPr>
        <sz val="10"/>
        <rFont val="宋体"/>
        <family val="3"/>
        <charset val="134"/>
      </rPr>
      <t>S</t>
    </r>
    <r>
      <rPr>
        <vertAlign val="subscript"/>
        <sz val="10"/>
        <rFont val="宋体"/>
        <family val="3"/>
        <charset val="134"/>
      </rPr>
      <t>41</t>
    </r>
    <r>
      <rPr>
        <sz val="10"/>
        <rFont val="宋体"/>
        <family val="3"/>
        <charset val="134"/>
      </rPr>
      <t>＝</t>
    </r>
  </si>
  <si>
    <r>
      <rPr>
        <sz val="10"/>
        <rFont val="宋体"/>
        <family val="3"/>
        <charset val="134"/>
      </rPr>
      <t xml:space="preserve">  S</t>
    </r>
    <r>
      <rPr>
        <vertAlign val="subscript"/>
        <sz val="10"/>
        <rFont val="宋体"/>
        <family val="3"/>
        <charset val="134"/>
      </rPr>
      <t xml:space="preserve">1    </t>
    </r>
    <r>
      <rPr>
        <sz val="10"/>
        <rFont val="宋体"/>
        <family val="3"/>
        <charset val="134"/>
      </rPr>
      <t>=</t>
    </r>
  </si>
  <si>
    <t>胶带输送机设计计算书</t>
  </si>
  <si>
    <t>工程名称：</t>
  </si>
  <si>
    <t>单位工程名称：</t>
  </si>
  <si>
    <t>设计(工程负责)人：</t>
  </si>
  <si>
    <t>校  核  人：</t>
  </si>
  <si>
    <t>总     计：            页</t>
  </si>
  <si>
    <t>完成日期：      年    月    日</t>
  </si>
  <si>
    <t>说明：1、红字为需要输入的数据，其他颜色为取值或计算得出；</t>
  </si>
  <si>
    <t xml:space="preserve">      2、本例胶带采用钢丝绳芯胶带；</t>
  </si>
  <si>
    <t xml:space="preserve">      3、本例含张力逐点计算，见工作表例；</t>
  </si>
  <si>
    <t xml:space="preserve">      4、仅供交流，原作者不负责计算结果的正误；</t>
  </si>
  <si>
    <t xml:space="preserve">      5、欢迎批评指正。</t>
  </si>
  <si>
    <t>一、 原始参数</t>
  </si>
  <si>
    <t>1.运输物料：</t>
  </si>
  <si>
    <t>原煤；</t>
  </si>
  <si>
    <t>松散密度：</t>
  </si>
  <si>
    <t xml:space="preserve"> γ=</t>
  </si>
  <si>
    <r>
      <rPr>
        <sz val="10"/>
        <rFont val="宋体"/>
        <family val="3"/>
        <charset val="134"/>
      </rPr>
      <t>kg/m</t>
    </r>
    <r>
      <rPr>
        <vertAlign val="superscript"/>
        <sz val="10"/>
        <rFont val="宋体"/>
        <family val="3"/>
        <charset val="134"/>
      </rPr>
      <t>3</t>
    </r>
  </si>
  <si>
    <t>2.运输能力：</t>
  </si>
  <si>
    <r>
      <rPr>
        <sz val="10"/>
        <rFont val="宋体"/>
        <family val="3"/>
        <charset val="134"/>
      </rPr>
      <t>第一个给料点Q</t>
    </r>
    <r>
      <rPr>
        <vertAlign val="subscript"/>
        <sz val="10"/>
        <rFont val="宋体"/>
        <family val="3"/>
        <charset val="134"/>
      </rPr>
      <t>1</t>
    </r>
    <r>
      <rPr>
        <sz val="10"/>
        <rFont val="宋体"/>
        <family val="3"/>
        <charset val="134"/>
      </rPr>
      <t>=</t>
    </r>
  </si>
  <si>
    <t>t/h</t>
  </si>
  <si>
    <t>（自尾部起）</t>
  </si>
  <si>
    <r>
      <rPr>
        <sz val="10"/>
        <rFont val="宋体"/>
        <family val="3"/>
        <charset val="134"/>
      </rPr>
      <t>第二个给料点Q</t>
    </r>
    <r>
      <rPr>
        <vertAlign val="subscript"/>
        <sz val="10"/>
        <rFont val="宋体"/>
        <family val="3"/>
        <charset val="134"/>
      </rPr>
      <t>2</t>
    </r>
    <r>
      <rPr>
        <sz val="10"/>
        <rFont val="宋体"/>
        <family val="3"/>
        <charset val="134"/>
      </rPr>
      <t>=</t>
    </r>
  </si>
  <si>
    <r>
      <rPr>
        <sz val="10"/>
        <rFont val="宋体"/>
        <family val="3"/>
        <charset val="134"/>
      </rPr>
      <t>第三个给料点Q</t>
    </r>
    <r>
      <rPr>
        <vertAlign val="subscript"/>
        <sz val="10"/>
        <rFont val="宋体"/>
        <family val="3"/>
        <charset val="134"/>
      </rPr>
      <t>3</t>
    </r>
    <r>
      <rPr>
        <sz val="10"/>
        <rFont val="宋体"/>
        <family val="3"/>
        <charset val="134"/>
      </rPr>
      <t>=</t>
    </r>
  </si>
  <si>
    <r>
      <rPr>
        <sz val="10"/>
        <rFont val="宋体"/>
        <family val="3"/>
        <charset val="134"/>
      </rPr>
      <t>第四个给料点Q</t>
    </r>
    <r>
      <rPr>
        <vertAlign val="subscript"/>
        <sz val="10"/>
        <rFont val="宋体"/>
        <family val="3"/>
        <charset val="134"/>
      </rPr>
      <t>4</t>
    </r>
    <r>
      <rPr>
        <sz val="10"/>
        <rFont val="宋体"/>
        <family val="3"/>
        <charset val="134"/>
      </rPr>
      <t>=</t>
    </r>
  </si>
  <si>
    <t>3.水平运输距离：</t>
  </si>
  <si>
    <t>L=</t>
  </si>
  <si>
    <r>
      <rPr>
        <sz val="10"/>
        <rFont val="Times New Roman"/>
        <family val="1"/>
      </rPr>
      <t>1</t>
    </r>
    <r>
      <rPr>
        <sz val="10"/>
        <rFont val="宋体"/>
        <family val="3"/>
        <charset val="134"/>
      </rPr>
      <t>）.第一、二给料点距离：</t>
    </r>
  </si>
  <si>
    <r>
      <rPr>
        <sz val="10"/>
        <rFont val="宋体"/>
        <family val="3"/>
        <charset val="134"/>
      </rPr>
      <t>L</t>
    </r>
    <r>
      <rPr>
        <vertAlign val="subscript"/>
        <sz val="10"/>
        <rFont val="宋体"/>
        <family val="3"/>
        <charset val="134"/>
      </rPr>
      <t>21</t>
    </r>
    <r>
      <rPr>
        <sz val="10"/>
        <rFont val="宋体"/>
        <family val="3"/>
        <charset val="134"/>
      </rPr>
      <t>=</t>
    </r>
  </si>
  <si>
    <t>2）.第二、三给料点距离：</t>
  </si>
  <si>
    <r>
      <rPr>
        <sz val="10"/>
        <rFont val="宋体"/>
        <family val="3"/>
        <charset val="134"/>
      </rPr>
      <t>L</t>
    </r>
    <r>
      <rPr>
        <vertAlign val="subscript"/>
        <sz val="10"/>
        <rFont val="宋体"/>
        <family val="3"/>
        <charset val="134"/>
      </rPr>
      <t>32</t>
    </r>
    <r>
      <rPr>
        <sz val="10"/>
        <rFont val="宋体"/>
        <family val="3"/>
        <charset val="134"/>
      </rPr>
      <t>=</t>
    </r>
  </si>
  <si>
    <t>3）.第三、四给料点距离：</t>
  </si>
  <si>
    <r>
      <rPr>
        <sz val="10"/>
        <rFont val="宋体"/>
        <family val="3"/>
        <charset val="134"/>
      </rPr>
      <t>L</t>
    </r>
    <r>
      <rPr>
        <vertAlign val="subscript"/>
        <sz val="10"/>
        <rFont val="宋体"/>
        <family val="3"/>
        <charset val="134"/>
      </rPr>
      <t>43</t>
    </r>
    <r>
      <rPr>
        <sz val="10"/>
        <rFont val="宋体"/>
        <family val="3"/>
        <charset val="134"/>
      </rPr>
      <t>=</t>
    </r>
  </si>
  <si>
    <t>4.胶带倾角：</t>
  </si>
  <si>
    <r>
      <rPr>
        <sz val="10"/>
        <rFont val="宋体"/>
        <family val="3"/>
        <charset val="134"/>
      </rPr>
      <t>第一段β</t>
    </r>
    <r>
      <rPr>
        <vertAlign val="subscript"/>
        <sz val="10"/>
        <rFont val="Times New Roman"/>
        <family val="1"/>
      </rPr>
      <t>1</t>
    </r>
    <r>
      <rPr>
        <sz val="10"/>
        <rFont val="宋体"/>
        <family val="3"/>
        <charset val="134"/>
      </rPr>
      <t>=</t>
    </r>
  </si>
  <si>
    <r>
      <rPr>
        <sz val="10"/>
        <rFont val="宋体"/>
        <family val="3"/>
        <charset val="134"/>
      </rPr>
      <t>第二段β</t>
    </r>
    <r>
      <rPr>
        <vertAlign val="subscript"/>
        <sz val="10"/>
        <rFont val="宋体"/>
        <family val="3"/>
        <charset val="134"/>
      </rPr>
      <t>2</t>
    </r>
    <r>
      <rPr>
        <sz val="10"/>
        <rFont val="宋体"/>
        <family val="3"/>
        <charset val="134"/>
      </rPr>
      <t>=</t>
    </r>
  </si>
  <si>
    <r>
      <rPr>
        <sz val="10"/>
        <rFont val="宋体"/>
        <family val="3"/>
        <charset val="134"/>
      </rPr>
      <t>第三段β</t>
    </r>
    <r>
      <rPr>
        <vertAlign val="subscript"/>
        <sz val="10"/>
        <rFont val="宋体"/>
        <family val="3"/>
        <charset val="134"/>
      </rPr>
      <t>3</t>
    </r>
    <r>
      <rPr>
        <sz val="10"/>
        <rFont val="宋体"/>
        <family val="3"/>
        <charset val="134"/>
      </rPr>
      <t>=</t>
    </r>
  </si>
  <si>
    <t>平均角度=</t>
  </si>
  <si>
    <t>5. 胶带速度：</t>
  </si>
  <si>
    <t>ν=</t>
  </si>
  <si>
    <t>m/s</t>
  </si>
  <si>
    <t>6. 提升高度：</t>
  </si>
  <si>
    <t>H=</t>
  </si>
  <si>
    <t>L'×tgβ</t>
  </si>
  <si>
    <t>二、 自定义参数</t>
  </si>
  <si>
    <t>1. 胶带种类：钢丝绳芯胶带，上覆盖胶厚度8mm，下覆盖胶厚度8mm</t>
  </si>
  <si>
    <t>2. 胶带宽度：</t>
  </si>
  <si>
    <t>mm      =</t>
  </si>
  <si>
    <t>3. 胶带强度：</t>
  </si>
  <si>
    <t>σ=</t>
  </si>
  <si>
    <t>4. 输送机理论运量：     Q=</t>
  </si>
  <si>
    <t>3.6Sνkγ</t>
  </si>
  <si>
    <t>S—输送带上物料最大截面积；</t>
  </si>
  <si>
    <t>S=</t>
  </si>
  <si>
    <r>
      <rPr>
        <sz val="10"/>
        <rFont val="宋体"/>
        <family val="3"/>
        <charset val="134"/>
      </rPr>
      <t>m</t>
    </r>
    <r>
      <rPr>
        <vertAlign val="superscript"/>
        <sz val="10"/>
        <rFont val="宋体"/>
        <family val="3"/>
        <charset val="134"/>
      </rPr>
      <t>2</t>
    </r>
  </si>
  <si>
    <t>k—倾斜输送机面积折减系数；</t>
  </si>
  <si>
    <t>k=</t>
  </si>
  <si>
    <t>带速v</t>
  </si>
  <si>
    <t>松散密度γ</t>
  </si>
  <si>
    <t xml:space="preserve"> Q=</t>
  </si>
  <si>
    <r>
      <rPr>
        <sz val="10"/>
        <rFont val="宋体"/>
        <family val="3"/>
        <charset val="134"/>
      </rPr>
      <t>大于Q</t>
    </r>
    <r>
      <rPr>
        <vertAlign val="subscript"/>
        <sz val="10"/>
        <rFont val="宋体"/>
        <family val="3"/>
        <charset val="134"/>
      </rPr>
      <t>1</t>
    </r>
    <r>
      <rPr>
        <sz val="10"/>
        <rFont val="宋体"/>
        <family val="3"/>
        <charset val="134"/>
      </rPr>
      <t>=</t>
    </r>
  </si>
  <si>
    <t>根据实际带速，</t>
  </si>
  <si>
    <t>计算实际运量Q=</t>
  </si>
  <si>
    <t>实际带速v</t>
  </si>
  <si>
    <r>
      <rPr>
        <sz val="10"/>
        <rFont val="宋体"/>
        <family val="3"/>
        <charset val="134"/>
      </rPr>
      <t xml:space="preserve"> Q</t>
    </r>
    <r>
      <rPr>
        <vertAlign val="subscript"/>
        <sz val="10"/>
        <rFont val="宋体"/>
        <family val="3"/>
        <charset val="134"/>
      </rPr>
      <t>实际</t>
    </r>
    <r>
      <rPr>
        <sz val="10"/>
        <rFont val="宋体"/>
        <family val="3"/>
        <charset val="134"/>
      </rPr>
      <t>=</t>
    </r>
  </si>
  <si>
    <r>
      <rPr>
        <sz val="10"/>
        <rFont val="宋体"/>
        <family val="3"/>
        <charset val="134"/>
      </rPr>
      <t>5.每米机长胶带质量：    q</t>
    </r>
    <r>
      <rPr>
        <vertAlign val="subscript"/>
        <sz val="10"/>
        <rFont val="宋体"/>
        <family val="3"/>
        <charset val="134"/>
      </rPr>
      <t>0</t>
    </r>
    <r>
      <rPr>
        <sz val="10"/>
        <rFont val="宋体"/>
        <family val="3"/>
        <charset val="134"/>
      </rPr>
      <t>=</t>
    </r>
  </si>
  <si>
    <t>6.每米机长物料质量 ：    q=</t>
  </si>
  <si>
    <t>Q/3.6ν</t>
  </si>
  <si>
    <t>运输能力Q</t>
  </si>
  <si>
    <t>7.滚筒组：</t>
  </si>
  <si>
    <t>（1）头部传动滚筒</t>
  </si>
  <si>
    <t>D≥</t>
  </si>
  <si>
    <t>Cod</t>
  </si>
  <si>
    <t>钢丝绳d=</t>
  </si>
  <si>
    <t>Co=</t>
  </si>
  <si>
    <t>传动滚筒直径D=</t>
  </si>
  <si>
    <t>（2）     尾部及主要改向滚筒直径=    Φ</t>
  </si>
  <si>
    <t>8.托辊组：</t>
  </si>
  <si>
    <t xml:space="preserve">⑴ 重载段：采用35°槽角托辊组，   </t>
  </si>
  <si>
    <t>辊子直径=Φ</t>
  </si>
  <si>
    <t>辊子轴承型号：</t>
  </si>
  <si>
    <t>6305/C4</t>
  </si>
  <si>
    <t>,</t>
  </si>
  <si>
    <t>辊子轴径Φ</t>
  </si>
  <si>
    <t>mm，</t>
  </si>
  <si>
    <r>
      <rPr>
        <sz val="10"/>
        <rFont val="宋体"/>
        <family val="3"/>
        <charset val="134"/>
      </rPr>
      <t>查表单个上辊转动部分质量q</t>
    </r>
    <r>
      <rPr>
        <vertAlign val="subscript"/>
        <sz val="10"/>
        <rFont val="宋体"/>
        <family val="3"/>
        <charset val="134"/>
      </rPr>
      <t>r0</t>
    </r>
    <r>
      <rPr>
        <vertAlign val="superscript"/>
        <sz val="10"/>
        <rFont val="宋体"/>
        <family val="3"/>
        <charset val="134"/>
      </rPr>
      <t>'</t>
    </r>
    <r>
      <rPr>
        <sz val="10"/>
        <rFont val="宋体"/>
        <family val="3"/>
        <charset val="134"/>
      </rPr>
      <t>=</t>
    </r>
  </si>
  <si>
    <t>kg      n=</t>
  </si>
  <si>
    <r>
      <rPr>
        <sz val="10"/>
        <rFont val="宋体"/>
        <family val="3"/>
        <charset val="134"/>
      </rPr>
      <t>a</t>
    </r>
    <r>
      <rPr>
        <vertAlign val="subscript"/>
        <sz val="10"/>
        <rFont val="宋体"/>
        <family val="3"/>
        <charset val="134"/>
      </rPr>
      <t>0</t>
    </r>
    <r>
      <rPr>
        <sz val="10"/>
        <rFont val="宋体"/>
        <family val="3"/>
        <charset val="134"/>
      </rPr>
      <t>--上托辊组间距；a</t>
    </r>
    <r>
      <rPr>
        <vertAlign val="subscript"/>
        <sz val="10"/>
        <rFont val="宋体"/>
        <family val="3"/>
        <charset val="134"/>
      </rPr>
      <t>0</t>
    </r>
    <r>
      <rPr>
        <sz val="10"/>
        <rFont val="宋体"/>
        <family val="3"/>
        <charset val="134"/>
      </rPr>
      <t xml:space="preserve"> =</t>
    </r>
  </si>
  <si>
    <r>
      <rPr>
        <sz val="10"/>
        <rFont val="宋体"/>
        <family val="3"/>
        <charset val="134"/>
      </rPr>
      <t>q</t>
    </r>
    <r>
      <rPr>
        <vertAlign val="subscript"/>
        <sz val="10"/>
        <rFont val="宋体"/>
        <family val="3"/>
        <charset val="134"/>
      </rPr>
      <t>r0</t>
    </r>
    <r>
      <rPr>
        <sz val="10"/>
        <rFont val="宋体"/>
        <family val="3"/>
        <charset val="134"/>
      </rPr>
      <t>=</t>
    </r>
  </si>
  <si>
    <r>
      <rPr>
        <sz val="10"/>
        <rFont val="宋体"/>
        <family val="3"/>
        <charset val="134"/>
      </rPr>
      <t>nq</t>
    </r>
    <r>
      <rPr>
        <vertAlign val="subscript"/>
        <sz val="10"/>
        <rFont val="宋体"/>
        <family val="3"/>
        <charset val="134"/>
      </rPr>
      <t>r0</t>
    </r>
    <r>
      <rPr>
        <vertAlign val="superscript"/>
        <sz val="10"/>
        <rFont val="宋体"/>
        <family val="3"/>
        <charset val="134"/>
      </rPr>
      <t>'</t>
    </r>
    <r>
      <rPr>
        <sz val="10"/>
        <rFont val="宋体"/>
        <family val="3"/>
        <charset val="134"/>
      </rPr>
      <t>/a</t>
    </r>
    <r>
      <rPr>
        <vertAlign val="subscript"/>
        <sz val="10"/>
        <rFont val="宋体"/>
        <family val="3"/>
        <charset val="134"/>
      </rPr>
      <t>0</t>
    </r>
    <r>
      <rPr>
        <sz val="10"/>
        <rFont val="宋体"/>
        <family val="3"/>
        <charset val="134"/>
      </rPr>
      <t>=</t>
    </r>
  </si>
  <si>
    <r>
      <rPr>
        <sz val="10"/>
        <rFont val="宋体"/>
        <family val="3"/>
        <charset val="134"/>
      </rPr>
      <t xml:space="preserve">   每米机长上辊子旋转部分质量：  q</t>
    </r>
    <r>
      <rPr>
        <vertAlign val="subscript"/>
        <sz val="10"/>
        <rFont val="宋体"/>
        <family val="3"/>
        <charset val="134"/>
      </rPr>
      <t>1</t>
    </r>
    <r>
      <rPr>
        <sz val="10"/>
        <rFont val="宋体"/>
        <family val="3"/>
        <charset val="134"/>
      </rPr>
      <t>=</t>
    </r>
  </si>
  <si>
    <t>⑵ 空载段：采用V型下托辊组</t>
  </si>
  <si>
    <r>
      <rPr>
        <sz val="10"/>
        <rFont val="宋体"/>
        <family val="3"/>
        <charset val="134"/>
      </rPr>
      <t>查表单个下辊转动部分质量q</t>
    </r>
    <r>
      <rPr>
        <vertAlign val="subscript"/>
        <sz val="10"/>
        <rFont val="宋体"/>
        <family val="3"/>
        <charset val="134"/>
      </rPr>
      <t>r0</t>
    </r>
    <r>
      <rPr>
        <vertAlign val="superscript"/>
        <sz val="10"/>
        <rFont val="宋体"/>
        <family val="3"/>
        <charset val="134"/>
      </rPr>
      <t>'</t>
    </r>
    <r>
      <rPr>
        <sz val="10"/>
        <rFont val="宋体"/>
        <family val="3"/>
        <charset val="134"/>
      </rPr>
      <t>=</t>
    </r>
  </si>
  <si>
    <r>
      <rPr>
        <sz val="10"/>
        <rFont val="宋体"/>
        <family val="3"/>
        <charset val="134"/>
      </rPr>
      <t>a</t>
    </r>
    <r>
      <rPr>
        <vertAlign val="subscript"/>
        <sz val="10"/>
        <rFont val="宋体"/>
        <family val="3"/>
        <charset val="134"/>
      </rPr>
      <t>0</t>
    </r>
    <r>
      <rPr>
        <sz val="10"/>
        <rFont val="宋体"/>
        <family val="3"/>
        <charset val="134"/>
      </rPr>
      <t>--上托辊组间距；a</t>
    </r>
    <r>
      <rPr>
        <vertAlign val="subscript"/>
        <sz val="10"/>
        <rFont val="宋体"/>
        <family val="3"/>
        <charset val="134"/>
      </rPr>
      <t>u</t>
    </r>
    <r>
      <rPr>
        <sz val="10"/>
        <rFont val="宋体"/>
        <family val="3"/>
        <charset val="134"/>
      </rPr>
      <t xml:space="preserve"> =</t>
    </r>
  </si>
  <si>
    <r>
      <rPr>
        <sz val="10"/>
        <rFont val="宋体"/>
        <family val="3"/>
        <charset val="134"/>
      </rPr>
      <t>nq</t>
    </r>
    <r>
      <rPr>
        <vertAlign val="subscript"/>
        <sz val="10"/>
        <rFont val="宋体"/>
        <family val="3"/>
        <charset val="134"/>
      </rPr>
      <t>r0</t>
    </r>
    <r>
      <rPr>
        <vertAlign val="superscript"/>
        <sz val="10"/>
        <rFont val="宋体"/>
        <family val="3"/>
        <charset val="134"/>
      </rPr>
      <t>'</t>
    </r>
    <r>
      <rPr>
        <sz val="10"/>
        <rFont val="宋体"/>
        <family val="3"/>
        <charset val="134"/>
      </rPr>
      <t>/a</t>
    </r>
    <r>
      <rPr>
        <vertAlign val="subscript"/>
        <sz val="10"/>
        <rFont val="宋体"/>
        <family val="3"/>
        <charset val="134"/>
      </rPr>
      <t>u</t>
    </r>
    <r>
      <rPr>
        <sz val="10"/>
        <rFont val="宋体"/>
        <family val="3"/>
        <charset val="134"/>
      </rPr>
      <t>=</t>
    </r>
  </si>
  <si>
    <r>
      <rPr>
        <sz val="10"/>
        <rFont val="宋体"/>
        <family val="3"/>
        <charset val="134"/>
      </rPr>
      <t xml:space="preserve">   每米机长下辊子旋转部分质量：  q</t>
    </r>
    <r>
      <rPr>
        <vertAlign val="subscript"/>
        <sz val="10"/>
        <rFont val="宋体"/>
        <family val="3"/>
        <charset val="134"/>
      </rPr>
      <t>2</t>
    </r>
    <r>
      <rPr>
        <sz val="10"/>
        <rFont val="宋体"/>
        <family val="3"/>
        <charset val="134"/>
      </rPr>
      <t>=</t>
    </r>
  </si>
  <si>
    <t>⑶ 辊子旋转转速：      n=</t>
  </si>
  <si>
    <t>30×ν/（3.14×r）</t>
  </si>
  <si>
    <t>带速v：</t>
  </si>
  <si>
    <t>⒑ 上下胶带模拟阻力系数：        ω=</t>
  </si>
  <si>
    <t>⒒ 胶带与传动滚筒之间的摩擦系数： μ=</t>
  </si>
  <si>
    <r>
      <rPr>
        <sz val="10"/>
        <rFont val="宋体"/>
        <family val="3"/>
        <charset val="134"/>
      </rPr>
      <t>⒓ 拉紧方式：液压拉紧，拉紧位置在头部，至头部距离：     L</t>
    </r>
    <r>
      <rPr>
        <vertAlign val="subscript"/>
        <sz val="10"/>
        <rFont val="宋体"/>
        <family val="3"/>
        <charset val="134"/>
      </rPr>
      <t>1</t>
    </r>
    <r>
      <rPr>
        <sz val="10"/>
        <rFont val="宋体"/>
        <family val="3"/>
        <charset val="134"/>
      </rPr>
      <t>=</t>
    </r>
  </si>
  <si>
    <t>⒔ 清扫方式：头部布置H型合金橡胶清扫器，尾部布置角型硬质合金清扫器</t>
  </si>
  <si>
    <t>⒕ 导料板长度：          l=</t>
  </si>
  <si>
    <t>⒖ 头部设置2组过渡托辊组，给料点下设置10组缓冲托辊组</t>
  </si>
  <si>
    <r>
      <rPr>
        <sz val="10"/>
        <rFont val="宋体"/>
        <family val="3"/>
        <charset val="134"/>
      </rPr>
      <t>三、</t>
    </r>
    <r>
      <rPr>
        <sz val="10"/>
        <rFont val="Times New Roman"/>
        <family val="1"/>
      </rPr>
      <t xml:space="preserve"> </t>
    </r>
    <r>
      <rPr>
        <sz val="10"/>
        <rFont val="宋体"/>
        <family val="3"/>
        <charset val="134"/>
      </rPr>
      <t>输送机布置型式（见附图）</t>
    </r>
  </si>
  <si>
    <t xml:space="preserve">    头部为双滚筒双电机驱动</t>
  </si>
  <si>
    <t>四.辊子载荷校核</t>
  </si>
  <si>
    <t>⑴ 净载荷校核</t>
  </si>
  <si>
    <t>① 重载段辊子校核</t>
  </si>
  <si>
    <r>
      <rPr>
        <sz val="10"/>
        <rFont val="宋体"/>
        <family val="3"/>
        <charset val="134"/>
      </rPr>
      <t>P</t>
    </r>
    <r>
      <rPr>
        <vertAlign val="subscript"/>
        <sz val="10"/>
        <rFont val="宋体"/>
        <family val="3"/>
        <charset val="134"/>
      </rPr>
      <t>0</t>
    </r>
    <r>
      <rPr>
        <sz val="10"/>
        <rFont val="宋体"/>
        <family val="3"/>
        <charset val="134"/>
      </rPr>
      <t>=</t>
    </r>
  </si>
  <si>
    <r>
      <rPr>
        <sz val="10"/>
        <rFont val="宋体"/>
        <family val="3"/>
        <charset val="134"/>
      </rPr>
      <t>ea</t>
    </r>
    <r>
      <rPr>
        <vertAlign val="subscript"/>
        <sz val="10"/>
        <rFont val="宋体"/>
        <family val="3"/>
        <charset val="134"/>
      </rPr>
      <t>0</t>
    </r>
    <r>
      <rPr>
        <sz val="10"/>
        <rFont val="宋体"/>
        <family val="3"/>
        <charset val="134"/>
      </rPr>
      <t>g(Im/v+q</t>
    </r>
    <r>
      <rPr>
        <vertAlign val="subscript"/>
        <sz val="10"/>
        <rFont val="宋体"/>
        <family val="3"/>
        <charset val="134"/>
      </rPr>
      <t>0</t>
    </r>
    <r>
      <rPr>
        <sz val="10"/>
        <rFont val="宋体"/>
        <family val="3"/>
        <charset val="134"/>
      </rPr>
      <t>)</t>
    </r>
  </si>
  <si>
    <t xml:space="preserve"> e--辊子载荷系数； </t>
  </si>
  <si>
    <r>
      <rPr>
        <sz val="10"/>
        <rFont val="宋体"/>
        <family val="3"/>
        <charset val="134"/>
      </rPr>
      <t>a</t>
    </r>
    <r>
      <rPr>
        <vertAlign val="subscript"/>
        <sz val="10"/>
        <rFont val="宋体"/>
        <family val="3"/>
        <charset val="134"/>
      </rPr>
      <t>0</t>
    </r>
    <r>
      <rPr>
        <sz val="10"/>
        <rFont val="宋体"/>
        <family val="3"/>
        <charset val="134"/>
      </rPr>
      <t>=</t>
    </r>
  </si>
  <si>
    <t>e=</t>
  </si>
  <si>
    <t>v=</t>
  </si>
  <si>
    <t xml:space="preserve"> Im--输送能力； </t>
  </si>
  <si>
    <r>
      <rPr>
        <sz val="10"/>
        <rFont val="宋体"/>
        <family val="3"/>
        <charset val="134"/>
      </rPr>
      <t>q</t>
    </r>
    <r>
      <rPr>
        <vertAlign val="subscript"/>
        <sz val="10"/>
        <rFont val="宋体"/>
        <family val="3"/>
        <charset val="134"/>
      </rPr>
      <t>0</t>
    </r>
    <r>
      <rPr>
        <sz val="10"/>
        <rFont val="宋体"/>
        <family val="3"/>
        <charset val="134"/>
      </rPr>
      <t>=</t>
    </r>
  </si>
  <si>
    <t>Im=</t>
  </si>
  <si>
    <t>Q/3.6</t>
  </si>
  <si>
    <t>kg/s</t>
  </si>
  <si>
    <r>
      <rPr>
        <sz val="10"/>
        <rFont val="宋体"/>
        <family val="3"/>
        <charset val="134"/>
      </rPr>
      <t>辊子额定载荷P</t>
    </r>
    <r>
      <rPr>
        <vertAlign val="subscript"/>
        <sz val="10"/>
        <rFont val="宋体"/>
        <family val="3"/>
        <charset val="134"/>
      </rPr>
      <t>0e</t>
    </r>
    <r>
      <rPr>
        <sz val="10"/>
        <rFont val="宋体"/>
        <family val="3"/>
        <charset val="134"/>
      </rPr>
      <t>=</t>
    </r>
  </si>
  <si>
    <t>故满足要求。</t>
  </si>
  <si>
    <t>② 空载段辊子校核</t>
  </si>
  <si>
    <r>
      <rPr>
        <sz val="10"/>
        <rFont val="宋体"/>
        <family val="3"/>
        <charset val="134"/>
      </rPr>
      <t>P</t>
    </r>
    <r>
      <rPr>
        <vertAlign val="subscript"/>
        <sz val="10"/>
        <rFont val="宋体"/>
        <family val="3"/>
        <charset val="134"/>
      </rPr>
      <t>u</t>
    </r>
    <r>
      <rPr>
        <sz val="10"/>
        <rFont val="宋体"/>
        <family val="3"/>
        <charset val="134"/>
      </rPr>
      <t>=</t>
    </r>
  </si>
  <si>
    <r>
      <rPr>
        <sz val="10"/>
        <rFont val="宋体"/>
        <family val="3"/>
        <charset val="134"/>
      </rPr>
      <t>ea</t>
    </r>
    <r>
      <rPr>
        <vertAlign val="subscript"/>
        <sz val="10"/>
        <rFont val="宋体"/>
        <family val="3"/>
        <charset val="134"/>
      </rPr>
      <t>u</t>
    </r>
    <r>
      <rPr>
        <sz val="10"/>
        <rFont val="宋体"/>
        <family val="3"/>
        <charset val="134"/>
      </rPr>
      <t>q</t>
    </r>
    <r>
      <rPr>
        <vertAlign val="subscript"/>
        <sz val="10"/>
        <rFont val="宋体"/>
        <family val="3"/>
        <charset val="134"/>
      </rPr>
      <t>0</t>
    </r>
    <r>
      <rPr>
        <sz val="10"/>
        <rFont val="宋体"/>
        <family val="3"/>
        <charset val="134"/>
      </rPr>
      <t>g</t>
    </r>
  </si>
  <si>
    <r>
      <rPr>
        <sz val="10"/>
        <rFont val="宋体"/>
        <family val="3"/>
        <charset val="134"/>
      </rPr>
      <t>a</t>
    </r>
    <r>
      <rPr>
        <vertAlign val="subscript"/>
        <sz val="10"/>
        <rFont val="宋体"/>
        <family val="3"/>
        <charset val="134"/>
      </rPr>
      <t>u</t>
    </r>
    <r>
      <rPr>
        <sz val="10"/>
        <rFont val="宋体"/>
        <family val="3"/>
        <charset val="134"/>
      </rPr>
      <t>=</t>
    </r>
  </si>
  <si>
    <r>
      <rPr>
        <sz val="10"/>
        <rFont val="宋体"/>
        <family val="3"/>
        <charset val="134"/>
      </rPr>
      <t>辊子额定载荷P</t>
    </r>
    <r>
      <rPr>
        <vertAlign val="subscript"/>
        <sz val="10"/>
        <rFont val="宋体"/>
        <family val="3"/>
        <charset val="134"/>
      </rPr>
      <t>ue</t>
    </r>
    <r>
      <rPr>
        <sz val="10"/>
        <rFont val="宋体"/>
        <family val="3"/>
        <charset val="134"/>
      </rPr>
      <t>=</t>
    </r>
  </si>
  <si>
    <t>⑵ 动载荷校核</t>
  </si>
  <si>
    <r>
      <rPr>
        <sz val="10"/>
        <rFont val="宋体"/>
        <family val="3"/>
        <charset val="134"/>
      </rPr>
      <t>P</t>
    </r>
    <r>
      <rPr>
        <vertAlign val="subscript"/>
        <sz val="10"/>
        <rFont val="宋体"/>
        <family val="3"/>
        <charset val="134"/>
      </rPr>
      <t>0</t>
    </r>
    <r>
      <rPr>
        <vertAlign val="superscript"/>
        <sz val="10"/>
        <rFont val="宋体"/>
        <family val="3"/>
        <charset val="134"/>
      </rPr>
      <t>'</t>
    </r>
    <r>
      <rPr>
        <sz val="10"/>
        <rFont val="宋体"/>
        <family val="3"/>
        <charset val="134"/>
      </rPr>
      <t>=</t>
    </r>
  </si>
  <si>
    <r>
      <rPr>
        <sz val="10"/>
        <rFont val="宋体"/>
        <family val="3"/>
        <charset val="134"/>
      </rPr>
      <t>P</t>
    </r>
    <r>
      <rPr>
        <vertAlign val="subscript"/>
        <sz val="10"/>
        <rFont val="宋体"/>
        <family val="3"/>
        <charset val="134"/>
      </rPr>
      <t>0</t>
    </r>
    <r>
      <rPr>
        <sz val="10"/>
        <rFont val="宋体"/>
        <family val="3"/>
        <charset val="134"/>
      </rPr>
      <t>f</t>
    </r>
    <r>
      <rPr>
        <vertAlign val="subscript"/>
        <sz val="10"/>
        <rFont val="宋体"/>
        <family val="3"/>
        <charset val="134"/>
      </rPr>
      <t>s</t>
    </r>
    <r>
      <rPr>
        <sz val="10"/>
        <rFont val="宋体"/>
        <family val="3"/>
        <charset val="134"/>
      </rPr>
      <t>f</t>
    </r>
    <r>
      <rPr>
        <vertAlign val="subscript"/>
        <sz val="10"/>
        <rFont val="宋体"/>
        <family val="3"/>
        <charset val="134"/>
      </rPr>
      <t>d</t>
    </r>
    <r>
      <rPr>
        <sz val="10"/>
        <rFont val="宋体"/>
        <family val="3"/>
        <charset val="134"/>
      </rPr>
      <t>f</t>
    </r>
    <r>
      <rPr>
        <vertAlign val="subscript"/>
        <sz val="10"/>
        <rFont val="宋体"/>
        <family val="3"/>
        <charset val="134"/>
      </rPr>
      <t>a</t>
    </r>
  </si>
  <si>
    <r>
      <rPr>
        <sz val="10"/>
        <rFont val="宋体"/>
        <family val="3"/>
        <charset val="134"/>
      </rPr>
      <t xml:space="preserve"> f</t>
    </r>
    <r>
      <rPr>
        <vertAlign val="subscript"/>
        <sz val="10"/>
        <rFont val="宋体"/>
        <family val="3"/>
        <charset val="134"/>
      </rPr>
      <t>s</t>
    </r>
    <r>
      <rPr>
        <sz val="10"/>
        <rFont val="宋体"/>
        <family val="3"/>
        <charset val="134"/>
      </rPr>
      <t xml:space="preserve">--运行系数； </t>
    </r>
  </si>
  <si>
    <t>fs=</t>
  </si>
  <si>
    <r>
      <rPr>
        <sz val="10"/>
        <rFont val="宋体"/>
        <family val="3"/>
        <charset val="134"/>
      </rPr>
      <t xml:space="preserve"> f</t>
    </r>
    <r>
      <rPr>
        <vertAlign val="subscript"/>
        <sz val="10"/>
        <rFont val="宋体"/>
        <family val="3"/>
        <charset val="134"/>
      </rPr>
      <t>d</t>
    </r>
    <r>
      <rPr>
        <sz val="10"/>
        <rFont val="宋体"/>
        <family val="3"/>
        <charset val="134"/>
      </rPr>
      <t xml:space="preserve">--冲击系数； </t>
    </r>
  </si>
  <si>
    <t>fd=</t>
  </si>
  <si>
    <r>
      <rPr>
        <sz val="10"/>
        <rFont val="宋体"/>
        <family val="3"/>
        <charset val="134"/>
      </rPr>
      <t xml:space="preserve"> f</t>
    </r>
    <r>
      <rPr>
        <vertAlign val="subscript"/>
        <sz val="10"/>
        <rFont val="宋体"/>
        <family val="3"/>
        <charset val="134"/>
      </rPr>
      <t>a</t>
    </r>
    <r>
      <rPr>
        <sz val="10"/>
        <rFont val="宋体"/>
        <family val="3"/>
        <charset val="134"/>
      </rPr>
      <t xml:space="preserve">--工况系数； </t>
    </r>
  </si>
  <si>
    <t>fa=</t>
  </si>
  <si>
    <r>
      <rPr>
        <sz val="10"/>
        <rFont val="宋体"/>
        <family val="3"/>
        <charset val="134"/>
      </rPr>
      <t>P</t>
    </r>
    <r>
      <rPr>
        <vertAlign val="subscript"/>
        <sz val="10"/>
        <rFont val="宋体"/>
        <family val="3"/>
        <charset val="134"/>
      </rPr>
      <t>u</t>
    </r>
    <r>
      <rPr>
        <vertAlign val="superscript"/>
        <sz val="10"/>
        <rFont val="宋体"/>
        <family val="3"/>
        <charset val="134"/>
      </rPr>
      <t>'</t>
    </r>
    <r>
      <rPr>
        <sz val="10"/>
        <rFont val="宋体"/>
        <family val="3"/>
        <charset val="134"/>
      </rPr>
      <t>=</t>
    </r>
  </si>
  <si>
    <r>
      <rPr>
        <sz val="10"/>
        <rFont val="宋体"/>
        <family val="3"/>
        <charset val="134"/>
      </rPr>
      <t>P</t>
    </r>
    <r>
      <rPr>
        <vertAlign val="subscript"/>
        <sz val="10"/>
        <rFont val="宋体"/>
        <family val="3"/>
        <charset val="134"/>
      </rPr>
      <t>u</t>
    </r>
    <r>
      <rPr>
        <sz val="10"/>
        <rFont val="宋体"/>
        <family val="3"/>
        <charset val="134"/>
      </rPr>
      <t>f</t>
    </r>
    <r>
      <rPr>
        <vertAlign val="subscript"/>
        <sz val="10"/>
        <rFont val="宋体"/>
        <family val="3"/>
        <charset val="134"/>
      </rPr>
      <t>s</t>
    </r>
    <r>
      <rPr>
        <sz val="10"/>
        <rFont val="宋体"/>
        <family val="3"/>
        <charset val="134"/>
      </rPr>
      <t>f</t>
    </r>
    <r>
      <rPr>
        <vertAlign val="subscript"/>
        <sz val="10"/>
        <rFont val="宋体"/>
        <family val="3"/>
        <charset val="134"/>
      </rPr>
      <t>a</t>
    </r>
  </si>
  <si>
    <r>
      <rPr>
        <sz val="10"/>
        <rFont val="宋体"/>
        <family val="3"/>
        <charset val="134"/>
      </rPr>
      <t>P</t>
    </r>
    <r>
      <rPr>
        <vertAlign val="subscript"/>
        <sz val="10"/>
        <rFont val="宋体"/>
        <family val="3"/>
        <charset val="134"/>
      </rPr>
      <t>u</t>
    </r>
  </si>
  <si>
    <t>fs</t>
  </si>
  <si>
    <t>五、输送机阻力计算</t>
  </si>
  <si>
    <t>⒈ 胶带及物料产生的运行阻力</t>
  </si>
  <si>
    <r>
      <rPr>
        <sz val="10"/>
        <rFont val="宋体"/>
        <family val="3"/>
        <charset val="134"/>
      </rPr>
      <t>F</t>
    </r>
    <r>
      <rPr>
        <vertAlign val="subscript"/>
        <sz val="10"/>
        <rFont val="宋体"/>
        <family val="3"/>
        <charset val="134"/>
      </rPr>
      <t>1</t>
    </r>
    <r>
      <rPr>
        <sz val="10"/>
        <rFont val="宋体"/>
        <family val="3"/>
        <charset val="134"/>
      </rPr>
      <t>=</t>
    </r>
  </si>
  <si>
    <r>
      <rPr>
        <sz val="10"/>
        <rFont val="宋体"/>
        <family val="3"/>
        <charset val="134"/>
      </rPr>
      <t>Lωg(2q</t>
    </r>
    <r>
      <rPr>
        <vertAlign val="subscript"/>
        <sz val="10"/>
        <rFont val="宋体"/>
        <family val="3"/>
        <charset val="134"/>
      </rPr>
      <t>0</t>
    </r>
    <r>
      <rPr>
        <sz val="10"/>
        <rFont val="宋体"/>
        <family val="3"/>
        <charset val="134"/>
      </rPr>
      <t>+q+q</t>
    </r>
    <r>
      <rPr>
        <vertAlign val="subscript"/>
        <sz val="10"/>
        <rFont val="宋体"/>
        <family val="3"/>
        <charset val="134"/>
      </rPr>
      <t>1</t>
    </r>
    <r>
      <rPr>
        <sz val="10"/>
        <rFont val="宋体"/>
        <family val="3"/>
        <charset val="134"/>
      </rPr>
      <t>+q</t>
    </r>
    <r>
      <rPr>
        <vertAlign val="subscript"/>
        <sz val="10"/>
        <rFont val="宋体"/>
        <family val="3"/>
        <charset val="134"/>
      </rPr>
      <t>2</t>
    </r>
    <r>
      <rPr>
        <sz val="10"/>
        <rFont val="宋体"/>
        <family val="3"/>
        <charset val="134"/>
      </rPr>
      <t>)</t>
    </r>
  </si>
  <si>
    <r>
      <rPr>
        <sz val="10"/>
        <rFont val="宋体"/>
        <family val="3"/>
        <charset val="134"/>
      </rPr>
      <t>q</t>
    </r>
    <r>
      <rPr>
        <vertAlign val="subscript"/>
        <sz val="10"/>
        <rFont val="宋体"/>
        <family val="3"/>
        <charset val="134"/>
      </rPr>
      <t>0</t>
    </r>
  </si>
  <si>
    <r>
      <rPr>
        <sz val="10"/>
        <rFont val="宋体"/>
        <family val="3"/>
        <charset val="134"/>
      </rPr>
      <t>q</t>
    </r>
    <r>
      <rPr>
        <vertAlign val="subscript"/>
        <sz val="10"/>
        <rFont val="宋体"/>
        <family val="3"/>
        <charset val="134"/>
      </rPr>
      <t>1</t>
    </r>
  </si>
  <si>
    <r>
      <rPr>
        <sz val="10"/>
        <rFont val="宋体"/>
        <family val="3"/>
        <charset val="134"/>
      </rPr>
      <t>q</t>
    </r>
    <r>
      <rPr>
        <vertAlign val="subscript"/>
        <sz val="10"/>
        <rFont val="宋体"/>
        <family val="3"/>
        <charset val="134"/>
      </rPr>
      <t>2</t>
    </r>
  </si>
  <si>
    <t>ω</t>
  </si>
  <si>
    <t>g</t>
  </si>
  <si>
    <t>⒉ 物料提升阻力</t>
  </si>
  <si>
    <r>
      <rPr>
        <sz val="10"/>
        <rFont val="宋体"/>
        <family val="3"/>
        <charset val="134"/>
      </rPr>
      <t>F</t>
    </r>
    <r>
      <rPr>
        <vertAlign val="subscript"/>
        <sz val="10"/>
        <rFont val="宋体"/>
        <family val="3"/>
        <charset val="134"/>
      </rPr>
      <t>2</t>
    </r>
    <r>
      <rPr>
        <sz val="10"/>
        <rFont val="宋体"/>
        <family val="3"/>
        <charset val="134"/>
      </rPr>
      <t>=</t>
    </r>
  </si>
  <si>
    <t>Hqg</t>
  </si>
  <si>
    <t>⒊ 头部清扫器对胶带阻力</t>
  </si>
  <si>
    <r>
      <rPr>
        <sz val="10"/>
        <rFont val="宋体"/>
        <family val="3"/>
        <charset val="134"/>
      </rPr>
      <t>F</t>
    </r>
    <r>
      <rPr>
        <vertAlign val="subscript"/>
        <sz val="10"/>
        <rFont val="宋体"/>
        <family val="3"/>
        <charset val="134"/>
      </rPr>
      <t>3</t>
    </r>
    <r>
      <rPr>
        <sz val="10"/>
        <rFont val="宋体"/>
        <family val="3"/>
        <charset val="134"/>
      </rPr>
      <t>=</t>
    </r>
  </si>
  <si>
    <r>
      <rPr>
        <sz val="10"/>
        <rFont val="宋体"/>
        <family val="3"/>
        <charset val="134"/>
      </rPr>
      <t>2APμ</t>
    </r>
    <r>
      <rPr>
        <vertAlign val="subscript"/>
        <sz val="10"/>
        <rFont val="宋体"/>
        <family val="3"/>
        <charset val="134"/>
      </rPr>
      <t>3</t>
    </r>
  </si>
  <si>
    <t>A—清扫器与胶带接触面积；</t>
  </si>
  <si>
    <t>A=</t>
  </si>
  <si>
    <t>0.01×B</t>
  </si>
  <si>
    <t>P—清扫器与胶带之间的压力；</t>
  </si>
  <si>
    <t>P=</t>
  </si>
  <si>
    <r>
      <rPr>
        <sz val="10"/>
        <rFont val="宋体"/>
        <family val="3"/>
        <charset val="134"/>
      </rPr>
      <t>N/m</t>
    </r>
    <r>
      <rPr>
        <vertAlign val="superscript"/>
        <sz val="10"/>
        <rFont val="宋体"/>
        <family val="3"/>
        <charset val="134"/>
      </rPr>
      <t>2</t>
    </r>
  </si>
  <si>
    <r>
      <rPr>
        <sz val="10"/>
        <rFont val="宋体"/>
        <family val="3"/>
        <charset val="134"/>
      </rPr>
      <t>μ</t>
    </r>
    <r>
      <rPr>
        <vertAlign val="subscript"/>
        <sz val="10"/>
        <rFont val="宋体"/>
        <family val="3"/>
        <charset val="134"/>
      </rPr>
      <t>3</t>
    </r>
    <r>
      <rPr>
        <sz val="10"/>
        <rFont val="宋体"/>
        <family val="3"/>
        <charset val="134"/>
      </rPr>
      <t>—清扫器与胶带之间的摩擦系数；</t>
    </r>
  </si>
  <si>
    <r>
      <rPr>
        <sz val="10"/>
        <rFont val="宋体"/>
        <family val="3"/>
        <charset val="134"/>
      </rPr>
      <t>μ</t>
    </r>
    <r>
      <rPr>
        <vertAlign val="subscript"/>
        <sz val="10"/>
        <rFont val="宋体"/>
        <family val="3"/>
        <charset val="134"/>
      </rPr>
      <t>3</t>
    </r>
    <r>
      <rPr>
        <sz val="10"/>
        <rFont val="宋体"/>
        <family val="3"/>
        <charset val="134"/>
      </rPr>
      <t>=</t>
    </r>
  </si>
  <si>
    <t>⒋ 尾部清扫器对胶带阻力</t>
  </si>
  <si>
    <r>
      <rPr>
        <sz val="10"/>
        <rFont val="宋体"/>
        <family val="3"/>
        <charset val="134"/>
      </rPr>
      <t>F</t>
    </r>
    <r>
      <rPr>
        <vertAlign val="subscript"/>
        <sz val="10"/>
        <rFont val="宋体"/>
        <family val="3"/>
        <charset val="134"/>
      </rPr>
      <t>4</t>
    </r>
    <r>
      <rPr>
        <sz val="10"/>
        <rFont val="宋体"/>
        <family val="3"/>
        <charset val="134"/>
      </rPr>
      <t>=</t>
    </r>
  </si>
  <si>
    <t>20Bg</t>
  </si>
  <si>
    <t>⒌ 托辊前倾阻力</t>
  </si>
  <si>
    <r>
      <rPr>
        <sz val="10"/>
        <rFont val="宋体"/>
        <family val="3"/>
        <charset val="134"/>
      </rPr>
      <t>F</t>
    </r>
    <r>
      <rPr>
        <vertAlign val="subscript"/>
        <sz val="10"/>
        <rFont val="宋体"/>
        <family val="3"/>
        <charset val="134"/>
      </rPr>
      <t>5</t>
    </r>
    <r>
      <rPr>
        <sz val="10"/>
        <rFont val="宋体"/>
        <family val="3"/>
        <charset val="134"/>
      </rPr>
      <t>=</t>
    </r>
  </si>
  <si>
    <r>
      <rPr>
        <sz val="10"/>
        <rFont val="宋体"/>
        <family val="3"/>
        <charset val="134"/>
      </rPr>
      <t>C</t>
    </r>
    <r>
      <rPr>
        <vertAlign val="subscript"/>
        <sz val="10"/>
        <rFont val="宋体"/>
        <family val="3"/>
        <charset val="134"/>
      </rPr>
      <t>ε</t>
    </r>
    <r>
      <rPr>
        <sz val="10"/>
        <rFont val="宋体"/>
        <family val="3"/>
        <charset val="134"/>
      </rPr>
      <t>L</t>
    </r>
    <r>
      <rPr>
        <vertAlign val="subscript"/>
        <sz val="10"/>
        <rFont val="宋体"/>
        <family val="3"/>
        <charset val="134"/>
      </rPr>
      <t>e</t>
    </r>
    <r>
      <rPr>
        <sz val="10"/>
        <rFont val="宋体"/>
        <family val="3"/>
        <charset val="134"/>
      </rPr>
      <t>μ</t>
    </r>
    <r>
      <rPr>
        <vertAlign val="subscript"/>
        <sz val="10"/>
        <rFont val="宋体"/>
        <family val="3"/>
        <charset val="134"/>
      </rPr>
      <t>0</t>
    </r>
    <r>
      <rPr>
        <sz val="10"/>
        <rFont val="宋体"/>
        <family val="3"/>
        <charset val="134"/>
      </rPr>
      <t>(q+q</t>
    </r>
    <r>
      <rPr>
        <vertAlign val="subscript"/>
        <sz val="10"/>
        <rFont val="宋体"/>
        <family val="3"/>
        <charset val="134"/>
      </rPr>
      <t>0</t>
    </r>
    <r>
      <rPr>
        <sz val="10"/>
        <rFont val="宋体"/>
        <family val="3"/>
        <charset val="134"/>
      </rPr>
      <t>)gcosβsinε</t>
    </r>
  </si>
  <si>
    <r>
      <rPr>
        <sz val="10"/>
        <rFont val="宋体"/>
        <family val="3"/>
        <charset val="134"/>
      </rPr>
      <t>C</t>
    </r>
    <r>
      <rPr>
        <vertAlign val="subscript"/>
        <sz val="10"/>
        <rFont val="宋体"/>
        <family val="3"/>
        <charset val="134"/>
      </rPr>
      <t>ε</t>
    </r>
    <r>
      <rPr>
        <sz val="10"/>
        <rFont val="宋体"/>
        <family val="3"/>
        <charset val="134"/>
      </rPr>
      <t>—槽形系数；</t>
    </r>
  </si>
  <si>
    <r>
      <rPr>
        <sz val="10"/>
        <rFont val="宋体"/>
        <family val="3"/>
        <charset val="134"/>
      </rPr>
      <t>C</t>
    </r>
    <r>
      <rPr>
        <vertAlign val="subscript"/>
        <sz val="10"/>
        <rFont val="宋体"/>
        <family val="3"/>
        <charset val="134"/>
      </rPr>
      <t>ε</t>
    </r>
    <r>
      <rPr>
        <sz val="10"/>
        <rFont val="宋体"/>
        <family val="3"/>
        <charset val="134"/>
      </rPr>
      <t>=</t>
    </r>
  </si>
  <si>
    <r>
      <rPr>
        <sz val="10"/>
        <rFont val="宋体"/>
        <family val="3"/>
        <charset val="134"/>
      </rPr>
      <t>μ</t>
    </r>
    <r>
      <rPr>
        <vertAlign val="subscript"/>
        <sz val="10"/>
        <rFont val="宋体"/>
        <family val="3"/>
        <charset val="134"/>
      </rPr>
      <t>0</t>
    </r>
  </si>
  <si>
    <r>
      <rPr>
        <sz val="10"/>
        <rFont val="宋体"/>
        <family val="3"/>
        <charset val="134"/>
      </rPr>
      <t>L</t>
    </r>
    <r>
      <rPr>
        <vertAlign val="subscript"/>
        <sz val="10"/>
        <rFont val="宋体"/>
        <family val="3"/>
        <charset val="134"/>
      </rPr>
      <t>e</t>
    </r>
    <r>
      <rPr>
        <sz val="10"/>
        <rFont val="宋体"/>
        <family val="3"/>
        <charset val="134"/>
      </rPr>
      <t>—装前倾托辊设备长；</t>
    </r>
  </si>
  <si>
    <r>
      <rPr>
        <sz val="10"/>
        <rFont val="宋体"/>
        <family val="3"/>
        <charset val="134"/>
      </rPr>
      <t>L</t>
    </r>
    <r>
      <rPr>
        <vertAlign val="subscript"/>
        <sz val="10"/>
        <rFont val="宋体"/>
        <family val="3"/>
        <charset val="134"/>
      </rPr>
      <t>e</t>
    </r>
    <r>
      <rPr>
        <sz val="10"/>
        <rFont val="宋体"/>
        <family val="3"/>
        <charset val="134"/>
      </rPr>
      <t>≈</t>
    </r>
  </si>
  <si>
    <t>ε—托辊前倾角；</t>
  </si>
  <si>
    <t>β（弧度）</t>
  </si>
  <si>
    <t>⒍ 导料板阻力</t>
  </si>
  <si>
    <r>
      <rPr>
        <sz val="10"/>
        <rFont val="宋体"/>
        <family val="3"/>
        <charset val="134"/>
      </rPr>
      <t>F</t>
    </r>
    <r>
      <rPr>
        <vertAlign val="subscript"/>
        <sz val="10"/>
        <rFont val="宋体"/>
        <family val="3"/>
        <charset val="134"/>
      </rPr>
      <t>6</t>
    </r>
    <r>
      <rPr>
        <sz val="10"/>
        <rFont val="宋体"/>
        <family val="3"/>
        <charset val="134"/>
      </rPr>
      <t>=</t>
    </r>
  </si>
  <si>
    <r>
      <rPr>
        <sz val="10"/>
        <rFont val="宋体"/>
        <family val="3"/>
        <charset val="134"/>
      </rPr>
      <t>μ</t>
    </r>
    <r>
      <rPr>
        <vertAlign val="subscript"/>
        <sz val="10"/>
        <rFont val="宋体"/>
        <family val="3"/>
        <charset val="134"/>
      </rPr>
      <t>2</t>
    </r>
    <r>
      <rPr>
        <sz val="10"/>
        <rFont val="宋体"/>
        <family val="3"/>
        <charset val="134"/>
      </rPr>
      <t>Iv</t>
    </r>
    <r>
      <rPr>
        <vertAlign val="superscript"/>
        <sz val="10"/>
        <rFont val="宋体"/>
        <family val="3"/>
        <charset val="134"/>
      </rPr>
      <t>2</t>
    </r>
    <r>
      <rPr>
        <sz val="10"/>
        <rFont val="宋体"/>
        <family val="3"/>
        <charset val="134"/>
      </rPr>
      <t>γgl/v</t>
    </r>
    <r>
      <rPr>
        <vertAlign val="superscript"/>
        <sz val="10"/>
        <rFont val="宋体"/>
        <family val="3"/>
        <charset val="134"/>
      </rPr>
      <t>2</t>
    </r>
    <r>
      <rPr>
        <sz val="10"/>
        <rFont val="宋体"/>
        <family val="3"/>
        <charset val="134"/>
      </rPr>
      <t>b</t>
    </r>
    <r>
      <rPr>
        <vertAlign val="subscript"/>
        <sz val="10"/>
        <rFont val="宋体"/>
        <family val="3"/>
        <charset val="134"/>
      </rPr>
      <t>1</t>
    </r>
    <r>
      <rPr>
        <vertAlign val="superscript"/>
        <sz val="10"/>
        <rFont val="宋体"/>
        <family val="3"/>
        <charset val="134"/>
      </rPr>
      <t>2</t>
    </r>
  </si>
  <si>
    <r>
      <rPr>
        <sz val="10"/>
        <rFont val="宋体"/>
        <family val="3"/>
        <charset val="134"/>
      </rPr>
      <t>μ</t>
    </r>
    <r>
      <rPr>
        <vertAlign val="subscript"/>
        <sz val="10"/>
        <rFont val="宋体"/>
        <family val="3"/>
        <charset val="134"/>
      </rPr>
      <t>2</t>
    </r>
    <r>
      <rPr>
        <sz val="10"/>
        <rFont val="宋体"/>
        <family val="3"/>
        <charset val="134"/>
      </rPr>
      <t>—物料与导料板之间的摩擦系数；</t>
    </r>
  </si>
  <si>
    <r>
      <rPr>
        <sz val="10"/>
        <rFont val="宋体"/>
        <family val="3"/>
        <charset val="134"/>
      </rPr>
      <t>μ</t>
    </r>
    <r>
      <rPr>
        <vertAlign val="subscript"/>
        <sz val="10"/>
        <rFont val="宋体"/>
        <family val="3"/>
        <charset val="134"/>
      </rPr>
      <t>2</t>
    </r>
    <r>
      <rPr>
        <sz val="10"/>
        <rFont val="宋体"/>
        <family val="3"/>
        <charset val="134"/>
      </rPr>
      <t>＝</t>
    </r>
  </si>
  <si>
    <t>γ</t>
  </si>
  <si>
    <t>l</t>
  </si>
  <si>
    <t>Iv—物料流量；</t>
  </si>
  <si>
    <t>Iv=</t>
  </si>
  <si>
    <t>Q/3.6γ</t>
  </si>
  <si>
    <t>(=Svk)=</t>
  </si>
  <si>
    <r>
      <rPr>
        <sz val="10"/>
        <rFont val="宋体"/>
        <family val="3"/>
        <charset val="134"/>
      </rPr>
      <t>m</t>
    </r>
    <r>
      <rPr>
        <vertAlign val="superscript"/>
        <sz val="10"/>
        <rFont val="宋体"/>
        <family val="3"/>
        <charset val="134"/>
      </rPr>
      <t>3</t>
    </r>
    <r>
      <rPr>
        <sz val="10"/>
        <rFont val="宋体"/>
        <family val="3"/>
        <charset val="134"/>
      </rPr>
      <t>/s</t>
    </r>
  </si>
  <si>
    <r>
      <rPr>
        <sz val="10"/>
        <rFont val="宋体"/>
        <family val="3"/>
        <charset val="134"/>
      </rPr>
      <t xml:space="preserve"> b</t>
    </r>
    <r>
      <rPr>
        <vertAlign val="subscript"/>
        <sz val="10"/>
        <rFont val="宋体"/>
        <family val="3"/>
        <charset val="134"/>
      </rPr>
      <t>1</t>
    </r>
    <r>
      <rPr>
        <sz val="10"/>
        <rFont val="宋体"/>
        <family val="3"/>
        <charset val="134"/>
      </rPr>
      <t>—导料板内部宽度；</t>
    </r>
  </si>
  <si>
    <r>
      <rPr>
        <sz val="10"/>
        <rFont val="宋体"/>
        <family val="3"/>
        <charset val="134"/>
      </rPr>
      <t>b</t>
    </r>
    <r>
      <rPr>
        <vertAlign val="subscript"/>
        <sz val="10"/>
        <rFont val="宋体"/>
        <family val="3"/>
        <charset val="134"/>
      </rPr>
      <t>1</t>
    </r>
    <r>
      <rPr>
        <sz val="10"/>
        <rFont val="宋体"/>
        <family val="3"/>
        <charset val="134"/>
      </rPr>
      <t>＝</t>
    </r>
  </si>
  <si>
    <t>⒎ 给料点处物料附加阻力</t>
  </si>
  <si>
    <r>
      <rPr>
        <sz val="10"/>
        <rFont val="宋体"/>
        <family val="3"/>
        <charset val="134"/>
      </rPr>
      <t>F</t>
    </r>
    <r>
      <rPr>
        <vertAlign val="subscript"/>
        <sz val="10"/>
        <rFont val="宋体"/>
        <family val="3"/>
        <charset val="134"/>
      </rPr>
      <t>7</t>
    </r>
    <r>
      <rPr>
        <sz val="10"/>
        <rFont val="宋体"/>
        <family val="3"/>
        <charset val="134"/>
      </rPr>
      <t>=</t>
    </r>
  </si>
  <si>
    <r>
      <rPr>
        <sz val="10"/>
        <rFont val="宋体"/>
        <family val="3"/>
        <charset val="134"/>
      </rPr>
      <t>Iv</t>
    </r>
    <r>
      <rPr>
        <sz val="10"/>
        <rFont val="宋体"/>
        <family val="3"/>
        <charset val="134"/>
      </rPr>
      <t>γv</t>
    </r>
  </si>
  <si>
    <t>Iv</t>
  </si>
  <si>
    <t>⒏ 胶带绕过滚筒附加阻力(按每个滚筒400N计算）</t>
  </si>
  <si>
    <r>
      <rPr>
        <sz val="10"/>
        <rFont val="宋体"/>
        <family val="3"/>
        <charset val="134"/>
      </rPr>
      <t>F</t>
    </r>
    <r>
      <rPr>
        <vertAlign val="subscript"/>
        <sz val="10"/>
        <rFont val="宋体"/>
        <family val="3"/>
        <charset val="134"/>
      </rPr>
      <t>8</t>
    </r>
    <r>
      <rPr>
        <sz val="10"/>
        <rFont val="宋体"/>
        <family val="3"/>
        <charset val="134"/>
      </rPr>
      <t>=</t>
    </r>
  </si>
  <si>
    <t>⒐ 犁式卸料器附加阻力</t>
  </si>
  <si>
    <r>
      <rPr>
        <sz val="10"/>
        <rFont val="宋体"/>
        <family val="3"/>
        <charset val="134"/>
      </rPr>
      <t>F</t>
    </r>
    <r>
      <rPr>
        <vertAlign val="subscript"/>
        <sz val="10"/>
        <rFont val="宋体"/>
        <family val="3"/>
        <charset val="134"/>
      </rPr>
      <t>9</t>
    </r>
    <r>
      <rPr>
        <sz val="10"/>
        <rFont val="宋体"/>
        <family val="3"/>
        <charset val="134"/>
      </rPr>
      <t>=</t>
    </r>
  </si>
  <si>
    <r>
      <rPr>
        <sz val="10"/>
        <rFont val="宋体"/>
        <family val="3"/>
        <charset val="134"/>
      </rPr>
      <t>Bk</t>
    </r>
    <r>
      <rPr>
        <vertAlign val="subscript"/>
        <sz val="10"/>
        <rFont val="宋体"/>
        <family val="3"/>
        <charset val="134"/>
      </rPr>
      <t>1</t>
    </r>
  </si>
  <si>
    <r>
      <rPr>
        <sz val="10"/>
        <rFont val="宋体"/>
        <family val="3"/>
        <charset val="134"/>
      </rPr>
      <t>k</t>
    </r>
    <r>
      <rPr>
        <vertAlign val="subscript"/>
        <sz val="10"/>
        <rFont val="宋体"/>
        <family val="3"/>
        <charset val="134"/>
      </rPr>
      <t>1</t>
    </r>
    <r>
      <rPr>
        <sz val="10"/>
        <rFont val="宋体"/>
        <family val="3"/>
        <charset val="134"/>
      </rPr>
      <t>—刮板系数；</t>
    </r>
  </si>
  <si>
    <r>
      <rPr>
        <sz val="10"/>
        <rFont val="宋体"/>
        <family val="3"/>
        <charset val="134"/>
      </rPr>
      <t>k</t>
    </r>
    <r>
      <rPr>
        <vertAlign val="subscript"/>
        <sz val="10"/>
        <rFont val="宋体"/>
        <family val="3"/>
        <charset val="134"/>
      </rPr>
      <t>1</t>
    </r>
    <r>
      <rPr>
        <sz val="10"/>
        <rFont val="宋体"/>
        <family val="3"/>
        <charset val="134"/>
      </rPr>
      <t>＝</t>
    </r>
  </si>
  <si>
    <t>N/m</t>
  </si>
  <si>
    <t>10. 驱动滚筒圆周驱动力</t>
  </si>
  <si>
    <r>
      <rPr>
        <sz val="10"/>
        <rFont val="宋体"/>
        <family val="3"/>
        <charset val="134"/>
      </rPr>
      <t>F</t>
    </r>
    <r>
      <rPr>
        <vertAlign val="subscript"/>
        <sz val="10"/>
        <rFont val="宋体"/>
        <family val="3"/>
        <charset val="134"/>
      </rPr>
      <t>u</t>
    </r>
    <r>
      <rPr>
        <sz val="10"/>
        <rFont val="宋体"/>
        <family val="3"/>
        <charset val="134"/>
      </rPr>
      <t>=</t>
    </r>
  </si>
  <si>
    <r>
      <rPr>
        <sz val="10"/>
        <rFont val="宋体"/>
        <family val="3"/>
        <charset val="134"/>
      </rPr>
      <t>F</t>
    </r>
    <r>
      <rPr>
        <vertAlign val="subscript"/>
        <sz val="10"/>
        <rFont val="宋体"/>
        <family val="3"/>
        <charset val="134"/>
      </rPr>
      <t>1</t>
    </r>
    <r>
      <rPr>
        <sz val="10"/>
        <rFont val="宋体"/>
        <family val="3"/>
        <charset val="134"/>
      </rPr>
      <t>+F</t>
    </r>
    <r>
      <rPr>
        <vertAlign val="subscript"/>
        <sz val="10"/>
        <rFont val="宋体"/>
        <family val="3"/>
        <charset val="134"/>
      </rPr>
      <t>2</t>
    </r>
    <r>
      <rPr>
        <sz val="10"/>
        <rFont val="宋体"/>
        <family val="3"/>
        <charset val="134"/>
      </rPr>
      <t>+F</t>
    </r>
    <r>
      <rPr>
        <vertAlign val="subscript"/>
        <sz val="10"/>
        <rFont val="宋体"/>
        <family val="3"/>
        <charset val="134"/>
      </rPr>
      <t>3</t>
    </r>
    <r>
      <rPr>
        <sz val="10"/>
        <rFont val="宋体"/>
        <family val="3"/>
        <charset val="134"/>
      </rPr>
      <t>+F</t>
    </r>
    <r>
      <rPr>
        <vertAlign val="subscript"/>
        <sz val="10"/>
        <rFont val="宋体"/>
        <family val="3"/>
        <charset val="134"/>
      </rPr>
      <t>4</t>
    </r>
    <r>
      <rPr>
        <sz val="10"/>
        <rFont val="宋体"/>
        <family val="3"/>
        <charset val="134"/>
      </rPr>
      <t>+F</t>
    </r>
    <r>
      <rPr>
        <vertAlign val="subscript"/>
        <sz val="10"/>
        <rFont val="宋体"/>
        <family val="3"/>
        <charset val="134"/>
      </rPr>
      <t>5</t>
    </r>
    <r>
      <rPr>
        <sz val="10"/>
        <rFont val="宋体"/>
        <family val="3"/>
        <charset val="134"/>
      </rPr>
      <t>+F</t>
    </r>
    <r>
      <rPr>
        <vertAlign val="subscript"/>
        <sz val="10"/>
        <rFont val="宋体"/>
        <family val="3"/>
        <charset val="134"/>
      </rPr>
      <t>6</t>
    </r>
    <r>
      <rPr>
        <sz val="10"/>
        <rFont val="宋体"/>
        <family val="3"/>
        <charset val="134"/>
      </rPr>
      <t>+F</t>
    </r>
    <r>
      <rPr>
        <vertAlign val="subscript"/>
        <sz val="10"/>
        <rFont val="宋体"/>
        <family val="3"/>
        <charset val="134"/>
      </rPr>
      <t>7</t>
    </r>
    <r>
      <rPr>
        <sz val="10"/>
        <rFont val="宋体"/>
        <family val="3"/>
        <charset val="134"/>
      </rPr>
      <t>+F</t>
    </r>
    <r>
      <rPr>
        <vertAlign val="subscript"/>
        <sz val="10"/>
        <rFont val="宋体"/>
        <family val="3"/>
        <charset val="134"/>
      </rPr>
      <t>8</t>
    </r>
    <r>
      <rPr>
        <sz val="10"/>
        <rFont val="宋体"/>
        <family val="3"/>
        <charset val="134"/>
      </rPr>
      <t>+F</t>
    </r>
    <r>
      <rPr>
        <vertAlign val="subscript"/>
        <sz val="10"/>
        <rFont val="宋体"/>
        <family val="3"/>
        <charset val="134"/>
      </rPr>
      <t>9</t>
    </r>
  </si>
  <si>
    <r>
      <rPr>
        <sz val="10"/>
        <rFont val="宋体"/>
        <family val="3"/>
        <charset val="134"/>
      </rPr>
      <t>F</t>
    </r>
    <r>
      <rPr>
        <vertAlign val="subscript"/>
        <sz val="10"/>
        <rFont val="宋体"/>
        <family val="3"/>
        <charset val="134"/>
      </rPr>
      <t>1</t>
    </r>
  </si>
  <si>
    <r>
      <rPr>
        <sz val="10"/>
        <rFont val="宋体"/>
        <family val="3"/>
        <charset val="134"/>
      </rPr>
      <t>F</t>
    </r>
    <r>
      <rPr>
        <vertAlign val="subscript"/>
        <sz val="10"/>
        <rFont val="宋体"/>
        <family val="3"/>
        <charset val="134"/>
      </rPr>
      <t>2</t>
    </r>
  </si>
  <si>
    <r>
      <rPr>
        <sz val="10"/>
        <rFont val="宋体"/>
        <family val="3"/>
        <charset val="134"/>
      </rPr>
      <t>F</t>
    </r>
    <r>
      <rPr>
        <vertAlign val="subscript"/>
        <sz val="10"/>
        <rFont val="宋体"/>
        <family val="3"/>
        <charset val="134"/>
      </rPr>
      <t>3</t>
    </r>
  </si>
  <si>
    <r>
      <rPr>
        <sz val="10"/>
        <rFont val="宋体"/>
        <family val="3"/>
        <charset val="134"/>
      </rPr>
      <t>F</t>
    </r>
    <r>
      <rPr>
        <vertAlign val="subscript"/>
        <sz val="10"/>
        <rFont val="宋体"/>
        <family val="3"/>
        <charset val="134"/>
      </rPr>
      <t>4</t>
    </r>
  </si>
  <si>
    <r>
      <rPr>
        <sz val="10"/>
        <rFont val="宋体"/>
        <family val="3"/>
        <charset val="134"/>
      </rPr>
      <t>F</t>
    </r>
    <r>
      <rPr>
        <vertAlign val="subscript"/>
        <sz val="10"/>
        <rFont val="宋体"/>
        <family val="3"/>
        <charset val="134"/>
      </rPr>
      <t>9</t>
    </r>
  </si>
  <si>
    <r>
      <rPr>
        <sz val="10"/>
        <rFont val="宋体"/>
        <family val="3"/>
        <charset val="134"/>
      </rPr>
      <t>F</t>
    </r>
    <r>
      <rPr>
        <vertAlign val="subscript"/>
        <sz val="10"/>
        <rFont val="宋体"/>
        <family val="3"/>
        <charset val="134"/>
      </rPr>
      <t>5</t>
    </r>
  </si>
  <si>
    <r>
      <rPr>
        <sz val="10"/>
        <rFont val="宋体"/>
        <family val="3"/>
        <charset val="134"/>
      </rPr>
      <t>F</t>
    </r>
    <r>
      <rPr>
        <vertAlign val="subscript"/>
        <sz val="10"/>
        <rFont val="宋体"/>
        <family val="3"/>
        <charset val="134"/>
      </rPr>
      <t>6</t>
    </r>
  </si>
  <si>
    <r>
      <rPr>
        <sz val="10"/>
        <rFont val="宋体"/>
        <family val="3"/>
        <charset val="134"/>
      </rPr>
      <t>F</t>
    </r>
    <r>
      <rPr>
        <vertAlign val="subscript"/>
        <sz val="10"/>
        <rFont val="宋体"/>
        <family val="3"/>
        <charset val="134"/>
      </rPr>
      <t>7</t>
    </r>
  </si>
  <si>
    <r>
      <rPr>
        <sz val="10"/>
        <rFont val="宋体"/>
        <family val="3"/>
        <charset val="134"/>
      </rPr>
      <t>F</t>
    </r>
    <r>
      <rPr>
        <vertAlign val="subscript"/>
        <sz val="10"/>
        <rFont val="宋体"/>
        <family val="3"/>
        <charset val="134"/>
      </rPr>
      <t>8</t>
    </r>
  </si>
  <si>
    <t>五、传动功率计算及驱动设备选型</t>
  </si>
  <si>
    <t>⒈ 传动滚筒轴功率计算</t>
  </si>
  <si>
    <r>
      <rPr>
        <sz val="10"/>
        <rFont val="宋体"/>
        <family val="3"/>
        <charset val="134"/>
      </rPr>
      <t>P</t>
    </r>
    <r>
      <rPr>
        <vertAlign val="subscript"/>
        <sz val="10"/>
        <rFont val="宋体"/>
        <family val="3"/>
        <charset val="134"/>
      </rPr>
      <t>A</t>
    </r>
    <r>
      <rPr>
        <sz val="10"/>
        <rFont val="宋体"/>
        <family val="3"/>
        <charset val="134"/>
      </rPr>
      <t>=</t>
    </r>
  </si>
  <si>
    <r>
      <rPr>
        <sz val="10"/>
        <rFont val="宋体"/>
        <family val="3"/>
        <charset val="134"/>
      </rPr>
      <t>F</t>
    </r>
    <r>
      <rPr>
        <vertAlign val="subscript"/>
        <sz val="10"/>
        <rFont val="宋体"/>
        <family val="3"/>
        <charset val="134"/>
      </rPr>
      <t>u</t>
    </r>
    <r>
      <rPr>
        <sz val="10"/>
        <rFont val="宋体"/>
        <family val="3"/>
        <charset val="134"/>
      </rPr>
      <t>V</t>
    </r>
  </si>
  <si>
    <t>w</t>
  </si>
  <si>
    <t>Kw</t>
  </si>
  <si>
    <t>⒉ 电动机功率计算</t>
  </si>
  <si>
    <r>
      <rPr>
        <sz val="10"/>
        <rFont val="宋体"/>
        <family val="3"/>
        <charset val="134"/>
      </rPr>
      <t>P</t>
    </r>
    <r>
      <rPr>
        <vertAlign val="subscript"/>
        <sz val="10"/>
        <rFont val="宋体"/>
        <family val="3"/>
        <charset val="134"/>
      </rPr>
      <t>M</t>
    </r>
    <r>
      <rPr>
        <sz val="10"/>
        <rFont val="宋体"/>
        <family val="3"/>
        <charset val="134"/>
      </rPr>
      <t>=</t>
    </r>
  </si>
  <si>
    <r>
      <rPr>
        <sz val="10"/>
        <rFont val="宋体"/>
        <family val="3"/>
        <charset val="134"/>
      </rPr>
      <t>P</t>
    </r>
    <r>
      <rPr>
        <vertAlign val="subscript"/>
        <sz val="10"/>
        <rFont val="宋体"/>
        <family val="3"/>
        <charset val="134"/>
      </rPr>
      <t>A</t>
    </r>
    <r>
      <rPr>
        <sz val="10"/>
        <rFont val="宋体"/>
        <family val="3"/>
        <charset val="134"/>
      </rPr>
      <t>/η</t>
    </r>
    <r>
      <rPr>
        <vertAlign val="subscript"/>
        <sz val="10"/>
        <rFont val="宋体"/>
        <family val="3"/>
        <charset val="134"/>
      </rPr>
      <t>1</t>
    </r>
    <r>
      <rPr>
        <sz val="10"/>
        <rFont val="宋体"/>
        <family val="3"/>
        <charset val="134"/>
      </rPr>
      <t>η</t>
    </r>
    <r>
      <rPr>
        <vertAlign val="subscript"/>
        <sz val="10"/>
        <rFont val="宋体"/>
        <family val="3"/>
        <charset val="134"/>
      </rPr>
      <t>2</t>
    </r>
    <r>
      <rPr>
        <sz val="10"/>
        <rFont val="宋体"/>
        <family val="3"/>
        <charset val="134"/>
      </rPr>
      <t>η</t>
    </r>
    <r>
      <rPr>
        <vertAlign val="subscript"/>
        <sz val="10"/>
        <rFont val="宋体"/>
        <family val="3"/>
        <charset val="134"/>
      </rPr>
      <t>3</t>
    </r>
    <r>
      <rPr>
        <sz val="10"/>
        <rFont val="宋体"/>
        <family val="3"/>
        <charset val="134"/>
      </rPr>
      <t>η</t>
    </r>
    <r>
      <rPr>
        <vertAlign val="subscript"/>
        <sz val="10"/>
        <rFont val="宋体"/>
        <family val="3"/>
        <charset val="134"/>
      </rPr>
      <t>4</t>
    </r>
    <r>
      <rPr>
        <sz val="10"/>
        <rFont val="宋体"/>
        <family val="3"/>
        <charset val="134"/>
      </rPr>
      <t>η</t>
    </r>
    <r>
      <rPr>
        <vertAlign val="subscript"/>
        <sz val="10"/>
        <rFont val="宋体"/>
        <family val="3"/>
        <charset val="134"/>
      </rPr>
      <t>5</t>
    </r>
  </si>
  <si>
    <r>
      <rPr>
        <sz val="10"/>
        <rFont val="宋体"/>
        <family val="3"/>
        <charset val="134"/>
      </rPr>
      <t xml:space="preserve"> η</t>
    </r>
    <r>
      <rPr>
        <vertAlign val="subscript"/>
        <sz val="10"/>
        <rFont val="宋体"/>
        <family val="3"/>
        <charset val="134"/>
      </rPr>
      <t>1</t>
    </r>
    <r>
      <rPr>
        <sz val="10"/>
        <rFont val="宋体"/>
        <family val="3"/>
        <charset val="134"/>
      </rPr>
      <t>--减速器效率；</t>
    </r>
  </si>
  <si>
    <r>
      <rPr>
        <sz val="10"/>
        <rFont val="宋体"/>
        <family val="3"/>
        <charset val="134"/>
      </rPr>
      <t>η</t>
    </r>
    <r>
      <rPr>
        <vertAlign val="subscript"/>
        <sz val="10"/>
        <rFont val="宋体"/>
        <family val="3"/>
        <charset val="134"/>
      </rPr>
      <t>1</t>
    </r>
    <r>
      <rPr>
        <sz val="10"/>
        <rFont val="宋体"/>
        <family val="3"/>
        <charset val="134"/>
      </rPr>
      <t>=</t>
    </r>
  </si>
  <si>
    <r>
      <rPr>
        <sz val="10"/>
        <rFont val="宋体"/>
        <family val="3"/>
        <charset val="134"/>
      </rPr>
      <t xml:space="preserve"> η</t>
    </r>
    <r>
      <rPr>
        <vertAlign val="subscript"/>
        <sz val="10"/>
        <rFont val="宋体"/>
        <family val="3"/>
        <charset val="134"/>
      </rPr>
      <t>2</t>
    </r>
    <r>
      <rPr>
        <sz val="10"/>
        <rFont val="宋体"/>
        <family val="3"/>
        <charset val="134"/>
      </rPr>
      <t>--偶合器效率；</t>
    </r>
  </si>
  <si>
    <r>
      <rPr>
        <sz val="10"/>
        <rFont val="宋体"/>
        <family val="3"/>
        <charset val="134"/>
      </rPr>
      <t>η</t>
    </r>
    <r>
      <rPr>
        <vertAlign val="subscript"/>
        <sz val="10"/>
        <rFont val="宋体"/>
        <family val="3"/>
        <charset val="134"/>
      </rPr>
      <t>2</t>
    </r>
    <r>
      <rPr>
        <sz val="10"/>
        <rFont val="宋体"/>
        <family val="3"/>
        <charset val="134"/>
      </rPr>
      <t>=</t>
    </r>
  </si>
  <si>
    <r>
      <rPr>
        <sz val="10"/>
        <rFont val="宋体"/>
        <family val="3"/>
        <charset val="134"/>
      </rPr>
      <t xml:space="preserve"> η</t>
    </r>
    <r>
      <rPr>
        <vertAlign val="subscript"/>
        <sz val="10"/>
        <rFont val="宋体"/>
        <family val="3"/>
        <charset val="134"/>
      </rPr>
      <t>3</t>
    </r>
    <r>
      <rPr>
        <sz val="10"/>
        <rFont val="宋体"/>
        <family val="3"/>
        <charset val="134"/>
      </rPr>
      <t>--联轴器效率；</t>
    </r>
  </si>
  <si>
    <r>
      <rPr>
        <sz val="10"/>
        <rFont val="宋体"/>
        <family val="3"/>
        <charset val="134"/>
      </rPr>
      <t>η</t>
    </r>
    <r>
      <rPr>
        <vertAlign val="subscript"/>
        <sz val="10"/>
        <rFont val="宋体"/>
        <family val="3"/>
        <charset val="134"/>
      </rPr>
      <t>4</t>
    </r>
    <r>
      <rPr>
        <sz val="10"/>
        <rFont val="宋体"/>
        <family val="3"/>
        <charset val="134"/>
      </rPr>
      <t>=</t>
    </r>
  </si>
  <si>
    <r>
      <rPr>
        <sz val="10"/>
        <rFont val="宋体"/>
        <family val="3"/>
        <charset val="134"/>
      </rPr>
      <t xml:space="preserve"> η</t>
    </r>
    <r>
      <rPr>
        <vertAlign val="subscript"/>
        <sz val="10"/>
        <rFont val="宋体"/>
        <family val="3"/>
        <charset val="134"/>
      </rPr>
      <t>4</t>
    </r>
    <r>
      <rPr>
        <sz val="10"/>
        <rFont val="宋体"/>
        <family val="3"/>
        <charset val="134"/>
      </rPr>
      <t>--电压降系数；</t>
    </r>
  </si>
  <si>
    <r>
      <rPr>
        <sz val="10"/>
        <rFont val="宋体"/>
        <family val="3"/>
        <charset val="134"/>
      </rPr>
      <t xml:space="preserve"> η</t>
    </r>
    <r>
      <rPr>
        <vertAlign val="subscript"/>
        <sz val="10"/>
        <rFont val="宋体"/>
        <family val="3"/>
        <charset val="134"/>
      </rPr>
      <t>3</t>
    </r>
    <r>
      <rPr>
        <sz val="10"/>
        <rFont val="宋体"/>
        <family val="3"/>
        <charset val="134"/>
      </rPr>
      <t>--不平衡系数；</t>
    </r>
  </si>
  <si>
    <t>⒊ 驱动设备选型</t>
  </si>
  <si>
    <r>
      <rPr>
        <sz val="10"/>
        <rFont val="宋体"/>
        <family val="3"/>
        <charset val="134"/>
      </rPr>
      <t xml:space="preserve">   因输送带运行阻力     F</t>
    </r>
    <r>
      <rPr>
        <vertAlign val="subscript"/>
        <sz val="10"/>
        <rFont val="宋体"/>
        <family val="3"/>
        <charset val="134"/>
      </rPr>
      <t>1</t>
    </r>
    <r>
      <rPr>
        <sz val="10"/>
        <rFont val="宋体"/>
        <family val="3"/>
        <charset val="134"/>
      </rPr>
      <t>=</t>
    </r>
  </si>
  <si>
    <r>
      <rPr>
        <sz val="10"/>
        <rFont val="宋体"/>
        <family val="3"/>
        <charset val="134"/>
      </rPr>
      <t xml:space="preserve">   物料提升阻力         F</t>
    </r>
    <r>
      <rPr>
        <vertAlign val="subscript"/>
        <sz val="10"/>
        <rFont val="宋体"/>
        <family val="3"/>
        <charset val="134"/>
      </rPr>
      <t>2</t>
    </r>
    <r>
      <rPr>
        <sz val="10"/>
        <rFont val="宋体"/>
        <family val="3"/>
        <charset val="134"/>
      </rPr>
      <t>=</t>
    </r>
  </si>
  <si>
    <t xml:space="preserve">   输送带运行阻力小于物料下滑力，输送带会逆转，因此设逆止器。</t>
  </si>
  <si>
    <t>⑴ 电动机：</t>
  </si>
  <si>
    <t>YB400S2-4</t>
  </si>
  <si>
    <t>，  电压V=</t>
  </si>
  <si>
    <t>V，  共</t>
  </si>
  <si>
    <t>台</t>
  </si>
  <si>
    <t xml:space="preserve">   电机功率P=</t>
  </si>
  <si>
    <t>kW，</t>
  </si>
  <si>
    <r>
      <rPr>
        <sz val="10"/>
        <rFont val="宋体"/>
        <family val="3"/>
        <charset val="134"/>
      </rPr>
      <t>电动机转速      n</t>
    </r>
    <r>
      <rPr>
        <vertAlign val="subscript"/>
        <sz val="10"/>
        <rFont val="宋体"/>
        <family val="3"/>
        <charset val="134"/>
      </rPr>
      <t>1</t>
    </r>
    <r>
      <rPr>
        <sz val="10"/>
        <rFont val="宋体"/>
        <family val="3"/>
        <charset val="134"/>
      </rPr>
      <t>=</t>
    </r>
  </si>
  <si>
    <t>滚筒直径Dr=</t>
  </si>
  <si>
    <t>m，</t>
  </si>
  <si>
    <t>带速V=</t>
  </si>
  <si>
    <t>m/s，</t>
  </si>
  <si>
    <r>
      <rPr>
        <sz val="10"/>
        <rFont val="宋体"/>
        <family val="3"/>
        <charset val="134"/>
      </rPr>
      <t>滚筒转速n</t>
    </r>
    <r>
      <rPr>
        <vertAlign val="subscript"/>
        <sz val="10"/>
        <rFont val="宋体"/>
        <family val="3"/>
        <charset val="134"/>
      </rPr>
      <t>2</t>
    </r>
    <r>
      <rPr>
        <sz val="10"/>
        <rFont val="宋体"/>
        <family val="3"/>
        <charset val="134"/>
      </rPr>
      <t>=</t>
    </r>
  </si>
  <si>
    <t>减速器减速比i=</t>
  </si>
  <si>
    <t>取减速比i=</t>
  </si>
  <si>
    <t>实际带速</t>
  </si>
  <si>
    <t xml:space="preserve">⑵ 减速器： </t>
  </si>
  <si>
    <r>
      <rPr>
        <sz val="10"/>
        <rFont val="宋体"/>
        <family val="3"/>
        <charset val="134"/>
      </rPr>
      <t>轴功率 P</t>
    </r>
    <r>
      <rPr>
        <vertAlign val="subscript"/>
        <sz val="10"/>
        <rFont val="宋体"/>
        <family val="3"/>
        <charset val="134"/>
      </rPr>
      <t>0</t>
    </r>
  </si>
  <si>
    <t>转速 n</t>
  </si>
  <si>
    <t>速比 i</t>
  </si>
  <si>
    <r>
      <rPr>
        <sz val="10"/>
        <rFont val="宋体"/>
        <family val="3"/>
        <charset val="134"/>
      </rPr>
      <t>减速器低速轴转速 n</t>
    </r>
    <r>
      <rPr>
        <vertAlign val="subscript"/>
        <sz val="10"/>
        <rFont val="宋体"/>
        <family val="3"/>
        <charset val="134"/>
      </rPr>
      <t>2</t>
    </r>
  </si>
  <si>
    <r>
      <rPr>
        <sz val="10"/>
        <rFont val="宋体"/>
        <family val="3"/>
        <charset val="134"/>
      </rPr>
      <t>减速器输入功率 P</t>
    </r>
    <r>
      <rPr>
        <vertAlign val="subscript"/>
        <sz val="10"/>
        <rFont val="宋体"/>
        <family val="3"/>
        <charset val="134"/>
      </rPr>
      <t>N1</t>
    </r>
  </si>
  <si>
    <t>选型</t>
  </si>
  <si>
    <t>B3SH10</t>
  </si>
  <si>
    <r>
      <rPr>
        <sz val="10"/>
        <rFont val="宋体"/>
        <family val="3"/>
        <charset val="134"/>
      </rPr>
      <t>额定热容量  PG</t>
    </r>
    <r>
      <rPr>
        <vertAlign val="subscript"/>
        <sz val="10"/>
        <rFont val="宋体"/>
        <family val="3"/>
        <charset val="134"/>
      </rPr>
      <t>1</t>
    </r>
    <r>
      <rPr>
        <sz val="10"/>
        <rFont val="宋体"/>
        <family val="3"/>
        <charset val="134"/>
      </rPr>
      <t>/PG</t>
    </r>
    <r>
      <rPr>
        <vertAlign val="subscript"/>
        <sz val="10"/>
        <rFont val="宋体"/>
        <family val="3"/>
        <charset val="134"/>
      </rPr>
      <t>2</t>
    </r>
  </si>
  <si>
    <t>系数f4</t>
  </si>
  <si>
    <t>系数f6</t>
  </si>
  <si>
    <t>系数f8</t>
  </si>
  <si>
    <t>系数  f9/f10</t>
  </si>
  <si>
    <t>计算热容量</t>
  </si>
  <si>
    <t>型号表示</t>
  </si>
  <si>
    <t>B3SH10-20</t>
  </si>
  <si>
    <t>带风扇</t>
  </si>
  <si>
    <t>减速器型号------</t>
  </si>
  <si>
    <r>
      <rPr>
        <sz val="10"/>
        <color indexed="10"/>
        <rFont val="宋体"/>
        <family val="3"/>
        <charset val="134"/>
      </rPr>
      <t>B3SH10-20+</t>
    </r>
    <r>
      <rPr>
        <sz val="10"/>
        <color indexed="10"/>
        <rFont val="宋体"/>
        <family val="3"/>
        <charset val="134"/>
      </rPr>
      <t>带风扇，共2台</t>
    </r>
  </si>
  <si>
    <t>六、输送带张力计算</t>
  </si>
  <si>
    <t>⒈ 胶带在允许最大下垂度时输送带张力</t>
  </si>
  <si>
    <t>⑴ 重载段允许最小张力</t>
  </si>
  <si>
    <r>
      <rPr>
        <sz val="10"/>
        <rFont val="宋体"/>
        <family val="3"/>
        <charset val="134"/>
      </rPr>
      <t>S</t>
    </r>
    <r>
      <rPr>
        <vertAlign val="subscript"/>
        <sz val="10"/>
        <rFont val="宋体"/>
        <family val="3"/>
        <charset val="134"/>
      </rPr>
      <t>zmin</t>
    </r>
    <r>
      <rPr>
        <sz val="10"/>
        <rFont val="宋体"/>
        <family val="3"/>
        <charset val="134"/>
      </rPr>
      <t>≥</t>
    </r>
  </si>
  <si>
    <r>
      <rPr>
        <sz val="10"/>
        <rFont val="宋体"/>
        <family val="3"/>
        <charset val="134"/>
      </rPr>
      <t>a</t>
    </r>
    <r>
      <rPr>
        <vertAlign val="subscript"/>
        <sz val="10"/>
        <rFont val="宋体"/>
        <family val="3"/>
        <charset val="134"/>
      </rPr>
      <t>0</t>
    </r>
    <r>
      <rPr>
        <sz val="10"/>
        <rFont val="宋体"/>
        <family val="3"/>
        <charset val="134"/>
      </rPr>
      <t>(q+q</t>
    </r>
    <r>
      <rPr>
        <vertAlign val="subscript"/>
        <sz val="10"/>
        <rFont val="宋体"/>
        <family val="3"/>
        <charset val="134"/>
      </rPr>
      <t>0</t>
    </r>
    <r>
      <rPr>
        <sz val="10"/>
        <rFont val="宋体"/>
        <family val="3"/>
        <charset val="134"/>
      </rPr>
      <t>)g/8(h/a)</t>
    </r>
    <r>
      <rPr>
        <vertAlign val="subscript"/>
        <sz val="10"/>
        <rFont val="宋体"/>
        <family val="3"/>
        <charset val="134"/>
      </rPr>
      <t>max</t>
    </r>
  </si>
  <si>
    <r>
      <rPr>
        <sz val="10"/>
        <rFont val="宋体"/>
        <family val="3"/>
        <charset val="134"/>
      </rPr>
      <t>a</t>
    </r>
    <r>
      <rPr>
        <vertAlign val="subscript"/>
        <sz val="10"/>
        <rFont val="宋体"/>
        <family val="3"/>
        <charset val="134"/>
      </rPr>
      <t>0</t>
    </r>
    <r>
      <rPr>
        <sz val="10"/>
        <rFont val="宋体"/>
        <family val="3"/>
        <charset val="134"/>
      </rPr>
      <t xml:space="preserve">--上托辊组间距； </t>
    </r>
  </si>
  <si>
    <r>
      <rPr>
        <sz val="10"/>
        <rFont val="宋体"/>
        <family val="3"/>
        <charset val="134"/>
      </rPr>
      <t>(h/a)</t>
    </r>
    <r>
      <rPr>
        <vertAlign val="subscript"/>
        <sz val="10"/>
        <rFont val="宋体"/>
        <family val="3"/>
        <charset val="134"/>
      </rPr>
      <t>max</t>
    </r>
    <r>
      <rPr>
        <sz val="10"/>
        <rFont val="宋体"/>
        <family val="3"/>
        <charset val="134"/>
      </rPr>
      <t>--两托辊组间允许的胶带垂度；</t>
    </r>
  </si>
  <si>
    <r>
      <rPr>
        <sz val="9"/>
        <rFont val="宋体"/>
        <family val="3"/>
        <charset val="134"/>
      </rPr>
      <t>(h/a)</t>
    </r>
    <r>
      <rPr>
        <vertAlign val="subscript"/>
        <sz val="9"/>
        <rFont val="宋体"/>
        <family val="3"/>
        <charset val="134"/>
      </rPr>
      <t>max</t>
    </r>
    <r>
      <rPr>
        <sz val="9"/>
        <rFont val="宋体"/>
        <family val="3"/>
        <charset val="134"/>
      </rPr>
      <t>=</t>
    </r>
  </si>
  <si>
    <t>⑵ 空载段允许最小张力</t>
  </si>
  <si>
    <r>
      <rPr>
        <sz val="10"/>
        <rFont val="宋体"/>
        <family val="3"/>
        <charset val="134"/>
      </rPr>
      <t>S</t>
    </r>
    <r>
      <rPr>
        <vertAlign val="subscript"/>
        <sz val="10"/>
        <rFont val="宋体"/>
        <family val="3"/>
        <charset val="134"/>
      </rPr>
      <t>kmin</t>
    </r>
    <r>
      <rPr>
        <sz val="10"/>
        <rFont val="宋体"/>
        <family val="3"/>
        <charset val="134"/>
      </rPr>
      <t>≥</t>
    </r>
  </si>
  <si>
    <r>
      <rPr>
        <sz val="10"/>
        <rFont val="宋体"/>
        <family val="3"/>
        <charset val="134"/>
      </rPr>
      <t>a</t>
    </r>
    <r>
      <rPr>
        <vertAlign val="subscript"/>
        <sz val="10"/>
        <rFont val="宋体"/>
        <family val="3"/>
        <charset val="134"/>
      </rPr>
      <t>u</t>
    </r>
    <r>
      <rPr>
        <sz val="10"/>
        <rFont val="宋体"/>
        <family val="3"/>
        <charset val="134"/>
      </rPr>
      <t>q</t>
    </r>
    <r>
      <rPr>
        <vertAlign val="subscript"/>
        <sz val="10"/>
        <rFont val="宋体"/>
        <family val="3"/>
        <charset val="134"/>
      </rPr>
      <t>0</t>
    </r>
    <r>
      <rPr>
        <sz val="10"/>
        <rFont val="宋体"/>
        <family val="3"/>
        <charset val="134"/>
      </rPr>
      <t>g/8(h/a)</t>
    </r>
    <r>
      <rPr>
        <vertAlign val="subscript"/>
        <sz val="10"/>
        <rFont val="宋体"/>
        <family val="3"/>
        <charset val="134"/>
      </rPr>
      <t>max</t>
    </r>
  </si>
  <si>
    <r>
      <rPr>
        <sz val="10"/>
        <rFont val="宋体"/>
        <family val="3"/>
        <charset val="134"/>
      </rPr>
      <t>a</t>
    </r>
    <r>
      <rPr>
        <vertAlign val="subscript"/>
        <sz val="10"/>
        <rFont val="宋体"/>
        <family val="3"/>
        <charset val="134"/>
      </rPr>
      <t>u</t>
    </r>
    <r>
      <rPr>
        <sz val="10"/>
        <rFont val="宋体"/>
        <family val="3"/>
        <charset val="134"/>
      </rPr>
      <t xml:space="preserve">--下托辊组间距； </t>
    </r>
  </si>
  <si>
    <t>⒉ 滚筒与胶带在临界打滑状态时输送带张力</t>
  </si>
  <si>
    <t>双滚筒驱动</t>
  </si>
  <si>
    <t>配比1：1</t>
  </si>
  <si>
    <r>
      <rPr>
        <sz val="10"/>
        <rFont val="宋体"/>
        <family val="3"/>
        <charset val="134"/>
      </rPr>
      <t xml:space="preserve"> K</t>
    </r>
    <r>
      <rPr>
        <vertAlign val="subscript"/>
        <sz val="10"/>
        <rFont val="宋体"/>
        <family val="3"/>
        <charset val="134"/>
      </rPr>
      <t>A</t>
    </r>
    <r>
      <rPr>
        <sz val="10"/>
        <rFont val="宋体"/>
        <family val="3"/>
        <charset val="134"/>
      </rPr>
      <t xml:space="preserve">--滚筒起动系数； </t>
    </r>
  </si>
  <si>
    <r>
      <rPr>
        <sz val="10"/>
        <rFont val="宋体"/>
        <family val="3"/>
        <charset val="134"/>
      </rPr>
      <t>K</t>
    </r>
    <r>
      <rPr>
        <vertAlign val="subscript"/>
        <sz val="10"/>
        <rFont val="宋体"/>
        <family val="3"/>
        <charset val="134"/>
      </rPr>
      <t>A</t>
    </r>
    <r>
      <rPr>
        <sz val="10"/>
        <rFont val="宋体"/>
        <family val="3"/>
        <charset val="134"/>
      </rPr>
      <t>=</t>
    </r>
  </si>
  <si>
    <r>
      <rPr>
        <sz val="10"/>
        <rFont val="宋体"/>
        <family val="3"/>
        <charset val="134"/>
      </rPr>
      <t xml:space="preserve"> e</t>
    </r>
    <r>
      <rPr>
        <vertAlign val="superscript"/>
        <sz val="10"/>
        <rFont val="宋体"/>
        <family val="3"/>
        <charset val="134"/>
      </rPr>
      <t>μФ</t>
    </r>
    <r>
      <rPr>
        <sz val="10"/>
        <rFont val="宋体"/>
        <family val="3"/>
        <charset val="134"/>
      </rPr>
      <t>--胶带传动尤拉系数；</t>
    </r>
  </si>
  <si>
    <t>第二传动滚筒奔离点输送带张力</t>
  </si>
  <si>
    <r>
      <rPr>
        <sz val="10"/>
        <rFont val="宋体"/>
        <family val="3"/>
        <charset val="134"/>
      </rPr>
      <t>S</t>
    </r>
    <r>
      <rPr>
        <vertAlign val="subscript"/>
        <sz val="10"/>
        <rFont val="宋体"/>
        <family val="3"/>
        <charset val="134"/>
      </rPr>
      <t>2min</t>
    </r>
    <r>
      <rPr>
        <sz val="10"/>
        <rFont val="宋体"/>
        <family val="3"/>
        <charset val="134"/>
      </rPr>
      <t>≥</t>
    </r>
  </si>
  <si>
    <r>
      <rPr>
        <sz val="10"/>
        <rFont val="宋体"/>
        <family val="3"/>
        <charset val="134"/>
      </rPr>
      <t>K</t>
    </r>
    <r>
      <rPr>
        <vertAlign val="subscript"/>
        <sz val="10"/>
        <rFont val="宋体"/>
        <family val="3"/>
        <charset val="134"/>
      </rPr>
      <t>A</t>
    </r>
    <r>
      <rPr>
        <sz val="10"/>
        <rFont val="宋体"/>
        <family val="3"/>
        <charset val="134"/>
      </rPr>
      <t>F</t>
    </r>
    <r>
      <rPr>
        <vertAlign val="subscript"/>
        <sz val="10"/>
        <rFont val="宋体"/>
        <family val="3"/>
        <charset val="134"/>
      </rPr>
      <t>u</t>
    </r>
    <r>
      <rPr>
        <sz val="10"/>
        <rFont val="宋体"/>
        <family val="3"/>
        <charset val="134"/>
      </rPr>
      <t>/2(e</t>
    </r>
    <r>
      <rPr>
        <vertAlign val="superscript"/>
        <sz val="10"/>
        <rFont val="宋体"/>
        <family val="3"/>
        <charset val="134"/>
      </rPr>
      <t>μФ2</t>
    </r>
    <r>
      <rPr>
        <sz val="10"/>
        <rFont val="宋体"/>
        <family val="3"/>
        <charset val="134"/>
      </rPr>
      <t>-1)</t>
    </r>
  </si>
  <si>
    <r>
      <rPr>
        <sz val="9"/>
        <rFont val="宋体"/>
        <family val="3"/>
        <charset val="134"/>
      </rPr>
      <t>胶带围包角       Ф</t>
    </r>
    <r>
      <rPr>
        <vertAlign val="subscript"/>
        <sz val="9"/>
        <rFont val="宋体"/>
        <family val="3"/>
        <charset val="134"/>
      </rPr>
      <t>2</t>
    </r>
    <r>
      <rPr>
        <sz val="9"/>
        <rFont val="宋体"/>
        <family val="3"/>
        <charset val="134"/>
      </rPr>
      <t>=</t>
    </r>
  </si>
  <si>
    <t>°时</t>
  </si>
  <si>
    <r>
      <rPr>
        <sz val="10"/>
        <rFont val="宋体"/>
        <family val="3"/>
        <charset val="134"/>
      </rPr>
      <t>e</t>
    </r>
    <r>
      <rPr>
        <vertAlign val="superscript"/>
        <sz val="10"/>
        <rFont val="宋体"/>
        <family val="3"/>
        <charset val="134"/>
      </rPr>
      <t>μФ2</t>
    </r>
    <r>
      <rPr>
        <sz val="10"/>
        <rFont val="宋体"/>
        <family val="3"/>
        <charset val="134"/>
      </rPr>
      <t>=</t>
    </r>
  </si>
  <si>
    <t>μ=</t>
  </si>
  <si>
    <r>
      <rPr>
        <sz val="10"/>
        <rFont val="宋体"/>
        <family val="3"/>
        <charset val="134"/>
      </rPr>
      <t>取S</t>
    </r>
    <r>
      <rPr>
        <vertAlign val="subscript"/>
        <sz val="10"/>
        <rFont val="宋体"/>
        <family val="3"/>
        <charset val="134"/>
      </rPr>
      <t>2</t>
    </r>
    <r>
      <rPr>
        <sz val="10"/>
        <rFont val="宋体"/>
        <family val="3"/>
        <charset val="134"/>
      </rPr>
      <t>=</t>
    </r>
  </si>
  <si>
    <t>第二传动滚筒趋入点输送带张力</t>
  </si>
  <si>
    <r>
      <rPr>
        <sz val="10"/>
        <rFont val="宋体"/>
        <family val="3"/>
        <charset val="134"/>
      </rPr>
      <t>S</t>
    </r>
    <r>
      <rPr>
        <vertAlign val="subscript"/>
        <sz val="10"/>
        <rFont val="宋体"/>
        <family val="3"/>
        <charset val="134"/>
      </rPr>
      <t>2</t>
    </r>
    <r>
      <rPr>
        <sz val="10"/>
        <rFont val="宋体"/>
        <family val="3"/>
        <charset val="134"/>
      </rPr>
      <t>'=</t>
    </r>
  </si>
  <si>
    <r>
      <rPr>
        <sz val="10"/>
        <rFont val="宋体"/>
        <family val="3"/>
        <charset val="134"/>
      </rPr>
      <t>S</t>
    </r>
    <r>
      <rPr>
        <vertAlign val="subscript"/>
        <sz val="10"/>
        <rFont val="宋体"/>
        <family val="3"/>
        <charset val="134"/>
      </rPr>
      <t>2</t>
    </r>
    <r>
      <rPr>
        <sz val="10"/>
        <rFont val="宋体"/>
        <family val="3"/>
        <charset val="134"/>
      </rPr>
      <t>+F</t>
    </r>
    <r>
      <rPr>
        <vertAlign val="subscript"/>
        <sz val="10"/>
        <rFont val="宋体"/>
        <family val="3"/>
        <charset val="134"/>
      </rPr>
      <t>u</t>
    </r>
    <r>
      <rPr>
        <sz val="10"/>
        <rFont val="宋体"/>
        <family val="3"/>
        <charset val="134"/>
      </rPr>
      <t>/2</t>
    </r>
  </si>
  <si>
    <t>小于</t>
  </si>
  <si>
    <t>3.第一传动滚筒</t>
  </si>
  <si>
    <t>(1)第一传动滚筒奔离点输送带张力</t>
  </si>
  <si>
    <r>
      <rPr>
        <sz val="10"/>
        <rFont val="宋体"/>
        <family val="3"/>
        <charset val="134"/>
      </rPr>
      <t>S</t>
    </r>
    <r>
      <rPr>
        <vertAlign val="subscript"/>
        <sz val="10"/>
        <rFont val="宋体"/>
        <family val="3"/>
        <charset val="134"/>
      </rPr>
      <t>1</t>
    </r>
    <r>
      <rPr>
        <sz val="10"/>
        <rFont val="宋体"/>
        <family val="3"/>
        <charset val="134"/>
      </rPr>
      <t>'=S</t>
    </r>
    <r>
      <rPr>
        <vertAlign val="subscript"/>
        <sz val="10"/>
        <rFont val="宋体"/>
        <family val="3"/>
        <charset val="134"/>
      </rPr>
      <t>2</t>
    </r>
    <r>
      <rPr>
        <sz val="10"/>
        <rFont val="宋体"/>
        <family val="3"/>
        <charset val="134"/>
      </rPr>
      <t>'=</t>
    </r>
  </si>
  <si>
    <t>(2)第一传动滚筒趋入点输送带张力</t>
  </si>
  <si>
    <r>
      <rPr>
        <sz val="10"/>
        <rFont val="宋体"/>
        <family val="3"/>
        <charset val="134"/>
      </rPr>
      <t>S</t>
    </r>
    <r>
      <rPr>
        <vertAlign val="subscript"/>
        <sz val="10"/>
        <rFont val="宋体"/>
        <family val="3"/>
        <charset val="134"/>
      </rPr>
      <t>1</t>
    </r>
    <r>
      <rPr>
        <sz val="10"/>
        <rFont val="宋体"/>
        <family val="3"/>
        <charset val="134"/>
      </rPr>
      <t>=</t>
    </r>
  </si>
  <si>
    <r>
      <rPr>
        <sz val="10"/>
        <rFont val="宋体"/>
        <family val="3"/>
        <charset val="134"/>
      </rPr>
      <t>S</t>
    </r>
    <r>
      <rPr>
        <vertAlign val="subscript"/>
        <sz val="10"/>
        <rFont val="宋体"/>
        <family val="3"/>
        <charset val="134"/>
      </rPr>
      <t>1</t>
    </r>
    <r>
      <rPr>
        <sz val="10"/>
        <rFont val="宋体"/>
        <family val="3"/>
        <charset val="134"/>
      </rPr>
      <t>'+F</t>
    </r>
    <r>
      <rPr>
        <vertAlign val="subscript"/>
        <sz val="10"/>
        <rFont val="宋体"/>
        <family val="3"/>
        <charset val="134"/>
      </rPr>
      <t>u</t>
    </r>
    <r>
      <rPr>
        <sz val="10"/>
        <rFont val="宋体"/>
        <family val="3"/>
        <charset val="134"/>
      </rPr>
      <t>/2</t>
    </r>
  </si>
  <si>
    <t>6. 尾部滚筒胶带奔离点输送带张力</t>
  </si>
  <si>
    <r>
      <rPr>
        <sz val="10"/>
        <rFont val="宋体"/>
        <family val="3"/>
        <charset val="134"/>
      </rPr>
      <t>S</t>
    </r>
    <r>
      <rPr>
        <vertAlign val="subscript"/>
        <sz val="10"/>
        <rFont val="宋体"/>
        <family val="3"/>
        <charset val="134"/>
      </rPr>
      <t>4</t>
    </r>
    <r>
      <rPr>
        <sz val="10"/>
        <rFont val="宋体"/>
        <family val="3"/>
        <charset val="134"/>
      </rPr>
      <t>=</t>
    </r>
  </si>
  <si>
    <r>
      <rPr>
        <sz val="10"/>
        <rFont val="宋体"/>
        <family val="3"/>
        <charset val="134"/>
      </rPr>
      <t>S</t>
    </r>
    <r>
      <rPr>
        <vertAlign val="subscript"/>
        <sz val="10"/>
        <rFont val="宋体"/>
        <family val="3"/>
        <charset val="134"/>
      </rPr>
      <t>t1</t>
    </r>
    <r>
      <rPr>
        <sz val="10"/>
        <rFont val="宋体"/>
        <family val="3"/>
        <charset val="134"/>
      </rPr>
      <t>-Lωg(q+q</t>
    </r>
    <r>
      <rPr>
        <vertAlign val="subscript"/>
        <sz val="10"/>
        <rFont val="宋体"/>
        <family val="3"/>
        <charset val="134"/>
      </rPr>
      <t>0</t>
    </r>
    <r>
      <rPr>
        <sz val="10"/>
        <rFont val="宋体"/>
        <family val="3"/>
        <charset val="134"/>
      </rPr>
      <t>+q</t>
    </r>
    <r>
      <rPr>
        <vertAlign val="subscript"/>
        <sz val="10"/>
        <rFont val="宋体"/>
        <family val="3"/>
        <charset val="134"/>
      </rPr>
      <t>1</t>
    </r>
    <r>
      <rPr>
        <sz val="10"/>
        <rFont val="宋体"/>
        <family val="3"/>
        <charset val="134"/>
      </rPr>
      <t>)-F</t>
    </r>
    <r>
      <rPr>
        <vertAlign val="subscript"/>
        <sz val="10"/>
        <rFont val="宋体"/>
        <family val="3"/>
        <charset val="134"/>
      </rPr>
      <t>5</t>
    </r>
    <r>
      <rPr>
        <sz val="10"/>
        <rFont val="宋体"/>
        <family val="3"/>
        <charset val="134"/>
      </rPr>
      <t>-F</t>
    </r>
    <r>
      <rPr>
        <vertAlign val="subscript"/>
        <sz val="10"/>
        <rFont val="宋体"/>
        <family val="3"/>
        <charset val="134"/>
      </rPr>
      <t>6</t>
    </r>
    <r>
      <rPr>
        <sz val="10"/>
        <rFont val="宋体"/>
        <family val="3"/>
        <charset val="134"/>
      </rPr>
      <t>-F</t>
    </r>
    <r>
      <rPr>
        <vertAlign val="subscript"/>
        <sz val="10"/>
        <rFont val="宋体"/>
        <family val="3"/>
        <charset val="134"/>
      </rPr>
      <t>7</t>
    </r>
    <r>
      <rPr>
        <sz val="10"/>
        <rFont val="宋体"/>
        <family val="3"/>
        <charset val="134"/>
      </rPr>
      <t>-Hg(q</t>
    </r>
    <r>
      <rPr>
        <vertAlign val="subscript"/>
        <sz val="10"/>
        <rFont val="宋体"/>
        <family val="3"/>
        <charset val="134"/>
      </rPr>
      <t>0</t>
    </r>
    <r>
      <rPr>
        <sz val="10"/>
        <rFont val="宋体"/>
        <family val="3"/>
        <charset val="134"/>
      </rPr>
      <t>+q)</t>
    </r>
  </si>
  <si>
    <r>
      <rPr>
        <sz val="10"/>
        <rFont val="宋体"/>
        <family val="3"/>
        <charset val="134"/>
      </rPr>
      <t>S</t>
    </r>
    <r>
      <rPr>
        <vertAlign val="subscript"/>
        <sz val="10"/>
        <rFont val="宋体"/>
        <family val="3"/>
        <charset val="134"/>
      </rPr>
      <t>t1</t>
    </r>
  </si>
  <si>
    <r>
      <rPr>
        <sz val="9"/>
        <rFont val="宋体"/>
        <family val="3"/>
        <charset val="134"/>
      </rPr>
      <t>托辊前倾阻力</t>
    </r>
    <r>
      <rPr>
        <sz val="10"/>
        <rFont val="宋体"/>
        <family val="3"/>
        <charset val="134"/>
      </rPr>
      <t>F</t>
    </r>
    <r>
      <rPr>
        <vertAlign val="subscript"/>
        <sz val="10"/>
        <rFont val="宋体"/>
        <family val="3"/>
        <charset val="134"/>
      </rPr>
      <t>5</t>
    </r>
  </si>
  <si>
    <r>
      <rPr>
        <sz val="9"/>
        <rFont val="宋体"/>
        <family val="3"/>
        <charset val="134"/>
      </rPr>
      <t>导料板阻力</t>
    </r>
    <r>
      <rPr>
        <sz val="10"/>
        <rFont val="宋体"/>
        <family val="3"/>
        <charset val="134"/>
      </rPr>
      <t>F</t>
    </r>
    <r>
      <rPr>
        <vertAlign val="subscript"/>
        <sz val="10"/>
        <rFont val="宋体"/>
        <family val="3"/>
        <charset val="134"/>
      </rPr>
      <t>6</t>
    </r>
  </si>
  <si>
    <r>
      <rPr>
        <sz val="9"/>
        <rFont val="宋体"/>
        <family val="3"/>
        <charset val="134"/>
      </rPr>
      <t>给料点处物料附加阻力F</t>
    </r>
    <r>
      <rPr>
        <vertAlign val="subscript"/>
        <sz val="9"/>
        <rFont val="宋体"/>
        <family val="3"/>
        <charset val="134"/>
      </rPr>
      <t>7</t>
    </r>
  </si>
  <si>
    <t>因</t>
  </si>
  <si>
    <t>大于</t>
  </si>
  <si>
    <r>
      <rPr>
        <sz val="10"/>
        <rFont val="宋体"/>
        <family val="3"/>
        <charset val="134"/>
      </rPr>
      <t>S</t>
    </r>
    <r>
      <rPr>
        <vertAlign val="subscript"/>
        <sz val="10"/>
        <rFont val="宋体"/>
        <family val="3"/>
        <charset val="134"/>
      </rPr>
      <t>zmin</t>
    </r>
    <r>
      <rPr>
        <sz val="10"/>
        <rFont val="宋体"/>
        <family val="3"/>
        <charset val="134"/>
      </rPr>
      <t>=</t>
    </r>
  </si>
  <si>
    <t>故满足重载段胶带垂度要求。</t>
  </si>
  <si>
    <t>7. 尾部滚筒胶带趋入点输送带张力</t>
  </si>
  <si>
    <r>
      <rPr>
        <sz val="10"/>
        <rFont val="宋体"/>
        <family val="3"/>
        <charset val="134"/>
      </rPr>
      <t>S</t>
    </r>
    <r>
      <rPr>
        <vertAlign val="subscript"/>
        <sz val="10"/>
        <rFont val="宋体"/>
        <family val="3"/>
        <charset val="134"/>
      </rPr>
      <t>3</t>
    </r>
    <r>
      <rPr>
        <sz val="10"/>
        <rFont val="宋体"/>
        <family val="3"/>
        <charset val="134"/>
      </rPr>
      <t>=</t>
    </r>
  </si>
  <si>
    <r>
      <rPr>
        <sz val="10"/>
        <rFont val="宋体"/>
        <family val="3"/>
        <charset val="134"/>
      </rPr>
      <t>S</t>
    </r>
    <r>
      <rPr>
        <vertAlign val="subscript"/>
        <sz val="10"/>
        <rFont val="宋体"/>
        <family val="3"/>
        <charset val="134"/>
      </rPr>
      <t>4</t>
    </r>
    <r>
      <rPr>
        <sz val="10"/>
        <rFont val="宋体"/>
        <family val="3"/>
        <charset val="134"/>
      </rPr>
      <t>/K</t>
    </r>
    <r>
      <rPr>
        <vertAlign val="subscript"/>
        <sz val="10"/>
        <rFont val="宋体"/>
        <family val="3"/>
        <charset val="134"/>
      </rPr>
      <t>g</t>
    </r>
  </si>
  <si>
    <r>
      <rPr>
        <sz val="10"/>
        <rFont val="宋体"/>
        <family val="3"/>
        <charset val="134"/>
      </rPr>
      <t xml:space="preserve"> K</t>
    </r>
    <r>
      <rPr>
        <vertAlign val="subscript"/>
        <sz val="10"/>
        <rFont val="宋体"/>
        <family val="3"/>
        <charset val="134"/>
      </rPr>
      <t>g</t>
    </r>
    <r>
      <rPr>
        <sz val="10"/>
        <rFont val="宋体"/>
        <family val="3"/>
        <charset val="134"/>
      </rPr>
      <t xml:space="preserve">--胶带绕过滚筒时的阻力系数； </t>
    </r>
  </si>
  <si>
    <r>
      <rPr>
        <sz val="10"/>
        <rFont val="宋体"/>
        <family val="3"/>
        <charset val="134"/>
      </rPr>
      <t>K</t>
    </r>
    <r>
      <rPr>
        <vertAlign val="subscript"/>
        <sz val="10"/>
        <rFont val="宋体"/>
        <family val="3"/>
        <charset val="134"/>
      </rPr>
      <t>g</t>
    </r>
    <r>
      <rPr>
        <sz val="10"/>
        <rFont val="宋体"/>
        <family val="3"/>
        <charset val="134"/>
      </rPr>
      <t>=</t>
    </r>
  </si>
  <si>
    <r>
      <rPr>
        <sz val="10"/>
        <rFont val="宋体"/>
        <family val="3"/>
        <charset val="134"/>
      </rPr>
      <t>S</t>
    </r>
    <r>
      <rPr>
        <vertAlign val="subscript"/>
        <sz val="10"/>
        <rFont val="宋体"/>
        <family val="3"/>
        <charset val="134"/>
      </rPr>
      <t>kmin</t>
    </r>
    <r>
      <rPr>
        <sz val="10"/>
        <rFont val="宋体"/>
        <family val="3"/>
        <charset val="134"/>
      </rPr>
      <t>=</t>
    </r>
  </si>
  <si>
    <t>故满足空载段胶带垂度要求。</t>
  </si>
  <si>
    <t>8. 拉紧装置处输送带张力</t>
  </si>
  <si>
    <r>
      <rPr>
        <sz val="10"/>
        <rFont val="宋体"/>
        <family val="3"/>
        <charset val="134"/>
      </rPr>
      <t>S</t>
    </r>
    <r>
      <rPr>
        <vertAlign val="subscript"/>
        <sz val="10"/>
        <rFont val="宋体"/>
        <family val="3"/>
        <charset val="134"/>
      </rPr>
      <t>5</t>
    </r>
    <r>
      <rPr>
        <sz val="10"/>
        <rFont val="宋体"/>
        <family val="3"/>
        <charset val="134"/>
      </rPr>
      <t>=</t>
    </r>
  </si>
  <si>
    <r>
      <rPr>
        <sz val="10"/>
        <rFont val="宋体"/>
        <family val="3"/>
        <charset val="134"/>
      </rPr>
      <t>S</t>
    </r>
    <r>
      <rPr>
        <vertAlign val="subscript"/>
        <sz val="10"/>
        <rFont val="宋体"/>
        <family val="3"/>
        <charset val="134"/>
      </rPr>
      <t>3</t>
    </r>
    <r>
      <rPr>
        <sz val="10"/>
        <rFont val="宋体"/>
        <family val="3"/>
        <charset val="134"/>
      </rPr>
      <t>-(L-L</t>
    </r>
    <r>
      <rPr>
        <vertAlign val="subscript"/>
        <sz val="10"/>
        <rFont val="宋体"/>
        <family val="3"/>
        <charset val="134"/>
      </rPr>
      <t>1</t>
    </r>
    <r>
      <rPr>
        <sz val="10"/>
        <rFont val="宋体"/>
        <family val="3"/>
        <charset val="134"/>
      </rPr>
      <t>)ωg(q</t>
    </r>
    <r>
      <rPr>
        <vertAlign val="subscript"/>
        <sz val="10"/>
        <rFont val="宋体"/>
        <family val="3"/>
        <charset val="134"/>
      </rPr>
      <t>0</t>
    </r>
    <r>
      <rPr>
        <sz val="10"/>
        <rFont val="宋体"/>
        <family val="3"/>
        <charset val="134"/>
      </rPr>
      <t>+q</t>
    </r>
    <r>
      <rPr>
        <vertAlign val="subscript"/>
        <sz val="10"/>
        <rFont val="宋体"/>
        <family val="3"/>
        <charset val="134"/>
      </rPr>
      <t>2</t>
    </r>
    <r>
      <rPr>
        <sz val="10"/>
        <rFont val="宋体"/>
        <family val="3"/>
        <charset val="134"/>
      </rPr>
      <t>)+q</t>
    </r>
    <r>
      <rPr>
        <vertAlign val="subscript"/>
        <sz val="10"/>
        <rFont val="宋体"/>
        <family val="3"/>
        <charset val="134"/>
      </rPr>
      <t>0</t>
    </r>
    <r>
      <rPr>
        <sz val="10"/>
        <rFont val="宋体"/>
        <family val="3"/>
        <charset val="134"/>
      </rPr>
      <t>gH-F</t>
    </r>
    <r>
      <rPr>
        <vertAlign val="subscript"/>
        <sz val="10"/>
        <rFont val="宋体"/>
        <family val="3"/>
        <charset val="134"/>
      </rPr>
      <t>4</t>
    </r>
  </si>
  <si>
    <r>
      <rPr>
        <sz val="10"/>
        <rFont val="宋体"/>
        <family val="3"/>
        <charset val="134"/>
      </rPr>
      <t>S</t>
    </r>
    <r>
      <rPr>
        <vertAlign val="subscript"/>
        <sz val="10"/>
        <rFont val="宋体"/>
        <family val="3"/>
        <charset val="134"/>
      </rPr>
      <t>3</t>
    </r>
  </si>
  <si>
    <r>
      <rPr>
        <sz val="10"/>
        <rFont val="宋体"/>
        <family val="3"/>
        <charset val="134"/>
      </rPr>
      <t>L</t>
    </r>
    <r>
      <rPr>
        <vertAlign val="subscript"/>
        <sz val="10"/>
        <rFont val="宋体"/>
        <family val="3"/>
        <charset val="134"/>
      </rPr>
      <t>1</t>
    </r>
  </si>
  <si>
    <r>
      <rPr>
        <sz val="10"/>
        <rFont val="宋体"/>
        <family val="3"/>
        <charset val="134"/>
      </rPr>
      <t>尾清阻力F</t>
    </r>
    <r>
      <rPr>
        <vertAlign val="subscript"/>
        <sz val="10"/>
        <rFont val="宋体"/>
        <family val="3"/>
        <charset val="134"/>
      </rPr>
      <t>4</t>
    </r>
  </si>
  <si>
    <t>9. 拉紧力计算</t>
  </si>
  <si>
    <t>(1)拉紧力   M=</t>
  </si>
  <si>
    <r>
      <rPr>
        <sz val="10"/>
        <rFont val="Times New Roman"/>
        <family val="1"/>
      </rPr>
      <t>2S</t>
    </r>
    <r>
      <rPr>
        <vertAlign val="subscript"/>
        <sz val="10"/>
        <rFont val="Times New Roman"/>
        <family val="1"/>
      </rPr>
      <t>5</t>
    </r>
    <r>
      <rPr>
        <sz val="10"/>
        <rFont val="Times New Roman"/>
        <family val="1"/>
      </rPr>
      <t xml:space="preserve">    </t>
    </r>
  </si>
  <si>
    <t>KN</t>
  </si>
  <si>
    <t>取</t>
  </si>
  <si>
    <t>M=</t>
  </si>
  <si>
    <t>KN      则</t>
  </si>
  <si>
    <t>(2)拉紧力   G=</t>
  </si>
  <si>
    <r>
      <rPr>
        <sz val="10"/>
        <rFont val="宋体"/>
        <family val="3"/>
        <charset val="134"/>
      </rPr>
      <t>2.1[Fu/2(g(e</t>
    </r>
    <r>
      <rPr>
        <vertAlign val="superscript"/>
        <sz val="10"/>
        <rFont val="宋体"/>
        <family val="3"/>
        <charset val="134"/>
      </rPr>
      <t>μФ</t>
    </r>
    <r>
      <rPr>
        <sz val="10"/>
        <rFont val="宋体"/>
        <family val="3"/>
        <charset val="134"/>
      </rPr>
      <t>-1))+(q</t>
    </r>
    <r>
      <rPr>
        <vertAlign val="subscript"/>
        <sz val="10"/>
        <rFont val="宋体"/>
        <family val="3"/>
        <charset val="134"/>
      </rPr>
      <t>0</t>
    </r>
    <r>
      <rPr>
        <sz val="10"/>
        <rFont val="宋体"/>
        <family val="3"/>
        <charset val="134"/>
      </rPr>
      <t>+q</t>
    </r>
    <r>
      <rPr>
        <vertAlign val="subscript"/>
        <sz val="10"/>
        <rFont val="宋体"/>
        <family val="3"/>
        <charset val="134"/>
      </rPr>
      <t>2</t>
    </r>
    <r>
      <rPr>
        <sz val="10"/>
        <rFont val="宋体"/>
        <family val="3"/>
        <charset val="134"/>
      </rPr>
      <t>)ωL</t>
    </r>
    <r>
      <rPr>
        <vertAlign val="subscript"/>
        <sz val="10"/>
        <rFont val="宋体"/>
        <family val="3"/>
        <charset val="134"/>
      </rPr>
      <t>1</t>
    </r>
    <r>
      <rPr>
        <sz val="10"/>
        <rFont val="宋体"/>
        <family val="3"/>
        <charset val="134"/>
      </rPr>
      <t>-q</t>
    </r>
    <r>
      <rPr>
        <vertAlign val="subscript"/>
        <sz val="10"/>
        <rFont val="宋体"/>
        <family val="3"/>
        <charset val="134"/>
      </rPr>
      <t>0</t>
    </r>
    <r>
      <rPr>
        <sz val="10"/>
        <rFont val="宋体"/>
        <family val="3"/>
        <charset val="134"/>
      </rPr>
      <t>L</t>
    </r>
    <r>
      <rPr>
        <vertAlign val="subscript"/>
        <sz val="10"/>
        <rFont val="宋体"/>
        <family val="3"/>
        <charset val="134"/>
      </rPr>
      <t>1</t>
    </r>
    <r>
      <rPr>
        <sz val="10"/>
        <rFont val="宋体"/>
        <family val="3"/>
        <charset val="134"/>
      </rPr>
      <t>tgβ]</t>
    </r>
  </si>
  <si>
    <t>ω=</t>
  </si>
  <si>
    <t>Fu</t>
  </si>
  <si>
    <t>Ф</t>
  </si>
  <si>
    <r>
      <rPr>
        <sz val="10"/>
        <rFont val="宋体"/>
        <family val="3"/>
        <charset val="134"/>
      </rPr>
      <t>e</t>
    </r>
    <r>
      <rPr>
        <vertAlign val="superscript"/>
        <sz val="10"/>
        <rFont val="宋体"/>
        <family val="3"/>
        <charset val="134"/>
      </rPr>
      <t>μФ</t>
    </r>
  </si>
  <si>
    <t>β(弧度）</t>
  </si>
  <si>
    <t>μ</t>
  </si>
  <si>
    <t>G=</t>
  </si>
  <si>
    <t>kg       =</t>
  </si>
  <si>
    <t>10.拉紧行程</t>
  </si>
  <si>
    <t>帆布带</t>
  </si>
  <si>
    <t>尼龙带</t>
  </si>
  <si>
    <t>钢丝绳带</t>
  </si>
  <si>
    <r>
      <rPr>
        <sz val="10"/>
        <rFont val="宋体"/>
        <family val="3"/>
        <charset val="134"/>
      </rPr>
      <t>L</t>
    </r>
    <r>
      <rPr>
        <vertAlign val="subscript"/>
        <sz val="10"/>
        <rFont val="宋体"/>
        <family val="3"/>
        <charset val="134"/>
      </rPr>
      <t>L</t>
    </r>
    <r>
      <rPr>
        <sz val="10"/>
        <rFont val="宋体"/>
        <family val="3"/>
        <charset val="134"/>
      </rPr>
      <t>≥</t>
    </r>
  </si>
  <si>
    <r>
      <rPr>
        <sz val="10"/>
        <rFont val="宋体"/>
        <family val="3"/>
        <charset val="134"/>
      </rPr>
      <t>L(ε+ε</t>
    </r>
    <r>
      <rPr>
        <vertAlign val="subscript"/>
        <sz val="10"/>
        <rFont val="宋体"/>
        <family val="3"/>
        <charset val="134"/>
      </rPr>
      <t>1</t>
    </r>
    <r>
      <rPr>
        <sz val="10"/>
        <rFont val="宋体"/>
        <family val="3"/>
        <charset val="134"/>
      </rPr>
      <t>)+ln</t>
    </r>
  </si>
  <si>
    <t>ε</t>
  </si>
  <si>
    <r>
      <rPr>
        <sz val="10"/>
        <rFont val="宋体"/>
        <family val="3"/>
        <charset val="134"/>
      </rPr>
      <t>ε</t>
    </r>
    <r>
      <rPr>
        <vertAlign val="subscript"/>
        <sz val="10"/>
        <rFont val="宋体"/>
        <family val="3"/>
        <charset val="134"/>
      </rPr>
      <t>1</t>
    </r>
  </si>
  <si>
    <t>ln</t>
  </si>
  <si>
    <t>1个接头长度+1m</t>
  </si>
  <si>
    <t>11. 头部传动滚筒合力</t>
  </si>
  <si>
    <r>
      <rPr>
        <sz val="10"/>
        <rFont val="宋体"/>
        <family val="3"/>
        <charset val="134"/>
      </rPr>
      <t>第二传动滚筒F</t>
    </r>
    <r>
      <rPr>
        <vertAlign val="subscript"/>
        <sz val="10"/>
        <rFont val="宋体"/>
        <family val="3"/>
        <charset val="134"/>
      </rPr>
      <t>t2</t>
    </r>
    <r>
      <rPr>
        <sz val="10"/>
        <rFont val="宋体"/>
        <family val="3"/>
        <charset val="134"/>
      </rPr>
      <t>=</t>
    </r>
  </si>
  <si>
    <r>
      <rPr>
        <sz val="10"/>
        <rFont val="宋体"/>
        <family val="3"/>
        <charset val="134"/>
      </rPr>
      <t>S</t>
    </r>
    <r>
      <rPr>
        <vertAlign val="subscript"/>
        <sz val="10"/>
        <rFont val="宋体"/>
        <family val="3"/>
        <charset val="134"/>
      </rPr>
      <t>2</t>
    </r>
    <r>
      <rPr>
        <sz val="10"/>
        <rFont val="宋体"/>
        <family val="3"/>
        <charset val="134"/>
      </rPr>
      <t>'+S</t>
    </r>
    <r>
      <rPr>
        <vertAlign val="subscript"/>
        <sz val="10"/>
        <rFont val="宋体"/>
        <family val="3"/>
        <charset val="134"/>
      </rPr>
      <t xml:space="preserve">2     </t>
    </r>
    <r>
      <rPr>
        <sz val="10"/>
        <rFont val="宋体"/>
        <family val="3"/>
        <charset val="134"/>
      </rPr>
      <t>=</t>
    </r>
  </si>
  <si>
    <r>
      <rPr>
        <sz val="10"/>
        <rFont val="宋体"/>
        <family val="3"/>
        <charset val="134"/>
      </rPr>
      <t>F</t>
    </r>
    <r>
      <rPr>
        <vertAlign val="subscript"/>
        <sz val="10"/>
        <rFont val="宋体"/>
        <family val="3"/>
        <charset val="134"/>
      </rPr>
      <t>t2</t>
    </r>
    <r>
      <rPr>
        <sz val="10"/>
        <rFont val="宋体"/>
        <family val="3"/>
        <charset val="134"/>
      </rPr>
      <t>=</t>
    </r>
  </si>
  <si>
    <r>
      <rPr>
        <sz val="10"/>
        <rFont val="宋体"/>
        <family val="3"/>
        <charset val="134"/>
      </rPr>
      <t>第一传动滚筒F</t>
    </r>
    <r>
      <rPr>
        <vertAlign val="subscript"/>
        <sz val="10"/>
        <rFont val="宋体"/>
        <family val="3"/>
        <charset val="134"/>
      </rPr>
      <t>t1</t>
    </r>
    <r>
      <rPr>
        <sz val="10"/>
        <rFont val="宋体"/>
        <family val="3"/>
        <charset val="134"/>
      </rPr>
      <t>=</t>
    </r>
  </si>
  <si>
    <r>
      <rPr>
        <sz val="10"/>
        <rFont val="宋体"/>
        <family val="3"/>
        <charset val="134"/>
      </rPr>
      <t>S</t>
    </r>
    <r>
      <rPr>
        <vertAlign val="subscript"/>
        <sz val="10"/>
        <rFont val="宋体"/>
        <family val="3"/>
        <charset val="134"/>
      </rPr>
      <t>1</t>
    </r>
    <r>
      <rPr>
        <sz val="10"/>
        <rFont val="宋体"/>
        <family val="3"/>
        <charset val="134"/>
      </rPr>
      <t>+S</t>
    </r>
    <r>
      <rPr>
        <vertAlign val="subscript"/>
        <sz val="10"/>
        <rFont val="宋体"/>
        <family val="3"/>
        <charset val="134"/>
      </rPr>
      <t>1</t>
    </r>
    <r>
      <rPr>
        <sz val="10"/>
        <rFont val="宋体"/>
        <family val="3"/>
        <charset val="134"/>
      </rPr>
      <t>’</t>
    </r>
    <r>
      <rPr>
        <vertAlign val="subscript"/>
        <sz val="10"/>
        <rFont val="宋体"/>
        <family val="3"/>
        <charset val="134"/>
      </rPr>
      <t xml:space="preserve">    </t>
    </r>
    <r>
      <rPr>
        <sz val="10"/>
        <rFont val="宋体"/>
        <family val="3"/>
        <charset val="134"/>
      </rPr>
      <t>=</t>
    </r>
  </si>
  <si>
    <r>
      <rPr>
        <sz val="10"/>
        <rFont val="宋体"/>
        <family val="3"/>
        <charset val="134"/>
      </rPr>
      <t>S</t>
    </r>
    <r>
      <rPr>
        <vertAlign val="subscript"/>
        <sz val="10"/>
        <rFont val="宋体"/>
        <family val="3"/>
        <charset val="134"/>
      </rPr>
      <t>2</t>
    </r>
    <r>
      <rPr>
        <sz val="10"/>
        <rFont val="宋体"/>
        <family val="3"/>
        <charset val="134"/>
      </rPr>
      <t>=</t>
    </r>
  </si>
  <si>
    <r>
      <rPr>
        <sz val="10"/>
        <rFont val="宋体"/>
        <family val="3"/>
        <charset val="134"/>
      </rPr>
      <t>F</t>
    </r>
    <r>
      <rPr>
        <vertAlign val="subscript"/>
        <sz val="10"/>
        <rFont val="宋体"/>
        <family val="3"/>
        <charset val="134"/>
      </rPr>
      <t>t1</t>
    </r>
    <r>
      <rPr>
        <sz val="10"/>
        <rFont val="宋体"/>
        <family val="3"/>
        <charset val="134"/>
      </rPr>
      <t>=</t>
    </r>
  </si>
  <si>
    <t>12. 尾部改向滚筒合力</t>
  </si>
  <si>
    <r>
      <rPr>
        <sz val="10"/>
        <rFont val="宋体"/>
        <family val="3"/>
        <charset val="134"/>
      </rPr>
      <t>F</t>
    </r>
    <r>
      <rPr>
        <vertAlign val="subscript"/>
        <sz val="10"/>
        <rFont val="宋体"/>
        <family val="3"/>
        <charset val="134"/>
      </rPr>
      <t>w</t>
    </r>
    <r>
      <rPr>
        <sz val="10"/>
        <rFont val="宋体"/>
        <family val="3"/>
        <charset val="134"/>
      </rPr>
      <t>=</t>
    </r>
  </si>
  <si>
    <r>
      <rPr>
        <sz val="10"/>
        <rFont val="宋体"/>
        <family val="3"/>
        <charset val="134"/>
      </rPr>
      <t>S</t>
    </r>
    <r>
      <rPr>
        <vertAlign val="subscript"/>
        <sz val="10"/>
        <rFont val="宋体"/>
        <family val="3"/>
        <charset val="134"/>
      </rPr>
      <t>3</t>
    </r>
    <r>
      <rPr>
        <sz val="10"/>
        <rFont val="宋体"/>
        <family val="3"/>
        <charset val="134"/>
      </rPr>
      <t>+S</t>
    </r>
    <r>
      <rPr>
        <vertAlign val="subscript"/>
        <sz val="10"/>
        <rFont val="宋体"/>
        <family val="3"/>
        <charset val="134"/>
      </rPr>
      <t xml:space="preserve">4    </t>
    </r>
    <r>
      <rPr>
        <sz val="10"/>
        <rFont val="宋体"/>
        <family val="3"/>
        <charset val="134"/>
      </rPr>
      <t>=</t>
    </r>
  </si>
  <si>
    <t>13.头部传动滚筒</t>
  </si>
  <si>
    <t>（1）头部滚筒直径校核</t>
  </si>
  <si>
    <t>[p]=</t>
  </si>
  <si>
    <t>2Sy/B[p]</t>
  </si>
  <si>
    <t>Sy=</t>
  </si>
  <si>
    <t xml:space="preserve">m      </t>
  </si>
  <si>
    <t>取头部传动滚筒直径D=</t>
  </si>
  <si>
    <t>是合适的</t>
  </si>
  <si>
    <t>（2）头部传动滚筒最大转距</t>
  </si>
  <si>
    <t>Mn=</t>
  </si>
  <si>
    <r>
      <rPr>
        <sz val="10"/>
        <rFont val="宋体"/>
        <family val="3"/>
        <charset val="134"/>
      </rPr>
      <t>K</t>
    </r>
    <r>
      <rPr>
        <vertAlign val="subscript"/>
        <sz val="10"/>
        <rFont val="宋体"/>
        <family val="3"/>
        <charset val="134"/>
      </rPr>
      <t>A</t>
    </r>
    <r>
      <rPr>
        <sz val="10"/>
        <rFont val="宋体"/>
        <family val="3"/>
        <charset val="134"/>
      </rPr>
      <t>F</t>
    </r>
    <r>
      <rPr>
        <vertAlign val="subscript"/>
        <sz val="10"/>
        <rFont val="宋体"/>
        <family val="3"/>
        <charset val="134"/>
      </rPr>
      <t>u</t>
    </r>
    <r>
      <rPr>
        <sz val="10"/>
        <rFont val="宋体"/>
        <family val="3"/>
        <charset val="134"/>
      </rPr>
      <t>dr/2*2</t>
    </r>
  </si>
  <si>
    <t xml:space="preserve"> dr--驱动滚筒半径；</t>
  </si>
  <si>
    <t>KN.m</t>
  </si>
  <si>
    <t>dr=</t>
  </si>
  <si>
    <t>七、安全验算</t>
  </si>
  <si>
    <t xml:space="preserve"> 胶带强度校核</t>
  </si>
  <si>
    <t xml:space="preserve">   胶带接头采用硫化连接，其强度取带强的85%。</t>
  </si>
  <si>
    <t>n=</t>
  </si>
  <si>
    <t xml:space="preserve">   胶带安全系数：</t>
  </si>
  <si>
    <t>m=</t>
  </si>
  <si>
    <r>
      <rPr>
        <sz val="10"/>
        <rFont val="宋体"/>
        <family val="3"/>
        <charset val="134"/>
      </rPr>
      <t>nσB/S</t>
    </r>
    <r>
      <rPr>
        <vertAlign val="subscript"/>
        <sz val="10"/>
        <rFont val="宋体"/>
        <family val="3"/>
        <charset val="134"/>
      </rPr>
      <t>1</t>
    </r>
  </si>
  <si>
    <t>σ</t>
  </si>
  <si>
    <r>
      <rPr>
        <sz val="10"/>
        <rFont val="宋体"/>
        <family val="3"/>
        <charset val="134"/>
      </rPr>
      <t>S</t>
    </r>
    <r>
      <rPr>
        <vertAlign val="subscript"/>
        <sz val="10"/>
        <rFont val="宋体"/>
        <family val="3"/>
        <charset val="134"/>
      </rPr>
      <t>1</t>
    </r>
  </si>
  <si>
    <t>n</t>
  </si>
  <si>
    <t>正应力计算</t>
  </si>
  <si>
    <t>（或表面压应力）</t>
  </si>
  <si>
    <t>·</t>
  </si>
  <si>
    <t>参数</t>
  </si>
  <si>
    <t>说明</t>
  </si>
  <si>
    <t>附注</t>
  </si>
  <si>
    <r>
      <rPr>
        <sz val="12"/>
        <color theme="1"/>
        <rFont val="宋体"/>
        <family val="3"/>
        <charset val="134"/>
      </rPr>
      <t>正应力（</t>
    </r>
    <r>
      <rPr>
        <sz val="12"/>
        <color theme="1"/>
        <rFont val="Tahoma"/>
        <family val="2"/>
      </rPr>
      <t>Mpa</t>
    </r>
    <r>
      <rPr>
        <sz val="12"/>
        <color theme="1"/>
        <rFont val="宋体"/>
        <family val="3"/>
        <charset val="134"/>
      </rPr>
      <t>）</t>
    </r>
  </si>
  <si>
    <t>拉伸或压缩载荷（N）</t>
  </si>
  <si>
    <t>截面积(mm^2)</t>
  </si>
  <si>
    <t>许用压（拉）应力</t>
  </si>
  <si>
    <r>
      <rPr>
        <sz val="12"/>
        <color theme="1"/>
        <rFont val="宋体"/>
        <family val="3"/>
        <charset val="134"/>
      </rPr>
      <t>抗拉强度</t>
    </r>
    <r>
      <rPr>
        <sz val="12"/>
        <color theme="1"/>
        <rFont val="Tahoma"/>
        <family val="2"/>
      </rPr>
      <t>/</t>
    </r>
    <r>
      <rPr>
        <sz val="12"/>
        <color theme="1"/>
        <rFont val="宋体"/>
        <family val="3"/>
        <charset val="134"/>
      </rPr>
      <t>安全系数</t>
    </r>
  </si>
  <si>
    <t>强度条件</t>
  </si>
  <si>
    <t>说明：</t>
  </si>
  <si>
    <t>绿色单元格是原始参数需填入，红色单元格是结果</t>
  </si>
  <si>
    <t>剪切应力计算</t>
  </si>
  <si>
    <r>
      <rPr>
        <sz val="12"/>
        <color theme="1"/>
        <rFont val="宋体"/>
        <family val="3"/>
        <charset val="134"/>
      </rPr>
      <t>剪切应力（</t>
    </r>
    <r>
      <rPr>
        <sz val="12"/>
        <color theme="1"/>
        <rFont val="Tahoma"/>
        <family val="2"/>
      </rPr>
      <t>Mpa</t>
    </r>
    <r>
      <rPr>
        <sz val="12"/>
        <color theme="1"/>
        <rFont val="宋体"/>
        <family val="3"/>
        <charset val="134"/>
      </rPr>
      <t>）</t>
    </r>
  </si>
  <si>
    <t>剪切力载荷（N）</t>
  </si>
  <si>
    <r>
      <rPr>
        <sz val="12"/>
        <color theme="1"/>
        <rFont val="宋体"/>
        <family val="3"/>
        <charset val="134"/>
      </rPr>
      <t>屈服强度</t>
    </r>
    <r>
      <rPr>
        <sz val="12"/>
        <color theme="1"/>
        <rFont val="Tahoma"/>
        <family val="2"/>
      </rPr>
      <t>/</t>
    </r>
    <r>
      <rPr>
        <sz val="12"/>
        <color theme="1"/>
        <rFont val="宋体"/>
        <family val="3"/>
        <charset val="134"/>
      </rPr>
      <t>安全系数</t>
    </r>
  </si>
  <si>
    <t>冲击载荷计算</t>
  </si>
  <si>
    <t>冲击载荷产生的应力（MPa）</t>
  </si>
  <si>
    <t>冲击力（N）</t>
  </si>
  <si>
    <t>作用面积（mm^2）</t>
  </si>
  <si>
    <t>E</t>
  </si>
  <si>
    <r>
      <rPr>
        <sz val="12"/>
        <color theme="1"/>
        <rFont val="宋体"/>
        <family val="3"/>
        <charset val="134"/>
      </rPr>
      <t>弹性模量（</t>
    </r>
    <r>
      <rPr>
        <sz val="12"/>
        <color theme="1"/>
        <rFont val="Tahoma"/>
        <family val="2"/>
      </rPr>
      <t>Mpa</t>
    </r>
    <r>
      <rPr>
        <sz val="12"/>
        <color theme="1"/>
        <rFont val="宋体"/>
        <family val="3"/>
        <charset val="134"/>
      </rPr>
      <t>）</t>
    </r>
  </si>
  <si>
    <t>常数</t>
  </si>
  <si>
    <t>冲击距离（mm）</t>
  </si>
  <si>
    <t>物体长度(mm)</t>
  </si>
  <si>
    <t>轴扭转强度计算</t>
  </si>
  <si>
    <r>
      <rPr>
        <b/>
        <sz val="12"/>
        <color theme="1"/>
        <rFont val="Tahoma"/>
        <family val="2"/>
      </rPr>
      <t>•</t>
    </r>
    <r>
      <rPr>
        <b/>
        <sz val="12"/>
        <color theme="1"/>
        <rFont val="宋体"/>
        <family val="3"/>
        <charset val="134"/>
      </rPr>
      <t>圆截面扭转截面系数</t>
    </r>
  </si>
  <si>
    <t>实心圆截面</t>
  </si>
  <si>
    <t>空心圆截面</t>
  </si>
  <si>
    <t>扭转切应力（MPa）</t>
  </si>
  <si>
    <t>T</t>
  </si>
  <si>
    <t>施加在轴上的最大扭矩（N*mm）</t>
  </si>
  <si>
    <r>
      <rPr>
        <sz val="12"/>
        <color rgb="FF000000"/>
        <rFont val="Times New Roman"/>
        <family val="1"/>
      </rPr>
      <t>W</t>
    </r>
    <r>
      <rPr>
        <vertAlign val="subscript"/>
        <sz val="12"/>
        <color rgb="FF000000"/>
        <rFont val="Times New Roman"/>
        <family val="1"/>
      </rPr>
      <t>p</t>
    </r>
  </si>
  <si>
    <t>扭转截面系数(mm^3)</t>
  </si>
  <si>
    <t>D</t>
  </si>
  <si>
    <t>外径（mm）</t>
  </si>
  <si>
    <t>内径（mm）</t>
  </si>
  <si>
    <t>弯曲强度计算</t>
  </si>
  <si>
    <t>圆形截面</t>
  </si>
  <si>
    <t>弯曲应力（MPa）</t>
  </si>
  <si>
    <t>矩形截面</t>
  </si>
  <si>
    <t>弯矩（N*mm）</t>
  </si>
  <si>
    <r>
      <rPr>
        <sz val="12"/>
        <color rgb="FF000000"/>
        <rFont val="Times New Roman"/>
        <family val="1"/>
      </rPr>
      <t>W</t>
    </r>
    <r>
      <rPr>
        <vertAlign val="subscript"/>
        <sz val="12"/>
        <color rgb="FF000000"/>
        <rFont val="Times New Roman"/>
        <family val="1"/>
      </rPr>
      <t>Z</t>
    </r>
  </si>
  <si>
    <t>抗弯截面系数(mm^3)</t>
  </si>
  <si>
    <t>b</t>
  </si>
  <si>
    <t>宽度（mm）</t>
  </si>
  <si>
    <t>长度（mm）</t>
  </si>
  <si>
    <t>许用弯曲应力</t>
  </si>
  <si>
    <t>国内外常用铝及铝合金牌号对照表</t>
  </si>
  <si>
    <t>类</t>
  </si>
  <si>
    <t>中国</t>
  </si>
  <si>
    <t>美国</t>
  </si>
  <si>
    <t>英国</t>
  </si>
  <si>
    <t>日本</t>
  </si>
  <si>
    <t>法国</t>
  </si>
  <si>
    <t>德国</t>
  </si>
  <si>
    <t>前苏联</t>
  </si>
  <si>
    <t>别</t>
  </si>
  <si>
    <t>GB</t>
  </si>
  <si>
    <t>ASTM</t>
  </si>
  <si>
    <t>BS</t>
  </si>
  <si>
    <t>JIS</t>
  </si>
  <si>
    <t>NF</t>
  </si>
  <si>
    <t>DIN</t>
  </si>
  <si>
    <t>ГОСТ</t>
  </si>
  <si>
    <t>工</t>
  </si>
  <si>
    <t>1A99</t>
  </si>
  <si>
    <t>1199</t>
  </si>
  <si>
    <t>A199.99R</t>
  </si>
  <si>
    <t>A99</t>
  </si>
  <si>
    <t>业</t>
  </si>
  <si>
    <t>1A97</t>
  </si>
  <si>
    <t>A199.98R</t>
  </si>
  <si>
    <t>A97</t>
  </si>
  <si>
    <t>纯</t>
  </si>
  <si>
    <t>1A95</t>
  </si>
  <si>
    <t>A95</t>
  </si>
  <si>
    <t>1A80</t>
  </si>
  <si>
    <t>1080(1A)</t>
  </si>
  <si>
    <t>1080</t>
  </si>
  <si>
    <t>1080A</t>
  </si>
  <si>
    <t>A199.90</t>
  </si>
  <si>
    <t>A8</t>
  </si>
  <si>
    <t>1A50</t>
  </si>
  <si>
    <t>1050</t>
  </si>
  <si>
    <t>1050(1B)</t>
  </si>
  <si>
    <t>1050A</t>
  </si>
  <si>
    <t>A199.50</t>
  </si>
  <si>
    <t>A5</t>
  </si>
  <si>
    <t>防</t>
  </si>
  <si>
    <t>5A02</t>
  </si>
  <si>
    <t>5052</t>
  </si>
  <si>
    <t>NS4</t>
  </si>
  <si>
    <t>A1Mg2.5</t>
  </si>
  <si>
    <t>Amg</t>
  </si>
  <si>
    <r>
      <rPr>
        <sz val="10"/>
        <rFont val="Times New Roman"/>
        <family val="1"/>
      </rPr>
      <t xml:space="preserve"> </t>
    </r>
    <r>
      <rPr>
        <sz val="10"/>
        <rFont val="宋体"/>
        <family val="3"/>
        <charset val="134"/>
      </rPr>
      <t>锈</t>
    </r>
  </si>
  <si>
    <t>5A03</t>
  </si>
  <si>
    <t>NS5</t>
  </si>
  <si>
    <t>AMg3</t>
  </si>
  <si>
    <t>5A05</t>
  </si>
  <si>
    <t>5056</t>
  </si>
  <si>
    <t>NB6</t>
  </si>
  <si>
    <t>A1Mg5</t>
  </si>
  <si>
    <t>AMg5V</t>
  </si>
  <si>
    <t>5A30</t>
  </si>
  <si>
    <t>5456</t>
  </si>
  <si>
    <t>NG61</t>
  </si>
  <si>
    <t>5556</t>
  </si>
  <si>
    <t>5957</t>
  </si>
  <si>
    <t>2A01</t>
  </si>
  <si>
    <t>2036</t>
  </si>
  <si>
    <t>2117</t>
  </si>
  <si>
    <t>AlCu2.5Mg0.5</t>
  </si>
  <si>
    <t>D18</t>
  </si>
  <si>
    <r>
      <rPr>
        <sz val="10"/>
        <rFont val="宋体"/>
        <family val="3"/>
        <charset val="134"/>
      </rPr>
      <t>硬</t>
    </r>
    <r>
      <rPr>
        <sz val="10"/>
        <rFont val="Times New Roman"/>
        <family val="1"/>
      </rPr>
      <t xml:space="preserve"> </t>
    </r>
  </si>
  <si>
    <t>2A11</t>
  </si>
  <si>
    <t>HF15</t>
  </si>
  <si>
    <t>2017</t>
  </si>
  <si>
    <t>2017S</t>
  </si>
  <si>
    <t>AlCuMg1</t>
  </si>
  <si>
    <t xml:space="preserve">D1 </t>
  </si>
  <si>
    <t>2A12</t>
  </si>
  <si>
    <t>2124</t>
  </si>
  <si>
    <t>2024</t>
  </si>
  <si>
    <t>AlCuMg2</t>
  </si>
  <si>
    <t>D16AVTV</t>
  </si>
  <si>
    <t>2B16</t>
  </si>
  <si>
    <t>2319</t>
  </si>
  <si>
    <t>锻</t>
  </si>
  <si>
    <t>2A80</t>
  </si>
  <si>
    <t>2N01</t>
  </si>
  <si>
    <t>AK4</t>
  </si>
  <si>
    <t>2A90</t>
  </si>
  <si>
    <t>2218</t>
  </si>
  <si>
    <t>2018</t>
  </si>
  <si>
    <t>AK2</t>
  </si>
  <si>
    <t>2A14</t>
  </si>
  <si>
    <t>2014</t>
  </si>
  <si>
    <t>AlCuSiMn</t>
  </si>
  <si>
    <t>AK8</t>
  </si>
  <si>
    <t>7A09</t>
  </si>
  <si>
    <t>7175</t>
  </si>
  <si>
    <t>7075</t>
  </si>
  <si>
    <t>AlZnMgCu1.5</t>
  </si>
  <si>
    <t>V95P</t>
  </si>
  <si>
    <t>ZAlSi7Mn</t>
  </si>
  <si>
    <t>356.2</t>
  </si>
  <si>
    <t>LM25</t>
  </si>
  <si>
    <t>AC4C</t>
  </si>
  <si>
    <t>G-AlSi7Mg</t>
  </si>
  <si>
    <t>铸</t>
  </si>
  <si>
    <t>ZAlSi12</t>
  </si>
  <si>
    <t>413.2</t>
  </si>
  <si>
    <t>LM6</t>
  </si>
  <si>
    <t>AC3A</t>
  </si>
  <si>
    <t>A-S12-Y4</t>
  </si>
  <si>
    <t>G-Al12</t>
  </si>
  <si>
    <t>AL2</t>
  </si>
  <si>
    <t>造</t>
  </si>
  <si>
    <t>ZAlSi5Cu1Mg</t>
  </si>
  <si>
    <t>355.2</t>
  </si>
  <si>
    <t>AL5</t>
  </si>
  <si>
    <t>ZAlSi2Cu2Mg1</t>
  </si>
  <si>
    <t>413.0</t>
  </si>
  <si>
    <t>AC8A</t>
  </si>
  <si>
    <t>G-Al12(Cu)</t>
  </si>
  <si>
    <t>合</t>
  </si>
  <si>
    <t>ZAlCu5Mn</t>
  </si>
  <si>
    <t>AL19</t>
  </si>
  <si>
    <t>金</t>
  </si>
  <si>
    <t>ZAlCu5MnCdVA</t>
  </si>
  <si>
    <t>201.0</t>
  </si>
  <si>
    <t>ZAlMg10</t>
  </si>
  <si>
    <t>520.2</t>
  </si>
  <si>
    <t>LM10</t>
  </si>
  <si>
    <t>AG11</t>
  </si>
  <si>
    <t>G-AlMg10</t>
  </si>
  <si>
    <t>AL8</t>
  </si>
  <si>
    <t>ZAlMg5Si</t>
  </si>
  <si>
    <t>G-AlMg5Si</t>
  </si>
  <si>
    <t>AL13</t>
  </si>
  <si>
    <t>By:Jeffrey Lee Mar.16,2000</t>
  </si>
  <si>
    <t>由于多少会因使用条件而异，因此请最多当作是大致标准</t>
  </si>
  <si>
    <t>输入数值</t>
  </si>
  <si>
    <t>注意事项</t>
  </si>
  <si>
    <t>SETP-1</t>
  </si>
  <si>
    <t>确认使用条件</t>
  </si>
  <si>
    <t>①</t>
  </si>
  <si>
    <t>负荷质量M</t>
  </si>
  <si>
    <r>
      <rPr>
        <sz val="11"/>
        <color indexed="8"/>
        <rFont val="宋体"/>
        <family val="3"/>
        <charset val="134"/>
      </rPr>
      <t>k</t>
    </r>
    <r>
      <rPr>
        <sz val="11"/>
        <color indexed="8"/>
        <rFont val="宋体"/>
        <family val="3"/>
        <charset val="134"/>
      </rPr>
      <t>g</t>
    </r>
  </si>
  <si>
    <t>②</t>
  </si>
  <si>
    <t>行程St</t>
  </si>
  <si>
    <r>
      <rPr>
        <sz val="11"/>
        <color indexed="8"/>
        <rFont val="宋体"/>
        <family val="3"/>
        <charset val="134"/>
      </rPr>
      <t>m</t>
    </r>
    <r>
      <rPr>
        <sz val="11"/>
        <color indexed="8"/>
        <rFont val="宋体"/>
        <family val="3"/>
        <charset val="134"/>
      </rPr>
      <t>m</t>
    </r>
  </si>
  <si>
    <t>③</t>
  </si>
  <si>
    <t>移动时间T</t>
  </si>
  <si>
    <t>s</t>
  </si>
  <si>
    <t>④</t>
  </si>
  <si>
    <t>气缸平均速度V0</t>
  </si>
  <si>
    <r>
      <rPr>
        <sz val="11"/>
        <color indexed="8"/>
        <rFont val="宋体"/>
        <family val="3"/>
        <charset val="134"/>
      </rPr>
      <t>m</t>
    </r>
    <r>
      <rPr>
        <sz val="11"/>
        <color indexed="8"/>
        <rFont val="宋体"/>
        <family val="3"/>
        <charset val="134"/>
      </rPr>
      <t>m/s</t>
    </r>
  </si>
  <si>
    <t>V0=St/(T×1000)</t>
  </si>
  <si>
    <t>⑤</t>
  </si>
  <si>
    <t>使用压力P</t>
  </si>
  <si>
    <t>⑥</t>
  </si>
  <si>
    <r>
      <rPr>
        <sz val="11"/>
        <color indexed="8"/>
        <rFont val="宋体"/>
        <family val="3"/>
        <charset val="134"/>
      </rPr>
      <t>安装方法</t>
    </r>
    <r>
      <rPr>
        <sz val="11"/>
        <color indexed="8"/>
        <rFont val="MS Gothic"/>
        <family val="3"/>
        <charset val="128"/>
      </rPr>
      <t>・</t>
    </r>
    <r>
      <rPr>
        <sz val="11"/>
        <color indexed="8"/>
        <rFont val="宋体"/>
        <family val="3"/>
        <charset val="134"/>
      </rPr>
      <t>方向</t>
    </r>
  </si>
  <si>
    <t>滑动摩擦</t>
  </si>
  <si>
    <t>摩擦系数μ</t>
  </si>
  <si>
    <t>SETP-2</t>
  </si>
  <si>
    <t>选择大致的气缸尺寸</t>
  </si>
  <si>
    <t>请根据活塞速度设定负荷率</t>
  </si>
  <si>
    <r>
      <rPr>
        <sz val="11"/>
        <color indexed="8"/>
        <rFont val="宋体"/>
        <family val="3"/>
        <charset val="134"/>
      </rPr>
      <t>1</t>
    </r>
    <r>
      <rPr>
        <sz val="11"/>
        <color indexed="8"/>
        <rFont val="宋体"/>
        <family val="3"/>
        <charset val="134"/>
      </rPr>
      <t>)</t>
    </r>
  </si>
  <si>
    <t>对于阻性负载，如气缸用作气动夹具，负载不产生惯性力，一般选取负载率为0.8；</t>
  </si>
  <si>
    <t>2)</t>
  </si>
  <si>
    <t>对于惯性负载，如气缸用来推送工件，负载将产生惯性力，负载率β的取值如下:</t>
  </si>
  <si>
    <r>
      <rPr>
        <sz val="11"/>
        <color indexed="8"/>
        <rFont val="宋体"/>
        <family val="3"/>
        <charset val="134"/>
      </rPr>
      <t>气缸速度&lt;</t>
    </r>
    <r>
      <rPr>
        <sz val="11"/>
        <color indexed="8"/>
        <rFont val="宋体"/>
        <family val="3"/>
        <charset val="134"/>
      </rPr>
      <t>100mm/s时，β≤65%</t>
    </r>
  </si>
  <si>
    <t>气缸速度100-500mm/s时，β≤50%</t>
  </si>
  <si>
    <t>气缸速度&gt;500mm/s时，β≤30%</t>
  </si>
  <si>
    <t>请计算所需气缸推力</t>
  </si>
  <si>
    <t>其中常量1.25是安全系数</t>
  </si>
  <si>
    <r>
      <rPr>
        <sz val="11"/>
        <color indexed="8"/>
        <rFont val="宋体"/>
        <family val="3"/>
        <charset val="134"/>
      </rPr>
      <t>请求出缸径(无杆腔)</t>
    </r>
    <r>
      <rPr>
        <sz val="11"/>
        <color indexed="8"/>
        <rFont val="宋体"/>
        <family val="3"/>
        <charset val="134"/>
      </rPr>
      <t>。</t>
    </r>
  </si>
  <si>
    <t>选择气缸</t>
  </si>
  <si>
    <t>缸径</t>
  </si>
  <si>
    <t>推力F1(N)</t>
  </si>
  <si>
    <t>拉力F2(N)</t>
  </si>
  <si>
    <t>注意：通常普通气缸的行程都会有+/-1mm 的误差，所以在需要精确定位的</t>
  </si>
  <si>
    <t>时候，需要选择气缸行程大于需要行程而在定位处加设限位装置。</t>
  </si>
  <si>
    <t>无杆侧</t>
  </si>
  <si>
    <t>有杆侧</t>
  </si>
  <si>
    <t>气压(MPa)</t>
  </si>
  <si>
    <t>缸径(mm)</t>
  </si>
  <si>
    <t>效率(η)</t>
  </si>
  <si>
    <t>推力(N)</t>
  </si>
  <si>
    <t>推力(Kg)</t>
  </si>
  <si>
    <t>真空用元件的选定</t>
  </si>
  <si>
    <t>1、吸盘的选定</t>
  </si>
  <si>
    <t>吸盘的理论吸吊力是吸盘内的真空度p与吸盘的有效吸着面积A的乘积。</t>
  </si>
  <si>
    <t>使用n个同一直径的吸盘吸吊物体，其吸盘直径D可按下式选定。</t>
  </si>
  <si>
    <t>标准吸盘直径mm</t>
  </si>
  <si>
    <t>式中:</t>
  </si>
  <si>
    <t>D--吸盘直径，mm</t>
  </si>
  <si>
    <t>W--吸吊物重力，N</t>
  </si>
  <si>
    <t>t--安全系数，水平吊，t≥4；垂直吊，t≥8。</t>
  </si>
  <si>
    <t>p--吸盘内的真空度,MP。</t>
  </si>
  <si>
    <t>物体质量M</t>
  </si>
  <si>
    <t>kg    =</t>
  </si>
  <si>
    <t>安全系统t</t>
  </si>
  <si>
    <t>吸盘个数n</t>
  </si>
  <si>
    <t>真空度p</t>
  </si>
  <si>
    <t>（预设）</t>
  </si>
  <si>
    <t>选择大致的吸盘尺寸</t>
  </si>
  <si>
    <t>请求出吸盘直径D</t>
  </si>
  <si>
    <t>根据样本选择吸盘直径D</t>
  </si>
  <si>
    <t>SETP-3</t>
  </si>
  <si>
    <t>吸吊时所需真空度</t>
  </si>
  <si>
    <t>2、真空发生器及真空切换阀的选定</t>
  </si>
  <si>
    <t>求吸着响应时间T</t>
  </si>
  <si>
    <t>吸着响应时间是指从供给阀（或真空切换阀）换向开始，到吸盘内达到吸着工件所必须的真空</t>
  </si>
  <si>
    <t>度为止所需的时间。</t>
  </si>
  <si>
    <t>供给阀(或真空切换阀)换向后，吸盘内的真空度跟达到时间的关系如下图所示</t>
  </si>
  <si>
    <t>按照产品样本，预选真空发生器能提供的最大真空度为:</t>
  </si>
  <si>
    <t>Pmax=</t>
  </si>
  <si>
    <t>Kpa=</t>
  </si>
  <si>
    <t>p/pmax=</t>
  </si>
  <si>
    <t>(根据上图，查出相应时间)</t>
  </si>
  <si>
    <t>按上图，查得</t>
  </si>
  <si>
    <t>T=</t>
  </si>
  <si>
    <t>T1=1s</t>
  </si>
  <si>
    <t>(一般要求响应时间T≤1s)</t>
  </si>
  <si>
    <t>求真空发生器(或真空切换阀)的平均吸入流量</t>
  </si>
  <si>
    <t>设吸盘内的压力从大气压降至真空度达63%pv的到达时间为T1，降至真空度达95%pv的到达时间</t>
  </si>
  <si>
    <t>为T2,有</t>
  </si>
  <si>
    <t>T1=60V/Q</t>
  </si>
  <si>
    <t>T2=3T1</t>
  </si>
  <si>
    <t>T1(或T2)--吸着响应时间，s；</t>
  </si>
  <si>
    <t>V--真空发生器(或真空切换阀)至吸盘的配管容积，L；</t>
  </si>
  <si>
    <t>气管</t>
  </si>
  <si>
    <t>d--配管的内经，mm</t>
  </si>
  <si>
    <t>l--配管的长得，m</t>
  </si>
  <si>
    <t>配管内经d</t>
  </si>
  <si>
    <t>配管长度l</t>
  </si>
  <si>
    <t>配管容积V</t>
  </si>
  <si>
    <t>平均吸入流量 Q</t>
  </si>
  <si>
    <t>L/min</t>
  </si>
  <si>
    <t>求真空发生器(或真空切换阀)的最大吸入流量</t>
  </si>
  <si>
    <t>最大吸入流量 Qmax</t>
  </si>
  <si>
    <t>可以选择真空发生器的指标是：</t>
  </si>
  <si>
    <t>最大真空度能达到</t>
  </si>
  <si>
    <t>最大吸入流量能达到</t>
  </si>
  <si>
    <t>SETP-4</t>
  </si>
  <si>
    <t>根据样本选择真空发生器</t>
  </si>
  <si>
    <r>
      <rPr>
        <sz val="11"/>
        <color indexed="8"/>
        <rFont val="TimesNewRomanPSMT"/>
        <family val="1"/>
      </rPr>
      <t xml:space="preserve">           </t>
    </r>
    <r>
      <rPr>
        <sz val="11"/>
        <color indexed="8"/>
        <rFont val="宋体"/>
        <family val="3"/>
        <charset val="134"/>
      </rPr>
      <t>真空发生器的最大吸入流量为</t>
    </r>
  </si>
  <si>
    <t xml:space="preserve">      </t>
  </si>
  <si>
    <t xml:space="preserve">       实际响应时间</t>
  </si>
  <si>
    <t>SETP-5</t>
  </si>
  <si>
    <t>校核</t>
  </si>
  <si>
    <t>根据右图，连接管的有效截面积为</t>
  </si>
  <si>
    <r>
      <rPr>
        <sz val="11"/>
        <color indexed="8"/>
        <rFont val="宋体"/>
        <family val="3"/>
        <charset val="134"/>
      </rPr>
      <t>mm</t>
    </r>
    <r>
      <rPr>
        <vertAlign val="superscript"/>
        <sz val="11"/>
        <color indexed="8"/>
        <rFont val="宋体"/>
        <family val="3"/>
        <charset val="134"/>
      </rPr>
      <t>2</t>
    </r>
  </si>
  <si>
    <t>通过配管的平均吸入流量为</t>
  </si>
  <si>
    <t>是否合格</t>
  </si>
  <si>
    <t>(合格绿色，不合格红色)</t>
  </si>
  <si>
    <t xml:space="preserve">最后对于其他附件的选择就比较容易了， 以下说明 3 条基本原则， 满足即可：  </t>
  </si>
  <si>
    <t>a.供给阀的有效面积 S 不得小于真空发生器喷嘴几何面积的４倍；</t>
  </si>
  <si>
    <t>b.真空发生器供气管内径不宜小于喷嘴直径的４倍；</t>
  </si>
  <si>
    <t>c.真空过滤器的吸入流量应比真空发生器最大流量大.</t>
  </si>
  <si>
    <t xml:space="preserve">              内齿轮传动计算及插齿刀验算 </t>
  </si>
  <si>
    <t>编号：</t>
  </si>
  <si>
    <t>8044*</t>
  </si>
  <si>
    <r>
      <rPr>
        <b/>
        <sz val="10"/>
        <color indexed="23"/>
        <rFont val="宋体"/>
        <family val="3"/>
        <charset val="134"/>
      </rPr>
      <t>说明：</t>
    </r>
    <r>
      <rPr>
        <sz val="10"/>
        <color indexed="23"/>
        <rFont val="宋体"/>
        <family val="3"/>
        <charset val="134"/>
      </rPr>
      <t>本程序适用于高变位、角变位和非变位直齿、斜齿内啮合渐开线圆柱齿轮传动的设计计算。公差数值是按照</t>
    </r>
  </si>
  <si>
    <r>
      <rPr>
        <sz val="10"/>
        <color indexed="23"/>
        <rFont val="Times New Roman"/>
        <family val="1"/>
      </rPr>
      <t xml:space="preserve">              </t>
    </r>
    <r>
      <rPr>
        <sz val="10"/>
        <color indexed="23"/>
        <rFont val="宋体"/>
        <family val="3"/>
        <charset val="134"/>
      </rPr>
      <t xml:space="preserve">法向模数 </t>
    </r>
    <r>
      <rPr>
        <sz val="10"/>
        <color indexed="23"/>
        <rFont val="Times New Roman"/>
        <family val="1"/>
      </rPr>
      <t xml:space="preserve">1 </t>
    </r>
    <r>
      <rPr>
        <sz val="10"/>
        <color indexed="23"/>
        <rFont val="宋体"/>
        <family val="3"/>
        <charset val="134"/>
      </rPr>
      <t>至</t>
    </r>
    <r>
      <rPr>
        <sz val="10"/>
        <color indexed="23"/>
        <rFont val="Times New Roman"/>
        <family val="1"/>
      </rPr>
      <t xml:space="preserve"> 10 </t>
    </r>
    <r>
      <rPr>
        <sz val="10"/>
        <color indexed="23"/>
        <rFont val="宋体"/>
        <family val="3"/>
        <charset val="134"/>
      </rPr>
      <t>毫米，分度圆直径</t>
    </r>
    <r>
      <rPr>
        <sz val="10"/>
        <color indexed="23"/>
        <rFont val="Times New Roman"/>
        <family val="1"/>
      </rPr>
      <t xml:space="preserve"> 800 </t>
    </r>
    <r>
      <rPr>
        <sz val="10"/>
        <color indexed="23"/>
        <rFont val="宋体"/>
        <family val="3"/>
        <charset val="134"/>
      </rPr>
      <t>毫米以下，精度等级 3、4、5、6、7、8 级设定的。可进行几何参</t>
    </r>
  </si>
  <si>
    <r>
      <rPr>
        <sz val="10"/>
        <color indexed="23"/>
        <rFont val="Times New Roman"/>
        <family val="1"/>
      </rPr>
      <t xml:space="preserve">              </t>
    </r>
    <r>
      <rPr>
        <sz val="10"/>
        <color indexed="23"/>
        <rFont val="宋体"/>
        <family val="3"/>
        <charset val="134"/>
      </rPr>
      <t>数计算、传动质量指标的验算。</t>
    </r>
  </si>
  <si>
    <r>
      <rPr>
        <b/>
        <sz val="10"/>
        <color indexed="23"/>
        <rFont val="宋体"/>
        <family val="3"/>
        <charset val="134"/>
      </rPr>
      <t>引用标准：</t>
    </r>
    <r>
      <rPr>
        <sz val="10"/>
        <color indexed="23"/>
        <rFont val="Times New Roman"/>
        <family val="1"/>
      </rPr>
      <t xml:space="preserve">GB 10095--88   </t>
    </r>
    <r>
      <rPr>
        <sz val="10"/>
        <color indexed="23"/>
        <rFont val="宋体"/>
        <family val="3"/>
        <charset val="134"/>
      </rPr>
      <t>渐开线圆柱齿轮</t>
    </r>
    <r>
      <rPr>
        <sz val="10"/>
        <color indexed="23"/>
        <rFont val="Times New Roman"/>
        <family val="1"/>
      </rPr>
      <t xml:space="preserve">   </t>
    </r>
    <r>
      <rPr>
        <sz val="10"/>
        <color indexed="23"/>
        <rFont val="宋体"/>
        <family val="3"/>
        <charset val="134"/>
      </rPr>
      <t>精度</t>
    </r>
  </si>
  <si>
    <r>
      <rPr>
        <b/>
        <sz val="10"/>
        <color indexed="23"/>
        <rFont val="宋体"/>
        <family val="3"/>
        <charset val="134"/>
      </rPr>
      <t>主要参考书目：</t>
    </r>
    <r>
      <rPr>
        <sz val="10"/>
        <color indexed="23"/>
        <rFont val="宋体"/>
        <family val="3"/>
        <charset val="134"/>
      </rPr>
      <t>《齿轮手册》</t>
    </r>
    <r>
      <rPr>
        <sz val="10"/>
        <color indexed="23"/>
        <rFont val="Times New Roman"/>
        <family val="1"/>
      </rPr>
      <t xml:space="preserve"> </t>
    </r>
    <r>
      <rPr>
        <sz val="10"/>
        <color indexed="23"/>
        <rFont val="宋体"/>
        <family val="3"/>
        <charset val="134"/>
      </rPr>
      <t>上、下册，</t>
    </r>
    <r>
      <rPr>
        <sz val="10"/>
        <color indexed="23"/>
        <rFont val="Times New Roman"/>
        <family val="1"/>
      </rPr>
      <t xml:space="preserve">    </t>
    </r>
    <r>
      <rPr>
        <sz val="10"/>
        <color indexed="23"/>
        <rFont val="宋体"/>
        <family val="3"/>
        <charset val="134"/>
      </rPr>
      <t>《机床设计手册》</t>
    </r>
    <r>
      <rPr>
        <sz val="10"/>
        <color indexed="23"/>
        <rFont val="Times New Roman"/>
        <family val="1"/>
      </rPr>
      <t xml:space="preserve"> 2  </t>
    </r>
    <r>
      <rPr>
        <sz val="10"/>
        <color indexed="23"/>
        <rFont val="宋体"/>
        <family val="3"/>
        <charset val="134"/>
      </rPr>
      <t>上册，</t>
    </r>
    <r>
      <rPr>
        <sz val="10"/>
        <color indexed="23"/>
        <rFont val="Times New Roman"/>
        <family val="1"/>
      </rPr>
      <t xml:space="preserve">    </t>
    </r>
    <r>
      <rPr>
        <sz val="10"/>
        <color indexed="23"/>
        <rFont val="宋体"/>
        <family val="3"/>
        <charset val="134"/>
      </rPr>
      <t>《齿轮刀具设计理论基础》   上册</t>
    </r>
  </si>
  <si>
    <t xml:space="preserve">    程序设计：    邓时俊   2002.05</t>
  </si>
  <si>
    <r>
      <rPr>
        <b/>
        <sz val="10"/>
        <color indexed="12"/>
        <rFont val="宋体"/>
        <family val="3"/>
        <charset val="134"/>
      </rPr>
      <t>注意：</t>
    </r>
    <r>
      <rPr>
        <sz val="10"/>
        <color indexed="12"/>
        <rFont val="宋体"/>
        <family val="3"/>
        <charset val="134"/>
      </rPr>
      <t>本程序有“</t>
    </r>
    <r>
      <rPr>
        <sz val="10"/>
        <color indexed="10"/>
        <rFont val="宋体"/>
        <family val="3"/>
        <charset val="134"/>
      </rPr>
      <t>单变量求解</t>
    </r>
    <r>
      <rPr>
        <sz val="10"/>
        <color indexed="12"/>
        <rFont val="宋体"/>
        <family val="3"/>
        <charset val="134"/>
      </rPr>
      <t>”，应从</t>
    </r>
    <r>
      <rPr>
        <sz val="10"/>
        <color indexed="10"/>
        <rFont val="宋体"/>
        <family val="3"/>
        <charset val="134"/>
      </rPr>
      <t>工具</t>
    </r>
    <r>
      <rPr>
        <sz val="10"/>
        <color indexed="12"/>
        <rFont val="宋体"/>
        <family val="3"/>
        <charset val="134"/>
      </rPr>
      <t>--</t>
    </r>
    <r>
      <rPr>
        <sz val="10"/>
        <color indexed="10"/>
        <rFont val="宋体"/>
        <family val="3"/>
        <charset val="134"/>
      </rPr>
      <t>选项</t>
    </r>
    <r>
      <rPr>
        <sz val="10"/>
        <color indexed="12"/>
        <rFont val="宋体"/>
        <family val="3"/>
        <charset val="134"/>
      </rPr>
      <t>--</t>
    </r>
    <r>
      <rPr>
        <sz val="10"/>
        <color indexed="10"/>
        <rFont val="宋体"/>
        <family val="3"/>
        <charset val="134"/>
      </rPr>
      <t>重新计算</t>
    </r>
    <r>
      <rPr>
        <sz val="10"/>
        <color indexed="12"/>
        <rFont val="宋体"/>
        <family val="3"/>
        <charset val="134"/>
      </rPr>
      <t>中设置</t>
    </r>
    <r>
      <rPr>
        <sz val="10"/>
        <color indexed="10"/>
        <rFont val="宋体"/>
        <family val="3"/>
        <charset val="134"/>
      </rPr>
      <t>反复操作</t>
    </r>
    <r>
      <rPr>
        <sz val="10"/>
        <color indexed="12"/>
        <rFont val="宋体"/>
        <family val="3"/>
        <charset val="134"/>
      </rPr>
      <t>，最多迭代次数</t>
    </r>
    <r>
      <rPr>
        <sz val="10"/>
        <color indexed="10"/>
        <rFont val="宋体"/>
        <family val="3"/>
        <charset val="134"/>
      </rPr>
      <t>10000</t>
    </r>
    <r>
      <rPr>
        <sz val="10"/>
        <color indexed="12"/>
        <rFont val="宋体"/>
        <family val="3"/>
        <charset val="134"/>
      </rPr>
      <t>，最大误差</t>
    </r>
    <r>
      <rPr>
        <sz val="10"/>
        <color indexed="10"/>
        <rFont val="宋体"/>
        <family val="3"/>
        <charset val="134"/>
      </rPr>
      <t>0.00001</t>
    </r>
    <r>
      <rPr>
        <sz val="10"/>
        <color indexed="12"/>
        <rFont val="宋体"/>
        <family val="3"/>
        <charset val="134"/>
      </rPr>
      <t>。</t>
    </r>
  </si>
  <si>
    <r>
      <rPr>
        <b/>
        <sz val="10"/>
        <color indexed="12"/>
        <rFont val="宋体"/>
        <family val="3"/>
        <charset val="134"/>
      </rPr>
      <t>说明：</t>
    </r>
    <r>
      <rPr>
        <sz val="10"/>
        <color indexed="12"/>
        <rFont val="宋体"/>
        <family val="3"/>
        <charset val="134"/>
      </rPr>
      <t>请在</t>
    </r>
    <r>
      <rPr>
        <b/>
        <sz val="10"/>
        <color indexed="12"/>
        <rFont val="宋体"/>
        <family val="3"/>
        <charset val="134"/>
      </rPr>
      <t>兰</t>
    </r>
    <r>
      <rPr>
        <sz val="10"/>
        <color indexed="12"/>
        <rFont val="宋体"/>
        <family val="3"/>
        <charset val="134"/>
      </rPr>
      <t>色框中输入已定或初定数据（黄色框中为判断或参考数据）。输出数据在最后列表，可单独打印。</t>
    </r>
  </si>
  <si>
    <t>产品型号：</t>
  </si>
  <si>
    <t>订  货  号：</t>
  </si>
  <si>
    <t>零件件号：</t>
  </si>
  <si>
    <t>（外齿轮）</t>
  </si>
  <si>
    <t>（内齿轮）</t>
  </si>
  <si>
    <r>
      <rPr>
        <sz val="10"/>
        <rFont val="宋体"/>
        <family val="3"/>
        <charset val="134"/>
      </rPr>
      <t>计</t>
    </r>
    <r>
      <rPr>
        <sz val="10"/>
        <rFont val="Times New Roman"/>
        <family val="1"/>
      </rPr>
      <t xml:space="preserve"> </t>
    </r>
    <r>
      <rPr>
        <sz val="10"/>
        <rFont val="宋体"/>
        <family val="3"/>
        <charset val="134"/>
      </rPr>
      <t>算 人</t>
    </r>
    <r>
      <rPr>
        <sz val="10"/>
        <rFont val="Times New Roman"/>
        <family val="1"/>
      </rPr>
      <t xml:space="preserve"> </t>
    </r>
    <r>
      <rPr>
        <sz val="10"/>
        <rFont val="宋体"/>
        <family val="3"/>
        <charset val="134"/>
      </rPr>
      <t>：</t>
    </r>
  </si>
  <si>
    <t>计算日期：</t>
  </si>
  <si>
    <r>
      <rPr>
        <sz val="12"/>
        <rFont val="宋体"/>
        <family val="3"/>
        <charset val="134"/>
      </rPr>
      <t>外</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 xml:space="preserve">轮 </t>
    </r>
    <r>
      <rPr>
        <sz val="12"/>
        <rFont val="宋体"/>
        <family val="3"/>
        <charset val="134"/>
        <scheme val="minor"/>
      </rPr>
      <t>旋</t>
    </r>
    <r>
      <rPr>
        <sz val="12"/>
        <rFont val="宋体"/>
        <family val="3"/>
        <charset val="134"/>
        <scheme val="minor"/>
      </rPr>
      <t xml:space="preserve"> </t>
    </r>
    <r>
      <rPr>
        <sz val="12"/>
        <rFont val="宋体"/>
        <family val="3"/>
        <charset val="134"/>
        <scheme val="minor"/>
      </rPr>
      <t>向</t>
    </r>
  </si>
  <si>
    <r>
      <rPr>
        <sz val="10"/>
        <color indexed="12"/>
        <rFont val="宋体"/>
        <family val="3"/>
        <charset val="134"/>
      </rPr>
      <t xml:space="preserve">注：左旋输入 </t>
    </r>
    <r>
      <rPr>
        <b/>
        <sz val="10"/>
        <color indexed="10"/>
        <rFont val="宋体"/>
        <family val="3"/>
        <charset val="134"/>
      </rPr>
      <t>L</t>
    </r>
    <r>
      <rPr>
        <sz val="10"/>
        <color indexed="12"/>
        <rFont val="宋体"/>
        <family val="3"/>
        <charset val="134"/>
      </rPr>
      <t xml:space="preserve">，右旋输入 </t>
    </r>
    <r>
      <rPr>
        <b/>
        <sz val="10"/>
        <color indexed="10"/>
        <rFont val="宋体"/>
        <family val="3"/>
        <charset val="134"/>
      </rPr>
      <t>R</t>
    </r>
    <r>
      <rPr>
        <sz val="10"/>
        <color indexed="12"/>
        <rFont val="宋体"/>
        <family val="3"/>
        <charset val="134"/>
      </rPr>
      <t>，直齿不输入。</t>
    </r>
  </si>
  <si>
    <r>
      <rPr>
        <sz val="12"/>
        <rFont val="宋体"/>
        <family val="3"/>
        <charset val="134"/>
      </rPr>
      <t>内</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 xml:space="preserve">轮 </t>
    </r>
    <r>
      <rPr>
        <sz val="12"/>
        <rFont val="宋体"/>
        <family val="3"/>
        <charset val="134"/>
        <scheme val="minor"/>
      </rPr>
      <t>旋</t>
    </r>
    <r>
      <rPr>
        <sz val="12"/>
        <rFont val="宋体"/>
        <family val="3"/>
        <charset val="134"/>
        <scheme val="minor"/>
      </rPr>
      <t xml:space="preserve"> </t>
    </r>
    <r>
      <rPr>
        <sz val="12"/>
        <rFont val="宋体"/>
        <family val="3"/>
        <charset val="134"/>
        <scheme val="minor"/>
      </rPr>
      <t>向</t>
    </r>
  </si>
  <si>
    <r>
      <rPr>
        <sz val="12"/>
        <rFont val="宋体"/>
        <family val="3"/>
        <charset val="134"/>
      </rPr>
      <t>外</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</si>
  <si>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2"/>
        <rFont val="Times New Roman"/>
        <family val="1"/>
      </rPr>
      <t>Z</t>
    </r>
    <r>
      <rPr>
        <sz val="10"/>
        <rFont val="Times New Roman"/>
        <family val="1"/>
      </rPr>
      <t>1</t>
    </r>
  </si>
  <si>
    <r>
      <rPr>
        <sz val="12"/>
        <rFont val="宋体"/>
        <family val="3"/>
        <charset val="134"/>
      </rPr>
      <t>内</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</si>
  <si>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2"/>
        <rFont val="Times New Roman"/>
        <family val="1"/>
      </rPr>
      <t>Z</t>
    </r>
    <r>
      <rPr>
        <sz val="10"/>
        <rFont val="Times New Roman"/>
        <family val="1"/>
      </rPr>
      <t>2</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</si>
  <si>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模</t>
    </r>
    <r>
      <rPr>
        <sz val="12"/>
        <rFont val="Times New Roman"/>
        <family val="1"/>
      </rPr>
      <t xml:space="preserve">   </t>
    </r>
    <r>
      <rPr>
        <sz val="12"/>
        <rFont val="宋体"/>
        <family val="3"/>
        <charset val="134"/>
        <scheme val="minor"/>
      </rPr>
      <t>数</t>
    </r>
  </si>
  <si>
    <r>
      <rPr>
        <sz val="12"/>
        <rFont val="Times New Roman"/>
        <family val="1"/>
      </rPr>
      <t xml:space="preserve">m </t>
    </r>
    <r>
      <rPr>
        <sz val="10"/>
        <rFont val="Times New Roman"/>
        <family val="1"/>
      </rPr>
      <t>n</t>
    </r>
  </si>
  <si>
    <t>毫米</t>
  </si>
  <si>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 xml:space="preserve">压 </t>
    </r>
    <r>
      <rPr>
        <sz val="12"/>
        <rFont val="宋体"/>
        <family val="3"/>
        <charset val="134"/>
        <scheme val="minor"/>
      </rPr>
      <t>力</t>
    </r>
    <r>
      <rPr>
        <sz val="12"/>
        <rFont val="宋体"/>
        <family val="3"/>
        <charset val="134"/>
        <scheme val="minor"/>
      </rPr>
      <t xml:space="preserve"> </t>
    </r>
    <r>
      <rPr>
        <sz val="12"/>
        <rFont val="宋体"/>
        <family val="3"/>
        <charset val="134"/>
        <scheme val="minor"/>
      </rPr>
      <t>角</t>
    </r>
  </si>
  <si>
    <r>
      <rPr>
        <sz val="12"/>
        <rFont val="宋体"/>
        <family val="3"/>
        <charset val="134"/>
      </rPr>
      <t>α</t>
    </r>
    <r>
      <rPr>
        <sz val="10"/>
        <rFont val="Times New Roman"/>
        <family val="1"/>
      </rPr>
      <t>n</t>
    </r>
  </si>
  <si>
    <t>分度圆柱螺旋角</t>
  </si>
  <si>
    <r>
      <rPr>
        <sz val="12"/>
        <rFont val="宋体"/>
        <family val="3"/>
        <charset val="134"/>
      </rPr>
      <t>β</t>
    </r>
    <r>
      <rPr>
        <sz val="9"/>
        <rFont val="Times New Roman"/>
        <family val="1"/>
      </rPr>
      <t>f</t>
    </r>
  </si>
  <si>
    <t>分</t>
  </si>
  <si>
    <t>秒</t>
  </si>
  <si>
    <t>注：也可以小数点输入“度”，此时“分”、“秒”不输入。</t>
  </si>
  <si>
    <r>
      <rPr>
        <sz val="12"/>
        <rFont val="宋体"/>
        <family val="3"/>
        <charset val="134"/>
      </rPr>
      <t>有</t>
    </r>
    <r>
      <rPr>
        <sz val="12"/>
        <rFont val="Times New Roman"/>
        <family val="1"/>
      </rPr>
      <t xml:space="preserve">   </t>
    </r>
    <r>
      <rPr>
        <sz val="12"/>
        <rFont val="宋体"/>
        <family val="3"/>
        <charset val="134"/>
        <scheme val="minor"/>
      </rPr>
      <t>效</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宽</t>
    </r>
  </si>
  <si>
    <t>公法线长度能否测量？</t>
  </si>
  <si>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高</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</si>
  <si>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t>ha*</t>
  </si>
  <si>
    <r>
      <rPr>
        <sz val="10"/>
        <color indexed="12"/>
        <rFont val="宋体"/>
        <family val="3"/>
        <charset val="134"/>
      </rPr>
      <t xml:space="preserve">注：如不输入，则默认 </t>
    </r>
    <r>
      <rPr>
        <sz val="12"/>
        <color indexed="12"/>
        <rFont val="Times New Roman"/>
        <family val="1"/>
      </rPr>
      <t>ha*</t>
    </r>
    <r>
      <rPr>
        <sz val="10"/>
        <color indexed="12"/>
        <rFont val="宋体"/>
        <family val="3"/>
        <charset val="134"/>
      </rPr>
      <t xml:space="preserve"> = </t>
    </r>
    <r>
      <rPr>
        <b/>
        <sz val="10"/>
        <color indexed="10"/>
        <rFont val="宋体"/>
        <family val="3"/>
        <charset val="134"/>
      </rPr>
      <t>1</t>
    </r>
  </si>
  <si>
    <t>齿顶倒棱系数</t>
  </si>
  <si>
    <t>hd*</t>
  </si>
  <si>
    <r>
      <rPr>
        <sz val="12"/>
        <rFont val="宋体"/>
        <family val="3"/>
        <charset val="134"/>
      </rPr>
      <t>顶</t>
    </r>
    <r>
      <rPr>
        <sz val="12"/>
        <rFont val="Times New Roman"/>
        <family val="1"/>
      </rPr>
      <t xml:space="preserve">   </t>
    </r>
    <r>
      <rPr>
        <sz val="12"/>
        <rFont val="宋体"/>
        <family val="3"/>
        <charset val="134"/>
        <scheme val="minor"/>
      </rPr>
      <t>隙</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</si>
  <si>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t>c*</t>
  </si>
  <si>
    <r>
      <rPr>
        <sz val="10"/>
        <color indexed="12"/>
        <rFont val="宋体"/>
        <family val="3"/>
        <charset val="134"/>
      </rPr>
      <t xml:space="preserve">注：如不输入，则默认 </t>
    </r>
    <r>
      <rPr>
        <sz val="12"/>
        <color indexed="12"/>
        <rFont val="Times New Roman"/>
        <family val="1"/>
      </rPr>
      <t>c*</t>
    </r>
    <r>
      <rPr>
        <sz val="10"/>
        <color indexed="12"/>
        <rFont val="宋体"/>
        <family val="3"/>
        <charset val="134"/>
      </rPr>
      <t xml:space="preserve"> = </t>
    </r>
    <r>
      <rPr>
        <b/>
        <sz val="10"/>
        <color indexed="10"/>
        <rFont val="宋体"/>
        <family val="3"/>
        <charset val="134"/>
      </rPr>
      <t>0.25</t>
    </r>
  </si>
  <si>
    <r>
      <rPr>
        <sz val="12"/>
        <rFont val="宋体"/>
        <family val="3"/>
        <charset val="134"/>
      </rPr>
      <t>标</t>
    </r>
    <r>
      <rPr>
        <sz val="12"/>
        <rFont val="Times New Roman"/>
        <family val="1"/>
      </rPr>
      <t xml:space="preserve"> </t>
    </r>
    <r>
      <rPr>
        <sz val="12"/>
        <rFont val="宋体"/>
        <family val="3"/>
        <charset val="134"/>
        <scheme val="minor"/>
      </rPr>
      <t>准</t>
    </r>
    <r>
      <rPr>
        <sz val="12"/>
        <rFont val="Times New Roman"/>
        <family val="1"/>
      </rPr>
      <t xml:space="preserve"> </t>
    </r>
    <r>
      <rPr>
        <sz val="12"/>
        <rFont val="宋体"/>
        <family val="3"/>
        <charset val="134"/>
        <scheme val="minor"/>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</si>
  <si>
    <r>
      <rPr>
        <sz val="12"/>
        <rFont val="Times New Roman"/>
        <family val="1"/>
      </rPr>
      <t>a</t>
    </r>
    <r>
      <rPr>
        <sz val="10"/>
        <rFont val="Times New Roman"/>
        <family val="1"/>
      </rPr>
      <t>0</t>
    </r>
  </si>
  <si>
    <t>径向变位系数</t>
  </si>
  <si>
    <r>
      <rPr>
        <sz val="12"/>
        <rFont val="Times New Roman"/>
        <family val="1"/>
      </rPr>
      <t>x</t>
    </r>
    <r>
      <rPr>
        <sz val="10"/>
        <rFont val="Times New Roman"/>
        <family val="1"/>
      </rPr>
      <t>10</t>
    </r>
  </si>
  <si>
    <t>（初选值）</t>
  </si>
  <si>
    <r>
      <rPr>
        <sz val="12"/>
        <rFont val="Times New Roman"/>
        <family val="1"/>
      </rPr>
      <t>x</t>
    </r>
    <r>
      <rPr>
        <sz val="10"/>
        <rFont val="Times New Roman"/>
        <family val="1"/>
      </rPr>
      <t>20</t>
    </r>
  </si>
  <si>
    <r>
      <rPr>
        <sz val="9"/>
        <color indexed="44"/>
        <rFont val="宋体"/>
        <family val="3"/>
        <charset val="134"/>
      </rPr>
      <t>INV</t>
    </r>
    <r>
      <rPr>
        <sz val="11"/>
        <color indexed="44"/>
        <rFont val="宋体"/>
        <family val="3"/>
        <charset val="134"/>
      </rPr>
      <t>α</t>
    </r>
    <r>
      <rPr>
        <sz val="9"/>
        <color indexed="44"/>
        <rFont val="宋体"/>
        <family val="3"/>
        <charset val="134"/>
      </rPr>
      <t>t</t>
    </r>
    <r>
      <rPr>
        <sz val="12"/>
        <color indexed="44"/>
        <rFont val="宋体"/>
        <family val="3"/>
        <charset val="134"/>
      </rPr>
      <t>'</t>
    </r>
  </si>
  <si>
    <r>
      <rPr>
        <sz val="11"/>
        <rFont val="宋体"/>
        <family val="3"/>
        <charset val="134"/>
      </rPr>
      <t>计</t>
    </r>
    <r>
      <rPr>
        <sz val="11"/>
        <rFont val="Times New Roman"/>
        <family val="1"/>
      </rPr>
      <t xml:space="preserve"> </t>
    </r>
    <r>
      <rPr>
        <sz val="11"/>
        <rFont val="宋体"/>
        <family val="3"/>
        <charset val="134"/>
      </rPr>
      <t>算</t>
    </r>
    <r>
      <rPr>
        <sz val="11"/>
        <rFont val="Times New Roman"/>
        <family val="1"/>
      </rPr>
      <t xml:space="preserve"> </t>
    </r>
    <r>
      <rPr>
        <sz val="11"/>
        <rFont val="宋体"/>
        <family val="3"/>
        <charset val="134"/>
      </rPr>
      <t>中</t>
    </r>
    <r>
      <rPr>
        <sz val="11"/>
        <rFont val="Times New Roman"/>
        <family val="1"/>
      </rPr>
      <t xml:space="preserve"> </t>
    </r>
    <r>
      <rPr>
        <sz val="11"/>
        <rFont val="宋体"/>
        <family val="3"/>
        <charset val="134"/>
      </rPr>
      <t>心</t>
    </r>
    <r>
      <rPr>
        <sz val="11"/>
        <rFont val="Times New Roman"/>
        <family val="1"/>
      </rPr>
      <t xml:space="preserve"> </t>
    </r>
    <r>
      <rPr>
        <sz val="11"/>
        <rFont val="宋体"/>
        <family val="3"/>
        <charset val="134"/>
      </rPr>
      <t xml:space="preserve">距 </t>
    </r>
  </si>
  <si>
    <r>
      <rPr>
        <sz val="12"/>
        <rFont val="Times New Roman"/>
        <family val="1"/>
      </rPr>
      <t>a</t>
    </r>
    <r>
      <rPr>
        <sz val="10"/>
        <rFont val="Times New Roman"/>
        <family val="1"/>
      </rPr>
      <t>0</t>
    </r>
    <r>
      <rPr>
        <sz val="12"/>
        <rFont val="Times New Roman"/>
        <family val="1"/>
      </rPr>
      <t>'</t>
    </r>
  </si>
  <si>
    <r>
      <rPr>
        <sz val="11"/>
        <rFont val="宋体"/>
        <family val="3"/>
        <charset val="134"/>
      </rPr>
      <t>实</t>
    </r>
    <r>
      <rPr>
        <sz val="11"/>
        <rFont val="Times New Roman"/>
        <family val="1"/>
      </rPr>
      <t xml:space="preserve"> </t>
    </r>
    <r>
      <rPr>
        <sz val="11"/>
        <rFont val="宋体"/>
        <family val="3"/>
        <charset val="134"/>
      </rPr>
      <t>际</t>
    </r>
    <r>
      <rPr>
        <sz val="11"/>
        <rFont val="Times New Roman"/>
        <family val="1"/>
      </rPr>
      <t xml:space="preserve"> </t>
    </r>
    <r>
      <rPr>
        <sz val="11"/>
        <rFont val="宋体"/>
        <family val="3"/>
        <charset val="134"/>
      </rPr>
      <t>中</t>
    </r>
    <r>
      <rPr>
        <sz val="11"/>
        <rFont val="Times New Roman"/>
        <family val="1"/>
      </rPr>
      <t xml:space="preserve"> </t>
    </r>
    <r>
      <rPr>
        <sz val="11"/>
        <rFont val="宋体"/>
        <family val="3"/>
        <charset val="134"/>
      </rPr>
      <t>心</t>
    </r>
    <r>
      <rPr>
        <sz val="11"/>
        <rFont val="Times New Roman"/>
        <family val="1"/>
      </rPr>
      <t xml:space="preserve"> </t>
    </r>
    <r>
      <rPr>
        <sz val="11"/>
        <rFont val="宋体"/>
        <family val="3"/>
        <charset val="134"/>
      </rPr>
      <t xml:space="preserve">距 </t>
    </r>
  </si>
  <si>
    <t>端面总变位系数</t>
  </si>
  <si>
    <r>
      <rPr>
        <sz val="12"/>
        <rFont val="Times New Roman"/>
        <family val="1"/>
      </rPr>
      <t xml:space="preserve">x </t>
    </r>
    <r>
      <rPr>
        <sz val="10"/>
        <rFont val="Times New Roman"/>
        <family val="1"/>
      </rPr>
      <t>t</t>
    </r>
    <r>
      <rPr>
        <sz val="8"/>
        <rFont val="宋体"/>
        <family val="3"/>
        <charset val="134"/>
      </rPr>
      <t>Σ</t>
    </r>
  </si>
  <si>
    <t>法向总变位系数</t>
  </si>
  <si>
    <r>
      <rPr>
        <sz val="12"/>
        <rFont val="Times New Roman"/>
        <family val="1"/>
      </rPr>
      <t xml:space="preserve">x </t>
    </r>
    <r>
      <rPr>
        <sz val="10"/>
        <rFont val="Times New Roman"/>
        <family val="1"/>
      </rPr>
      <t>n</t>
    </r>
    <r>
      <rPr>
        <sz val="8"/>
        <rFont val="宋体"/>
        <family val="3"/>
        <charset val="134"/>
      </rPr>
      <t>Σ</t>
    </r>
  </si>
  <si>
    <r>
      <rPr>
        <sz val="12"/>
        <rFont val="Times New Roman"/>
        <family val="1"/>
      </rPr>
      <t>x</t>
    </r>
    <r>
      <rPr>
        <sz val="10"/>
        <rFont val="Times New Roman"/>
        <family val="1"/>
      </rPr>
      <t>1</t>
    </r>
  </si>
  <si>
    <r>
      <rPr>
        <sz val="12"/>
        <color indexed="44"/>
        <rFont val="Times New Roman"/>
        <family val="1"/>
      </rPr>
      <t>x</t>
    </r>
    <r>
      <rPr>
        <sz val="10"/>
        <color indexed="44"/>
        <rFont val="Times New Roman"/>
        <family val="1"/>
      </rPr>
      <t>1</t>
    </r>
  </si>
  <si>
    <r>
      <rPr>
        <sz val="10"/>
        <rFont val="宋体"/>
        <family val="3"/>
        <charset val="134"/>
      </rPr>
      <t>内齿</t>
    </r>
    <r>
      <rPr>
        <sz val="10"/>
        <rFont val="宋体"/>
        <family val="3"/>
        <charset val="134"/>
      </rPr>
      <t>轮</t>
    </r>
    <r>
      <rPr>
        <sz val="10"/>
        <rFont val="宋体"/>
        <family val="3"/>
        <charset val="134"/>
      </rPr>
      <t>齿顶圆直径计算值</t>
    </r>
  </si>
  <si>
    <t>da0</t>
  </si>
  <si>
    <t>内齿轮齿顶圆直径实际值</t>
  </si>
  <si>
    <t>第Ⅰ公差组精度等级</t>
  </si>
  <si>
    <t>第Ⅱ公差组精度等级</t>
  </si>
  <si>
    <t>第Ⅲ公差组精度等级</t>
  </si>
  <si>
    <t>箱体材料代码</t>
  </si>
  <si>
    <r>
      <rPr>
        <sz val="10"/>
        <color indexed="12"/>
        <rFont val="宋体"/>
        <family val="3"/>
        <charset val="134"/>
      </rPr>
      <t>注：铸铁—</t>
    </r>
    <r>
      <rPr>
        <sz val="10"/>
        <color indexed="10"/>
        <rFont val="宋体"/>
        <family val="3"/>
        <charset val="134"/>
      </rPr>
      <t>C （或不输入）</t>
    </r>
    <r>
      <rPr>
        <sz val="10"/>
        <color indexed="12"/>
        <rFont val="宋体"/>
        <family val="3"/>
        <charset val="134"/>
      </rPr>
      <t>， 钢—</t>
    </r>
    <r>
      <rPr>
        <sz val="10"/>
        <color indexed="10"/>
        <rFont val="宋体"/>
        <family val="3"/>
        <charset val="134"/>
      </rPr>
      <t>S</t>
    </r>
    <r>
      <rPr>
        <sz val="10"/>
        <color indexed="12"/>
        <rFont val="宋体"/>
        <family val="3"/>
        <charset val="134"/>
      </rPr>
      <t>，  铝（镁）合金—</t>
    </r>
    <r>
      <rPr>
        <sz val="10"/>
        <color indexed="10"/>
        <rFont val="宋体"/>
        <family val="3"/>
        <charset val="134"/>
      </rPr>
      <t>A</t>
    </r>
    <r>
      <rPr>
        <sz val="10"/>
        <color indexed="12"/>
        <rFont val="宋体"/>
        <family val="3"/>
        <charset val="134"/>
      </rPr>
      <t xml:space="preserve">  （齿轮副材料—钢）"</t>
    </r>
  </si>
  <si>
    <t xml:space="preserve">齿轮副设计温度 </t>
  </si>
  <si>
    <r>
      <rPr>
        <sz val="12"/>
        <rFont val="Times New Roman"/>
        <family val="1"/>
      </rPr>
      <t>°</t>
    </r>
    <r>
      <rPr>
        <sz val="12"/>
        <rFont val="宋体"/>
        <family val="3"/>
        <charset val="134"/>
        <scheme val="minor"/>
      </rPr>
      <t xml:space="preserve"> C</t>
    </r>
  </si>
  <si>
    <r>
      <rPr>
        <sz val="10"/>
        <color indexed="12"/>
        <rFont val="宋体"/>
        <family val="3"/>
        <charset val="134"/>
      </rPr>
      <t xml:space="preserve">注：如不输入，则默认齿轮副温度为 </t>
    </r>
    <r>
      <rPr>
        <sz val="10"/>
        <color indexed="10"/>
        <rFont val="宋体"/>
        <family val="3"/>
        <charset val="134"/>
      </rPr>
      <t>80</t>
    </r>
    <r>
      <rPr>
        <sz val="10"/>
        <color indexed="10"/>
        <rFont val="Times New Roman"/>
        <family val="1"/>
      </rPr>
      <t>°</t>
    </r>
    <r>
      <rPr>
        <sz val="10"/>
        <color indexed="10"/>
        <rFont val="宋体"/>
        <family val="3"/>
        <charset val="134"/>
      </rPr>
      <t xml:space="preserve"> C</t>
    </r>
  </si>
  <si>
    <t xml:space="preserve">箱体设计温度 </t>
  </si>
  <si>
    <r>
      <rPr>
        <sz val="10"/>
        <color indexed="12"/>
        <rFont val="宋体"/>
        <family val="3"/>
        <charset val="134"/>
      </rPr>
      <t xml:space="preserve">注：如不输入，则默认箱体温度为 </t>
    </r>
    <r>
      <rPr>
        <sz val="10"/>
        <color indexed="10"/>
        <rFont val="宋体"/>
        <family val="3"/>
        <charset val="134"/>
      </rPr>
      <t>60</t>
    </r>
    <r>
      <rPr>
        <sz val="10"/>
        <color indexed="10"/>
        <rFont val="Times New Roman"/>
        <family val="1"/>
      </rPr>
      <t>°</t>
    </r>
    <r>
      <rPr>
        <sz val="10"/>
        <color indexed="10"/>
        <rFont val="宋体"/>
        <family val="3"/>
        <charset val="134"/>
      </rPr>
      <t xml:space="preserve"> C</t>
    </r>
  </si>
  <si>
    <t>齿厚极限偏差种类代码</t>
  </si>
  <si>
    <t>推荐</t>
  </si>
  <si>
    <t>实际选取</t>
  </si>
  <si>
    <r>
      <rPr>
        <sz val="10"/>
        <color indexed="12"/>
        <rFont val="宋体"/>
        <family val="3"/>
        <charset val="134"/>
      </rPr>
      <t>注：齿厚极限偏差共</t>
    </r>
    <r>
      <rPr>
        <sz val="10"/>
        <color indexed="10"/>
        <rFont val="宋体"/>
        <family val="3"/>
        <charset val="134"/>
      </rPr>
      <t xml:space="preserve">14 </t>
    </r>
    <r>
      <rPr>
        <sz val="10"/>
        <color indexed="12"/>
        <rFont val="宋体"/>
        <family val="3"/>
        <charset val="134"/>
      </rPr>
      <t>种，越往后间隙越大：</t>
    </r>
    <r>
      <rPr>
        <sz val="10"/>
        <color indexed="10"/>
        <rFont val="宋体"/>
        <family val="3"/>
        <charset val="134"/>
      </rPr>
      <t>C</t>
    </r>
    <r>
      <rPr>
        <sz val="10"/>
        <color indexed="12"/>
        <rFont val="宋体"/>
        <family val="3"/>
        <charset val="134"/>
      </rPr>
      <t>=+fpt，</t>
    </r>
    <r>
      <rPr>
        <sz val="10"/>
        <color indexed="10"/>
        <rFont val="宋体"/>
        <family val="3"/>
        <charset val="134"/>
      </rPr>
      <t>D</t>
    </r>
    <r>
      <rPr>
        <sz val="10"/>
        <color indexed="12"/>
        <rFont val="宋体"/>
        <family val="3"/>
        <charset val="134"/>
      </rPr>
      <t>=0，</t>
    </r>
    <r>
      <rPr>
        <sz val="10"/>
        <color indexed="10"/>
        <rFont val="宋体"/>
        <family val="3"/>
        <charset val="134"/>
      </rPr>
      <t>E</t>
    </r>
    <r>
      <rPr>
        <sz val="10"/>
        <color indexed="12"/>
        <rFont val="宋体"/>
        <family val="3"/>
        <charset val="134"/>
      </rPr>
      <t>=-2fpt，</t>
    </r>
    <r>
      <rPr>
        <sz val="10"/>
        <color indexed="10"/>
        <rFont val="宋体"/>
        <family val="3"/>
        <charset val="134"/>
      </rPr>
      <t>F</t>
    </r>
    <r>
      <rPr>
        <sz val="10"/>
        <color indexed="12"/>
        <rFont val="宋体"/>
        <family val="3"/>
        <charset val="134"/>
      </rPr>
      <t>=-4fpt，</t>
    </r>
  </si>
  <si>
    <t>外齿轮齿厚上偏差</t>
  </si>
  <si>
    <r>
      <rPr>
        <sz val="10"/>
        <color indexed="12"/>
        <rFont val="宋体"/>
        <family val="3"/>
        <charset val="134"/>
      </rPr>
      <t xml:space="preserve">        </t>
    </r>
    <r>
      <rPr>
        <sz val="10"/>
        <color indexed="10"/>
        <rFont val="宋体"/>
        <family val="3"/>
        <charset val="134"/>
      </rPr>
      <t>G</t>
    </r>
    <r>
      <rPr>
        <sz val="10"/>
        <color indexed="12"/>
        <rFont val="宋体"/>
        <family val="3"/>
        <charset val="134"/>
      </rPr>
      <t>，</t>
    </r>
    <r>
      <rPr>
        <sz val="10"/>
        <color indexed="10"/>
        <rFont val="宋体"/>
        <family val="3"/>
        <charset val="134"/>
      </rPr>
      <t>H</t>
    </r>
    <r>
      <rPr>
        <sz val="10"/>
        <color indexed="12"/>
        <rFont val="宋体"/>
        <family val="3"/>
        <charset val="134"/>
      </rPr>
      <t>，</t>
    </r>
    <r>
      <rPr>
        <sz val="10"/>
        <color indexed="10"/>
        <rFont val="宋体"/>
        <family val="3"/>
        <charset val="134"/>
      </rPr>
      <t>J</t>
    </r>
    <r>
      <rPr>
        <sz val="10"/>
        <color indexed="12"/>
        <rFont val="宋体"/>
        <family val="3"/>
        <charset val="134"/>
      </rPr>
      <t>，</t>
    </r>
    <r>
      <rPr>
        <sz val="10"/>
        <color indexed="10"/>
        <rFont val="宋体"/>
        <family val="3"/>
        <charset val="134"/>
      </rPr>
      <t>K</t>
    </r>
    <r>
      <rPr>
        <sz val="10"/>
        <color indexed="12"/>
        <rFont val="宋体"/>
        <family val="3"/>
        <charset val="134"/>
      </rPr>
      <t>，</t>
    </r>
    <r>
      <rPr>
        <sz val="10"/>
        <color indexed="10"/>
        <rFont val="宋体"/>
        <family val="3"/>
        <charset val="134"/>
      </rPr>
      <t>L</t>
    </r>
    <r>
      <rPr>
        <sz val="10"/>
        <color indexed="12"/>
        <rFont val="宋体"/>
        <family val="3"/>
        <charset val="134"/>
      </rPr>
      <t>，</t>
    </r>
    <r>
      <rPr>
        <sz val="10"/>
        <color indexed="10"/>
        <rFont val="宋体"/>
        <family val="3"/>
        <charset val="134"/>
      </rPr>
      <t>M</t>
    </r>
    <r>
      <rPr>
        <sz val="10"/>
        <color indexed="12"/>
        <rFont val="宋体"/>
        <family val="3"/>
        <charset val="134"/>
      </rPr>
      <t>，</t>
    </r>
    <r>
      <rPr>
        <sz val="10"/>
        <color indexed="10"/>
        <rFont val="宋体"/>
        <family val="3"/>
        <charset val="134"/>
      </rPr>
      <t>N</t>
    </r>
    <r>
      <rPr>
        <sz val="10"/>
        <color indexed="12"/>
        <rFont val="宋体"/>
        <family val="3"/>
        <charset val="134"/>
      </rPr>
      <t>，</t>
    </r>
    <r>
      <rPr>
        <sz val="10"/>
        <color indexed="10"/>
        <rFont val="宋体"/>
        <family val="3"/>
        <charset val="134"/>
      </rPr>
      <t>P</t>
    </r>
    <r>
      <rPr>
        <sz val="10"/>
        <color indexed="12"/>
        <rFont val="宋体"/>
        <family val="3"/>
        <charset val="134"/>
      </rPr>
      <t>，</t>
    </r>
    <r>
      <rPr>
        <sz val="10"/>
        <color indexed="10"/>
        <rFont val="宋体"/>
        <family val="3"/>
        <charset val="134"/>
      </rPr>
      <t>R</t>
    </r>
    <r>
      <rPr>
        <sz val="10"/>
        <color indexed="12"/>
        <rFont val="宋体"/>
        <family val="3"/>
        <charset val="134"/>
      </rPr>
      <t>=-40f</t>
    </r>
    <r>
      <rPr>
        <sz val="8"/>
        <color indexed="12"/>
        <rFont val="宋体"/>
        <family val="3"/>
        <charset val="134"/>
      </rPr>
      <t>pt</t>
    </r>
    <r>
      <rPr>
        <sz val="10"/>
        <color indexed="12"/>
        <rFont val="宋体"/>
        <family val="3"/>
        <charset val="134"/>
      </rPr>
      <t>，</t>
    </r>
    <r>
      <rPr>
        <sz val="10"/>
        <color indexed="10"/>
        <rFont val="宋体"/>
        <family val="3"/>
        <charset val="134"/>
      </rPr>
      <t>S</t>
    </r>
    <r>
      <rPr>
        <sz val="10"/>
        <color indexed="12"/>
        <rFont val="宋体"/>
        <family val="3"/>
        <charset val="134"/>
      </rPr>
      <t>=-50f</t>
    </r>
    <r>
      <rPr>
        <sz val="8"/>
        <color indexed="12"/>
        <rFont val="宋体"/>
        <family val="3"/>
        <charset val="134"/>
      </rPr>
      <t xml:space="preserve">pt </t>
    </r>
    <r>
      <rPr>
        <sz val="10"/>
        <color indexed="12"/>
        <rFont val="宋体"/>
        <family val="3"/>
        <charset val="134"/>
      </rPr>
      <t>（单位：微米）</t>
    </r>
  </si>
  <si>
    <t>外齿轮齿厚下偏差</t>
  </si>
  <si>
    <t>内齿轮齿厚上偏差</t>
  </si>
  <si>
    <t>内齿轮齿厚下偏差</t>
  </si>
  <si>
    <t>J</t>
  </si>
  <si>
    <r>
      <rPr>
        <sz val="12"/>
        <rFont val="宋体"/>
        <family val="3"/>
        <charset val="134"/>
      </rPr>
      <t>最</t>
    </r>
    <r>
      <rPr>
        <sz val="12"/>
        <rFont val="宋体"/>
        <family val="3"/>
        <charset val="134"/>
        <scheme val="minor"/>
      </rPr>
      <t>小</t>
    </r>
    <r>
      <rPr>
        <sz val="12"/>
        <rFont val="宋体"/>
        <family val="3"/>
        <charset val="134"/>
        <scheme val="minor"/>
      </rPr>
      <t>法</t>
    </r>
    <r>
      <rPr>
        <sz val="12"/>
        <rFont val="宋体"/>
        <family val="3"/>
        <charset val="134"/>
        <scheme val="minor"/>
      </rPr>
      <t>向</t>
    </r>
    <r>
      <rPr>
        <sz val="12"/>
        <rFont val="宋体"/>
        <family val="3"/>
        <charset val="134"/>
        <scheme val="minor"/>
      </rPr>
      <t>侧</t>
    </r>
    <r>
      <rPr>
        <sz val="12"/>
        <rFont val="宋体"/>
        <family val="3"/>
        <charset val="134"/>
        <scheme val="minor"/>
      </rPr>
      <t>隙</t>
    </r>
  </si>
  <si>
    <r>
      <rPr>
        <sz val="12"/>
        <rFont val="宋体"/>
        <family val="3"/>
        <charset val="134"/>
      </rPr>
      <t>最</t>
    </r>
    <r>
      <rPr>
        <sz val="12"/>
        <rFont val="宋体"/>
        <family val="3"/>
        <charset val="134"/>
        <scheme val="minor"/>
      </rPr>
      <t>大</t>
    </r>
    <r>
      <rPr>
        <sz val="12"/>
        <rFont val="宋体"/>
        <family val="3"/>
        <charset val="134"/>
        <scheme val="minor"/>
      </rPr>
      <t>法</t>
    </r>
    <r>
      <rPr>
        <sz val="12"/>
        <rFont val="宋体"/>
        <family val="3"/>
        <charset val="134"/>
        <scheme val="minor"/>
      </rPr>
      <t>向</t>
    </r>
    <r>
      <rPr>
        <sz val="12"/>
        <rFont val="宋体"/>
        <family val="3"/>
        <charset val="134"/>
        <scheme val="minor"/>
      </rPr>
      <t>侧</t>
    </r>
    <r>
      <rPr>
        <sz val="12"/>
        <rFont val="宋体"/>
        <family val="3"/>
        <charset val="134"/>
        <scheme val="minor"/>
      </rPr>
      <t>隙</t>
    </r>
  </si>
  <si>
    <t>注：如果侧隙不合适，可重新选择齿厚极限偏差种类。</t>
  </si>
  <si>
    <t>说明：如在下面输入齿厚上、下偏差的具体数值，则不认齿厚上、下偏差种类代码。</t>
  </si>
  <si>
    <r>
      <rPr>
        <sz val="12"/>
        <rFont val="Times New Roman"/>
        <family val="1"/>
      </rPr>
      <t>E</t>
    </r>
    <r>
      <rPr>
        <sz val="10"/>
        <rFont val="Times New Roman"/>
        <family val="1"/>
      </rPr>
      <t>ss1</t>
    </r>
  </si>
  <si>
    <r>
      <rPr>
        <sz val="12"/>
        <rFont val="Times New Roman"/>
        <family val="1"/>
      </rPr>
      <t>E</t>
    </r>
    <r>
      <rPr>
        <sz val="10"/>
        <rFont val="Times New Roman"/>
        <family val="1"/>
      </rPr>
      <t>si1</t>
    </r>
  </si>
  <si>
    <r>
      <rPr>
        <sz val="12"/>
        <rFont val="Times New Roman"/>
        <family val="1"/>
      </rPr>
      <t>E</t>
    </r>
    <r>
      <rPr>
        <sz val="10"/>
        <rFont val="Times New Roman"/>
        <family val="1"/>
      </rPr>
      <t>ss2</t>
    </r>
  </si>
  <si>
    <r>
      <rPr>
        <sz val="12"/>
        <rFont val="Times New Roman"/>
        <family val="1"/>
      </rPr>
      <t>E</t>
    </r>
    <r>
      <rPr>
        <sz val="10"/>
        <rFont val="Times New Roman"/>
        <family val="1"/>
      </rPr>
      <t>si2</t>
    </r>
  </si>
  <si>
    <r>
      <rPr>
        <sz val="12"/>
        <rFont val="Times New Roman"/>
        <family val="1"/>
      </rPr>
      <t>jn</t>
    </r>
    <r>
      <rPr>
        <sz val="10"/>
        <rFont val="Times New Roman"/>
        <family val="1"/>
      </rPr>
      <t>min</t>
    </r>
  </si>
  <si>
    <r>
      <rPr>
        <sz val="12"/>
        <rFont val="Times New Roman"/>
        <family val="1"/>
      </rPr>
      <t>jn</t>
    </r>
    <r>
      <rPr>
        <sz val="10"/>
        <rFont val="Times New Roman"/>
        <family val="1"/>
      </rPr>
      <t>max</t>
    </r>
  </si>
  <si>
    <t>跨棒距测量：</t>
  </si>
  <si>
    <t>外齿轮</t>
  </si>
  <si>
    <t>内齿轮</t>
  </si>
  <si>
    <t>跨棒距测量棒（球）直径：</t>
  </si>
  <si>
    <t>注：如不输入圆棒（球）直径实际值，则默认其参考值。</t>
  </si>
  <si>
    <t>圆棒（球）直径参考值</t>
  </si>
  <si>
    <r>
      <rPr>
        <sz val="12"/>
        <rFont val="Times New Roman"/>
        <family val="1"/>
      </rPr>
      <t>dp</t>
    </r>
    <r>
      <rPr>
        <sz val="10"/>
        <rFont val="Times New Roman"/>
        <family val="1"/>
      </rPr>
      <t>10</t>
    </r>
  </si>
  <si>
    <r>
      <rPr>
        <sz val="12"/>
        <rFont val="宋体"/>
        <family val="3"/>
        <charset val="134"/>
      </rPr>
      <t>dp</t>
    </r>
    <r>
      <rPr>
        <sz val="10"/>
        <rFont val="宋体"/>
        <family val="3"/>
        <charset val="134"/>
      </rPr>
      <t>20</t>
    </r>
  </si>
  <si>
    <t>圆棒（球）直径实际值</t>
  </si>
  <si>
    <r>
      <rPr>
        <sz val="12"/>
        <rFont val="Times New Roman"/>
        <family val="1"/>
      </rPr>
      <t>dp</t>
    </r>
    <r>
      <rPr>
        <sz val="10"/>
        <rFont val="Times New Roman"/>
        <family val="1"/>
      </rPr>
      <t>1</t>
    </r>
  </si>
  <si>
    <r>
      <rPr>
        <sz val="12"/>
        <rFont val="宋体"/>
        <family val="3"/>
        <charset val="134"/>
      </rPr>
      <t>dp</t>
    </r>
    <r>
      <rPr>
        <sz val="10"/>
        <rFont val="宋体"/>
        <family val="3"/>
        <charset val="134"/>
      </rPr>
      <t>2</t>
    </r>
  </si>
  <si>
    <t>传动质量指标的验算：</t>
  </si>
  <si>
    <t>小轮齿顶变尖</t>
  </si>
  <si>
    <t>齿廓重叠干涉</t>
  </si>
  <si>
    <t>齿顶非渐开线干涉</t>
  </si>
  <si>
    <r>
      <rPr>
        <sz val="12"/>
        <rFont val="宋体"/>
        <family val="3"/>
        <charset val="134"/>
      </rPr>
      <t>重</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度</t>
    </r>
  </si>
  <si>
    <r>
      <rPr>
        <sz val="12"/>
        <rFont val="宋体"/>
        <family val="3"/>
        <charset val="134"/>
      </rPr>
      <t>ε</t>
    </r>
    <r>
      <rPr>
        <sz val="10"/>
        <rFont val="宋体"/>
        <family val="3"/>
        <charset val="134"/>
      </rPr>
      <t>总</t>
    </r>
  </si>
  <si>
    <r>
      <rPr>
        <sz val="12"/>
        <rFont val="宋体"/>
        <family val="3"/>
        <charset val="134"/>
      </rPr>
      <t>ε</t>
    </r>
    <r>
      <rPr>
        <sz val="10"/>
        <rFont val="宋体"/>
        <family val="3"/>
        <charset val="134"/>
      </rPr>
      <t>纵向</t>
    </r>
  </si>
  <si>
    <r>
      <rPr>
        <sz val="12"/>
        <rFont val="宋体"/>
        <family val="3"/>
        <charset val="134"/>
      </rPr>
      <t>ε</t>
    </r>
    <r>
      <rPr>
        <sz val="10"/>
        <rFont val="宋体"/>
        <family val="3"/>
        <charset val="134"/>
      </rPr>
      <t>端面</t>
    </r>
  </si>
  <si>
    <t>齿条形刀具切齿验算：</t>
  </si>
  <si>
    <r>
      <rPr>
        <sz val="12"/>
        <rFont val="宋体"/>
        <family val="3"/>
        <charset val="134"/>
      </rPr>
      <t xml:space="preserve">根       </t>
    </r>
    <r>
      <rPr>
        <sz val="12"/>
        <rFont val="Times New Roman"/>
        <family val="1"/>
      </rPr>
      <t xml:space="preserve">   </t>
    </r>
    <r>
      <rPr>
        <sz val="12"/>
        <rFont val="宋体"/>
        <family val="3"/>
        <charset val="134"/>
        <scheme val="minor"/>
      </rPr>
      <t>切</t>
    </r>
  </si>
  <si>
    <t>圆盘插齿刀插齿验算：</t>
  </si>
  <si>
    <t>常用标准插齿刀</t>
  </si>
  <si>
    <t>插齿刀公称分度圆直径</t>
  </si>
  <si>
    <t>插 齿 刀 齿 数</t>
  </si>
  <si>
    <r>
      <rPr>
        <sz val="12"/>
        <rFont val="Times New Roman"/>
        <family val="1"/>
      </rPr>
      <t xml:space="preserve">Z </t>
    </r>
    <r>
      <rPr>
        <sz val="10"/>
        <rFont val="Times New Roman"/>
        <family val="1"/>
      </rPr>
      <t>0</t>
    </r>
  </si>
  <si>
    <t>插齿刀齿顶高系数</t>
  </si>
  <si>
    <r>
      <rPr>
        <sz val="12"/>
        <rFont val="Times New Roman"/>
        <family val="1"/>
      </rPr>
      <t>ha</t>
    </r>
    <r>
      <rPr>
        <sz val="9"/>
        <rFont val="Times New Roman"/>
        <family val="1"/>
      </rPr>
      <t>0</t>
    </r>
    <r>
      <rPr>
        <sz val="12"/>
        <rFont val="Times New Roman"/>
        <family val="1"/>
      </rPr>
      <t>*</t>
    </r>
  </si>
  <si>
    <t>基本截面齿顶圆直径</t>
  </si>
  <si>
    <t>新插齿刀齿顶圆直径</t>
  </si>
  <si>
    <r>
      <rPr>
        <sz val="12"/>
        <rFont val="Times New Roman"/>
        <family val="1"/>
      </rPr>
      <t xml:space="preserve">d </t>
    </r>
    <r>
      <rPr>
        <sz val="10"/>
        <rFont val="Times New Roman"/>
        <family val="1"/>
      </rPr>
      <t>a0</t>
    </r>
  </si>
  <si>
    <t>插齿刀实际齿顶圆直径</t>
  </si>
  <si>
    <r>
      <rPr>
        <sz val="12"/>
        <rFont val="Times New Roman"/>
        <family val="1"/>
      </rPr>
      <t xml:space="preserve">d </t>
    </r>
    <r>
      <rPr>
        <sz val="10"/>
        <rFont val="Times New Roman"/>
        <family val="1"/>
      </rPr>
      <t>a0</t>
    </r>
    <r>
      <rPr>
        <sz val="12"/>
        <rFont val="Times New Roman"/>
        <family val="1"/>
      </rPr>
      <t>'</t>
    </r>
  </si>
  <si>
    <t>前面至基本截面距离</t>
  </si>
  <si>
    <r>
      <rPr>
        <sz val="12"/>
        <rFont val="Times New Roman"/>
        <family val="1"/>
      </rPr>
      <t xml:space="preserve">b </t>
    </r>
    <r>
      <rPr>
        <sz val="10"/>
        <rFont val="Times New Roman"/>
        <family val="1"/>
      </rPr>
      <t>0</t>
    </r>
  </si>
  <si>
    <t>相应的变位系数</t>
  </si>
  <si>
    <r>
      <rPr>
        <sz val="12"/>
        <rFont val="Times New Roman"/>
        <family val="1"/>
      </rPr>
      <t xml:space="preserve">x </t>
    </r>
    <r>
      <rPr>
        <sz val="10"/>
        <rFont val="Times New Roman"/>
        <family val="1"/>
      </rPr>
      <t>0</t>
    </r>
  </si>
  <si>
    <t>其它插齿刀</t>
  </si>
  <si>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</si>
  <si>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2"/>
        <rFont val="Times New Roman"/>
        <family val="1"/>
      </rPr>
      <t>Z</t>
    </r>
    <r>
      <rPr>
        <sz val="9"/>
        <rFont val="Times New Roman"/>
        <family val="1"/>
      </rPr>
      <t>0</t>
    </r>
  </si>
  <si>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后</t>
    </r>
    <r>
      <rPr>
        <sz val="12"/>
        <rFont val="Times New Roman"/>
        <family val="1"/>
      </rPr>
      <t xml:space="preserve"> </t>
    </r>
    <r>
      <rPr>
        <sz val="12"/>
        <rFont val="宋体"/>
        <family val="3"/>
        <charset val="134"/>
        <scheme val="minor"/>
      </rPr>
      <t>角</t>
    </r>
  </si>
  <si>
    <r>
      <rPr>
        <sz val="12"/>
        <rFont val="宋体"/>
        <family val="3"/>
        <charset val="134"/>
      </rPr>
      <t>α</t>
    </r>
    <r>
      <rPr>
        <sz val="12"/>
        <rFont val="Times New Roman"/>
        <family val="1"/>
      </rPr>
      <t>a</t>
    </r>
  </si>
  <si>
    <t>允许的最大齿顶圆直径</t>
  </si>
  <si>
    <r>
      <rPr>
        <sz val="12"/>
        <rFont val="Times New Roman"/>
        <family val="1"/>
      </rPr>
      <t xml:space="preserve">d </t>
    </r>
    <r>
      <rPr>
        <sz val="10"/>
        <rFont val="Times New Roman"/>
        <family val="1"/>
      </rPr>
      <t>a0max</t>
    </r>
  </si>
  <si>
    <t>插齿刀实际顶圆直径</t>
  </si>
  <si>
    <r>
      <rPr>
        <sz val="12"/>
        <rFont val="Times New Roman"/>
        <family val="1"/>
      </rPr>
      <t>b</t>
    </r>
    <r>
      <rPr>
        <sz val="9"/>
        <rFont val="Times New Roman"/>
        <family val="1"/>
      </rPr>
      <t>0</t>
    </r>
  </si>
  <si>
    <t>插齿刀径向变位系数</t>
  </si>
  <si>
    <r>
      <rPr>
        <sz val="12"/>
        <rFont val="Times New Roman"/>
        <family val="1"/>
      </rPr>
      <t>x</t>
    </r>
    <r>
      <rPr>
        <sz val="9"/>
        <rFont val="Times New Roman"/>
        <family val="1"/>
      </rPr>
      <t>0</t>
    </r>
  </si>
  <si>
    <t>几何参数计算：</t>
  </si>
  <si>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压</t>
    </r>
    <r>
      <rPr>
        <sz val="12"/>
        <rFont val="Times New Roman"/>
        <family val="1"/>
      </rPr>
      <t xml:space="preserve"> </t>
    </r>
    <r>
      <rPr>
        <sz val="12"/>
        <rFont val="宋体"/>
        <family val="3"/>
        <charset val="134"/>
        <scheme val="minor"/>
      </rPr>
      <t>力</t>
    </r>
    <r>
      <rPr>
        <sz val="12"/>
        <rFont val="Times New Roman"/>
        <family val="1"/>
      </rPr>
      <t xml:space="preserve"> </t>
    </r>
    <r>
      <rPr>
        <sz val="12"/>
        <rFont val="宋体"/>
        <family val="3"/>
        <charset val="134"/>
        <scheme val="minor"/>
      </rPr>
      <t>角</t>
    </r>
  </si>
  <si>
    <r>
      <rPr>
        <sz val="12"/>
        <rFont val="宋体"/>
        <family val="3"/>
        <charset val="134"/>
      </rPr>
      <t>(INVα</t>
    </r>
    <r>
      <rPr>
        <sz val="10"/>
        <rFont val="宋体"/>
        <family val="3"/>
        <charset val="134"/>
      </rPr>
      <t>n)</t>
    </r>
  </si>
  <si>
    <r>
      <rPr>
        <sz val="10"/>
        <rFont val="宋体"/>
        <family val="3"/>
        <charset val="134"/>
      </rPr>
      <t>度</t>
    </r>
    <r>
      <rPr>
        <sz val="10"/>
        <rFont val="Times New Roman"/>
        <family val="1"/>
      </rPr>
      <t>.</t>
    </r>
    <r>
      <rPr>
        <sz val="10"/>
        <rFont val="宋体"/>
        <family val="3"/>
        <charset val="134"/>
      </rPr>
      <t>分秒</t>
    </r>
  </si>
  <si>
    <r>
      <rPr>
        <sz val="12"/>
        <rFont val="宋体"/>
        <family val="3"/>
        <charset val="134"/>
      </rPr>
      <t>端</t>
    </r>
    <r>
      <rPr>
        <sz val="12"/>
        <rFont val="Times New Roman"/>
        <family val="1"/>
      </rPr>
      <t xml:space="preserve"> </t>
    </r>
    <r>
      <rPr>
        <sz val="12"/>
        <rFont val="宋体"/>
        <family val="3"/>
        <charset val="134"/>
        <scheme val="minor"/>
      </rPr>
      <t>面</t>
    </r>
    <r>
      <rPr>
        <sz val="12"/>
        <rFont val="Times New Roman"/>
        <family val="1"/>
      </rPr>
      <t xml:space="preserve"> </t>
    </r>
    <r>
      <rPr>
        <sz val="12"/>
        <rFont val="宋体"/>
        <family val="3"/>
        <charset val="134"/>
        <scheme val="minor"/>
      </rPr>
      <t>压</t>
    </r>
    <r>
      <rPr>
        <sz val="12"/>
        <rFont val="Times New Roman"/>
        <family val="1"/>
      </rPr>
      <t xml:space="preserve"> </t>
    </r>
    <r>
      <rPr>
        <sz val="12"/>
        <rFont val="宋体"/>
        <family val="3"/>
        <charset val="134"/>
        <scheme val="minor"/>
      </rPr>
      <t>力</t>
    </r>
    <r>
      <rPr>
        <sz val="12"/>
        <rFont val="Times New Roman"/>
        <family val="1"/>
      </rPr>
      <t xml:space="preserve"> </t>
    </r>
    <r>
      <rPr>
        <sz val="12"/>
        <rFont val="宋体"/>
        <family val="3"/>
        <charset val="134"/>
        <scheme val="minor"/>
      </rPr>
      <t>角</t>
    </r>
  </si>
  <si>
    <r>
      <rPr>
        <sz val="12"/>
        <rFont val="宋体"/>
        <family val="3"/>
        <charset val="134"/>
      </rPr>
      <t>α</t>
    </r>
    <r>
      <rPr>
        <sz val="10"/>
        <rFont val="Times New Roman"/>
        <family val="1"/>
      </rPr>
      <t>t</t>
    </r>
  </si>
  <si>
    <r>
      <rPr>
        <sz val="12"/>
        <rFont val="宋体"/>
        <family val="3"/>
        <charset val="134"/>
      </rPr>
      <t>(INVα</t>
    </r>
    <r>
      <rPr>
        <sz val="10"/>
        <rFont val="宋体"/>
        <family val="3"/>
        <charset val="134"/>
      </rPr>
      <t>t)</t>
    </r>
  </si>
  <si>
    <t>节圆柱螺旋角</t>
  </si>
  <si>
    <r>
      <rPr>
        <sz val="12"/>
        <rFont val="宋体"/>
        <family val="3"/>
        <charset val="134"/>
      </rPr>
      <t>β</t>
    </r>
    <r>
      <rPr>
        <sz val="12"/>
        <rFont val="Times New Roman"/>
        <family val="1"/>
      </rPr>
      <t>'</t>
    </r>
  </si>
  <si>
    <t>基圆柱螺旋角</t>
  </si>
  <si>
    <r>
      <rPr>
        <sz val="12"/>
        <rFont val="宋体"/>
        <family val="3"/>
        <charset val="134"/>
      </rPr>
      <t>β</t>
    </r>
    <r>
      <rPr>
        <sz val="10"/>
        <rFont val="Times New Roman"/>
        <family val="1"/>
      </rPr>
      <t>b</t>
    </r>
  </si>
  <si>
    <t>顶圆柱螺旋角</t>
  </si>
  <si>
    <r>
      <rPr>
        <sz val="12"/>
        <rFont val="宋体"/>
        <family val="3"/>
        <charset val="134"/>
      </rPr>
      <t>β</t>
    </r>
    <r>
      <rPr>
        <sz val="10"/>
        <rFont val="Times New Roman"/>
        <family val="1"/>
      </rPr>
      <t>a</t>
    </r>
  </si>
  <si>
    <r>
      <rPr>
        <sz val="12"/>
        <rFont val="宋体"/>
        <family val="3"/>
        <charset val="134"/>
      </rPr>
      <t>标</t>
    </r>
    <r>
      <rPr>
        <sz val="12"/>
        <rFont val="Times New Roman"/>
        <family val="1"/>
      </rPr>
      <t xml:space="preserve"> </t>
    </r>
    <r>
      <rPr>
        <sz val="12"/>
        <rFont val="宋体"/>
        <family val="3"/>
        <charset val="134"/>
        <scheme val="minor"/>
      </rPr>
      <t>准</t>
    </r>
    <r>
      <rPr>
        <sz val="12"/>
        <rFont val="Times New Roman"/>
        <family val="1"/>
      </rPr>
      <t xml:space="preserve"> </t>
    </r>
    <r>
      <rPr>
        <sz val="12"/>
        <rFont val="宋体"/>
        <family val="3"/>
        <charset val="134"/>
        <scheme val="minor"/>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r>
      <rPr>
        <sz val="12"/>
        <rFont val="Times New Roman"/>
        <family val="1"/>
      </rPr>
      <t xml:space="preserve"> </t>
    </r>
  </si>
  <si>
    <r>
      <rPr>
        <sz val="12"/>
        <rFont val="宋体"/>
        <family val="3"/>
        <charset val="134"/>
      </rPr>
      <t>实</t>
    </r>
    <r>
      <rPr>
        <sz val="12"/>
        <rFont val="Times New Roman"/>
        <family val="1"/>
      </rPr>
      <t xml:space="preserve"> </t>
    </r>
    <r>
      <rPr>
        <sz val="12"/>
        <rFont val="宋体"/>
        <family val="3"/>
        <charset val="134"/>
        <scheme val="minor"/>
      </rPr>
      <t>际</t>
    </r>
    <r>
      <rPr>
        <sz val="12"/>
        <rFont val="Times New Roman"/>
        <family val="1"/>
      </rPr>
      <t xml:space="preserve"> </t>
    </r>
    <r>
      <rPr>
        <sz val="12"/>
        <rFont val="宋体"/>
        <family val="3"/>
        <charset val="134"/>
        <scheme val="minor"/>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</si>
  <si>
    <r>
      <rPr>
        <sz val="12"/>
        <rFont val="宋体"/>
        <family val="3"/>
        <charset val="134"/>
      </rPr>
      <t>端</t>
    </r>
    <r>
      <rPr>
        <sz val="12"/>
        <rFont val="Times New Roman"/>
        <family val="1"/>
      </rPr>
      <t xml:space="preserve">   </t>
    </r>
    <r>
      <rPr>
        <sz val="12"/>
        <rFont val="宋体"/>
        <family val="3"/>
        <charset val="134"/>
        <scheme val="minor"/>
      </rPr>
      <t>面</t>
    </r>
    <r>
      <rPr>
        <sz val="12"/>
        <rFont val="Times New Roman"/>
        <family val="1"/>
      </rPr>
      <t xml:space="preserve">   </t>
    </r>
    <r>
      <rPr>
        <sz val="12"/>
        <rFont val="宋体"/>
        <family val="3"/>
        <charset val="134"/>
        <scheme val="minor"/>
      </rPr>
      <t>模</t>
    </r>
    <r>
      <rPr>
        <sz val="12"/>
        <rFont val="Times New Roman"/>
        <family val="1"/>
      </rPr>
      <t xml:space="preserve">   </t>
    </r>
    <r>
      <rPr>
        <sz val="12"/>
        <rFont val="宋体"/>
        <family val="3"/>
        <charset val="134"/>
        <scheme val="minor"/>
      </rPr>
      <t>数</t>
    </r>
  </si>
  <si>
    <r>
      <rPr>
        <sz val="12"/>
        <rFont val="Times New Roman"/>
        <family val="1"/>
      </rPr>
      <t xml:space="preserve">m </t>
    </r>
    <r>
      <rPr>
        <sz val="10"/>
        <rFont val="Times New Roman"/>
        <family val="1"/>
      </rPr>
      <t>t</t>
    </r>
  </si>
  <si>
    <r>
      <rPr>
        <sz val="12"/>
        <rFont val="宋体"/>
        <family val="3"/>
        <charset val="134"/>
      </rPr>
      <t>分</t>
    </r>
    <r>
      <rPr>
        <sz val="12"/>
        <rFont val="Times New Roman"/>
        <family val="1"/>
      </rPr>
      <t xml:space="preserve"> </t>
    </r>
    <r>
      <rPr>
        <sz val="12"/>
        <rFont val="宋体"/>
        <family val="3"/>
        <charset val="134"/>
        <scheme val="minor"/>
      </rPr>
      <t>度</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</si>
  <si>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d</t>
    </r>
    <r>
      <rPr>
        <sz val="10"/>
        <rFont val="Times New Roman"/>
        <family val="1"/>
      </rPr>
      <t xml:space="preserve"> </t>
    </r>
    <r>
      <rPr>
        <sz val="8"/>
        <rFont val="Times New Roman"/>
        <family val="1"/>
      </rPr>
      <t>1</t>
    </r>
  </si>
  <si>
    <r>
      <rPr>
        <sz val="12"/>
        <rFont val="Times New Roman"/>
        <family val="1"/>
      </rPr>
      <t xml:space="preserve">d </t>
    </r>
    <r>
      <rPr>
        <sz val="8"/>
        <rFont val="Times New Roman"/>
        <family val="1"/>
      </rPr>
      <t>2</t>
    </r>
  </si>
  <si>
    <r>
      <rPr>
        <sz val="12"/>
        <rFont val="宋体"/>
        <family val="3"/>
        <charset val="134"/>
      </rPr>
      <t>节</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</si>
  <si>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8"/>
        <rFont val="Times New Roman"/>
        <family val="1"/>
      </rPr>
      <t>1</t>
    </r>
    <r>
      <rPr>
        <sz val="12"/>
        <rFont val="Times New Roman"/>
        <family val="1"/>
      </rPr>
      <t>'</t>
    </r>
  </si>
  <si>
    <r>
      <rPr>
        <sz val="12"/>
        <rFont val="Times New Roman"/>
        <family val="1"/>
      </rPr>
      <t xml:space="preserve">d </t>
    </r>
    <r>
      <rPr>
        <sz val="8"/>
        <rFont val="Times New Roman"/>
        <family val="1"/>
      </rPr>
      <t>2</t>
    </r>
    <r>
      <rPr>
        <sz val="12"/>
        <rFont val="Times New Roman"/>
        <family val="1"/>
      </rPr>
      <t>'</t>
    </r>
  </si>
  <si>
    <r>
      <rPr>
        <sz val="12"/>
        <rFont val="宋体"/>
        <family val="3"/>
        <charset val="134"/>
      </rPr>
      <t>基</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</si>
  <si>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b1</t>
    </r>
  </si>
  <si>
    <r>
      <rPr>
        <sz val="12"/>
        <rFont val="Times New Roman"/>
        <family val="1"/>
      </rPr>
      <t xml:space="preserve">d </t>
    </r>
    <r>
      <rPr>
        <sz val="10"/>
        <rFont val="Times New Roman"/>
        <family val="1"/>
      </rPr>
      <t>b2</t>
    </r>
  </si>
  <si>
    <r>
      <rPr>
        <sz val="12"/>
        <rFont val="宋体"/>
        <family val="3"/>
        <charset val="134"/>
      </rPr>
      <t>端</t>
    </r>
    <r>
      <rPr>
        <sz val="12"/>
        <rFont val="Times New Roman"/>
        <family val="1"/>
      </rPr>
      <t xml:space="preserve"> </t>
    </r>
    <r>
      <rPr>
        <sz val="12"/>
        <rFont val="宋体"/>
        <family val="3"/>
        <charset val="134"/>
        <scheme val="minor"/>
      </rPr>
      <t>面</t>
    </r>
    <r>
      <rPr>
        <sz val="12"/>
        <rFont val="Times New Roman"/>
        <family val="1"/>
      </rPr>
      <t xml:space="preserve"> </t>
    </r>
    <r>
      <rPr>
        <sz val="12"/>
        <rFont val="宋体"/>
        <family val="3"/>
        <charset val="134"/>
        <scheme val="minor"/>
      </rPr>
      <t>啮</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角</t>
    </r>
  </si>
  <si>
    <r>
      <rPr>
        <sz val="12"/>
        <rFont val="宋体"/>
        <family val="3"/>
        <charset val="134"/>
      </rPr>
      <t>α</t>
    </r>
    <r>
      <rPr>
        <sz val="10"/>
        <rFont val="Times New Roman"/>
        <family val="1"/>
      </rPr>
      <t>t'</t>
    </r>
  </si>
  <si>
    <r>
      <rPr>
        <sz val="12"/>
        <rFont val="宋体"/>
        <family val="3"/>
        <charset val="134"/>
      </rPr>
      <t>(INVα</t>
    </r>
    <r>
      <rPr>
        <sz val="10"/>
        <rFont val="宋体"/>
        <family val="3"/>
        <charset val="134"/>
      </rPr>
      <t>t</t>
    </r>
    <r>
      <rPr>
        <sz val="12"/>
        <rFont val="宋体"/>
        <family val="3"/>
        <charset val="134"/>
        <scheme val="minor"/>
      </rPr>
      <t>'</t>
    </r>
    <r>
      <rPr>
        <sz val="10"/>
        <rFont val="宋体"/>
        <family val="3"/>
        <charset val="134"/>
      </rPr>
      <t>)</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</si>
  <si>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啮</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角</t>
    </r>
  </si>
  <si>
    <r>
      <rPr>
        <sz val="12"/>
        <rFont val="宋体"/>
        <family val="3"/>
        <charset val="134"/>
      </rPr>
      <t>α</t>
    </r>
    <r>
      <rPr>
        <sz val="10"/>
        <rFont val="Times New Roman"/>
        <family val="1"/>
      </rPr>
      <t>n'</t>
    </r>
  </si>
  <si>
    <r>
      <rPr>
        <sz val="12"/>
        <rFont val="Times New Roman"/>
        <family val="1"/>
      </rPr>
      <t xml:space="preserve"> </t>
    </r>
    <r>
      <rPr>
        <sz val="12"/>
        <rFont val="宋体"/>
        <family val="3"/>
        <charset val="134"/>
        <scheme val="minor"/>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距</t>
    </r>
  </si>
  <si>
    <r>
      <rPr>
        <sz val="12"/>
        <rFont val="Times New Roman"/>
        <family val="1"/>
      </rPr>
      <t xml:space="preserve">p </t>
    </r>
    <r>
      <rPr>
        <sz val="10"/>
        <rFont val="Times New Roman"/>
        <family val="1"/>
      </rPr>
      <t>n</t>
    </r>
  </si>
  <si>
    <r>
      <rPr>
        <sz val="12"/>
        <rFont val="Times New Roman"/>
        <family val="1"/>
      </rPr>
      <t xml:space="preserve"> </t>
    </r>
    <r>
      <rPr>
        <sz val="12"/>
        <rFont val="宋体"/>
        <family val="3"/>
        <charset val="134"/>
        <scheme val="minor"/>
      </rPr>
      <t>端</t>
    </r>
    <r>
      <rPr>
        <sz val="12"/>
        <rFont val="Times New Roman"/>
        <family val="1"/>
      </rPr>
      <t xml:space="preserve">   </t>
    </r>
    <r>
      <rPr>
        <sz val="12"/>
        <rFont val="宋体"/>
        <family val="3"/>
        <charset val="134"/>
        <scheme val="minor"/>
      </rPr>
      <t>面</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距</t>
    </r>
  </si>
  <si>
    <r>
      <rPr>
        <sz val="12"/>
        <rFont val="Times New Roman"/>
        <family val="1"/>
      </rPr>
      <t xml:space="preserve">p </t>
    </r>
    <r>
      <rPr>
        <sz val="9"/>
        <rFont val="Times New Roman"/>
        <family val="1"/>
      </rPr>
      <t>t</t>
    </r>
  </si>
  <si>
    <r>
      <rPr>
        <sz val="12"/>
        <rFont val="Times New Roman"/>
        <family val="1"/>
      </rPr>
      <t xml:space="preserve"> </t>
    </r>
    <r>
      <rPr>
        <sz val="12"/>
        <rFont val="宋体"/>
        <family val="3"/>
        <charset val="134"/>
        <scheme val="minor"/>
      </rPr>
      <t>基  圆</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距</t>
    </r>
  </si>
  <si>
    <t>pbt</t>
  </si>
  <si>
    <r>
      <rPr>
        <sz val="12"/>
        <rFont val="Times New Roman"/>
        <family val="1"/>
      </rPr>
      <t>x</t>
    </r>
    <r>
      <rPr>
        <sz val="10"/>
        <rFont val="Times New Roman"/>
        <family val="1"/>
      </rPr>
      <t xml:space="preserve"> t1</t>
    </r>
  </si>
  <si>
    <r>
      <rPr>
        <sz val="12"/>
        <rFont val="Times New Roman"/>
        <family val="1"/>
      </rPr>
      <t>x</t>
    </r>
    <r>
      <rPr>
        <sz val="10"/>
        <rFont val="Times New Roman"/>
        <family val="1"/>
      </rPr>
      <t xml:space="preserve"> t2</t>
    </r>
  </si>
  <si>
    <t>法向变位系数</t>
  </si>
  <si>
    <r>
      <rPr>
        <sz val="12"/>
        <rFont val="Times New Roman"/>
        <family val="1"/>
      </rPr>
      <t>x</t>
    </r>
    <r>
      <rPr>
        <sz val="10"/>
        <rFont val="Times New Roman"/>
        <family val="1"/>
      </rPr>
      <t xml:space="preserve"> n1</t>
    </r>
  </si>
  <si>
    <r>
      <rPr>
        <sz val="12"/>
        <rFont val="Times New Roman"/>
        <family val="1"/>
      </rPr>
      <t>x</t>
    </r>
    <r>
      <rPr>
        <sz val="10"/>
        <rFont val="Times New Roman"/>
        <family val="1"/>
      </rPr>
      <t xml:space="preserve"> n2</t>
    </r>
  </si>
  <si>
    <t>中心距变动系数</t>
  </si>
  <si>
    <r>
      <rPr>
        <sz val="12"/>
        <rFont val="Times New Roman"/>
        <family val="1"/>
      </rPr>
      <t xml:space="preserve">y </t>
    </r>
    <r>
      <rPr>
        <sz val="10"/>
        <rFont val="Times New Roman"/>
        <family val="1"/>
      </rPr>
      <t>t</t>
    </r>
  </si>
  <si>
    <t>齿顶高变动系数</t>
  </si>
  <si>
    <r>
      <rPr>
        <sz val="10"/>
        <rFont val="宋体"/>
        <family val="3"/>
        <charset val="134"/>
      </rPr>
      <t>Δ</t>
    </r>
    <r>
      <rPr>
        <sz val="10"/>
        <rFont val="Times New Roman"/>
        <family val="1"/>
      </rPr>
      <t>yt</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</si>
  <si>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高</t>
    </r>
  </si>
  <si>
    <r>
      <rPr>
        <sz val="12"/>
        <rFont val="Times New Roman"/>
        <family val="1"/>
      </rPr>
      <t>h</t>
    </r>
    <r>
      <rPr>
        <sz val="10"/>
        <rFont val="Times New Roman"/>
        <family val="1"/>
      </rPr>
      <t>a1</t>
    </r>
  </si>
  <si>
    <r>
      <rPr>
        <sz val="12"/>
        <rFont val="Times New Roman"/>
        <family val="1"/>
      </rPr>
      <t>h</t>
    </r>
    <r>
      <rPr>
        <sz val="10"/>
        <rFont val="Times New Roman"/>
        <family val="1"/>
      </rPr>
      <t>a2</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</si>
  <si>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高</t>
    </r>
  </si>
  <si>
    <r>
      <rPr>
        <sz val="12"/>
        <rFont val="Times New Roman"/>
        <family val="1"/>
      </rPr>
      <t>h</t>
    </r>
    <r>
      <rPr>
        <sz val="10"/>
        <rFont val="Times New Roman"/>
        <family val="1"/>
      </rPr>
      <t>f1</t>
    </r>
  </si>
  <si>
    <r>
      <rPr>
        <sz val="12"/>
        <rFont val="Times New Roman"/>
        <family val="1"/>
      </rPr>
      <t>h</t>
    </r>
    <r>
      <rPr>
        <sz val="10"/>
        <rFont val="Times New Roman"/>
        <family val="1"/>
      </rPr>
      <t>f</t>
    </r>
    <r>
      <rPr>
        <sz val="11"/>
        <rFont val="Times New Roman"/>
        <family val="1"/>
      </rPr>
      <t>2</t>
    </r>
  </si>
  <si>
    <r>
      <rPr>
        <sz val="12"/>
        <rFont val="宋体"/>
        <family val="3"/>
        <charset val="134"/>
      </rPr>
      <t>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</si>
  <si>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</si>
  <si>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a</t>
    </r>
    <r>
      <rPr>
        <sz val="8"/>
        <rFont val="Times New Roman"/>
        <family val="1"/>
      </rPr>
      <t>1</t>
    </r>
  </si>
  <si>
    <r>
      <rPr>
        <sz val="12"/>
        <rFont val="Times New Roman"/>
        <family val="1"/>
      </rPr>
      <t xml:space="preserve">d </t>
    </r>
    <r>
      <rPr>
        <sz val="10"/>
        <rFont val="Times New Roman"/>
        <family val="1"/>
      </rPr>
      <t>a</t>
    </r>
    <r>
      <rPr>
        <sz val="8"/>
        <rFont val="Times New Roman"/>
        <family val="1"/>
      </rPr>
      <t>2</t>
    </r>
  </si>
  <si>
    <t>齿顶倒棱有效直径</t>
  </si>
  <si>
    <r>
      <rPr>
        <sz val="12"/>
        <rFont val="Times New Roman"/>
        <family val="1"/>
      </rPr>
      <t xml:space="preserve">d </t>
    </r>
    <r>
      <rPr>
        <sz val="10"/>
        <rFont val="Times New Roman"/>
        <family val="1"/>
      </rPr>
      <t>a</t>
    </r>
    <r>
      <rPr>
        <sz val="8"/>
        <rFont val="Times New Roman"/>
        <family val="1"/>
      </rPr>
      <t>1</t>
    </r>
    <r>
      <rPr>
        <sz val="12"/>
        <rFont val="Times New Roman"/>
        <family val="1"/>
      </rPr>
      <t>'</t>
    </r>
  </si>
  <si>
    <r>
      <rPr>
        <sz val="12"/>
        <rFont val="Times New Roman"/>
        <family val="1"/>
      </rPr>
      <t xml:space="preserve">d </t>
    </r>
    <r>
      <rPr>
        <sz val="10"/>
        <rFont val="Times New Roman"/>
        <family val="1"/>
      </rPr>
      <t>a</t>
    </r>
    <r>
      <rPr>
        <sz val="8"/>
        <rFont val="Times New Roman"/>
        <family val="1"/>
      </rPr>
      <t>2</t>
    </r>
    <r>
      <rPr>
        <sz val="12"/>
        <rFont val="Times New Roman"/>
        <family val="1"/>
      </rPr>
      <t>'</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</si>
  <si>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</si>
  <si>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f</t>
    </r>
    <r>
      <rPr>
        <sz val="8"/>
        <rFont val="Times New Roman"/>
        <family val="1"/>
      </rPr>
      <t>1</t>
    </r>
  </si>
  <si>
    <r>
      <rPr>
        <sz val="12"/>
        <rFont val="Times New Roman"/>
        <family val="1"/>
      </rPr>
      <t xml:space="preserve">d </t>
    </r>
    <r>
      <rPr>
        <sz val="10"/>
        <rFont val="Times New Roman"/>
        <family val="1"/>
      </rPr>
      <t>f</t>
    </r>
    <r>
      <rPr>
        <sz val="8"/>
        <rFont val="Times New Roman"/>
        <family val="1"/>
      </rPr>
      <t>2</t>
    </r>
  </si>
  <si>
    <r>
      <rPr>
        <sz val="12"/>
        <rFont val="宋体"/>
        <family val="3"/>
        <charset val="134"/>
      </rPr>
      <t>弧</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</si>
  <si>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t>
    </r>
    <r>
      <rPr>
        <sz val="10"/>
        <rFont val="Times New Roman"/>
        <family val="1"/>
      </rPr>
      <t xml:space="preserve"> t1</t>
    </r>
  </si>
  <si>
    <r>
      <rPr>
        <sz val="12"/>
        <rFont val="Times New Roman"/>
        <family val="1"/>
      </rPr>
      <t>S</t>
    </r>
    <r>
      <rPr>
        <sz val="10"/>
        <rFont val="Times New Roman"/>
        <family val="1"/>
      </rPr>
      <t xml:space="preserve"> t2</t>
    </r>
  </si>
  <si>
    <r>
      <rPr>
        <sz val="12"/>
        <rFont val="宋体"/>
        <family val="3"/>
        <charset val="134"/>
      </rPr>
      <t>接 触</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长</t>
    </r>
    <r>
      <rPr>
        <sz val="12"/>
        <rFont val="Times New Roman"/>
        <family val="1"/>
      </rPr>
      <t xml:space="preserve"> </t>
    </r>
    <r>
      <rPr>
        <sz val="12"/>
        <rFont val="宋体"/>
        <family val="3"/>
        <charset val="134"/>
        <scheme val="minor"/>
      </rPr>
      <t>度</t>
    </r>
  </si>
  <si>
    <r>
      <rPr>
        <sz val="12"/>
        <rFont val="Times New Roman"/>
        <family val="1"/>
      </rPr>
      <t>L</t>
    </r>
    <r>
      <rPr>
        <sz val="10"/>
        <rFont val="Times New Roman"/>
        <family val="1"/>
      </rPr>
      <t>12</t>
    </r>
  </si>
  <si>
    <t>齿顶圆压力角</t>
  </si>
  <si>
    <r>
      <rPr>
        <sz val="12"/>
        <rFont val="宋体"/>
        <family val="3"/>
        <charset val="134"/>
      </rPr>
      <t>α</t>
    </r>
    <r>
      <rPr>
        <sz val="10"/>
        <rFont val="Times New Roman"/>
        <family val="1"/>
      </rPr>
      <t>a1</t>
    </r>
  </si>
  <si>
    <r>
      <rPr>
        <sz val="12"/>
        <rFont val="宋体"/>
        <family val="3"/>
        <charset val="134"/>
      </rPr>
      <t>α</t>
    </r>
    <r>
      <rPr>
        <sz val="10"/>
        <rFont val="宋体"/>
        <family val="3"/>
        <charset val="134"/>
      </rPr>
      <t>a2</t>
    </r>
  </si>
  <si>
    <t>有效齿顶圆压力角</t>
  </si>
  <si>
    <r>
      <rPr>
        <sz val="12"/>
        <rFont val="宋体"/>
        <family val="3"/>
        <charset val="134"/>
      </rPr>
      <t>α</t>
    </r>
    <r>
      <rPr>
        <sz val="10"/>
        <rFont val="Times New Roman"/>
        <family val="1"/>
      </rPr>
      <t>a1'</t>
    </r>
  </si>
  <si>
    <r>
      <rPr>
        <sz val="12"/>
        <rFont val="宋体"/>
        <family val="3"/>
        <charset val="134"/>
      </rPr>
      <t>α</t>
    </r>
    <r>
      <rPr>
        <sz val="10"/>
        <rFont val="宋体"/>
        <family val="3"/>
        <charset val="134"/>
      </rPr>
      <t>a2'</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</si>
  <si>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</si>
  <si>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Sa</t>
    </r>
    <r>
      <rPr>
        <sz val="10"/>
        <rFont val="Times New Roman"/>
        <family val="1"/>
      </rPr>
      <t>1</t>
    </r>
  </si>
  <si>
    <r>
      <rPr>
        <sz val="12"/>
        <rFont val="Times New Roman"/>
        <family val="1"/>
      </rPr>
      <t>Sa</t>
    </r>
    <r>
      <rPr>
        <sz val="10"/>
        <rFont val="Times New Roman"/>
        <family val="1"/>
      </rPr>
      <t>2</t>
    </r>
  </si>
  <si>
    <r>
      <rPr>
        <sz val="12"/>
        <rFont val="宋体"/>
        <family val="3"/>
        <charset val="134"/>
      </rPr>
      <t>公</t>
    </r>
    <r>
      <rPr>
        <sz val="12"/>
        <rFont val="Times New Roman"/>
        <family val="1"/>
      </rPr>
      <t xml:space="preserve"> </t>
    </r>
    <r>
      <rPr>
        <sz val="12"/>
        <rFont val="宋体"/>
        <family val="3"/>
        <charset val="134"/>
        <scheme val="minor"/>
      </rPr>
      <t>法</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长</t>
    </r>
    <r>
      <rPr>
        <sz val="12"/>
        <rFont val="Times New Roman"/>
        <family val="1"/>
      </rPr>
      <t xml:space="preserve"> </t>
    </r>
    <r>
      <rPr>
        <sz val="12"/>
        <rFont val="宋体"/>
        <family val="3"/>
        <charset val="134"/>
        <scheme val="minor"/>
      </rPr>
      <t>度</t>
    </r>
  </si>
  <si>
    <r>
      <rPr>
        <sz val="12"/>
        <rFont val="Times New Roman"/>
        <family val="1"/>
      </rPr>
      <t>W</t>
    </r>
    <r>
      <rPr>
        <sz val="10"/>
        <rFont val="Times New Roman"/>
        <family val="1"/>
      </rPr>
      <t>k1</t>
    </r>
  </si>
  <si>
    <r>
      <rPr>
        <sz val="12"/>
        <rFont val="Times New Roman"/>
        <family val="1"/>
      </rPr>
      <t>W</t>
    </r>
    <r>
      <rPr>
        <sz val="10"/>
        <rFont val="Times New Roman"/>
        <family val="1"/>
      </rPr>
      <t>k2</t>
    </r>
  </si>
  <si>
    <r>
      <rPr>
        <sz val="12"/>
        <rFont val="宋体"/>
        <family val="3"/>
        <charset val="134"/>
      </rPr>
      <t>卡</t>
    </r>
    <r>
      <rPr>
        <sz val="12"/>
        <rFont val="Times New Roman"/>
        <family val="1"/>
      </rPr>
      <t xml:space="preserve">   </t>
    </r>
    <r>
      <rPr>
        <sz val="12"/>
        <rFont val="宋体"/>
        <family val="3"/>
        <charset val="134"/>
        <scheme val="minor"/>
      </rPr>
      <t>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</si>
  <si>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2"/>
        <rFont val="Times New Roman"/>
        <family val="1"/>
      </rPr>
      <t>k</t>
    </r>
    <r>
      <rPr>
        <sz val="10"/>
        <rFont val="Times New Roman"/>
        <family val="1"/>
      </rPr>
      <t>1</t>
    </r>
  </si>
  <si>
    <r>
      <rPr>
        <sz val="12"/>
        <rFont val="Times New Roman"/>
        <family val="1"/>
      </rPr>
      <t>k</t>
    </r>
    <r>
      <rPr>
        <sz val="10"/>
        <rFont val="Times New Roman"/>
        <family val="1"/>
      </rPr>
      <t>2</t>
    </r>
  </si>
  <si>
    <r>
      <rPr>
        <sz val="12"/>
        <rFont val="Times New Roman"/>
        <family val="1"/>
      </rPr>
      <t>W</t>
    </r>
    <r>
      <rPr>
        <sz val="10"/>
        <rFont val="Times New Roman"/>
        <family val="1"/>
      </rPr>
      <t xml:space="preserve">k  </t>
    </r>
    <r>
      <rPr>
        <sz val="12"/>
        <rFont val="宋体"/>
        <family val="3"/>
        <charset val="134"/>
        <scheme val="minor"/>
      </rPr>
      <t>是</t>
    </r>
    <r>
      <rPr>
        <sz val="12"/>
        <rFont val="Times New Roman"/>
        <family val="1"/>
      </rPr>
      <t xml:space="preserve">  </t>
    </r>
    <r>
      <rPr>
        <sz val="12"/>
        <rFont val="宋体"/>
        <family val="3"/>
        <charset val="134"/>
        <scheme val="minor"/>
      </rPr>
      <t>否</t>
    </r>
    <r>
      <rPr>
        <sz val="12"/>
        <rFont val="Times New Roman"/>
        <family val="1"/>
      </rPr>
      <t xml:space="preserve">   </t>
    </r>
    <r>
      <rPr>
        <sz val="12"/>
        <rFont val="宋体"/>
        <family val="3"/>
        <charset val="134"/>
        <scheme val="minor"/>
      </rPr>
      <t>测？</t>
    </r>
  </si>
  <si>
    <r>
      <rPr>
        <sz val="12"/>
        <rFont val="Times New Roman"/>
        <family val="1"/>
      </rPr>
      <t>W</t>
    </r>
    <r>
      <rPr>
        <sz val="10"/>
        <rFont val="Times New Roman"/>
        <family val="1"/>
      </rPr>
      <t>k1+1</t>
    </r>
  </si>
  <si>
    <r>
      <rPr>
        <sz val="12"/>
        <rFont val="Times New Roman"/>
        <family val="1"/>
      </rPr>
      <t>W</t>
    </r>
    <r>
      <rPr>
        <sz val="10"/>
        <rFont val="Times New Roman"/>
        <family val="1"/>
      </rPr>
      <t>k2+1</t>
    </r>
  </si>
  <si>
    <r>
      <rPr>
        <sz val="12"/>
        <rFont val="Times New Roman"/>
        <family val="1"/>
      </rPr>
      <t>k1+</t>
    </r>
    <r>
      <rPr>
        <sz val="10"/>
        <rFont val="Times New Roman"/>
        <family val="1"/>
      </rPr>
      <t>1</t>
    </r>
  </si>
  <si>
    <r>
      <rPr>
        <sz val="12"/>
        <rFont val="Times New Roman"/>
        <family val="1"/>
      </rPr>
      <t>k2+</t>
    </r>
    <r>
      <rPr>
        <sz val="10"/>
        <rFont val="Times New Roman"/>
        <family val="1"/>
      </rPr>
      <t>1</t>
    </r>
  </si>
  <si>
    <t xml:space="preserve"> L1m = dna1 / 2 * SIN(Ana1) - d1m / 2 * SIN(Atm)</t>
  </si>
  <si>
    <r>
      <rPr>
        <sz val="12"/>
        <rFont val="Times New Roman"/>
        <family val="1"/>
      </rPr>
      <t>W</t>
    </r>
    <r>
      <rPr>
        <sz val="10"/>
        <rFont val="Times New Roman"/>
        <family val="1"/>
      </rPr>
      <t xml:space="preserve">k+1 </t>
    </r>
    <r>
      <rPr>
        <sz val="12"/>
        <rFont val="宋体"/>
        <family val="3"/>
        <charset val="134"/>
        <scheme val="minor"/>
      </rPr>
      <t>是</t>
    </r>
    <r>
      <rPr>
        <sz val="12"/>
        <rFont val="Times New Roman"/>
        <family val="1"/>
      </rPr>
      <t xml:space="preserve">  </t>
    </r>
    <r>
      <rPr>
        <sz val="12"/>
        <rFont val="宋体"/>
        <family val="3"/>
        <charset val="134"/>
        <scheme val="minor"/>
      </rPr>
      <t>否</t>
    </r>
    <r>
      <rPr>
        <sz val="12"/>
        <rFont val="Times New Roman"/>
        <family val="1"/>
      </rPr>
      <t xml:space="preserve">   </t>
    </r>
    <r>
      <rPr>
        <sz val="12"/>
        <rFont val="宋体"/>
        <family val="3"/>
        <charset val="134"/>
        <scheme val="minor"/>
      </rPr>
      <t>测？</t>
    </r>
  </si>
  <si>
    <r>
      <rPr>
        <sz val="12"/>
        <color indexed="17"/>
        <rFont val="宋体"/>
        <family val="3"/>
        <charset val="134"/>
      </rPr>
      <t xml:space="preserve">    L2m =</t>
    </r>
    <r>
      <rPr>
        <sz val="12"/>
        <color indexed="10"/>
        <rFont val="宋体"/>
        <family val="3"/>
        <charset val="134"/>
      </rPr>
      <t>-</t>
    </r>
    <r>
      <rPr>
        <sz val="12"/>
        <color indexed="17"/>
        <rFont val="宋体"/>
        <family val="3"/>
        <charset val="134"/>
      </rPr>
      <t xml:space="preserve"> dna2 / 2 * SIN(Ana2) </t>
    </r>
    <r>
      <rPr>
        <sz val="12"/>
        <color indexed="10"/>
        <rFont val="宋体"/>
        <family val="3"/>
        <charset val="134"/>
      </rPr>
      <t>+</t>
    </r>
    <r>
      <rPr>
        <sz val="12"/>
        <color indexed="17"/>
        <rFont val="宋体"/>
        <family val="3"/>
        <charset val="134"/>
      </rPr>
      <t>- d2m / 2 * SIN(Atm)</t>
    </r>
  </si>
  <si>
    <r>
      <rPr>
        <sz val="12"/>
        <rFont val="宋体"/>
        <family val="3"/>
        <charset val="134"/>
      </rPr>
      <t>固</t>
    </r>
    <r>
      <rPr>
        <sz val="12"/>
        <rFont val="Times New Roman"/>
        <family val="1"/>
      </rPr>
      <t xml:space="preserve"> </t>
    </r>
    <r>
      <rPr>
        <sz val="12"/>
        <rFont val="宋体"/>
        <family val="3"/>
        <charset val="134"/>
        <scheme val="minor"/>
      </rPr>
      <t>定</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</si>
  <si>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Sc</t>
    </r>
    <r>
      <rPr>
        <sz val="10"/>
        <rFont val="Times New Roman"/>
        <family val="1"/>
      </rPr>
      <t>n1</t>
    </r>
  </si>
  <si>
    <t xml:space="preserve">    L1m1 = d1m / 2 * SIN(Atm) - .3 * Mt</t>
  </si>
  <si>
    <r>
      <rPr>
        <sz val="12"/>
        <rFont val="宋体"/>
        <family val="3"/>
        <charset val="134"/>
      </rPr>
      <t>固</t>
    </r>
    <r>
      <rPr>
        <sz val="12"/>
        <rFont val="Times New Roman"/>
        <family val="1"/>
      </rPr>
      <t xml:space="preserve"> </t>
    </r>
    <r>
      <rPr>
        <sz val="12"/>
        <rFont val="宋体"/>
        <family val="3"/>
        <charset val="134"/>
        <scheme val="minor"/>
      </rPr>
      <t>定</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</si>
  <si>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Times New Roman"/>
        <family val="1"/>
      </rPr>
      <t>Hc</t>
    </r>
    <r>
      <rPr>
        <sz val="10"/>
        <rFont val="Times New Roman"/>
        <family val="1"/>
      </rPr>
      <t>n1</t>
    </r>
  </si>
  <si>
    <t xml:space="preserve">    L2m2 = d2m / 2 * SIN(Atm) - .3 * Mt</t>
  </si>
  <si>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</si>
  <si>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Sx</t>
    </r>
    <r>
      <rPr>
        <sz val="10"/>
        <rFont val="Times New Roman"/>
        <family val="1"/>
      </rPr>
      <t>n1</t>
    </r>
  </si>
  <si>
    <r>
      <rPr>
        <sz val="12"/>
        <rFont val="Times New Roman"/>
        <family val="1"/>
      </rPr>
      <t>Sx</t>
    </r>
    <r>
      <rPr>
        <sz val="10"/>
        <rFont val="Times New Roman"/>
        <family val="1"/>
      </rPr>
      <t>n2</t>
    </r>
  </si>
  <si>
    <t xml:space="preserve">    pbt = db1 / Z1</t>
  </si>
  <si>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</si>
  <si>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Times New Roman"/>
        <family val="1"/>
      </rPr>
      <t>Hx</t>
    </r>
    <r>
      <rPr>
        <sz val="10"/>
        <rFont val="Times New Roman"/>
        <family val="1"/>
      </rPr>
      <t>n1</t>
    </r>
  </si>
  <si>
    <r>
      <rPr>
        <sz val="12"/>
        <rFont val="Times New Roman"/>
        <family val="1"/>
      </rPr>
      <t>Hx</t>
    </r>
    <r>
      <rPr>
        <sz val="10"/>
        <rFont val="Times New Roman"/>
        <family val="1"/>
      </rPr>
      <t>n2</t>
    </r>
  </si>
  <si>
    <t xml:space="preserve">    IF L1m &lt; pbt THEN 156</t>
  </si>
  <si>
    <r>
      <rPr>
        <sz val="12"/>
        <rFont val="宋体"/>
        <family val="3"/>
        <charset val="134"/>
      </rPr>
      <t>测</t>
    </r>
    <r>
      <rPr>
        <sz val="12"/>
        <rFont val="Times New Roman"/>
        <family val="1"/>
      </rPr>
      <t xml:space="preserve"> </t>
    </r>
    <r>
      <rPr>
        <sz val="12"/>
        <rFont val="宋体"/>
        <family val="3"/>
        <charset val="134"/>
        <scheme val="minor"/>
      </rPr>
      <t>量</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</si>
  <si>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t>dy</t>
  </si>
  <si>
    <r>
      <rPr>
        <sz val="12"/>
        <rFont val="宋体"/>
        <family val="3"/>
        <charset val="134"/>
      </rPr>
      <t>α</t>
    </r>
    <r>
      <rPr>
        <sz val="10"/>
        <rFont val="Times New Roman"/>
        <family val="1"/>
      </rPr>
      <t>yt</t>
    </r>
  </si>
  <si>
    <r>
      <rPr>
        <sz val="12"/>
        <rFont val="Times New Roman"/>
        <family val="1"/>
      </rPr>
      <t>INV</t>
    </r>
    <r>
      <rPr>
        <sz val="12"/>
        <rFont val="宋体"/>
        <family val="3"/>
        <charset val="134"/>
        <scheme val="minor"/>
      </rPr>
      <t>α</t>
    </r>
    <r>
      <rPr>
        <sz val="10"/>
        <rFont val="Times New Roman"/>
        <family val="1"/>
      </rPr>
      <t>yt</t>
    </r>
  </si>
  <si>
    <t>St</t>
  </si>
  <si>
    <r>
      <rPr>
        <sz val="12"/>
        <rFont val="Times New Roman"/>
        <family val="1"/>
      </rPr>
      <t>s</t>
    </r>
    <r>
      <rPr>
        <sz val="10"/>
        <rFont val="Times New Roman"/>
        <family val="1"/>
      </rPr>
      <t>yt</t>
    </r>
  </si>
  <si>
    <r>
      <rPr>
        <sz val="10"/>
        <rFont val="宋体"/>
        <family val="3"/>
        <charset val="134"/>
      </rPr>
      <t>η</t>
    </r>
    <r>
      <rPr>
        <sz val="10"/>
        <rFont val="Times New Roman"/>
        <family val="1"/>
      </rPr>
      <t>yt</t>
    </r>
  </si>
  <si>
    <r>
      <rPr>
        <sz val="12"/>
        <rFont val="Times New Roman"/>
        <family val="1"/>
      </rPr>
      <t>dp</t>
    </r>
    <r>
      <rPr>
        <sz val="10"/>
        <rFont val="Times New Roman"/>
        <family val="1"/>
      </rPr>
      <t>20</t>
    </r>
  </si>
  <si>
    <t>圆棒（球）直径</t>
  </si>
  <si>
    <r>
      <rPr>
        <sz val="12"/>
        <rFont val="Times New Roman"/>
        <family val="1"/>
      </rPr>
      <t>dp</t>
    </r>
    <r>
      <rPr>
        <sz val="10"/>
        <rFont val="Times New Roman"/>
        <family val="1"/>
      </rPr>
      <t>2</t>
    </r>
  </si>
  <si>
    <r>
      <rPr>
        <sz val="12"/>
        <color indexed="17"/>
        <rFont val="宋体"/>
        <family val="3"/>
        <charset val="134"/>
      </rPr>
      <t xml:space="preserve">    n1 = (1 </t>
    </r>
    <r>
      <rPr>
        <sz val="12"/>
        <color indexed="10"/>
        <rFont val="宋体"/>
        <family val="3"/>
        <charset val="134"/>
      </rPr>
      <t>-</t>
    </r>
    <r>
      <rPr>
        <sz val="12"/>
        <color indexed="17"/>
        <rFont val="宋体"/>
        <family val="3"/>
        <charset val="134"/>
      </rPr>
      <t>+ Z1 / Z2) * L2m / (d1m / 2 * SIN(Atm) - L2m)</t>
    </r>
  </si>
  <si>
    <r>
      <rPr>
        <sz val="12"/>
        <rFont val="Times New Roman"/>
        <family val="1"/>
      </rPr>
      <t>INV</t>
    </r>
    <r>
      <rPr>
        <sz val="12"/>
        <rFont val="宋体"/>
        <family val="3"/>
        <charset val="134"/>
        <scheme val="minor"/>
      </rPr>
      <t>α</t>
    </r>
    <r>
      <rPr>
        <sz val="10"/>
        <rFont val="Times New Roman"/>
        <family val="1"/>
      </rPr>
      <t>Mt1</t>
    </r>
  </si>
  <si>
    <r>
      <rPr>
        <sz val="12"/>
        <rFont val="Times New Roman"/>
        <family val="1"/>
      </rPr>
      <t>INV</t>
    </r>
    <r>
      <rPr>
        <sz val="12"/>
        <rFont val="宋体"/>
        <family val="3"/>
        <charset val="134"/>
        <scheme val="minor"/>
      </rPr>
      <t>α</t>
    </r>
    <r>
      <rPr>
        <sz val="10"/>
        <rFont val="宋体"/>
        <family val="3"/>
        <charset val="134"/>
      </rPr>
      <t>M</t>
    </r>
    <r>
      <rPr>
        <sz val="10"/>
        <rFont val="Times New Roman"/>
        <family val="1"/>
      </rPr>
      <t>t2</t>
    </r>
  </si>
  <si>
    <t xml:space="preserve">    GOTO 157</t>
  </si>
  <si>
    <r>
      <rPr>
        <sz val="12"/>
        <rFont val="宋体"/>
        <family val="3"/>
        <charset val="134"/>
      </rPr>
      <t>α</t>
    </r>
    <r>
      <rPr>
        <sz val="10"/>
        <rFont val="Times New Roman"/>
        <family val="1"/>
      </rPr>
      <t>Mt1</t>
    </r>
  </si>
  <si>
    <r>
      <rPr>
        <sz val="12"/>
        <rFont val="宋体"/>
        <family val="3"/>
        <charset val="134"/>
      </rPr>
      <t>α</t>
    </r>
    <r>
      <rPr>
        <sz val="10"/>
        <rFont val="宋体"/>
        <family val="3"/>
        <charset val="134"/>
      </rPr>
      <t>M</t>
    </r>
    <r>
      <rPr>
        <sz val="10"/>
        <rFont val="Times New Roman"/>
        <family val="1"/>
      </rPr>
      <t>t2</t>
    </r>
  </si>
  <si>
    <r>
      <rPr>
        <sz val="12"/>
        <color indexed="17"/>
        <rFont val="宋体"/>
        <family val="3"/>
        <charset val="134"/>
      </rPr>
      <t xml:space="preserve">156 n1 = (pbt - L1m) * (1 </t>
    </r>
    <r>
      <rPr>
        <sz val="12"/>
        <color indexed="10"/>
        <rFont val="宋体"/>
        <family val="3"/>
        <charset val="134"/>
      </rPr>
      <t>-</t>
    </r>
    <r>
      <rPr>
        <sz val="12"/>
        <color indexed="17"/>
        <rFont val="宋体"/>
        <family val="3"/>
        <charset val="134"/>
      </rPr>
      <t>+ Z1 / Z2) / (d1m / 2 * SIN(Atm) - pbt + L1m)</t>
    </r>
  </si>
  <si>
    <r>
      <rPr>
        <sz val="12"/>
        <rFont val="Times New Roman"/>
        <family val="1"/>
      </rPr>
      <t>R</t>
    </r>
    <r>
      <rPr>
        <sz val="10"/>
        <rFont val="Times New Roman"/>
        <family val="1"/>
      </rPr>
      <t>M1</t>
    </r>
  </si>
  <si>
    <r>
      <rPr>
        <sz val="12"/>
        <rFont val="Times New Roman"/>
        <family val="1"/>
      </rPr>
      <t>R</t>
    </r>
    <r>
      <rPr>
        <sz val="10"/>
        <rFont val="Times New Roman"/>
        <family val="1"/>
      </rPr>
      <t>M2</t>
    </r>
  </si>
  <si>
    <t>157 IF L2m &lt; pbt THEN 158</t>
  </si>
  <si>
    <t xml:space="preserve">    IF L1m &gt; L1m1 THEN L1m = L1m1</t>
  </si>
  <si>
    <t>圆棒（球）跨距</t>
  </si>
  <si>
    <r>
      <rPr>
        <sz val="12"/>
        <rFont val="Times New Roman"/>
        <family val="1"/>
      </rPr>
      <t>M</t>
    </r>
    <r>
      <rPr>
        <sz val="9"/>
        <rFont val="Times New Roman"/>
        <family val="1"/>
      </rPr>
      <t>1</t>
    </r>
  </si>
  <si>
    <r>
      <rPr>
        <sz val="12"/>
        <rFont val="Times New Roman"/>
        <family val="1"/>
      </rPr>
      <t>M</t>
    </r>
    <r>
      <rPr>
        <sz val="9"/>
        <rFont val="Times New Roman"/>
        <family val="1"/>
      </rPr>
      <t>2</t>
    </r>
  </si>
  <si>
    <r>
      <rPr>
        <sz val="12"/>
        <color indexed="17"/>
        <rFont val="宋体"/>
        <family val="3"/>
        <charset val="134"/>
      </rPr>
      <t xml:space="preserve">    n2 = (1 + Z2 / Z1) * L1m / (d2m / 2 * SIN(Atm) </t>
    </r>
    <r>
      <rPr>
        <sz val="12"/>
        <color indexed="10"/>
        <rFont val="宋体"/>
        <family val="3"/>
        <charset val="134"/>
      </rPr>
      <t>+</t>
    </r>
    <r>
      <rPr>
        <sz val="12"/>
        <color indexed="17"/>
        <rFont val="宋体"/>
        <family val="3"/>
        <charset val="134"/>
      </rPr>
      <t>- L1m)</t>
    </r>
  </si>
  <si>
    <r>
      <rPr>
        <sz val="12"/>
        <rFont val="宋体"/>
        <family val="3"/>
        <charset val="134"/>
      </rPr>
      <t>α</t>
    </r>
    <r>
      <rPr>
        <sz val="12"/>
        <rFont val="Times New Roman"/>
        <family val="1"/>
      </rPr>
      <t xml:space="preserve"> </t>
    </r>
    <r>
      <rPr>
        <sz val="9"/>
        <rFont val="Times New Roman"/>
        <family val="1"/>
      </rPr>
      <t>M1</t>
    </r>
  </si>
  <si>
    <r>
      <rPr>
        <sz val="12"/>
        <rFont val="宋体"/>
        <family val="3"/>
        <charset val="134"/>
      </rPr>
      <t>α</t>
    </r>
    <r>
      <rPr>
        <sz val="12"/>
        <rFont val="Times New Roman"/>
        <family val="1"/>
      </rPr>
      <t xml:space="preserve"> </t>
    </r>
    <r>
      <rPr>
        <sz val="9"/>
        <rFont val="Times New Roman"/>
        <family val="1"/>
      </rPr>
      <t>M2</t>
    </r>
  </si>
  <si>
    <t xml:space="preserve">    PRINT "η1="; n1, "η2="; n2</t>
  </si>
  <si>
    <t>端面重合度</t>
  </si>
  <si>
    <r>
      <rPr>
        <sz val="12"/>
        <rFont val="宋体"/>
        <family val="3"/>
        <charset val="134"/>
      </rPr>
      <t>ε</t>
    </r>
    <r>
      <rPr>
        <sz val="9"/>
        <rFont val="宋体"/>
        <family val="3"/>
        <charset val="134"/>
      </rPr>
      <t>端面</t>
    </r>
  </si>
  <si>
    <t xml:space="preserve">    R1m = d1m / 2 * SIN(Atm)</t>
  </si>
  <si>
    <t>纵向重合度</t>
  </si>
  <si>
    <r>
      <rPr>
        <sz val="12"/>
        <rFont val="宋体"/>
        <family val="3"/>
        <charset val="134"/>
      </rPr>
      <t>ε</t>
    </r>
    <r>
      <rPr>
        <sz val="9"/>
        <rFont val="宋体"/>
        <family val="3"/>
        <charset val="134"/>
      </rPr>
      <t>纵向</t>
    </r>
  </si>
  <si>
    <t xml:space="preserve">    R2m = d2m / 2 * SIN(Atm)</t>
  </si>
  <si>
    <t>总重合度</t>
  </si>
  <si>
    <t>干涉验算</t>
  </si>
  <si>
    <r>
      <rPr>
        <sz val="9"/>
        <rFont val="Times New Roman"/>
        <family val="1"/>
      </rPr>
      <t>COS</t>
    </r>
    <r>
      <rPr>
        <sz val="9"/>
        <rFont val="宋体"/>
        <family val="3"/>
        <charset val="134"/>
      </rPr>
      <t>δ</t>
    </r>
    <r>
      <rPr>
        <sz val="9"/>
        <rFont val="Times New Roman"/>
        <family val="1"/>
      </rPr>
      <t>1</t>
    </r>
  </si>
  <si>
    <r>
      <rPr>
        <sz val="9"/>
        <rFont val="Times New Roman"/>
        <family val="1"/>
      </rPr>
      <t>COS</t>
    </r>
    <r>
      <rPr>
        <sz val="9"/>
        <rFont val="宋体"/>
        <family val="3"/>
        <charset val="134"/>
      </rPr>
      <t>δ</t>
    </r>
    <r>
      <rPr>
        <sz val="9"/>
        <rFont val="Times New Roman"/>
        <family val="1"/>
      </rPr>
      <t>2</t>
    </r>
  </si>
  <si>
    <t xml:space="preserve">    IF L1m &lt; pbt THEN 161</t>
  </si>
  <si>
    <r>
      <rPr>
        <sz val="12"/>
        <rFont val="宋体"/>
        <family val="3"/>
        <charset val="134"/>
      </rPr>
      <t>δ</t>
    </r>
    <r>
      <rPr>
        <sz val="9"/>
        <rFont val="Times New Roman"/>
        <family val="1"/>
      </rPr>
      <t>1</t>
    </r>
  </si>
  <si>
    <r>
      <rPr>
        <sz val="12"/>
        <rFont val="宋体"/>
        <family val="3"/>
        <charset val="134"/>
      </rPr>
      <t>δ</t>
    </r>
    <r>
      <rPr>
        <sz val="9"/>
        <rFont val="Times New Roman"/>
        <family val="1"/>
      </rPr>
      <t>2</t>
    </r>
  </si>
  <si>
    <t xml:space="preserve">    IF L2m &gt; L2m2 THEN L2m = L2m2</t>
  </si>
  <si>
    <r>
      <rPr>
        <sz val="12"/>
        <color indexed="17"/>
        <rFont val="宋体"/>
        <family val="3"/>
        <charset val="134"/>
      </rPr>
      <t xml:space="preserve">    p1 = 1 / SQR((1 - L2m / R1m) * (1 </t>
    </r>
    <r>
      <rPr>
        <sz val="12"/>
        <color indexed="10"/>
        <rFont val="宋体"/>
        <family val="3"/>
        <charset val="134"/>
      </rPr>
      <t>-</t>
    </r>
    <r>
      <rPr>
        <sz val="12"/>
        <color indexed="17"/>
        <rFont val="宋体"/>
        <family val="3"/>
        <charset val="134"/>
      </rPr>
      <t>+ L2m / R2m))</t>
    </r>
  </si>
  <si>
    <t xml:space="preserve">    GOTO 162</t>
  </si>
  <si>
    <t>不根切的最少齿数</t>
  </si>
  <si>
    <t>Zmin</t>
  </si>
  <si>
    <r>
      <rPr>
        <sz val="12"/>
        <color indexed="17"/>
        <rFont val="宋体"/>
        <family val="3"/>
        <charset val="134"/>
      </rPr>
      <t xml:space="preserve">161 p1 = 1 / SQR((1 - (pbt - L1m) / R1m) * (1 </t>
    </r>
    <r>
      <rPr>
        <sz val="12"/>
        <color indexed="10"/>
        <rFont val="宋体"/>
        <family val="3"/>
        <charset val="134"/>
      </rPr>
      <t>-</t>
    </r>
    <r>
      <rPr>
        <sz val="12"/>
        <color indexed="17"/>
        <rFont val="宋体"/>
        <family val="3"/>
        <charset val="134"/>
      </rPr>
      <t>+ (pbt - L1m) / R2m))</t>
    </r>
  </si>
  <si>
    <t>不根切的最小变位系数</t>
  </si>
  <si>
    <t xml:space="preserve"> X1min</t>
  </si>
  <si>
    <t>渐开线展开长度计算：</t>
  </si>
  <si>
    <r>
      <rPr>
        <sz val="11"/>
        <rFont val="宋体"/>
        <family val="3"/>
        <charset val="134"/>
      </rPr>
      <t>起</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展</t>
    </r>
    <r>
      <rPr>
        <sz val="11"/>
        <rFont val="Times New Roman"/>
        <family val="1"/>
      </rPr>
      <t xml:space="preserve"> </t>
    </r>
    <r>
      <rPr>
        <sz val="11"/>
        <rFont val="宋体"/>
        <family val="3"/>
        <charset val="134"/>
      </rPr>
      <t>开</t>
    </r>
    <r>
      <rPr>
        <sz val="11"/>
        <rFont val="Times New Roman"/>
        <family val="1"/>
      </rPr>
      <t xml:space="preserve"> </t>
    </r>
    <r>
      <rPr>
        <sz val="11"/>
        <rFont val="宋体"/>
        <family val="3"/>
        <charset val="134"/>
      </rPr>
      <t>长</t>
    </r>
    <r>
      <rPr>
        <sz val="11"/>
        <rFont val="Times New Roman"/>
        <family val="1"/>
      </rPr>
      <t xml:space="preserve"> </t>
    </r>
    <r>
      <rPr>
        <sz val="11"/>
        <rFont val="宋体"/>
        <family val="3"/>
        <charset val="134"/>
      </rPr>
      <t>度</t>
    </r>
  </si>
  <si>
    <r>
      <rPr>
        <sz val="12"/>
        <rFont val="Times New Roman"/>
        <family val="1"/>
      </rPr>
      <t>ga</t>
    </r>
    <r>
      <rPr>
        <sz val="9"/>
        <rFont val="Times New Roman"/>
        <family val="1"/>
      </rPr>
      <t>A</t>
    </r>
  </si>
  <si>
    <t>Lf2</t>
  </si>
  <si>
    <r>
      <rPr>
        <sz val="11"/>
        <rFont val="宋体"/>
        <family val="3"/>
        <charset val="134"/>
      </rPr>
      <t>起</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圆</t>
    </r>
    <r>
      <rPr>
        <sz val="11"/>
        <rFont val="Times New Roman"/>
        <family val="1"/>
      </rPr>
      <t xml:space="preserve">  </t>
    </r>
    <r>
      <rPr>
        <sz val="11"/>
        <rFont val="宋体"/>
        <family val="3"/>
        <charset val="134"/>
      </rPr>
      <t>半</t>
    </r>
    <r>
      <rPr>
        <sz val="11"/>
        <rFont val="Times New Roman"/>
        <family val="1"/>
      </rPr>
      <t xml:space="preserve">  </t>
    </r>
    <r>
      <rPr>
        <sz val="11"/>
        <rFont val="宋体"/>
        <family val="3"/>
        <charset val="134"/>
      </rPr>
      <t>径</t>
    </r>
  </si>
  <si>
    <r>
      <rPr>
        <sz val="12"/>
        <rFont val="Times New Roman"/>
        <family val="1"/>
      </rPr>
      <t xml:space="preserve">r </t>
    </r>
    <r>
      <rPr>
        <sz val="10"/>
        <rFont val="宋体"/>
        <family val="3"/>
        <charset val="134"/>
      </rPr>
      <t>起</t>
    </r>
    <r>
      <rPr>
        <sz val="10"/>
        <rFont val="Times New Roman"/>
        <family val="1"/>
      </rPr>
      <t xml:space="preserve"> </t>
    </r>
  </si>
  <si>
    <r>
      <rPr>
        <sz val="11"/>
        <rFont val="宋体"/>
        <family val="3"/>
        <charset val="134"/>
      </rPr>
      <t>终</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展</t>
    </r>
    <r>
      <rPr>
        <sz val="11"/>
        <rFont val="Times New Roman"/>
        <family val="1"/>
      </rPr>
      <t xml:space="preserve"> </t>
    </r>
    <r>
      <rPr>
        <sz val="11"/>
        <rFont val="宋体"/>
        <family val="3"/>
        <charset val="134"/>
      </rPr>
      <t>开</t>
    </r>
    <r>
      <rPr>
        <sz val="11"/>
        <rFont val="Times New Roman"/>
        <family val="1"/>
      </rPr>
      <t xml:space="preserve"> </t>
    </r>
    <r>
      <rPr>
        <sz val="11"/>
        <rFont val="宋体"/>
        <family val="3"/>
        <charset val="134"/>
      </rPr>
      <t>长</t>
    </r>
    <r>
      <rPr>
        <sz val="11"/>
        <rFont val="Times New Roman"/>
        <family val="1"/>
      </rPr>
      <t xml:space="preserve"> </t>
    </r>
    <r>
      <rPr>
        <sz val="11"/>
        <rFont val="宋体"/>
        <family val="3"/>
        <charset val="134"/>
      </rPr>
      <t>度</t>
    </r>
  </si>
  <si>
    <r>
      <rPr>
        <sz val="12"/>
        <rFont val="Times New Roman"/>
        <family val="1"/>
      </rPr>
      <t>ga</t>
    </r>
    <r>
      <rPr>
        <sz val="9"/>
        <rFont val="Times New Roman"/>
        <family val="1"/>
      </rPr>
      <t>B</t>
    </r>
  </si>
  <si>
    <t>La2</t>
  </si>
  <si>
    <r>
      <rPr>
        <sz val="11"/>
        <rFont val="宋体"/>
        <family val="3"/>
        <charset val="134"/>
      </rPr>
      <t>终</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圆</t>
    </r>
    <r>
      <rPr>
        <sz val="11"/>
        <rFont val="Times New Roman"/>
        <family val="1"/>
      </rPr>
      <t xml:space="preserve">  </t>
    </r>
    <r>
      <rPr>
        <sz val="11"/>
        <rFont val="宋体"/>
        <family val="3"/>
        <charset val="134"/>
      </rPr>
      <t>半</t>
    </r>
    <r>
      <rPr>
        <sz val="11"/>
        <rFont val="Times New Roman"/>
        <family val="1"/>
      </rPr>
      <t xml:space="preserve">  </t>
    </r>
    <r>
      <rPr>
        <sz val="11"/>
        <rFont val="宋体"/>
        <family val="3"/>
        <charset val="134"/>
      </rPr>
      <t>径</t>
    </r>
  </si>
  <si>
    <r>
      <rPr>
        <sz val="12"/>
        <rFont val="Times New Roman"/>
        <family val="1"/>
      </rPr>
      <t xml:space="preserve">r </t>
    </r>
    <r>
      <rPr>
        <sz val="10"/>
        <rFont val="宋体"/>
        <family val="3"/>
        <charset val="134"/>
      </rPr>
      <t>终</t>
    </r>
    <r>
      <rPr>
        <sz val="10"/>
        <rFont val="Times New Roman"/>
        <family val="1"/>
      </rPr>
      <t xml:space="preserve"> </t>
    </r>
  </si>
  <si>
    <r>
      <rPr>
        <sz val="11"/>
        <rFont val="宋体"/>
        <family val="3"/>
        <charset val="134"/>
      </rPr>
      <t>起</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展</t>
    </r>
    <r>
      <rPr>
        <sz val="11"/>
        <rFont val="Times New Roman"/>
        <family val="1"/>
      </rPr>
      <t xml:space="preserve">  </t>
    </r>
    <r>
      <rPr>
        <sz val="11"/>
        <rFont val="宋体"/>
        <family val="3"/>
        <charset val="134"/>
      </rPr>
      <t>开</t>
    </r>
    <r>
      <rPr>
        <sz val="11"/>
        <rFont val="Times New Roman"/>
        <family val="1"/>
      </rPr>
      <t xml:space="preserve">  </t>
    </r>
    <r>
      <rPr>
        <sz val="11"/>
        <rFont val="宋体"/>
        <family val="3"/>
        <charset val="134"/>
      </rPr>
      <t>角</t>
    </r>
  </si>
  <si>
    <r>
      <rPr>
        <sz val="12"/>
        <rFont val="宋体"/>
        <family val="3"/>
        <charset val="134"/>
      </rPr>
      <t>φ</t>
    </r>
    <r>
      <rPr>
        <sz val="12"/>
        <rFont val="Times New Roman"/>
        <family val="1"/>
      </rPr>
      <t>a</t>
    </r>
    <r>
      <rPr>
        <sz val="9"/>
        <rFont val="Times New Roman"/>
        <family val="1"/>
      </rPr>
      <t>A</t>
    </r>
  </si>
  <si>
    <r>
      <rPr>
        <sz val="12"/>
        <rFont val="宋体"/>
        <family val="3"/>
        <charset val="134"/>
      </rPr>
      <t>θ</t>
    </r>
    <r>
      <rPr>
        <sz val="10"/>
        <rFont val="Times New Roman"/>
        <family val="1"/>
      </rPr>
      <t>f2</t>
    </r>
  </si>
  <si>
    <t>度.分秒</t>
  </si>
  <si>
    <r>
      <rPr>
        <sz val="11"/>
        <rFont val="宋体"/>
        <family val="3"/>
        <charset val="134"/>
      </rPr>
      <t>终</t>
    </r>
    <r>
      <rPr>
        <sz val="11"/>
        <rFont val="Times New Roman"/>
        <family val="1"/>
      </rPr>
      <t xml:space="preserve">  </t>
    </r>
    <r>
      <rPr>
        <sz val="11"/>
        <rFont val="宋体"/>
        <family val="3"/>
        <charset val="134"/>
      </rPr>
      <t>测</t>
    </r>
    <r>
      <rPr>
        <sz val="11"/>
        <rFont val="Times New Roman"/>
        <family val="1"/>
      </rPr>
      <t xml:space="preserve">  </t>
    </r>
    <r>
      <rPr>
        <sz val="11"/>
        <rFont val="宋体"/>
        <family val="3"/>
        <charset val="134"/>
      </rPr>
      <t>展</t>
    </r>
    <r>
      <rPr>
        <sz val="11"/>
        <rFont val="Times New Roman"/>
        <family val="1"/>
      </rPr>
      <t xml:space="preserve">  </t>
    </r>
    <r>
      <rPr>
        <sz val="11"/>
        <rFont val="宋体"/>
        <family val="3"/>
        <charset val="134"/>
      </rPr>
      <t>开</t>
    </r>
    <r>
      <rPr>
        <sz val="11"/>
        <rFont val="Times New Roman"/>
        <family val="1"/>
      </rPr>
      <t xml:space="preserve">  </t>
    </r>
    <r>
      <rPr>
        <sz val="11"/>
        <rFont val="宋体"/>
        <family val="3"/>
        <charset val="134"/>
      </rPr>
      <t>角</t>
    </r>
  </si>
  <si>
    <r>
      <rPr>
        <sz val="12"/>
        <rFont val="宋体"/>
        <family val="3"/>
        <charset val="134"/>
      </rPr>
      <t>φ</t>
    </r>
    <r>
      <rPr>
        <sz val="12"/>
        <rFont val="Times New Roman"/>
        <family val="1"/>
      </rPr>
      <t>a</t>
    </r>
    <r>
      <rPr>
        <sz val="9"/>
        <rFont val="Times New Roman"/>
        <family val="1"/>
      </rPr>
      <t>B</t>
    </r>
  </si>
  <si>
    <r>
      <rPr>
        <sz val="12"/>
        <rFont val="宋体"/>
        <family val="3"/>
        <charset val="134"/>
      </rPr>
      <t>θ</t>
    </r>
    <r>
      <rPr>
        <sz val="10"/>
        <rFont val="Times New Roman"/>
        <family val="1"/>
      </rPr>
      <t>a2</t>
    </r>
  </si>
  <si>
    <r>
      <rPr>
        <sz val="11"/>
        <rFont val="宋体"/>
        <family val="3"/>
        <charset val="134"/>
      </rPr>
      <t>中</t>
    </r>
    <r>
      <rPr>
        <sz val="11"/>
        <rFont val="Times New Roman"/>
        <family val="1"/>
      </rPr>
      <t xml:space="preserve">  </t>
    </r>
    <r>
      <rPr>
        <sz val="11"/>
        <rFont val="宋体"/>
        <family val="3"/>
        <charset val="134"/>
      </rPr>
      <t>凸</t>
    </r>
    <r>
      <rPr>
        <sz val="11"/>
        <rFont val="Times New Roman"/>
        <family val="1"/>
      </rPr>
      <t xml:space="preserve">  </t>
    </r>
    <r>
      <rPr>
        <sz val="11"/>
        <rFont val="宋体"/>
        <family val="3"/>
        <charset val="134"/>
      </rPr>
      <t>点</t>
    </r>
    <r>
      <rPr>
        <sz val="11"/>
        <rFont val="Times New Roman"/>
        <family val="1"/>
      </rPr>
      <t xml:space="preserve">  </t>
    </r>
    <r>
      <rPr>
        <sz val="11"/>
        <rFont val="宋体"/>
        <family val="3"/>
        <charset val="134"/>
      </rPr>
      <t>范</t>
    </r>
    <r>
      <rPr>
        <sz val="11"/>
        <rFont val="Times New Roman"/>
        <family val="1"/>
      </rPr>
      <t xml:space="preserve">  </t>
    </r>
    <r>
      <rPr>
        <sz val="11"/>
        <rFont val="宋体"/>
        <family val="3"/>
        <charset val="134"/>
      </rPr>
      <t>围</t>
    </r>
  </si>
  <si>
    <r>
      <rPr>
        <sz val="12"/>
        <rFont val="宋体"/>
        <family val="3"/>
        <charset val="134"/>
      </rPr>
      <t>φ</t>
    </r>
    <r>
      <rPr>
        <sz val="10"/>
        <rFont val="宋体"/>
        <family val="3"/>
        <charset val="134"/>
      </rPr>
      <t>凸</t>
    </r>
    <r>
      <rPr>
        <sz val="10"/>
        <rFont val="Times New Roman"/>
        <family val="1"/>
      </rPr>
      <t>A</t>
    </r>
  </si>
  <si>
    <r>
      <rPr>
        <sz val="12"/>
        <rFont val="宋体"/>
        <family val="3"/>
        <charset val="134"/>
      </rPr>
      <t>θ</t>
    </r>
    <r>
      <rPr>
        <sz val="10"/>
        <rFont val="Times New Roman"/>
        <family val="1"/>
      </rPr>
      <t>min2</t>
    </r>
  </si>
  <si>
    <r>
      <rPr>
        <sz val="12"/>
        <color indexed="17"/>
        <rFont val="宋体"/>
        <family val="3"/>
        <charset val="134"/>
      </rPr>
      <t xml:space="preserve">    p2 = 1 / SQR((1 + L1m / R1m) * (1 </t>
    </r>
    <r>
      <rPr>
        <sz val="12"/>
        <color indexed="10"/>
        <rFont val="宋体"/>
        <family val="3"/>
        <charset val="134"/>
      </rPr>
      <t>+</t>
    </r>
    <r>
      <rPr>
        <sz val="12"/>
        <color indexed="17"/>
        <rFont val="宋体"/>
        <family val="3"/>
        <charset val="134"/>
      </rPr>
      <t>- L1m / R2m))</t>
    </r>
  </si>
  <si>
    <r>
      <rPr>
        <sz val="12"/>
        <rFont val="宋体"/>
        <family val="3"/>
        <charset val="134"/>
      </rPr>
      <t>φ</t>
    </r>
    <r>
      <rPr>
        <sz val="10"/>
        <rFont val="宋体"/>
        <family val="3"/>
        <charset val="134"/>
      </rPr>
      <t>凸</t>
    </r>
    <r>
      <rPr>
        <sz val="10"/>
        <rFont val="Times New Roman"/>
        <family val="1"/>
      </rPr>
      <t>B</t>
    </r>
  </si>
  <si>
    <r>
      <rPr>
        <sz val="12"/>
        <rFont val="宋体"/>
        <family val="3"/>
        <charset val="134"/>
      </rPr>
      <t>θ</t>
    </r>
    <r>
      <rPr>
        <sz val="10"/>
        <rFont val="Times New Roman"/>
        <family val="1"/>
      </rPr>
      <t>max2</t>
    </r>
  </si>
  <si>
    <t>切齿验算：</t>
  </si>
  <si>
    <t>齿条形刀具切齿</t>
  </si>
  <si>
    <t>圆盘插齿刀插齿</t>
  </si>
  <si>
    <r>
      <rPr>
        <b/>
        <sz val="10"/>
        <rFont val="宋体"/>
        <family val="3"/>
        <charset val="134"/>
      </rPr>
      <t>常用标准直齿圆盘插齿刀</t>
    </r>
    <r>
      <rPr>
        <b/>
        <sz val="10"/>
        <rFont val="Times New Roman"/>
        <family val="1"/>
      </rPr>
      <t>:</t>
    </r>
  </si>
  <si>
    <t>Z 0</t>
  </si>
  <si>
    <t>新插齿刀顶圆直径</t>
  </si>
  <si>
    <t>d 0a</t>
  </si>
  <si>
    <t>新刀前面至基本截面距离</t>
  </si>
  <si>
    <t>b 0</t>
  </si>
  <si>
    <r>
      <rPr>
        <b/>
        <sz val="10"/>
        <rFont val="宋体"/>
        <family val="3"/>
        <charset val="134"/>
      </rPr>
      <t>其它圆盘插齿刀</t>
    </r>
    <r>
      <rPr>
        <b/>
        <sz val="10"/>
        <rFont val="Times New Roman"/>
        <family val="1"/>
      </rPr>
      <t>:</t>
    </r>
  </si>
  <si>
    <t>插齿刀分度圆直径</t>
  </si>
  <si>
    <r>
      <rPr>
        <sz val="12"/>
        <rFont val="Times New Roman"/>
        <family val="1"/>
      </rPr>
      <t xml:space="preserve">d </t>
    </r>
    <r>
      <rPr>
        <sz val="9"/>
        <rFont val="Times New Roman"/>
        <family val="1"/>
      </rPr>
      <t>0</t>
    </r>
  </si>
  <si>
    <t>插齿刀基圆直径</t>
  </si>
  <si>
    <r>
      <rPr>
        <sz val="12"/>
        <rFont val="Times New Roman"/>
        <family val="1"/>
      </rPr>
      <t xml:space="preserve">d </t>
    </r>
    <r>
      <rPr>
        <sz val="10"/>
        <rFont val="Times New Roman"/>
        <family val="1"/>
      </rPr>
      <t>b0</t>
    </r>
  </si>
  <si>
    <t>新刀顶刃最小法向宽度</t>
  </si>
  <si>
    <r>
      <rPr>
        <sz val="12"/>
        <rFont val="Times New Roman"/>
        <family val="1"/>
      </rPr>
      <t>San</t>
    </r>
    <r>
      <rPr>
        <sz val="10"/>
        <rFont val="Times New Roman"/>
        <family val="1"/>
      </rPr>
      <t>0min</t>
    </r>
  </si>
  <si>
    <t>允许最大法向变位系数</t>
  </si>
  <si>
    <r>
      <rPr>
        <sz val="12"/>
        <rFont val="Times New Roman"/>
        <family val="1"/>
      </rPr>
      <t xml:space="preserve">x </t>
    </r>
    <r>
      <rPr>
        <sz val="10"/>
        <rFont val="Times New Roman"/>
        <family val="1"/>
      </rPr>
      <t>n0max</t>
    </r>
  </si>
  <si>
    <t>允许最大径向变位系数</t>
  </si>
  <si>
    <r>
      <rPr>
        <sz val="12"/>
        <rFont val="Times New Roman"/>
        <family val="1"/>
      </rPr>
      <t xml:space="preserve">x </t>
    </r>
    <r>
      <rPr>
        <sz val="10"/>
        <rFont val="Times New Roman"/>
        <family val="1"/>
      </rPr>
      <t>0max</t>
    </r>
  </si>
  <si>
    <t>前面至基本截面的距离</t>
  </si>
  <si>
    <r>
      <rPr>
        <sz val="12"/>
        <rFont val="Times New Roman"/>
        <family val="1"/>
      </rPr>
      <t>b</t>
    </r>
    <r>
      <rPr>
        <sz val="10"/>
        <rFont val="Times New Roman"/>
        <family val="1"/>
      </rPr>
      <t xml:space="preserve"> 0</t>
    </r>
  </si>
  <si>
    <t>插齿刀实际根圆直径</t>
  </si>
  <si>
    <r>
      <rPr>
        <sz val="12"/>
        <rFont val="Times New Roman"/>
        <family val="1"/>
      </rPr>
      <t xml:space="preserve">d </t>
    </r>
    <r>
      <rPr>
        <sz val="10"/>
        <rFont val="Times New Roman"/>
        <family val="1"/>
      </rPr>
      <t>f0</t>
    </r>
  </si>
  <si>
    <t>相应的径向变位系数</t>
  </si>
  <si>
    <t>相应的法向变位系数</t>
  </si>
  <si>
    <r>
      <rPr>
        <sz val="12"/>
        <rFont val="Times New Roman"/>
        <family val="1"/>
      </rPr>
      <t xml:space="preserve">x </t>
    </r>
    <r>
      <rPr>
        <sz val="10"/>
        <rFont val="Times New Roman"/>
        <family val="1"/>
      </rPr>
      <t>n0</t>
    </r>
  </si>
  <si>
    <t>插齿刀顶圆螺旋角</t>
  </si>
  <si>
    <r>
      <rPr>
        <sz val="12"/>
        <rFont val="宋体"/>
        <family val="3"/>
        <charset val="134"/>
      </rPr>
      <t>β</t>
    </r>
    <r>
      <rPr>
        <sz val="10"/>
        <rFont val="Times New Roman"/>
        <family val="1"/>
      </rPr>
      <t>a0</t>
    </r>
  </si>
  <si>
    <t>插齿刀顶圆法向压力角</t>
  </si>
  <si>
    <r>
      <rPr>
        <sz val="12"/>
        <rFont val="宋体"/>
        <family val="3"/>
        <charset val="134"/>
      </rPr>
      <t>α</t>
    </r>
    <r>
      <rPr>
        <sz val="10"/>
        <rFont val="Times New Roman"/>
        <family val="1"/>
      </rPr>
      <t>an0</t>
    </r>
  </si>
  <si>
    <t>插齿刀顶圆端面压力角</t>
  </si>
  <si>
    <r>
      <rPr>
        <sz val="12"/>
        <rFont val="宋体"/>
        <family val="3"/>
        <charset val="134"/>
      </rPr>
      <t>α</t>
    </r>
    <r>
      <rPr>
        <sz val="10"/>
        <rFont val="Times New Roman"/>
        <family val="1"/>
      </rPr>
      <t>a0</t>
    </r>
  </si>
  <si>
    <r>
      <rPr>
        <sz val="11"/>
        <rFont val="Times New Roman"/>
        <family val="1"/>
      </rPr>
      <t>INV</t>
    </r>
    <r>
      <rPr>
        <sz val="12"/>
        <rFont val="宋体"/>
        <family val="3"/>
        <charset val="134"/>
        <scheme val="minor"/>
      </rPr>
      <t>α</t>
    </r>
    <r>
      <rPr>
        <sz val="10"/>
        <rFont val="Times New Roman"/>
        <family val="1"/>
      </rPr>
      <t>a0</t>
    </r>
  </si>
  <si>
    <t>插齿刀分度圆弧齿厚</t>
  </si>
  <si>
    <r>
      <rPr>
        <sz val="12"/>
        <rFont val="Times New Roman"/>
        <family val="1"/>
      </rPr>
      <t xml:space="preserve">s </t>
    </r>
    <r>
      <rPr>
        <sz val="9"/>
        <rFont val="Times New Roman"/>
        <family val="1"/>
      </rPr>
      <t>0</t>
    </r>
  </si>
  <si>
    <t>插齿刀齿顶半角</t>
  </si>
  <si>
    <r>
      <rPr>
        <sz val="12"/>
        <rFont val="宋体"/>
        <family val="3"/>
        <charset val="134"/>
      </rPr>
      <t>φ</t>
    </r>
    <r>
      <rPr>
        <sz val="10"/>
        <rFont val="Times New Roman"/>
        <family val="1"/>
      </rPr>
      <t>a0</t>
    </r>
  </si>
  <si>
    <t>η</t>
  </si>
  <si>
    <r>
      <rPr>
        <sz val="12"/>
        <rFont val="Times New Roman"/>
        <family val="1"/>
      </rPr>
      <t>(</t>
    </r>
    <r>
      <rPr>
        <sz val="12"/>
        <rFont val="宋体"/>
        <family val="3"/>
        <charset val="134"/>
        <scheme val="minor"/>
      </rPr>
      <t>φ</t>
    </r>
    <r>
      <rPr>
        <sz val="10"/>
        <rFont val="Times New Roman"/>
        <family val="1"/>
      </rPr>
      <t>a0)</t>
    </r>
    <r>
      <rPr>
        <sz val="12"/>
        <rFont val="Times New Roman"/>
        <family val="1"/>
      </rPr>
      <t>+</t>
    </r>
    <r>
      <rPr>
        <sz val="12"/>
        <rFont val="宋体"/>
        <family val="3"/>
        <charset val="134"/>
        <scheme val="minor"/>
      </rPr>
      <t>λ</t>
    </r>
    <r>
      <rPr>
        <sz val="10"/>
        <rFont val="Times New Roman"/>
        <family val="1"/>
      </rPr>
      <t>0</t>
    </r>
  </si>
  <si>
    <r>
      <rPr>
        <sz val="12"/>
        <rFont val="宋体"/>
        <family val="3"/>
        <charset val="134"/>
      </rPr>
      <t>φ</t>
    </r>
    <r>
      <rPr>
        <sz val="10"/>
        <rFont val="Times New Roman"/>
        <family val="1"/>
      </rPr>
      <t>a0</t>
    </r>
    <r>
      <rPr>
        <sz val="12"/>
        <rFont val="Times New Roman"/>
        <family val="1"/>
      </rPr>
      <t>+i</t>
    </r>
    <r>
      <rPr>
        <sz val="12"/>
        <rFont val="宋体"/>
        <family val="3"/>
        <charset val="134"/>
        <scheme val="minor"/>
      </rPr>
      <t>λ</t>
    </r>
    <r>
      <rPr>
        <sz val="10"/>
        <rFont val="Times New Roman"/>
        <family val="1"/>
      </rPr>
      <t>0</t>
    </r>
  </si>
  <si>
    <t>内齿轮分度圆齿槽宽</t>
  </si>
  <si>
    <r>
      <rPr>
        <sz val="12"/>
        <rFont val="宋体"/>
        <family val="3"/>
        <charset val="134"/>
      </rPr>
      <t>ω</t>
    </r>
    <r>
      <rPr>
        <sz val="10"/>
        <rFont val="Times New Roman"/>
        <family val="1"/>
      </rPr>
      <t>2</t>
    </r>
  </si>
  <si>
    <t>内齿轮顶圆端面压力角</t>
  </si>
  <si>
    <r>
      <rPr>
        <sz val="12"/>
        <rFont val="宋体"/>
        <family val="3"/>
        <charset val="134"/>
      </rPr>
      <t>α</t>
    </r>
    <r>
      <rPr>
        <sz val="10"/>
        <rFont val="Times New Roman"/>
        <family val="1"/>
      </rPr>
      <t>a2</t>
    </r>
  </si>
  <si>
    <t>内齿轮顶部齿槽半角</t>
  </si>
  <si>
    <r>
      <rPr>
        <sz val="12"/>
        <rFont val="宋体"/>
        <family val="3"/>
        <charset val="134"/>
      </rPr>
      <t>φ</t>
    </r>
    <r>
      <rPr>
        <sz val="10"/>
        <rFont val="Times New Roman"/>
        <family val="1"/>
      </rPr>
      <t>a2</t>
    </r>
  </si>
  <si>
    <r>
      <rPr>
        <sz val="12"/>
        <rFont val="Times New Roman"/>
        <family val="1"/>
      </rPr>
      <t>i</t>
    </r>
    <r>
      <rPr>
        <sz val="12"/>
        <rFont val="宋体"/>
        <family val="3"/>
        <charset val="134"/>
        <scheme val="minor"/>
      </rPr>
      <t>λ</t>
    </r>
    <r>
      <rPr>
        <sz val="12"/>
        <rFont val="Times New Roman"/>
        <family val="1"/>
      </rPr>
      <t>0</t>
    </r>
  </si>
  <si>
    <r>
      <rPr>
        <sz val="12"/>
        <rFont val="宋体"/>
        <family val="3"/>
        <charset val="134"/>
      </rPr>
      <t>λ</t>
    </r>
    <r>
      <rPr>
        <sz val="12"/>
        <rFont val="Times New Roman"/>
        <family val="1"/>
      </rPr>
      <t>0</t>
    </r>
  </si>
  <si>
    <t>不产生切入顶切齿槽半角</t>
  </si>
  <si>
    <r>
      <rPr>
        <sz val="12"/>
        <rFont val="Times New Roman"/>
        <family val="1"/>
      </rPr>
      <t>(</t>
    </r>
    <r>
      <rPr>
        <sz val="12"/>
        <rFont val="宋体"/>
        <family val="3"/>
        <charset val="134"/>
        <scheme val="minor"/>
      </rPr>
      <t>φ</t>
    </r>
    <r>
      <rPr>
        <sz val="12"/>
        <rFont val="Times New Roman"/>
        <family val="1"/>
      </rPr>
      <t>a0)</t>
    </r>
  </si>
  <si>
    <t>小齿轮顶圆端面压力角</t>
  </si>
  <si>
    <t>齿轮副啮合角</t>
  </si>
  <si>
    <r>
      <rPr>
        <sz val="12"/>
        <rFont val="宋体"/>
        <family val="3"/>
        <charset val="134"/>
      </rPr>
      <t>α</t>
    </r>
    <r>
      <rPr>
        <sz val="10"/>
        <rFont val="Times New Roman"/>
        <family val="1"/>
      </rPr>
      <t>12t'</t>
    </r>
  </si>
  <si>
    <r>
      <rPr>
        <sz val="10"/>
        <rFont val="Times New Roman"/>
        <family val="1"/>
      </rPr>
      <t>INV</t>
    </r>
    <r>
      <rPr>
        <sz val="12"/>
        <rFont val="宋体"/>
        <family val="3"/>
        <charset val="134"/>
        <scheme val="minor"/>
      </rPr>
      <t>α</t>
    </r>
    <r>
      <rPr>
        <sz val="10"/>
        <rFont val="Times New Roman"/>
        <family val="1"/>
      </rPr>
      <t>02t'</t>
    </r>
  </si>
  <si>
    <t>插齿刀与内齿轮的啮合角</t>
  </si>
  <si>
    <r>
      <rPr>
        <sz val="12"/>
        <rFont val="宋体"/>
        <family val="3"/>
        <charset val="134"/>
      </rPr>
      <t>α</t>
    </r>
    <r>
      <rPr>
        <sz val="10"/>
        <rFont val="Times New Roman"/>
        <family val="1"/>
      </rPr>
      <t>02t'</t>
    </r>
  </si>
  <si>
    <t>插齿刀与内齿轮的中心距</t>
  </si>
  <si>
    <r>
      <rPr>
        <sz val="12"/>
        <rFont val="Times New Roman"/>
        <family val="1"/>
      </rPr>
      <t>a</t>
    </r>
    <r>
      <rPr>
        <sz val="10"/>
        <rFont val="Times New Roman"/>
        <family val="1"/>
      </rPr>
      <t xml:space="preserve"> 02</t>
    </r>
  </si>
  <si>
    <t>Z0/Z2</t>
  </si>
  <si>
    <t>？</t>
  </si>
  <si>
    <r>
      <rPr>
        <sz val="12"/>
        <rFont val="宋体"/>
        <family val="3"/>
        <charset val="134"/>
      </rPr>
      <t>ρ</t>
    </r>
    <r>
      <rPr>
        <sz val="10"/>
        <rFont val="Times New Roman"/>
        <family val="1"/>
      </rPr>
      <t>02</t>
    </r>
  </si>
  <si>
    <r>
      <rPr>
        <sz val="12"/>
        <rFont val="宋体"/>
        <family val="3"/>
        <charset val="134"/>
      </rPr>
      <t>ρ</t>
    </r>
    <r>
      <rPr>
        <sz val="10"/>
        <rFont val="宋体"/>
        <family val="3"/>
        <charset val="134"/>
      </rPr>
      <t>12</t>
    </r>
  </si>
  <si>
    <t>不干涉顶切的最大啮合角</t>
  </si>
  <si>
    <r>
      <rPr>
        <sz val="12"/>
        <rFont val="宋体"/>
        <family val="3"/>
        <charset val="134"/>
      </rPr>
      <t>α</t>
    </r>
    <r>
      <rPr>
        <sz val="10"/>
        <rFont val="Times New Roman"/>
        <family val="1"/>
      </rPr>
      <t>02max</t>
    </r>
  </si>
  <si>
    <t>不干涉顶切最小变位系数</t>
  </si>
  <si>
    <r>
      <rPr>
        <sz val="12"/>
        <rFont val="Times New Roman"/>
        <family val="1"/>
      </rPr>
      <t xml:space="preserve">x </t>
    </r>
    <r>
      <rPr>
        <sz val="10"/>
        <rFont val="Times New Roman"/>
        <family val="1"/>
      </rPr>
      <t>0min</t>
    </r>
  </si>
  <si>
    <t>相应的顶圆压力角</t>
  </si>
  <si>
    <r>
      <rPr>
        <sz val="12"/>
        <rFont val="宋体"/>
        <family val="3"/>
        <charset val="134"/>
      </rPr>
      <t>α</t>
    </r>
    <r>
      <rPr>
        <sz val="10"/>
        <rFont val="Times New Roman"/>
        <family val="1"/>
      </rPr>
      <t>a0min</t>
    </r>
  </si>
  <si>
    <r>
      <rPr>
        <sz val="12"/>
        <rFont val="宋体"/>
        <family val="3"/>
        <charset val="134"/>
      </rPr>
      <t>α</t>
    </r>
    <r>
      <rPr>
        <sz val="10"/>
        <rFont val="宋体"/>
        <family val="3"/>
        <charset val="134"/>
      </rPr>
      <t>ρ</t>
    </r>
    <r>
      <rPr>
        <sz val="10"/>
        <rFont val="Times New Roman"/>
        <family val="1"/>
      </rPr>
      <t>0</t>
    </r>
  </si>
  <si>
    <t>插齿刀与内齿轮的重合度</t>
  </si>
  <si>
    <r>
      <rPr>
        <sz val="12"/>
        <rFont val="宋体"/>
        <family val="3"/>
        <charset val="134"/>
      </rPr>
      <t>ε</t>
    </r>
    <r>
      <rPr>
        <sz val="10"/>
        <rFont val="宋体"/>
        <family val="3"/>
        <charset val="134"/>
      </rPr>
      <t>02</t>
    </r>
  </si>
  <si>
    <t>（端面）</t>
  </si>
  <si>
    <t>小齿轮与内齿轮的重合度</t>
  </si>
  <si>
    <r>
      <rPr>
        <sz val="12"/>
        <rFont val="宋体"/>
        <family val="3"/>
        <charset val="134"/>
      </rPr>
      <t>ε</t>
    </r>
    <r>
      <rPr>
        <sz val="10"/>
        <rFont val="Times New Roman"/>
        <family val="1"/>
      </rPr>
      <t>1</t>
    </r>
    <r>
      <rPr>
        <sz val="10"/>
        <rFont val="宋体"/>
        <family val="3"/>
        <charset val="134"/>
      </rPr>
      <t>2</t>
    </r>
  </si>
  <si>
    <t>公差值选取计算：</t>
  </si>
  <si>
    <t>分度圆弧长之半</t>
  </si>
  <si>
    <r>
      <rPr>
        <sz val="12"/>
        <rFont val="Times New Roman"/>
        <family val="1"/>
      </rPr>
      <t>L</t>
    </r>
    <r>
      <rPr>
        <sz val="10"/>
        <rFont val="Times New Roman"/>
        <family val="1"/>
      </rPr>
      <t>m2</t>
    </r>
    <r>
      <rPr>
        <sz val="12"/>
        <rFont val="Times New Roman"/>
        <family val="1"/>
      </rPr>
      <t>/2</t>
    </r>
  </si>
  <si>
    <t>齿距累积公差</t>
  </si>
  <si>
    <r>
      <rPr>
        <sz val="12"/>
        <rFont val="Times New Roman"/>
        <family val="1"/>
      </rPr>
      <t>F</t>
    </r>
    <r>
      <rPr>
        <sz val="8"/>
        <rFont val="Times New Roman"/>
        <family val="1"/>
      </rPr>
      <t>P1</t>
    </r>
  </si>
  <si>
    <r>
      <rPr>
        <sz val="12"/>
        <rFont val="Times New Roman"/>
        <family val="1"/>
      </rPr>
      <t>F</t>
    </r>
    <r>
      <rPr>
        <sz val="8"/>
        <rFont val="Times New Roman"/>
        <family val="1"/>
      </rPr>
      <t>P2</t>
    </r>
  </si>
  <si>
    <t>齿圈径向跳动公差</t>
  </si>
  <si>
    <r>
      <rPr>
        <sz val="12"/>
        <rFont val="Times New Roman"/>
        <family val="1"/>
      </rPr>
      <t>Fr</t>
    </r>
    <r>
      <rPr>
        <sz val="9"/>
        <rFont val="Times New Roman"/>
        <family val="1"/>
      </rPr>
      <t>1</t>
    </r>
  </si>
  <si>
    <r>
      <rPr>
        <sz val="12"/>
        <rFont val="Times New Roman"/>
        <family val="1"/>
      </rPr>
      <t>Fr</t>
    </r>
    <r>
      <rPr>
        <sz val="9"/>
        <rFont val="Times New Roman"/>
        <family val="1"/>
      </rPr>
      <t>2</t>
    </r>
  </si>
  <si>
    <t>公法线长度变动公差</t>
  </si>
  <si>
    <t>Fw1</t>
  </si>
  <si>
    <t>Fw2</t>
  </si>
  <si>
    <t>齿距极限偏差</t>
  </si>
  <si>
    <r>
      <rPr>
        <sz val="12"/>
        <rFont val="Times New Roman"/>
        <family val="1"/>
      </rPr>
      <t>±f</t>
    </r>
    <r>
      <rPr>
        <sz val="8"/>
        <rFont val="Times New Roman"/>
        <family val="1"/>
      </rPr>
      <t>pt1</t>
    </r>
  </si>
  <si>
    <r>
      <rPr>
        <sz val="12"/>
        <rFont val="Times New Roman"/>
        <family val="1"/>
      </rPr>
      <t>±f</t>
    </r>
    <r>
      <rPr>
        <sz val="8"/>
        <rFont val="Times New Roman"/>
        <family val="1"/>
      </rPr>
      <t>pt2</t>
    </r>
  </si>
  <si>
    <t>基节极限偏差</t>
  </si>
  <si>
    <r>
      <rPr>
        <sz val="12"/>
        <rFont val="Times New Roman"/>
        <family val="1"/>
      </rPr>
      <t>±f</t>
    </r>
    <r>
      <rPr>
        <sz val="8"/>
        <rFont val="Times New Roman"/>
        <family val="1"/>
      </rPr>
      <t>pb1</t>
    </r>
  </si>
  <si>
    <r>
      <rPr>
        <sz val="12"/>
        <rFont val="Times New Roman"/>
        <family val="1"/>
      </rPr>
      <t>±</t>
    </r>
    <r>
      <rPr>
        <sz val="12"/>
        <rFont val="宋体"/>
        <family val="3"/>
        <charset val="134"/>
        <scheme val="minor"/>
      </rPr>
      <t>f</t>
    </r>
    <r>
      <rPr>
        <sz val="8"/>
        <rFont val="Times New Roman"/>
        <family val="1"/>
      </rPr>
      <t>pb2</t>
    </r>
  </si>
  <si>
    <t xml:space="preserve"> </t>
  </si>
  <si>
    <r>
      <rPr>
        <sz val="12"/>
        <rFont val="宋体"/>
        <family val="3"/>
        <charset val="134"/>
      </rPr>
      <t>齿</t>
    </r>
    <r>
      <rPr>
        <sz val="12"/>
        <rFont val="Times New Roman"/>
        <family val="1"/>
      </rPr>
      <t xml:space="preserve">   </t>
    </r>
    <r>
      <rPr>
        <sz val="12"/>
        <rFont val="宋体"/>
        <family val="3"/>
        <charset val="134"/>
        <scheme val="minor"/>
      </rPr>
      <t>形</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</si>
  <si>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r>
      <rPr>
        <sz val="12"/>
        <rFont val="Times New Roman"/>
        <family val="1"/>
      </rPr>
      <t xml:space="preserve">f </t>
    </r>
    <r>
      <rPr>
        <sz val="8"/>
        <rFont val="Times New Roman"/>
        <family val="1"/>
      </rPr>
      <t>f 1</t>
    </r>
  </si>
  <si>
    <r>
      <rPr>
        <sz val="12"/>
        <rFont val="Times New Roman"/>
        <family val="1"/>
      </rPr>
      <t xml:space="preserve">f </t>
    </r>
    <r>
      <rPr>
        <sz val="8"/>
        <rFont val="Times New Roman"/>
        <family val="1"/>
      </rPr>
      <t>f 2</t>
    </r>
  </si>
  <si>
    <r>
      <rPr>
        <sz val="12"/>
        <rFont val="宋体"/>
        <family val="3"/>
        <charset val="134"/>
      </rPr>
      <t>齿</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</si>
  <si>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r>
      <rPr>
        <sz val="12"/>
        <rFont val="Times New Roman"/>
        <family val="1"/>
      </rPr>
      <t>F</t>
    </r>
    <r>
      <rPr>
        <sz val="9"/>
        <rFont val="宋体"/>
        <family val="3"/>
        <charset val="134"/>
      </rPr>
      <t>β</t>
    </r>
  </si>
  <si>
    <r>
      <rPr>
        <sz val="12"/>
        <rFont val="宋体"/>
        <family val="3"/>
        <charset val="134"/>
      </rPr>
      <t>齿</t>
    </r>
    <r>
      <rPr>
        <sz val="12"/>
        <rFont val="Times New Roman"/>
        <family val="1"/>
      </rPr>
      <t xml:space="preserve"> </t>
    </r>
    <r>
      <rPr>
        <sz val="12"/>
        <rFont val="宋体"/>
        <family val="3"/>
        <charset val="134"/>
        <scheme val="minor"/>
      </rPr>
      <t>面</t>
    </r>
    <r>
      <rPr>
        <sz val="12"/>
        <rFont val="Times New Roman"/>
        <family val="1"/>
      </rPr>
      <t xml:space="preserve"> </t>
    </r>
    <r>
      <rPr>
        <sz val="12"/>
        <rFont val="宋体"/>
        <family val="3"/>
        <charset val="134"/>
        <scheme val="minor"/>
      </rPr>
      <t>接</t>
    </r>
    <r>
      <rPr>
        <sz val="12"/>
        <rFont val="Times New Roman"/>
        <family val="1"/>
      </rPr>
      <t xml:space="preserve"> </t>
    </r>
    <r>
      <rPr>
        <sz val="12"/>
        <rFont val="宋体"/>
        <family val="3"/>
        <charset val="134"/>
        <scheme val="minor"/>
      </rPr>
      <t>触</t>
    </r>
    <r>
      <rPr>
        <sz val="12"/>
        <rFont val="Times New Roman"/>
        <family val="1"/>
      </rPr>
      <t xml:space="preserve"> </t>
    </r>
    <r>
      <rPr>
        <sz val="12"/>
        <rFont val="宋体"/>
        <family val="3"/>
        <charset val="134"/>
        <scheme val="minor"/>
      </rPr>
      <t>斑</t>
    </r>
    <r>
      <rPr>
        <sz val="12"/>
        <rFont val="Times New Roman"/>
        <family val="1"/>
      </rPr>
      <t xml:space="preserve"> </t>
    </r>
    <r>
      <rPr>
        <sz val="12"/>
        <rFont val="宋体"/>
        <family val="3"/>
        <charset val="134"/>
        <scheme val="minor"/>
      </rPr>
      <t>点</t>
    </r>
  </si>
  <si>
    <t>按高度</t>
  </si>
  <si>
    <t>按长度</t>
  </si>
  <si>
    <r>
      <rPr>
        <sz val="12"/>
        <rFont val="宋体"/>
        <family val="3"/>
        <charset val="134"/>
      </rPr>
      <t xml:space="preserve">接 </t>
    </r>
    <r>
      <rPr>
        <sz val="12"/>
        <rFont val="Times New Roman"/>
        <family val="1"/>
      </rPr>
      <t xml:space="preserve"> </t>
    </r>
    <r>
      <rPr>
        <sz val="12"/>
        <rFont val="宋体"/>
        <family val="3"/>
        <charset val="134"/>
        <scheme val="minor"/>
      </rPr>
      <t>触</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</si>
  <si>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t>f b</t>
  </si>
  <si>
    <r>
      <rPr>
        <sz val="12"/>
        <rFont val="宋体"/>
        <family val="3"/>
        <charset val="134"/>
      </rPr>
      <t>轴</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距</t>
    </r>
    <r>
      <rPr>
        <sz val="12"/>
        <rFont val="Times New Roman"/>
        <family val="1"/>
      </rPr>
      <t xml:space="preserve"> </t>
    </r>
    <r>
      <rPr>
        <sz val="12"/>
        <rFont val="宋体"/>
        <family val="3"/>
        <charset val="134"/>
        <scheme val="minor"/>
      </rPr>
      <t>偏</t>
    </r>
    <r>
      <rPr>
        <sz val="12"/>
        <rFont val="Times New Roman"/>
        <family val="1"/>
      </rPr>
      <t xml:space="preserve"> </t>
    </r>
    <r>
      <rPr>
        <sz val="12"/>
        <rFont val="宋体"/>
        <family val="3"/>
        <charset val="134"/>
        <scheme val="minor"/>
      </rPr>
      <t>差</t>
    </r>
  </si>
  <si>
    <r>
      <rPr>
        <sz val="12"/>
        <rFont val="Times New Roman"/>
        <family val="1"/>
      </rPr>
      <t>±F</t>
    </r>
    <r>
      <rPr>
        <sz val="10"/>
        <rFont val="Times New Roman"/>
        <family val="1"/>
      </rPr>
      <t>px</t>
    </r>
  </si>
  <si>
    <t>螺旋线波度公差</t>
  </si>
  <si>
    <r>
      <rPr>
        <sz val="12"/>
        <rFont val="Times New Roman"/>
        <family val="1"/>
      </rPr>
      <t>F</t>
    </r>
    <r>
      <rPr>
        <sz val="10"/>
        <rFont val="Times New Roman"/>
        <family val="1"/>
      </rPr>
      <t>f</t>
    </r>
    <r>
      <rPr>
        <sz val="10"/>
        <rFont val="宋体"/>
        <family val="3"/>
        <charset val="134"/>
      </rPr>
      <t>β</t>
    </r>
  </si>
  <si>
    <r>
      <rPr>
        <sz val="12"/>
        <rFont val="宋体"/>
        <family val="3"/>
        <charset val="134"/>
      </rPr>
      <t>切</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综</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</si>
  <si>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r>
      <rPr>
        <sz val="12"/>
        <rFont val="Times New Roman"/>
        <family val="1"/>
      </rPr>
      <t>F'i</t>
    </r>
    <r>
      <rPr>
        <sz val="8"/>
        <rFont val="Times New Roman"/>
        <family val="1"/>
      </rPr>
      <t>1</t>
    </r>
  </si>
  <si>
    <r>
      <rPr>
        <sz val="12"/>
        <rFont val="Times New Roman"/>
        <family val="1"/>
      </rPr>
      <t>F'i</t>
    </r>
    <r>
      <rPr>
        <sz val="8"/>
        <rFont val="Times New Roman"/>
        <family val="1"/>
      </rPr>
      <t>2</t>
    </r>
  </si>
  <si>
    <t>一齿切向综合公差</t>
  </si>
  <si>
    <r>
      <rPr>
        <sz val="12"/>
        <rFont val="Times New Roman"/>
        <family val="1"/>
      </rPr>
      <t>f'i</t>
    </r>
    <r>
      <rPr>
        <sz val="8"/>
        <rFont val="Times New Roman"/>
        <family val="1"/>
      </rPr>
      <t>1</t>
    </r>
  </si>
  <si>
    <r>
      <rPr>
        <sz val="12"/>
        <rFont val="Times New Roman"/>
        <family val="1"/>
      </rPr>
      <t>f'i</t>
    </r>
    <r>
      <rPr>
        <sz val="8"/>
        <rFont val="Times New Roman"/>
        <family val="1"/>
      </rPr>
      <t>2</t>
    </r>
  </si>
  <si>
    <r>
      <rPr>
        <sz val="12"/>
        <rFont val="宋体"/>
        <family val="3"/>
        <charset val="134"/>
      </rPr>
      <t>齿</t>
    </r>
    <r>
      <rPr>
        <sz val="12"/>
        <rFont val="Times New Roman"/>
        <family val="1"/>
      </rPr>
      <t xml:space="preserve">  </t>
    </r>
    <r>
      <rPr>
        <sz val="12"/>
        <rFont val="宋体"/>
        <family val="3"/>
        <charset val="134"/>
        <scheme val="minor"/>
      </rPr>
      <t>厚</t>
    </r>
    <r>
      <rPr>
        <sz val="12"/>
        <rFont val="Times New Roman"/>
        <family val="1"/>
      </rPr>
      <t xml:space="preserve">  </t>
    </r>
    <r>
      <rPr>
        <sz val="12"/>
        <rFont val="宋体"/>
        <family val="3"/>
        <charset val="134"/>
        <scheme val="minor"/>
      </rPr>
      <t>上</t>
    </r>
    <r>
      <rPr>
        <sz val="12"/>
        <rFont val="Times New Roman"/>
        <family val="1"/>
      </rPr>
      <t xml:space="preserve">  </t>
    </r>
    <r>
      <rPr>
        <sz val="12"/>
        <rFont val="宋体"/>
        <family val="3"/>
        <charset val="134"/>
        <scheme val="minor"/>
      </rPr>
      <t>偏</t>
    </r>
    <r>
      <rPr>
        <sz val="12"/>
        <rFont val="Times New Roman"/>
        <family val="1"/>
      </rPr>
      <t xml:space="preserve">  </t>
    </r>
    <r>
      <rPr>
        <sz val="12"/>
        <rFont val="宋体"/>
        <family val="3"/>
        <charset val="134"/>
        <scheme val="minor"/>
      </rPr>
      <t>差</t>
    </r>
  </si>
  <si>
    <t>Ess1</t>
  </si>
  <si>
    <t>Ess2</t>
  </si>
  <si>
    <r>
      <rPr>
        <sz val="12"/>
        <rFont val="宋体"/>
        <family val="3"/>
        <charset val="134"/>
      </rPr>
      <t>齿</t>
    </r>
    <r>
      <rPr>
        <sz val="12"/>
        <rFont val="Times New Roman"/>
        <family val="1"/>
      </rPr>
      <t xml:space="preserve">  </t>
    </r>
    <r>
      <rPr>
        <sz val="12"/>
        <rFont val="宋体"/>
        <family val="3"/>
        <charset val="134"/>
        <scheme val="minor"/>
      </rPr>
      <t>厚</t>
    </r>
    <r>
      <rPr>
        <sz val="12"/>
        <rFont val="Times New Roman"/>
        <family val="1"/>
      </rPr>
      <t xml:space="preserve">  </t>
    </r>
    <r>
      <rPr>
        <sz val="12"/>
        <rFont val="宋体"/>
        <family val="3"/>
        <charset val="134"/>
        <scheme val="minor"/>
      </rPr>
      <t>下</t>
    </r>
    <r>
      <rPr>
        <sz val="12"/>
        <rFont val="Times New Roman"/>
        <family val="1"/>
      </rPr>
      <t xml:space="preserve">  </t>
    </r>
    <r>
      <rPr>
        <sz val="12"/>
        <rFont val="宋体"/>
        <family val="3"/>
        <charset val="134"/>
        <scheme val="minor"/>
      </rPr>
      <t>偏</t>
    </r>
    <r>
      <rPr>
        <sz val="12"/>
        <rFont val="Times New Roman"/>
        <family val="1"/>
      </rPr>
      <t xml:space="preserve">  </t>
    </r>
    <r>
      <rPr>
        <sz val="12"/>
        <rFont val="宋体"/>
        <family val="3"/>
        <charset val="134"/>
        <scheme val="minor"/>
      </rPr>
      <t>差</t>
    </r>
  </si>
  <si>
    <t>Esi1</t>
  </si>
  <si>
    <t>Esi2</t>
  </si>
  <si>
    <r>
      <rPr>
        <sz val="12"/>
        <rFont val="宋体"/>
        <family val="3"/>
        <charset val="134"/>
      </rPr>
      <t>齿</t>
    </r>
    <r>
      <rPr>
        <sz val="12"/>
        <rFont val="Times New Roman"/>
        <family val="1"/>
      </rPr>
      <t xml:space="preserve">   </t>
    </r>
    <r>
      <rPr>
        <sz val="12"/>
        <rFont val="宋体"/>
        <family val="3"/>
        <charset val="134"/>
        <scheme val="minor"/>
      </rPr>
      <t>厚</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</si>
  <si>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t>Ts1</t>
  </si>
  <si>
    <t>Ts2</t>
  </si>
  <si>
    <t xml:space="preserve">jn1 </t>
  </si>
  <si>
    <t>jn2</t>
  </si>
  <si>
    <t>jn3</t>
  </si>
  <si>
    <t>ii</t>
  </si>
  <si>
    <t>ii1</t>
  </si>
  <si>
    <t>ii2</t>
  </si>
  <si>
    <t>EEss</t>
  </si>
  <si>
    <t>EEss1</t>
  </si>
  <si>
    <t>EEss2</t>
  </si>
  <si>
    <t>br1</t>
  </si>
  <si>
    <t>br2</t>
  </si>
  <si>
    <t>TTs1</t>
  </si>
  <si>
    <t>TTs2</t>
  </si>
  <si>
    <t>EEsi1</t>
  </si>
  <si>
    <t>EEsi2</t>
  </si>
  <si>
    <t>ES01</t>
  </si>
  <si>
    <t>EI01</t>
  </si>
  <si>
    <t>ES02</t>
  </si>
  <si>
    <t>EI02</t>
  </si>
  <si>
    <r>
      <rPr>
        <sz val="12"/>
        <rFont val="Times New Roman"/>
        <family val="1"/>
      </rPr>
      <t>jn</t>
    </r>
    <r>
      <rPr>
        <sz val="10"/>
        <rFont val="Times New Roman"/>
        <family val="1"/>
      </rPr>
      <t>min0</t>
    </r>
  </si>
  <si>
    <r>
      <rPr>
        <sz val="12"/>
        <rFont val="Times New Roman"/>
        <family val="1"/>
      </rPr>
      <t>jn</t>
    </r>
    <r>
      <rPr>
        <sz val="10"/>
        <rFont val="Times New Roman"/>
        <family val="1"/>
      </rPr>
      <t>max0</t>
    </r>
  </si>
  <si>
    <t>公法线平均长度上偏差</t>
  </si>
  <si>
    <t>Ews</t>
  </si>
  <si>
    <t>公法线平均长度下偏差</t>
  </si>
  <si>
    <t>Ewi</t>
  </si>
  <si>
    <t>公法线平均长度公差</t>
  </si>
  <si>
    <t>Ew</t>
  </si>
  <si>
    <t>圆棒（球）跨距上偏差</t>
  </si>
  <si>
    <t>Ems</t>
  </si>
  <si>
    <t>圆棒（球）跨距下偏差</t>
  </si>
  <si>
    <t>Emi</t>
  </si>
  <si>
    <t>圆棒（球）跨距公差</t>
  </si>
  <si>
    <t>Em</t>
  </si>
  <si>
    <r>
      <rPr>
        <sz val="10"/>
        <rFont val="Times New Roman"/>
        <family val="1"/>
      </rPr>
      <t>X</t>
    </r>
    <r>
      <rPr>
        <sz val="10"/>
        <rFont val="宋体"/>
        <family val="3"/>
        <charset val="134"/>
      </rPr>
      <t>方向轴线平行度公差</t>
    </r>
  </si>
  <si>
    <t>f x</t>
  </si>
  <si>
    <t>Y方向轴线平行度公差</t>
  </si>
  <si>
    <t>f y</t>
  </si>
  <si>
    <t>中心距极限偏差</t>
  </si>
  <si>
    <r>
      <rPr>
        <sz val="12"/>
        <rFont val="Times New Roman"/>
        <family val="1"/>
      </rPr>
      <t>±f</t>
    </r>
    <r>
      <rPr>
        <sz val="8"/>
        <rFont val="Times New Roman"/>
        <family val="1"/>
      </rPr>
      <t>a</t>
    </r>
  </si>
  <si>
    <r>
      <rPr>
        <sz val="10"/>
        <rFont val="Times New Roman"/>
        <family val="1"/>
      </rPr>
      <t>3</t>
    </r>
    <r>
      <rPr>
        <sz val="10"/>
        <rFont val="宋体"/>
        <family val="3"/>
        <charset val="134"/>
      </rPr>
      <t>公差组最高精度等级</t>
    </r>
  </si>
  <si>
    <t>齿坯公差：</t>
  </si>
  <si>
    <t>孔径尺寸公差</t>
  </si>
  <si>
    <t>孔径形状公差</t>
  </si>
  <si>
    <t>顶圆尺寸公差</t>
  </si>
  <si>
    <r>
      <rPr>
        <sz val="12"/>
        <rFont val="宋体"/>
        <family val="3"/>
        <charset val="134"/>
      </rPr>
      <t>IT11</t>
    </r>
    <r>
      <rPr>
        <sz val="12"/>
        <rFont val="宋体"/>
        <family val="3"/>
        <charset val="134"/>
        <scheme val="minor"/>
      </rPr>
      <t>， 但不大于</t>
    </r>
  </si>
  <si>
    <t>基准面径向和端面跳动</t>
  </si>
  <si>
    <r>
      <rPr>
        <sz val="10"/>
        <color indexed="10"/>
        <rFont val="宋体"/>
        <family val="3"/>
        <charset val="134"/>
      </rPr>
      <t>以下是输出数据，请打印：</t>
    </r>
    <r>
      <rPr>
        <sz val="10"/>
        <color indexed="10"/>
        <rFont val="Times New Roman"/>
        <family val="1"/>
      </rPr>
      <t>***********************************************************************</t>
    </r>
  </si>
  <si>
    <r>
      <rPr>
        <sz val="10"/>
        <rFont val="宋体"/>
        <family val="3"/>
        <charset val="134"/>
      </rPr>
      <t>计</t>
    </r>
    <r>
      <rPr>
        <sz val="10"/>
        <rFont val="Times New Roman"/>
        <family val="1"/>
      </rPr>
      <t xml:space="preserve"> </t>
    </r>
    <r>
      <rPr>
        <sz val="10"/>
        <rFont val="宋体"/>
        <family val="3"/>
        <charset val="134"/>
      </rPr>
      <t>算</t>
    </r>
    <r>
      <rPr>
        <sz val="10"/>
        <rFont val="Times New Roman"/>
        <family val="1"/>
      </rPr>
      <t xml:space="preserve"> </t>
    </r>
    <r>
      <rPr>
        <sz val="10"/>
        <rFont val="宋体"/>
        <family val="3"/>
        <charset val="134"/>
      </rPr>
      <t>人 ：</t>
    </r>
  </si>
  <si>
    <r>
      <rPr>
        <b/>
        <sz val="10"/>
        <color indexed="12"/>
        <rFont val="宋体"/>
        <family val="3"/>
        <charset val="134"/>
      </rPr>
      <t>注：</t>
    </r>
    <r>
      <rPr>
        <sz val="10"/>
        <color indexed="12"/>
        <rFont val="宋体"/>
        <family val="3"/>
        <charset val="134"/>
      </rPr>
      <t>“度.分秒”标注示例 — 56.0638 表示56度6分38秒；35.596 表示35度59分60秒（即36度）。</t>
    </r>
  </si>
  <si>
    <r>
      <rPr>
        <b/>
        <sz val="12"/>
        <rFont val="宋体"/>
        <family val="3"/>
        <charset val="134"/>
      </rPr>
      <t>项</t>
    </r>
    <r>
      <rPr>
        <b/>
        <sz val="12"/>
        <rFont val="Times New Roman"/>
        <family val="1"/>
      </rPr>
      <t xml:space="preserve">         </t>
    </r>
    <r>
      <rPr>
        <b/>
        <sz val="12"/>
        <rFont val="宋体"/>
        <family val="3"/>
        <charset val="134"/>
      </rPr>
      <t>目</t>
    </r>
  </si>
  <si>
    <t>几何参数：</t>
  </si>
  <si>
    <r>
      <rPr>
        <sz val="12"/>
        <rFont val="宋体"/>
        <family val="3"/>
        <charset val="134"/>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方</t>
    </r>
    <r>
      <rPr>
        <sz val="12"/>
        <rFont val="Times New Roman"/>
        <family val="1"/>
      </rPr>
      <t xml:space="preserve">    </t>
    </r>
    <r>
      <rPr>
        <sz val="12"/>
        <rFont val="宋体"/>
        <family val="3"/>
        <charset val="134"/>
        <scheme val="minor"/>
      </rPr>
      <t>向</t>
    </r>
  </si>
  <si>
    <r>
      <rPr>
        <sz val="12"/>
        <rFont val="宋体"/>
        <family val="3"/>
        <charset val="134"/>
      </rPr>
      <t>齿</t>
    </r>
    <r>
      <rPr>
        <sz val="12"/>
        <rFont val="Times New Roman"/>
        <family val="1"/>
      </rPr>
      <t xml:space="preserve">                    </t>
    </r>
    <r>
      <rPr>
        <sz val="12"/>
        <rFont val="宋体"/>
        <family val="3"/>
        <charset val="134"/>
        <scheme val="minor"/>
      </rPr>
      <t>数</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</si>
  <si>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模</t>
    </r>
    <r>
      <rPr>
        <sz val="12"/>
        <rFont val="Times New Roman"/>
        <family val="1"/>
      </rPr>
      <t xml:space="preserve">    </t>
    </r>
    <r>
      <rPr>
        <sz val="12"/>
        <rFont val="宋体"/>
        <family val="3"/>
        <charset val="134"/>
        <scheme val="minor"/>
      </rPr>
      <t>数</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</si>
  <si>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压</t>
    </r>
    <r>
      <rPr>
        <sz val="12"/>
        <rFont val="Times New Roman"/>
        <family val="1"/>
      </rPr>
      <t xml:space="preserve">  </t>
    </r>
    <r>
      <rPr>
        <sz val="12"/>
        <rFont val="宋体"/>
        <family val="3"/>
        <charset val="134"/>
        <scheme val="minor"/>
      </rPr>
      <t>力</t>
    </r>
    <r>
      <rPr>
        <sz val="12"/>
        <rFont val="Times New Roman"/>
        <family val="1"/>
      </rPr>
      <t xml:space="preserve">  </t>
    </r>
    <r>
      <rPr>
        <sz val="12"/>
        <rFont val="宋体"/>
        <family val="3"/>
        <charset val="134"/>
        <scheme val="minor"/>
      </rPr>
      <t>角</t>
    </r>
  </si>
  <si>
    <r>
      <rPr>
        <sz val="12"/>
        <rFont val="宋体"/>
        <family val="3"/>
        <charset val="134"/>
      </rPr>
      <t>有</t>
    </r>
    <r>
      <rPr>
        <sz val="12"/>
        <rFont val="Times New Roman"/>
        <family val="1"/>
      </rPr>
      <t xml:space="preserve">    </t>
    </r>
    <r>
      <rPr>
        <sz val="12"/>
        <rFont val="宋体"/>
        <family val="3"/>
        <charset val="134"/>
        <scheme val="minor"/>
      </rPr>
      <t>效</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宽</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</si>
  <si>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高</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</si>
  <si>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倒</t>
    </r>
    <r>
      <rPr>
        <sz val="12"/>
        <rFont val="Times New Roman"/>
        <family val="1"/>
      </rPr>
      <t xml:space="preserve"> </t>
    </r>
    <r>
      <rPr>
        <sz val="12"/>
        <rFont val="宋体"/>
        <family val="3"/>
        <charset val="134"/>
        <scheme val="minor"/>
      </rPr>
      <t>棱</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</si>
  <si>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宋体"/>
        <family val="3"/>
        <charset val="134"/>
      </rPr>
      <t>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</si>
  <si>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Times New Roman"/>
        <family val="1"/>
      </rPr>
      <t xml:space="preserve">x </t>
    </r>
    <r>
      <rPr>
        <sz val="10"/>
        <rFont val="Times New Roman"/>
        <family val="1"/>
      </rPr>
      <t>t*</t>
    </r>
  </si>
  <si>
    <r>
      <rPr>
        <sz val="12"/>
        <rFont val="宋体"/>
        <family val="3"/>
        <charset val="134"/>
      </rPr>
      <t>标</t>
    </r>
    <r>
      <rPr>
        <sz val="12"/>
        <rFont val="Times New Roman"/>
        <family val="1"/>
      </rPr>
      <t xml:space="preserve">  </t>
    </r>
    <r>
      <rPr>
        <sz val="12"/>
        <rFont val="宋体"/>
        <family val="3"/>
        <charset val="134"/>
        <scheme val="minor"/>
      </rPr>
      <t>准</t>
    </r>
    <r>
      <rPr>
        <sz val="12"/>
        <rFont val="Times New Roman"/>
        <family val="1"/>
      </rPr>
      <t xml:space="preserve">  </t>
    </r>
    <r>
      <rPr>
        <sz val="12"/>
        <rFont val="宋体"/>
        <family val="3"/>
        <charset val="134"/>
        <scheme val="minor"/>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</si>
  <si>
    <r>
      <rPr>
        <sz val="12"/>
        <rFont val="宋体"/>
        <family val="3"/>
        <charset val="134"/>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</si>
  <si>
    <r>
      <rPr>
        <sz val="12"/>
        <rFont val="宋体"/>
        <family val="3"/>
        <charset val="134"/>
      </rPr>
      <t>径</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变</t>
    </r>
    <r>
      <rPr>
        <sz val="12"/>
        <rFont val="Times New Roman"/>
        <family val="1"/>
      </rPr>
      <t xml:space="preserve"> </t>
    </r>
    <r>
      <rPr>
        <sz val="12"/>
        <rFont val="宋体"/>
        <family val="3"/>
        <charset val="134"/>
        <scheme val="minor"/>
      </rPr>
      <t>位</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</si>
  <si>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变</t>
    </r>
    <r>
      <rPr>
        <sz val="12"/>
        <rFont val="Times New Roman"/>
        <family val="1"/>
      </rPr>
      <t xml:space="preserve"> </t>
    </r>
    <r>
      <rPr>
        <sz val="12"/>
        <rFont val="宋体"/>
        <family val="3"/>
        <charset val="134"/>
        <scheme val="minor"/>
      </rPr>
      <t>位</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</si>
  <si>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Times New Roman"/>
        <family val="1"/>
      </rPr>
      <t xml:space="preserve">x </t>
    </r>
    <r>
      <rPr>
        <sz val="10"/>
        <rFont val="Times New Roman"/>
        <family val="1"/>
      </rPr>
      <t>n</t>
    </r>
  </si>
  <si>
    <r>
      <rPr>
        <sz val="12"/>
        <rFont val="宋体"/>
        <family val="3"/>
        <charset val="134"/>
      </rPr>
      <t>分</t>
    </r>
    <r>
      <rPr>
        <sz val="12"/>
        <rFont val="Times New Roman"/>
        <family val="1"/>
      </rPr>
      <t xml:space="preserve">  </t>
    </r>
    <r>
      <rPr>
        <sz val="12"/>
        <rFont val="宋体"/>
        <family val="3"/>
        <charset val="134"/>
        <scheme val="minor"/>
      </rPr>
      <t>度</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</si>
  <si>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宋体"/>
        <family val="3"/>
        <charset val="134"/>
      </rPr>
      <t>基</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</si>
  <si>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b</t>
    </r>
  </si>
  <si>
    <r>
      <rPr>
        <sz val="12"/>
        <rFont val="宋体"/>
        <family val="3"/>
        <charset val="134"/>
      </rPr>
      <t>顶</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</si>
  <si>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a</t>
    </r>
  </si>
  <si>
    <r>
      <rPr>
        <sz val="12"/>
        <rFont val="宋体"/>
        <family val="3"/>
        <charset val="134"/>
      </rPr>
      <t>根</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</si>
  <si>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10"/>
        <rFont val="Times New Roman"/>
        <family val="1"/>
      </rPr>
      <t>f</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</si>
  <si>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高</t>
    </r>
  </si>
  <si>
    <r>
      <rPr>
        <sz val="12"/>
        <rFont val="Times New Roman"/>
        <family val="1"/>
      </rPr>
      <t xml:space="preserve">h </t>
    </r>
    <r>
      <rPr>
        <sz val="10"/>
        <rFont val="Times New Roman"/>
        <family val="1"/>
      </rPr>
      <t>a</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</si>
  <si>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高</t>
    </r>
  </si>
  <si>
    <r>
      <rPr>
        <sz val="12"/>
        <rFont val="Times New Roman"/>
        <family val="1"/>
      </rPr>
      <t xml:space="preserve">h </t>
    </r>
    <r>
      <rPr>
        <sz val="10"/>
        <rFont val="Times New Roman"/>
        <family val="1"/>
      </rPr>
      <t>f</t>
    </r>
  </si>
  <si>
    <r>
      <rPr>
        <sz val="12"/>
        <rFont val="宋体"/>
        <family val="3"/>
        <charset val="134"/>
      </rPr>
      <t>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</si>
  <si>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Times New Roman"/>
        <family val="1"/>
      </rPr>
      <t xml:space="preserve">h </t>
    </r>
    <r>
      <rPr>
        <sz val="9"/>
        <rFont val="Times New Roman"/>
        <family val="1"/>
      </rPr>
      <t>t</t>
    </r>
  </si>
  <si>
    <r>
      <rPr>
        <sz val="12"/>
        <rFont val="宋体"/>
        <family val="3"/>
        <charset val="134"/>
      </rPr>
      <t>弧</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</si>
  <si>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t>
    </r>
    <r>
      <rPr>
        <sz val="10"/>
        <rFont val="Times New Roman"/>
        <family val="1"/>
      </rPr>
      <t xml:space="preserve"> t</t>
    </r>
  </si>
  <si>
    <t>测量尺寸：</t>
  </si>
  <si>
    <r>
      <rPr>
        <sz val="12"/>
        <rFont val="宋体"/>
        <family val="3"/>
        <charset val="134"/>
      </rPr>
      <t>公</t>
    </r>
    <r>
      <rPr>
        <sz val="12"/>
        <rFont val="Times New Roman"/>
        <family val="1"/>
      </rPr>
      <t xml:space="preserve">  </t>
    </r>
    <r>
      <rPr>
        <sz val="12"/>
        <rFont val="宋体"/>
        <family val="3"/>
        <charset val="134"/>
        <scheme val="minor"/>
      </rPr>
      <t>法</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长</t>
    </r>
    <r>
      <rPr>
        <sz val="12"/>
        <rFont val="Times New Roman"/>
        <family val="1"/>
      </rPr>
      <t xml:space="preserve">  </t>
    </r>
    <r>
      <rPr>
        <sz val="12"/>
        <rFont val="宋体"/>
        <family val="3"/>
        <charset val="134"/>
        <scheme val="minor"/>
      </rPr>
      <t>度</t>
    </r>
  </si>
  <si>
    <r>
      <rPr>
        <sz val="12"/>
        <rFont val="Times New Roman"/>
        <family val="1"/>
      </rPr>
      <t>W</t>
    </r>
    <r>
      <rPr>
        <sz val="10"/>
        <rFont val="Times New Roman"/>
        <family val="1"/>
      </rPr>
      <t>k</t>
    </r>
  </si>
  <si>
    <r>
      <rPr>
        <sz val="12"/>
        <rFont val="宋体"/>
        <family val="3"/>
        <charset val="134"/>
      </rPr>
      <t>卡</t>
    </r>
    <r>
      <rPr>
        <sz val="12"/>
        <rFont val="Times New Roman"/>
        <family val="1"/>
      </rPr>
      <t xml:space="preserve">    </t>
    </r>
    <r>
      <rPr>
        <sz val="12"/>
        <rFont val="宋体"/>
        <family val="3"/>
        <charset val="134"/>
        <scheme val="minor"/>
      </rPr>
      <t>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</si>
  <si>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t>k</t>
  </si>
  <si>
    <r>
      <rPr>
        <sz val="12"/>
        <rFont val="Times New Roman"/>
        <family val="1"/>
      </rPr>
      <t>W</t>
    </r>
    <r>
      <rPr>
        <sz val="10"/>
        <rFont val="Times New Roman"/>
        <family val="1"/>
      </rPr>
      <t xml:space="preserve">k </t>
    </r>
    <r>
      <rPr>
        <sz val="12"/>
        <rFont val="宋体"/>
        <family val="3"/>
        <charset val="134"/>
        <scheme val="minor"/>
      </rPr>
      <t>是</t>
    </r>
    <r>
      <rPr>
        <sz val="12"/>
        <rFont val="宋体"/>
        <family val="3"/>
        <charset val="134"/>
        <scheme val="minor"/>
      </rPr>
      <t>否</t>
    </r>
    <r>
      <rPr>
        <sz val="12"/>
        <rFont val="宋体"/>
        <family val="3"/>
        <charset val="134"/>
        <scheme val="minor"/>
      </rPr>
      <t>可</t>
    </r>
    <r>
      <rPr>
        <sz val="12"/>
        <rFont val="宋体"/>
        <family val="3"/>
        <charset val="134"/>
        <scheme val="minor"/>
      </rPr>
      <t>以</t>
    </r>
    <r>
      <rPr>
        <sz val="12"/>
        <rFont val="宋体"/>
        <family val="3"/>
        <charset val="134"/>
        <scheme val="minor"/>
      </rPr>
      <t>测</t>
    </r>
    <r>
      <rPr>
        <sz val="12"/>
        <rFont val="宋体"/>
        <family val="3"/>
        <charset val="134"/>
        <scheme val="minor"/>
      </rPr>
      <t>量</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</si>
  <si>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</si>
  <si>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t>
    </r>
    <r>
      <rPr>
        <sz val="10"/>
        <rFont val="Times New Roman"/>
        <family val="1"/>
      </rPr>
      <t>n</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</si>
  <si>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</si>
  <si>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Times New Roman"/>
        <family val="1"/>
      </rPr>
      <t>H</t>
    </r>
    <r>
      <rPr>
        <sz val="10"/>
        <rFont val="Times New Roman"/>
        <family val="1"/>
      </rPr>
      <t>n</t>
    </r>
  </si>
  <si>
    <r>
      <rPr>
        <sz val="12"/>
        <rFont val="宋体"/>
        <family val="3"/>
        <charset val="134"/>
      </rPr>
      <t>固</t>
    </r>
    <r>
      <rPr>
        <sz val="12"/>
        <rFont val="Times New Roman"/>
        <family val="1"/>
      </rPr>
      <t xml:space="preserve">  </t>
    </r>
    <r>
      <rPr>
        <sz val="12"/>
        <rFont val="宋体"/>
        <family val="3"/>
        <charset val="134"/>
        <scheme val="minor"/>
      </rPr>
      <t>定</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厚</t>
    </r>
  </si>
  <si>
    <r>
      <rPr>
        <sz val="12"/>
        <rFont val="Times New Roman"/>
        <family val="1"/>
      </rPr>
      <t>Sc</t>
    </r>
    <r>
      <rPr>
        <sz val="10"/>
        <rFont val="Times New Roman"/>
        <family val="1"/>
      </rPr>
      <t>n</t>
    </r>
  </si>
  <si>
    <r>
      <rPr>
        <sz val="12"/>
        <rFont val="宋体"/>
        <family val="3"/>
        <charset val="134"/>
      </rPr>
      <t>固</t>
    </r>
    <r>
      <rPr>
        <sz val="12"/>
        <rFont val="Times New Roman"/>
        <family val="1"/>
      </rPr>
      <t xml:space="preserve">  </t>
    </r>
    <r>
      <rPr>
        <sz val="12"/>
        <rFont val="宋体"/>
        <family val="3"/>
        <charset val="134"/>
        <scheme val="minor"/>
      </rPr>
      <t>定</t>
    </r>
    <r>
      <rPr>
        <sz val="12"/>
        <rFont val="Times New Roman"/>
        <family val="1"/>
      </rPr>
      <t xml:space="preserve">  </t>
    </r>
    <r>
      <rPr>
        <sz val="12"/>
        <rFont val="宋体"/>
        <family val="3"/>
        <charset val="134"/>
        <scheme val="minor"/>
      </rPr>
      <t>弦</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高</t>
    </r>
  </si>
  <si>
    <r>
      <rPr>
        <sz val="12"/>
        <rFont val="Times New Roman"/>
        <family val="1"/>
      </rPr>
      <t>Hc</t>
    </r>
    <r>
      <rPr>
        <sz val="10"/>
        <rFont val="Times New Roman"/>
        <family val="1"/>
      </rPr>
      <t>n</t>
    </r>
  </si>
  <si>
    <t>dp</t>
  </si>
  <si>
    <r>
      <rPr>
        <sz val="12"/>
        <rFont val="宋体"/>
        <family val="3"/>
        <charset val="134"/>
      </rPr>
      <t>测</t>
    </r>
    <r>
      <rPr>
        <sz val="12"/>
        <rFont val="Times New Roman"/>
        <family val="1"/>
      </rPr>
      <t xml:space="preserve">  </t>
    </r>
    <r>
      <rPr>
        <sz val="12"/>
        <rFont val="宋体"/>
        <family val="3"/>
        <charset val="134"/>
        <scheme val="minor"/>
      </rPr>
      <t>量</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直</t>
    </r>
    <r>
      <rPr>
        <sz val="12"/>
        <rFont val="Times New Roman"/>
        <family val="1"/>
      </rPr>
      <t xml:space="preserve">  </t>
    </r>
    <r>
      <rPr>
        <sz val="12"/>
        <rFont val="宋体"/>
        <family val="3"/>
        <charset val="134"/>
        <scheme val="minor"/>
      </rPr>
      <t>径</t>
    </r>
  </si>
  <si>
    <r>
      <rPr>
        <sz val="12"/>
        <rFont val="Times New Roman"/>
        <family val="1"/>
      </rPr>
      <t xml:space="preserve">d </t>
    </r>
    <r>
      <rPr>
        <sz val="9"/>
        <rFont val="Times New Roman"/>
        <family val="1"/>
      </rPr>
      <t>M</t>
    </r>
  </si>
  <si>
    <t>渐开线展开长度：</t>
  </si>
  <si>
    <t>公差值：</t>
  </si>
  <si>
    <r>
      <rPr>
        <sz val="12"/>
        <rFont val="宋体"/>
        <family val="3"/>
        <charset val="134"/>
      </rPr>
      <t>精</t>
    </r>
    <r>
      <rPr>
        <sz val="12"/>
        <rFont val="Times New Roman"/>
        <family val="1"/>
      </rPr>
      <t xml:space="preserve">    </t>
    </r>
    <r>
      <rPr>
        <sz val="12"/>
        <rFont val="宋体"/>
        <family val="3"/>
        <charset val="134"/>
        <scheme val="minor"/>
      </rPr>
      <t>度</t>
    </r>
    <r>
      <rPr>
        <sz val="12"/>
        <rFont val="Times New Roman"/>
        <family val="1"/>
      </rPr>
      <t xml:space="preserve">    </t>
    </r>
    <r>
      <rPr>
        <sz val="12"/>
        <rFont val="宋体"/>
        <family val="3"/>
        <charset val="134"/>
        <scheme val="minor"/>
      </rPr>
      <t>等</t>
    </r>
    <r>
      <rPr>
        <sz val="12"/>
        <rFont val="Times New Roman"/>
        <family val="1"/>
      </rPr>
      <t xml:space="preserve">    </t>
    </r>
    <r>
      <rPr>
        <sz val="12"/>
        <rFont val="宋体"/>
        <family val="3"/>
        <charset val="134"/>
        <scheme val="minor"/>
      </rPr>
      <t xml:space="preserve">级 </t>
    </r>
  </si>
  <si>
    <r>
      <rPr>
        <b/>
        <sz val="12"/>
        <rFont val="宋体"/>
        <family val="3"/>
        <charset val="134"/>
      </rPr>
      <t>Ⅰ</t>
    </r>
    <r>
      <rPr>
        <b/>
        <sz val="12"/>
        <rFont val="Times New Roman"/>
        <family val="1"/>
      </rPr>
      <t>:</t>
    </r>
  </si>
  <si>
    <r>
      <rPr>
        <b/>
        <sz val="12"/>
        <rFont val="宋体"/>
        <family val="3"/>
        <charset val="134"/>
      </rPr>
      <t>Ⅱ</t>
    </r>
    <r>
      <rPr>
        <b/>
        <sz val="12"/>
        <rFont val="Times New Roman"/>
        <family val="1"/>
      </rPr>
      <t>:</t>
    </r>
  </si>
  <si>
    <r>
      <rPr>
        <b/>
        <sz val="12"/>
        <rFont val="宋体"/>
        <family val="3"/>
        <charset val="134"/>
      </rPr>
      <t>Ⅲ</t>
    </r>
    <r>
      <rPr>
        <b/>
        <sz val="12"/>
        <rFont val="Times New Roman"/>
        <family val="1"/>
      </rPr>
      <t>:</t>
    </r>
  </si>
  <si>
    <t>齿厚极限偏差代码</t>
  </si>
  <si>
    <t>Ess</t>
  </si>
  <si>
    <t>Esi</t>
  </si>
  <si>
    <r>
      <rPr>
        <sz val="12"/>
        <rFont val="宋体"/>
        <family val="3"/>
        <charset val="134"/>
      </rPr>
      <t>齿</t>
    </r>
    <r>
      <rPr>
        <sz val="12"/>
        <rFont val="Times New Roman"/>
        <family val="1"/>
      </rPr>
      <t xml:space="preserve">    </t>
    </r>
    <r>
      <rPr>
        <sz val="12"/>
        <rFont val="宋体"/>
        <family val="3"/>
        <charset val="134"/>
        <scheme val="minor"/>
      </rPr>
      <t>厚</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</si>
  <si>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t>Ts</t>
  </si>
  <si>
    <r>
      <rPr>
        <sz val="12"/>
        <rFont val="宋体"/>
        <family val="3"/>
        <charset val="134"/>
      </rPr>
      <t>最</t>
    </r>
    <r>
      <rPr>
        <sz val="12"/>
        <rFont val="Times New Roman"/>
        <family val="1"/>
      </rPr>
      <t xml:space="preserve"> </t>
    </r>
    <r>
      <rPr>
        <sz val="12"/>
        <rFont val="宋体"/>
        <family val="3"/>
        <charset val="134"/>
        <scheme val="minor"/>
      </rPr>
      <t>小</t>
    </r>
    <r>
      <rPr>
        <sz val="12"/>
        <rFont val="Times New Roman"/>
        <family val="1"/>
      </rPr>
      <t xml:space="preserve"> </t>
    </r>
    <r>
      <rPr>
        <sz val="12"/>
        <rFont val="宋体"/>
        <family val="3"/>
        <charset val="134"/>
        <scheme val="minor"/>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侧</t>
    </r>
    <r>
      <rPr>
        <sz val="12"/>
        <rFont val="Times New Roman"/>
        <family val="1"/>
      </rPr>
      <t xml:space="preserve"> </t>
    </r>
    <r>
      <rPr>
        <sz val="12"/>
        <rFont val="宋体"/>
        <family val="3"/>
        <charset val="134"/>
        <scheme val="minor"/>
      </rPr>
      <t>隙</t>
    </r>
  </si>
  <si>
    <r>
      <rPr>
        <sz val="12"/>
        <rFont val="Times New Roman"/>
        <family val="1"/>
      </rPr>
      <t>jn</t>
    </r>
    <r>
      <rPr>
        <sz val="8"/>
        <rFont val="Times New Roman"/>
        <family val="1"/>
      </rPr>
      <t>min</t>
    </r>
  </si>
  <si>
    <r>
      <rPr>
        <sz val="12"/>
        <rFont val="宋体"/>
        <family val="3"/>
        <charset val="134"/>
      </rPr>
      <t>最</t>
    </r>
    <r>
      <rPr>
        <sz val="12"/>
        <rFont val="Times New Roman"/>
        <family val="1"/>
      </rPr>
      <t xml:space="preserve"> </t>
    </r>
    <r>
      <rPr>
        <sz val="12"/>
        <rFont val="宋体"/>
        <family val="3"/>
        <charset val="134"/>
        <scheme val="minor"/>
      </rPr>
      <t>大</t>
    </r>
    <r>
      <rPr>
        <sz val="12"/>
        <rFont val="Times New Roman"/>
        <family val="1"/>
      </rPr>
      <t xml:space="preserve"> </t>
    </r>
    <r>
      <rPr>
        <sz val="12"/>
        <rFont val="宋体"/>
        <family val="3"/>
        <charset val="134"/>
        <scheme val="minor"/>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侧</t>
    </r>
    <r>
      <rPr>
        <sz val="12"/>
        <rFont val="Times New Roman"/>
        <family val="1"/>
      </rPr>
      <t xml:space="preserve"> </t>
    </r>
    <r>
      <rPr>
        <sz val="12"/>
        <rFont val="宋体"/>
        <family val="3"/>
        <charset val="134"/>
        <scheme val="minor"/>
      </rPr>
      <t>隙</t>
    </r>
  </si>
  <si>
    <r>
      <rPr>
        <sz val="12"/>
        <rFont val="Times New Roman"/>
        <family val="1"/>
      </rPr>
      <t>jn</t>
    </r>
    <r>
      <rPr>
        <sz val="8"/>
        <rFont val="Times New Roman"/>
        <family val="1"/>
      </rPr>
      <t>max</t>
    </r>
  </si>
  <si>
    <t>F'i</t>
  </si>
  <si>
    <t>f'i</t>
  </si>
  <si>
    <t>Fr</t>
  </si>
  <si>
    <t>Fw</t>
  </si>
  <si>
    <r>
      <rPr>
        <sz val="12"/>
        <rFont val="宋体"/>
        <family val="3"/>
        <charset val="134"/>
      </rPr>
      <t>齿</t>
    </r>
    <r>
      <rPr>
        <sz val="12"/>
        <rFont val="Times New Roman"/>
        <family val="1"/>
      </rPr>
      <t xml:space="preserve"> </t>
    </r>
    <r>
      <rPr>
        <sz val="12"/>
        <rFont val="宋体"/>
        <family val="3"/>
        <charset val="134"/>
        <scheme val="minor"/>
      </rPr>
      <t>距</t>
    </r>
    <r>
      <rPr>
        <sz val="12"/>
        <rFont val="Times New Roman"/>
        <family val="1"/>
      </rPr>
      <t xml:space="preserve"> </t>
    </r>
    <r>
      <rPr>
        <sz val="12"/>
        <rFont val="宋体"/>
        <family val="3"/>
        <charset val="134"/>
        <scheme val="minor"/>
      </rPr>
      <t>累</t>
    </r>
    <r>
      <rPr>
        <sz val="12"/>
        <rFont val="Times New Roman"/>
        <family val="1"/>
      </rPr>
      <t xml:space="preserve"> </t>
    </r>
    <r>
      <rPr>
        <sz val="12"/>
        <rFont val="宋体"/>
        <family val="3"/>
        <charset val="134"/>
        <scheme val="minor"/>
      </rPr>
      <t>积</t>
    </r>
    <r>
      <rPr>
        <sz val="12"/>
        <rFont val="Times New Roman"/>
        <family val="1"/>
      </rPr>
      <t xml:space="preserve"> </t>
    </r>
    <r>
      <rPr>
        <sz val="12"/>
        <rFont val="宋体"/>
        <family val="3"/>
        <charset val="134"/>
        <scheme val="minor"/>
      </rPr>
      <t>公</t>
    </r>
    <r>
      <rPr>
        <sz val="12"/>
        <rFont val="Times New Roman"/>
        <family val="1"/>
      </rPr>
      <t xml:space="preserve"> </t>
    </r>
    <r>
      <rPr>
        <sz val="12"/>
        <rFont val="宋体"/>
        <family val="3"/>
        <charset val="134"/>
        <scheme val="minor"/>
      </rPr>
      <t>差</t>
    </r>
  </si>
  <si>
    <r>
      <rPr>
        <sz val="12"/>
        <rFont val="Times New Roman"/>
        <family val="1"/>
      </rPr>
      <t>F</t>
    </r>
    <r>
      <rPr>
        <sz val="8"/>
        <rFont val="Times New Roman"/>
        <family val="1"/>
      </rPr>
      <t>P</t>
    </r>
  </si>
  <si>
    <r>
      <rPr>
        <sz val="12"/>
        <rFont val="宋体"/>
        <family val="3"/>
        <charset val="134"/>
      </rPr>
      <t>齿</t>
    </r>
    <r>
      <rPr>
        <sz val="12"/>
        <rFont val="Times New Roman"/>
        <family val="1"/>
      </rPr>
      <t xml:space="preserve"> </t>
    </r>
    <r>
      <rPr>
        <sz val="12"/>
        <rFont val="宋体"/>
        <family val="3"/>
        <charset val="134"/>
        <scheme val="minor"/>
      </rPr>
      <t>距</t>
    </r>
    <r>
      <rPr>
        <sz val="12"/>
        <rFont val="Times New Roman"/>
        <family val="1"/>
      </rPr>
      <t xml:space="preserve"> </t>
    </r>
    <r>
      <rPr>
        <sz val="12"/>
        <rFont val="宋体"/>
        <family val="3"/>
        <charset val="134"/>
        <scheme val="minor"/>
      </rPr>
      <t>极</t>
    </r>
    <r>
      <rPr>
        <sz val="12"/>
        <rFont val="Times New Roman"/>
        <family val="1"/>
      </rPr>
      <t xml:space="preserve"> </t>
    </r>
    <r>
      <rPr>
        <sz val="12"/>
        <rFont val="宋体"/>
        <family val="3"/>
        <charset val="134"/>
        <scheme val="minor"/>
      </rPr>
      <t>限</t>
    </r>
    <r>
      <rPr>
        <sz val="12"/>
        <rFont val="Times New Roman"/>
        <family val="1"/>
      </rPr>
      <t xml:space="preserve"> </t>
    </r>
    <r>
      <rPr>
        <sz val="12"/>
        <rFont val="宋体"/>
        <family val="3"/>
        <charset val="134"/>
        <scheme val="minor"/>
      </rPr>
      <t>偏</t>
    </r>
    <r>
      <rPr>
        <sz val="12"/>
        <rFont val="Times New Roman"/>
        <family val="1"/>
      </rPr>
      <t xml:space="preserve"> </t>
    </r>
    <r>
      <rPr>
        <sz val="12"/>
        <rFont val="宋体"/>
        <family val="3"/>
        <charset val="134"/>
        <scheme val="minor"/>
      </rPr>
      <t>差</t>
    </r>
  </si>
  <si>
    <r>
      <rPr>
        <sz val="12"/>
        <rFont val="Times New Roman"/>
        <family val="1"/>
      </rPr>
      <t xml:space="preserve">±f </t>
    </r>
    <r>
      <rPr>
        <sz val="8"/>
        <rFont val="Times New Roman"/>
        <family val="1"/>
      </rPr>
      <t>pt</t>
    </r>
  </si>
  <si>
    <r>
      <rPr>
        <sz val="12"/>
        <rFont val="Times New Roman"/>
        <family val="1"/>
      </rPr>
      <t>±f</t>
    </r>
    <r>
      <rPr>
        <sz val="8"/>
        <rFont val="Times New Roman"/>
        <family val="1"/>
      </rPr>
      <t>pb</t>
    </r>
  </si>
  <si>
    <r>
      <rPr>
        <sz val="12"/>
        <rFont val="Times New Roman"/>
        <family val="1"/>
      </rPr>
      <t xml:space="preserve">f </t>
    </r>
    <r>
      <rPr>
        <sz val="8"/>
        <rFont val="Times New Roman"/>
        <family val="1"/>
      </rPr>
      <t>f</t>
    </r>
  </si>
  <si>
    <t>（用作基准）</t>
  </si>
  <si>
    <t>（不用作基准）</t>
  </si>
  <si>
    <r>
      <rPr>
        <b/>
        <sz val="12"/>
        <rFont val="宋体"/>
        <family val="3"/>
        <charset val="134"/>
      </rPr>
      <t>图样标注</t>
    </r>
    <r>
      <rPr>
        <b/>
        <sz val="12"/>
        <rFont val="Times New Roman"/>
        <family val="1"/>
      </rPr>
      <t xml:space="preserve">: </t>
    </r>
    <r>
      <rPr>
        <b/>
        <sz val="14"/>
        <rFont val="Times New Roman"/>
        <family val="1"/>
      </rPr>
      <t xml:space="preserve"> </t>
    </r>
    <r>
      <rPr>
        <sz val="12"/>
        <rFont val="宋体"/>
        <family val="3"/>
        <charset val="134"/>
        <scheme val="minor"/>
      </rPr>
      <t>外齿轮</t>
    </r>
  </si>
  <si>
    <r>
      <rPr>
        <sz val="12"/>
        <rFont val="宋体"/>
        <family val="3"/>
        <charset val="134"/>
      </rPr>
      <t xml:space="preserve"> </t>
    </r>
    <r>
      <rPr>
        <sz val="12"/>
        <rFont val="宋体"/>
        <family val="3"/>
        <charset val="134"/>
        <scheme val="minor"/>
      </rPr>
      <t xml:space="preserve">         内</t>
    </r>
    <r>
      <rPr>
        <sz val="12"/>
        <rFont val="宋体"/>
        <family val="3"/>
        <charset val="134"/>
        <scheme val="minor"/>
      </rPr>
      <t>齿轮</t>
    </r>
  </si>
  <si>
    <r>
      <rPr>
        <sz val="11"/>
        <rFont val="宋体"/>
        <family val="3"/>
        <charset val="134"/>
      </rPr>
      <t>齿轮</t>
    </r>
    <r>
      <rPr>
        <sz val="11"/>
        <rFont val="Times New Roman"/>
        <family val="1"/>
      </rPr>
      <t>1</t>
    </r>
  </si>
  <si>
    <t>齿轮2</t>
  </si>
  <si>
    <r>
      <rPr>
        <sz val="12"/>
        <rFont val="宋体"/>
        <family val="3"/>
        <charset val="134"/>
      </rPr>
      <t>齿 顶</t>
    </r>
    <r>
      <rPr>
        <sz val="12"/>
        <rFont val="宋体"/>
        <family val="3"/>
        <charset val="134"/>
        <scheme val="minor"/>
      </rPr>
      <t xml:space="preserve"> </t>
    </r>
    <r>
      <rPr>
        <sz val="12"/>
        <rFont val="宋体"/>
        <family val="3"/>
        <charset val="134"/>
        <scheme val="minor"/>
      </rPr>
      <t>变</t>
    </r>
    <r>
      <rPr>
        <sz val="12"/>
        <rFont val="宋体"/>
        <family val="3"/>
        <charset val="134"/>
        <scheme val="minor"/>
      </rPr>
      <t xml:space="preserve"> </t>
    </r>
    <r>
      <rPr>
        <sz val="12"/>
        <rFont val="宋体"/>
        <family val="3"/>
        <charset val="134"/>
        <scheme val="minor"/>
      </rPr>
      <t>尖</t>
    </r>
  </si>
  <si>
    <t>齿根过渡曲线干涉</t>
  </si>
  <si>
    <t>常用直齿标准圆盘插齿刀插齿验算：</t>
  </si>
  <si>
    <t>径向切入顶切</t>
  </si>
  <si>
    <t>范 成 顶 切</t>
  </si>
  <si>
    <t>其它圆盘插齿刀插齿验算：</t>
  </si>
  <si>
    <t>插齿刀螺旋角</t>
  </si>
  <si>
    <t>插齿刀顶刃后角</t>
  </si>
  <si>
    <t>插齿刀顶圆直径</t>
  </si>
  <si>
    <r>
      <rPr>
        <sz val="10"/>
        <color indexed="10"/>
        <rFont val="宋体"/>
        <family val="3"/>
        <charset val="134"/>
      </rPr>
      <t>打印终止</t>
    </r>
    <r>
      <rPr>
        <sz val="10"/>
        <color indexed="10"/>
        <rFont val="Times New Roman"/>
        <family val="1"/>
      </rPr>
      <t>***************************************************************************************</t>
    </r>
  </si>
  <si>
    <t>国内外常用钢钢号对照表</t>
  </si>
  <si>
    <t>钢号</t>
  </si>
  <si>
    <t>08F</t>
  </si>
  <si>
    <t>08КП</t>
  </si>
  <si>
    <t>040A04</t>
  </si>
  <si>
    <t>S09CK</t>
  </si>
  <si>
    <t>C10</t>
  </si>
  <si>
    <t>优</t>
  </si>
  <si>
    <t>08</t>
  </si>
  <si>
    <t>1008</t>
  </si>
  <si>
    <t>045M10</t>
  </si>
  <si>
    <t>S9CK</t>
  </si>
  <si>
    <t>10F</t>
  </si>
  <si>
    <t>1010</t>
  </si>
  <si>
    <t>040A10</t>
  </si>
  <si>
    <t>XC10</t>
  </si>
  <si>
    <t>10</t>
  </si>
  <si>
    <t>1010,1012</t>
  </si>
  <si>
    <t>S10C</t>
  </si>
  <si>
    <t>C10,CK10</t>
  </si>
  <si>
    <t>质</t>
  </si>
  <si>
    <t>15</t>
  </si>
  <si>
    <t>1015</t>
  </si>
  <si>
    <t>095M15</t>
  </si>
  <si>
    <t>S15C</t>
  </si>
  <si>
    <t>XC12</t>
  </si>
  <si>
    <t>C15,CK15</t>
  </si>
  <si>
    <t>1020</t>
  </si>
  <si>
    <t>050A20</t>
  </si>
  <si>
    <t>S20C</t>
  </si>
  <si>
    <t>XC18</t>
  </si>
  <si>
    <t>C22,CK22</t>
  </si>
  <si>
    <t>1025</t>
  </si>
  <si>
    <t>S25C</t>
  </si>
  <si>
    <t>CK25</t>
  </si>
  <si>
    <t>碳</t>
  </si>
  <si>
    <t>30</t>
  </si>
  <si>
    <t>1030</t>
  </si>
  <si>
    <t>060A30</t>
  </si>
  <si>
    <t>S30C</t>
  </si>
  <si>
    <t>XC32</t>
  </si>
  <si>
    <t>35</t>
  </si>
  <si>
    <t>1035</t>
  </si>
  <si>
    <t>060A35</t>
  </si>
  <si>
    <t>S35C</t>
  </si>
  <si>
    <t>XC38TS</t>
  </si>
  <si>
    <t>C35,CK35</t>
  </si>
  <si>
    <t>40</t>
  </si>
  <si>
    <t>1040</t>
  </si>
  <si>
    <t>080A40</t>
  </si>
  <si>
    <t>S40C</t>
  </si>
  <si>
    <t>XC38H1</t>
  </si>
  <si>
    <t>素</t>
  </si>
  <si>
    <t>45</t>
  </si>
  <si>
    <t>1045</t>
  </si>
  <si>
    <t>080M46</t>
  </si>
  <si>
    <t>XC45</t>
  </si>
  <si>
    <t>C45,CK45</t>
  </si>
  <si>
    <t>50</t>
  </si>
  <si>
    <t>060A52</t>
  </si>
  <si>
    <t>S50C</t>
  </si>
  <si>
    <t>XC48TS</t>
  </si>
  <si>
    <t>CK53</t>
  </si>
  <si>
    <t>结</t>
  </si>
  <si>
    <t>55</t>
  </si>
  <si>
    <t>1055</t>
  </si>
  <si>
    <t>070M55</t>
  </si>
  <si>
    <t>S55C</t>
  </si>
  <si>
    <t>XC55</t>
  </si>
  <si>
    <t>60</t>
  </si>
  <si>
    <t>1060</t>
  </si>
  <si>
    <t>080A62</t>
  </si>
  <si>
    <t>S58C</t>
  </si>
  <si>
    <t>C60,CK60</t>
  </si>
  <si>
    <t>15Mn</t>
  </si>
  <si>
    <t>15Г</t>
  </si>
  <si>
    <t>1016,1115</t>
  </si>
  <si>
    <t>080A17</t>
  </si>
  <si>
    <t>SB46</t>
  </si>
  <si>
    <t>14Mn4</t>
  </si>
  <si>
    <t>构</t>
  </si>
  <si>
    <t>20Mn</t>
  </si>
  <si>
    <t>20Г</t>
  </si>
  <si>
    <t>1021,1022</t>
  </si>
  <si>
    <t>080A20</t>
  </si>
  <si>
    <t>30Mn</t>
  </si>
  <si>
    <t>30Г</t>
  </si>
  <si>
    <t>1030,1033</t>
  </si>
  <si>
    <t>080A32</t>
  </si>
  <si>
    <t>40Mn</t>
  </si>
  <si>
    <t>40Г</t>
  </si>
  <si>
    <t>1036,1040</t>
  </si>
  <si>
    <t>40M5</t>
  </si>
  <si>
    <t>40Mn4</t>
  </si>
  <si>
    <t>45Mn</t>
  </si>
  <si>
    <t>45Г</t>
  </si>
  <si>
    <t>1043,1045</t>
  </si>
  <si>
    <t>080A47</t>
  </si>
  <si>
    <t>50Mn</t>
  </si>
  <si>
    <t>50Г</t>
  </si>
  <si>
    <t>1050,1052</t>
  </si>
  <si>
    <t>030A52</t>
  </si>
  <si>
    <t>S53C</t>
  </si>
  <si>
    <t>XC48</t>
  </si>
  <si>
    <t>080M50</t>
  </si>
  <si>
    <t>20Mn2</t>
  </si>
  <si>
    <t>20Г2</t>
  </si>
  <si>
    <t>1320,1321</t>
  </si>
  <si>
    <t>150M19</t>
  </si>
  <si>
    <t>SMn420</t>
  </si>
  <si>
    <t>20Mn5</t>
  </si>
  <si>
    <t>30Mn2</t>
  </si>
  <si>
    <t>30Г2</t>
  </si>
  <si>
    <t>1330</t>
  </si>
  <si>
    <t>150M28</t>
  </si>
  <si>
    <t>SMn433H</t>
  </si>
  <si>
    <t>32M5</t>
  </si>
  <si>
    <t>30Mn5</t>
  </si>
  <si>
    <t>35Mn2</t>
  </si>
  <si>
    <t>35Г2</t>
  </si>
  <si>
    <t>1335</t>
  </si>
  <si>
    <t>150M36</t>
  </si>
  <si>
    <t>SMn438(H)</t>
  </si>
  <si>
    <t>35M5</t>
  </si>
  <si>
    <t>36Mn5</t>
  </si>
  <si>
    <t>40Mn2</t>
  </si>
  <si>
    <t>40Г2</t>
  </si>
  <si>
    <t>1340</t>
  </si>
  <si>
    <t>SMn443</t>
  </si>
  <si>
    <t>45Mn2</t>
  </si>
  <si>
    <t>45Г2</t>
  </si>
  <si>
    <t>1345</t>
  </si>
  <si>
    <t>46Mn7</t>
  </si>
  <si>
    <t>50Mn2</t>
  </si>
  <si>
    <t>50Г2</t>
  </si>
  <si>
    <t>~55M5</t>
  </si>
  <si>
    <t>20MnV</t>
  </si>
  <si>
    <t>20MnV6</t>
  </si>
  <si>
    <t>35SiMn</t>
  </si>
  <si>
    <t>35CГ</t>
  </si>
  <si>
    <t>En46</t>
  </si>
  <si>
    <t>37MnSi5</t>
  </si>
  <si>
    <t>42SiMn</t>
  </si>
  <si>
    <t>46MnSi4</t>
  </si>
  <si>
    <t>40B</t>
  </si>
  <si>
    <t>TS14B35</t>
  </si>
  <si>
    <t>45B</t>
  </si>
  <si>
    <t>50B46H</t>
  </si>
  <si>
    <t>40MnB</t>
  </si>
  <si>
    <t>50B40</t>
  </si>
  <si>
    <t>45MnB</t>
  </si>
  <si>
    <t>50B44</t>
  </si>
  <si>
    <t>15Cr</t>
  </si>
  <si>
    <t>15X</t>
  </si>
  <si>
    <t>5115</t>
  </si>
  <si>
    <t>523M15</t>
  </si>
  <si>
    <t>SCr415(H)</t>
  </si>
  <si>
    <t>12C3</t>
  </si>
  <si>
    <t>15Cr3</t>
  </si>
  <si>
    <t>20Cr</t>
  </si>
  <si>
    <t>20X</t>
  </si>
  <si>
    <t>5120</t>
  </si>
  <si>
    <t>527A19</t>
  </si>
  <si>
    <t>SCr420H</t>
  </si>
  <si>
    <t>18C3</t>
  </si>
  <si>
    <t>20Cr4</t>
  </si>
  <si>
    <t>30Cr</t>
  </si>
  <si>
    <t>30X</t>
  </si>
  <si>
    <t>5130</t>
  </si>
  <si>
    <t>530A30</t>
  </si>
  <si>
    <t>SCr430</t>
  </si>
  <si>
    <t>28Cr4</t>
  </si>
  <si>
    <t>35Cr</t>
  </si>
  <si>
    <t>35X</t>
  </si>
  <si>
    <t>5132</t>
  </si>
  <si>
    <t>530A36</t>
  </si>
  <si>
    <t>SCr430(H)</t>
  </si>
  <si>
    <t>32C4</t>
  </si>
  <si>
    <t>34Cr4</t>
  </si>
  <si>
    <t>40Cr</t>
  </si>
  <si>
    <t>40X</t>
  </si>
  <si>
    <t>5140</t>
  </si>
  <si>
    <t>520M40</t>
  </si>
  <si>
    <t>SCr440</t>
  </si>
  <si>
    <t>42C4</t>
  </si>
  <si>
    <t>41Cr4</t>
  </si>
  <si>
    <t>45Cr</t>
  </si>
  <si>
    <t>45X</t>
  </si>
  <si>
    <t>5145,5147</t>
  </si>
  <si>
    <t>534A99</t>
  </si>
  <si>
    <t>SCr445</t>
  </si>
  <si>
    <t>45C4</t>
  </si>
  <si>
    <t>38CrSi</t>
  </si>
  <si>
    <t>38XC</t>
  </si>
  <si>
    <t>12CrMo</t>
  </si>
  <si>
    <t>12XM</t>
  </si>
  <si>
    <r>
      <rPr>
        <i/>
        <sz val="10"/>
        <rFont val="宋体"/>
        <family val="3"/>
        <charset val="134"/>
      </rPr>
      <t>620C</t>
    </r>
    <r>
      <rPr>
        <i/>
        <vertAlign val="subscript"/>
        <sz val="10"/>
        <rFont val="宋体"/>
        <family val="3"/>
        <charset val="134"/>
      </rPr>
      <t>R</t>
    </r>
    <r>
      <rPr>
        <b/>
        <i/>
        <vertAlign val="superscript"/>
        <sz val="10"/>
        <rFont val="宋体"/>
        <family val="3"/>
        <charset val="134"/>
      </rPr>
      <t>.</t>
    </r>
    <r>
      <rPr>
        <sz val="10"/>
        <rFont val="宋体"/>
        <family val="3"/>
        <charset val="134"/>
      </rPr>
      <t>B</t>
    </r>
  </si>
  <si>
    <t>12CD4</t>
  </si>
  <si>
    <t>13CrMo44</t>
  </si>
  <si>
    <t>15CrMo</t>
  </si>
  <si>
    <t>15XM</t>
  </si>
  <si>
    <r>
      <rPr>
        <sz val="10"/>
        <rFont val="宋体"/>
        <family val="3"/>
        <charset val="134"/>
      </rPr>
      <t xml:space="preserve">A-387Cr </t>
    </r>
    <r>
      <rPr>
        <b/>
        <vertAlign val="superscript"/>
        <sz val="10"/>
        <rFont val="宋体"/>
        <family val="3"/>
        <charset val="134"/>
      </rPr>
      <t>.</t>
    </r>
    <r>
      <rPr>
        <vertAlign val="superscript"/>
        <sz val="10"/>
        <rFont val="宋体"/>
        <family val="3"/>
        <charset val="134"/>
      </rPr>
      <t xml:space="preserve"> </t>
    </r>
    <r>
      <rPr>
        <sz val="10"/>
        <rFont val="宋体"/>
        <family val="3"/>
        <charset val="134"/>
      </rPr>
      <t>B</t>
    </r>
  </si>
  <si>
    <t>1653</t>
  </si>
  <si>
    <t>STC42</t>
  </si>
  <si>
    <t>16CrMo44</t>
  </si>
  <si>
    <t>STT42</t>
  </si>
  <si>
    <t>STB42</t>
  </si>
  <si>
    <t>20CrMo</t>
  </si>
  <si>
    <t>20XM</t>
  </si>
  <si>
    <t>4119,4118</t>
  </si>
  <si>
    <t>CDS12</t>
  </si>
  <si>
    <t>SCT42</t>
  </si>
  <si>
    <t>18CD4</t>
  </si>
  <si>
    <t>20CrMo44</t>
  </si>
  <si>
    <t>CDS110</t>
  </si>
  <si>
    <t>25CrMo</t>
  </si>
  <si>
    <t>4125</t>
  </si>
  <si>
    <t>En20A</t>
  </si>
  <si>
    <t>25CD4</t>
  </si>
  <si>
    <t>25CrMo4</t>
  </si>
  <si>
    <t>30CrMo</t>
  </si>
  <si>
    <t>30XM</t>
  </si>
  <si>
    <t>4130</t>
  </si>
  <si>
    <t>1717COS110</t>
  </si>
  <si>
    <t>SCM420</t>
  </si>
  <si>
    <t>30CD4</t>
  </si>
  <si>
    <t>42CrMo</t>
  </si>
  <si>
    <t>4140</t>
  </si>
  <si>
    <t>708A42</t>
  </si>
  <si>
    <t>42CD4</t>
  </si>
  <si>
    <t>42CrMo4</t>
  </si>
  <si>
    <t>708M40</t>
  </si>
  <si>
    <t>35CrMo</t>
  </si>
  <si>
    <t>35XM</t>
  </si>
  <si>
    <t>4135</t>
  </si>
  <si>
    <t>708A37</t>
  </si>
  <si>
    <t>SCM3</t>
  </si>
  <si>
    <t>35CD4</t>
  </si>
  <si>
    <t>34CrMo4</t>
  </si>
  <si>
    <t>12CrMoV</t>
  </si>
  <si>
    <t>12XMΦ</t>
  </si>
  <si>
    <t>12Cr1MoV</t>
  </si>
  <si>
    <t>12X1MΦ</t>
  </si>
  <si>
    <t>13CrMoV42</t>
  </si>
  <si>
    <t>25Cr2Mo1VA</t>
  </si>
  <si>
    <t>25X2M1ΦA</t>
  </si>
  <si>
    <t>20CrV</t>
  </si>
  <si>
    <t>20XΦ</t>
  </si>
  <si>
    <t>6120</t>
  </si>
  <si>
    <t>22CrV4</t>
  </si>
  <si>
    <t>40CrV</t>
  </si>
  <si>
    <t>40XΦA</t>
  </si>
  <si>
    <t>6140</t>
  </si>
  <si>
    <t>42CrV6</t>
  </si>
  <si>
    <t>50XΦA</t>
  </si>
  <si>
    <t>6150</t>
  </si>
  <si>
    <t>735A30</t>
  </si>
  <si>
    <t>SUP10</t>
  </si>
  <si>
    <t>50CV4</t>
  </si>
  <si>
    <t>50CrV4</t>
  </si>
  <si>
    <t>15CrMn</t>
  </si>
  <si>
    <t>15XГ,18XГ</t>
  </si>
  <si>
    <t>20CrMn</t>
  </si>
  <si>
    <t>20XГCA</t>
  </si>
  <si>
    <t>5152</t>
  </si>
  <si>
    <t>527A60</t>
  </si>
  <si>
    <t>SUP9</t>
  </si>
  <si>
    <t>30CrMnSiA</t>
  </si>
  <si>
    <t>30XГCA</t>
  </si>
  <si>
    <t>40CrNi</t>
  </si>
  <si>
    <t>3140H</t>
  </si>
  <si>
    <t>640M40</t>
  </si>
  <si>
    <t>SNC236</t>
  </si>
  <si>
    <t>40NiCr6</t>
  </si>
  <si>
    <t>20CrNi3A</t>
  </si>
  <si>
    <t>20XH3A</t>
  </si>
  <si>
    <t>3316</t>
  </si>
  <si>
    <t>20NC11</t>
  </si>
  <si>
    <t>20NiCr14</t>
  </si>
  <si>
    <t>30CrNi3A</t>
  </si>
  <si>
    <t>30XH3A</t>
  </si>
  <si>
    <t>3325</t>
  </si>
  <si>
    <t>653M31</t>
  </si>
  <si>
    <t>SNC631H</t>
  </si>
  <si>
    <t>28NiCr10</t>
  </si>
  <si>
    <t>3330</t>
  </si>
  <si>
    <t xml:space="preserve">SNC631 </t>
  </si>
  <si>
    <t>20MnMoB</t>
  </si>
  <si>
    <t>80B20</t>
  </si>
  <si>
    <t>38CrMoAlA</t>
  </si>
  <si>
    <t>38XMIOA</t>
  </si>
  <si>
    <t>905M39</t>
  </si>
  <si>
    <t>SACM645</t>
  </si>
  <si>
    <t>40CAD6.12</t>
  </si>
  <si>
    <t>41CrAlMo07</t>
  </si>
  <si>
    <t>40CrNiMoA</t>
  </si>
  <si>
    <t>40XHMA</t>
  </si>
  <si>
    <t>4340</t>
  </si>
  <si>
    <t>871M40</t>
  </si>
  <si>
    <t>SNCM439</t>
  </si>
  <si>
    <t>40NiCrMo22</t>
  </si>
  <si>
    <t>弹</t>
  </si>
  <si>
    <t>C60</t>
  </si>
  <si>
    <t>85</t>
  </si>
  <si>
    <t>C1085</t>
  </si>
  <si>
    <t>080A86</t>
  </si>
  <si>
    <t>SUP3</t>
  </si>
  <si>
    <t>1084</t>
  </si>
  <si>
    <t>簧</t>
  </si>
  <si>
    <t>65Г</t>
  </si>
  <si>
    <t>1566</t>
  </si>
  <si>
    <t>55Si2Mn</t>
  </si>
  <si>
    <t>55C2Г</t>
  </si>
  <si>
    <t>9255</t>
  </si>
  <si>
    <t>250A53</t>
  </si>
  <si>
    <t>SUP6</t>
  </si>
  <si>
    <t>55S6</t>
  </si>
  <si>
    <t>55Si7</t>
  </si>
  <si>
    <t>60Si2MnA</t>
  </si>
  <si>
    <t>60C2ГA</t>
  </si>
  <si>
    <t>9260</t>
  </si>
  <si>
    <t>250A61</t>
  </si>
  <si>
    <t>SUP7</t>
  </si>
  <si>
    <t>61S7</t>
  </si>
  <si>
    <t>65Si7</t>
  </si>
  <si>
    <t>9260H</t>
  </si>
  <si>
    <t>735A50</t>
  </si>
  <si>
    <t>滚</t>
  </si>
  <si>
    <t>GCr9</t>
  </si>
  <si>
    <t>ШX9</t>
  </si>
  <si>
    <t>E51100</t>
  </si>
  <si>
    <t>SUJ1</t>
  </si>
  <si>
    <t>100C5</t>
  </si>
  <si>
    <t>105Cr4</t>
  </si>
  <si>
    <t>动</t>
  </si>
  <si>
    <t>51100</t>
  </si>
  <si>
    <t>轴</t>
  </si>
  <si>
    <t>GCr9SiMn</t>
  </si>
  <si>
    <t>SUJ3</t>
  </si>
  <si>
    <t>承</t>
  </si>
  <si>
    <t>GCr15</t>
  </si>
  <si>
    <t>ШX15</t>
  </si>
  <si>
    <t>E52100</t>
  </si>
  <si>
    <t>SUJ2</t>
  </si>
  <si>
    <t>100C6</t>
  </si>
  <si>
    <t>100Cr6</t>
  </si>
  <si>
    <t>52100</t>
  </si>
  <si>
    <t>GCr15SiMn</t>
  </si>
  <si>
    <t>ШX15CГ</t>
  </si>
  <si>
    <t>100CrMn6</t>
  </si>
  <si>
    <t>易</t>
  </si>
  <si>
    <t>Y12</t>
  </si>
  <si>
    <t>A12</t>
  </si>
  <si>
    <t>C1109</t>
  </si>
  <si>
    <t>SUM12</t>
  </si>
  <si>
    <t>切</t>
  </si>
  <si>
    <t>Y15</t>
  </si>
  <si>
    <t>B1113</t>
  </si>
  <si>
    <t>220M07</t>
  </si>
  <si>
    <t>SUM22</t>
  </si>
  <si>
    <t>10S20</t>
  </si>
  <si>
    <t>削</t>
  </si>
  <si>
    <t>Y20</t>
  </si>
  <si>
    <t>A20</t>
  </si>
  <si>
    <t>C1120</t>
  </si>
  <si>
    <t>SUM32</t>
  </si>
  <si>
    <t>20F2</t>
  </si>
  <si>
    <t>22S20</t>
  </si>
  <si>
    <t>Y30</t>
  </si>
  <si>
    <t>A30</t>
  </si>
  <si>
    <t>C1130</t>
  </si>
  <si>
    <t>SUM42</t>
  </si>
  <si>
    <t>35S20</t>
  </si>
  <si>
    <t>Y40Mn</t>
  </si>
  <si>
    <t>A40Г</t>
  </si>
  <si>
    <t>C1144</t>
  </si>
  <si>
    <t>225M36</t>
  </si>
  <si>
    <t>45MF2</t>
  </si>
  <si>
    <t>40S20</t>
  </si>
  <si>
    <t>耐磨钢</t>
  </si>
  <si>
    <t>ZGMn13</t>
  </si>
  <si>
    <t>116Г13Ю</t>
  </si>
  <si>
    <t>SCMnH11</t>
  </si>
  <si>
    <t>Z120M12</t>
  </si>
  <si>
    <t>X120Mn12</t>
  </si>
  <si>
    <t>T7</t>
  </si>
  <si>
    <t>y7</t>
  </si>
  <si>
    <t>W1-7</t>
  </si>
  <si>
    <t>SK7,SK6</t>
  </si>
  <si>
    <t>C70W1</t>
  </si>
  <si>
    <t>T8</t>
  </si>
  <si>
    <t>y8</t>
  </si>
  <si>
    <t>SK6,SK5</t>
  </si>
  <si>
    <t>T8A</t>
  </si>
  <si>
    <t>y8A</t>
  </si>
  <si>
    <t>W1-0.8C</t>
  </si>
  <si>
    <r>
      <rPr>
        <sz val="10"/>
        <rFont val="宋体"/>
        <family val="3"/>
        <charset val="134"/>
      </rPr>
      <t>1104Y</t>
    </r>
    <r>
      <rPr>
        <vertAlign val="subscript"/>
        <sz val="10"/>
        <rFont val="宋体"/>
        <family val="3"/>
        <charset val="134"/>
      </rPr>
      <t>1</t>
    </r>
    <r>
      <rPr>
        <sz val="10"/>
        <rFont val="宋体"/>
        <family val="3"/>
        <charset val="134"/>
      </rPr>
      <t>75</t>
    </r>
  </si>
  <si>
    <t>C80W1</t>
  </si>
  <si>
    <t>T8Mn</t>
  </si>
  <si>
    <t>y8Г</t>
  </si>
  <si>
    <t>SK5</t>
  </si>
  <si>
    <t>具</t>
  </si>
  <si>
    <t>T10</t>
  </si>
  <si>
    <t>y10</t>
  </si>
  <si>
    <t>W1-1.0C</t>
  </si>
  <si>
    <t>SK3</t>
  </si>
  <si>
    <t>T12</t>
  </si>
  <si>
    <t>y12</t>
  </si>
  <si>
    <t>W1-1.2C</t>
  </si>
  <si>
    <t>SK2</t>
  </si>
  <si>
    <t>Y2 120</t>
  </si>
  <si>
    <t>C125W</t>
  </si>
  <si>
    <t>T12A</t>
  </si>
  <si>
    <t>y12A</t>
  </si>
  <si>
    <t>XC 120</t>
  </si>
  <si>
    <t>C125W2</t>
  </si>
  <si>
    <t>T13</t>
  </si>
  <si>
    <t>y13</t>
  </si>
  <si>
    <t>SK1</t>
  </si>
  <si>
    <t>Y2 140</t>
  </si>
  <si>
    <t>C135W</t>
  </si>
  <si>
    <t>8MnSi</t>
  </si>
  <si>
    <t>C75W3</t>
  </si>
  <si>
    <t>9SiCr</t>
  </si>
  <si>
    <t>9XC</t>
  </si>
  <si>
    <t>BH21</t>
  </si>
  <si>
    <t>90CrSi5</t>
  </si>
  <si>
    <t>Cr2</t>
  </si>
  <si>
    <t>X</t>
  </si>
  <si>
    <t>L3</t>
  </si>
  <si>
    <t>Cr06</t>
  </si>
  <si>
    <t>13X</t>
  </si>
  <si>
    <t>W5</t>
  </si>
  <si>
    <t>SKS8</t>
  </si>
  <si>
    <t>140Cr3</t>
  </si>
  <si>
    <t>9Cr2</t>
  </si>
  <si>
    <t xml:space="preserve">9X </t>
  </si>
  <si>
    <t xml:space="preserve">L </t>
  </si>
  <si>
    <t>B1</t>
  </si>
  <si>
    <t>F1</t>
  </si>
  <si>
    <t>BF1</t>
  </si>
  <si>
    <t>SK21</t>
  </si>
  <si>
    <t>120W4</t>
  </si>
  <si>
    <t>Cr12</t>
  </si>
  <si>
    <t>X12</t>
  </si>
  <si>
    <t>BD3</t>
  </si>
  <si>
    <t>SKD1</t>
  </si>
  <si>
    <t>Z200C12</t>
  </si>
  <si>
    <t>X210Cr12</t>
  </si>
  <si>
    <t>Cr12MoV</t>
  </si>
  <si>
    <t>X12M</t>
  </si>
  <si>
    <t>BD2</t>
  </si>
  <si>
    <t>SKD11</t>
  </si>
  <si>
    <t>X165CrMoV46</t>
  </si>
  <si>
    <t>9Mn2V</t>
  </si>
  <si>
    <t>9Г2Φ</t>
  </si>
  <si>
    <t>02</t>
  </si>
  <si>
    <t>80M80</t>
  </si>
  <si>
    <t>90MnV8</t>
  </si>
  <si>
    <t>9CrWMn</t>
  </si>
  <si>
    <t>9XBГ</t>
  </si>
  <si>
    <t>01</t>
  </si>
  <si>
    <t>SKS3</t>
  </si>
  <si>
    <t xml:space="preserve">80M8 </t>
  </si>
  <si>
    <t>CrWMn</t>
  </si>
  <si>
    <t>XBГ</t>
  </si>
  <si>
    <t>07</t>
  </si>
  <si>
    <t>SKS31</t>
  </si>
  <si>
    <t>105WC13</t>
  </si>
  <si>
    <t>105WCr6</t>
  </si>
  <si>
    <t>3Cr2W8V</t>
  </si>
  <si>
    <t>3X2B8Φ</t>
  </si>
  <si>
    <t>H21</t>
  </si>
  <si>
    <t>SKD5</t>
  </si>
  <si>
    <t>X30WC9V</t>
  </si>
  <si>
    <t>X30WCrV93</t>
  </si>
  <si>
    <t>5CrMnMo</t>
  </si>
  <si>
    <t>5XГM</t>
  </si>
  <si>
    <t>SKT5</t>
  </si>
  <si>
    <t>40CrMnMo7</t>
  </si>
  <si>
    <t>5CrNiMo</t>
  </si>
  <si>
    <t>5XHM</t>
  </si>
  <si>
    <t>L6</t>
  </si>
  <si>
    <t>SKT4</t>
  </si>
  <si>
    <t>55NCDV7</t>
  </si>
  <si>
    <t>55NiCrMoV6</t>
  </si>
  <si>
    <t>4Cr5MoSiV</t>
  </si>
  <si>
    <t>4X5MΦC</t>
  </si>
  <si>
    <t>H11</t>
  </si>
  <si>
    <t>BH11</t>
  </si>
  <si>
    <t>SKD61</t>
  </si>
  <si>
    <t>Z38CDV5</t>
  </si>
  <si>
    <t>X38CrMoV51</t>
  </si>
  <si>
    <t>4CrW2Si</t>
  </si>
  <si>
    <t>4XB2C</t>
  </si>
  <si>
    <t>SKS41</t>
  </si>
  <si>
    <t>40WCDS35-12</t>
  </si>
  <si>
    <t>35WCrV7</t>
  </si>
  <si>
    <t>5CrW2Si</t>
  </si>
  <si>
    <t>5XB2C</t>
  </si>
  <si>
    <t>S1</t>
  </si>
  <si>
    <t>BSi</t>
  </si>
  <si>
    <t>45WCrV7</t>
  </si>
  <si>
    <t>P18</t>
  </si>
  <si>
    <t>T1</t>
  </si>
  <si>
    <t>BT1</t>
  </si>
  <si>
    <t>SKH2</t>
  </si>
  <si>
    <t>Z80WCV</t>
  </si>
  <si>
    <t>S18-0-1</t>
  </si>
  <si>
    <t>18-04-01</t>
  </si>
  <si>
    <t>速</t>
  </si>
  <si>
    <t>W6Mo5Cr4V2</t>
  </si>
  <si>
    <t>P6M3</t>
  </si>
  <si>
    <t>N2</t>
  </si>
  <si>
    <t>BM2</t>
  </si>
  <si>
    <t>SKH9</t>
  </si>
  <si>
    <t>Z85WDCV</t>
  </si>
  <si>
    <t>S6-5-2</t>
  </si>
  <si>
    <t>06-05-04-02</t>
  </si>
  <si>
    <t>W18Cr4VCo5</t>
  </si>
  <si>
    <t>P18K5Φ2</t>
  </si>
  <si>
    <t>T4</t>
  </si>
  <si>
    <t>BT4</t>
  </si>
  <si>
    <t>SKH3</t>
  </si>
  <si>
    <t>Z80WKCV</t>
  </si>
  <si>
    <t>S18-1-2-5</t>
  </si>
  <si>
    <t>18-05-04-01</t>
  </si>
  <si>
    <t>W2Mo9Cr4VCo8</t>
  </si>
  <si>
    <t>M42</t>
  </si>
  <si>
    <t>BM42</t>
  </si>
  <si>
    <t>Z110DKCWV</t>
  </si>
  <si>
    <t>S2-10-1-8</t>
  </si>
  <si>
    <t>09-08-04-02-01</t>
  </si>
  <si>
    <t>1Cr18Ni9</t>
  </si>
  <si>
    <t>12X18H9</t>
  </si>
  <si>
    <t>302</t>
  </si>
  <si>
    <t>302S25</t>
  </si>
  <si>
    <t>SUS302</t>
  </si>
  <si>
    <t>Z10CN18.09</t>
  </si>
  <si>
    <t>X12CrNi188</t>
  </si>
  <si>
    <t>S30200</t>
  </si>
  <si>
    <t>Y1Cr18Ni9</t>
  </si>
  <si>
    <t>303</t>
  </si>
  <si>
    <t>303S21</t>
  </si>
  <si>
    <t>SUS303</t>
  </si>
  <si>
    <t>Z10CNF18.09</t>
  </si>
  <si>
    <t>X12CrNiS188</t>
  </si>
  <si>
    <t>S30300</t>
  </si>
  <si>
    <t>不</t>
  </si>
  <si>
    <t>0Cr19Ni9</t>
  </si>
  <si>
    <t>08X18H10</t>
  </si>
  <si>
    <t>304</t>
  </si>
  <si>
    <t>304S15</t>
  </si>
  <si>
    <t>SUS304</t>
  </si>
  <si>
    <t>Z6CN18.09</t>
  </si>
  <si>
    <t>X5CrNi189</t>
  </si>
  <si>
    <t>S30400</t>
  </si>
  <si>
    <t>00Cr19Ni11</t>
  </si>
  <si>
    <t>03X18H11</t>
  </si>
  <si>
    <t>304L</t>
  </si>
  <si>
    <t>304S12</t>
  </si>
  <si>
    <t>SUS304L</t>
  </si>
  <si>
    <t>Z2CN18.09</t>
  </si>
  <si>
    <t>X2CrNi189</t>
  </si>
  <si>
    <t>S30403</t>
  </si>
  <si>
    <t>0Cr18Ni11Ti</t>
  </si>
  <si>
    <t>08X18H10T</t>
  </si>
  <si>
    <t>321</t>
  </si>
  <si>
    <t>321S12</t>
  </si>
  <si>
    <t>SUS321</t>
  </si>
  <si>
    <t>Z6CNT18.10</t>
  </si>
  <si>
    <t>X10CrNiTi189</t>
  </si>
  <si>
    <t>锈</t>
  </si>
  <si>
    <t>S32100</t>
  </si>
  <si>
    <t>321S20</t>
  </si>
  <si>
    <t>0Cr13Al</t>
  </si>
  <si>
    <t>405</t>
  </si>
  <si>
    <t>405S17</t>
  </si>
  <si>
    <t>SUS405</t>
  </si>
  <si>
    <t>Z6CA13</t>
  </si>
  <si>
    <t>X7CrAl13</t>
  </si>
  <si>
    <t>S40500</t>
  </si>
  <si>
    <t>1Cr17</t>
  </si>
  <si>
    <t>12X17</t>
  </si>
  <si>
    <t>430</t>
  </si>
  <si>
    <t>430S15</t>
  </si>
  <si>
    <t>SUS430</t>
  </si>
  <si>
    <t>Z8C17</t>
  </si>
  <si>
    <t>X8Cr17</t>
  </si>
  <si>
    <r>
      <rPr>
        <sz val="10"/>
        <rFont val="Times New Roman"/>
        <family val="1"/>
      </rPr>
      <t xml:space="preserve"> </t>
    </r>
    <r>
      <rPr>
        <sz val="10"/>
        <rFont val="宋体"/>
        <family val="3"/>
        <charset val="134"/>
      </rPr>
      <t>钢</t>
    </r>
  </si>
  <si>
    <t>S43000</t>
  </si>
  <si>
    <t>1Cr13</t>
  </si>
  <si>
    <t>12X13</t>
  </si>
  <si>
    <t>410</t>
  </si>
  <si>
    <t>410S21</t>
  </si>
  <si>
    <t>SUS410</t>
  </si>
  <si>
    <t>Z12C13</t>
  </si>
  <si>
    <t>X10Cr13</t>
  </si>
  <si>
    <t>S41000</t>
  </si>
  <si>
    <t>2Cr13</t>
  </si>
  <si>
    <t>20X13</t>
  </si>
  <si>
    <t>420</t>
  </si>
  <si>
    <t>420S37</t>
  </si>
  <si>
    <t>SUS420J1</t>
  </si>
  <si>
    <t>Z20C13</t>
  </si>
  <si>
    <t>X20Cr13</t>
  </si>
  <si>
    <t>S42000</t>
  </si>
  <si>
    <t>3Cr13</t>
  </si>
  <si>
    <t>30X13</t>
  </si>
  <si>
    <t>420S45</t>
  </si>
  <si>
    <t>SUS420J2</t>
  </si>
  <si>
    <t>7Cr17</t>
  </si>
  <si>
    <t>440A</t>
  </si>
  <si>
    <t>SUS440A</t>
  </si>
  <si>
    <t>S44002</t>
  </si>
  <si>
    <t>0Cr17Ni7Al</t>
  </si>
  <si>
    <t>09X17H7Ю</t>
  </si>
  <si>
    <t>631</t>
  </si>
  <si>
    <t>SUS631</t>
  </si>
  <si>
    <t>Z8CNA17.7</t>
  </si>
  <si>
    <t>X7CrNiAl177</t>
  </si>
  <si>
    <t>S17700</t>
  </si>
  <si>
    <t>2Cr23Ni13</t>
  </si>
  <si>
    <t>20X23H12</t>
  </si>
  <si>
    <t>309</t>
  </si>
  <si>
    <t>309S24</t>
  </si>
  <si>
    <t>SUH309</t>
  </si>
  <si>
    <t>Z15CN24.13</t>
  </si>
  <si>
    <t>S30900</t>
  </si>
  <si>
    <t>2Cr25Ni21</t>
  </si>
  <si>
    <t>20X25H20C2</t>
  </si>
  <si>
    <t>310</t>
  </si>
  <si>
    <t>310S24</t>
  </si>
  <si>
    <t>SUH310</t>
  </si>
  <si>
    <t>Z12CN25.20</t>
  </si>
  <si>
    <t>CrNi2520</t>
  </si>
  <si>
    <t>耐</t>
  </si>
  <si>
    <t>S31000</t>
  </si>
  <si>
    <t>0Cr25Ni20</t>
  </si>
  <si>
    <t>310S</t>
  </si>
  <si>
    <t>SUS310S</t>
  </si>
  <si>
    <t>S31008</t>
  </si>
  <si>
    <t>热</t>
  </si>
  <si>
    <t>0Cr17Ni12Mo2</t>
  </si>
  <si>
    <t>08X17H13M2T</t>
  </si>
  <si>
    <t>316</t>
  </si>
  <si>
    <t>316S16</t>
  </si>
  <si>
    <t>SUS316</t>
  </si>
  <si>
    <t>Z6CND17.12</t>
  </si>
  <si>
    <t>X5CrNiMo1810</t>
  </si>
  <si>
    <t>S31600</t>
  </si>
  <si>
    <t>0Cr18Ni11Nb</t>
  </si>
  <si>
    <t>08X18H12E</t>
  </si>
  <si>
    <t>347</t>
  </si>
  <si>
    <t>347S17</t>
  </si>
  <si>
    <t>SUS347</t>
  </si>
  <si>
    <t>Z6CNNb18.10</t>
  </si>
  <si>
    <t>X10CrNiNb189</t>
  </si>
  <si>
    <t>S34700</t>
  </si>
  <si>
    <t>1Cr13Mo</t>
  </si>
  <si>
    <t>SUS410J1</t>
  </si>
  <si>
    <t>1Cr17Ni2</t>
  </si>
  <si>
    <t>14X17H2</t>
  </si>
  <si>
    <t>431</t>
  </si>
  <si>
    <t>431S29</t>
  </si>
  <si>
    <t>SUS431</t>
  </si>
  <si>
    <t>Z15CN16-02</t>
  </si>
  <si>
    <t>X22CrNi17</t>
  </si>
  <si>
    <t>S43100</t>
  </si>
  <si>
    <t xml:space="preserve">                                BY:李军辉 录入并校对 Mar.16,2000</t>
  </si>
  <si>
    <t>输入齿轮基本参数</t>
  </si>
  <si>
    <t>小轮齿数</t>
  </si>
  <si>
    <t>大轮齿数</t>
  </si>
  <si>
    <t>大轮齿面宽</t>
  </si>
  <si>
    <t>偏置距</t>
  </si>
  <si>
    <t>大轮节径</t>
  </si>
  <si>
    <t>刀盘半径</t>
  </si>
  <si>
    <t>旋向</t>
  </si>
  <si>
    <t>小轮</t>
  </si>
  <si>
    <t>大轮</t>
  </si>
  <si>
    <t>小轮螺旋角</t>
  </si>
  <si>
    <t>工作齿高系数</t>
  </si>
  <si>
    <t>锥度系数</t>
  </si>
  <si>
    <r>
      <rPr>
        <sz val="12"/>
        <rFont val="宋体"/>
        <family val="3"/>
        <charset val="134"/>
      </rPr>
      <t>压力角和</t>
    </r>
    <r>
      <rPr>
        <sz val="12"/>
        <rFont val="Times New Roman"/>
        <family val="1"/>
      </rPr>
      <t xml:space="preserve"> </t>
    </r>
  </si>
  <si>
    <t>大轮齿顶高系数</t>
  </si>
  <si>
    <t>齿侧间隙</t>
  </si>
  <si>
    <t>左旋</t>
  </si>
  <si>
    <t>右旋</t>
  </si>
  <si>
    <t>0.20--0.30</t>
  </si>
  <si>
    <t>偏置</t>
  </si>
  <si>
    <t>顶系</t>
  </si>
  <si>
    <t>计算刀盘半径</t>
  </si>
  <si>
    <t>下</t>
  </si>
  <si>
    <t>准双曲面齿轮计算结果</t>
  </si>
  <si>
    <r>
      <rPr>
        <sz val="12"/>
        <rFont val="宋体"/>
        <family val="3"/>
        <charset val="134"/>
      </rPr>
      <t>名</t>
    </r>
    <r>
      <rPr>
        <sz val="12"/>
        <rFont val="Times New Roman"/>
        <family val="1"/>
      </rPr>
      <t xml:space="preserve">               </t>
    </r>
    <r>
      <rPr>
        <sz val="12"/>
        <rFont val="宋体"/>
        <family val="3"/>
        <charset val="134"/>
        <scheme val="minor"/>
      </rPr>
      <t>称</t>
    </r>
  </si>
  <si>
    <t>勿动区域</t>
  </si>
  <si>
    <t>压力角</t>
  </si>
  <si>
    <t>小轮偏置</t>
  </si>
  <si>
    <r>
      <rPr>
        <sz val="12"/>
        <rFont val="宋体"/>
        <family val="3"/>
        <charset val="134"/>
      </rPr>
      <t>外锥距</t>
    </r>
    <r>
      <rPr>
        <sz val="12"/>
        <rFont val="Times New Roman"/>
        <family val="1"/>
      </rPr>
      <t xml:space="preserve"> </t>
    </r>
  </si>
  <si>
    <t>工作齿高</t>
  </si>
  <si>
    <t>全齿高</t>
  </si>
  <si>
    <t>节锥定点到交错点的距离</t>
  </si>
  <si>
    <t>面锥顶点到交错点的距离</t>
  </si>
  <si>
    <t>根锥顶点到交错点的距离</t>
  </si>
  <si>
    <t>轮冠到交错点的距离</t>
  </si>
  <si>
    <t>前冠到交错点的距离</t>
  </si>
  <si>
    <t>节锥角</t>
  </si>
  <si>
    <t>面锥角</t>
  </si>
  <si>
    <t>根锥角</t>
  </si>
  <si>
    <t>中点螺旋角</t>
  </si>
  <si>
    <t>节锥直径</t>
  </si>
  <si>
    <t>侧隙</t>
  </si>
  <si>
    <t>刀具直径</t>
  </si>
  <si>
    <r>
      <rPr>
        <b/>
        <sz val="18"/>
        <rFont val="Times New Roman"/>
        <family val="1"/>
      </rPr>
      <t xml:space="preserve">  </t>
    </r>
    <r>
      <rPr>
        <b/>
        <sz val="18"/>
        <rFont val="宋体"/>
        <family val="3"/>
        <charset val="134"/>
      </rPr>
      <t xml:space="preserve">               内齿轮插齿顶切验算 </t>
    </r>
  </si>
  <si>
    <r>
      <rPr>
        <b/>
        <sz val="10"/>
        <color indexed="23"/>
        <rFont val="宋体"/>
        <family val="3"/>
        <charset val="134"/>
      </rPr>
      <t>说明：</t>
    </r>
    <r>
      <rPr>
        <sz val="10"/>
        <color indexed="23"/>
        <rFont val="宋体"/>
        <family val="3"/>
        <charset val="134"/>
      </rPr>
      <t>本程序适用于变位和非变位直齿、斜齿内齿轮采取常用标准直齿插齿刀和其它插齿刀插齿顶切的验算。</t>
    </r>
  </si>
  <si>
    <r>
      <rPr>
        <b/>
        <sz val="10"/>
        <color indexed="23"/>
        <rFont val="宋体"/>
        <family val="3"/>
        <charset val="134"/>
      </rPr>
      <t>主要参考书目：</t>
    </r>
    <r>
      <rPr>
        <sz val="10"/>
        <color indexed="23"/>
        <rFont val="宋体"/>
        <family val="3"/>
        <charset val="134"/>
      </rPr>
      <t>《齿轮手册》</t>
    </r>
    <r>
      <rPr>
        <sz val="10"/>
        <color indexed="23"/>
        <rFont val="Times New Roman"/>
        <family val="1"/>
      </rPr>
      <t xml:space="preserve"> </t>
    </r>
    <r>
      <rPr>
        <sz val="10"/>
        <color indexed="23"/>
        <rFont val="宋体"/>
        <family val="3"/>
        <charset val="134"/>
      </rPr>
      <t>上、下册</t>
    </r>
  </si>
  <si>
    <r>
      <rPr>
        <sz val="10"/>
        <color indexed="23"/>
        <rFont val="宋体"/>
        <family val="3"/>
        <charset val="134"/>
      </rPr>
      <t>程序设计：</t>
    </r>
    <r>
      <rPr>
        <sz val="10"/>
        <color indexed="23"/>
        <rFont val="Times New Roman"/>
        <family val="1"/>
      </rPr>
      <t xml:space="preserve">  </t>
    </r>
    <r>
      <rPr>
        <sz val="10"/>
        <color indexed="23"/>
        <rFont val="宋体"/>
        <family val="3"/>
        <charset val="134"/>
      </rPr>
      <t>邓时俊   2002.05</t>
    </r>
  </si>
  <si>
    <r>
      <rPr>
        <sz val="12"/>
        <rFont val="宋体"/>
        <family val="3"/>
        <charset val="134"/>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方</t>
    </r>
    <r>
      <rPr>
        <sz val="12"/>
        <rFont val="Times New Roman"/>
        <family val="1"/>
      </rPr>
      <t xml:space="preserve">   </t>
    </r>
    <r>
      <rPr>
        <sz val="12"/>
        <rFont val="宋体"/>
        <family val="3"/>
        <charset val="134"/>
        <scheme val="minor"/>
      </rPr>
      <t>向</t>
    </r>
  </si>
  <si>
    <r>
      <rPr>
        <sz val="12"/>
        <rFont val="宋体"/>
        <family val="3"/>
        <charset val="134"/>
      </rPr>
      <t>模</t>
    </r>
    <r>
      <rPr>
        <sz val="12"/>
        <rFont val="Times New Roman"/>
        <family val="1"/>
      </rPr>
      <t xml:space="preserve">                 </t>
    </r>
    <r>
      <rPr>
        <sz val="12"/>
        <rFont val="宋体"/>
        <family val="3"/>
        <charset val="134"/>
        <scheme val="minor"/>
      </rPr>
      <t>数</t>
    </r>
  </si>
  <si>
    <r>
      <rPr>
        <sz val="12"/>
        <rFont val="宋体"/>
        <family val="3"/>
        <charset val="134"/>
      </rPr>
      <t xml:space="preserve">压   </t>
    </r>
    <r>
      <rPr>
        <sz val="12"/>
        <rFont val="宋体"/>
        <family val="3"/>
        <charset val="134"/>
        <scheme val="minor"/>
      </rPr>
      <t>力</t>
    </r>
    <r>
      <rPr>
        <sz val="12"/>
        <rFont val="宋体"/>
        <family val="3"/>
        <charset val="134"/>
        <scheme val="minor"/>
      </rPr>
      <t xml:space="preserve">   </t>
    </r>
    <r>
      <rPr>
        <sz val="12"/>
        <rFont val="宋体"/>
        <family val="3"/>
        <charset val="134"/>
        <scheme val="minor"/>
      </rPr>
      <t>角</t>
    </r>
  </si>
  <si>
    <r>
      <rPr>
        <sz val="10"/>
        <color indexed="12"/>
        <rFont val="宋体"/>
        <family val="3"/>
        <charset val="134"/>
      </rPr>
      <t xml:space="preserve">注：如不输入,则默认 </t>
    </r>
    <r>
      <rPr>
        <b/>
        <sz val="10"/>
        <color indexed="10"/>
        <rFont val="宋体"/>
        <family val="3"/>
        <charset val="134"/>
      </rPr>
      <t xml:space="preserve">20 </t>
    </r>
    <r>
      <rPr>
        <sz val="10"/>
        <color indexed="12"/>
        <rFont val="宋体"/>
        <family val="3"/>
        <charset val="134"/>
      </rPr>
      <t>度</t>
    </r>
  </si>
  <si>
    <r>
      <rPr>
        <sz val="10"/>
        <color indexed="12"/>
        <rFont val="宋体"/>
        <family val="3"/>
        <charset val="134"/>
      </rPr>
      <t>注</t>
    </r>
    <r>
      <rPr>
        <sz val="10"/>
        <color indexed="12"/>
        <rFont val="Times New Roman"/>
        <family val="1"/>
      </rPr>
      <t xml:space="preserve">: </t>
    </r>
    <r>
      <rPr>
        <sz val="10"/>
        <color indexed="12"/>
        <rFont val="宋体"/>
        <family val="3"/>
        <charset val="134"/>
      </rPr>
      <t>也可不输入</t>
    </r>
    <r>
      <rPr>
        <sz val="10"/>
        <color indexed="10"/>
        <rFont val="宋体"/>
        <family val="3"/>
        <charset val="134"/>
      </rPr>
      <t>分</t>
    </r>
    <r>
      <rPr>
        <sz val="10"/>
        <color indexed="12"/>
        <rFont val="宋体"/>
        <family val="3"/>
        <charset val="134"/>
      </rPr>
      <t>和</t>
    </r>
    <r>
      <rPr>
        <sz val="10"/>
        <color indexed="10"/>
        <rFont val="宋体"/>
        <family val="3"/>
        <charset val="134"/>
      </rPr>
      <t>秒</t>
    </r>
    <r>
      <rPr>
        <sz val="10"/>
        <color indexed="12"/>
        <rFont val="Times New Roman"/>
        <family val="1"/>
      </rPr>
      <t xml:space="preserve">, </t>
    </r>
    <r>
      <rPr>
        <sz val="10"/>
        <color indexed="12"/>
        <rFont val="宋体"/>
        <family val="3"/>
        <charset val="134"/>
      </rPr>
      <t>以小数点输入</t>
    </r>
    <r>
      <rPr>
        <sz val="10"/>
        <color indexed="10"/>
        <rFont val="宋体"/>
        <family val="3"/>
        <charset val="134"/>
      </rPr>
      <t>度</t>
    </r>
    <r>
      <rPr>
        <sz val="10"/>
        <color indexed="12"/>
        <rFont val="Times New Roman"/>
        <family val="1"/>
      </rPr>
      <t>.</t>
    </r>
  </si>
  <si>
    <r>
      <rPr>
        <sz val="10"/>
        <color indexed="12"/>
        <rFont val="宋体"/>
        <family val="3"/>
        <charset val="134"/>
      </rPr>
      <t xml:space="preserve">注：如不输入,则默认 </t>
    </r>
    <r>
      <rPr>
        <b/>
        <sz val="10"/>
        <color indexed="10"/>
        <rFont val="宋体"/>
        <family val="3"/>
        <charset val="134"/>
      </rPr>
      <t>1</t>
    </r>
  </si>
  <si>
    <r>
      <rPr>
        <sz val="10"/>
        <color indexed="12"/>
        <rFont val="宋体"/>
        <family val="3"/>
        <charset val="134"/>
      </rPr>
      <t xml:space="preserve">注：如不输入,则默认 </t>
    </r>
    <r>
      <rPr>
        <b/>
        <sz val="10"/>
        <color indexed="10"/>
        <rFont val="宋体"/>
        <family val="3"/>
        <charset val="134"/>
      </rPr>
      <t>0.25</t>
    </r>
  </si>
  <si>
    <r>
      <rPr>
        <sz val="12"/>
        <rFont val="宋体"/>
        <family val="3"/>
        <charset val="134"/>
      </rPr>
      <t>变</t>
    </r>
    <r>
      <rPr>
        <sz val="12"/>
        <rFont val="Times New Roman"/>
        <family val="1"/>
      </rPr>
      <t xml:space="preserve">   </t>
    </r>
    <r>
      <rPr>
        <sz val="12"/>
        <rFont val="宋体"/>
        <family val="3"/>
        <charset val="134"/>
        <scheme val="minor"/>
      </rPr>
      <t>位</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</si>
  <si>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2"/>
        <rFont val="Times New Roman"/>
        <family val="1"/>
      </rPr>
      <t xml:space="preserve">x </t>
    </r>
    <r>
      <rPr>
        <sz val="10"/>
        <rFont val="Times New Roman"/>
        <family val="1"/>
      </rPr>
      <t>2</t>
    </r>
  </si>
  <si>
    <t>齿顶圆直径计算值</t>
  </si>
  <si>
    <t>齿顶圆直径实际值</t>
  </si>
  <si>
    <t>常用标准直齿插齿刀验算：</t>
  </si>
  <si>
    <r>
      <rPr>
        <sz val="12"/>
        <rFont val="Times New Roman"/>
        <family val="1"/>
      </rPr>
      <t xml:space="preserve">d </t>
    </r>
    <r>
      <rPr>
        <sz val="10"/>
        <rFont val="Times New Roman"/>
        <family val="1"/>
      </rPr>
      <t>a00</t>
    </r>
  </si>
  <si>
    <r>
      <rPr>
        <sz val="12"/>
        <rFont val="宋体"/>
        <family val="3"/>
        <charset val="134"/>
      </rPr>
      <t>干</t>
    </r>
    <r>
      <rPr>
        <sz val="12"/>
        <rFont val="Times New Roman"/>
        <family val="1"/>
      </rPr>
      <t xml:space="preserve">  </t>
    </r>
    <r>
      <rPr>
        <sz val="12"/>
        <rFont val="宋体"/>
        <family val="3"/>
        <charset val="134"/>
        <scheme val="minor"/>
      </rPr>
      <t>涉 顶 切</t>
    </r>
  </si>
  <si>
    <t>其它插齿刀验算：</t>
  </si>
  <si>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向</t>
    </r>
  </si>
  <si>
    <r>
      <rPr>
        <sz val="12"/>
        <rFont val="宋体"/>
        <family val="3"/>
        <charset val="134"/>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</si>
  <si>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r>
      <rPr>
        <sz val="10"/>
        <color indexed="12"/>
        <rFont val="宋体"/>
        <family val="3"/>
        <charset val="134"/>
      </rPr>
      <t>注：如不输入</t>
    </r>
    <r>
      <rPr>
        <sz val="10"/>
        <color indexed="12"/>
        <rFont val="Times New Roman"/>
        <family val="1"/>
      </rPr>
      <t>,</t>
    </r>
    <r>
      <rPr>
        <sz val="10"/>
        <color indexed="12"/>
        <rFont val="宋体"/>
        <family val="3"/>
        <charset val="134"/>
      </rPr>
      <t>则默认工件齿根高系数（</t>
    </r>
    <r>
      <rPr>
        <sz val="10"/>
        <color indexed="10"/>
        <rFont val="Times New Roman"/>
        <family val="1"/>
      </rPr>
      <t>ha*+c*</t>
    </r>
    <r>
      <rPr>
        <sz val="10"/>
        <color indexed="12"/>
        <rFont val="宋体"/>
        <family val="3"/>
        <charset val="134"/>
      </rPr>
      <t>）。</t>
    </r>
  </si>
  <si>
    <t>插齿刀齿顶后角</t>
  </si>
  <si>
    <r>
      <rPr>
        <sz val="10"/>
        <color indexed="12"/>
        <rFont val="宋体"/>
        <family val="3"/>
        <charset val="134"/>
      </rPr>
      <t xml:space="preserve">注：如不输入,则默认 </t>
    </r>
    <r>
      <rPr>
        <b/>
        <sz val="10"/>
        <color indexed="10"/>
        <rFont val="宋体"/>
        <family val="3"/>
        <charset val="134"/>
      </rPr>
      <t>6</t>
    </r>
    <r>
      <rPr>
        <sz val="10"/>
        <color indexed="12"/>
        <rFont val="宋体"/>
        <family val="3"/>
        <charset val="134"/>
      </rPr>
      <t xml:space="preserve"> 度。</t>
    </r>
  </si>
  <si>
    <t>注：如不输入,则默认基本截面齿顶圆直径。</t>
  </si>
  <si>
    <r>
      <rPr>
        <sz val="10"/>
        <color indexed="12"/>
        <rFont val="宋体"/>
        <family val="3"/>
        <charset val="134"/>
      </rPr>
      <t>注：在基本截面前为</t>
    </r>
    <r>
      <rPr>
        <sz val="10"/>
        <color indexed="10"/>
        <rFont val="宋体"/>
        <family val="3"/>
        <charset val="134"/>
      </rPr>
      <t>正</t>
    </r>
    <r>
      <rPr>
        <sz val="10"/>
        <color indexed="12"/>
        <rFont val="宋体"/>
        <family val="3"/>
        <charset val="134"/>
      </rPr>
      <t>,后为</t>
    </r>
    <r>
      <rPr>
        <sz val="10"/>
        <color indexed="10"/>
        <rFont val="宋体"/>
        <family val="3"/>
        <charset val="134"/>
      </rPr>
      <t>负</t>
    </r>
    <r>
      <rPr>
        <sz val="10"/>
        <color indexed="12"/>
        <rFont val="宋体"/>
        <family val="3"/>
        <charset val="134"/>
      </rPr>
      <t>。</t>
    </r>
  </si>
  <si>
    <t>h2</t>
  </si>
  <si>
    <r>
      <rPr>
        <sz val="12"/>
        <rFont val="宋体"/>
        <family val="3"/>
        <charset val="134"/>
      </rPr>
      <t>α</t>
    </r>
    <r>
      <rPr>
        <sz val="10"/>
        <rFont val="Times New Roman"/>
        <family val="1"/>
      </rPr>
      <t>a</t>
    </r>
    <r>
      <rPr>
        <sz val="8"/>
        <rFont val="Times New Roman"/>
        <family val="1"/>
      </rPr>
      <t>2</t>
    </r>
  </si>
  <si>
    <r>
      <rPr>
        <b/>
        <sz val="11"/>
        <rFont val="宋体"/>
        <family val="3"/>
        <charset val="134"/>
      </rPr>
      <t>常用标准直齿插齿刀</t>
    </r>
    <r>
      <rPr>
        <b/>
        <sz val="11"/>
        <rFont val="Times New Roman"/>
        <family val="1"/>
      </rPr>
      <t>:</t>
    </r>
  </si>
  <si>
    <r>
      <rPr>
        <sz val="11"/>
        <rFont val="Times New Roman"/>
        <family val="1"/>
      </rPr>
      <t>INV</t>
    </r>
    <r>
      <rPr>
        <sz val="12"/>
        <rFont val="宋体"/>
        <family val="3"/>
        <charset val="134"/>
        <scheme val="minor"/>
      </rPr>
      <t>α</t>
    </r>
    <r>
      <rPr>
        <sz val="10"/>
        <rFont val="Times New Roman"/>
        <family val="1"/>
      </rPr>
      <t>02t</t>
    </r>
    <r>
      <rPr>
        <sz val="12"/>
        <rFont val="Times New Roman"/>
        <family val="1"/>
      </rPr>
      <t>'</t>
    </r>
  </si>
  <si>
    <r>
      <rPr>
        <sz val="12"/>
        <rFont val="Times New Roman"/>
        <family val="1"/>
      </rPr>
      <t xml:space="preserve">x </t>
    </r>
    <r>
      <rPr>
        <sz val="10"/>
        <rFont val="Times New Roman"/>
        <family val="1"/>
      </rPr>
      <t>02min</t>
    </r>
  </si>
  <si>
    <r>
      <rPr>
        <sz val="10"/>
        <color indexed="10"/>
        <rFont val="宋体"/>
        <family val="3"/>
        <charset val="134"/>
      </rPr>
      <t>以下是输出数据，请打印：</t>
    </r>
    <r>
      <rPr>
        <sz val="10"/>
        <color indexed="10"/>
        <rFont val="Times New Roman"/>
        <family val="1"/>
      </rPr>
      <t>******************************************************************</t>
    </r>
  </si>
  <si>
    <r>
      <rPr>
        <b/>
        <sz val="18"/>
        <rFont val="Times New Roman"/>
        <family val="1"/>
      </rPr>
      <t xml:space="preserve">  </t>
    </r>
    <r>
      <rPr>
        <b/>
        <sz val="18"/>
        <rFont val="宋体"/>
        <family val="3"/>
        <charset val="134"/>
      </rPr>
      <t xml:space="preserve">              内齿轮插齿顶切验算 </t>
    </r>
  </si>
  <si>
    <t>订 货 号：</t>
  </si>
  <si>
    <r>
      <rPr>
        <sz val="12"/>
        <rFont val="宋体"/>
        <family val="3"/>
        <charset val="134"/>
      </rPr>
      <t>变</t>
    </r>
    <r>
      <rPr>
        <sz val="12"/>
        <rFont val="Times New Roman"/>
        <family val="1"/>
      </rPr>
      <t xml:space="preserve">   </t>
    </r>
    <r>
      <rPr>
        <sz val="12"/>
        <rFont val="宋体"/>
        <family val="3"/>
        <charset val="134"/>
        <scheme val="minor"/>
      </rPr>
      <t>位</t>
    </r>
    <r>
      <rPr>
        <sz val="12"/>
        <rFont val="Times New Roman"/>
        <family val="1"/>
      </rPr>
      <t xml:space="preserve"> </t>
    </r>
    <r>
      <rPr>
        <sz val="12"/>
        <rFont val="宋体"/>
        <family val="3"/>
        <charset val="134"/>
        <scheme val="minor"/>
      </rPr>
      <t xml:space="preserve"> </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 xml:space="preserve"> </t>
    </r>
    <r>
      <rPr>
        <sz val="12"/>
        <rFont val="Times New Roman"/>
        <family val="1"/>
      </rPr>
      <t xml:space="preserve"> </t>
    </r>
    <r>
      <rPr>
        <sz val="12"/>
        <rFont val="宋体"/>
        <family val="3"/>
        <charset val="134"/>
        <scheme val="minor"/>
      </rPr>
      <t>数</t>
    </r>
  </si>
  <si>
    <t>常用直齿标准插齿刀插齿验算：</t>
  </si>
  <si>
    <t>其它插齿刀插齿验算：</t>
  </si>
  <si>
    <r>
      <rPr>
        <sz val="10"/>
        <color indexed="10"/>
        <rFont val="宋体"/>
        <family val="3"/>
        <charset val="134"/>
      </rPr>
      <t>打印终止</t>
    </r>
    <r>
      <rPr>
        <sz val="10"/>
        <color indexed="10"/>
        <rFont val="Times New Roman"/>
        <family val="1"/>
      </rPr>
      <t>*********************************************************************************</t>
    </r>
  </si>
  <si>
    <r>
      <rPr>
        <b/>
        <sz val="18"/>
        <rFont val="Times New Roman"/>
        <family val="1"/>
      </rPr>
      <t xml:space="preserve">                       </t>
    </r>
    <r>
      <rPr>
        <b/>
        <sz val="18"/>
        <rFont val="宋体"/>
        <family val="3"/>
        <charset val="134"/>
      </rPr>
      <t xml:space="preserve">外啮合圆柱齿轮传动设计计算 </t>
    </r>
  </si>
  <si>
    <r>
      <rPr>
        <b/>
        <sz val="10"/>
        <color indexed="23"/>
        <rFont val="宋体"/>
        <family val="3"/>
        <charset val="134"/>
      </rPr>
      <t>说明：</t>
    </r>
    <r>
      <rPr>
        <sz val="10"/>
        <color indexed="23"/>
        <rFont val="宋体"/>
        <family val="3"/>
        <charset val="134"/>
      </rPr>
      <t xml:space="preserve">本程序适用于高变位、角变位和非变位直齿、斜齿渐开线圆柱齿轮传动的设计计算。公差数值是按照法向模数 </t>
    </r>
  </si>
  <si>
    <r>
      <rPr>
        <sz val="10"/>
        <color indexed="23"/>
        <rFont val="Times New Roman"/>
        <family val="1"/>
      </rPr>
      <t xml:space="preserve">              1 </t>
    </r>
    <r>
      <rPr>
        <sz val="10"/>
        <color indexed="23"/>
        <rFont val="宋体"/>
        <family val="3"/>
        <charset val="134"/>
      </rPr>
      <t>至</t>
    </r>
    <r>
      <rPr>
        <sz val="10"/>
        <color indexed="23"/>
        <rFont val="Times New Roman"/>
        <family val="1"/>
      </rPr>
      <t xml:space="preserve"> 10 </t>
    </r>
    <r>
      <rPr>
        <sz val="10"/>
        <color indexed="23"/>
        <rFont val="宋体"/>
        <family val="3"/>
        <charset val="134"/>
      </rPr>
      <t>毫米，分度圆直径</t>
    </r>
    <r>
      <rPr>
        <sz val="10"/>
        <color indexed="23"/>
        <rFont val="Times New Roman"/>
        <family val="1"/>
      </rPr>
      <t xml:space="preserve"> 800 </t>
    </r>
    <r>
      <rPr>
        <sz val="10"/>
        <color indexed="23"/>
        <rFont val="宋体"/>
        <family val="3"/>
        <charset val="134"/>
      </rPr>
      <t>毫米以下，精度等级 3、4、5、6、7、8 级设定的。 可进行几何参数计算、传</t>
    </r>
  </si>
  <si>
    <r>
      <rPr>
        <sz val="10"/>
        <color indexed="23"/>
        <rFont val="Times New Roman"/>
        <family val="1"/>
      </rPr>
      <t xml:space="preserve">              </t>
    </r>
    <r>
      <rPr>
        <sz val="10"/>
        <color indexed="23"/>
        <rFont val="宋体"/>
        <family val="3"/>
        <charset val="134"/>
      </rPr>
      <t>动质量指标和承载能力的验算，（工作条件按照原动机均匀平稳，从动机中等振动）。可对齿轮加工的可行性</t>
    </r>
  </si>
  <si>
    <r>
      <rPr>
        <sz val="10"/>
        <color indexed="23"/>
        <rFont val="Times New Roman"/>
        <family val="1"/>
      </rPr>
      <t xml:space="preserve">              </t>
    </r>
    <r>
      <rPr>
        <sz val="10"/>
        <color indexed="23"/>
        <rFont val="宋体"/>
        <family val="3"/>
        <charset val="134"/>
      </rPr>
      <t>（滚齿、插齿、剃齿）进行判断。</t>
    </r>
  </si>
  <si>
    <r>
      <rPr>
        <b/>
        <sz val="10"/>
        <color indexed="23"/>
        <rFont val="宋体"/>
        <family val="3"/>
        <charset val="134"/>
      </rPr>
      <t>引用标准：</t>
    </r>
    <r>
      <rPr>
        <sz val="10"/>
        <color indexed="23"/>
        <rFont val="Times New Roman"/>
        <family val="1"/>
      </rPr>
      <t xml:space="preserve">GB 10095--88   </t>
    </r>
    <r>
      <rPr>
        <sz val="10"/>
        <color indexed="23"/>
        <rFont val="宋体"/>
        <family val="3"/>
        <charset val="134"/>
      </rPr>
      <t>渐开线圆柱齿轮</t>
    </r>
    <r>
      <rPr>
        <sz val="10"/>
        <color indexed="23"/>
        <rFont val="Times New Roman"/>
        <family val="1"/>
      </rPr>
      <t xml:space="preserve">   </t>
    </r>
    <r>
      <rPr>
        <sz val="10"/>
        <color indexed="23"/>
        <rFont val="宋体"/>
        <family val="3"/>
        <charset val="134"/>
      </rPr>
      <t xml:space="preserve">精度，   </t>
    </r>
    <r>
      <rPr>
        <sz val="10"/>
        <color indexed="23"/>
        <rFont val="Times New Roman"/>
        <family val="1"/>
      </rPr>
      <t xml:space="preserve">GB 3480--83   </t>
    </r>
    <r>
      <rPr>
        <sz val="10"/>
        <color indexed="23"/>
        <rFont val="宋体"/>
        <family val="3"/>
        <charset val="134"/>
      </rPr>
      <t>渐开线圆柱齿轮承载能力计算方法</t>
    </r>
  </si>
  <si>
    <r>
      <rPr>
        <sz val="10"/>
        <color indexed="23"/>
        <rFont val="Times New Roman"/>
        <family val="1"/>
      </rPr>
      <t xml:space="preserve">                 ISO/TR 10064—2</t>
    </r>
    <r>
      <rPr>
        <sz val="10"/>
        <color indexed="23"/>
        <rFont val="宋体"/>
        <family val="3"/>
        <charset val="134"/>
      </rPr>
      <t>：</t>
    </r>
    <r>
      <rPr>
        <sz val="10"/>
        <color indexed="23"/>
        <rFont val="Times New Roman"/>
        <family val="1"/>
      </rPr>
      <t xml:space="preserve">1996  </t>
    </r>
    <r>
      <rPr>
        <sz val="10"/>
        <color indexed="23"/>
        <rFont val="宋体"/>
        <family val="3"/>
        <charset val="134"/>
      </rPr>
      <t>圆柱齿轮—检验实施规范—第</t>
    </r>
    <r>
      <rPr>
        <sz val="10"/>
        <color indexed="23"/>
        <rFont val="Times New Roman"/>
        <family val="1"/>
      </rPr>
      <t>2</t>
    </r>
    <r>
      <rPr>
        <sz val="10"/>
        <color indexed="23"/>
        <rFont val="宋体"/>
        <family val="3"/>
        <charset val="134"/>
      </rPr>
      <t>部分：径向综合偏差、径向跳动、齿厚和侧隙的检验</t>
    </r>
  </si>
  <si>
    <t xml:space="preserve">    程序设计：邓时俊   2001.05</t>
  </si>
  <si>
    <r>
      <rPr>
        <b/>
        <sz val="12"/>
        <rFont val="Times New Roman"/>
        <family val="1"/>
      </rPr>
      <t>1</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向</t>
    </r>
  </si>
  <si>
    <r>
      <rPr>
        <b/>
        <sz val="12"/>
        <rFont val="Times New Roman"/>
        <family val="1"/>
      </rPr>
      <t>2</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向</t>
    </r>
  </si>
  <si>
    <r>
      <rPr>
        <b/>
        <sz val="12"/>
        <rFont val="Times New Roman"/>
        <family val="1"/>
      </rPr>
      <t>1</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</si>
  <si>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b/>
        <sz val="12"/>
        <rFont val="Times New Roman"/>
        <family val="1"/>
      </rPr>
      <t>2</t>
    </r>
    <r>
      <rPr>
        <sz val="12"/>
        <rFont val="Times New Roman"/>
        <family val="1"/>
      </rPr>
      <t xml:space="preserve">   </t>
    </r>
    <r>
      <rPr>
        <sz val="12"/>
        <rFont val="宋体"/>
        <family val="3"/>
        <charset val="134"/>
        <scheme val="minor"/>
      </rPr>
      <t>轮</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</si>
  <si>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0"/>
        <color indexed="12"/>
        <rFont val="宋体"/>
        <family val="3"/>
        <charset val="134"/>
      </rPr>
      <t xml:space="preserve">注：如不输入，则默认 </t>
    </r>
    <r>
      <rPr>
        <sz val="12"/>
        <color indexed="12"/>
        <rFont val="宋体"/>
        <family val="3"/>
        <charset val="134"/>
      </rPr>
      <t>ha*</t>
    </r>
    <r>
      <rPr>
        <sz val="10"/>
        <color indexed="12"/>
        <rFont val="宋体"/>
        <family val="3"/>
        <charset val="134"/>
      </rPr>
      <t xml:space="preserve"> = </t>
    </r>
    <r>
      <rPr>
        <b/>
        <sz val="10"/>
        <color indexed="10"/>
        <rFont val="宋体"/>
        <family val="3"/>
        <charset val="134"/>
      </rPr>
      <t>1</t>
    </r>
  </si>
  <si>
    <r>
      <rPr>
        <sz val="10"/>
        <color indexed="12"/>
        <rFont val="宋体"/>
        <family val="3"/>
        <charset val="134"/>
      </rPr>
      <t xml:space="preserve">注：如不输入，则默认 </t>
    </r>
    <r>
      <rPr>
        <sz val="12"/>
        <color indexed="12"/>
        <rFont val="宋体"/>
        <family val="3"/>
        <charset val="134"/>
      </rPr>
      <t xml:space="preserve">c* </t>
    </r>
    <r>
      <rPr>
        <sz val="10"/>
        <color indexed="12"/>
        <rFont val="宋体"/>
        <family val="3"/>
        <charset val="134"/>
      </rPr>
      <t xml:space="preserve">= </t>
    </r>
    <r>
      <rPr>
        <b/>
        <sz val="10"/>
        <color indexed="10"/>
        <rFont val="宋体"/>
        <family val="3"/>
        <charset val="134"/>
      </rPr>
      <t>0.25</t>
    </r>
  </si>
  <si>
    <t>径向或法向变位系数</t>
  </si>
  <si>
    <r>
      <rPr>
        <sz val="12"/>
        <rFont val="Times New Roman"/>
        <family val="1"/>
      </rPr>
      <t>x</t>
    </r>
    <r>
      <rPr>
        <sz val="10"/>
        <rFont val="Times New Roman"/>
        <family val="1"/>
      </rPr>
      <t>n10</t>
    </r>
  </si>
  <si>
    <t>注：径向、法向变位系数</t>
  </si>
  <si>
    <r>
      <rPr>
        <sz val="12"/>
        <color indexed="44"/>
        <rFont val="Times New Roman"/>
        <family val="1"/>
      </rPr>
      <t>x</t>
    </r>
    <r>
      <rPr>
        <sz val="10"/>
        <color indexed="44"/>
        <rFont val="Times New Roman"/>
        <family val="1"/>
      </rPr>
      <t>10</t>
    </r>
  </si>
  <si>
    <r>
      <rPr>
        <sz val="12"/>
        <rFont val="Times New Roman"/>
        <family val="1"/>
      </rPr>
      <t>x</t>
    </r>
    <r>
      <rPr>
        <sz val="10"/>
        <rFont val="Times New Roman"/>
        <family val="1"/>
      </rPr>
      <t>n20</t>
    </r>
  </si>
  <si>
    <r>
      <rPr>
        <sz val="10"/>
        <color indexed="12"/>
        <rFont val="Times New Roman"/>
        <family val="1"/>
      </rPr>
      <t xml:space="preserve">        </t>
    </r>
    <r>
      <rPr>
        <sz val="10"/>
        <color indexed="12"/>
        <rFont val="宋体"/>
        <family val="3"/>
        <charset val="134"/>
      </rPr>
      <t>只输入其中之一。</t>
    </r>
  </si>
  <si>
    <r>
      <rPr>
        <sz val="12"/>
        <color indexed="44"/>
        <rFont val="Times New Roman"/>
        <family val="1"/>
      </rPr>
      <t>x</t>
    </r>
    <r>
      <rPr>
        <sz val="10"/>
        <color indexed="44"/>
        <rFont val="Times New Roman"/>
        <family val="1"/>
      </rPr>
      <t>20</t>
    </r>
  </si>
  <si>
    <t>注：已定中心距不输入</t>
  </si>
  <si>
    <t>x1</t>
  </si>
  <si>
    <r>
      <rPr>
        <b/>
        <sz val="11"/>
        <rFont val="Times New Roman"/>
        <family val="1"/>
      </rPr>
      <t>1</t>
    </r>
    <r>
      <rPr>
        <sz val="11"/>
        <rFont val="宋体"/>
        <family val="3"/>
        <charset val="134"/>
      </rPr>
      <t>轮齿厚上偏差</t>
    </r>
  </si>
  <si>
    <r>
      <rPr>
        <b/>
        <sz val="11"/>
        <rFont val="Times New Roman"/>
        <family val="1"/>
      </rPr>
      <t>1</t>
    </r>
    <r>
      <rPr>
        <sz val="11"/>
        <rFont val="宋体"/>
        <family val="3"/>
        <charset val="134"/>
      </rPr>
      <t>轮齿厚下偏差</t>
    </r>
  </si>
  <si>
    <r>
      <rPr>
        <b/>
        <sz val="11"/>
        <rFont val="宋体"/>
        <family val="3"/>
        <charset val="134"/>
      </rPr>
      <t>2</t>
    </r>
    <r>
      <rPr>
        <sz val="11"/>
        <rFont val="宋体"/>
        <family val="3"/>
        <charset val="134"/>
      </rPr>
      <t>轮齿厚上偏差</t>
    </r>
  </si>
  <si>
    <r>
      <rPr>
        <b/>
        <sz val="11"/>
        <rFont val="宋体"/>
        <family val="3"/>
        <charset val="134"/>
      </rPr>
      <t>2</t>
    </r>
    <r>
      <rPr>
        <sz val="11"/>
        <rFont val="宋体"/>
        <family val="3"/>
        <charset val="134"/>
      </rPr>
      <t>轮齿厚下偏差</t>
    </r>
  </si>
  <si>
    <r>
      <rPr>
        <b/>
        <sz val="10"/>
        <color indexed="12"/>
        <rFont val="宋体"/>
        <family val="3"/>
        <charset val="134"/>
      </rPr>
      <t>说明：</t>
    </r>
    <r>
      <rPr>
        <sz val="10"/>
        <color indexed="12"/>
        <rFont val="宋体"/>
        <family val="3"/>
        <charset val="134"/>
      </rPr>
      <t>如在下面输入齿厚上、下偏差的具体数值，则不认齿厚上、下偏差种类代码。</t>
    </r>
  </si>
  <si>
    <t>齿 轮  1</t>
  </si>
  <si>
    <t>齿 轮  2</t>
  </si>
  <si>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滑</t>
    </r>
    <r>
      <rPr>
        <sz val="12"/>
        <rFont val="Times New Roman"/>
        <family val="1"/>
      </rPr>
      <t xml:space="preserve"> </t>
    </r>
    <r>
      <rPr>
        <sz val="12"/>
        <rFont val="宋体"/>
        <family val="3"/>
        <charset val="134"/>
        <scheme val="minor"/>
      </rPr>
      <t>动</t>
    </r>
    <r>
      <rPr>
        <sz val="12"/>
        <rFont val="Times New Roman"/>
        <family val="1"/>
      </rPr>
      <t xml:space="preserve"> </t>
    </r>
    <r>
      <rPr>
        <sz val="12"/>
        <rFont val="宋体"/>
        <family val="3"/>
        <charset val="134"/>
        <scheme val="minor"/>
      </rPr>
      <t>率</t>
    </r>
  </si>
  <si>
    <t>η1</t>
  </si>
  <si>
    <r>
      <rPr>
        <sz val="12"/>
        <rFont val="宋体"/>
        <family val="3"/>
        <charset val="134"/>
      </rPr>
      <t>η</t>
    </r>
    <r>
      <rPr>
        <sz val="12"/>
        <rFont val="宋体"/>
        <family val="3"/>
        <charset val="134"/>
        <scheme val="minor"/>
      </rPr>
      <t>2</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</si>
  <si>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压</t>
    </r>
    <r>
      <rPr>
        <sz val="12"/>
        <rFont val="Times New Roman"/>
        <family val="1"/>
      </rPr>
      <t xml:space="preserve"> </t>
    </r>
    <r>
      <rPr>
        <sz val="12"/>
        <rFont val="宋体"/>
        <family val="3"/>
        <charset val="134"/>
        <scheme val="minor"/>
      </rPr>
      <t>强</t>
    </r>
    <r>
      <rPr>
        <sz val="12"/>
        <rFont val="Times New Roman"/>
        <family val="1"/>
      </rPr>
      <t xml:space="preserve"> </t>
    </r>
    <r>
      <rPr>
        <sz val="12"/>
        <rFont val="宋体"/>
        <family val="3"/>
        <charset val="134"/>
        <scheme val="minor"/>
      </rPr>
      <t>比</t>
    </r>
  </si>
  <si>
    <t>p1</t>
  </si>
  <si>
    <t>应小于</t>
  </si>
  <si>
    <t>p2</t>
  </si>
  <si>
    <t>η2</t>
  </si>
  <si>
    <r>
      <rPr>
        <sz val="12"/>
        <rFont val="宋体"/>
        <family val="3"/>
        <charset val="134"/>
      </rPr>
      <t>ε</t>
    </r>
    <r>
      <rPr>
        <sz val="8"/>
        <rFont val="宋体"/>
        <family val="3"/>
        <charset val="134"/>
      </rPr>
      <t>总</t>
    </r>
  </si>
  <si>
    <r>
      <rPr>
        <sz val="12"/>
        <rFont val="宋体"/>
        <family val="3"/>
        <charset val="134"/>
      </rPr>
      <t>ε</t>
    </r>
    <r>
      <rPr>
        <sz val="8"/>
        <rFont val="宋体"/>
        <family val="3"/>
        <charset val="134"/>
      </rPr>
      <t>纵向</t>
    </r>
  </si>
  <si>
    <r>
      <rPr>
        <sz val="12"/>
        <rFont val="宋体"/>
        <family val="3"/>
        <charset val="134"/>
      </rPr>
      <t>ε</t>
    </r>
    <r>
      <rPr>
        <sz val="8"/>
        <rFont val="宋体"/>
        <family val="3"/>
        <charset val="134"/>
      </rPr>
      <t>端面</t>
    </r>
  </si>
  <si>
    <t>过渡曲线与配对齿顶是否干涉</t>
  </si>
  <si>
    <r>
      <rPr>
        <sz val="12"/>
        <rFont val="宋体"/>
        <family val="3"/>
        <charset val="134"/>
      </rPr>
      <t>是</t>
    </r>
    <r>
      <rPr>
        <sz val="12"/>
        <rFont val="Times New Roman"/>
        <family val="1"/>
      </rPr>
      <t xml:space="preserve">   </t>
    </r>
    <r>
      <rPr>
        <sz val="12"/>
        <rFont val="宋体"/>
        <family val="3"/>
        <charset val="134"/>
        <scheme val="minor"/>
      </rPr>
      <t>否</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切</t>
    </r>
  </si>
  <si>
    <t>强度验算：</t>
  </si>
  <si>
    <r>
      <rPr>
        <sz val="12"/>
        <rFont val="宋体"/>
        <family val="3"/>
        <charset val="134"/>
      </rPr>
      <t>材</t>
    </r>
    <r>
      <rPr>
        <sz val="12"/>
        <rFont val="Times New Roman"/>
        <family val="1"/>
      </rPr>
      <t xml:space="preserve">   </t>
    </r>
    <r>
      <rPr>
        <sz val="12"/>
        <rFont val="宋体"/>
        <family val="3"/>
        <charset val="134"/>
        <scheme val="minor"/>
      </rPr>
      <t>质</t>
    </r>
    <r>
      <rPr>
        <sz val="12"/>
        <rFont val="Times New Roman"/>
        <family val="1"/>
      </rPr>
      <t xml:space="preserve">   </t>
    </r>
    <r>
      <rPr>
        <sz val="12"/>
        <rFont val="宋体"/>
        <family val="3"/>
        <charset val="134"/>
        <scheme val="minor"/>
      </rPr>
      <t>代</t>
    </r>
    <r>
      <rPr>
        <sz val="12"/>
        <rFont val="Times New Roman"/>
        <family val="1"/>
      </rPr>
      <t xml:space="preserve">   </t>
    </r>
    <r>
      <rPr>
        <sz val="12"/>
        <rFont val="宋体"/>
        <family val="3"/>
        <charset val="134"/>
        <scheme val="minor"/>
      </rPr>
      <t>码</t>
    </r>
  </si>
  <si>
    <r>
      <rPr>
        <sz val="10"/>
        <color indexed="12"/>
        <rFont val="宋体"/>
        <family val="3"/>
        <charset val="134"/>
      </rPr>
      <t>说明：</t>
    </r>
    <r>
      <rPr>
        <b/>
        <sz val="10"/>
        <color indexed="10"/>
        <rFont val="宋体"/>
        <family val="3"/>
        <charset val="134"/>
      </rPr>
      <t>1</t>
    </r>
    <r>
      <rPr>
        <sz val="10"/>
        <color indexed="12"/>
        <rFont val="宋体"/>
        <family val="3"/>
        <charset val="134"/>
      </rPr>
      <t>—结构钢正火，</t>
    </r>
    <r>
      <rPr>
        <b/>
        <sz val="10"/>
        <color indexed="10"/>
        <rFont val="宋体"/>
        <family val="3"/>
        <charset val="134"/>
      </rPr>
      <t>2</t>
    </r>
    <r>
      <rPr>
        <sz val="10"/>
        <color indexed="12"/>
        <rFont val="宋体"/>
        <family val="3"/>
        <charset val="134"/>
      </rPr>
      <t>—碳钢调质或正火，</t>
    </r>
    <r>
      <rPr>
        <b/>
        <sz val="10"/>
        <color indexed="10"/>
        <rFont val="宋体"/>
        <family val="3"/>
        <charset val="134"/>
      </rPr>
      <t>3</t>
    </r>
    <r>
      <rPr>
        <sz val="10"/>
        <color indexed="12"/>
        <rFont val="宋体"/>
        <family val="3"/>
        <charset val="134"/>
      </rPr>
      <t>—合金钢调质，</t>
    </r>
    <r>
      <rPr>
        <b/>
        <sz val="10"/>
        <color indexed="10"/>
        <rFont val="宋体"/>
        <family val="3"/>
        <charset val="134"/>
      </rPr>
      <t>4</t>
    </r>
    <r>
      <rPr>
        <sz val="10"/>
        <color indexed="12"/>
        <rFont val="宋体"/>
        <family val="3"/>
        <charset val="134"/>
      </rPr>
      <t>—调质钢表面淬火，</t>
    </r>
  </si>
  <si>
    <r>
      <rPr>
        <b/>
        <sz val="10"/>
        <color indexed="10"/>
        <rFont val="宋体"/>
        <family val="3"/>
        <charset val="134"/>
      </rPr>
      <t>5</t>
    </r>
    <r>
      <rPr>
        <sz val="10"/>
        <color indexed="12"/>
        <rFont val="宋体"/>
        <family val="3"/>
        <charset val="134"/>
      </rPr>
      <t xml:space="preserve">—合金钢渗碳淬火， </t>
    </r>
    <r>
      <rPr>
        <b/>
        <sz val="10"/>
        <color indexed="10"/>
        <rFont val="宋体"/>
        <family val="3"/>
        <charset val="134"/>
      </rPr>
      <t>6</t>
    </r>
    <r>
      <rPr>
        <sz val="10"/>
        <color indexed="12"/>
        <rFont val="宋体"/>
        <family val="3"/>
        <charset val="134"/>
      </rPr>
      <t>—氮化钢气体氮化，</t>
    </r>
    <r>
      <rPr>
        <b/>
        <sz val="10"/>
        <color indexed="10"/>
        <rFont val="宋体"/>
        <family val="3"/>
        <charset val="134"/>
      </rPr>
      <t>7</t>
    </r>
    <r>
      <rPr>
        <sz val="10"/>
        <color indexed="12"/>
        <rFont val="宋体"/>
        <family val="3"/>
        <charset val="134"/>
      </rPr>
      <t xml:space="preserve">—调质钢氮化。 </t>
    </r>
    <r>
      <rPr>
        <sz val="10"/>
        <color indexed="10"/>
        <rFont val="宋体"/>
        <family val="3"/>
        <charset val="134"/>
      </rPr>
      <t>不计算承载能力则不输入。</t>
    </r>
  </si>
  <si>
    <r>
      <rPr>
        <sz val="12"/>
        <rFont val="宋体"/>
        <family val="3"/>
        <charset val="134"/>
      </rPr>
      <t xml:space="preserve">d </t>
    </r>
    <r>
      <rPr>
        <sz val="8"/>
        <rFont val="宋体"/>
        <family val="3"/>
        <charset val="134"/>
      </rPr>
      <t>2</t>
    </r>
  </si>
  <si>
    <r>
      <rPr>
        <sz val="12"/>
        <rFont val="宋体"/>
        <family val="3"/>
        <charset val="134"/>
      </rPr>
      <t xml:space="preserve">d </t>
    </r>
    <r>
      <rPr>
        <sz val="8"/>
        <rFont val="宋体"/>
        <family val="3"/>
        <charset val="134"/>
      </rPr>
      <t>2</t>
    </r>
    <r>
      <rPr>
        <sz val="12"/>
        <rFont val="宋体"/>
        <family val="3"/>
        <charset val="134"/>
        <scheme val="minor"/>
      </rPr>
      <t>'</t>
    </r>
  </si>
  <si>
    <r>
      <rPr>
        <sz val="12"/>
        <rFont val="宋体"/>
        <family val="3"/>
        <charset val="134"/>
      </rPr>
      <t xml:space="preserve">d </t>
    </r>
    <r>
      <rPr>
        <sz val="10"/>
        <rFont val="宋体"/>
        <family val="3"/>
        <charset val="134"/>
      </rPr>
      <t>b2</t>
    </r>
  </si>
  <si>
    <r>
      <rPr>
        <sz val="12"/>
        <rFont val="宋体"/>
        <family val="3"/>
        <charset val="134"/>
      </rPr>
      <t>x</t>
    </r>
    <r>
      <rPr>
        <sz val="10"/>
        <rFont val="宋体"/>
        <family val="3"/>
        <charset val="134"/>
      </rPr>
      <t xml:space="preserve"> t2</t>
    </r>
  </si>
  <si>
    <r>
      <rPr>
        <sz val="12"/>
        <rFont val="宋体"/>
        <family val="3"/>
        <charset val="134"/>
      </rPr>
      <t>x</t>
    </r>
    <r>
      <rPr>
        <sz val="10"/>
        <rFont val="宋体"/>
        <family val="3"/>
        <charset val="134"/>
      </rPr>
      <t xml:space="preserve"> n2</t>
    </r>
  </si>
  <si>
    <r>
      <rPr>
        <sz val="12"/>
        <rFont val="宋体"/>
        <family val="3"/>
        <charset val="134"/>
      </rPr>
      <t>h</t>
    </r>
    <r>
      <rPr>
        <sz val="10"/>
        <rFont val="宋体"/>
        <family val="3"/>
        <charset val="134"/>
      </rPr>
      <t>a2</t>
    </r>
  </si>
  <si>
    <r>
      <rPr>
        <sz val="12"/>
        <rFont val="宋体"/>
        <family val="3"/>
        <charset val="134"/>
      </rPr>
      <t>h</t>
    </r>
    <r>
      <rPr>
        <sz val="10"/>
        <rFont val="宋体"/>
        <family val="3"/>
        <charset val="134"/>
      </rPr>
      <t>f</t>
    </r>
    <r>
      <rPr>
        <sz val="11"/>
        <rFont val="宋体"/>
        <family val="3"/>
        <charset val="134"/>
      </rPr>
      <t>2</t>
    </r>
  </si>
  <si>
    <r>
      <rPr>
        <sz val="12"/>
        <rFont val="宋体"/>
        <family val="3"/>
        <charset val="134"/>
      </rPr>
      <t xml:space="preserve">d </t>
    </r>
    <r>
      <rPr>
        <sz val="10"/>
        <rFont val="宋体"/>
        <family val="3"/>
        <charset val="134"/>
      </rPr>
      <t>a</t>
    </r>
    <r>
      <rPr>
        <sz val="8"/>
        <rFont val="宋体"/>
        <family val="3"/>
        <charset val="134"/>
      </rPr>
      <t>2</t>
    </r>
  </si>
  <si>
    <r>
      <rPr>
        <sz val="12"/>
        <rFont val="宋体"/>
        <family val="3"/>
        <charset val="134"/>
      </rPr>
      <t xml:space="preserve">d </t>
    </r>
    <r>
      <rPr>
        <sz val="10"/>
        <rFont val="宋体"/>
        <family val="3"/>
        <charset val="134"/>
      </rPr>
      <t>a</t>
    </r>
    <r>
      <rPr>
        <sz val="8"/>
        <rFont val="宋体"/>
        <family val="3"/>
        <charset val="134"/>
      </rPr>
      <t>2</t>
    </r>
    <r>
      <rPr>
        <sz val="12"/>
        <rFont val="宋体"/>
        <family val="3"/>
        <charset val="134"/>
        <scheme val="minor"/>
      </rPr>
      <t>'</t>
    </r>
  </si>
  <si>
    <r>
      <rPr>
        <sz val="12"/>
        <rFont val="宋体"/>
        <family val="3"/>
        <charset val="134"/>
      </rPr>
      <t xml:space="preserve">d </t>
    </r>
    <r>
      <rPr>
        <sz val="10"/>
        <rFont val="宋体"/>
        <family val="3"/>
        <charset val="134"/>
      </rPr>
      <t>f</t>
    </r>
    <r>
      <rPr>
        <sz val="8"/>
        <rFont val="宋体"/>
        <family val="3"/>
        <charset val="134"/>
      </rPr>
      <t>2</t>
    </r>
  </si>
  <si>
    <r>
      <rPr>
        <sz val="12"/>
        <rFont val="宋体"/>
        <family val="3"/>
        <charset val="134"/>
      </rPr>
      <t>S</t>
    </r>
    <r>
      <rPr>
        <sz val="10"/>
        <rFont val="宋体"/>
        <family val="3"/>
        <charset val="134"/>
      </rPr>
      <t xml:space="preserve"> t2</t>
    </r>
  </si>
  <si>
    <t>Sa2</t>
  </si>
  <si>
    <r>
      <rPr>
        <sz val="12"/>
        <rFont val="宋体"/>
        <family val="3"/>
        <charset val="134"/>
      </rPr>
      <t>W</t>
    </r>
    <r>
      <rPr>
        <sz val="10"/>
        <rFont val="宋体"/>
        <family val="3"/>
        <charset val="134"/>
      </rPr>
      <t>k2</t>
    </r>
  </si>
  <si>
    <r>
      <rPr>
        <sz val="12"/>
        <rFont val="宋体"/>
        <family val="3"/>
        <charset val="134"/>
      </rPr>
      <t>k</t>
    </r>
    <r>
      <rPr>
        <sz val="10"/>
        <rFont val="宋体"/>
        <family val="3"/>
        <charset val="134"/>
      </rPr>
      <t>2</t>
    </r>
  </si>
  <si>
    <r>
      <rPr>
        <sz val="12"/>
        <rFont val="宋体"/>
        <family val="3"/>
        <charset val="134"/>
      </rPr>
      <t>W</t>
    </r>
    <r>
      <rPr>
        <sz val="10"/>
        <rFont val="宋体"/>
        <family val="3"/>
        <charset val="134"/>
      </rPr>
      <t>k2+1</t>
    </r>
  </si>
  <si>
    <r>
      <rPr>
        <sz val="12"/>
        <rFont val="宋体"/>
        <family val="3"/>
        <charset val="134"/>
      </rPr>
      <t>k2+</t>
    </r>
    <r>
      <rPr>
        <sz val="10"/>
        <rFont val="宋体"/>
        <family val="3"/>
        <charset val="134"/>
      </rPr>
      <t>1</t>
    </r>
  </si>
  <si>
    <r>
      <rPr>
        <sz val="12"/>
        <rFont val="宋体"/>
        <family val="3"/>
        <charset val="134"/>
      </rPr>
      <t>Sc</t>
    </r>
    <r>
      <rPr>
        <sz val="10"/>
        <rFont val="宋体"/>
        <family val="3"/>
        <charset val="134"/>
      </rPr>
      <t>n2</t>
    </r>
  </si>
  <si>
    <r>
      <rPr>
        <sz val="12"/>
        <rFont val="宋体"/>
        <family val="3"/>
        <charset val="134"/>
      </rPr>
      <t>Hc</t>
    </r>
    <r>
      <rPr>
        <sz val="10"/>
        <rFont val="宋体"/>
        <family val="3"/>
        <charset val="134"/>
      </rPr>
      <t>n2</t>
    </r>
  </si>
  <si>
    <r>
      <rPr>
        <sz val="12"/>
        <rFont val="宋体"/>
        <family val="3"/>
        <charset val="134"/>
      </rPr>
      <t>Sx</t>
    </r>
    <r>
      <rPr>
        <sz val="10"/>
        <rFont val="宋体"/>
        <family val="3"/>
        <charset val="134"/>
      </rPr>
      <t>n2</t>
    </r>
  </si>
  <si>
    <r>
      <rPr>
        <sz val="12"/>
        <rFont val="宋体"/>
        <family val="3"/>
        <charset val="134"/>
      </rPr>
      <t>Hx</t>
    </r>
    <r>
      <rPr>
        <sz val="10"/>
        <rFont val="宋体"/>
        <family val="3"/>
        <charset val="134"/>
      </rPr>
      <t>n2</t>
    </r>
  </si>
  <si>
    <r>
      <rPr>
        <sz val="12"/>
        <rFont val="宋体"/>
        <family val="3"/>
        <charset val="134"/>
      </rPr>
      <t>INV</t>
    </r>
    <r>
      <rPr>
        <sz val="12"/>
        <rFont val="宋体"/>
        <family val="3"/>
        <charset val="134"/>
        <scheme val="minor"/>
      </rPr>
      <t>α</t>
    </r>
    <r>
      <rPr>
        <sz val="10"/>
        <rFont val="宋体"/>
        <family val="3"/>
        <charset val="134"/>
      </rPr>
      <t>Mt2</t>
    </r>
  </si>
  <si>
    <r>
      <rPr>
        <sz val="12"/>
        <rFont val="宋体"/>
        <family val="3"/>
        <charset val="134"/>
      </rPr>
      <t>α</t>
    </r>
    <r>
      <rPr>
        <sz val="10"/>
        <rFont val="宋体"/>
        <family val="3"/>
        <charset val="134"/>
      </rPr>
      <t>Mt2</t>
    </r>
  </si>
  <si>
    <r>
      <rPr>
        <sz val="12"/>
        <rFont val="宋体"/>
        <family val="3"/>
        <charset val="134"/>
      </rPr>
      <t>R</t>
    </r>
    <r>
      <rPr>
        <sz val="10"/>
        <rFont val="宋体"/>
        <family val="3"/>
        <charset val="134"/>
      </rPr>
      <t>M2</t>
    </r>
  </si>
  <si>
    <r>
      <rPr>
        <sz val="12"/>
        <rFont val="宋体"/>
        <family val="3"/>
        <charset val="134"/>
      </rPr>
      <t>M</t>
    </r>
    <r>
      <rPr>
        <sz val="9"/>
        <rFont val="宋体"/>
        <family val="3"/>
        <charset val="134"/>
      </rPr>
      <t>2</t>
    </r>
  </si>
  <si>
    <r>
      <rPr>
        <sz val="12"/>
        <rFont val="宋体"/>
        <family val="3"/>
        <charset val="134"/>
      </rPr>
      <t>α</t>
    </r>
    <r>
      <rPr>
        <sz val="12"/>
        <rFont val="宋体"/>
        <family val="3"/>
        <charset val="134"/>
        <scheme val="minor"/>
      </rPr>
      <t xml:space="preserve"> </t>
    </r>
    <r>
      <rPr>
        <sz val="9"/>
        <rFont val="宋体"/>
        <family val="3"/>
        <charset val="134"/>
      </rPr>
      <t>M2</t>
    </r>
  </si>
  <si>
    <r>
      <rPr>
        <sz val="12"/>
        <rFont val="Times New Roman"/>
        <family val="1"/>
      </rPr>
      <t xml:space="preserve">d </t>
    </r>
    <r>
      <rPr>
        <sz val="9"/>
        <rFont val="Times New Roman"/>
        <family val="1"/>
      </rPr>
      <t>M1</t>
    </r>
  </si>
  <si>
    <r>
      <rPr>
        <sz val="12"/>
        <rFont val="宋体"/>
        <family val="3"/>
        <charset val="134"/>
      </rPr>
      <t xml:space="preserve">d </t>
    </r>
    <r>
      <rPr>
        <sz val="9"/>
        <rFont val="宋体"/>
        <family val="3"/>
        <charset val="134"/>
      </rPr>
      <t>M2</t>
    </r>
  </si>
  <si>
    <t>dx1</t>
  </si>
  <si>
    <t>dx2</t>
  </si>
  <si>
    <r>
      <rPr>
        <sz val="12"/>
        <rFont val="宋体"/>
        <family val="3"/>
        <charset val="134"/>
      </rPr>
      <t>α</t>
    </r>
    <r>
      <rPr>
        <sz val="12"/>
        <rFont val="Times New Roman"/>
        <family val="1"/>
      </rPr>
      <t>x1</t>
    </r>
  </si>
  <si>
    <r>
      <rPr>
        <sz val="12"/>
        <rFont val="宋体"/>
        <family val="3"/>
        <charset val="134"/>
      </rPr>
      <t>α</t>
    </r>
    <r>
      <rPr>
        <sz val="12"/>
        <rFont val="宋体"/>
        <family val="3"/>
        <charset val="134"/>
        <scheme val="minor"/>
      </rPr>
      <t>x2</t>
    </r>
  </si>
  <si>
    <t>Sx1</t>
  </si>
  <si>
    <t>Sx2</t>
  </si>
  <si>
    <r>
      <rPr>
        <sz val="12"/>
        <rFont val="宋体"/>
        <family val="3"/>
        <charset val="134"/>
      </rPr>
      <t>α</t>
    </r>
    <r>
      <rPr>
        <sz val="12"/>
        <rFont val="Times New Roman"/>
        <family val="1"/>
      </rPr>
      <t>px1</t>
    </r>
  </si>
  <si>
    <r>
      <rPr>
        <sz val="12"/>
        <rFont val="宋体"/>
        <family val="3"/>
        <charset val="134"/>
      </rPr>
      <t>α</t>
    </r>
    <r>
      <rPr>
        <sz val="12"/>
        <rFont val="宋体"/>
        <family val="3"/>
        <charset val="134"/>
        <scheme val="minor"/>
      </rPr>
      <t>px2</t>
    </r>
  </si>
  <si>
    <t>?</t>
  </si>
  <si>
    <t>齿根过渡曲线干涉验算</t>
  </si>
  <si>
    <t>齿顶变尖</t>
  </si>
  <si>
    <t xml:space="preserve"> X2min</t>
  </si>
  <si>
    <t>L1m</t>
  </si>
  <si>
    <t>L2m</t>
  </si>
  <si>
    <t>L1m1</t>
  </si>
  <si>
    <t>L2m2</t>
  </si>
  <si>
    <t>R1m</t>
  </si>
  <si>
    <t>R2m</t>
  </si>
  <si>
    <t>起测展开长度</t>
  </si>
  <si>
    <t>起测圆半径</t>
  </si>
  <si>
    <t>终测展开长度</t>
  </si>
  <si>
    <t>终测圆半径</t>
  </si>
  <si>
    <t>起测展开角</t>
  </si>
  <si>
    <t>终测展开角</t>
  </si>
  <si>
    <t>中凸点范围</t>
  </si>
  <si>
    <r>
      <rPr>
        <sz val="12"/>
        <rFont val="宋体"/>
        <family val="3"/>
        <charset val="134"/>
      </rPr>
      <t>φ</t>
    </r>
    <r>
      <rPr>
        <sz val="10"/>
        <rFont val="宋体"/>
        <family val="3"/>
        <charset val="134"/>
      </rPr>
      <t>凸</t>
    </r>
    <r>
      <rPr>
        <sz val="9"/>
        <rFont val="Times New Roman"/>
        <family val="1"/>
      </rPr>
      <t>A</t>
    </r>
  </si>
  <si>
    <r>
      <rPr>
        <sz val="12"/>
        <rFont val="宋体"/>
        <family val="3"/>
        <charset val="134"/>
      </rPr>
      <t>φ</t>
    </r>
    <r>
      <rPr>
        <sz val="10"/>
        <rFont val="宋体"/>
        <family val="3"/>
        <charset val="134"/>
      </rPr>
      <t>凸</t>
    </r>
    <r>
      <rPr>
        <sz val="9"/>
        <rFont val="Times New Roman"/>
        <family val="1"/>
      </rPr>
      <t>B</t>
    </r>
  </si>
  <si>
    <r>
      <rPr>
        <sz val="12"/>
        <rFont val="宋体"/>
        <family val="3"/>
        <charset val="134"/>
      </rPr>
      <t>L</t>
    </r>
    <r>
      <rPr>
        <sz val="10"/>
        <rFont val="宋体"/>
        <family val="3"/>
        <charset val="134"/>
      </rPr>
      <t>m2</t>
    </r>
    <r>
      <rPr>
        <sz val="12"/>
        <rFont val="宋体"/>
        <family val="3"/>
        <charset val="134"/>
        <scheme val="minor"/>
      </rPr>
      <t>/2</t>
    </r>
  </si>
  <si>
    <r>
      <rPr>
        <sz val="12"/>
        <rFont val="宋体"/>
        <family val="3"/>
        <charset val="134"/>
      </rPr>
      <t>F</t>
    </r>
    <r>
      <rPr>
        <sz val="8"/>
        <rFont val="宋体"/>
        <family val="3"/>
        <charset val="134"/>
      </rPr>
      <t>P2</t>
    </r>
  </si>
  <si>
    <r>
      <rPr>
        <sz val="12"/>
        <rFont val="宋体"/>
        <family val="3"/>
        <charset val="134"/>
      </rPr>
      <t>Fr</t>
    </r>
    <r>
      <rPr>
        <sz val="9"/>
        <rFont val="宋体"/>
        <family val="3"/>
        <charset val="134"/>
      </rPr>
      <t>2</t>
    </r>
  </si>
  <si>
    <r>
      <rPr>
        <sz val="12"/>
        <rFont val="Times New Roman"/>
        <family val="1"/>
      </rPr>
      <t>±</t>
    </r>
    <r>
      <rPr>
        <sz val="12"/>
        <rFont val="宋体"/>
        <family val="3"/>
        <charset val="134"/>
        <scheme val="minor"/>
      </rPr>
      <t>f</t>
    </r>
    <r>
      <rPr>
        <sz val="8"/>
        <rFont val="宋体"/>
        <family val="3"/>
        <charset val="134"/>
      </rPr>
      <t>pt2</t>
    </r>
  </si>
  <si>
    <r>
      <rPr>
        <sz val="12"/>
        <rFont val="Times New Roman"/>
        <family val="1"/>
      </rPr>
      <t>±</t>
    </r>
    <r>
      <rPr>
        <sz val="12"/>
        <rFont val="宋体"/>
        <family val="3"/>
        <charset val="134"/>
        <scheme val="minor"/>
      </rPr>
      <t>f</t>
    </r>
    <r>
      <rPr>
        <sz val="8"/>
        <rFont val="宋体"/>
        <family val="3"/>
        <charset val="134"/>
      </rPr>
      <t>pb2</t>
    </r>
  </si>
  <si>
    <r>
      <rPr>
        <sz val="12"/>
        <rFont val="宋体"/>
        <family val="3"/>
        <charset val="134"/>
      </rPr>
      <t xml:space="preserve">f </t>
    </r>
    <r>
      <rPr>
        <sz val="8"/>
        <rFont val="宋体"/>
        <family val="3"/>
        <charset val="134"/>
      </rPr>
      <t>f 2</t>
    </r>
  </si>
  <si>
    <r>
      <rPr>
        <sz val="12"/>
        <rFont val="宋体"/>
        <family val="3"/>
        <charset val="134"/>
      </rPr>
      <t>F'i</t>
    </r>
    <r>
      <rPr>
        <sz val="8"/>
        <rFont val="宋体"/>
        <family val="3"/>
        <charset val="134"/>
      </rPr>
      <t>2</t>
    </r>
  </si>
  <si>
    <r>
      <rPr>
        <sz val="12"/>
        <rFont val="宋体"/>
        <family val="3"/>
        <charset val="134"/>
      </rPr>
      <t>f'i</t>
    </r>
    <r>
      <rPr>
        <sz val="8"/>
        <rFont val="宋体"/>
        <family val="3"/>
        <charset val="134"/>
      </rPr>
      <t>2</t>
    </r>
  </si>
  <si>
    <t>公法线平均长度上下偏差及公差：</t>
  </si>
  <si>
    <t>GB 10095—88</t>
  </si>
  <si>
    <r>
      <rPr>
        <sz val="10"/>
        <color indexed="10"/>
        <rFont val="Times New Roman"/>
        <family val="1"/>
      </rPr>
      <t>ISO/TR 10064—2</t>
    </r>
    <r>
      <rPr>
        <sz val="10"/>
        <color indexed="10"/>
        <rFont val="宋体"/>
        <family val="3"/>
        <charset val="134"/>
      </rPr>
      <t>：</t>
    </r>
    <r>
      <rPr>
        <sz val="10"/>
        <color indexed="10"/>
        <rFont val="Times New Roman"/>
        <family val="1"/>
      </rPr>
      <t>1996</t>
    </r>
  </si>
  <si>
    <t>圆棒（球）跨距上下偏差及公差：</t>
  </si>
  <si>
    <t>承载能力验算：</t>
  </si>
  <si>
    <t>寿命系数</t>
  </si>
  <si>
    <r>
      <rPr>
        <sz val="12"/>
        <rFont val="Times New Roman"/>
        <family val="1"/>
      </rPr>
      <t>Z</t>
    </r>
    <r>
      <rPr>
        <sz val="9"/>
        <rFont val="Times New Roman"/>
        <family val="1"/>
      </rPr>
      <t>N</t>
    </r>
  </si>
  <si>
    <t>润滑油系数</t>
  </si>
  <si>
    <r>
      <rPr>
        <sz val="12"/>
        <rFont val="Times New Roman"/>
        <family val="1"/>
      </rPr>
      <t>Z</t>
    </r>
    <r>
      <rPr>
        <sz val="9"/>
        <rFont val="Times New Roman"/>
        <family val="1"/>
      </rPr>
      <t>L</t>
    </r>
  </si>
  <si>
    <r>
      <rPr>
        <sz val="12"/>
        <rFont val="宋体"/>
        <family val="3"/>
        <charset val="134"/>
      </rPr>
      <t>C</t>
    </r>
    <r>
      <rPr>
        <sz val="10"/>
        <rFont val="宋体"/>
        <family val="3"/>
        <charset val="134"/>
      </rPr>
      <t>ZL</t>
    </r>
  </si>
  <si>
    <t>（N32 普通机械油）</t>
  </si>
  <si>
    <t>速度系数</t>
  </si>
  <si>
    <r>
      <rPr>
        <sz val="12"/>
        <rFont val="Times New Roman"/>
        <family val="1"/>
      </rPr>
      <t>Z</t>
    </r>
    <r>
      <rPr>
        <sz val="9"/>
        <rFont val="Times New Roman"/>
        <family val="1"/>
      </rPr>
      <t>V</t>
    </r>
  </si>
  <si>
    <r>
      <rPr>
        <sz val="12"/>
        <rFont val="宋体"/>
        <family val="3"/>
        <charset val="134"/>
      </rPr>
      <t>C</t>
    </r>
    <r>
      <rPr>
        <sz val="10"/>
        <rFont val="宋体"/>
        <family val="3"/>
        <charset val="134"/>
      </rPr>
      <t>ZV</t>
    </r>
  </si>
  <si>
    <t>粗糙度系数</t>
  </si>
  <si>
    <r>
      <rPr>
        <sz val="12"/>
        <rFont val="Times New Roman"/>
        <family val="1"/>
      </rPr>
      <t>Z</t>
    </r>
    <r>
      <rPr>
        <sz val="9"/>
        <rFont val="Times New Roman"/>
        <family val="1"/>
      </rPr>
      <t>R</t>
    </r>
  </si>
  <si>
    <r>
      <rPr>
        <sz val="12"/>
        <rFont val="宋体"/>
        <family val="3"/>
        <charset val="134"/>
      </rPr>
      <t>C</t>
    </r>
    <r>
      <rPr>
        <sz val="10"/>
        <rFont val="宋体"/>
        <family val="3"/>
        <charset val="134"/>
      </rPr>
      <t>ZR</t>
    </r>
  </si>
  <si>
    <r>
      <rPr>
        <sz val="12"/>
        <rFont val="宋体"/>
        <family val="3"/>
        <charset val="134"/>
      </rPr>
      <t>R</t>
    </r>
    <r>
      <rPr>
        <sz val="10"/>
        <rFont val="宋体"/>
        <family val="3"/>
        <charset val="134"/>
      </rPr>
      <t>Z100</t>
    </r>
  </si>
  <si>
    <t>工作硬化系数</t>
  </si>
  <si>
    <r>
      <rPr>
        <sz val="12"/>
        <rFont val="Times New Roman"/>
        <family val="1"/>
      </rPr>
      <t>Z</t>
    </r>
    <r>
      <rPr>
        <sz val="9"/>
        <rFont val="Times New Roman"/>
        <family val="1"/>
      </rPr>
      <t>W</t>
    </r>
  </si>
  <si>
    <t>尺寸系数</t>
  </si>
  <si>
    <r>
      <rPr>
        <sz val="12"/>
        <rFont val="Times New Roman"/>
        <family val="1"/>
      </rPr>
      <t>Z</t>
    </r>
    <r>
      <rPr>
        <sz val="9"/>
        <rFont val="Times New Roman"/>
        <family val="1"/>
      </rPr>
      <t>X</t>
    </r>
  </si>
  <si>
    <r>
      <rPr>
        <sz val="12"/>
        <rFont val="Times New Roman"/>
        <family val="1"/>
      </rPr>
      <t>K</t>
    </r>
    <r>
      <rPr>
        <sz val="10"/>
        <rFont val="Times New Roman"/>
        <family val="1"/>
      </rPr>
      <t>A</t>
    </r>
  </si>
  <si>
    <t>动载系数</t>
  </si>
  <si>
    <r>
      <rPr>
        <sz val="12"/>
        <rFont val="Times New Roman"/>
        <family val="1"/>
      </rPr>
      <t>K</t>
    </r>
    <r>
      <rPr>
        <sz val="10"/>
        <rFont val="Times New Roman"/>
        <family val="1"/>
      </rPr>
      <t>V</t>
    </r>
  </si>
  <si>
    <r>
      <rPr>
        <sz val="12"/>
        <rFont val="宋体"/>
        <family val="3"/>
        <charset val="134"/>
      </rPr>
      <t>K</t>
    </r>
    <r>
      <rPr>
        <sz val="10"/>
        <rFont val="宋体"/>
        <family val="3"/>
        <charset val="134"/>
      </rPr>
      <t>Vβ</t>
    </r>
  </si>
  <si>
    <r>
      <rPr>
        <sz val="12"/>
        <rFont val="宋体"/>
        <family val="3"/>
        <charset val="134"/>
      </rPr>
      <t>K</t>
    </r>
    <r>
      <rPr>
        <sz val="10"/>
        <rFont val="宋体"/>
        <family val="3"/>
        <charset val="134"/>
      </rPr>
      <t>Vα</t>
    </r>
  </si>
  <si>
    <t>齿向载荷分布系数</t>
  </si>
  <si>
    <r>
      <rPr>
        <sz val="12"/>
        <rFont val="Times New Roman"/>
        <family val="1"/>
      </rPr>
      <t>K</t>
    </r>
    <r>
      <rPr>
        <sz val="10"/>
        <rFont val="Times New Roman"/>
        <family val="1"/>
      </rPr>
      <t>H</t>
    </r>
    <r>
      <rPr>
        <sz val="10"/>
        <rFont val="宋体"/>
        <family val="3"/>
        <charset val="134"/>
      </rPr>
      <t>β</t>
    </r>
  </si>
  <si>
    <t>齿间载荷分配系数</t>
  </si>
  <si>
    <r>
      <rPr>
        <sz val="12"/>
        <rFont val="Times New Roman"/>
        <family val="1"/>
      </rPr>
      <t>K</t>
    </r>
    <r>
      <rPr>
        <sz val="10"/>
        <rFont val="Times New Roman"/>
        <family val="1"/>
      </rPr>
      <t>H</t>
    </r>
    <r>
      <rPr>
        <sz val="10"/>
        <rFont val="宋体"/>
        <family val="3"/>
        <charset val="134"/>
      </rPr>
      <t>α</t>
    </r>
  </si>
  <si>
    <r>
      <rPr>
        <sz val="12"/>
        <rFont val="宋体"/>
        <family val="3"/>
        <charset val="134"/>
      </rPr>
      <t>C</t>
    </r>
    <r>
      <rPr>
        <sz val="10"/>
        <rFont val="宋体"/>
        <family val="3"/>
        <charset val="134"/>
      </rPr>
      <t>γ</t>
    </r>
  </si>
  <si>
    <r>
      <rPr>
        <sz val="12"/>
        <rFont val="宋体"/>
        <family val="3"/>
        <charset val="134"/>
      </rPr>
      <t>Ft</t>
    </r>
    <r>
      <rPr>
        <sz val="8"/>
        <rFont val="宋体"/>
        <family val="3"/>
        <charset val="134"/>
      </rPr>
      <t>H</t>
    </r>
  </si>
  <si>
    <t>ya</t>
  </si>
  <si>
    <t>名义切向力</t>
  </si>
  <si>
    <t>F t</t>
  </si>
  <si>
    <t>试验齿轮接触疲劳极限</t>
  </si>
  <si>
    <r>
      <rPr>
        <sz val="12"/>
        <rFont val="宋体"/>
        <family val="3"/>
        <charset val="134"/>
      </rPr>
      <t>σ</t>
    </r>
    <r>
      <rPr>
        <sz val="9"/>
        <rFont val="Times New Roman"/>
        <family val="1"/>
      </rPr>
      <t>HLim</t>
    </r>
  </si>
  <si>
    <t>N/mm2</t>
  </si>
  <si>
    <t>注：按合理的制造成本和中等质量考虑。</t>
  </si>
  <si>
    <t>接触强度最小安全系数</t>
  </si>
  <si>
    <r>
      <rPr>
        <sz val="12"/>
        <rFont val="Times New Roman"/>
        <family val="1"/>
      </rPr>
      <t>S</t>
    </r>
    <r>
      <rPr>
        <sz val="9"/>
        <rFont val="Times New Roman"/>
        <family val="1"/>
      </rPr>
      <t>Hmin</t>
    </r>
  </si>
  <si>
    <t>注：按失效概率低于 1/1000 考虑。</t>
  </si>
  <si>
    <r>
      <rPr>
        <sz val="12"/>
        <rFont val="宋体"/>
        <family val="3"/>
        <charset val="134"/>
      </rPr>
      <t>许</t>
    </r>
    <r>
      <rPr>
        <sz val="12"/>
        <rFont val="宋体"/>
        <family val="3"/>
        <charset val="134"/>
        <scheme val="minor"/>
      </rPr>
      <t>用</t>
    </r>
    <r>
      <rPr>
        <sz val="12"/>
        <rFont val="宋体"/>
        <family val="3"/>
        <charset val="134"/>
        <scheme val="minor"/>
      </rPr>
      <t>接</t>
    </r>
    <r>
      <rPr>
        <sz val="12"/>
        <rFont val="宋体"/>
        <family val="3"/>
        <charset val="134"/>
        <scheme val="minor"/>
      </rPr>
      <t>触</t>
    </r>
    <r>
      <rPr>
        <sz val="12"/>
        <rFont val="宋体"/>
        <family val="3"/>
        <charset val="134"/>
        <scheme val="minor"/>
      </rPr>
      <t>应</t>
    </r>
    <r>
      <rPr>
        <sz val="12"/>
        <rFont val="宋体"/>
        <family val="3"/>
        <charset val="134"/>
        <scheme val="minor"/>
      </rPr>
      <t>力</t>
    </r>
  </si>
  <si>
    <r>
      <rPr>
        <sz val="12"/>
        <rFont val="宋体"/>
        <family val="3"/>
        <charset val="134"/>
      </rPr>
      <t>σ</t>
    </r>
    <r>
      <rPr>
        <sz val="9"/>
        <rFont val="Times New Roman"/>
        <family val="1"/>
      </rPr>
      <t>HP</t>
    </r>
  </si>
  <si>
    <r>
      <rPr>
        <sz val="12"/>
        <rFont val="Times New Roman"/>
        <family val="1"/>
      </rPr>
      <t>Z</t>
    </r>
    <r>
      <rPr>
        <sz val="10"/>
        <rFont val="Times New Roman"/>
        <family val="1"/>
      </rPr>
      <t>H</t>
    </r>
  </si>
  <si>
    <r>
      <rPr>
        <sz val="12"/>
        <rFont val="宋体"/>
        <family val="3"/>
        <charset val="134"/>
      </rPr>
      <t>Z</t>
    </r>
    <r>
      <rPr>
        <sz val="10"/>
        <rFont val="宋体"/>
        <family val="3"/>
        <charset val="134"/>
      </rPr>
      <t>E</t>
    </r>
  </si>
  <si>
    <r>
      <rPr>
        <sz val="12"/>
        <rFont val="宋体"/>
        <family val="3"/>
        <charset val="134"/>
      </rPr>
      <t>Z</t>
    </r>
    <r>
      <rPr>
        <sz val="10"/>
        <rFont val="宋体"/>
        <family val="3"/>
        <charset val="134"/>
      </rPr>
      <t>ε</t>
    </r>
  </si>
  <si>
    <r>
      <rPr>
        <sz val="12"/>
        <rFont val="宋体"/>
        <family val="3"/>
        <charset val="134"/>
      </rPr>
      <t>Z</t>
    </r>
    <r>
      <rPr>
        <sz val="9"/>
        <rFont val="宋体"/>
        <family val="3"/>
        <charset val="134"/>
      </rPr>
      <t>β</t>
    </r>
  </si>
  <si>
    <r>
      <rPr>
        <sz val="12"/>
        <rFont val="宋体"/>
        <family val="3"/>
        <charset val="134"/>
      </rPr>
      <t>计</t>
    </r>
    <r>
      <rPr>
        <sz val="12"/>
        <rFont val="宋体"/>
        <family val="3"/>
        <charset val="134"/>
        <scheme val="minor"/>
      </rPr>
      <t>算</t>
    </r>
    <r>
      <rPr>
        <sz val="12"/>
        <rFont val="宋体"/>
        <family val="3"/>
        <charset val="134"/>
        <scheme val="minor"/>
      </rPr>
      <t>接</t>
    </r>
    <r>
      <rPr>
        <sz val="12"/>
        <rFont val="宋体"/>
        <family val="3"/>
        <charset val="134"/>
        <scheme val="minor"/>
      </rPr>
      <t>触</t>
    </r>
    <r>
      <rPr>
        <sz val="12"/>
        <rFont val="宋体"/>
        <family val="3"/>
        <charset val="134"/>
        <scheme val="minor"/>
      </rPr>
      <t>应</t>
    </r>
    <r>
      <rPr>
        <sz val="12"/>
        <rFont val="宋体"/>
        <family val="3"/>
        <charset val="134"/>
        <scheme val="minor"/>
      </rPr>
      <t>力</t>
    </r>
  </si>
  <si>
    <r>
      <rPr>
        <sz val="12"/>
        <rFont val="宋体"/>
        <family val="3"/>
        <charset val="134"/>
      </rPr>
      <t>σ</t>
    </r>
    <r>
      <rPr>
        <sz val="9"/>
        <rFont val="Times New Roman"/>
        <family val="1"/>
      </rPr>
      <t>H</t>
    </r>
  </si>
  <si>
    <t>计算接触应力基本值</t>
  </si>
  <si>
    <r>
      <rPr>
        <sz val="12"/>
        <rFont val="宋体"/>
        <family val="3"/>
        <charset val="134"/>
      </rPr>
      <t>σ</t>
    </r>
    <r>
      <rPr>
        <sz val="9"/>
        <rFont val="Times New Roman"/>
        <family val="1"/>
      </rPr>
      <t>H0</t>
    </r>
  </si>
  <si>
    <t>接触强度计算安全系数</t>
  </si>
  <si>
    <r>
      <rPr>
        <sz val="12"/>
        <rFont val="Times New Roman"/>
        <family val="1"/>
      </rPr>
      <t>S</t>
    </r>
    <r>
      <rPr>
        <sz val="8"/>
        <rFont val="Times New Roman"/>
        <family val="1"/>
      </rPr>
      <t>H</t>
    </r>
  </si>
  <si>
    <r>
      <rPr>
        <sz val="12"/>
        <rFont val="宋体"/>
        <family val="3"/>
        <charset val="134"/>
      </rPr>
      <t>1</t>
    </r>
    <r>
      <rPr>
        <sz val="12"/>
        <rFont val="宋体"/>
        <family val="3"/>
        <charset val="134"/>
        <scheme val="minor"/>
      </rPr>
      <t xml:space="preserve"> </t>
    </r>
    <r>
      <rPr>
        <sz val="12"/>
        <rFont val="宋体"/>
        <family val="3"/>
        <charset val="134"/>
        <scheme val="minor"/>
      </rPr>
      <t>轮齿形系数</t>
    </r>
  </si>
  <si>
    <r>
      <rPr>
        <sz val="12"/>
        <rFont val="Times New Roman"/>
        <family val="1"/>
      </rPr>
      <t>Y</t>
    </r>
    <r>
      <rPr>
        <sz val="9"/>
        <rFont val="Times New Roman"/>
        <family val="1"/>
      </rPr>
      <t>F</t>
    </r>
    <r>
      <rPr>
        <sz val="10"/>
        <rFont val="Times New Roman"/>
        <family val="1"/>
      </rPr>
      <t>1</t>
    </r>
  </si>
  <si>
    <r>
      <rPr>
        <sz val="12"/>
        <color indexed="44"/>
        <rFont val="Times New Roman"/>
        <family val="1"/>
      </rPr>
      <t>h</t>
    </r>
    <r>
      <rPr>
        <sz val="10"/>
        <color indexed="44"/>
        <rFont val="Times New Roman"/>
        <family val="1"/>
      </rPr>
      <t>k1</t>
    </r>
  </si>
  <si>
    <t>E1</t>
  </si>
  <si>
    <t>G1</t>
  </si>
  <si>
    <t>Rz1</t>
  </si>
  <si>
    <r>
      <rPr>
        <sz val="12"/>
        <color indexed="44"/>
        <rFont val="Times New Roman"/>
        <family val="1"/>
      </rPr>
      <t>Z</t>
    </r>
    <r>
      <rPr>
        <sz val="10"/>
        <color indexed="44"/>
        <rFont val="Times New Roman"/>
        <family val="1"/>
      </rPr>
      <t>V1</t>
    </r>
  </si>
  <si>
    <t>H1</t>
  </si>
  <si>
    <t>θ1</t>
  </si>
  <si>
    <r>
      <rPr>
        <sz val="11"/>
        <color indexed="44"/>
        <rFont val="宋体"/>
        <family val="3"/>
        <charset val="134"/>
      </rPr>
      <t>S</t>
    </r>
    <r>
      <rPr>
        <sz val="8"/>
        <color indexed="44"/>
        <rFont val="宋体"/>
        <family val="3"/>
        <charset val="134"/>
      </rPr>
      <t>Fn/mn1</t>
    </r>
  </si>
  <si>
    <r>
      <rPr>
        <sz val="12"/>
        <color indexed="44"/>
        <rFont val="宋体"/>
        <family val="3"/>
        <charset val="134"/>
      </rPr>
      <t>ρ</t>
    </r>
    <r>
      <rPr>
        <sz val="10"/>
        <color indexed="44"/>
        <rFont val="Times New Roman"/>
        <family val="1"/>
      </rPr>
      <t>f/</t>
    </r>
    <r>
      <rPr>
        <sz val="12"/>
        <color indexed="44"/>
        <rFont val="Times New Roman"/>
        <family val="1"/>
      </rPr>
      <t>m</t>
    </r>
    <r>
      <rPr>
        <sz val="10"/>
        <color indexed="44"/>
        <rFont val="Times New Roman"/>
        <family val="1"/>
      </rPr>
      <t>n1</t>
    </r>
  </si>
  <si>
    <t>de</t>
  </si>
  <si>
    <r>
      <rPr>
        <sz val="12"/>
        <color indexed="44"/>
        <rFont val="宋体"/>
        <family val="3"/>
        <charset val="134"/>
      </rPr>
      <t>αe</t>
    </r>
    <r>
      <rPr>
        <sz val="10"/>
        <color indexed="44"/>
        <rFont val="宋体"/>
        <family val="3"/>
        <charset val="134"/>
      </rPr>
      <t>t1</t>
    </r>
  </si>
  <si>
    <r>
      <rPr>
        <sz val="12"/>
        <color indexed="44"/>
        <rFont val="宋体"/>
        <family val="3"/>
        <charset val="134"/>
      </rPr>
      <t>γe</t>
    </r>
    <r>
      <rPr>
        <sz val="10"/>
        <color indexed="44"/>
        <rFont val="宋体"/>
        <family val="3"/>
        <charset val="134"/>
      </rPr>
      <t>t1</t>
    </r>
  </si>
  <si>
    <r>
      <rPr>
        <sz val="12"/>
        <color indexed="44"/>
        <rFont val="宋体"/>
        <family val="3"/>
        <charset val="134"/>
      </rPr>
      <t>α</t>
    </r>
    <r>
      <rPr>
        <sz val="9"/>
        <color indexed="44"/>
        <rFont val="Times New Roman"/>
        <family val="1"/>
      </rPr>
      <t>Fe</t>
    </r>
    <r>
      <rPr>
        <sz val="10"/>
        <color indexed="44"/>
        <rFont val="Times New Roman"/>
        <family val="1"/>
      </rPr>
      <t>t1</t>
    </r>
  </si>
  <si>
    <r>
      <rPr>
        <sz val="12"/>
        <color indexed="44"/>
        <rFont val="宋体"/>
        <family val="3"/>
        <charset val="134"/>
      </rPr>
      <t>h</t>
    </r>
    <r>
      <rPr>
        <sz val="8"/>
        <color indexed="44"/>
        <rFont val="宋体"/>
        <family val="3"/>
        <charset val="134"/>
      </rPr>
      <t>Fe/mn1</t>
    </r>
  </si>
  <si>
    <r>
      <rPr>
        <sz val="12"/>
        <color indexed="44"/>
        <rFont val="宋体"/>
        <family val="3"/>
        <charset val="134"/>
      </rPr>
      <t>β</t>
    </r>
    <r>
      <rPr>
        <sz val="9"/>
        <color indexed="44"/>
        <rFont val="宋体"/>
        <family val="3"/>
        <charset val="134"/>
      </rPr>
      <t>Fe1</t>
    </r>
  </si>
  <si>
    <r>
      <rPr>
        <sz val="12"/>
        <color indexed="44"/>
        <rFont val="宋体"/>
        <family val="3"/>
        <charset val="134"/>
      </rPr>
      <t>α</t>
    </r>
    <r>
      <rPr>
        <sz val="9"/>
        <color indexed="44"/>
        <rFont val="宋体"/>
        <family val="3"/>
        <charset val="134"/>
      </rPr>
      <t>Fen1</t>
    </r>
  </si>
  <si>
    <r>
      <rPr>
        <sz val="12"/>
        <rFont val="Times New Roman"/>
        <family val="1"/>
      </rPr>
      <t>Y</t>
    </r>
    <r>
      <rPr>
        <sz val="10"/>
        <rFont val="Times New Roman"/>
        <family val="1"/>
      </rPr>
      <t>s1</t>
    </r>
  </si>
  <si>
    <r>
      <rPr>
        <sz val="12"/>
        <rFont val="宋体"/>
        <family val="3"/>
        <charset val="134"/>
      </rPr>
      <t>Y</t>
    </r>
    <r>
      <rPr>
        <sz val="12"/>
        <rFont val="宋体"/>
        <family val="3"/>
        <charset val="134"/>
        <scheme val="minor"/>
      </rPr>
      <t>ε1</t>
    </r>
  </si>
  <si>
    <r>
      <rPr>
        <sz val="12"/>
        <rFont val="宋体"/>
        <family val="3"/>
        <charset val="134"/>
      </rPr>
      <t>Y</t>
    </r>
    <r>
      <rPr>
        <sz val="10"/>
        <rFont val="宋体"/>
        <family val="3"/>
        <charset val="134"/>
      </rPr>
      <t>β1</t>
    </r>
  </si>
  <si>
    <r>
      <rPr>
        <sz val="12"/>
        <color indexed="44"/>
        <rFont val="宋体"/>
        <family val="3"/>
        <charset val="134"/>
      </rPr>
      <t>Y</t>
    </r>
    <r>
      <rPr>
        <sz val="8"/>
        <color indexed="44"/>
        <rFont val="宋体"/>
        <family val="3"/>
        <charset val="134"/>
      </rPr>
      <t>βmin1</t>
    </r>
  </si>
  <si>
    <r>
      <rPr>
        <sz val="12"/>
        <rFont val="Times New Roman"/>
        <family val="1"/>
      </rPr>
      <t>Y</t>
    </r>
    <r>
      <rPr>
        <sz val="10"/>
        <rFont val="Times New Roman"/>
        <family val="1"/>
      </rPr>
      <t>NT1</t>
    </r>
  </si>
  <si>
    <r>
      <rPr>
        <sz val="12"/>
        <rFont val="宋体"/>
        <family val="3"/>
        <charset val="134"/>
      </rPr>
      <t>Y</t>
    </r>
    <r>
      <rPr>
        <sz val="8"/>
        <rFont val="宋体"/>
        <family val="3"/>
        <charset val="134"/>
      </rPr>
      <t>R</t>
    </r>
    <r>
      <rPr>
        <sz val="9"/>
        <rFont val="宋体"/>
        <family val="3"/>
        <charset val="134"/>
      </rPr>
      <t>relT1</t>
    </r>
  </si>
  <si>
    <r>
      <rPr>
        <sz val="10"/>
        <rFont val="宋体"/>
        <family val="3"/>
        <charset val="134"/>
      </rPr>
      <t>Y</t>
    </r>
    <r>
      <rPr>
        <sz val="8"/>
        <rFont val="宋体"/>
        <family val="3"/>
        <charset val="134"/>
      </rPr>
      <t>δrelT1</t>
    </r>
  </si>
  <si>
    <t>L1</t>
  </si>
  <si>
    <r>
      <rPr>
        <sz val="12"/>
        <rFont val="Times New Roman"/>
        <family val="1"/>
      </rPr>
      <t>Y</t>
    </r>
    <r>
      <rPr>
        <sz val="9"/>
        <rFont val="Times New Roman"/>
        <family val="1"/>
      </rPr>
      <t>X1</t>
    </r>
  </si>
  <si>
    <r>
      <rPr>
        <sz val="12"/>
        <rFont val="宋体"/>
        <family val="3"/>
        <charset val="134"/>
      </rPr>
      <t>Y</t>
    </r>
    <r>
      <rPr>
        <sz val="10"/>
        <rFont val="宋体"/>
        <family val="3"/>
        <charset val="134"/>
      </rPr>
      <t>ST1</t>
    </r>
  </si>
  <si>
    <t>ρ'1</t>
  </si>
  <si>
    <t>X*1</t>
  </si>
  <si>
    <r>
      <rPr>
        <sz val="12"/>
        <rFont val="宋体"/>
        <family val="3"/>
        <charset val="134"/>
      </rPr>
      <t xml:space="preserve">2 </t>
    </r>
    <r>
      <rPr>
        <sz val="12"/>
        <rFont val="宋体"/>
        <family val="3"/>
        <charset val="134"/>
        <scheme val="minor"/>
      </rPr>
      <t>轮齿形系数</t>
    </r>
  </si>
  <si>
    <r>
      <rPr>
        <sz val="12"/>
        <rFont val="Times New Roman"/>
        <family val="1"/>
      </rPr>
      <t>Y</t>
    </r>
    <r>
      <rPr>
        <sz val="9"/>
        <rFont val="Times New Roman"/>
        <family val="1"/>
      </rPr>
      <t>F</t>
    </r>
    <r>
      <rPr>
        <sz val="10"/>
        <rFont val="Times New Roman"/>
        <family val="1"/>
      </rPr>
      <t>2</t>
    </r>
  </si>
  <si>
    <t>qs1</t>
  </si>
  <si>
    <r>
      <rPr>
        <sz val="12"/>
        <color indexed="44"/>
        <rFont val="Times New Roman"/>
        <family val="1"/>
      </rPr>
      <t>h</t>
    </r>
    <r>
      <rPr>
        <sz val="10"/>
        <color indexed="44"/>
        <rFont val="Times New Roman"/>
        <family val="1"/>
      </rPr>
      <t>k2</t>
    </r>
  </si>
  <si>
    <t>E2</t>
  </si>
  <si>
    <t>G2</t>
  </si>
  <si>
    <t>Rz2</t>
  </si>
  <si>
    <r>
      <rPr>
        <sz val="12"/>
        <color indexed="44"/>
        <rFont val="Times New Roman"/>
        <family val="1"/>
      </rPr>
      <t>Z</t>
    </r>
    <r>
      <rPr>
        <sz val="10"/>
        <color indexed="44"/>
        <rFont val="Times New Roman"/>
        <family val="1"/>
      </rPr>
      <t>V2</t>
    </r>
  </si>
  <si>
    <t>H2</t>
  </si>
  <si>
    <t>θ2</t>
  </si>
  <si>
    <r>
      <rPr>
        <sz val="11"/>
        <color indexed="44"/>
        <rFont val="宋体"/>
        <family val="3"/>
        <charset val="134"/>
      </rPr>
      <t>S</t>
    </r>
    <r>
      <rPr>
        <sz val="8"/>
        <color indexed="44"/>
        <rFont val="宋体"/>
        <family val="3"/>
        <charset val="134"/>
      </rPr>
      <t>Fn/mn2</t>
    </r>
  </si>
  <si>
    <r>
      <rPr>
        <sz val="12"/>
        <color indexed="44"/>
        <rFont val="宋体"/>
        <family val="3"/>
        <charset val="134"/>
      </rPr>
      <t>ρ</t>
    </r>
    <r>
      <rPr>
        <sz val="10"/>
        <color indexed="44"/>
        <rFont val="Times New Roman"/>
        <family val="1"/>
      </rPr>
      <t>f/</t>
    </r>
    <r>
      <rPr>
        <sz val="12"/>
        <color indexed="44"/>
        <rFont val="Times New Roman"/>
        <family val="1"/>
      </rPr>
      <t>m</t>
    </r>
    <r>
      <rPr>
        <sz val="10"/>
        <color indexed="44"/>
        <rFont val="Times New Roman"/>
        <family val="1"/>
      </rPr>
      <t>n2</t>
    </r>
  </si>
  <si>
    <r>
      <rPr>
        <sz val="12"/>
        <color indexed="44"/>
        <rFont val="宋体"/>
        <family val="3"/>
        <charset val="134"/>
      </rPr>
      <t>αe</t>
    </r>
    <r>
      <rPr>
        <sz val="10"/>
        <color indexed="44"/>
        <rFont val="宋体"/>
        <family val="3"/>
        <charset val="134"/>
      </rPr>
      <t>t2</t>
    </r>
  </si>
  <si>
    <r>
      <rPr>
        <sz val="12"/>
        <color indexed="44"/>
        <rFont val="宋体"/>
        <family val="3"/>
        <charset val="134"/>
      </rPr>
      <t>γe</t>
    </r>
    <r>
      <rPr>
        <sz val="10"/>
        <color indexed="44"/>
        <rFont val="宋体"/>
        <family val="3"/>
        <charset val="134"/>
      </rPr>
      <t>t2</t>
    </r>
  </si>
  <si>
    <r>
      <rPr>
        <sz val="12"/>
        <color indexed="44"/>
        <rFont val="宋体"/>
        <family val="3"/>
        <charset val="134"/>
      </rPr>
      <t>α</t>
    </r>
    <r>
      <rPr>
        <sz val="9"/>
        <color indexed="44"/>
        <rFont val="Times New Roman"/>
        <family val="1"/>
      </rPr>
      <t>Fe</t>
    </r>
    <r>
      <rPr>
        <sz val="10"/>
        <color indexed="44"/>
        <rFont val="Times New Roman"/>
        <family val="1"/>
      </rPr>
      <t>t2</t>
    </r>
  </si>
  <si>
    <r>
      <rPr>
        <sz val="12"/>
        <color indexed="44"/>
        <rFont val="宋体"/>
        <family val="3"/>
        <charset val="134"/>
      </rPr>
      <t>h</t>
    </r>
    <r>
      <rPr>
        <sz val="8"/>
        <color indexed="44"/>
        <rFont val="宋体"/>
        <family val="3"/>
        <charset val="134"/>
      </rPr>
      <t>Fe/mn2</t>
    </r>
  </si>
  <si>
    <r>
      <rPr>
        <sz val="12"/>
        <color indexed="44"/>
        <rFont val="宋体"/>
        <family val="3"/>
        <charset val="134"/>
      </rPr>
      <t>β</t>
    </r>
    <r>
      <rPr>
        <sz val="9"/>
        <color indexed="44"/>
        <rFont val="宋体"/>
        <family val="3"/>
        <charset val="134"/>
      </rPr>
      <t>Fe2</t>
    </r>
  </si>
  <si>
    <r>
      <rPr>
        <sz val="12"/>
        <color indexed="44"/>
        <rFont val="宋体"/>
        <family val="3"/>
        <charset val="134"/>
      </rPr>
      <t>α</t>
    </r>
    <r>
      <rPr>
        <sz val="9"/>
        <color indexed="44"/>
        <rFont val="宋体"/>
        <family val="3"/>
        <charset val="134"/>
      </rPr>
      <t>Fen2</t>
    </r>
  </si>
  <si>
    <r>
      <rPr>
        <sz val="12"/>
        <rFont val="Times New Roman"/>
        <family val="1"/>
      </rPr>
      <t>Y</t>
    </r>
    <r>
      <rPr>
        <sz val="10"/>
        <rFont val="Times New Roman"/>
        <family val="1"/>
      </rPr>
      <t>s2</t>
    </r>
  </si>
  <si>
    <r>
      <rPr>
        <sz val="12"/>
        <rFont val="宋体"/>
        <family val="3"/>
        <charset val="134"/>
      </rPr>
      <t>Y</t>
    </r>
    <r>
      <rPr>
        <sz val="12"/>
        <rFont val="宋体"/>
        <family val="3"/>
        <charset val="134"/>
        <scheme val="minor"/>
      </rPr>
      <t>ε2</t>
    </r>
  </si>
  <si>
    <r>
      <rPr>
        <sz val="12"/>
        <rFont val="宋体"/>
        <family val="3"/>
        <charset val="134"/>
      </rPr>
      <t>Y</t>
    </r>
    <r>
      <rPr>
        <sz val="10"/>
        <rFont val="宋体"/>
        <family val="3"/>
        <charset val="134"/>
      </rPr>
      <t>β2</t>
    </r>
  </si>
  <si>
    <r>
      <rPr>
        <sz val="11"/>
        <color indexed="44"/>
        <rFont val="宋体"/>
        <family val="3"/>
        <charset val="134"/>
      </rPr>
      <t>Y</t>
    </r>
    <r>
      <rPr>
        <sz val="9"/>
        <color indexed="44"/>
        <rFont val="宋体"/>
        <family val="3"/>
        <charset val="134"/>
      </rPr>
      <t>βmin2</t>
    </r>
  </si>
  <si>
    <r>
      <rPr>
        <sz val="12"/>
        <rFont val="Times New Roman"/>
        <family val="1"/>
      </rPr>
      <t>Y</t>
    </r>
    <r>
      <rPr>
        <sz val="10"/>
        <rFont val="Times New Roman"/>
        <family val="1"/>
      </rPr>
      <t>NT2</t>
    </r>
  </si>
  <si>
    <r>
      <rPr>
        <sz val="11"/>
        <rFont val="宋体"/>
        <family val="3"/>
        <charset val="134"/>
      </rPr>
      <t>Y</t>
    </r>
    <r>
      <rPr>
        <sz val="8"/>
        <rFont val="宋体"/>
        <family val="3"/>
        <charset val="134"/>
      </rPr>
      <t>R</t>
    </r>
    <r>
      <rPr>
        <sz val="9"/>
        <rFont val="宋体"/>
        <family val="3"/>
        <charset val="134"/>
      </rPr>
      <t>relT2</t>
    </r>
  </si>
  <si>
    <r>
      <rPr>
        <sz val="10"/>
        <rFont val="宋体"/>
        <family val="3"/>
        <charset val="134"/>
      </rPr>
      <t>Y</t>
    </r>
    <r>
      <rPr>
        <sz val="8"/>
        <rFont val="宋体"/>
        <family val="3"/>
        <charset val="134"/>
      </rPr>
      <t>δrelT2</t>
    </r>
  </si>
  <si>
    <t>L2</t>
  </si>
  <si>
    <r>
      <rPr>
        <sz val="12"/>
        <rFont val="Times New Roman"/>
        <family val="1"/>
      </rPr>
      <t>Y</t>
    </r>
    <r>
      <rPr>
        <sz val="9"/>
        <rFont val="Times New Roman"/>
        <family val="1"/>
      </rPr>
      <t>X2</t>
    </r>
  </si>
  <si>
    <r>
      <rPr>
        <sz val="12"/>
        <rFont val="宋体"/>
        <family val="3"/>
        <charset val="134"/>
      </rPr>
      <t>Y</t>
    </r>
    <r>
      <rPr>
        <sz val="10"/>
        <rFont val="宋体"/>
        <family val="3"/>
        <charset val="134"/>
      </rPr>
      <t>ST2</t>
    </r>
  </si>
  <si>
    <t>ρ'2</t>
  </si>
  <si>
    <t>X*2</t>
  </si>
  <si>
    <t>qs2</t>
  </si>
  <si>
    <r>
      <rPr>
        <sz val="12"/>
        <rFont val="Times New Roman"/>
        <family val="1"/>
      </rPr>
      <t>K</t>
    </r>
    <r>
      <rPr>
        <sz val="10"/>
        <rFont val="Times New Roman"/>
        <family val="1"/>
      </rPr>
      <t>F</t>
    </r>
    <r>
      <rPr>
        <sz val="10"/>
        <rFont val="宋体"/>
        <family val="3"/>
        <charset val="134"/>
      </rPr>
      <t>β</t>
    </r>
  </si>
  <si>
    <r>
      <rPr>
        <sz val="12"/>
        <rFont val="Times New Roman"/>
        <family val="1"/>
      </rPr>
      <t>K</t>
    </r>
    <r>
      <rPr>
        <sz val="10"/>
        <rFont val="Times New Roman"/>
        <family val="1"/>
      </rPr>
      <t>F</t>
    </r>
    <r>
      <rPr>
        <sz val="10"/>
        <rFont val="宋体"/>
        <family val="3"/>
        <charset val="134"/>
      </rPr>
      <t>α</t>
    </r>
  </si>
  <si>
    <t>试验齿轮弯曲疲劳极限</t>
  </si>
  <si>
    <r>
      <rPr>
        <sz val="12"/>
        <rFont val="宋体"/>
        <family val="3"/>
        <charset val="134"/>
      </rPr>
      <t>σ</t>
    </r>
    <r>
      <rPr>
        <sz val="9"/>
        <rFont val="Times New Roman"/>
        <family val="1"/>
      </rPr>
      <t>FLim</t>
    </r>
  </si>
  <si>
    <t>弯曲强度最小安全系数</t>
  </si>
  <si>
    <r>
      <rPr>
        <sz val="12"/>
        <rFont val="Times New Roman"/>
        <family val="1"/>
      </rPr>
      <t>S</t>
    </r>
    <r>
      <rPr>
        <sz val="9"/>
        <rFont val="Times New Roman"/>
        <family val="1"/>
      </rPr>
      <t>Fmin</t>
    </r>
  </si>
  <si>
    <r>
      <rPr>
        <sz val="12"/>
        <rFont val="宋体"/>
        <family val="3"/>
        <charset val="134"/>
      </rPr>
      <t>许</t>
    </r>
    <r>
      <rPr>
        <sz val="12"/>
        <rFont val="Times New Roman"/>
        <family val="1"/>
      </rPr>
      <t xml:space="preserve"> </t>
    </r>
    <r>
      <rPr>
        <sz val="12"/>
        <rFont val="宋体"/>
        <family val="3"/>
        <charset val="134"/>
        <scheme val="minor"/>
      </rPr>
      <t>用</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应</t>
    </r>
    <r>
      <rPr>
        <sz val="12"/>
        <rFont val="Times New Roman"/>
        <family val="1"/>
      </rPr>
      <t xml:space="preserve"> </t>
    </r>
    <r>
      <rPr>
        <sz val="12"/>
        <rFont val="宋体"/>
        <family val="3"/>
        <charset val="134"/>
        <scheme val="minor"/>
      </rPr>
      <t>力</t>
    </r>
  </si>
  <si>
    <r>
      <rPr>
        <sz val="12"/>
        <rFont val="宋体"/>
        <family val="3"/>
        <charset val="134"/>
      </rPr>
      <t>σ</t>
    </r>
    <r>
      <rPr>
        <sz val="9"/>
        <rFont val="Times New Roman"/>
        <family val="1"/>
      </rPr>
      <t>FP</t>
    </r>
  </si>
  <si>
    <r>
      <rPr>
        <sz val="12"/>
        <rFont val="宋体"/>
        <family val="3"/>
        <charset val="134"/>
      </rPr>
      <t>计</t>
    </r>
    <r>
      <rPr>
        <sz val="12"/>
        <rFont val="Times New Roman"/>
        <family val="1"/>
      </rPr>
      <t xml:space="preserve"> </t>
    </r>
    <r>
      <rPr>
        <sz val="12"/>
        <rFont val="宋体"/>
        <family val="3"/>
        <charset val="134"/>
        <scheme val="minor"/>
      </rPr>
      <t>算</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应</t>
    </r>
    <r>
      <rPr>
        <sz val="12"/>
        <rFont val="Times New Roman"/>
        <family val="1"/>
      </rPr>
      <t xml:space="preserve"> </t>
    </r>
    <r>
      <rPr>
        <sz val="12"/>
        <rFont val="宋体"/>
        <family val="3"/>
        <charset val="134"/>
        <scheme val="minor"/>
      </rPr>
      <t>力</t>
    </r>
  </si>
  <si>
    <r>
      <rPr>
        <sz val="12"/>
        <rFont val="宋体"/>
        <family val="3"/>
        <charset val="134"/>
      </rPr>
      <t>σ</t>
    </r>
    <r>
      <rPr>
        <sz val="9"/>
        <rFont val="Times New Roman"/>
        <family val="1"/>
      </rPr>
      <t>F</t>
    </r>
  </si>
  <si>
    <t>计算应力基本值</t>
  </si>
  <si>
    <r>
      <rPr>
        <sz val="12"/>
        <rFont val="宋体"/>
        <family val="3"/>
        <charset val="134"/>
      </rPr>
      <t>σ</t>
    </r>
    <r>
      <rPr>
        <sz val="9"/>
        <rFont val="Times New Roman"/>
        <family val="1"/>
      </rPr>
      <t>F0</t>
    </r>
  </si>
  <si>
    <t>弯曲强度计算安全系数</t>
  </si>
  <si>
    <r>
      <rPr>
        <sz val="12"/>
        <rFont val="Times New Roman"/>
        <family val="1"/>
      </rPr>
      <t>S</t>
    </r>
    <r>
      <rPr>
        <sz val="8"/>
        <rFont val="Times New Roman"/>
        <family val="1"/>
      </rPr>
      <t>F</t>
    </r>
  </si>
  <si>
    <r>
      <rPr>
        <sz val="10"/>
        <color indexed="10"/>
        <rFont val="宋体"/>
        <family val="3"/>
        <charset val="134"/>
      </rPr>
      <t>以下是输出数据，请打印：</t>
    </r>
    <r>
      <rPr>
        <sz val="10"/>
        <color indexed="10"/>
        <rFont val="Times New Roman"/>
        <family val="1"/>
      </rPr>
      <t>**************************************************************************</t>
    </r>
  </si>
  <si>
    <r>
      <rPr>
        <b/>
        <sz val="16"/>
        <rFont val="Times New Roman"/>
        <family val="1"/>
      </rPr>
      <t xml:space="preserve">                         </t>
    </r>
    <r>
      <rPr>
        <b/>
        <sz val="16"/>
        <rFont val="宋体"/>
        <family val="3"/>
        <charset val="134"/>
      </rPr>
      <t xml:space="preserve">外啮合圆柱齿轮传动设计计算 </t>
    </r>
  </si>
  <si>
    <r>
      <rPr>
        <sz val="12"/>
        <rFont val="宋体"/>
        <family val="3"/>
        <charset val="134"/>
      </rPr>
      <t>起</t>
    </r>
    <r>
      <rPr>
        <sz val="12"/>
        <rFont val="Times New Roman"/>
        <family val="1"/>
      </rPr>
      <t xml:space="preserve">  </t>
    </r>
    <r>
      <rPr>
        <sz val="12"/>
        <rFont val="宋体"/>
        <family val="3"/>
        <charset val="134"/>
        <scheme val="minor"/>
      </rPr>
      <t>测</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半</t>
    </r>
    <r>
      <rPr>
        <sz val="12"/>
        <rFont val="Times New Roman"/>
        <family val="1"/>
      </rPr>
      <t xml:space="preserve">  </t>
    </r>
    <r>
      <rPr>
        <sz val="12"/>
        <rFont val="宋体"/>
        <family val="3"/>
        <charset val="134"/>
        <scheme val="minor"/>
      </rPr>
      <t>径</t>
    </r>
  </si>
  <si>
    <r>
      <rPr>
        <sz val="12"/>
        <rFont val="宋体"/>
        <family val="3"/>
        <charset val="134"/>
      </rPr>
      <t>终</t>
    </r>
    <r>
      <rPr>
        <sz val="12"/>
        <rFont val="Times New Roman"/>
        <family val="1"/>
      </rPr>
      <t xml:space="preserve">  </t>
    </r>
    <r>
      <rPr>
        <sz val="12"/>
        <rFont val="宋体"/>
        <family val="3"/>
        <charset val="134"/>
        <scheme val="minor"/>
      </rPr>
      <t>测</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半</t>
    </r>
    <r>
      <rPr>
        <sz val="12"/>
        <rFont val="Times New Roman"/>
        <family val="1"/>
      </rPr>
      <t xml:space="preserve">  </t>
    </r>
    <r>
      <rPr>
        <sz val="12"/>
        <rFont val="宋体"/>
        <family val="3"/>
        <charset val="134"/>
        <scheme val="minor"/>
      </rPr>
      <t>径</t>
    </r>
  </si>
  <si>
    <r>
      <rPr>
        <sz val="12"/>
        <rFont val="宋体"/>
        <family val="3"/>
        <charset val="134"/>
      </rPr>
      <t>起</t>
    </r>
    <r>
      <rPr>
        <sz val="12"/>
        <rFont val="Times New Roman"/>
        <family val="1"/>
      </rPr>
      <t xml:space="preserve">  </t>
    </r>
    <r>
      <rPr>
        <sz val="12"/>
        <rFont val="宋体"/>
        <family val="3"/>
        <charset val="134"/>
        <scheme val="minor"/>
      </rPr>
      <t>测</t>
    </r>
    <r>
      <rPr>
        <sz val="12"/>
        <rFont val="Times New Roman"/>
        <family val="1"/>
      </rPr>
      <t xml:space="preserve">  </t>
    </r>
    <r>
      <rPr>
        <sz val="12"/>
        <rFont val="宋体"/>
        <family val="3"/>
        <charset val="134"/>
        <scheme val="minor"/>
      </rPr>
      <t>展</t>
    </r>
    <r>
      <rPr>
        <sz val="12"/>
        <rFont val="Times New Roman"/>
        <family val="1"/>
      </rPr>
      <t xml:space="preserve">  </t>
    </r>
    <r>
      <rPr>
        <sz val="12"/>
        <rFont val="宋体"/>
        <family val="3"/>
        <charset val="134"/>
        <scheme val="minor"/>
      </rPr>
      <t>开</t>
    </r>
    <r>
      <rPr>
        <sz val="12"/>
        <rFont val="Times New Roman"/>
        <family val="1"/>
      </rPr>
      <t xml:space="preserve">  </t>
    </r>
    <r>
      <rPr>
        <sz val="12"/>
        <rFont val="宋体"/>
        <family val="3"/>
        <charset val="134"/>
        <scheme val="minor"/>
      </rPr>
      <t>角</t>
    </r>
  </si>
  <si>
    <r>
      <rPr>
        <sz val="12"/>
        <rFont val="宋体"/>
        <family val="3"/>
        <charset val="134"/>
      </rPr>
      <t>终</t>
    </r>
    <r>
      <rPr>
        <sz val="12"/>
        <rFont val="Times New Roman"/>
        <family val="1"/>
      </rPr>
      <t xml:space="preserve">  </t>
    </r>
    <r>
      <rPr>
        <sz val="12"/>
        <rFont val="宋体"/>
        <family val="3"/>
        <charset val="134"/>
        <scheme val="minor"/>
      </rPr>
      <t>测</t>
    </r>
    <r>
      <rPr>
        <sz val="12"/>
        <rFont val="Times New Roman"/>
        <family val="1"/>
      </rPr>
      <t xml:space="preserve">  </t>
    </r>
    <r>
      <rPr>
        <sz val="12"/>
        <rFont val="宋体"/>
        <family val="3"/>
        <charset val="134"/>
        <scheme val="minor"/>
      </rPr>
      <t>展</t>
    </r>
    <r>
      <rPr>
        <sz val="12"/>
        <rFont val="Times New Roman"/>
        <family val="1"/>
      </rPr>
      <t xml:space="preserve">  </t>
    </r>
    <r>
      <rPr>
        <sz val="12"/>
        <rFont val="宋体"/>
        <family val="3"/>
        <charset val="134"/>
        <scheme val="minor"/>
      </rPr>
      <t>开</t>
    </r>
    <r>
      <rPr>
        <sz val="12"/>
        <rFont val="Times New Roman"/>
        <family val="1"/>
      </rPr>
      <t xml:space="preserve">  </t>
    </r>
    <r>
      <rPr>
        <sz val="12"/>
        <rFont val="宋体"/>
        <family val="3"/>
        <charset val="134"/>
        <scheme val="minor"/>
      </rPr>
      <t>角</t>
    </r>
  </si>
  <si>
    <r>
      <rPr>
        <sz val="12"/>
        <rFont val="宋体"/>
        <family val="3"/>
        <charset val="134"/>
      </rPr>
      <t>中</t>
    </r>
    <r>
      <rPr>
        <sz val="12"/>
        <rFont val="Times New Roman"/>
        <family val="1"/>
      </rPr>
      <t xml:space="preserve">  </t>
    </r>
    <r>
      <rPr>
        <sz val="12"/>
        <rFont val="宋体"/>
        <family val="3"/>
        <charset val="134"/>
        <scheme val="minor"/>
      </rPr>
      <t>凸</t>
    </r>
    <r>
      <rPr>
        <sz val="12"/>
        <rFont val="Times New Roman"/>
        <family val="1"/>
      </rPr>
      <t xml:space="preserve">  </t>
    </r>
    <r>
      <rPr>
        <sz val="12"/>
        <rFont val="宋体"/>
        <family val="3"/>
        <charset val="134"/>
        <scheme val="minor"/>
      </rPr>
      <t>点</t>
    </r>
    <r>
      <rPr>
        <sz val="12"/>
        <rFont val="Times New Roman"/>
        <family val="1"/>
      </rPr>
      <t xml:space="preserve">  </t>
    </r>
    <r>
      <rPr>
        <sz val="12"/>
        <rFont val="宋体"/>
        <family val="3"/>
        <charset val="134"/>
        <scheme val="minor"/>
      </rPr>
      <t>范</t>
    </r>
    <r>
      <rPr>
        <sz val="12"/>
        <rFont val="Times New Roman"/>
        <family val="1"/>
      </rPr>
      <t xml:space="preserve">  </t>
    </r>
    <r>
      <rPr>
        <sz val="12"/>
        <rFont val="宋体"/>
        <family val="3"/>
        <charset val="134"/>
        <scheme val="minor"/>
      </rPr>
      <t>围</t>
    </r>
  </si>
  <si>
    <t>传动质量指标算：</t>
  </si>
  <si>
    <r>
      <rPr>
        <sz val="12"/>
        <rFont val="宋体"/>
        <family val="3"/>
        <charset val="134"/>
      </rPr>
      <t>重</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度</t>
    </r>
  </si>
  <si>
    <r>
      <rPr>
        <sz val="12"/>
        <rFont val="宋体"/>
        <family val="3"/>
        <charset val="134"/>
      </rPr>
      <t>ε</t>
    </r>
    <r>
      <rPr>
        <sz val="9"/>
        <rFont val="宋体"/>
        <family val="3"/>
        <charset val="134"/>
      </rPr>
      <t>总</t>
    </r>
  </si>
  <si>
    <r>
      <rPr>
        <sz val="12"/>
        <rFont val="宋体"/>
        <family val="3"/>
        <charset val="134"/>
      </rPr>
      <t>根</t>
    </r>
    <r>
      <rPr>
        <sz val="12"/>
        <rFont val="Times New Roman"/>
        <family val="1"/>
      </rPr>
      <t xml:space="preserve">                    </t>
    </r>
    <r>
      <rPr>
        <sz val="12"/>
        <rFont val="宋体"/>
        <family val="3"/>
        <charset val="134"/>
        <scheme val="minor"/>
      </rPr>
      <t>切</t>
    </r>
  </si>
  <si>
    <r>
      <rPr>
        <sz val="12"/>
        <rFont val="宋体"/>
        <family val="3"/>
        <charset val="134"/>
      </rPr>
      <t>齿</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变</t>
    </r>
    <r>
      <rPr>
        <sz val="12"/>
        <rFont val="Times New Roman"/>
        <family val="1"/>
      </rPr>
      <t xml:space="preserve">    </t>
    </r>
    <r>
      <rPr>
        <sz val="12"/>
        <rFont val="宋体"/>
        <family val="3"/>
        <charset val="134"/>
        <scheme val="minor"/>
      </rPr>
      <t>尖</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</si>
  <si>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滑</t>
    </r>
    <r>
      <rPr>
        <sz val="12"/>
        <rFont val="Times New Roman"/>
        <family val="1"/>
      </rPr>
      <t xml:space="preserve">  </t>
    </r>
    <r>
      <rPr>
        <sz val="12"/>
        <rFont val="宋体"/>
        <family val="3"/>
        <charset val="134"/>
        <scheme val="minor"/>
      </rPr>
      <t>动</t>
    </r>
    <r>
      <rPr>
        <sz val="12"/>
        <rFont val="Times New Roman"/>
        <family val="1"/>
      </rPr>
      <t xml:space="preserve">  </t>
    </r>
    <r>
      <rPr>
        <sz val="12"/>
        <rFont val="宋体"/>
        <family val="3"/>
        <charset val="134"/>
        <scheme val="minor"/>
      </rPr>
      <t>率</t>
    </r>
  </si>
  <si>
    <r>
      <rPr>
        <sz val="12"/>
        <rFont val="宋体"/>
        <family val="3"/>
        <charset val="134"/>
      </rPr>
      <t>齿</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压</t>
    </r>
    <r>
      <rPr>
        <sz val="12"/>
        <rFont val="Times New Roman"/>
        <family val="1"/>
      </rPr>
      <t xml:space="preserve">  </t>
    </r>
    <r>
      <rPr>
        <sz val="12"/>
        <rFont val="宋体"/>
        <family val="3"/>
        <charset val="134"/>
        <scheme val="minor"/>
      </rPr>
      <t>强</t>
    </r>
    <r>
      <rPr>
        <sz val="12"/>
        <rFont val="Times New Roman"/>
        <family val="1"/>
      </rPr>
      <t xml:space="preserve">  </t>
    </r>
    <r>
      <rPr>
        <sz val="12"/>
        <rFont val="宋体"/>
        <family val="3"/>
        <charset val="134"/>
        <scheme val="minor"/>
      </rPr>
      <t>比</t>
    </r>
  </si>
  <si>
    <r>
      <rPr>
        <sz val="12"/>
        <rFont val="Times New Roman"/>
        <family val="1"/>
      </rPr>
      <t>±f</t>
    </r>
    <r>
      <rPr>
        <sz val="8"/>
        <rFont val="Times New Roman"/>
        <family val="1"/>
      </rPr>
      <t>pt</t>
    </r>
  </si>
  <si>
    <r>
      <rPr>
        <b/>
        <sz val="12"/>
        <rFont val="宋体"/>
        <family val="3"/>
        <charset val="134"/>
      </rPr>
      <t>图样标注</t>
    </r>
    <r>
      <rPr>
        <b/>
        <sz val="12"/>
        <rFont val="Times New Roman"/>
        <family val="1"/>
      </rPr>
      <t xml:space="preserve">: </t>
    </r>
    <r>
      <rPr>
        <b/>
        <sz val="14"/>
        <rFont val="Times New Roman"/>
        <family val="1"/>
      </rPr>
      <t xml:space="preserve"> </t>
    </r>
    <r>
      <rPr>
        <sz val="12"/>
        <rFont val="宋体"/>
        <family val="3"/>
        <charset val="134"/>
        <scheme val="minor"/>
      </rPr>
      <t>齿轮</t>
    </r>
    <r>
      <rPr>
        <sz val="12"/>
        <rFont val="Times New Roman"/>
        <family val="1"/>
      </rPr>
      <t>1</t>
    </r>
  </si>
  <si>
    <r>
      <rPr>
        <sz val="12"/>
        <rFont val="宋体"/>
        <family val="3"/>
        <charset val="134"/>
      </rPr>
      <t xml:space="preserve"> </t>
    </r>
    <r>
      <rPr>
        <sz val="12"/>
        <rFont val="宋体"/>
        <family val="3"/>
        <charset val="134"/>
        <scheme val="minor"/>
      </rPr>
      <t xml:space="preserve">         </t>
    </r>
    <r>
      <rPr>
        <sz val="12"/>
        <rFont val="宋体"/>
        <family val="3"/>
        <charset val="134"/>
        <scheme val="minor"/>
      </rPr>
      <t>齿轮2</t>
    </r>
  </si>
  <si>
    <t>承载能力：</t>
  </si>
  <si>
    <r>
      <rPr>
        <sz val="12"/>
        <rFont val="宋体"/>
        <family val="3"/>
        <charset val="134"/>
      </rPr>
      <t>名</t>
    </r>
    <r>
      <rPr>
        <sz val="12"/>
        <rFont val="Times New Roman"/>
        <family val="1"/>
      </rPr>
      <t xml:space="preserve">    </t>
    </r>
    <r>
      <rPr>
        <sz val="12"/>
        <rFont val="宋体"/>
        <family val="3"/>
        <charset val="134"/>
        <scheme val="minor"/>
      </rPr>
      <t>义</t>
    </r>
    <r>
      <rPr>
        <sz val="12"/>
        <rFont val="Times New Roman"/>
        <family val="1"/>
      </rPr>
      <t xml:space="preserve">    </t>
    </r>
    <r>
      <rPr>
        <sz val="12"/>
        <rFont val="宋体"/>
        <family val="3"/>
        <charset val="134"/>
        <scheme val="minor"/>
      </rPr>
      <t>转</t>
    </r>
    <r>
      <rPr>
        <sz val="12"/>
        <rFont val="Times New Roman"/>
        <family val="1"/>
      </rPr>
      <t xml:space="preserve">    </t>
    </r>
    <r>
      <rPr>
        <sz val="12"/>
        <rFont val="宋体"/>
        <family val="3"/>
        <charset val="134"/>
        <scheme val="minor"/>
      </rPr>
      <t>矩</t>
    </r>
  </si>
  <si>
    <r>
      <rPr>
        <sz val="12"/>
        <rFont val="宋体"/>
        <family val="3"/>
        <charset val="134"/>
      </rPr>
      <t>名</t>
    </r>
    <r>
      <rPr>
        <sz val="12"/>
        <rFont val="Times New Roman"/>
        <family val="1"/>
      </rPr>
      <t xml:space="preserve">    </t>
    </r>
    <r>
      <rPr>
        <sz val="12"/>
        <rFont val="宋体"/>
        <family val="3"/>
        <charset val="134"/>
        <scheme val="minor"/>
      </rPr>
      <t>义</t>
    </r>
    <r>
      <rPr>
        <sz val="12"/>
        <rFont val="Times New Roman"/>
        <family val="1"/>
      </rPr>
      <t xml:space="preserve">    </t>
    </r>
    <r>
      <rPr>
        <sz val="12"/>
        <rFont val="宋体"/>
        <family val="3"/>
        <charset val="134"/>
        <scheme val="minor"/>
      </rPr>
      <t>功</t>
    </r>
    <r>
      <rPr>
        <sz val="12"/>
        <rFont val="Times New Roman"/>
        <family val="1"/>
      </rPr>
      <t xml:space="preserve">    </t>
    </r>
    <r>
      <rPr>
        <sz val="12"/>
        <rFont val="宋体"/>
        <family val="3"/>
        <charset val="134"/>
        <scheme val="minor"/>
      </rPr>
      <t>率</t>
    </r>
  </si>
  <si>
    <r>
      <rPr>
        <sz val="12"/>
        <rFont val="宋体"/>
        <family val="3"/>
        <charset val="134"/>
      </rPr>
      <t>转</t>
    </r>
    <r>
      <rPr>
        <sz val="12"/>
        <rFont val="Times New Roman"/>
        <family val="1"/>
      </rPr>
      <t xml:space="preserve">                   </t>
    </r>
    <r>
      <rPr>
        <sz val="12"/>
        <rFont val="宋体"/>
        <family val="3"/>
        <charset val="134"/>
        <scheme val="minor"/>
      </rPr>
      <t>速</t>
    </r>
  </si>
  <si>
    <r>
      <rPr>
        <sz val="12"/>
        <rFont val="宋体"/>
        <family val="3"/>
        <charset val="134"/>
      </rPr>
      <t>分</t>
    </r>
    <r>
      <rPr>
        <sz val="12"/>
        <rFont val="Times New Roman"/>
        <family val="1"/>
      </rPr>
      <t xml:space="preserve"> </t>
    </r>
    <r>
      <rPr>
        <sz val="12"/>
        <rFont val="宋体"/>
        <family val="3"/>
        <charset val="134"/>
        <scheme val="minor"/>
      </rPr>
      <t>度</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速</t>
    </r>
    <r>
      <rPr>
        <sz val="12"/>
        <rFont val="Times New Roman"/>
        <family val="1"/>
      </rPr>
      <t xml:space="preserve"> </t>
    </r>
    <r>
      <rPr>
        <sz val="12"/>
        <rFont val="宋体"/>
        <family val="3"/>
        <charset val="134"/>
        <scheme val="minor"/>
      </rPr>
      <t>度</t>
    </r>
  </si>
  <si>
    <r>
      <rPr>
        <sz val="12"/>
        <rFont val="宋体"/>
        <family val="3"/>
        <charset val="134"/>
      </rPr>
      <t>材</t>
    </r>
    <r>
      <rPr>
        <sz val="12"/>
        <rFont val="Times New Roman"/>
        <family val="1"/>
      </rPr>
      <t xml:space="preserve">                    </t>
    </r>
    <r>
      <rPr>
        <sz val="12"/>
        <rFont val="宋体"/>
        <family val="3"/>
        <charset val="134"/>
        <scheme val="minor"/>
      </rPr>
      <t>质</t>
    </r>
  </si>
  <si>
    <r>
      <rPr>
        <sz val="12"/>
        <rFont val="宋体"/>
        <family val="3"/>
        <charset val="134"/>
      </rPr>
      <t>支</t>
    </r>
    <r>
      <rPr>
        <sz val="12"/>
        <rFont val="Times New Roman"/>
        <family val="1"/>
      </rPr>
      <t xml:space="preserve">    </t>
    </r>
    <r>
      <rPr>
        <sz val="12"/>
        <rFont val="宋体"/>
        <family val="3"/>
        <charset val="134"/>
        <scheme val="minor"/>
      </rPr>
      <t>承</t>
    </r>
    <r>
      <rPr>
        <sz val="12"/>
        <rFont val="Times New Roman"/>
        <family val="1"/>
      </rPr>
      <t xml:space="preserve">    </t>
    </r>
    <r>
      <rPr>
        <sz val="12"/>
        <rFont val="宋体"/>
        <family val="3"/>
        <charset val="134"/>
        <scheme val="minor"/>
      </rPr>
      <t>形</t>
    </r>
    <r>
      <rPr>
        <sz val="12"/>
        <rFont val="Times New Roman"/>
        <family val="1"/>
      </rPr>
      <t xml:space="preserve">    </t>
    </r>
    <r>
      <rPr>
        <sz val="12"/>
        <rFont val="宋体"/>
        <family val="3"/>
        <charset val="134"/>
        <scheme val="minor"/>
      </rPr>
      <t>式</t>
    </r>
  </si>
  <si>
    <r>
      <rPr>
        <sz val="12"/>
        <rFont val="宋体"/>
        <family val="3"/>
        <charset val="134"/>
      </rPr>
      <t>计</t>
    </r>
    <r>
      <rPr>
        <sz val="12"/>
        <rFont val="Times New Roman"/>
        <family val="1"/>
      </rPr>
      <t xml:space="preserve"> </t>
    </r>
    <r>
      <rPr>
        <sz val="12"/>
        <rFont val="宋体"/>
        <family val="3"/>
        <charset val="134"/>
        <scheme val="minor"/>
      </rPr>
      <t>算</t>
    </r>
    <r>
      <rPr>
        <sz val="12"/>
        <rFont val="Times New Roman"/>
        <family val="1"/>
      </rPr>
      <t xml:space="preserve"> </t>
    </r>
    <r>
      <rPr>
        <sz val="12"/>
        <rFont val="宋体"/>
        <family val="3"/>
        <charset val="134"/>
        <scheme val="minor"/>
      </rPr>
      <t>接</t>
    </r>
    <r>
      <rPr>
        <sz val="12"/>
        <rFont val="Times New Roman"/>
        <family val="1"/>
      </rPr>
      <t xml:space="preserve"> </t>
    </r>
    <r>
      <rPr>
        <sz val="12"/>
        <rFont val="宋体"/>
        <family val="3"/>
        <charset val="134"/>
        <scheme val="minor"/>
      </rPr>
      <t>触</t>
    </r>
    <r>
      <rPr>
        <sz val="12"/>
        <rFont val="Times New Roman"/>
        <family val="1"/>
      </rPr>
      <t xml:space="preserve"> </t>
    </r>
    <r>
      <rPr>
        <sz val="12"/>
        <rFont val="宋体"/>
        <family val="3"/>
        <charset val="134"/>
        <scheme val="minor"/>
      </rPr>
      <t>应</t>
    </r>
    <r>
      <rPr>
        <sz val="12"/>
        <rFont val="Times New Roman"/>
        <family val="1"/>
      </rPr>
      <t xml:space="preserve"> </t>
    </r>
    <r>
      <rPr>
        <sz val="12"/>
        <rFont val="宋体"/>
        <family val="3"/>
        <charset val="134"/>
        <scheme val="minor"/>
      </rPr>
      <t>力</t>
    </r>
  </si>
  <si>
    <r>
      <rPr>
        <sz val="12"/>
        <rFont val="宋体"/>
        <family val="3"/>
        <charset val="134"/>
      </rPr>
      <t>σ</t>
    </r>
    <r>
      <rPr>
        <sz val="8"/>
        <rFont val="Times New Roman"/>
        <family val="1"/>
      </rPr>
      <t>H</t>
    </r>
  </si>
  <si>
    <t>接触强度安全系数</t>
  </si>
  <si>
    <r>
      <rPr>
        <sz val="12"/>
        <rFont val="Times New Roman"/>
        <family val="1"/>
      </rPr>
      <t xml:space="preserve">S </t>
    </r>
    <r>
      <rPr>
        <sz val="8"/>
        <rFont val="Times New Roman"/>
        <family val="1"/>
      </rPr>
      <t>H</t>
    </r>
  </si>
  <si>
    <r>
      <rPr>
        <sz val="12"/>
        <rFont val="宋体"/>
        <family val="3"/>
        <charset val="134"/>
      </rPr>
      <t>σ</t>
    </r>
    <r>
      <rPr>
        <sz val="8"/>
        <rFont val="Times New Roman"/>
        <family val="1"/>
      </rPr>
      <t>F</t>
    </r>
  </si>
  <si>
    <t>弯曲强度安全系数</t>
  </si>
  <si>
    <r>
      <rPr>
        <sz val="12"/>
        <rFont val="Times New Roman"/>
        <family val="1"/>
      </rPr>
      <t xml:space="preserve">S </t>
    </r>
    <r>
      <rPr>
        <sz val="8"/>
        <rFont val="Times New Roman"/>
        <family val="1"/>
      </rPr>
      <t>F</t>
    </r>
  </si>
  <si>
    <r>
      <rPr>
        <sz val="10"/>
        <color indexed="10"/>
        <rFont val="宋体"/>
        <family val="3"/>
        <charset val="134"/>
      </rPr>
      <t>打印终止</t>
    </r>
    <r>
      <rPr>
        <sz val="10"/>
        <color indexed="10"/>
        <rFont val="Times New Roman"/>
        <family val="1"/>
      </rPr>
      <t>******************************************************************************************</t>
    </r>
  </si>
  <si>
    <t xml:space="preserve">               外齿轮插齿、剃齿验算 </t>
  </si>
  <si>
    <r>
      <rPr>
        <b/>
        <sz val="10"/>
        <color indexed="23"/>
        <rFont val="宋体"/>
        <family val="3"/>
        <charset val="134"/>
      </rPr>
      <t>说明：</t>
    </r>
    <r>
      <rPr>
        <sz val="10"/>
        <color indexed="23"/>
        <rFont val="宋体"/>
        <family val="3"/>
        <charset val="134"/>
      </rPr>
      <t>本程序适用于变位和非变位直齿、斜齿渐开线圆柱齿轮插齿和剃齿的可行性——采用齿条形刀具、常用标准（直齿）和其它</t>
    </r>
  </si>
  <si>
    <t xml:space="preserve">      圆盘插齿刀、常用标准和其它剃齿刀切齿的验算。</t>
  </si>
  <si>
    <r>
      <rPr>
        <b/>
        <sz val="10"/>
        <color indexed="23"/>
        <rFont val="宋体"/>
        <family val="3"/>
        <charset val="134"/>
      </rPr>
      <t>主要参考书目：</t>
    </r>
    <r>
      <rPr>
        <sz val="10"/>
        <color indexed="23"/>
        <rFont val="宋体"/>
        <family val="3"/>
        <charset val="134"/>
      </rPr>
      <t>《齿轮手册》 上、下册，《机床设计手册》 2  上册，《齿轮刀具设计理论基础》   上册</t>
    </r>
  </si>
  <si>
    <r>
      <rPr>
        <sz val="10"/>
        <color indexed="23"/>
        <rFont val="Times New Roman"/>
        <family val="1"/>
      </rPr>
      <t xml:space="preserve">               </t>
    </r>
    <r>
      <rPr>
        <sz val="10"/>
        <color indexed="23"/>
        <rFont val="宋体"/>
        <family val="3"/>
        <charset val="134"/>
      </rPr>
      <t>程序设计： 邓时俊   2002.11</t>
    </r>
  </si>
  <si>
    <t>CK6120</t>
  </si>
  <si>
    <t>订货号：</t>
  </si>
  <si>
    <t>日  期：</t>
  </si>
  <si>
    <r>
      <rPr>
        <sz val="12"/>
        <rFont val="宋体"/>
        <family val="3"/>
        <charset val="134"/>
      </rPr>
      <t>旋</t>
    </r>
    <r>
      <rPr>
        <sz val="12"/>
        <rFont val="宋体"/>
        <family val="3"/>
        <charset val="134"/>
        <scheme val="minor"/>
      </rPr>
      <t xml:space="preserve">          向</t>
    </r>
  </si>
  <si>
    <r>
      <rPr>
        <sz val="12"/>
        <rFont val="宋体"/>
        <family val="3"/>
        <charset val="134"/>
      </rPr>
      <t>齿</t>
    </r>
    <r>
      <rPr>
        <sz val="12"/>
        <rFont val="宋体"/>
        <family val="3"/>
        <charset val="134"/>
        <scheme val="minor"/>
      </rPr>
      <t xml:space="preserve">     </t>
    </r>
    <r>
      <rPr>
        <sz val="12"/>
        <rFont val="宋体"/>
        <family val="3"/>
        <charset val="134"/>
        <scheme val="minor"/>
      </rPr>
      <t xml:space="preserve"> </t>
    </r>
    <r>
      <rPr>
        <sz val="12"/>
        <rFont val="宋体"/>
        <family val="3"/>
        <charset val="134"/>
        <scheme val="minor"/>
      </rPr>
      <t xml:space="preserve">    数</t>
    </r>
  </si>
  <si>
    <r>
      <rPr>
        <sz val="12"/>
        <rFont val="Times New Roman"/>
        <family val="1"/>
      </rPr>
      <t>Z</t>
    </r>
    <r>
      <rPr>
        <sz val="9"/>
        <rFont val="Times New Roman"/>
        <family val="1"/>
      </rPr>
      <t>1</t>
    </r>
  </si>
  <si>
    <r>
      <rPr>
        <sz val="12"/>
        <rFont val="Times New Roman"/>
        <family val="1"/>
      </rPr>
      <t>Z</t>
    </r>
    <r>
      <rPr>
        <sz val="9"/>
        <rFont val="Times New Roman"/>
        <family val="1"/>
      </rPr>
      <t>2</t>
    </r>
  </si>
  <si>
    <r>
      <rPr>
        <sz val="12"/>
        <rFont val="宋体"/>
        <family val="3"/>
        <charset val="134"/>
      </rPr>
      <t>法</t>
    </r>
    <r>
      <rPr>
        <sz val="12"/>
        <rFont val="宋体"/>
        <family val="3"/>
        <charset val="134"/>
        <scheme val="minor"/>
      </rPr>
      <t xml:space="preserve">  向  模  数</t>
    </r>
  </si>
  <si>
    <r>
      <rPr>
        <sz val="12"/>
        <rFont val="宋体"/>
        <family val="3"/>
        <charset val="134"/>
      </rPr>
      <t>法</t>
    </r>
    <r>
      <rPr>
        <sz val="12"/>
        <rFont val="宋体"/>
        <family val="3"/>
        <charset val="134"/>
        <scheme val="minor"/>
      </rPr>
      <t xml:space="preserve"> 向 压 力 角</t>
    </r>
  </si>
  <si>
    <r>
      <rPr>
        <sz val="12"/>
        <rFont val="宋体"/>
        <family val="3"/>
        <charset val="134"/>
      </rPr>
      <t xml:space="preserve">齿       </t>
    </r>
    <r>
      <rPr>
        <sz val="12"/>
        <rFont val="宋体"/>
        <family val="3"/>
        <charset val="134"/>
        <scheme val="minor"/>
      </rPr>
      <t xml:space="preserve">  宽</t>
    </r>
  </si>
  <si>
    <r>
      <rPr>
        <sz val="12"/>
        <rFont val="宋体"/>
        <family val="3"/>
        <charset val="134"/>
      </rPr>
      <t>齿</t>
    </r>
    <r>
      <rPr>
        <sz val="12"/>
        <rFont val="宋体"/>
        <family val="3"/>
        <charset val="134"/>
        <scheme val="minor"/>
      </rPr>
      <t xml:space="preserve"> 顶 高 系 数</t>
    </r>
  </si>
  <si>
    <r>
      <rPr>
        <sz val="10"/>
        <color indexed="12"/>
        <rFont val="宋体"/>
        <family val="3"/>
        <charset val="134"/>
      </rPr>
      <t xml:space="preserve">注：如不输入，则默认 ha* = </t>
    </r>
    <r>
      <rPr>
        <b/>
        <sz val="10"/>
        <color indexed="10"/>
        <rFont val="宋体"/>
        <family val="3"/>
        <charset val="134"/>
      </rPr>
      <t>1</t>
    </r>
  </si>
  <si>
    <r>
      <rPr>
        <sz val="12"/>
        <rFont val="宋体"/>
        <family val="3"/>
        <charset val="134"/>
      </rPr>
      <t>全</t>
    </r>
    <r>
      <rPr>
        <sz val="12"/>
        <rFont val="宋体"/>
        <family val="3"/>
        <charset val="134"/>
        <scheme val="minor"/>
      </rPr>
      <t xml:space="preserve"> 齿 高 系 数</t>
    </r>
  </si>
  <si>
    <r>
      <rPr>
        <sz val="12"/>
        <rFont val="Times New Roman"/>
        <family val="1"/>
      </rPr>
      <t>h</t>
    </r>
    <r>
      <rPr>
        <sz val="10"/>
        <rFont val="Times New Roman"/>
        <family val="1"/>
      </rPr>
      <t>t*</t>
    </r>
  </si>
  <si>
    <r>
      <rPr>
        <sz val="10"/>
        <color indexed="12"/>
        <rFont val="宋体"/>
        <family val="3"/>
        <charset val="134"/>
      </rPr>
      <t xml:space="preserve">注：如不输入，则默认 ht* = </t>
    </r>
    <r>
      <rPr>
        <b/>
        <sz val="10"/>
        <color indexed="10"/>
        <rFont val="宋体"/>
        <family val="3"/>
        <charset val="134"/>
      </rPr>
      <t>2.25</t>
    </r>
  </si>
  <si>
    <r>
      <rPr>
        <sz val="12"/>
        <rFont val="宋体"/>
        <family val="3"/>
        <charset val="134"/>
      </rPr>
      <t>顶</t>
    </r>
    <r>
      <rPr>
        <sz val="12"/>
        <rFont val="宋体"/>
        <family val="3"/>
        <charset val="134"/>
        <scheme val="minor"/>
      </rPr>
      <t xml:space="preserve">  隙  系  数</t>
    </r>
  </si>
  <si>
    <r>
      <rPr>
        <sz val="12"/>
        <rFont val="宋体"/>
        <family val="3"/>
        <charset val="134"/>
      </rPr>
      <t>标</t>
    </r>
    <r>
      <rPr>
        <sz val="12"/>
        <rFont val="宋体"/>
        <family val="3"/>
        <charset val="134"/>
        <scheme val="minor"/>
      </rPr>
      <t xml:space="preserve"> 准 中 心 距</t>
    </r>
  </si>
  <si>
    <r>
      <rPr>
        <sz val="12"/>
        <rFont val="Times New Roman"/>
        <family val="1"/>
      </rPr>
      <t>a</t>
    </r>
    <r>
      <rPr>
        <sz val="10"/>
        <rFont val="Times New Roman"/>
        <family val="1"/>
      </rPr>
      <t xml:space="preserve"> 0</t>
    </r>
  </si>
  <si>
    <r>
      <rPr>
        <sz val="12"/>
        <rFont val="宋体"/>
        <family val="3"/>
        <charset val="134"/>
      </rPr>
      <t>中</t>
    </r>
    <r>
      <rPr>
        <sz val="12"/>
        <rFont val="宋体"/>
        <family val="3"/>
        <charset val="134"/>
        <scheme val="minor"/>
      </rPr>
      <t xml:space="preserve">   </t>
    </r>
    <r>
      <rPr>
        <sz val="12"/>
        <rFont val="宋体"/>
        <family val="3"/>
        <charset val="134"/>
        <scheme val="minor"/>
      </rPr>
      <t xml:space="preserve"> </t>
    </r>
    <r>
      <rPr>
        <sz val="12"/>
        <rFont val="宋体"/>
        <family val="3"/>
        <charset val="134"/>
        <scheme val="minor"/>
      </rPr>
      <t>心    距</t>
    </r>
  </si>
  <si>
    <t>齿根过渡曲线是否干涉</t>
  </si>
  <si>
    <r>
      <rPr>
        <sz val="12"/>
        <rFont val="宋体"/>
        <family val="3"/>
        <charset val="134"/>
      </rPr>
      <t>是</t>
    </r>
    <r>
      <rPr>
        <sz val="12"/>
        <rFont val="宋体"/>
        <family val="3"/>
        <charset val="134"/>
        <scheme val="minor"/>
      </rPr>
      <t xml:space="preserve">   否   根   切</t>
    </r>
  </si>
  <si>
    <t>常用标准直齿插齿刀</t>
  </si>
  <si>
    <t>标准插齿刀齿数</t>
  </si>
  <si>
    <t>ha*0</t>
  </si>
  <si>
    <r>
      <rPr>
        <sz val="12"/>
        <rFont val="宋体"/>
        <family val="3"/>
        <charset val="134"/>
      </rPr>
      <t>α</t>
    </r>
    <r>
      <rPr>
        <sz val="10"/>
        <rFont val="Times New Roman"/>
        <family val="1"/>
      </rPr>
      <t>a</t>
    </r>
  </si>
  <si>
    <t>基本截面顶圆直径</t>
  </si>
  <si>
    <r>
      <rPr>
        <sz val="12"/>
        <rFont val="Times New Roman"/>
        <family val="1"/>
      </rPr>
      <t>d</t>
    </r>
    <r>
      <rPr>
        <sz val="10"/>
        <rFont val="Times New Roman"/>
        <family val="1"/>
      </rPr>
      <t>a0</t>
    </r>
  </si>
  <si>
    <r>
      <rPr>
        <sz val="12"/>
        <rFont val="Times New Roman"/>
        <family val="1"/>
      </rPr>
      <t>b</t>
    </r>
    <r>
      <rPr>
        <sz val="10"/>
        <rFont val="Times New Roman"/>
        <family val="1"/>
      </rPr>
      <t>0</t>
    </r>
  </si>
  <si>
    <t>是  否  根  切</t>
  </si>
  <si>
    <t>是  否  顶  切</t>
  </si>
  <si>
    <r>
      <rPr>
        <sz val="12"/>
        <rFont val="Times New Roman"/>
        <family val="1"/>
      </rPr>
      <t>h</t>
    </r>
    <r>
      <rPr>
        <sz val="10"/>
        <rFont val="Times New Roman"/>
        <family val="1"/>
      </rPr>
      <t>a</t>
    </r>
    <r>
      <rPr>
        <sz val="12"/>
        <rFont val="Times New Roman"/>
        <family val="1"/>
      </rPr>
      <t>*</t>
    </r>
    <r>
      <rPr>
        <sz val="9"/>
        <rFont val="Times New Roman"/>
        <family val="1"/>
      </rPr>
      <t>0</t>
    </r>
  </si>
  <si>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</si>
  <si>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r>
      <rPr>
        <sz val="12"/>
        <rFont val="宋体"/>
        <family val="3"/>
        <charset val="134"/>
      </rPr>
      <t>β</t>
    </r>
    <r>
      <rPr>
        <sz val="9"/>
        <rFont val="Times New Roman"/>
        <family val="1"/>
      </rPr>
      <t>0</t>
    </r>
  </si>
  <si>
    <t>剃齿验算：</t>
  </si>
  <si>
    <t>常用标准剃齿刀</t>
  </si>
  <si>
    <t>可选择的标准剃齿刀公称分度圆直径</t>
  </si>
  <si>
    <t>剃齿刀分度圆柱螺旋角</t>
  </si>
  <si>
    <t>Z0</t>
  </si>
  <si>
    <t>标准新剃齿刀齿顶圆直径</t>
  </si>
  <si>
    <t>剃齿刀实际齿顶圆直径</t>
  </si>
  <si>
    <t>新标准剃齿刀分度圆法向弧齿厚</t>
  </si>
  <si>
    <t>Sn0</t>
  </si>
  <si>
    <t>剃齿刀实际分度圆法向弧齿厚</t>
  </si>
  <si>
    <t>剃齿刀与工件的中心距</t>
  </si>
  <si>
    <r>
      <rPr>
        <sz val="12"/>
        <rFont val="Times New Roman"/>
        <family val="1"/>
      </rPr>
      <t xml:space="preserve">a </t>
    </r>
    <r>
      <rPr>
        <sz val="9"/>
        <rFont val="Times New Roman"/>
        <family val="1"/>
      </rPr>
      <t>01</t>
    </r>
  </si>
  <si>
    <t>剃齿刀与工件实际轴交角</t>
  </si>
  <si>
    <r>
      <rPr>
        <sz val="12"/>
        <rFont val="宋体"/>
        <family val="3"/>
        <charset val="134"/>
      </rPr>
      <t>Σ</t>
    </r>
    <r>
      <rPr>
        <sz val="9"/>
        <rFont val="Times New Roman"/>
        <family val="1"/>
      </rPr>
      <t>01</t>
    </r>
    <r>
      <rPr>
        <sz val="12"/>
        <rFont val="Times New Roman"/>
        <family val="1"/>
      </rPr>
      <t>'</t>
    </r>
  </si>
  <si>
    <t>剃齿刀螺旋方向</t>
  </si>
  <si>
    <t>剃齿刀顶隙系数</t>
  </si>
  <si>
    <r>
      <rPr>
        <sz val="12"/>
        <rFont val="Times New Roman"/>
        <family val="1"/>
      </rPr>
      <t xml:space="preserve">c </t>
    </r>
    <r>
      <rPr>
        <sz val="10"/>
        <rFont val="Times New Roman"/>
        <family val="1"/>
      </rPr>
      <t>0</t>
    </r>
    <r>
      <rPr>
        <sz val="12"/>
        <rFont val="Times New Roman"/>
        <family val="1"/>
      </rPr>
      <t>*</t>
    </r>
  </si>
  <si>
    <t>剃齿刀与齿轮的法向重合度</t>
  </si>
  <si>
    <r>
      <rPr>
        <sz val="12"/>
        <rFont val="宋体"/>
        <family val="3"/>
        <charset val="134"/>
      </rPr>
      <t>ε</t>
    </r>
    <r>
      <rPr>
        <sz val="10"/>
        <rFont val="Times New Roman"/>
        <family val="1"/>
      </rPr>
      <t>n</t>
    </r>
  </si>
  <si>
    <t>齿轮根部端面啮合线超越量</t>
  </si>
  <si>
    <r>
      <rPr>
        <sz val="12"/>
        <rFont val="宋体"/>
        <family val="3"/>
        <charset val="134"/>
      </rPr>
      <t>Δ</t>
    </r>
    <r>
      <rPr>
        <sz val="12"/>
        <rFont val="Times New Roman"/>
        <family val="1"/>
      </rPr>
      <t>L</t>
    </r>
  </si>
  <si>
    <t>有台肩齿轮或多联齿轮剃齿的干涉验算：</t>
  </si>
  <si>
    <t>相邻台肩或另一联齿轮外径</t>
  </si>
  <si>
    <t>不产生干涉的最小槽宽</t>
  </si>
  <si>
    <t>Wmin</t>
  </si>
  <si>
    <t>其它剃齿刀</t>
  </si>
  <si>
    <t>剃 齿 刀 齿 数</t>
  </si>
  <si>
    <t>剃齿刀齿顶圆直径</t>
  </si>
  <si>
    <t>剃齿刀分度圆法向弧齿厚</t>
  </si>
  <si>
    <r>
      <rPr>
        <sz val="12"/>
        <rFont val="宋体"/>
        <family val="3"/>
        <charset val="134"/>
      </rPr>
      <t xml:space="preserve">法 </t>
    </r>
    <r>
      <rPr>
        <sz val="12"/>
        <rFont val="宋体"/>
        <family val="3"/>
        <charset val="134"/>
        <scheme val="minor"/>
      </rPr>
      <t>向</t>
    </r>
    <r>
      <rPr>
        <sz val="12"/>
        <rFont val="宋体"/>
        <family val="3"/>
        <charset val="134"/>
        <scheme val="minor"/>
      </rPr>
      <t xml:space="preserve"> </t>
    </r>
    <r>
      <rPr>
        <sz val="12"/>
        <rFont val="宋体"/>
        <family val="3"/>
        <charset val="134"/>
        <scheme val="minor"/>
      </rPr>
      <t>压</t>
    </r>
    <r>
      <rPr>
        <sz val="12"/>
        <rFont val="宋体"/>
        <family val="3"/>
        <charset val="134"/>
        <scheme val="minor"/>
      </rPr>
      <t xml:space="preserve"> </t>
    </r>
    <r>
      <rPr>
        <sz val="12"/>
        <rFont val="宋体"/>
        <family val="3"/>
        <charset val="134"/>
        <scheme val="minor"/>
      </rPr>
      <t>力</t>
    </r>
    <r>
      <rPr>
        <sz val="12"/>
        <rFont val="宋体"/>
        <family val="3"/>
        <charset val="134"/>
        <scheme val="minor"/>
      </rPr>
      <t xml:space="preserve"> </t>
    </r>
    <r>
      <rPr>
        <sz val="12"/>
        <rFont val="宋体"/>
        <family val="3"/>
        <charset val="134"/>
        <scheme val="minor"/>
      </rPr>
      <t>角</t>
    </r>
  </si>
  <si>
    <r>
      <rPr>
        <sz val="12"/>
        <rFont val="宋体"/>
        <family val="3"/>
        <charset val="134"/>
      </rPr>
      <t>端</t>
    </r>
    <r>
      <rPr>
        <sz val="12"/>
        <rFont val="宋体"/>
        <family val="3"/>
        <charset val="134"/>
        <scheme val="minor"/>
      </rPr>
      <t xml:space="preserve"> 面 压 力 角</t>
    </r>
  </si>
  <si>
    <r>
      <rPr>
        <sz val="12"/>
        <rFont val="宋体"/>
        <family val="3"/>
        <charset val="134"/>
      </rPr>
      <t>端</t>
    </r>
    <r>
      <rPr>
        <sz val="12"/>
        <rFont val="宋体"/>
        <family val="3"/>
        <charset val="134"/>
        <scheme val="minor"/>
      </rPr>
      <t xml:space="preserve">  面  模  数</t>
    </r>
  </si>
  <si>
    <r>
      <rPr>
        <sz val="12"/>
        <rFont val="宋体"/>
        <family val="3"/>
        <charset val="134"/>
      </rPr>
      <t>分</t>
    </r>
    <r>
      <rPr>
        <sz val="12"/>
        <rFont val="宋体"/>
        <family val="3"/>
        <charset val="134"/>
        <scheme val="minor"/>
      </rPr>
      <t xml:space="preserve"> 度 圆 直 径</t>
    </r>
  </si>
  <si>
    <r>
      <rPr>
        <sz val="12"/>
        <rFont val="Times New Roman"/>
        <family val="1"/>
      </rPr>
      <t>d</t>
    </r>
    <r>
      <rPr>
        <sz val="10"/>
        <rFont val="Times New Roman"/>
        <family val="1"/>
      </rPr>
      <t xml:space="preserve"> 1</t>
    </r>
  </si>
  <si>
    <r>
      <rPr>
        <sz val="12"/>
        <rFont val="Times New Roman"/>
        <family val="1"/>
      </rPr>
      <t>d</t>
    </r>
    <r>
      <rPr>
        <sz val="10"/>
        <rFont val="Times New Roman"/>
        <family val="1"/>
      </rPr>
      <t xml:space="preserve"> 2</t>
    </r>
  </si>
  <si>
    <r>
      <rPr>
        <sz val="12"/>
        <rFont val="宋体"/>
        <family val="3"/>
        <charset val="134"/>
      </rPr>
      <t>基</t>
    </r>
    <r>
      <rPr>
        <sz val="12"/>
        <rFont val="宋体"/>
        <family val="3"/>
        <charset val="134"/>
        <scheme val="minor"/>
      </rPr>
      <t xml:space="preserve">  圆  直  径</t>
    </r>
  </si>
  <si>
    <r>
      <rPr>
        <sz val="12"/>
        <rFont val="宋体"/>
        <family val="3"/>
        <charset val="134"/>
      </rPr>
      <t xml:space="preserve"> </t>
    </r>
    <r>
      <rPr>
        <sz val="12"/>
        <rFont val="宋体"/>
        <family val="3"/>
        <charset val="134"/>
        <scheme val="minor"/>
      </rPr>
      <t>法  向  齿  距</t>
    </r>
  </si>
  <si>
    <r>
      <rPr>
        <sz val="12"/>
        <rFont val="宋体"/>
        <family val="3"/>
        <charset val="134"/>
      </rPr>
      <t xml:space="preserve"> </t>
    </r>
    <r>
      <rPr>
        <sz val="12"/>
        <rFont val="宋体"/>
        <family val="3"/>
        <charset val="134"/>
        <scheme val="minor"/>
      </rPr>
      <t>端  面  齿  距</t>
    </r>
  </si>
  <si>
    <r>
      <rPr>
        <sz val="12"/>
        <rFont val="宋体"/>
        <family val="3"/>
        <charset val="134"/>
      </rPr>
      <t xml:space="preserve"> </t>
    </r>
    <r>
      <rPr>
        <sz val="12"/>
        <rFont val="宋体"/>
        <family val="3"/>
        <charset val="134"/>
        <scheme val="minor"/>
      </rPr>
      <t>基  圆  齿  距</t>
    </r>
  </si>
  <si>
    <r>
      <rPr>
        <sz val="12"/>
        <rFont val="Times New Roman"/>
        <family val="1"/>
      </rPr>
      <t>p</t>
    </r>
    <r>
      <rPr>
        <sz val="10"/>
        <rFont val="Times New Roman"/>
        <family val="1"/>
      </rPr>
      <t>bt</t>
    </r>
  </si>
  <si>
    <r>
      <rPr>
        <sz val="12"/>
        <rFont val="Times New Roman"/>
        <family val="1"/>
      </rPr>
      <t>p</t>
    </r>
    <r>
      <rPr>
        <sz val="10"/>
        <rFont val="Times New Roman"/>
        <family val="1"/>
      </rPr>
      <t>bn</t>
    </r>
  </si>
  <si>
    <r>
      <rPr>
        <sz val="12"/>
        <rFont val="Times New Roman"/>
        <family val="1"/>
      </rPr>
      <t>x</t>
    </r>
    <r>
      <rPr>
        <sz val="10"/>
        <rFont val="Times New Roman"/>
        <family val="1"/>
      </rPr>
      <t xml:space="preserve"> 1</t>
    </r>
  </si>
  <si>
    <r>
      <rPr>
        <sz val="12"/>
        <rFont val="宋体"/>
        <family val="3"/>
        <charset val="134"/>
      </rPr>
      <t>中</t>
    </r>
    <r>
      <rPr>
        <sz val="12"/>
        <rFont val="宋体"/>
        <family val="3"/>
        <charset val="134"/>
        <scheme val="minor"/>
      </rPr>
      <t xml:space="preserve">    心    距</t>
    </r>
  </si>
  <si>
    <r>
      <rPr>
        <sz val="12"/>
        <rFont val="宋体"/>
        <family val="3"/>
        <charset val="134"/>
      </rPr>
      <t>啮</t>
    </r>
    <r>
      <rPr>
        <sz val="12"/>
        <rFont val="宋体"/>
        <family val="3"/>
        <charset val="134"/>
        <scheme val="minor"/>
      </rPr>
      <t xml:space="preserve">    合    角</t>
    </r>
  </si>
  <si>
    <r>
      <rPr>
        <sz val="12"/>
        <rFont val="宋体"/>
        <family val="3"/>
        <charset val="134"/>
      </rPr>
      <t>Δ</t>
    </r>
    <r>
      <rPr>
        <sz val="12"/>
        <rFont val="Times New Roman"/>
        <family val="1"/>
      </rPr>
      <t xml:space="preserve">y </t>
    </r>
    <r>
      <rPr>
        <sz val="10"/>
        <rFont val="Times New Roman"/>
        <family val="1"/>
      </rPr>
      <t>t</t>
    </r>
  </si>
  <si>
    <r>
      <rPr>
        <sz val="12"/>
        <rFont val="宋体"/>
        <family val="3"/>
        <charset val="134"/>
      </rPr>
      <t>总</t>
    </r>
    <r>
      <rPr>
        <sz val="12"/>
        <rFont val="宋体"/>
        <family val="3"/>
        <charset val="134"/>
        <scheme val="minor"/>
      </rPr>
      <t xml:space="preserve"> 变 位 系 数</t>
    </r>
  </si>
  <si>
    <r>
      <rPr>
        <sz val="9"/>
        <rFont val="Times New Roman"/>
        <family val="1"/>
      </rPr>
      <t>X t</t>
    </r>
    <r>
      <rPr>
        <sz val="9"/>
        <rFont val="宋体"/>
        <family val="3"/>
        <charset val="134"/>
      </rPr>
      <t>Σ</t>
    </r>
  </si>
  <si>
    <r>
      <rPr>
        <sz val="12"/>
        <rFont val="Times New Roman"/>
        <family val="1"/>
      </rPr>
      <t>x</t>
    </r>
    <r>
      <rPr>
        <sz val="10"/>
        <rFont val="Times New Roman"/>
        <family val="1"/>
      </rPr>
      <t xml:space="preserve"> 2</t>
    </r>
  </si>
  <si>
    <r>
      <rPr>
        <sz val="12"/>
        <rFont val="宋体"/>
        <family val="3"/>
        <charset val="134"/>
      </rPr>
      <t>齿</t>
    </r>
    <r>
      <rPr>
        <sz val="12"/>
        <rFont val="宋体"/>
        <family val="3"/>
        <charset val="134"/>
        <scheme val="minor"/>
      </rPr>
      <t xml:space="preserve">    顶    高</t>
    </r>
  </si>
  <si>
    <r>
      <rPr>
        <sz val="12"/>
        <rFont val="宋体"/>
        <family val="3"/>
        <charset val="134"/>
      </rPr>
      <t>齿</t>
    </r>
    <r>
      <rPr>
        <sz val="12"/>
        <rFont val="宋体"/>
        <family val="3"/>
        <charset val="134"/>
        <scheme val="minor"/>
      </rPr>
      <t xml:space="preserve">    根    高</t>
    </r>
  </si>
  <si>
    <r>
      <rPr>
        <sz val="12"/>
        <rFont val="Times New Roman"/>
        <family val="1"/>
      </rPr>
      <t>h</t>
    </r>
    <r>
      <rPr>
        <sz val="10"/>
        <rFont val="Times New Roman"/>
        <family val="1"/>
      </rPr>
      <t>f2</t>
    </r>
  </si>
  <si>
    <r>
      <rPr>
        <sz val="12"/>
        <rFont val="宋体"/>
        <family val="3"/>
        <charset val="134"/>
      </rPr>
      <t>全</t>
    </r>
    <r>
      <rPr>
        <sz val="12"/>
        <rFont val="宋体"/>
        <family val="3"/>
        <charset val="134"/>
        <scheme val="minor"/>
      </rPr>
      <t xml:space="preserve">    齿    高</t>
    </r>
  </si>
  <si>
    <r>
      <rPr>
        <sz val="12"/>
        <rFont val="宋体"/>
        <family val="3"/>
        <charset val="134"/>
      </rPr>
      <t>齿</t>
    </r>
    <r>
      <rPr>
        <sz val="12"/>
        <rFont val="宋体"/>
        <family val="3"/>
        <charset val="134"/>
        <scheme val="minor"/>
      </rPr>
      <t xml:space="preserve"> 顶 圆 直 径</t>
    </r>
  </si>
  <si>
    <r>
      <rPr>
        <sz val="12"/>
        <rFont val="Times New Roman"/>
        <family val="1"/>
      </rPr>
      <t xml:space="preserve">d </t>
    </r>
    <r>
      <rPr>
        <sz val="10"/>
        <rFont val="Times New Roman"/>
        <family val="1"/>
      </rPr>
      <t>a1</t>
    </r>
  </si>
  <si>
    <r>
      <rPr>
        <sz val="12"/>
        <rFont val="Times New Roman"/>
        <family val="1"/>
      </rPr>
      <t xml:space="preserve">d </t>
    </r>
    <r>
      <rPr>
        <sz val="10"/>
        <rFont val="Times New Roman"/>
        <family val="1"/>
      </rPr>
      <t>a2</t>
    </r>
  </si>
  <si>
    <r>
      <rPr>
        <sz val="12"/>
        <rFont val="Times New Roman"/>
        <family val="1"/>
      </rPr>
      <t xml:space="preserve">d </t>
    </r>
    <r>
      <rPr>
        <sz val="10"/>
        <rFont val="Times New Roman"/>
        <family val="1"/>
      </rPr>
      <t>a1</t>
    </r>
    <r>
      <rPr>
        <sz val="12"/>
        <rFont val="Times New Roman"/>
        <family val="1"/>
      </rPr>
      <t>'</t>
    </r>
  </si>
  <si>
    <r>
      <rPr>
        <sz val="12"/>
        <rFont val="Times New Roman"/>
        <family val="1"/>
      </rPr>
      <t xml:space="preserve">d </t>
    </r>
    <r>
      <rPr>
        <sz val="10"/>
        <rFont val="Times New Roman"/>
        <family val="1"/>
      </rPr>
      <t>a2</t>
    </r>
    <r>
      <rPr>
        <sz val="12"/>
        <rFont val="Times New Roman"/>
        <family val="1"/>
      </rPr>
      <t>'</t>
    </r>
  </si>
  <si>
    <r>
      <rPr>
        <sz val="12"/>
        <rFont val="宋体"/>
        <family val="3"/>
        <charset val="134"/>
      </rPr>
      <t>齿</t>
    </r>
    <r>
      <rPr>
        <sz val="12"/>
        <rFont val="宋体"/>
        <family val="3"/>
        <charset val="134"/>
        <scheme val="minor"/>
      </rPr>
      <t xml:space="preserve"> 根 圆 直 径</t>
    </r>
  </si>
  <si>
    <r>
      <rPr>
        <sz val="12"/>
        <rFont val="Times New Roman"/>
        <family val="1"/>
      </rPr>
      <t xml:space="preserve">d </t>
    </r>
    <r>
      <rPr>
        <sz val="10"/>
        <rFont val="Times New Roman"/>
        <family val="1"/>
      </rPr>
      <t>f1</t>
    </r>
  </si>
  <si>
    <r>
      <rPr>
        <sz val="12"/>
        <rFont val="Times New Roman"/>
        <family val="1"/>
      </rPr>
      <t xml:space="preserve">d </t>
    </r>
    <r>
      <rPr>
        <sz val="10"/>
        <rFont val="Times New Roman"/>
        <family val="1"/>
      </rPr>
      <t>f2</t>
    </r>
  </si>
  <si>
    <r>
      <rPr>
        <sz val="12"/>
        <rFont val="宋体"/>
        <family val="3"/>
        <charset val="134"/>
      </rPr>
      <t>弧</t>
    </r>
    <r>
      <rPr>
        <sz val="12"/>
        <rFont val="Times New Roman"/>
        <family val="1"/>
      </rPr>
      <t xml:space="preserve">       </t>
    </r>
    <r>
      <rPr>
        <sz val="12"/>
        <rFont val="宋体"/>
        <family val="3"/>
        <charset val="134"/>
        <scheme val="minor"/>
      </rPr>
      <t xml:space="preserve">齿 </t>
    </r>
    <r>
      <rPr>
        <sz val="12"/>
        <rFont val="Times New Roman"/>
        <family val="1"/>
      </rPr>
      <t xml:space="preserve">      </t>
    </r>
    <r>
      <rPr>
        <sz val="12"/>
        <rFont val="宋体"/>
        <family val="3"/>
        <charset val="134"/>
        <scheme val="minor"/>
      </rPr>
      <t>厚</t>
    </r>
  </si>
  <si>
    <r>
      <rPr>
        <sz val="12"/>
        <rFont val="Times New Roman"/>
        <family val="1"/>
      </rPr>
      <t>S</t>
    </r>
    <r>
      <rPr>
        <sz val="10"/>
        <rFont val="Times New Roman"/>
        <family val="1"/>
      </rPr>
      <t xml:space="preserve"> n1</t>
    </r>
  </si>
  <si>
    <r>
      <rPr>
        <sz val="12"/>
        <rFont val="宋体"/>
        <family val="3"/>
        <charset val="134"/>
      </rPr>
      <t>α</t>
    </r>
    <r>
      <rPr>
        <sz val="10"/>
        <rFont val="Times New Roman"/>
        <family val="1"/>
      </rPr>
      <t>a2'</t>
    </r>
  </si>
  <si>
    <t>Sa1</t>
  </si>
  <si>
    <r>
      <rPr>
        <sz val="12"/>
        <rFont val="宋体"/>
        <family val="3"/>
        <charset val="134"/>
      </rPr>
      <t>啮</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线</t>
    </r>
    <r>
      <rPr>
        <sz val="12"/>
        <rFont val="Times New Roman"/>
        <family val="1"/>
      </rPr>
      <t xml:space="preserve"> </t>
    </r>
    <r>
      <rPr>
        <sz val="12"/>
        <rFont val="宋体"/>
        <family val="3"/>
        <charset val="134"/>
        <scheme val="minor"/>
      </rPr>
      <t>长</t>
    </r>
    <r>
      <rPr>
        <sz val="12"/>
        <rFont val="Times New Roman"/>
        <family val="1"/>
      </rPr>
      <t xml:space="preserve"> </t>
    </r>
    <r>
      <rPr>
        <sz val="12"/>
        <rFont val="宋体"/>
        <family val="3"/>
        <charset val="134"/>
        <scheme val="minor"/>
      </rPr>
      <t>度</t>
    </r>
  </si>
  <si>
    <r>
      <rPr>
        <sz val="12"/>
        <rFont val="Times New Roman"/>
        <family val="1"/>
      </rPr>
      <t>L</t>
    </r>
    <r>
      <rPr>
        <sz val="10"/>
        <rFont val="Times New Roman"/>
        <family val="1"/>
      </rPr>
      <t>f1</t>
    </r>
  </si>
  <si>
    <t>端面齿廓最小曲率半径</t>
  </si>
  <si>
    <r>
      <rPr>
        <sz val="12"/>
        <rFont val="宋体"/>
        <family val="3"/>
        <charset val="134"/>
      </rPr>
      <t>ρ</t>
    </r>
    <r>
      <rPr>
        <sz val="10"/>
        <rFont val="Times New Roman"/>
        <family val="1"/>
      </rPr>
      <t>1min</t>
    </r>
  </si>
  <si>
    <r>
      <rPr>
        <sz val="12"/>
        <rFont val="Times New Roman"/>
        <family val="1"/>
      </rPr>
      <t xml:space="preserve">Z </t>
    </r>
    <r>
      <rPr>
        <sz val="10"/>
        <rFont val="Times New Roman"/>
        <family val="1"/>
      </rPr>
      <t>min</t>
    </r>
  </si>
  <si>
    <r>
      <rPr>
        <sz val="12"/>
        <rFont val="Times New Roman"/>
        <family val="1"/>
      </rPr>
      <t xml:space="preserve">x </t>
    </r>
    <r>
      <rPr>
        <sz val="10"/>
        <rFont val="Times New Roman"/>
        <family val="1"/>
      </rPr>
      <t>min</t>
    </r>
  </si>
  <si>
    <t>插齿刀齿数</t>
  </si>
  <si>
    <t>基本截面处顶圆直径</t>
  </si>
  <si>
    <r>
      <rPr>
        <sz val="12"/>
        <rFont val="Times New Roman"/>
        <family val="1"/>
      </rPr>
      <t>d</t>
    </r>
    <r>
      <rPr>
        <sz val="10"/>
        <rFont val="Times New Roman"/>
        <family val="1"/>
      </rPr>
      <t>a00</t>
    </r>
  </si>
  <si>
    <r>
      <rPr>
        <sz val="12"/>
        <rFont val="宋体"/>
        <family val="3"/>
        <charset val="134"/>
      </rPr>
      <t>实</t>
    </r>
    <r>
      <rPr>
        <sz val="12"/>
        <rFont val="宋体"/>
        <family val="3"/>
        <charset val="134"/>
        <scheme val="minor"/>
      </rPr>
      <t>际</t>
    </r>
    <r>
      <rPr>
        <sz val="12"/>
        <rFont val="宋体"/>
        <family val="3"/>
        <charset val="134"/>
        <scheme val="minor"/>
      </rPr>
      <t>变</t>
    </r>
    <r>
      <rPr>
        <sz val="12"/>
        <rFont val="宋体"/>
        <family val="3"/>
        <charset val="134"/>
        <scheme val="minor"/>
      </rPr>
      <t>位</t>
    </r>
    <r>
      <rPr>
        <sz val="12"/>
        <rFont val="宋体"/>
        <family val="3"/>
        <charset val="134"/>
        <scheme val="minor"/>
      </rPr>
      <t>系</t>
    </r>
    <r>
      <rPr>
        <sz val="12"/>
        <rFont val="宋体"/>
        <family val="3"/>
        <charset val="134"/>
        <scheme val="minor"/>
      </rPr>
      <t>数</t>
    </r>
  </si>
  <si>
    <r>
      <rPr>
        <sz val="12"/>
        <rFont val="Times New Roman"/>
        <family val="1"/>
      </rPr>
      <t>x</t>
    </r>
    <r>
      <rPr>
        <sz val="10"/>
        <rFont val="Times New Roman"/>
        <family val="1"/>
      </rPr>
      <t>0</t>
    </r>
  </si>
  <si>
    <t>d0</t>
  </si>
  <si>
    <t>插齿刀后角</t>
  </si>
  <si>
    <r>
      <rPr>
        <sz val="12"/>
        <rFont val="Times New Roman"/>
        <family val="1"/>
      </rPr>
      <t>INV</t>
    </r>
    <r>
      <rPr>
        <sz val="12"/>
        <rFont val="宋体"/>
        <family val="3"/>
        <charset val="134"/>
        <scheme val="minor"/>
      </rPr>
      <t>α</t>
    </r>
    <r>
      <rPr>
        <sz val="10"/>
        <rFont val="Times New Roman"/>
        <family val="1"/>
      </rPr>
      <t>01</t>
    </r>
  </si>
  <si>
    <t>插齿刀与齿轮的啮合角</t>
  </si>
  <si>
    <r>
      <rPr>
        <sz val="12"/>
        <rFont val="宋体"/>
        <family val="3"/>
        <charset val="134"/>
      </rPr>
      <t>α</t>
    </r>
    <r>
      <rPr>
        <sz val="10"/>
        <rFont val="Times New Roman"/>
        <family val="1"/>
      </rPr>
      <t>01</t>
    </r>
  </si>
  <si>
    <t>插齿刀与齿轮的中心距</t>
  </si>
  <si>
    <r>
      <rPr>
        <sz val="12"/>
        <rFont val="Times New Roman"/>
        <family val="1"/>
      </rPr>
      <t>a</t>
    </r>
    <r>
      <rPr>
        <sz val="10"/>
        <rFont val="Times New Roman"/>
        <family val="1"/>
      </rPr>
      <t>01</t>
    </r>
  </si>
  <si>
    <t>插齿刀顶圆半径</t>
  </si>
  <si>
    <r>
      <rPr>
        <sz val="12"/>
        <rFont val="Times New Roman"/>
        <family val="1"/>
      </rPr>
      <t>r</t>
    </r>
    <r>
      <rPr>
        <sz val="10"/>
        <rFont val="Times New Roman"/>
        <family val="1"/>
      </rPr>
      <t>a0</t>
    </r>
  </si>
  <si>
    <t>插齿刀基圆半径</t>
  </si>
  <si>
    <r>
      <rPr>
        <sz val="12"/>
        <rFont val="Times New Roman"/>
        <family val="1"/>
      </rPr>
      <t>r</t>
    </r>
    <r>
      <rPr>
        <sz val="10"/>
        <rFont val="Times New Roman"/>
        <family val="1"/>
      </rPr>
      <t>b0</t>
    </r>
  </si>
  <si>
    <t>不产生顶切的最小啮合角</t>
  </si>
  <si>
    <r>
      <rPr>
        <sz val="12"/>
        <rFont val="宋体"/>
        <family val="3"/>
        <charset val="134"/>
      </rPr>
      <t>α</t>
    </r>
    <r>
      <rPr>
        <sz val="9"/>
        <rFont val="Times New Roman"/>
        <family val="1"/>
      </rPr>
      <t>01min</t>
    </r>
  </si>
  <si>
    <r>
      <rPr>
        <sz val="12"/>
        <rFont val="Times New Roman"/>
        <family val="1"/>
      </rPr>
      <t>INV</t>
    </r>
    <r>
      <rPr>
        <sz val="12"/>
        <rFont val="宋体"/>
        <family val="3"/>
        <charset val="134"/>
        <scheme val="minor"/>
      </rPr>
      <t>α</t>
    </r>
    <r>
      <rPr>
        <sz val="9"/>
        <rFont val="Times New Roman"/>
        <family val="1"/>
      </rPr>
      <t>01min</t>
    </r>
  </si>
  <si>
    <t>不产生顶切的最小变位系数</t>
  </si>
  <si>
    <r>
      <rPr>
        <sz val="12"/>
        <rFont val="Times New Roman"/>
        <family val="1"/>
      </rPr>
      <t>x</t>
    </r>
    <r>
      <rPr>
        <sz val="9"/>
        <rFont val="Times New Roman"/>
        <family val="1"/>
      </rPr>
      <t>0min</t>
    </r>
  </si>
  <si>
    <r>
      <rPr>
        <sz val="12"/>
        <rFont val="Times New Roman"/>
        <family val="1"/>
      </rPr>
      <t>r</t>
    </r>
    <r>
      <rPr>
        <sz val="10"/>
        <rFont val="Times New Roman"/>
        <family val="1"/>
      </rPr>
      <t>a0max</t>
    </r>
  </si>
  <si>
    <r>
      <rPr>
        <sz val="12"/>
        <color indexed="12"/>
        <rFont val="宋体"/>
        <family val="3"/>
        <charset val="134"/>
      </rPr>
      <t>α</t>
    </r>
    <r>
      <rPr>
        <sz val="10"/>
        <color indexed="12"/>
        <rFont val="Times New Roman"/>
        <family val="1"/>
      </rPr>
      <t>a</t>
    </r>
  </si>
  <si>
    <t>实际齿顶圆直径</t>
  </si>
  <si>
    <r>
      <rPr>
        <sz val="12"/>
        <color indexed="12"/>
        <rFont val="Times New Roman"/>
        <family val="1"/>
      </rPr>
      <t>d</t>
    </r>
    <r>
      <rPr>
        <sz val="10"/>
        <color indexed="12"/>
        <rFont val="Times New Roman"/>
        <family val="1"/>
      </rPr>
      <t>a0</t>
    </r>
  </si>
  <si>
    <r>
      <rPr>
        <sz val="12"/>
        <color indexed="12"/>
        <rFont val="Times New Roman"/>
        <family val="1"/>
      </rPr>
      <t>b</t>
    </r>
    <r>
      <rPr>
        <sz val="10"/>
        <color indexed="12"/>
        <rFont val="Times New Roman"/>
        <family val="1"/>
      </rPr>
      <t>0</t>
    </r>
  </si>
  <si>
    <t>实际径向变位系数</t>
  </si>
  <si>
    <r>
      <rPr>
        <sz val="12"/>
        <color indexed="12"/>
        <rFont val="Times New Roman"/>
        <family val="1"/>
      </rPr>
      <t>x</t>
    </r>
    <r>
      <rPr>
        <sz val="10"/>
        <color indexed="12"/>
        <rFont val="Times New Roman"/>
        <family val="1"/>
      </rPr>
      <t>0</t>
    </r>
  </si>
  <si>
    <t>实际法向变位系数</t>
  </si>
  <si>
    <t>xn0</t>
  </si>
  <si>
    <r>
      <rPr>
        <sz val="12"/>
        <color indexed="12"/>
        <rFont val="Times New Roman"/>
        <family val="1"/>
      </rPr>
      <t>INV</t>
    </r>
    <r>
      <rPr>
        <sz val="12"/>
        <color indexed="12"/>
        <rFont val="宋体"/>
        <family val="3"/>
        <charset val="134"/>
      </rPr>
      <t>α</t>
    </r>
    <r>
      <rPr>
        <sz val="10"/>
        <color indexed="12"/>
        <rFont val="Times New Roman"/>
        <family val="1"/>
      </rPr>
      <t>01</t>
    </r>
  </si>
  <si>
    <r>
      <rPr>
        <sz val="12"/>
        <color indexed="12"/>
        <rFont val="宋体"/>
        <family val="3"/>
        <charset val="134"/>
      </rPr>
      <t>α</t>
    </r>
    <r>
      <rPr>
        <sz val="10"/>
        <color indexed="12"/>
        <rFont val="Times New Roman"/>
        <family val="1"/>
      </rPr>
      <t>01</t>
    </r>
  </si>
  <si>
    <r>
      <rPr>
        <sz val="12"/>
        <color indexed="12"/>
        <rFont val="Times New Roman"/>
        <family val="1"/>
      </rPr>
      <t>a</t>
    </r>
    <r>
      <rPr>
        <sz val="10"/>
        <color indexed="12"/>
        <rFont val="Times New Roman"/>
        <family val="1"/>
      </rPr>
      <t>01</t>
    </r>
  </si>
  <si>
    <r>
      <rPr>
        <sz val="12"/>
        <color indexed="12"/>
        <rFont val="Times New Roman"/>
        <family val="1"/>
      </rPr>
      <t>r</t>
    </r>
    <r>
      <rPr>
        <sz val="10"/>
        <color indexed="12"/>
        <rFont val="Times New Roman"/>
        <family val="1"/>
      </rPr>
      <t>a0</t>
    </r>
  </si>
  <si>
    <r>
      <rPr>
        <sz val="12"/>
        <color indexed="12"/>
        <rFont val="Times New Roman"/>
        <family val="1"/>
      </rPr>
      <t>r</t>
    </r>
    <r>
      <rPr>
        <sz val="10"/>
        <color indexed="12"/>
        <rFont val="Times New Roman"/>
        <family val="1"/>
      </rPr>
      <t>b0</t>
    </r>
  </si>
  <si>
    <r>
      <rPr>
        <sz val="12"/>
        <color indexed="12"/>
        <rFont val="宋体"/>
        <family val="3"/>
        <charset val="134"/>
      </rPr>
      <t>α</t>
    </r>
    <r>
      <rPr>
        <sz val="9"/>
        <color indexed="12"/>
        <rFont val="Times New Roman"/>
        <family val="1"/>
      </rPr>
      <t>01min</t>
    </r>
  </si>
  <si>
    <r>
      <rPr>
        <sz val="12"/>
        <color indexed="12"/>
        <rFont val="Times New Roman"/>
        <family val="1"/>
      </rPr>
      <t>INV</t>
    </r>
    <r>
      <rPr>
        <sz val="12"/>
        <color indexed="12"/>
        <rFont val="宋体"/>
        <family val="3"/>
        <charset val="134"/>
      </rPr>
      <t>α</t>
    </r>
    <r>
      <rPr>
        <sz val="9"/>
        <color indexed="12"/>
        <rFont val="Times New Roman"/>
        <family val="1"/>
      </rPr>
      <t>01min</t>
    </r>
  </si>
  <si>
    <r>
      <rPr>
        <sz val="12"/>
        <color indexed="12"/>
        <rFont val="Times New Roman"/>
        <family val="1"/>
      </rPr>
      <t>x</t>
    </r>
    <r>
      <rPr>
        <sz val="9"/>
        <color indexed="12"/>
        <rFont val="Times New Roman"/>
        <family val="1"/>
      </rPr>
      <t>0min</t>
    </r>
  </si>
  <si>
    <r>
      <rPr>
        <sz val="12"/>
        <color indexed="12"/>
        <rFont val="Times New Roman"/>
        <family val="1"/>
      </rPr>
      <t>r</t>
    </r>
    <r>
      <rPr>
        <sz val="10"/>
        <color indexed="12"/>
        <rFont val="Times New Roman"/>
        <family val="1"/>
      </rPr>
      <t>a0max</t>
    </r>
  </si>
  <si>
    <t>剃齿</t>
  </si>
  <si>
    <t>85/10</t>
  </si>
  <si>
    <t>180/5,15</t>
  </si>
  <si>
    <t>240/5,15</t>
  </si>
  <si>
    <r>
      <rPr>
        <sz val="12"/>
        <color indexed="44"/>
        <rFont val="宋体"/>
        <family val="3"/>
        <charset val="134"/>
      </rPr>
      <t>β</t>
    </r>
    <r>
      <rPr>
        <sz val="9"/>
        <color indexed="44"/>
        <rFont val="Times New Roman"/>
        <family val="1"/>
      </rPr>
      <t>0</t>
    </r>
  </si>
  <si>
    <r>
      <rPr>
        <sz val="12"/>
        <rFont val="宋体"/>
        <family val="3"/>
        <charset val="134"/>
      </rPr>
      <t>新剃齿刀齿</t>
    </r>
    <r>
      <rPr>
        <sz val="12"/>
        <rFont val="宋体"/>
        <family val="3"/>
        <charset val="134"/>
        <scheme val="minor"/>
      </rPr>
      <t>顶圆直径</t>
    </r>
  </si>
  <si>
    <t>新剃齿刀分度圆法向弧齿厚</t>
  </si>
  <si>
    <r>
      <rPr>
        <sz val="12"/>
        <rFont val="Times New Roman"/>
        <family val="1"/>
      </rPr>
      <t>S</t>
    </r>
    <r>
      <rPr>
        <sz val="10"/>
        <rFont val="Times New Roman"/>
        <family val="1"/>
      </rPr>
      <t>n0</t>
    </r>
  </si>
  <si>
    <t>剃齿刀齿数</t>
  </si>
  <si>
    <t>剃齿刀螺旋角</t>
  </si>
  <si>
    <r>
      <rPr>
        <sz val="12"/>
        <rFont val="宋体"/>
        <family val="3"/>
        <charset val="134"/>
      </rPr>
      <t>验算剃齿刀齿</t>
    </r>
    <r>
      <rPr>
        <sz val="12"/>
        <rFont val="宋体"/>
        <family val="3"/>
        <charset val="134"/>
        <scheme val="minor"/>
      </rPr>
      <t>顶圆直径</t>
    </r>
  </si>
  <si>
    <t>剃齿刀端面模数</t>
  </si>
  <si>
    <r>
      <rPr>
        <sz val="12"/>
        <rFont val="Times New Roman"/>
        <family val="1"/>
      </rPr>
      <t>m</t>
    </r>
    <r>
      <rPr>
        <sz val="10"/>
        <rFont val="Times New Roman"/>
        <family val="1"/>
      </rPr>
      <t>0t</t>
    </r>
  </si>
  <si>
    <t>剃齿刀端面压力角</t>
  </si>
  <si>
    <r>
      <rPr>
        <sz val="12"/>
        <rFont val="宋体"/>
        <family val="3"/>
        <charset val="134"/>
      </rPr>
      <t>α</t>
    </r>
    <r>
      <rPr>
        <sz val="10"/>
        <rFont val="Times New Roman"/>
        <family val="1"/>
      </rPr>
      <t>0t</t>
    </r>
  </si>
  <si>
    <r>
      <rPr>
        <sz val="10"/>
        <rFont val="Times New Roman"/>
        <family val="1"/>
      </rPr>
      <t>INV</t>
    </r>
    <r>
      <rPr>
        <sz val="12"/>
        <rFont val="宋体"/>
        <family val="3"/>
        <charset val="134"/>
        <scheme val="minor"/>
      </rPr>
      <t>α</t>
    </r>
    <r>
      <rPr>
        <sz val="10"/>
        <rFont val="Times New Roman"/>
        <family val="1"/>
      </rPr>
      <t>0t</t>
    </r>
  </si>
  <si>
    <r>
      <rPr>
        <sz val="12"/>
        <rFont val="Times New Roman"/>
        <family val="1"/>
      </rPr>
      <t>d</t>
    </r>
    <r>
      <rPr>
        <sz val="10"/>
        <rFont val="Times New Roman"/>
        <family val="1"/>
      </rPr>
      <t>0</t>
    </r>
  </si>
  <si>
    <r>
      <rPr>
        <sz val="12"/>
        <rFont val="Times New Roman"/>
        <family val="1"/>
      </rPr>
      <t>d</t>
    </r>
    <r>
      <rPr>
        <sz val="10"/>
        <rFont val="Times New Roman"/>
        <family val="1"/>
      </rPr>
      <t>0b</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</si>
  <si>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基</t>
    </r>
    <r>
      <rPr>
        <sz val="12"/>
        <rFont val="Times New Roman"/>
        <family val="1"/>
      </rPr>
      <t xml:space="preserve">    </t>
    </r>
    <r>
      <rPr>
        <sz val="12"/>
        <rFont val="宋体"/>
        <family val="3"/>
        <charset val="134"/>
        <scheme val="minor"/>
      </rPr>
      <t>节</t>
    </r>
  </si>
  <si>
    <r>
      <rPr>
        <sz val="12"/>
        <rFont val="Times New Roman"/>
        <family val="1"/>
      </rPr>
      <t>P</t>
    </r>
    <r>
      <rPr>
        <sz val="10"/>
        <rFont val="Times New Roman"/>
        <family val="1"/>
      </rPr>
      <t>bn</t>
    </r>
  </si>
  <si>
    <r>
      <rPr>
        <sz val="12"/>
        <rFont val="宋体"/>
        <family val="3"/>
        <charset val="134"/>
      </rPr>
      <t>基</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柱</t>
    </r>
    <r>
      <rPr>
        <sz val="12"/>
        <rFont val="Times New Roman"/>
        <family val="1"/>
      </rPr>
      <t xml:space="preserve"> </t>
    </r>
    <r>
      <rPr>
        <sz val="12"/>
        <rFont val="宋体"/>
        <family val="3"/>
        <charset val="134"/>
        <scheme val="minor"/>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</si>
  <si>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r>
      <rPr>
        <sz val="12"/>
        <rFont val="宋体"/>
        <family val="3"/>
        <charset val="134"/>
      </rPr>
      <t>β</t>
    </r>
    <r>
      <rPr>
        <sz val="9"/>
        <rFont val="Times New Roman"/>
        <family val="1"/>
      </rPr>
      <t>0b</t>
    </r>
  </si>
  <si>
    <t>验算剃齿刀分度圆法向弧齿厚</t>
  </si>
  <si>
    <t>验算剃齿刀分度圆端面弧齿厚</t>
  </si>
  <si>
    <r>
      <rPr>
        <sz val="12"/>
        <rFont val="Times New Roman"/>
        <family val="1"/>
      </rPr>
      <t>S</t>
    </r>
    <r>
      <rPr>
        <sz val="10"/>
        <rFont val="Times New Roman"/>
        <family val="1"/>
      </rPr>
      <t>t0</t>
    </r>
  </si>
  <si>
    <t>剃齿刀端面变位系数</t>
  </si>
  <si>
    <r>
      <rPr>
        <sz val="12"/>
        <rFont val="Times New Roman"/>
        <family val="1"/>
      </rPr>
      <t>x</t>
    </r>
    <r>
      <rPr>
        <sz val="10"/>
        <rFont val="Times New Roman"/>
        <family val="1"/>
      </rPr>
      <t>0t</t>
    </r>
  </si>
  <si>
    <t>剃齿刀法向变位系数</t>
  </si>
  <si>
    <r>
      <rPr>
        <sz val="12"/>
        <rFont val="Times New Roman"/>
        <family val="1"/>
      </rPr>
      <t>x</t>
    </r>
    <r>
      <rPr>
        <sz val="10"/>
        <rFont val="Times New Roman"/>
        <family val="1"/>
      </rPr>
      <t>0n</t>
    </r>
  </si>
  <si>
    <t>剃齿刀端面啮合角</t>
  </si>
  <si>
    <r>
      <rPr>
        <sz val="12"/>
        <rFont val="宋体"/>
        <family val="3"/>
        <charset val="134"/>
      </rPr>
      <t>α</t>
    </r>
    <r>
      <rPr>
        <sz val="10"/>
        <rFont val="Times New Roman"/>
        <family val="1"/>
      </rPr>
      <t>0t</t>
    </r>
    <r>
      <rPr>
        <sz val="12"/>
        <rFont val="Times New Roman"/>
        <family val="1"/>
      </rPr>
      <t>'</t>
    </r>
  </si>
  <si>
    <t>剃齿刀法向啮合角</t>
  </si>
  <si>
    <r>
      <rPr>
        <sz val="12"/>
        <rFont val="宋体"/>
        <family val="3"/>
        <charset val="134"/>
      </rPr>
      <t>α</t>
    </r>
    <r>
      <rPr>
        <sz val="10"/>
        <rFont val="Times New Roman"/>
        <family val="1"/>
      </rPr>
      <t>0n</t>
    </r>
    <r>
      <rPr>
        <sz val="12"/>
        <rFont val="Times New Roman"/>
        <family val="1"/>
      </rPr>
      <t>'</t>
    </r>
  </si>
  <si>
    <t>齿轮端面啮合角</t>
  </si>
  <si>
    <r>
      <rPr>
        <sz val="12"/>
        <rFont val="宋体"/>
        <family val="3"/>
        <charset val="134"/>
      </rPr>
      <t>α</t>
    </r>
    <r>
      <rPr>
        <sz val="10"/>
        <rFont val="Times New Roman"/>
        <family val="1"/>
      </rPr>
      <t>1t</t>
    </r>
    <r>
      <rPr>
        <sz val="12"/>
        <rFont val="Times New Roman"/>
        <family val="1"/>
      </rPr>
      <t>'</t>
    </r>
  </si>
  <si>
    <t>齿轮法向啮合角</t>
  </si>
  <si>
    <r>
      <rPr>
        <sz val="12"/>
        <rFont val="宋体"/>
        <family val="3"/>
        <charset val="134"/>
      </rPr>
      <t>α</t>
    </r>
    <r>
      <rPr>
        <sz val="10"/>
        <rFont val="Times New Roman"/>
        <family val="1"/>
      </rPr>
      <t>1n</t>
    </r>
    <r>
      <rPr>
        <sz val="12"/>
        <rFont val="Times New Roman"/>
        <family val="1"/>
      </rPr>
      <t>'</t>
    </r>
  </si>
  <si>
    <r>
      <rPr>
        <sz val="12"/>
        <rFont val="Times New Roman"/>
        <family val="1"/>
      </rPr>
      <t>d</t>
    </r>
    <r>
      <rPr>
        <sz val="10"/>
        <rFont val="Times New Roman"/>
        <family val="1"/>
      </rPr>
      <t>0</t>
    </r>
    <r>
      <rPr>
        <sz val="12"/>
        <rFont val="Times New Roman"/>
        <family val="1"/>
      </rPr>
      <t>'</t>
    </r>
  </si>
  <si>
    <r>
      <rPr>
        <sz val="12"/>
        <rFont val="Times New Roman"/>
        <family val="1"/>
      </rPr>
      <t>d</t>
    </r>
    <r>
      <rPr>
        <sz val="10"/>
        <rFont val="Times New Roman"/>
        <family val="1"/>
      </rPr>
      <t>1</t>
    </r>
    <r>
      <rPr>
        <sz val="12"/>
        <rFont val="Times New Roman"/>
        <family val="1"/>
      </rPr>
      <t>'</t>
    </r>
  </si>
  <si>
    <t>剃齿刀与齿轮的中心距</t>
  </si>
  <si>
    <r>
      <rPr>
        <sz val="12"/>
        <rFont val="宋体"/>
        <family val="3"/>
        <charset val="134"/>
      </rPr>
      <t>节</t>
    </r>
    <r>
      <rPr>
        <sz val="12"/>
        <rFont val="Times New Roman"/>
        <family val="1"/>
      </rPr>
      <t xml:space="preserve">  </t>
    </r>
    <r>
      <rPr>
        <sz val="12"/>
        <rFont val="宋体"/>
        <family val="3"/>
        <charset val="134"/>
        <scheme val="minor"/>
      </rPr>
      <t>圆</t>
    </r>
    <r>
      <rPr>
        <sz val="12"/>
        <rFont val="Times New Roman"/>
        <family val="1"/>
      </rPr>
      <t xml:space="preserve">  </t>
    </r>
    <r>
      <rPr>
        <sz val="12"/>
        <rFont val="宋体"/>
        <family val="3"/>
        <charset val="134"/>
        <scheme val="minor"/>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</si>
  <si>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r>
      <rPr>
        <sz val="12"/>
        <rFont val="宋体"/>
        <family val="3"/>
        <charset val="134"/>
      </rPr>
      <t>β</t>
    </r>
    <r>
      <rPr>
        <sz val="9"/>
        <rFont val="Times New Roman"/>
        <family val="1"/>
      </rPr>
      <t>0b</t>
    </r>
    <r>
      <rPr>
        <sz val="12"/>
        <rFont val="Times New Roman"/>
        <family val="1"/>
      </rPr>
      <t>'</t>
    </r>
  </si>
  <si>
    <r>
      <rPr>
        <sz val="12"/>
        <rFont val="宋体"/>
        <family val="3"/>
        <charset val="134"/>
      </rPr>
      <t>β</t>
    </r>
    <r>
      <rPr>
        <sz val="9"/>
        <rFont val="Times New Roman"/>
        <family val="1"/>
      </rPr>
      <t>1b</t>
    </r>
    <r>
      <rPr>
        <sz val="12"/>
        <rFont val="Times New Roman"/>
        <family val="1"/>
      </rPr>
      <t>'</t>
    </r>
  </si>
  <si>
    <t>剃齿刀与齿轮的啮合线长度</t>
  </si>
  <si>
    <r>
      <rPr>
        <sz val="12"/>
        <rFont val="Times New Roman"/>
        <family val="1"/>
      </rPr>
      <t>L</t>
    </r>
    <r>
      <rPr>
        <sz val="10"/>
        <rFont val="Times New Roman"/>
        <family val="1"/>
      </rPr>
      <t>01</t>
    </r>
  </si>
  <si>
    <t>剃齿刀与齿轮有效啮合线长度</t>
  </si>
  <si>
    <r>
      <rPr>
        <sz val="12"/>
        <rFont val="Times New Roman"/>
        <family val="1"/>
      </rPr>
      <t>L</t>
    </r>
    <r>
      <rPr>
        <sz val="10"/>
        <rFont val="Times New Roman"/>
        <family val="1"/>
      </rPr>
      <t>01'</t>
    </r>
  </si>
  <si>
    <r>
      <rPr>
        <sz val="12"/>
        <rFont val="Times New Roman"/>
        <family val="1"/>
      </rPr>
      <t xml:space="preserve">c </t>
    </r>
    <r>
      <rPr>
        <sz val="10"/>
        <rFont val="Times New Roman"/>
        <family val="1"/>
      </rPr>
      <t>01</t>
    </r>
  </si>
  <si>
    <t>剃齿刀与齿轮的实际轴交角</t>
  </si>
  <si>
    <t>端面齿廓最大曲率半径</t>
  </si>
  <si>
    <r>
      <rPr>
        <sz val="12"/>
        <rFont val="宋体"/>
        <family val="3"/>
        <charset val="134"/>
      </rPr>
      <t>ρ</t>
    </r>
    <r>
      <rPr>
        <sz val="10"/>
        <rFont val="Times New Roman"/>
        <family val="1"/>
      </rPr>
      <t>0max</t>
    </r>
  </si>
  <si>
    <r>
      <rPr>
        <sz val="12"/>
        <rFont val="Times New Roman"/>
        <family val="1"/>
      </rPr>
      <t>W</t>
    </r>
    <r>
      <rPr>
        <sz val="9"/>
        <rFont val="Times New Roman"/>
        <family val="1"/>
      </rPr>
      <t>min</t>
    </r>
  </si>
  <si>
    <r>
      <rPr>
        <sz val="10"/>
        <color indexed="10"/>
        <rFont val="宋体"/>
        <family val="3"/>
        <charset val="134"/>
      </rPr>
      <t>以下是输出数据，请打印：</t>
    </r>
    <r>
      <rPr>
        <sz val="10"/>
        <color indexed="10"/>
        <rFont val="Times New Roman"/>
        <family val="1"/>
      </rPr>
      <t>*********************************************************************</t>
    </r>
  </si>
  <si>
    <t xml:space="preserve">            外齿轮插齿、剃齿验算 </t>
  </si>
  <si>
    <r>
      <rPr>
        <sz val="10"/>
        <rFont val="宋体"/>
        <family val="3"/>
        <charset val="134"/>
      </rPr>
      <t>编</t>
    </r>
    <r>
      <rPr>
        <sz val="10"/>
        <rFont val="Times New Roman"/>
        <family val="1"/>
      </rPr>
      <t xml:space="preserve">     </t>
    </r>
    <r>
      <rPr>
        <sz val="10"/>
        <rFont val="宋体"/>
        <family val="3"/>
        <charset val="134"/>
      </rPr>
      <t>号：</t>
    </r>
  </si>
  <si>
    <r>
      <rPr>
        <sz val="10"/>
        <rFont val="宋体"/>
        <family val="3"/>
        <charset val="134"/>
      </rPr>
      <t>订</t>
    </r>
    <r>
      <rPr>
        <sz val="10"/>
        <rFont val="宋体"/>
        <family val="3"/>
        <charset val="134"/>
      </rPr>
      <t>货</t>
    </r>
    <r>
      <rPr>
        <sz val="10"/>
        <rFont val="宋体"/>
        <family val="3"/>
        <charset val="134"/>
      </rPr>
      <t>号：</t>
    </r>
  </si>
  <si>
    <r>
      <rPr>
        <sz val="10"/>
        <rFont val="宋体"/>
        <family val="3"/>
        <charset val="134"/>
      </rPr>
      <t>日</t>
    </r>
    <r>
      <rPr>
        <sz val="10"/>
        <rFont val="Times New Roman"/>
        <family val="1"/>
      </rPr>
      <t xml:space="preserve">     </t>
    </r>
    <r>
      <rPr>
        <sz val="10"/>
        <rFont val="宋体"/>
        <family val="3"/>
        <charset val="134"/>
      </rPr>
      <t>期：</t>
    </r>
  </si>
  <si>
    <t>符号</t>
  </si>
  <si>
    <t>数            据</t>
  </si>
  <si>
    <t>工件几何参数：</t>
  </si>
  <si>
    <r>
      <rPr>
        <sz val="12"/>
        <rFont val="Times New Roman"/>
        <family val="1"/>
      </rPr>
      <t>Z</t>
    </r>
    <r>
      <rPr>
        <sz val="9"/>
        <rFont val="Times New Roman"/>
        <family val="1"/>
      </rPr>
      <t xml:space="preserve"> 1</t>
    </r>
  </si>
  <si>
    <r>
      <rPr>
        <sz val="12"/>
        <rFont val="Times New Roman"/>
        <family val="1"/>
      </rPr>
      <t>Z</t>
    </r>
    <r>
      <rPr>
        <sz val="9"/>
        <rFont val="Times New Roman"/>
        <family val="1"/>
      </rPr>
      <t xml:space="preserve"> 2</t>
    </r>
  </si>
  <si>
    <t>切齿的可行性：</t>
  </si>
  <si>
    <r>
      <rPr>
        <b/>
        <sz val="11"/>
        <rFont val="Times New Roman"/>
        <family val="1"/>
      </rPr>
      <t>1.</t>
    </r>
    <r>
      <rPr>
        <b/>
        <sz val="11"/>
        <rFont val="宋体"/>
        <family val="3"/>
        <charset val="134"/>
      </rPr>
      <t>齿条形刀具切齿</t>
    </r>
  </si>
  <si>
    <r>
      <rPr>
        <sz val="12"/>
        <rFont val="宋体"/>
        <family val="3"/>
        <charset val="134"/>
      </rPr>
      <t>是</t>
    </r>
    <r>
      <rPr>
        <sz val="12"/>
        <rFont val="Times New Roman"/>
        <family val="1"/>
      </rPr>
      <t xml:space="preserve">    </t>
    </r>
    <r>
      <rPr>
        <sz val="12"/>
        <rFont val="宋体"/>
        <family val="3"/>
        <charset val="134"/>
        <scheme val="minor"/>
      </rPr>
      <t>否</t>
    </r>
    <r>
      <rPr>
        <sz val="12"/>
        <rFont val="Times New Roman"/>
        <family val="1"/>
      </rPr>
      <t xml:space="preserve">    </t>
    </r>
    <r>
      <rPr>
        <sz val="12"/>
        <rFont val="宋体"/>
        <family val="3"/>
        <charset val="134"/>
        <scheme val="minor"/>
      </rPr>
      <t>根</t>
    </r>
    <r>
      <rPr>
        <sz val="12"/>
        <rFont val="Times New Roman"/>
        <family val="1"/>
      </rPr>
      <t xml:space="preserve">    </t>
    </r>
    <r>
      <rPr>
        <sz val="12"/>
        <rFont val="宋体"/>
        <family val="3"/>
        <charset val="134"/>
        <scheme val="minor"/>
      </rPr>
      <t>切</t>
    </r>
  </si>
  <si>
    <r>
      <rPr>
        <b/>
        <sz val="11"/>
        <rFont val="Times New Roman"/>
        <family val="1"/>
      </rPr>
      <t>2.</t>
    </r>
    <r>
      <rPr>
        <b/>
        <sz val="11"/>
        <rFont val="宋体"/>
        <family val="3"/>
        <charset val="134"/>
      </rPr>
      <t>常用标准直齿插齿刀插齿</t>
    </r>
  </si>
  <si>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</si>
  <si>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2"/>
        <rFont val="Times New Roman"/>
        <family val="1"/>
      </rPr>
      <t xml:space="preserve">b </t>
    </r>
    <r>
      <rPr>
        <sz val="9"/>
        <rFont val="Times New Roman"/>
        <family val="1"/>
      </rPr>
      <t>0</t>
    </r>
  </si>
  <si>
    <r>
      <rPr>
        <b/>
        <sz val="10"/>
        <rFont val="Times New Roman"/>
        <family val="1"/>
      </rPr>
      <t xml:space="preserve">     </t>
    </r>
    <r>
      <rPr>
        <b/>
        <sz val="10"/>
        <rFont val="宋体"/>
        <family val="3"/>
        <charset val="134"/>
      </rPr>
      <t>评价：</t>
    </r>
  </si>
  <si>
    <r>
      <rPr>
        <sz val="12"/>
        <rFont val="宋体"/>
        <family val="3"/>
        <charset val="134"/>
      </rPr>
      <t>是</t>
    </r>
    <r>
      <rPr>
        <sz val="12"/>
        <rFont val="Times New Roman"/>
        <family val="1"/>
      </rPr>
      <t xml:space="preserve">    </t>
    </r>
    <r>
      <rPr>
        <sz val="12"/>
        <rFont val="宋体"/>
        <family val="3"/>
        <charset val="134"/>
        <scheme val="minor"/>
      </rPr>
      <t>否</t>
    </r>
    <r>
      <rPr>
        <sz val="12"/>
        <rFont val="Times New Roman"/>
        <family val="1"/>
      </rPr>
      <t xml:space="preserve">    </t>
    </r>
    <r>
      <rPr>
        <sz val="12"/>
        <rFont val="宋体"/>
        <family val="3"/>
        <charset val="134"/>
        <scheme val="minor"/>
      </rPr>
      <t>顶</t>
    </r>
    <r>
      <rPr>
        <sz val="12"/>
        <rFont val="Times New Roman"/>
        <family val="1"/>
      </rPr>
      <t xml:space="preserve">    </t>
    </r>
    <r>
      <rPr>
        <sz val="12"/>
        <rFont val="宋体"/>
        <family val="3"/>
        <charset val="134"/>
        <scheme val="minor"/>
      </rPr>
      <t>切</t>
    </r>
  </si>
  <si>
    <r>
      <rPr>
        <b/>
        <sz val="11"/>
        <rFont val="Times New Roman"/>
        <family val="1"/>
      </rPr>
      <t>3.</t>
    </r>
    <r>
      <rPr>
        <b/>
        <sz val="11"/>
        <rFont val="宋体"/>
        <family val="3"/>
        <charset val="134"/>
      </rPr>
      <t>其它插齿刀插齿</t>
    </r>
  </si>
  <si>
    <r>
      <rPr>
        <sz val="12"/>
        <rFont val="宋体"/>
        <family val="3"/>
        <charset val="134"/>
      </rPr>
      <t>插</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后</t>
    </r>
    <r>
      <rPr>
        <sz val="12"/>
        <rFont val="Times New Roman"/>
        <family val="1"/>
      </rPr>
      <t xml:space="preserve">  </t>
    </r>
    <r>
      <rPr>
        <sz val="12"/>
        <rFont val="宋体"/>
        <family val="3"/>
        <charset val="134"/>
        <scheme val="minor"/>
      </rPr>
      <t>角</t>
    </r>
  </si>
  <si>
    <r>
      <rPr>
        <sz val="12"/>
        <rFont val="宋体"/>
        <family val="3"/>
        <charset val="134"/>
      </rPr>
      <t>插</t>
    </r>
    <r>
      <rPr>
        <sz val="12"/>
        <rFont val="宋体"/>
        <family val="3"/>
        <charset val="134"/>
        <scheme val="minor"/>
      </rPr>
      <t>齿</t>
    </r>
    <r>
      <rPr>
        <sz val="12"/>
        <rFont val="宋体"/>
        <family val="3"/>
        <charset val="134"/>
        <scheme val="minor"/>
      </rPr>
      <t>刀</t>
    </r>
    <r>
      <rPr>
        <sz val="12"/>
        <rFont val="宋体"/>
        <family val="3"/>
        <charset val="134"/>
        <scheme val="minor"/>
      </rPr>
      <t>螺</t>
    </r>
    <r>
      <rPr>
        <sz val="12"/>
        <rFont val="宋体"/>
        <family val="3"/>
        <charset val="134"/>
        <scheme val="minor"/>
      </rPr>
      <t>旋</t>
    </r>
    <r>
      <rPr>
        <sz val="12"/>
        <rFont val="Times New Roman"/>
        <family val="1"/>
      </rPr>
      <t xml:space="preserve"> </t>
    </r>
    <r>
      <rPr>
        <sz val="12"/>
        <rFont val="宋体"/>
        <family val="3"/>
        <charset val="134"/>
        <scheme val="minor"/>
      </rPr>
      <t>方向</t>
    </r>
  </si>
  <si>
    <r>
      <rPr>
        <b/>
        <sz val="11"/>
        <rFont val="Times New Roman"/>
        <family val="1"/>
      </rPr>
      <t>4.</t>
    </r>
    <r>
      <rPr>
        <b/>
        <sz val="11"/>
        <rFont val="宋体"/>
        <family val="3"/>
        <charset val="134"/>
      </rPr>
      <t>常用标准剃齿刀</t>
    </r>
  </si>
  <si>
    <r>
      <rPr>
        <sz val="12"/>
        <rFont val="宋体"/>
        <family val="3"/>
        <charset val="134"/>
      </rPr>
      <t>剃</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数</t>
    </r>
  </si>
  <si>
    <r>
      <rPr>
        <sz val="10"/>
        <rFont val="Times New Roman"/>
        <family val="1"/>
      </rPr>
      <t xml:space="preserve">Z </t>
    </r>
    <r>
      <rPr>
        <sz val="8"/>
        <rFont val="Times New Roman"/>
        <family val="1"/>
      </rPr>
      <t>0</t>
    </r>
  </si>
  <si>
    <r>
      <rPr>
        <sz val="12"/>
        <rFont val="宋体"/>
        <family val="3"/>
        <charset val="134"/>
      </rPr>
      <t>剃</t>
    </r>
    <r>
      <rPr>
        <sz val="12"/>
        <rFont val="Times New Roman"/>
        <family val="1"/>
      </rPr>
      <t xml:space="preserve"> </t>
    </r>
    <r>
      <rPr>
        <sz val="12"/>
        <rFont val="宋体"/>
        <family val="3"/>
        <charset val="134"/>
        <scheme val="minor"/>
      </rPr>
      <t>齿</t>
    </r>
    <r>
      <rPr>
        <sz val="12"/>
        <rFont val="Times New Roman"/>
        <family val="1"/>
      </rPr>
      <t xml:space="preserve"> </t>
    </r>
    <r>
      <rPr>
        <sz val="12"/>
        <rFont val="宋体"/>
        <family val="3"/>
        <charset val="134"/>
        <scheme val="minor"/>
      </rPr>
      <t>刀</t>
    </r>
    <r>
      <rPr>
        <sz val="12"/>
        <rFont val="Times New Roman"/>
        <family val="1"/>
      </rPr>
      <t xml:space="preserve"> </t>
    </r>
    <r>
      <rPr>
        <sz val="12"/>
        <rFont val="宋体"/>
        <family val="3"/>
        <charset val="134"/>
        <scheme val="minor"/>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</si>
  <si>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t>剃齿刀法向弧齿厚</t>
  </si>
  <si>
    <r>
      <rPr>
        <sz val="11"/>
        <rFont val="宋体"/>
        <family val="3"/>
        <charset val="134"/>
      </rPr>
      <t>Σ</t>
    </r>
    <r>
      <rPr>
        <sz val="9"/>
        <rFont val="Times New Roman"/>
        <family val="1"/>
      </rPr>
      <t>01</t>
    </r>
    <r>
      <rPr>
        <sz val="12"/>
        <rFont val="Times New Roman"/>
        <family val="1"/>
      </rPr>
      <t>'</t>
    </r>
  </si>
  <si>
    <t>剃齿刀与工件啮合中心距</t>
  </si>
  <si>
    <r>
      <rPr>
        <sz val="12"/>
        <rFont val="Times New Roman"/>
        <family val="1"/>
      </rPr>
      <t xml:space="preserve">c </t>
    </r>
    <r>
      <rPr>
        <sz val="9"/>
        <rFont val="Times New Roman"/>
        <family val="1"/>
      </rPr>
      <t>0</t>
    </r>
    <r>
      <rPr>
        <sz val="12"/>
        <rFont val="Times New Roman"/>
        <family val="1"/>
      </rPr>
      <t>*</t>
    </r>
  </si>
  <si>
    <t>台肩或另一联齿轮外径</t>
  </si>
  <si>
    <r>
      <rPr>
        <sz val="12"/>
        <rFont val="宋体"/>
        <family val="3"/>
        <charset val="134"/>
      </rPr>
      <t>实</t>
    </r>
    <r>
      <rPr>
        <sz val="12"/>
        <rFont val="Times New Roman"/>
        <family val="1"/>
      </rPr>
      <t xml:space="preserve">  </t>
    </r>
    <r>
      <rPr>
        <sz val="12"/>
        <rFont val="宋体"/>
        <family val="3"/>
        <charset val="134"/>
        <scheme val="minor"/>
      </rPr>
      <t>际</t>
    </r>
    <r>
      <rPr>
        <sz val="12"/>
        <rFont val="Times New Roman"/>
        <family val="1"/>
      </rPr>
      <t xml:space="preserve">  </t>
    </r>
    <r>
      <rPr>
        <sz val="12"/>
        <rFont val="宋体"/>
        <family val="3"/>
        <charset val="134"/>
        <scheme val="minor"/>
      </rPr>
      <t>轴</t>
    </r>
    <r>
      <rPr>
        <sz val="12"/>
        <rFont val="Times New Roman"/>
        <family val="1"/>
      </rPr>
      <t xml:space="preserve">  </t>
    </r>
    <r>
      <rPr>
        <sz val="12"/>
        <rFont val="宋体"/>
        <family val="3"/>
        <charset val="134"/>
        <scheme val="minor"/>
      </rPr>
      <t>交</t>
    </r>
    <r>
      <rPr>
        <sz val="12"/>
        <rFont val="Times New Roman"/>
        <family val="1"/>
      </rPr>
      <t xml:space="preserve">  </t>
    </r>
    <r>
      <rPr>
        <sz val="12"/>
        <rFont val="宋体"/>
        <family val="3"/>
        <charset val="134"/>
        <scheme val="minor"/>
      </rPr>
      <t>角</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</si>
  <si>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重</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度</t>
    </r>
  </si>
  <si>
    <t>齿根端面啮合线超越量</t>
  </si>
  <si>
    <r>
      <rPr>
        <b/>
        <sz val="11"/>
        <rFont val="Times New Roman"/>
        <family val="1"/>
      </rPr>
      <t>5.</t>
    </r>
    <r>
      <rPr>
        <b/>
        <sz val="11"/>
        <rFont val="宋体"/>
        <family val="3"/>
        <charset val="134"/>
      </rPr>
      <t>其它剃齿刀</t>
    </r>
  </si>
  <si>
    <r>
      <rPr>
        <sz val="10"/>
        <color indexed="10"/>
        <rFont val="宋体"/>
        <family val="3"/>
        <charset val="134"/>
      </rPr>
      <t>打印终止</t>
    </r>
    <r>
      <rPr>
        <sz val="10"/>
        <color indexed="10"/>
        <rFont val="Times New Roman"/>
        <family val="1"/>
      </rPr>
      <t>*************************************************************************************</t>
    </r>
  </si>
  <si>
    <t xml:space="preserve">                交错轴斜齿轮传动计算</t>
  </si>
  <si>
    <r>
      <rPr>
        <b/>
        <sz val="10"/>
        <color indexed="23"/>
        <rFont val="宋体"/>
        <family val="3"/>
        <charset val="134"/>
      </rPr>
      <t>说明：</t>
    </r>
    <r>
      <rPr>
        <sz val="10"/>
        <color indexed="23"/>
        <rFont val="宋体"/>
        <family val="3"/>
        <charset val="134"/>
      </rPr>
      <t>本程序适用于交错轴斜齿轮传动的设计计算。</t>
    </r>
    <r>
      <rPr>
        <sz val="10"/>
        <color indexed="23"/>
        <rFont val="Times New Roman"/>
        <family val="1"/>
      </rPr>
      <t xml:space="preserve">  </t>
    </r>
    <r>
      <rPr>
        <sz val="10"/>
        <color indexed="23"/>
        <rFont val="宋体"/>
        <family val="3"/>
        <charset val="134"/>
      </rPr>
      <t>公差数值是按照法向模数 1 至 10 毫米，分度圆直径 800 毫米</t>
    </r>
  </si>
  <si>
    <r>
      <rPr>
        <sz val="10"/>
        <color indexed="23"/>
        <rFont val="Times New Roman"/>
        <family val="1"/>
      </rPr>
      <t xml:space="preserve">              </t>
    </r>
    <r>
      <rPr>
        <sz val="10"/>
        <color indexed="23"/>
        <rFont val="宋体"/>
        <family val="3"/>
        <charset val="134"/>
      </rPr>
      <t>以下，精度等级 3、4、5、6、7、8 级设定的。可进行几何参数计算和传动质量指标的验算。</t>
    </r>
  </si>
  <si>
    <r>
      <rPr>
        <b/>
        <sz val="10"/>
        <color indexed="23"/>
        <rFont val="宋体"/>
        <family val="3"/>
        <charset val="134"/>
      </rPr>
      <t>主要参考书目：</t>
    </r>
    <r>
      <rPr>
        <sz val="10"/>
        <color indexed="23"/>
        <rFont val="宋体"/>
        <family val="3"/>
        <charset val="134"/>
      </rPr>
      <t>《齿轮手册》</t>
    </r>
    <r>
      <rPr>
        <sz val="10"/>
        <color indexed="23"/>
        <rFont val="Times New Roman"/>
        <family val="1"/>
      </rPr>
      <t xml:space="preserve"> </t>
    </r>
    <r>
      <rPr>
        <sz val="10"/>
        <color indexed="23"/>
        <rFont val="宋体"/>
        <family val="3"/>
        <charset val="134"/>
      </rPr>
      <t>上、下册，</t>
    </r>
    <r>
      <rPr>
        <sz val="10"/>
        <color indexed="23"/>
        <rFont val="Times New Roman"/>
        <family val="1"/>
      </rPr>
      <t xml:space="preserve">    </t>
    </r>
    <r>
      <rPr>
        <sz val="10"/>
        <color indexed="23"/>
        <rFont val="宋体"/>
        <family val="3"/>
        <charset val="134"/>
      </rPr>
      <t>《机床设计手册》</t>
    </r>
    <r>
      <rPr>
        <sz val="10"/>
        <color indexed="23"/>
        <rFont val="Times New Roman"/>
        <family val="1"/>
      </rPr>
      <t xml:space="preserve"> 2  </t>
    </r>
    <r>
      <rPr>
        <sz val="10"/>
        <color indexed="23"/>
        <rFont val="宋体"/>
        <family val="3"/>
        <charset val="134"/>
      </rPr>
      <t>上册</t>
    </r>
  </si>
  <si>
    <r>
      <rPr>
        <sz val="10"/>
        <color indexed="23"/>
        <rFont val="Times New Roman"/>
        <family val="1"/>
      </rPr>
      <t xml:space="preserve">    </t>
    </r>
    <r>
      <rPr>
        <sz val="10"/>
        <color indexed="23"/>
        <rFont val="宋体"/>
        <family val="3"/>
        <charset val="134"/>
      </rPr>
      <t>程序设计：</t>
    </r>
    <r>
      <rPr>
        <sz val="10"/>
        <color indexed="23"/>
        <rFont val="Times New Roman"/>
        <family val="1"/>
      </rPr>
      <t xml:space="preserve">    </t>
    </r>
    <r>
      <rPr>
        <sz val="10"/>
        <color indexed="23"/>
        <rFont val="宋体"/>
        <family val="3"/>
        <charset val="134"/>
      </rPr>
      <t>邓时俊   2002.05</t>
    </r>
  </si>
  <si>
    <r>
      <rPr>
        <sz val="10"/>
        <rFont val="宋体"/>
        <family val="3"/>
        <charset val="134"/>
      </rPr>
      <t>订</t>
    </r>
    <r>
      <rPr>
        <sz val="10"/>
        <rFont val="Times New Roman"/>
        <family val="1"/>
      </rPr>
      <t xml:space="preserve">  </t>
    </r>
    <r>
      <rPr>
        <sz val="10"/>
        <rFont val="宋体"/>
        <family val="3"/>
        <charset val="134"/>
      </rPr>
      <t>货</t>
    </r>
    <r>
      <rPr>
        <sz val="10"/>
        <rFont val="Times New Roman"/>
        <family val="1"/>
      </rPr>
      <t xml:space="preserve">  </t>
    </r>
    <r>
      <rPr>
        <sz val="10"/>
        <rFont val="宋体"/>
        <family val="3"/>
        <charset val="134"/>
      </rPr>
      <t>号：</t>
    </r>
  </si>
  <si>
    <r>
      <rPr>
        <b/>
        <sz val="10"/>
        <color indexed="12"/>
        <rFont val="宋体"/>
        <family val="3"/>
        <charset val="134"/>
      </rPr>
      <t>说明：</t>
    </r>
    <r>
      <rPr>
        <sz val="10"/>
        <color indexed="12"/>
        <rFont val="宋体"/>
        <family val="3"/>
        <charset val="134"/>
      </rPr>
      <t>本程序设置下列两种模式，分别输入代码</t>
    </r>
    <r>
      <rPr>
        <sz val="10"/>
        <color indexed="12"/>
        <rFont val="Times New Roman"/>
        <family val="1"/>
      </rPr>
      <t xml:space="preserve"> </t>
    </r>
    <r>
      <rPr>
        <b/>
        <sz val="10"/>
        <color indexed="10"/>
        <rFont val="Times New Roman"/>
        <family val="1"/>
      </rPr>
      <t>1</t>
    </r>
    <r>
      <rPr>
        <sz val="10"/>
        <color indexed="12"/>
        <rFont val="Times New Roman"/>
        <family val="1"/>
      </rPr>
      <t xml:space="preserve"> </t>
    </r>
    <r>
      <rPr>
        <sz val="10"/>
        <color indexed="12"/>
        <rFont val="宋体"/>
        <family val="3"/>
        <charset val="134"/>
      </rPr>
      <t>或</t>
    </r>
    <r>
      <rPr>
        <sz val="10"/>
        <color indexed="12"/>
        <rFont val="Times New Roman"/>
        <family val="1"/>
      </rPr>
      <t xml:space="preserve"> </t>
    </r>
    <r>
      <rPr>
        <b/>
        <sz val="10"/>
        <color indexed="10"/>
        <rFont val="Times New Roman"/>
        <family val="1"/>
      </rPr>
      <t>2</t>
    </r>
  </si>
  <si>
    <r>
      <rPr>
        <sz val="10"/>
        <color indexed="12"/>
        <rFont val="宋体"/>
        <family val="3"/>
        <charset val="134"/>
      </rPr>
      <t xml:space="preserve">代码 </t>
    </r>
    <r>
      <rPr>
        <b/>
        <sz val="10"/>
        <color indexed="10"/>
        <rFont val="宋体"/>
        <family val="3"/>
        <charset val="134"/>
      </rPr>
      <t>1</t>
    </r>
    <r>
      <rPr>
        <sz val="10"/>
        <color indexed="12"/>
        <rFont val="宋体"/>
        <family val="3"/>
        <charset val="134"/>
      </rPr>
      <t xml:space="preserve">——轴交角 </t>
    </r>
    <r>
      <rPr>
        <sz val="10"/>
        <color indexed="10"/>
        <rFont val="宋体"/>
        <family val="3"/>
        <charset val="134"/>
      </rPr>
      <t xml:space="preserve">90 </t>
    </r>
    <r>
      <rPr>
        <sz val="10"/>
        <color indexed="12"/>
        <rFont val="宋体"/>
        <family val="3"/>
        <charset val="134"/>
      </rPr>
      <t>度的非变位、高变位螺旋齿轮传动（已定中心距、传动比，未定齿数）</t>
    </r>
  </si>
  <si>
    <r>
      <rPr>
        <sz val="10"/>
        <color indexed="12"/>
        <rFont val="宋体"/>
        <family val="3"/>
        <charset val="134"/>
      </rPr>
      <t xml:space="preserve">代码 </t>
    </r>
    <r>
      <rPr>
        <b/>
        <sz val="10"/>
        <color indexed="10"/>
        <rFont val="宋体"/>
        <family val="3"/>
        <charset val="134"/>
      </rPr>
      <t>2</t>
    </r>
    <r>
      <rPr>
        <sz val="10"/>
        <color indexed="12"/>
        <rFont val="宋体"/>
        <family val="3"/>
        <charset val="134"/>
      </rPr>
      <t>——任意轴交角的非变位、高变位、角变位螺旋齿轮传动（已定齿数、螺旋角、变位系数，未定中心距）</t>
    </r>
  </si>
  <si>
    <r>
      <rPr>
        <sz val="12"/>
        <rFont val="宋体"/>
        <family val="3"/>
        <charset val="134"/>
      </rPr>
      <t>代</t>
    </r>
    <r>
      <rPr>
        <sz val="12"/>
        <rFont val="Times New Roman"/>
        <family val="1"/>
      </rPr>
      <t xml:space="preserve">               </t>
    </r>
    <r>
      <rPr>
        <sz val="12"/>
        <rFont val="宋体"/>
        <family val="3"/>
        <charset val="134"/>
        <scheme val="minor"/>
      </rPr>
      <t>码</t>
    </r>
  </si>
  <si>
    <r>
      <rPr>
        <sz val="12"/>
        <rFont val="宋体"/>
        <family val="3"/>
        <charset val="134"/>
      </rPr>
      <t>法</t>
    </r>
    <r>
      <rPr>
        <sz val="12"/>
        <rFont val="Times New Roman"/>
        <family val="1"/>
      </rPr>
      <t xml:space="preserve">  </t>
    </r>
    <r>
      <rPr>
        <sz val="12"/>
        <rFont val="宋体"/>
        <family val="3"/>
        <charset val="134"/>
        <scheme val="minor"/>
      </rPr>
      <t>向</t>
    </r>
    <r>
      <rPr>
        <sz val="12"/>
        <rFont val="Times New Roman"/>
        <family val="1"/>
      </rPr>
      <t xml:space="preserve">  </t>
    </r>
    <r>
      <rPr>
        <sz val="12"/>
        <rFont val="宋体"/>
        <family val="3"/>
        <charset val="134"/>
        <scheme val="minor"/>
      </rPr>
      <t>模</t>
    </r>
    <r>
      <rPr>
        <sz val="12"/>
        <rFont val="Times New Roman"/>
        <family val="1"/>
      </rPr>
      <t xml:space="preserve">  </t>
    </r>
    <r>
      <rPr>
        <sz val="12"/>
        <rFont val="宋体"/>
        <family val="3"/>
        <charset val="134"/>
        <scheme val="minor"/>
      </rPr>
      <t>数</t>
    </r>
  </si>
  <si>
    <r>
      <rPr>
        <sz val="12"/>
        <rFont val="宋体"/>
        <family val="3"/>
        <charset val="134"/>
      </rPr>
      <t>α</t>
    </r>
    <r>
      <rPr>
        <sz val="10"/>
        <rFont val="宋体"/>
        <family val="3"/>
        <charset val="134"/>
      </rPr>
      <t>n</t>
    </r>
  </si>
  <si>
    <r>
      <rPr>
        <sz val="12"/>
        <rFont val="宋体"/>
        <family val="3"/>
        <charset val="134"/>
      </rPr>
      <t>有</t>
    </r>
    <r>
      <rPr>
        <sz val="12"/>
        <rFont val="Times New Roman"/>
        <family val="1"/>
      </rPr>
      <t xml:space="preserve">  </t>
    </r>
    <r>
      <rPr>
        <sz val="12"/>
        <rFont val="宋体"/>
        <family val="3"/>
        <charset val="134"/>
        <scheme val="minor"/>
      </rPr>
      <t>效</t>
    </r>
    <r>
      <rPr>
        <sz val="12"/>
        <rFont val="Times New Roman"/>
        <family val="1"/>
      </rPr>
      <t xml:space="preserve">  </t>
    </r>
    <r>
      <rPr>
        <sz val="12"/>
        <rFont val="宋体"/>
        <family val="3"/>
        <charset val="134"/>
        <scheme val="minor"/>
      </rPr>
      <t xml:space="preserve">齿 </t>
    </r>
    <r>
      <rPr>
        <sz val="12"/>
        <rFont val="Times New Roman"/>
        <family val="1"/>
      </rPr>
      <t xml:space="preserve"> </t>
    </r>
    <r>
      <rPr>
        <sz val="12"/>
        <rFont val="宋体"/>
        <family val="3"/>
        <charset val="134"/>
        <scheme val="minor"/>
      </rPr>
      <t>宽</t>
    </r>
  </si>
  <si>
    <r>
      <rPr>
        <sz val="12"/>
        <rFont val="Times New Roman"/>
        <family val="1"/>
      </rPr>
      <t>b</t>
    </r>
    <r>
      <rPr>
        <sz val="10"/>
        <rFont val="Times New Roman"/>
        <family val="1"/>
      </rPr>
      <t>a1</t>
    </r>
  </si>
  <si>
    <r>
      <rPr>
        <sz val="12"/>
        <rFont val="Times New Roman"/>
        <family val="1"/>
      </rPr>
      <t>b</t>
    </r>
    <r>
      <rPr>
        <sz val="10"/>
        <rFont val="Times New Roman"/>
        <family val="1"/>
      </rPr>
      <t>a2</t>
    </r>
  </si>
  <si>
    <r>
      <rPr>
        <sz val="12"/>
        <rFont val="宋体"/>
        <family val="3"/>
        <charset val="134"/>
      </rPr>
      <t>齿</t>
    </r>
    <r>
      <rPr>
        <sz val="12"/>
        <rFont val="Times New Roman"/>
        <family val="1"/>
      </rPr>
      <t xml:space="preserve"> </t>
    </r>
    <r>
      <rPr>
        <sz val="12"/>
        <rFont val="宋体"/>
        <family val="3"/>
        <charset val="134"/>
        <scheme val="minor"/>
      </rPr>
      <t>宽</t>
    </r>
    <r>
      <rPr>
        <sz val="12"/>
        <rFont val="Times New Roman"/>
        <family val="1"/>
      </rPr>
      <t xml:space="preserve"> </t>
    </r>
    <r>
      <rPr>
        <sz val="12"/>
        <rFont val="宋体"/>
        <family val="3"/>
        <charset val="134"/>
        <scheme val="minor"/>
      </rPr>
      <t>计</t>
    </r>
    <r>
      <rPr>
        <sz val="12"/>
        <rFont val="Times New Roman"/>
        <family val="1"/>
      </rPr>
      <t xml:space="preserve"> </t>
    </r>
    <r>
      <rPr>
        <sz val="12"/>
        <rFont val="宋体"/>
        <family val="3"/>
        <charset val="134"/>
        <scheme val="minor"/>
      </rPr>
      <t>算</t>
    </r>
    <r>
      <rPr>
        <sz val="12"/>
        <rFont val="Times New Roman"/>
        <family val="1"/>
      </rPr>
      <t xml:space="preserve"> </t>
    </r>
    <r>
      <rPr>
        <sz val="12"/>
        <rFont val="宋体"/>
        <family val="3"/>
        <charset val="134"/>
        <scheme val="minor"/>
      </rPr>
      <t>值</t>
    </r>
  </si>
  <si>
    <r>
      <rPr>
        <sz val="12"/>
        <rFont val="Times New Roman"/>
        <family val="1"/>
      </rPr>
      <t>b</t>
    </r>
    <r>
      <rPr>
        <sz val="10"/>
        <rFont val="Times New Roman"/>
        <family val="1"/>
      </rPr>
      <t>10</t>
    </r>
  </si>
  <si>
    <r>
      <rPr>
        <sz val="12"/>
        <rFont val="Times New Roman"/>
        <family val="1"/>
      </rPr>
      <t>b</t>
    </r>
    <r>
      <rPr>
        <sz val="10"/>
        <rFont val="Times New Roman"/>
        <family val="1"/>
      </rPr>
      <t>20</t>
    </r>
  </si>
  <si>
    <r>
      <rPr>
        <sz val="12"/>
        <rFont val="宋体"/>
        <family val="3"/>
        <charset val="134"/>
      </rPr>
      <t>齿</t>
    </r>
    <r>
      <rPr>
        <sz val="12"/>
        <rFont val="Times New Roman"/>
        <family val="1"/>
      </rPr>
      <t xml:space="preserve"> </t>
    </r>
    <r>
      <rPr>
        <sz val="12"/>
        <rFont val="宋体"/>
        <family val="3"/>
        <charset val="134"/>
        <scheme val="minor"/>
      </rPr>
      <t>宽</t>
    </r>
    <r>
      <rPr>
        <sz val="12"/>
        <rFont val="Times New Roman"/>
        <family val="1"/>
      </rPr>
      <t xml:space="preserve"> </t>
    </r>
    <r>
      <rPr>
        <sz val="12"/>
        <rFont val="宋体"/>
        <family val="3"/>
        <charset val="134"/>
        <scheme val="minor"/>
      </rPr>
      <t>实</t>
    </r>
    <r>
      <rPr>
        <sz val="12"/>
        <rFont val="Times New Roman"/>
        <family val="1"/>
      </rPr>
      <t xml:space="preserve"> </t>
    </r>
    <r>
      <rPr>
        <sz val="12"/>
        <rFont val="宋体"/>
        <family val="3"/>
        <charset val="134"/>
        <scheme val="minor"/>
      </rPr>
      <t>际</t>
    </r>
    <r>
      <rPr>
        <sz val="12"/>
        <rFont val="Times New Roman"/>
        <family val="1"/>
      </rPr>
      <t xml:space="preserve"> </t>
    </r>
    <r>
      <rPr>
        <sz val="12"/>
        <rFont val="宋体"/>
        <family val="3"/>
        <charset val="134"/>
        <scheme val="minor"/>
      </rPr>
      <t>值</t>
    </r>
  </si>
  <si>
    <r>
      <rPr>
        <sz val="12"/>
        <rFont val="Times New Roman"/>
        <family val="1"/>
      </rPr>
      <t>b</t>
    </r>
    <r>
      <rPr>
        <sz val="10"/>
        <rFont val="Times New Roman"/>
        <family val="1"/>
      </rPr>
      <t>1</t>
    </r>
  </si>
  <si>
    <r>
      <rPr>
        <sz val="12"/>
        <rFont val="Times New Roman"/>
        <family val="1"/>
      </rPr>
      <t>b</t>
    </r>
    <r>
      <rPr>
        <sz val="10"/>
        <rFont val="Times New Roman"/>
        <family val="1"/>
      </rPr>
      <t>2</t>
    </r>
  </si>
  <si>
    <r>
      <rPr>
        <sz val="10"/>
        <color indexed="12"/>
        <rFont val="宋体"/>
        <family val="3"/>
        <charset val="134"/>
      </rPr>
      <t>注：如不输入，则默认 ha* =</t>
    </r>
    <r>
      <rPr>
        <b/>
        <sz val="10"/>
        <color indexed="10"/>
        <rFont val="宋体"/>
        <family val="3"/>
        <charset val="134"/>
      </rPr>
      <t>1</t>
    </r>
  </si>
  <si>
    <r>
      <rPr>
        <sz val="12"/>
        <rFont val="宋体"/>
        <family val="3"/>
        <charset val="134"/>
      </rPr>
      <t>顶</t>
    </r>
    <r>
      <rPr>
        <sz val="12"/>
        <rFont val="Times New Roman"/>
        <family val="1"/>
      </rPr>
      <t xml:space="preserve">  </t>
    </r>
    <r>
      <rPr>
        <sz val="12"/>
        <rFont val="宋体"/>
        <family val="3"/>
        <charset val="134"/>
        <scheme val="minor"/>
      </rPr>
      <t>隙</t>
    </r>
    <r>
      <rPr>
        <sz val="12"/>
        <rFont val="Times New Roman"/>
        <family val="1"/>
      </rPr>
      <t xml:space="preserve">  </t>
    </r>
    <r>
      <rPr>
        <sz val="12"/>
        <rFont val="宋体"/>
        <family val="3"/>
        <charset val="134"/>
        <scheme val="minor"/>
      </rPr>
      <t>系</t>
    </r>
    <r>
      <rPr>
        <sz val="12"/>
        <rFont val="Times New Roman"/>
        <family val="1"/>
      </rPr>
      <t xml:space="preserve">  </t>
    </r>
    <r>
      <rPr>
        <sz val="12"/>
        <rFont val="宋体"/>
        <family val="3"/>
        <charset val="134"/>
        <scheme val="minor"/>
      </rPr>
      <t>数</t>
    </r>
  </si>
  <si>
    <r>
      <rPr>
        <sz val="10"/>
        <color indexed="12"/>
        <rFont val="宋体"/>
        <family val="3"/>
        <charset val="134"/>
      </rPr>
      <t xml:space="preserve">注：如不输入，则默认 c* = </t>
    </r>
    <r>
      <rPr>
        <b/>
        <sz val="10"/>
        <color indexed="10"/>
        <rFont val="宋体"/>
        <family val="3"/>
        <charset val="134"/>
      </rPr>
      <t>0.25</t>
    </r>
  </si>
  <si>
    <r>
      <rPr>
        <sz val="12"/>
        <rFont val="宋体"/>
        <family val="3"/>
        <charset val="134"/>
      </rPr>
      <t>齿</t>
    </r>
    <r>
      <rPr>
        <sz val="12"/>
        <rFont val="Times New Roman"/>
        <family val="1"/>
      </rPr>
      <t xml:space="preserve">              </t>
    </r>
    <r>
      <rPr>
        <sz val="12"/>
        <rFont val="宋体"/>
        <family val="3"/>
        <charset val="134"/>
        <scheme val="minor"/>
      </rPr>
      <t>数</t>
    </r>
  </si>
  <si>
    <t>Z1</t>
  </si>
  <si>
    <t>Z2</t>
  </si>
  <si>
    <r>
      <rPr>
        <sz val="12"/>
        <rFont val="宋体"/>
        <family val="3"/>
        <charset val="134"/>
      </rPr>
      <t>传</t>
    </r>
    <r>
      <rPr>
        <sz val="12"/>
        <rFont val="Times New Roman"/>
        <family val="1"/>
      </rPr>
      <t xml:space="preserve">     </t>
    </r>
    <r>
      <rPr>
        <sz val="12"/>
        <rFont val="宋体"/>
        <family val="3"/>
        <charset val="134"/>
        <scheme val="minor"/>
      </rPr>
      <t>动</t>
    </r>
    <r>
      <rPr>
        <sz val="12"/>
        <rFont val="Times New Roman"/>
        <family val="1"/>
      </rPr>
      <t xml:space="preserve">      </t>
    </r>
    <r>
      <rPr>
        <sz val="12"/>
        <rFont val="宋体"/>
        <family val="3"/>
        <charset val="134"/>
        <scheme val="minor"/>
      </rPr>
      <t>比</t>
    </r>
  </si>
  <si>
    <t>u</t>
  </si>
  <si>
    <t>( Z2 / Z1 )</t>
  </si>
  <si>
    <r>
      <rPr>
        <sz val="12"/>
        <rFont val="宋体"/>
        <family val="3"/>
        <charset val="134"/>
      </rPr>
      <t>螺</t>
    </r>
    <r>
      <rPr>
        <sz val="12"/>
        <rFont val="Times New Roman"/>
        <family val="1"/>
      </rPr>
      <t xml:space="preserve">     </t>
    </r>
    <r>
      <rPr>
        <sz val="12"/>
        <rFont val="宋体"/>
        <family val="3"/>
        <charset val="134"/>
        <scheme val="minor"/>
      </rPr>
      <t>旋</t>
    </r>
    <r>
      <rPr>
        <sz val="12"/>
        <rFont val="Times New Roman"/>
        <family val="1"/>
      </rPr>
      <t xml:space="preserve">     </t>
    </r>
    <r>
      <rPr>
        <sz val="12"/>
        <rFont val="宋体"/>
        <family val="3"/>
        <charset val="134"/>
        <scheme val="minor"/>
      </rPr>
      <t>角</t>
    </r>
  </si>
  <si>
    <r>
      <rPr>
        <sz val="10"/>
        <color indexed="12"/>
        <rFont val="宋体"/>
        <family val="3"/>
        <charset val="134"/>
      </rPr>
      <t>注：铸铁—</t>
    </r>
    <r>
      <rPr>
        <sz val="10"/>
        <color indexed="10"/>
        <rFont val="Times New Roman"/>
        <family val="1"/>
      </rPr>
      <t xml:space="preserve">C </t>
    </r>
    <r>
      <rPr>
        <sz val="10"/>
        <color indexed="10"/>
        <rFont val="宋体"/>
        <family val="3"/>
        <charset val="134"/>
      </rPr>
      <t>（或不输入）</t>
    </r>
    <r>
      <rPr>
        <sz val="10"/>
        <color indexed="12"/>
        <rFont val="宋体"/>
        <family val="3"/>
        <charset val="134"/>
      </rPr>
      <t>，</t>
    </r>
    <r>
      <rPr>
        <sz val="10"/>
        <color indexed="12"/>
        <rFont val="Times New Roman"/>
        <family val="1"/>
      </rPr>
      <t xml:space="preserve"> </t>
    </r>
    <r>
      <rPr>
        <sz val="10"/>
        <color indexed="12"/>
        <rFont val="宋体"/>
        <family val="3"/>
        <charset val="134"/>
      </rPr>
      <t>钢—</t>
    </r>
    <r>
      <rPr>
        <sz val="10"/>
        <color indexed="10"/>
        <rFont val="Times New Roman"/>
        <family val="1"/>
      </rPr>
      <t>S</t>
    </r>
    <r>
      <rPr>
        <sz val="10"/>
        <color indexed="12"/>
        <rFont val="宋体"/>
        <family val="3"/>
        <charset val="134"/>
      </rPr>
      <t>，</t>
    </r>
    <r>
      <rPr>
        <sz val="10"/>
        <color indexed="12"/>
        <rFont val="Times New Roman"/>
        <family val="1"/>
      </rPr>
      <t xml:space="preserve">  </t>
    </r>
    <r>
      <rPr>
        <sz val="10"/>
        <color indexed="12"/>
        <rFont val="宋体"/>
        <family val="3"/>
        <charset val="134"/>
      </rPr>
      <t>铝（镁）合金—</t>
    </r>
    <r>
      <rPr>
        <sz val="10"/>
        <color indexed="10"/>
        <rFont val="Times New Roman"/>
        <family val="1"/>
      </rPr>
      <t>A</t>
    </r>
    <r>
      <rPr>
        <sz val="10"/>
        <color indexed="12"/>
        <rFont val="Times New Roman"/>
        <family val="1"/>
      </rPr>
      <t xml:space="preserve">  </t>
    </r>
    <r>
      <rPr>
        <sz val="10"/>
        <color indexed="12"/>
        <rFont val="宋体"/>
        <family val="3"/>
        <charset val="134"/>
      </rPr>
      <t>（齿轮副材料—钢）</t>
    </r>
    <r>
      <rPr>
        <sz val="10"/>
        <color indexed="12"/>
        <rFont val="Times New Roman"/>
        <family val="1"/>
      </rPr>
      <t>"</t>
    </r>
  </si>
  <si>
    <r>
      <rPr>
        <sz val="12"/>
        <rFont val="Times New Roman"/>
        <family val="1"/>
      </rPr>
      <t xml:space="preserve">° </t>
    </r>
    <r>
      <rPr>
        <sz val="12"/>
        <rFont val="宋体"/>
        <family val="3"/>
        <charset val="134"/>
        <scheme val="minor"/>
      </rPr>
      <t>C</t>
    </r>
  </si>
  <si>
    <r>
      <rPr>
        <sz val="10"/>
        <color indexed="12"/>
        <rFont val="宋体"/>
        <family val="3"/>
        <charset val="134"/>
      </rPr>
      <t xml:space="preserve">注：如不输入，则默认齿轮副温度为 </t>
    </r>
    <r>
      <rPr>
        <sz val="10"/>
        <color indexed="10"/>
        <rFont val="宋体"/>
        <family val="3"/>
        <charset val="134"/>
      </rPr>
      <t>8</t>
    </r>
    <r>
      <rPr>
        <sz val="10"/>
        <color indexed="10"/>
        <rFont val="Times New Roman"/>
        <family val="1"/>
      </rPr>
      <t>0° C</t>
    </r>
  </si>
  <si>
    <r>
      <rPr>
        <sz val="10"/>
        <color indexed="12"/>
        <rFont val="宋体"/>
        <family val="3"/>
        <charset val="134"/>
      </rPr>
      <t xml:space="preserve">注：如不输入，则默认箱体温度为 </t>
    </r>
    <r>
      <rPr>
        <sz val="10"/>
        <color indexed="10"/>
        <rFont val="宋体"/>
        <family val="3"/>
        <charset val="134"/>
      </rPr>
      <t>6</t>
    </r>
    <r>
      <rPr>
        <sz val="10"/>
        <color indexed="10"/>
        <rFont val="Times New Roman"/>
        <family val="1"/>
      </rPr>
      <t>0° C</t>
    </r>
  </si>
  <si>
    <r>
      <rPr>
        <sz val="10"/>
        <color indexed="12"/>
        <rFont val="宋体"/>
        <family val="3"/>
        <charset val="134"/>
      </rPr>
      <t>注：齿厚极限偏差共</t>
    </r>
    <r>
      <rPr>
        <sz val="10"/>
        <color indexed="10"/>
        <rFont val="Times New Roman"/>
        <family val="1"/>
      </rPr>
      <t xml:space="preserve">14 </t>
    </r>
    <r>
      <rPr>
        <sz val="10"/>
        <color indexed="12"/>
        <rFont val="宋体"/>
        <family val="3"/>
        <charset val="134"/>
      </rPr>
      <t>种，越往后间隙越大：</t>
    </r>
    <r>
      <rPr>
        <sz val="10"/>
        <color indexed="10"/>
        <rFont val="Times New Roman"/>
        <family val="1"/>
      </rPr>
      <t>C</t>
    </r>
    <r>
      <rPr>
        <sz val="10"/>
        <color indexed="12"/>
        <rFont val="Times New Roman"/>
        <family val="1"/>
      </rPr>
      <t>=+fpt</t>
    </r>
    <r>
      <rPr>
        <sz val="10"/>
        <color indexed="12"/>
        <rFont val="宋体"/>
        <family val="3"/>
        <charset val="134"/>
      </rPr>
      <t>，</t>
    </r>
    <r>
      <rPr>
        <sz val="10"/>
        <color indexed="10"/>
        <rFont val="宋体"/>
        <family val="3"/>
        <charset val="134"/>
      </rPr>
      <t>D</t>
    </r>
    <r>
      <rPr>
        <sz val="10"/>
        <color indexed="12"/>
        <rFont val="宋体"/>
        <family val="3"/>
        <charset val="134"/>
      </rPr>
      <t>=0，</t>
    </r>
    <r>
      <rPr>
        <sz val="10"/>
        <color indexed="10"/>
        <rFont val="宋体"/>
        <family val="3"/>
        <charset val="134"/>
      </rPr>
      <t>E</t>
    </r>
    <r>
      <rPr>
        <sz val="10"/>
        <color indexed="12"/>
        <rFont val="宋体"/>
        <family val="3"/>
        <charset val="134"/>
      </rPr>
      <t>=-2fpt，</t>
    </r>
    <r>
      <rPr>
        <sz val="10"/>
        <color indexed="10"/>
        <rFont val="宋体"/>
        <family val="3"/>
        <charset val="134"/>
      </rPr>
      <t>F</t>
    </r>
    <r>
      <rPr>
        <sz val="10"/>
        <color indexed="12"/>
        <rFont val="宋体"/>
        <family val="3"/>
        <charset val="134"/>
      </rPr>
      <t>=-4fpt，</t>
    </r>
  </si>
  <si>
    <r>
      <rPr>
        <sz val="10"/>
        <color indexed="12"/>
        <rFont val="Times New Roman"/>
        <family val="1"/>
      </rPr>
      <t xml:space="preserve">        </t>
    </r>
    <r>
      <rPr>
        <sz val="10"/>
        <color indexed="10"/>
        <rFont val="宋体"/>
        <family val="3"/>
        <charset val="134"/>
      </rPr>
      <t>G</t>
    </r>
    <r>
      <rPr>
        <sz val="10"/>
        <color indexed="12"/>
        <rFont val="宋体"/>
        <family val="3"/>
        <charset val="134"/>
      </rPr>
      <t>，</t>
    </r>
    <r>
      <rPr>
        <sz val="10"/>
        <color indexed="10"/>
        <rFont val="宋体"/>
        <family val="3"/>
        <charset val="134"/>
      </rPr>
      <t>H</t>
    </r>
    <r>
      <rPr>
        <sz val="10"/>
        <color indexed="12"/>
        <rFont val="宋体"/>
        <family val="3"/>
        <charset val="134"/>
      </rPr>
      <t>，</t>
    </r>
    <r>
      <rPr>
        <sz val="10"/>
        <color indexed="10"/>
        <rFont val="宋体"/>
        <family val="3"/>
        <charset val="134"/>
      </rPr>
      <t>J</t>
    </r>
    <r>
      <rPr>
        <sz val="10"/>
        <color indexed="12"/>
        <rFont val="宋体"/>
        <family val="3"/>
        <charset val="134"/>
      </rPr>
      <t>，</t>
    </r>
    <r>
      <rPr>
        <sz val="10"/>
        <color indexed="10"/>
        <rFont val="宋体"/>
        <family val="3"/>
        <charset val="134"/>
      </rPr>
      <t>K</t>
    </r>
    <r>
      <rPr>
        <sz val="10"/>
        <color indexed="12"/>
        <rFont val="宋体"/>
        <family val="3"/>
        <charset val="134"/>
      </rPr>
      <t>，</t>
    </r>
    <r>
      <rPr>
        <sz val="10"/>
        <color indexed="10"/>
        <rFont val="宋体"/>
        <family val="3"/>
        <charset val="134"/>
      </rPr>
      <t>L</t>
    </r>
    <r>
      <rPr>
        <sz val="10"/>
        <color indexed="12"/>
        <rFont val="宋体"/>
        <family val="3"/>
        <charset val="134"/>
      </rPr>
      <t>，</t>
    </r>
    <r>
      <rPr>
        <sz val="10"/>
        <color indexed="10"/>
        <rFont val="宋体"/>
        <family val="3"/>
        <charset val="134"/>
      </rPr>
      <t>M</t>
    </r>
    <r>
      <rPr>
        <sz val="10"/>
        <color indexed="12"/>
        <rFont val="宋体"/>
        <family val="3"/>
        <charset val="134"/>
      </rPr>
      <t>，</t>
    </r>
    <r>
      <rPr>
        <sz val="10"/>
        <color indexed="10"/>
        <rFont val="宋体"/>
        <family val="3"/>
        <charset val="134"/>
      </rPr>
      <t>N</t>
    </r>
    <r>
      <rPr>
        <sz val="10"/>
        <color indexed="12"/>
        <rFont val="宋体"/>
        <family val="3"/>
        <charset val="134"/>
      </rPr>
      <t>，</t>
    </r>
    <r>
      <rPr>
        <sz val="10"/>
        <color indexed="10"/>
        <rFont val="宋体"/>
        <family val="3"/>
        <charset val="134"/>
      </rPr>
      <t>P</t>
    </r>
    <r>
      <rPr>
        <sz val="10"/>
        <color indexed="12"/>
        <rFont val="宋体"/>
        <family val="3"/>
        <charset val="134"/>
      </rPr>
      <t>，</t>
    </r>
    <r>
      <rPr>
        <sz val="10"/>
        <color indexed="10"/>
        <rFont val="宋体"/>
        <family val="3"/>
        <charset val="134"/>
      </rPr>
      <t>R</t>
    </r>
    <r>
      <rPr>
        <sz val="10"/>
        <color indexed="12"/>
        <rFont val="宋体"/>
        <family val="3"/>
        <charset val="134"/>
      </rPr>
      <t>=-40f</t>
    </r>
    <r>
      <rPr>
        <sz val="8"/>
        <color indexed="12"/>
        <rFont val="宋体"/>
        <family val="3"/>
        <charset val="134"/>
      </rPr>
      <t>pt</t>
    </r>
    <r>
      <rPr>
        <sz val="10"/>
        <color indexed="12"/>
        <rFont val="宋体"/>
        <family val="3"/>
        <charset val="134"/>
      </rPr>
      <t>，</t>
    </r>
    <r>
      <rPr>
        <sz val="10"/>
        <color indexed="10"/>
        <rFont val="宋体"/>
        <family val="3"/>
        <charset val="134"/>
      </rPr>
      <t>S</t>
    </r>
    <r>
      <rPr>
        <sz val="10"/>
        <color indexed="12"/>
        <rFont val="宋体"/>
        <family val="3"/>
        <charset val="134"/>
      </rPr>
      <t>=-50f</t>
    </r>
    <r>
      <rPr>
        <sz val="8"/>
        <color indexed="12"/>
        <rFont val="宋体"/>
        <family val="3"/>
        <charset val="134"/>
      </rPr>
      <t xml:space="preserve">pt </t>
    </r>
    <r>
      <rPr>
        <sz val="10"/>
        <color indexed="12"/>
        <rFont val="宋体"/>
        <family val="3"/>
        <charset val="134"/>
      </rPr>
      <t>（单位：微米）</t>
    </r>
  </si>
  <si>
    <r>
      <rPr>
        <sz val="12"/>
        <rFont val="宋体"/>
        <family val="3"/>
        <charset val="134"/>
      </rPr>
      <t>E</t>
    </r>
    <r>
      <rPr>
        <sz val="10"/>
        <rFont val="宋体"/>
        <family val="3"/>
        <charset val="134"/>
      </rPr>
      <t>ss1</t>
    </r>
  </si>
  <si>
    <r>
      <rPr>
        <sz val="12"/>
        <rFont val="宋体"/>
        <family val="3"/>
        <charset val="134"/>
      </rPr>
      <t>E</t>
    </r>
    <r>
      <rPr>
        <sz val="10"/>
        <rFont val="宋体"/>
        <family val="3"/>
        <charset val="134"/>
      </rPr>
      <t>si1</t>
    </r>
  </si>
  <si>
    <r>
      <rPr>
        <sz val="12"/>
        <rFont val="宋体"/>
        <family val="3"/>
        <charset val="134"/>
      </rPr>
      <t>E</t>
    </r>
    <r>
      <rPr>
        <sz val="10"/>
        <rFont val="宋体"/>
        <family val="3"/>
        <charset val="134"/>
      </rPr>
      <t>ss2</t>
    </r>
  </si>
  <si>
    <r>
      <rPr>
        <sz val="12"/>
        <rFont val="宋体"/>
        <family val="3"/>
        <charset val="134"/>
      </rPr>
      <t>E</t>
    </r>
    <r>
      <rPr>
        <sz val="10"/>
        <rFont val="宋体"/>
        <family val="3"/>
        <charset val="134"/>
      </rPr>
      <t>si2</t>
    </r>
  </si>
  <si>
    <r>
      <rPr>
        <b/>
        <sz val="12"/>
        <rFont val="宋体"/>
        <family val="3"/>
        <charset val="134"/>
      </rPr>
      <t>齿</t>
    </r>
    <r>
      <rPr>
        <b/>
        <sz val="12"/>
        <rFont val="Times New Roman"/>
        <family val="1"/>
      </rPr>
      <t xml:space="preserve"> </t>
    </r>
    <r>
      <rPr>
        <b/>
        <sz val="12"/>
        <rFont val="宋体"/>
        <family val="3"/>
        <charset val="134"/>
      </rPr>
      <t xml:space="preserve">轮 </t>
    </r>
    <r>
      <rPr>
        <b/>
        <sz val="12"/>
        <rFont val="Times New Roman"/>
        <family val="1"/>
      </rPr>
      <t xml:space="preserve"> 1</t>
    </r>
  </si>
  <si>
    <r>
      <rPr>
        <b/>
        <sz val="12"/>
        <rFont val="宋体"/>
        <family val="3"/>
        <charset val="134"/>
      </rPr>
      <t>齿</t>
    </r>
    <r>
      <rPr>
        <b/>
        <sz val="12"/>
        <rFont val="Times New Roman"/>
        <family val="1"/>
      </rPr>
      <t xml:space="preserve"> </t>
    </r>
    <r>
      <rPr>
        <b/>
        <sz val="12"/>
        <rFont val="宋体"/>
        <family val="3"/>
        <charset val="134"/>
      </rPr>
      <t xml:space="preserve">轮 </t>
    </r>
    <r>
      <rPr>
        <b/>
        <sz val="12"/>
        <rFont val="Times New Roman"/>
        <family val="1"/>
      </rPr>
      <t xml:space="preserve"> 2</t>
    </r>
  </si>
  <si>
    <r>
      <rPr>
        <sz val="12"/>
        <rFont val="宋体"/>
        <family val="3"/>
        <charset val="134"/>
      </rPr>
      <t>dp</t>
    </r>
    <r>
      <rPr>
        <sz val="10"/>
        <rFont val="宋体"/>
        <family val="3"/>
        <charset val="134"/>
      </rPr>
      <t>10</t>
    </r>
  </si>
  <si>
    <r>
      <rPr>
        <sz val="12"/>
        <rFont val="宋体"/>
        <family val="3"/>
        <charset val="134"/>
      </rPr>
      <t>dp</t>
    </r>
    <r>
      <rPr>
        <sz val="10"/>
        <rFont val="宋体"/>
        <family val="3"/>
        <charset val="134"/>
      </rPr>
      <t>1</t>
    </r>
  </si>
  <si>
    <r>
      <rPr>
        <sz val="12"/>
        <rFont val="宋体"/>
        <family val="3"/>
        <charset val="134"/>
      </rPr>
      <t>α</t>
    </r>
    <r>
      <rPr>
        <sz val="10"/>
        <rFont val="宋体"/>
        <family val="3"/>
        <charset val="134"/>
      </rPr>
      <t>t1</t>
    </r>
  </si>
  <si>
    <r>
      <rPr>
        <sz val="12"/>
        <rFont val="宋体"/>
        <family val="3"/>
        <charset val="134"/>
      </rPr>
      <t>α</t>
    </r>
    <r>
      <rPr>
        <sz val="10"/>
        <rFont val="宋体"/>
        <family val="3"/>
        <charset val="134"/>
      </rPr>
      <t>t2</t>
    </r>
  </si>
  <si>
    <r>
      <rPr>
        <sz val="12"/>
        <rFont val="宋体"/>
        <family val="3"/>
        <charset val="134"/>
      </rPr>
      <t>β</t>
    </r>
    <r>
      <rPr>
        <sz val="9"/>
        <rFont val="Times New Roman"/>
        <family val="1"/>
      </rPr>
      <t>1</t>
    </r>
  </si>
  <si>
    <r>
      <rPr>
        <sz val="12"/>
        <rFont val="宋体"/>
        <family val="3"/>
        <charset val="134"/>
      </rPr>
      <t>β</t>
    </r>
    <r>
      <rPr>
        <sz val="9"/>
        <rFont val="宋体"/>
        <family val="3"/>
        <charset val="134"/>
      </rPr>
      <t>2</t>
    </r>
  </si>
  <si>
    <r>
      <rPr>
        <sz val="12"/>
        <rFont val="宋体"/>
        <family val="3"/>
        <charset val="134"/>
      </rPr>
      <t>β</t>
    </r>
    <r>
      <rPr>
        <sz val="12"/>
        <rFont val="Times New Roman"/>
        <family val="1"/>
      </rPr>
      <t>'1</t>
    </r>
  </si>
  <si>
    <t>β'2</t>
  </si>
  <si>
    <r>
      <rPr>
        <sz val="12"/>
        <rFont val="宋体"/>
        <family val="3"/>
        <charset val="134"/>
      </rPr>
      <t>β</t>
    </r>
    <r>
      <rPr>
        <sz val="10"/>
        <rFont val="宋体"/>
        <family val="3"/>
        <charset val="134"/>
      </rPr>
      <t>b1</t>
    </r>
  </si>
  <si>
    <t>βb2</t>
  </si>
  <si>
    <t>公共齿条法向齿形角</t>
  </si>
  <si>
    <r>
      <rPr>
        <sz val="12"/>
        <rFont val="宋体"/>
        <family val="3"/>
        <charset val="134"/>
      </rPr>
      <t>α</t>
    </r>
    <r>
      <rPr>
        <sz val="10"/>
        <rFont val="宋体"/>
        <family val="3"/>
        <charset val="134"/>
      </rPr>
      <t>n</t>
    </r>
    <r>
      <rPr>
        <sz val="12"/>
        <rFont val="宋体"/>
        <family val="3"/>
        <charset val="134"/>
        <scheme val="minor"/>
      </rPr>
      <t>'</t>
    </r>
  </si>
  <si>
    <r>
      <rPr>
        <sz val="12"/>
        <rFont val="宋体"/>
        <family val="3"/>
        <charset val="134"/>
      </rPr>
      <t>a</t>
    </r>
    <r>
      <rPr>
        <sz val="10"/>
        <rFont val="宋体"/>
        <family val="3"/>
        <charset val="134"/>
      </rPr>
      <t>0</t>
    </r>
  </si>
  <si>
    <r>
      <rPr>
        <sz val="12"/>
        <rFont val="宋体"/>
        <family val="3"/>
        <charset val="134"/>
      </rPr>
      <t>最</t>
    </r>
    <r>
      <rPr>
        <sz val="12"/>
        <rFont val="Times New Roman"/>
        <family val="1"/>
      </rPr>
      <t xml:space="preserve"> </t>
    </r>
    <r>
      <rPr>
        <sz val="12"/>
        <rFont val="宋体"/>
        <family val="3"/>
        <charset val="134"/>
        <scheme val="minor"/>
      </rPr>
      <t>小</t>
    </r>
    <r>
      <rPr>
        <sz val="12"/>
        <rFont val="Times New Roman"/>
        <family val="1"/>
      </rPr>
      <t xml:space="preserve"> </t>
    </r>
    <r>
      <rPr>
        <sz val="12"/>
        <rFont val="宋体"/>
        <family val="3"/>
        <charset val="134"/>
        <scheme val="minor"/>
      </rPr>
      <t>中</t>
    </r>
    <r>
      <rPr>
        <sz val="12"/>
        <rFont val="Times New Roman"/>
        <family val="1"/>
      </rPr>
      <t xml:space="preserve"> </t>
    </r>
    <r>
      <rPr>
        <sz val="12"/>
        <rFont val="宋体"/>
        <family val="3"/>
        <charset val="134"/>
        <scheme val="minor"/>
      </rPr>
      <t>心</t>
    </r>
    <r>
      <rPr>
        <sz val="12"/>
        <rFont val="Times New Roman"/>
        <family val="1"/>
      </rPr>
      <t xml:space="preserve"> </t>
    </r>
    <r>
      <rPr>
        <sz val="12"/>
        <rFont val="宋体"/>
        <family val="3"/>
        <charset val="134"/>
        <scheme val="minor"/>
      </rPr>
      <t>距</t>
    </r>
  </si>
  <si>
    <r>
      <rPr>
        <sz val="12"/>
        <rFont val="Times New Roman"/>
        <family val="1"/>
      </rPr>
      <t>a</t>
    </r>
    <r>
      <rPr>
        <sz val="10"/>
        <rFont val="Times New Roman"/>
        <family val="1"/>
      </rPr>
      <t xml:space="preserve"> min</t>
    </r>
  </si>
  <si>
    <r>
      <rPr>
        <sz val="12"/>
        <rFont val="Times New Roman"/>
        <family val="1"/>
      </rPr>
      <t xml:space="preserve">m </t>
    </r>
    <r>
      <rPr>
        <sz val="10"/>
        <rFont val="Times New Roman"/>
        <family val="1"/>
      </rPr>
      <t>t1</t>
    </r>
  </si>
  <si>
    <r>
      <rPr>
        <sz val="12"/>
        <rFont val="Times New Roman"/>
        <family val="1"/>
      </rPr>
      <t xml:space="preserve">m </t>
    </r>
    <r>
      <rPr>
        <sz val="10"/>
        <rFont val="Times New Roman"/>
        <family val="1"/>
      </rPr>
      <t>t2</t>
    </r>
  </si>
  <si>
    <r>
      <rPr>
        <sz val="12"/>
        <rFont val="宋体"/>
        <family val="3"/>
        <charset val="134"/>
      </rPr>
      <t>α</t>
    </r>
    <r>
      <rPr>
        <sz val="10"/>
        <rFont val="宋体"/>
        <family val="3"/>
        <charset val="134"/>
      </rPr>
      <t>t'1</t>
    </r>
  </si>
  <si>
    <r>
      <rPr>
        <sz val="12"/>
        <rFont val="宋体"/>
        <family val="3"/>
        <charset val="134"/>
      </rPr>
      <t>α</t>
    </r>
    <r>
      <rPr>
        <sz val="10"/>
        <rFont val="宋体"/>
        <family val="3"/>
        <charset val="134"/>
      </rPr>
      <t>t'2</t>
    </r>
  </si>
  <si>
    <r>
      <rPr>
        <sz val="12"/>
        <rFont val="宋体"/>
        <family val="3"/>
        <charset val="134"/>
      </rPr>
      <t>α</t>
    </r>
    <r>
      <rPr>
        <sz val="10"/>
        <rFont val="宋体"/>
        <family val="3"/>
        <charset val="134"/>
      </rPr>
      <t>n'1</t>
    </r>
  </si>
  <si>
    <r>
      <rPr>
        <sz val="12"/>
        <rFont val="宋体"/>
        <family val="3"/>
        <charset val="134"/>
      </rPr>
      <t>α</t>
    </r>
    <r>
      <rPr>
        <sz val="10"/>
        <rFont val="宋体"/>
        <family val="3"/>
        <charset val="134"/>
      </rPr>
      <t>n'2</t>
    </r>
  </si>
  <si>
    <t>公共齿条法向模数</t>
  </si>
  <si>
    <r>
      <rPr>
        <sz val="12"/>
        <rFont val="Times New Roman"/>
        <family val="1"/>
      </rPr>
      <t xml:space="preserve">m </t>
    </r>
    <r>
      <rPr>
        <sz val="10"/>
        <rFont val="Times New Roman"/>
        <family val="1"/>
      </rPr>
      <t>n</t>
    </r>
    <r>
      <rPr>
        <sz val="12"/>
        <rFont val="Times New Roman"/>
        <family val="1"/>
      </rPr>
      <t>'</t>
    </r>
  </si>
  <si>
    <t>公共齿条端面模数</t>
  </si>
  <si>
    <t>m t'</t>
  </si>
  <si>
    <r>
      <rPr>
        <sz val="12"/>
        <rFont val="宋体"/>
        <family val="3"/>
        <charset val="134"/>
      </rPr>
      <t>有</t>
    </r>
    <r>
      <rPr>
        <sz val="12"/>
        <rFont val="Times New Roman"/>
        <family val="1"/>
      </rPr>
      <t xml:space="preserve">   </t>
    </r>
    <r>
      <rPr>
        <sz val="12"/>
        <rFont val="宋体"/>
        <family val="3"/>
        <charset val="134"/>
        <scheme val="minor"/>
      </rPr>
      <t>效</t>
    </r>
    <r>
      <rPr>
        <sz val="12"/>
        <rFont val="Times New Roman"/>
        <family val="1"/>
      </rPr>
      <t xml:space="preserve">   </t>
    </r>
    <r>
      <rPr>
        <sz val="12"/>
        <rFont val="宋体"/>
        <family val="3"/>
        <charset val="134"/>
        <scheme val="minor"/>
      </rPr>
      <t xml:space="preserve">齿 </t>
    </r>
    <r>
      <rPr>
        <sz val="12"/>
        <rFont val="Times New Roman"/>
        <family val="1"/>
      </rPr>
      <t xml:space="preserve">  </t>
    </r>
    <r>
      <rPr>
        <sz val="12"/>
        <rFont val="宋体"/>
        <family val="3"/>
        <charset val="134"/>
        <scheme val="minor"/>
      </rPr>
      <t>宽</t>
    </r>
  </si>
  <si>
    <r>
      <rPr>
        <sz val="12"/>
        <rFont val="宋体"/>
        <family val="3"/>
        <charset val="134"/>
      </rPr>
      <t>α</t>
    </r>
    <r>
      <rPr>
        <sz val="10"/>
        <rFont val="宋体"/>
        <family val="3"/>
        <charset val="134"/>
      </rPr>
      <t>a1'</t>
    </r>
  </si>
  <si>
    <r>
      <rPr>
        <sz val="10"/>
        <rFont val="宋体"/>
        <family val="3"/>
        <charset val="134"/>
      </rPr>
      <t>(</t>
    </r>
    <r>
      <rPr>
        <sz val="10"/>
        <rFont val="Times New Roman"/>
        <family val="1"/>
      </rPr>
      <t>INV</t>
    </r>
    <r>
      <rPr>
        <sz val="10"/>
        <rFont val="宋体"/>
        <family val="3"/>
        <charset val="134"/>
      </rPr>
      <t>αa</t>
    </r>
    <r>
      <rPr>
        <sz val="12"/>
        <rFont val="宋体"/>
        <family val="3"/>
        <charset val="134"/>
        <scheme val="minor"/>
      </rPr>
      <t>')</t>
    </r>
  </si>
  <si>
    <r>
      <rPr>
        <sz val="12"/>
        <rFont val="Times New Roman"/>
        <family val="1"/>
      </rPr>
      <t>Sc</t>
    </r>
    <r>
      <rPr>
        <sz val="10"/>
        <rFont val="Times New Roman"/>
        <family val="1"/>
      </rPr>
      <t>n2</t>
    </r>
  </si>
  <si>
    <r>
      <rPr>
        <sz val="12"/>
        <rFont val="Times New Roman"/>
        <family val="1"/>
      </rPr>
      <t>Hc</t>
    </r>
    <r>
      <rPr>
        <sz val="10"/>
        <rFont val="Times New Roman"/>
        <family val="1"/>
      </rPr>
      <t>n2</t>
    </r>
  </si>
  <si>
    <r>
      <rPr>
        <sz val="12"/>
        <rFont val="Times New Roman"/>
        <family val="1"/>
      </rPr>
      <t>INV</t>
    </r>
    <r>
      <rPr>
        <sz val="12"/>
        <rFont val="宋体"/>
        <family val="3"/>
        <charset val="134"/>
        <scheme val="minor"/>
      </rPr>
      <t>α</t>
    </r>
    <r>
      <rPr>
        <sz val="10"/>
        <rFont val="宋体"/>
        <family val="3"/>
        <charset val="134"/>
      </rPr>
      <t>M</t>
    </r>
    <r>
      <rPr>
        <sz val="10"/>
        <rFont val="Times New Roman"/>
        <family val="1"/>
      </rPr>
      <t>t1</t>
    </r>
  </si>
  <si>
    <r>
      <rPr>
        <sz val="12"/>
        <rFont val="宋体"/>
        <family val="3"/>
        <charset val="134"/>
      </rPr>
      <t>α</t>
    </r>
    <r>
      <rPr>
        <sz val="10"/>
        <rFont val="宋体"/>
        <family val="3"/>
        <charset val="134"/>
      </rPr>
      <t>M</t>
    </r>
    <r>
      <rPr>
        <sz val="10"/>
        <rFont val="Times New Roman"/>
        <family val="1"/>
      </rPr>
      <t>t1</t>
    </r>
  </si>
  <si>
    <r>
      <rPr>
        <sz val="12"/>
        <rFont val="Times New Roman"/>
        <family val="1"/>
      </rPr>
      <t xml:space="preserve">d </t>
    </r>
    <r>
      <rPr>
        <sz val="9"/>
        <rFont val="Times New Roman"/>
        <family val="1"/>
      </rPr>
      <t>M2</t>
    </r>
  </si>
  <si>
    <r>
      <rPr>
        <sz val="12"/>
        <rFont val="宋体"/>
        <family val="3"/>
        <charset val="134"/>
      </rPr>
      <t>α</t>
    </r>
    <r>
      <rPr>
        <sz val="12"/>
        <rFont val="Times New Roman"/>
        <family val="1"/>
      </rPr>
      <t>x2</t>
    </r>
  </si>
  <si>
    <r>
      <rPr>
        <sz val="12"/>
        <rFont val="宋体"/>
        <family val="3"/>
        <charset val="134"/>
      </rPr>
      <t>α</t>
    </r>
    <r>
      <rPr>
        <sz val="12"/>
        <rFont val="Times New Roman"/>
        <family val="1"/>
      </rPr>
      <t>px2</t>
    </r>
  </si>
  <si>
    <r>
      <rPr>
        <sz val="12"/>
        <rFont val="宋体"/>
        <family val="3"/>
        <charset val="134"/>
      </rPr>
      <t>重</t>
    </r>
    <r>
      <rPr>
        <sz val="12"/>
        <rFont val="Times New Roman"/>
        <family val="1"/>
      </rPr>
      <t xml:space="preserve">    </t>
    </r>
    <r>
      <rPr>
        <sz val="12"/>
        <rFont val="宋体"/>
        <family val="3"/>
        <charset val="134"/>
        <scheme val="minor"/>
      </rPr>
      <t>合</t>
    </r>
    <r>
      <rPr>
        <sz val="12"/>
        <rFont val="Times New Roman"/>
        <family val="1"/>
      </rPr>
      <t xml:space="preserve">    </t>
    </r>
    <r>
      <rPr>
        <sz val="12"/>
        <rFont val="宋体"/>
        <family val="3"/>
        <charset val="134"/>
        <scheme val="minor"/>
      </rPr>
      <t>度</t>
    </r>
  </si>
  <si>
    <r>
      <rPr>
        <sz val="10"/>
        <rFont val="宋体"/>
        <family val="3"/>
        <charset val="134"/>
      </rPr>
      <t>X</t>
    </r>
    <r>
      <rPr>
        <sz val="9"/>
        <rFont val="宋体"/>
        <family val="3"/>
        <charset val="134"/>
      </rPr>
      <t>n1min</t>
    </r>
  </si>
  <si>
    <r>
      <rPr>
        <sz val="10"/>
        <rFont val="宋体"/>
        <family val="3"/>
        <charset val="134"/>
      </rPr>
      <t>X</t>
    </r>
    <r>
      <rPr>
        <sz val="9"/>
        <rFont val="宋体"/>
        <family val="3"/>
        <charset val="134"/>
      </rPr>
      <t>n2min</t>
    </r>
  </si>
  <si>
    <t>渐开线起始展开长</t>
  </si>
  <si>
    <t>Lf1</t>
  </si>
  <si>
    <t>渐开线终止展开长</t>
  </si>
  <si>
    <t>La1</t>
  </si>
  <si>
    <r>
      <rPr>
        <sz val="12"/>
        <rFont val="宋体"/>
        <family val="3"/>
        <charset val="134"/>
      </rPr>
      <t>起始点</t>
    </r>
    <r>
      <rPr>
        <sz val="12"/>
        <rFont val="Times New Roman"/>
        <family val="1"/>
      </rPr>
      <t>(</t>
    </r>
    <r>
      <rPr>
        <sz val="12"/>
        <rFont val="宋体"/>
        <family val="3"/>
        <charset val="134"/>
        <scheme val="minor"/>
      </rPr>
      <t>齿根</t>
    </r>
    <r>
      <rPr>
        <sz val="12"/>
        <rFont val="Times New Roman"/>
        <family val="1"/>
      </rPr>
      <t xml:space="preserve">) </t>
    </r>
  </si>
  <si>
    <r>
      <rPr>
        <sz val="12"/>
        <rFont val="宋体"/>
        <family val="3"/>
        <charset val="134"/>
      </rPr>
      <t>θ</t>
    </r>
    <r>
      <rPr>
        <sz val="10"/>
        <rFont val="Times New Roman"/>
        <family val="1"/>
      </rPr>
      <t>f1</t>
    </r>
  </si>
  <si>
    <r>
      <rPr>
        <sz val="12"/>
        <rFont val="宋体"/>
        <family val="3"/>
        <charset val="134"/>
      </rPr>
      <t>终止点</t>
    </r>
    <r>
      <rPr>
        <sz val="12"/>
        <rFont val="Times New Roman"/>
        <family val="1"/>
      </rPr>
      <t>(</t>
    </r>
    <r>
      <rPr>
        <sz val="12"/>
        <rFont val="宋体"/>
        <family val="3"/>
        <charset val="134"/>
        <scheme val="minor"/>
      </rPr>
      <t>齿顶</t>
    </r>
    <r>
      <rPr>
        <sz val="12"/>
        <rFont val="Times New Roman"/>
        <family val="1"/>
      </rPr>
      <t xml:space="preserve">) </t>
    </r>
  </si>
  <si>
    <r>
      <rPr>
        <sz val="12"/>
        <rFont val="宋体"/>
        <family val="3"/>
        <charset val="134"/>
      </rPr>
      <t>θ</t>
    </r>
    <r>
      <rPr>
        <sz val="10"/>
        <rFont val="Times New Roman"/>
        <family val="1"/>
      </rPr>
      <t>a1</t>
    </r>
  </si>
  <si>
    <r>
      <rPr>
        <sz val="12"/>
        <rFont val="宋体"/>
        <family val="3"/>
        <charset val="134"/>
      </rPr>
      <t>θ</t>
    </r>
    <r>
      <rPr>
        <sz val="10"/>
        <rFont val="Times New Roman"/>
        <family val="1"/>
      </rPr>
      <t>min1</t>
    </r>
  </si>
  <si>
    <r>
      <rPr>
        <sz val="12"/>
        <rFont val="宋体"/>
        <family val="3"/>
        <charset val="134"/>
      </rPr>
      <t>θ</t>
    </r>
    <r>
      <rPr>
        <sz val="10"/>
        <rFont val="Times New Roman"/>
        <family val="1"/>
      </rPr>
      <t>max1</t>
    </r>
  </si>
  <si>
    <r>
      <rPr>
        <sz val="12"/>
        <rFont val="Times New Roman"/>
        <family val="1"/>
      </rPr>
      <t>±</t>
    </r>
    <r>
      <rPr>
        <sz val="12"/>
        <rFont val="宋体"/>
        <family val="3"/>
        <charset val="134"/>
        <scheme val="minor"/>
      </rPr>
      <t>f</t>
    </r>
    <r>
      <rPr>
        <sz val="8"/>
        <rFont val="Times New Roman"/>
        <family val="1"/>
      </rPr>
      <t>pt1</t>
    </r>
  </si>
  <si>
    <r>
      <rPr>
        <sz val="12"/>
        <rFont val="Times New Roman"/>
        <family val="1"/>
      </rPr>
      <t>±</t>
    </r>
    <r>
      <rPr>
        <sz val="12"/>
        <rFont val="宋体"/>
        <family val="3"/>
        <charset val="134"/>
        <scheme val="minor"/>
      </rPr>
      <t>f</t>
    </r>
    <r>
      <rPr>
        <sz val="8"/>
        <rFont val="Times New Roman"/>
        <family val="1"/>
      </rPr>
      <t>pb1</t>
    </r>
  </si>
  <si>
    <r>
      <rPr>
        <sz val="12"/>
        <rFont val="宋体"/>
        <family val="3"/>
        <charset val="134"/>
      </rPr>
      <t>F</t>
    </r>
    <r>
      <rPr>
        <sz val="9"/>
        <rFont val="宋体"/>
        <family val="3"/>
        <charset val="134"/>
      </rPr>
      <t>β</t>
    </r>
  </si>
  <si>
    <r>
      <rPr>
        <sz val="12"/>
        <rFont val="宋体"/>
        <family val="3"/>
        <charset val="134"/>
      </rPr>
      <t>F</t>
    </r>
    <r>
      <rPr>
        <sz val="10"/>
        <rFont val="宋体"/>
        <family val="3"/>
        <charset val="134"/>
      </rPr>
      <t>fβ</t>
    </r>
  </si>
  <si>
    <r>
      <rPr>
        <sz val="12"/>
        <rFont val="Times New Roman"/>
        <family val="1"/>
      </rPr>
      <t>±</t>
    </r>
    <r>
      <rPr>
        <sz val="12"/>
        <rFont val="宋体"/>
        <family val="3"/>
        <charset val="134"/>
        <scheme val="minor"/>
      </rPr>
      <t>f</t>
    </r>
    <r>
      <rPr>
        <sz val="8"/>
        <rFont val="宋体"/>
        <family val="3"/>
        <charset val="134"/>
      </rPr>
      <t>a</t>
    </r>
  </si>
  <si>
    <r>
      <rPr>
        <sz val="12"/>
        <rFont val="Times New Roman"/>
        <family val="1"/>
      </rPr>
      <t>IT11</t>
    </r>
    <r>
      <rPr>
        <sz val="12"/>
        <rFont val="宋体"/>
        <family val="3"/>
        <charset val="134"/>
        <scheme val="minor"/>
      </rPr>
      <t>，</t>
    </r>
    <r>
      <rPr>
        <sz val="12"/>
        <rFont val="Times New Roman"/>
        <family val="1"/>
      </rPr>
      <t xml:space="preserve"> </t>
    </r>
    <r>
      <rPr>
        <sz val="12"/>
        <rFont val="宋体"/>
        <family val="3"/>
        <charset val="134"/>
        <scheme val="minor"/>
      </rPr>
      <t>但不大于</t>
    </r>
  </si>
  <si>
    <r>
      <rPr>
        <sz val="10"/>
        <color indexed="10"/>
        <rFont val="宋体"/>
        <family val="3"/>
        <charset val="134"/>
      </rPr>
      <t>以下是输出数据，请打印：</t>
    </r>
    <r>
      <rPr>
        <sz val="10"/>
        <color indexed="10"/>
        <rFont val="Times New Roman"/>
        <family val="1"/>
      </rPr>
      <t>************************************************************************</t>
    </r>
  </si>
  <si>
    <r>
      <rPr>
        <b/>
        <sz val="16"/>
        <rFont val="Times New Roman"/>
        <family val="1"/>
      </rPr>
      <t xml:space="preserve">    </t>
    </r>
    <r>
      <rPr>
        <b/>
        <sz val="16"/>
        <rFont val="宋体"/>
        <family val="3"/>
        <charset val="134"/>
      </rPr>
      <t xml:space="preserve">               交错轴斜齿轮传动计算</t>
    </r>
  </si>
  <si>
    <r>
      <rPr>
        <sz val="12"/>
        <rFont val="宋体"/>
        <family val="3"/>
        <charset val="134"/>
      </rPr>
      <t>轴</t>
    </r>
    <r>
      <rPr>
        <sz val="12"/>
        <rFont val="Times New Roman"/>
        <family val="1"/>
      </rPr>
      <t xml:space="preserve">        </t>
    </r>
    <r>
      <rPr>
        <sz val="12"/>
        <rFont val="宋体"/>
        <family val="3"/>
        <charset val="134"/>
        <scheme val="minor"/>
      </rPr>
      <t xml:space="preserve">交 </t>
    </r>
    <r>
      <rPr>
        <sz val="12"/>
        <rFont val="Times New Roman"/>
        <family val="1"/>
      </rPr>
      <t xml:space="preserve">       </t>
    </r>
    <r>
      <rPr>
        <sz val="12"/>
        <rFont val="宋体"/>
        <family val="3"/>
        <charset val="134"/>
        <scheme val="minor"/>
      </rPr>
      <t>角</t>
    </r>
  </si>
  <si>
    <r>
      <rPr>
        <sz val="12"/>
        <rFont val="Times New Roman"/>
        <family val="1"/>
      </rPr>
      <t xml:space="preserve">b </t>
    </r>
    <r>
      <rPr>
        <sz val="10"/>
        <rFont val="Times New Roman"/>
        <family val="1"/>
      </rPr>
      <t>a</t>
    </r>
  </si>
  <si>
    <r>
      <rPr>
        <sz val="12"/>
        <rFont val="宋体"/>
        <family val="3"/>
        <charset val="134"/>
      </rPr>
      <t>齿</t>
    </r>
    <r>
      <rPr>
        <sz val="12"/>
        <rFont val="Times New Roman"/>
        <family val="1"/>
      </rPr>
      <t xml:space="preserve">                   </t>
    </r>
    <r>
      <rPr>
        <sz val="12"/>
        <rFont val="宋体"/>
        <family val="3"/>
        <charset val="134"/>
        <scheme val="minor"/>
      </rPr>
      <t>宽</t>
    </r>
  </si>
  <si>
    <t>Lf</t>
  </si>
  <si>
    <t>La</t>
  </si>
  <si>
    <r>
      <rPr>
        <sz val="12"/>
        <rFont val="宋体"/>
        <family val="3"/>
        <charset val="134"/>
      </rPr>
      <t>起</t>
    </r>
    <r>
      <rPr>
        <sz val="12"/>
        <rFont val="Times New Roman"/>
        <family val="1"/>
      </rPr>
      <t xml:space="preserve">   </t>
    </r>
    <r>
      <rPr>
        <sz val="12"/>
        <rFont val="宋体"/>
        <family val="3"/>
        <charset val="134"/>
        <scheme val="minor"/>
      </rPr>
      <t>始</t>
    </r>
    <r>
      <rPr>
        <sz val="12"/>
        <rFont val="Times New Roman"/>
        <family val="1"/>
      </rPr>
      <t xml:space="preserve">   </t>
    </r>
    <r>
      <rPr>
        <sz val="12"/>
        <rFont val="宋体"/>
        <family val="3"/>
        <charset val="134"/>
        <scheme val="minor"/>
      </rPr>
      <t>点</t>
    </r>
    <r>
      <rPr>
        <sz val="12"/>
        <rFont val="Times New Roman"/>
        <family val="1"/>
      </rPr>
      <t>(</t>
    </r>
    <r>
      <rPr>
        <sz val="12"/>
        <rFont val="宋体"/>
        <family val="3"/>
        <charset val="134"/>
        <scheme val="minor"/>
      </rPr>
      <t>齿根</t>
    </r>
    <r>
      <rPr>
        <sz val="12"/>
        <rFont val="Times New Roman"/>
        <family val="1"/>
      </rPr>
      <t xml:space="preserve">) </t>
    </r>
  </si>
  <si>
    <r>
      <rPr>
        <sz val="12"/>
        <rFont val="宋体"/>
        <family val="3"/>
        <charset val="134"/>
      </rPr>
      <t>θ</t>
    </r>
    <r>
      <rPr>
        <sz val="10"/>
        <rFont val="Times New Roman"/>
        <family val="1"/>
      </rPr>
      <t>f</t>
    </r>
  </si>
  <si>
    <r>
      <rPr>
        <sz val="12"/>
        <rFont val="宋体"/>
        <family val="3"/>
        <charset val="134"/>
      </rPr>
      <t>终</t>
    </r>
    <r>
      <rPr>
        <sz val="12"/>
        <rFont val="Times New Roman"/>
        <family val="1"/>
      </rPr>
      <t xml:space="preserve">   </t>
    </r>
    <r>
      <rPr>
        <sz val="12"/>
        <rFont val="宋体"/>
        <family val="3"/>
        <charset val="134"/>
        <scheme val="minor"/>
      </rPr>
      <t>止</t>
    </r>
    <r>
      <rPr>
        <sz val="12"/>
        <rFont val="Times New Roman"/>
        <family val="1"/>
      </rPr>
      <t xml:space="preserve">   </t>
    </r>
    <r>
      <rPr>
        <sz val="12"/>
        <rFont val="宋体"/>
        <family val="3"/>
        <charset val="134"/>
        <scheme val="minor"/>
      </rPr>
      <t>点</t>
    </r>
    <r>
      <rPr>
        <sz val="12"/>
        <rFont val="Times New Roman"/>
        <family val="1"/>
      </rPr>
      <t>(</t>
    </r>
    <r>
      <rPr>
        <sz val="12"/>
        <rFont val="宋体"/>
        <family val="3"/>
        <charset val="134"/>
        <scheme val="minor"/>
      </rPr>
      <t>齿顶</t>
    </r>
    <r>
      <rPr>
        <sz val="12"/>
        <rFont val="Times New Roman"/>
        <family val="1"/>
      </rPr>
      <t xml:space="preserve">) </t>
    </r>
  </si>
  <si>
    <r>
      <rPr>
        <sz val="12"/>
        <rFont val="宋体"/>
        <family val="3"/>
        <charset val="134"/>
      </rPr>
      <t>θ</t>
    </r>
    <r>
      <rPr>
        <sz val="10"/>
        <rFont val="Times New Roman"/>
        <family val="1"/>
      </rPr>
      <t>a</t>
    </r>
  </si>
  <si>
    <r>
      <rPr>
        <sz val="12"/>
        <rFont val="Times New Roman"/>
        <family val="1"/>
      </rPr>
      <t>±</t>
    </r>
    <r>
      <rPr>
        <sz val="12"/>
        <rFont val="宋体"/>
        <family val="3"/>
        <charset val="134"/>
        <scheme val="minor"/>
      </rPr>
      <t>f</t>
    </r>
    <r>
      <rPr>
        <sz val="8"/>
        <rFont val="Times New Roman"/>
        <family val="1"/>
      </rPr>
      <t>pb</t>
    </r>
  </si>
  <si>
    <r>
      <rPr>
        <sz val="10"/>
        <color indexed="10"/>
        <rFont val="宋体"/>
        <family val="3"/>
        <charset val="134"/>
      </rPr>
      <t>打印终止</t>
    </r>
    <r>
      <rPr>
        <sz val="10"/>
        <color indexed="10"/>
        <rFont val="Times New Roman"/>
        <family val="1"/>
      </rPr>
      <t>****************************************************************************************</t>
    </r>
  </si>
  <si>
    <t>常用工程材料属性（若对数据存在疑问，请对照其他资料核实）</t>
  </si>
  <si>
    <r>
      <rPr>
        <b/>
        <sz val="12"/>
        <rFont val="宋体"/>
        <family val="3"/>
        <charset val="134"/>
      </rPr>
      <t xml:space="preserve">弹性模量
</t>
    </r>
    <r>
      <rPr>
        <b/>
        <sz val="12"/>
        <rFont val="Times New Roman"/>
        <family val="1"/>
      </rPr>
      <t>(N/m</t>
    </r>
    <r>
      <rPr>
        <b/>
        <sz val="12"/>
        <rFont val="Times New Roman"/>
        <family val="1"/>
      </rPr>
      <t>²</t>
    </r>
    <r>
      <rPr>
        <b/>
        <sz val="12"/>
        <rFont val="Times New Roman"/>
        <family val="1"/>
      </rPr>
      <t>)</t>
    </r>
  </si>
  <si>
    <t>泊松比</t>
  </si>
  <si>
    <r>
      <rPr>
        <b/>
        <sz val="12"/>
        <rFont val="宋体"/>
        <family val="3"/>
        <charset val="134"/>
      </rPr>
      <t xml:space="preserve">质量密度
</t>
    </r>
    <r>
      <rPr>
        <b/>
        <sz val="12"/>
        <rFont val="Times New Roman"/>
        <family val="1"/>
      </rPr>
      <t>(kg/m</t>
    </r>
    <r>
      <rPr>
        <b/>
        <sz val="12"/>
        <rFont val="Times New Roman"/>
        <family val="1"/>
      </rPr>
      <t>³</t>
    </r>
    <r>
      <rPr>
        <b/>
        <sz val="12"/>
        <rFont val="Times New Roman"/>
        <family val="1"/>
      </rPr>
      <t>)</t>
    </r>
  </si>
  <si>
    <r>
      <rPr>
        <b/>
        <sz val="12"/>
        <rFont val="宋体"/>
        <family val="3"/>
        <charset val="134"/>
      </rPr>
      <t xml:space="preserve">抗剪模量
</t>
    </r>
    <r>
      <rPr>
        <b/>
        <sz val="12"/>
        <rFont val="Times New Roman"/>
        <family val="1"/>
      </rPr>
      <t>(N/m</t>
    </r>
    <r>
      <rPr>
        <b/>
        <sz val="12"/>
        <rFont val="Times New Roman"/>
        <family val="1"/>
      </rPr>
      <t>²</t>
    </r>
    <r>
      <rPr>
        <b/>
        <sz val="12"/>
        <rFont val="Times New Roman"/>
        <family val="1"/>
      </rPr>
      <t>)</t>
    </r>
  </si>
  <si>
    <t>张力强度</t>
  </si>
  <si>
    <t>屈服强度</t>
  </si>
  <si>
    <r>
      <rPr>
        <b/>
        <sz val="12"/>
        <rFont val="宋体"/>
        <family val="3"/>
        <charset val="134"/>
      </rPr>
      <t xml:space="preserve">热扩张系数
</t>
    </r>
    <r>
      <rPr>
        <b/>
        <sz val="12"/>
        <rFont val="Times New Roman"/>
        <family val="1"/>
      </rPr>
      <t>(/Kelven)</t>
    </r>
  </si>
  <si>
    <r>
      <rPr>
        <b/>
        <sz val="12"/>
        <rFont val="宋体"/>
        <family val="3"/>
        <charset val="134"/>
      </rPr>
      <t xml:space="preserve">比热
</t>
    </r>
    <r>
      <rPr>
        <b/>
        <sz val="12"/>
        <rFont val="Times New Roman"/>
        <family val="1"/>
      </rPr>
      <t>(J/(kg.K))</t>
    </r>
  </si>
  <si>
    <r>
      <rPr>
        <b/>
        <sz val="12"/>
        <rFont val="宋体"/>
        <family val="3"/>
        <charset val="134"/>
      </rPr>
      <t xml:space="preserve">热导率
</t>
    </r>
    <r>
      <rPr>
        <b/>
        <sz val="12"/>
        <rFont val="Times New Roman"/>
        <family val="1"/>
      </rPr>
      <t>(W/(m.k))</t>
    </r>
  </si>
  <si>
    <r>
      <rPr>
        <b/>
        <sz val="12"/>
        <color indexed="8"/>
        <rFont val="Times New Roman"/>
        <family val="1"/>
      </rPr>
      <t>(N/m</t>
    </r>
    <r>
      <rPr>
        <b/>
        <sz val="12"/>
        <color indexed="8"/>
        <rFont val="Times New Roman"/>
        <family val="1"/>
      </rPr>
      <t>²</t>
    </r>
    <r>
      <rPr>
        <b/>
        <sz val="12"/>
        <color indexed="8"/>
        <rFont val="Times New Roman"/>
        <family val="1"/>
      </rPr>
      <t>)</t>
    </r>
  </si>
  <si>
    <t>(N/m²)</t>
  </si>
  <si>
    <t xml:space="preserve">Ductile Iron (SN) </t>
  </si>
  <si>
    <t xml:space="preserve">KTH300-06 (GB) </t>
  </si>
  <si>
    <t xml:space="preserve">KTH350-10 (GB) </t>
  </si>
  <si>
    <t xml:space="preserve">KTZ450-06 (GB) </t>
  </si>
  <si>
    <t xml:space="preserve">KTZ550-04 (GB) </t>
  </si>
  <si>
    <t xml:space="preserve">KTZ650-02 (GB) </t>
  </si>
  <si>
    <t xml:space="preserve">KTZ700-02 (GB) </t>
  </si>
  <si>
    <t xml:space="preserve">KTB350-04 (GB) </t>
  </si>
  <si>
    <t xml:space="preserve">KTB380-12 (GB) </t>
  </si>
  <si>
    <t xml:space="preserve">KTB400-05 (GB) </t>
  </si>
  <si>
    <t xml:space="preserve">KTB450-07 (GB) </t>
  </si>
  <si>
    <t xml:space="preserve">Gray Cast Iron (SN) </t>
  </si>
  <si>
    <t xml:space="preserve">HT100 (GB) </t>
  </si>
  <si>
    <t xml:space="preserve">HT150 (GB) </t>
  </si>
  <si>
    <t xml:space="preserve">HT200 (GB) </t>
  </si>
  <si>
    <t xml:space="preserve">HT250 (GB) </t>
  </si>
  <si>
    <t xml:space="preserve">HT300 (GB) </t>
  </si>
  <si>
    <t xml:space="preserve">HT350 (GB) </t>
  </si>
  <si>
    <t xml:space="preserve">Malleable Cast Iron </t>
  </si>
  <si>
    <t xml:space="preserve">QT400-15 </t>
  </si>
  <si>
    <t xml:space="preserve">QT400-18 </t>
  </si>
  <si>
    <t xml:space="preserve">QT450-10 </t>
  </si>
  <si>
    <t xml:space="preserve">QT500-7 </t>
  </si>
  <si>
    <t xml:space="preserve">QT600-3 </t>
  </si>
  <si>
    <t xml:space="preserve">QT700-2 </t>
  </si>
  <si>
    <t xml:space="preserve">QT800-2 </t>
  </si>
  <si>
    <t xml:space="preserve">QT900-2 </t>
  </si>
  <si>
    <t xml:space="preserve">Q195 </t>
  </si>
  <si>
    <t xml:space="preserve">Q215 </t>
  </si>
  <si>
    <t xml:space="preserve">Q235-A(F) </t>
  </si>
  <si>
    <t xml:space="preserve">Q235-A </t>
  </si>
  <si>
    <t xml:space="preserve">Q235-B </t>
  </si>
  <si>
    <t xml:space="preserve">Q255 </t>
  </si>
  <si>
    <t xml:space="preserve">Q275 </t>
  </si>
  <si>
    <t xml:space="preserve">08F </t>
  </si>
  <si>
    <t xml:space="preserve">10F </t>
  </si>
  <si>
    <t xml:space="preserve">15F </t>
  </si>
  <si>
    <t xml:space="preserve">20G </t>
  </si>
  <si>
    <t xml:space="preserve">20g </t>
  </si>
  <si>
    <t xml:space="preserve">15Mn </t>
  </si>
  <si>
    <t xml:space="preserve">16Mn </t>
  </si>
  <si>
    <t xml:space="preserve">25Mn </t>
  </si>
  <si>
    <t xml:space="preserve">35Mn </t>
  </si>
  <si>
    <t xml:space="preserve">45Mn </t>
  </si>
  <si>
    <t xml:space="preserve">60Mn </t>
  </si>
  <si>
    <t xml:space="preserve">65Mn </t>
  </si>
  <si>
    <t xml:space="preserve">70Mn </t>
  </si>
  <si>
    <t xml:space="preserve">T2 </t>
  </si>
  <si>
    <t xml:space="preserve">T3 </t>
  </si>
  <si>
    <t xml:space="preserve">T7 </t>
  </si>
  <si>
    <t xml:space="preserve">T8 </t>
  </si>
  <si>
    <t xml:space="preserve">T8Mn </t>
  </si>
  <si>
    <t xml:space="preserve">T9 </t>
  </si>
  <si>
    <t xml:space="preserve">T10 </t>
  </si>
  <si>
    <t xml:space="preserve">ZG230-450 (GB) </t>
  </si>
  <si>
    <t xml:space="preserve">ZG20SiMn (GB) </t>
  </si>
  <si>
    <t xml:space="preserve">ZG40Cr (GB) </t>
  </si>
  <si>
    <t xml:space="preserve">Q295 </t>
  </si>
  <si>
    <t xml:space="preserve">Q345 </t>
  </si>
  <si>
    <t xml:space="preserve">Q390 </t>
  </si>
  <si>
    <t xml:space="preserve">Q420 </t>
  </si>
  <si>
    <t xml:space="preserve">Q460 </t>
  </si>
  <si>
    <t xml:space="preserve">20Cr </t>
  </si>
  <si>
    <t xml:space="preserve">30Cr </t>
  </si>
  <si>
    <t xml:space="preserve">40Cr </t>
  </si>
  <si>
    <t xml:space="preserve">45Cr </t>
  </si>
  <si>
    <t xml:space="preserve">50Cr </t>
  </si>
  <si>
    <t xml:space="preserve">15CrMo </t>
  </si>
  <si>
    <t xml:space="preserve">20CrMo </t>
  </si>
  <si>
    <t xml:space="preserve">20CrMoH </t>
  </si>
  <si>
    <t xml:space="preserve">25Cr2MoV </t>
  </si>
  <si>
    <t xml:space="preserve">25Cr2MoVA </t>
  </si>
  <si>
    <t xml:space="preserve">25Cr3Mo3VNb# </t>
  </si>
  <si>
    <t xml:space="preserve">30CrMo </t>
  </si>
  <si>
    <t xml:space="preserve">35CrMo </t>
  </si>
  <si>
    <t xml:space="preserve">42CrMo </t>
  </si>
  <si>
    <t xml:space="preserve">7Cr7Mo3V2Si# </t>
  </si>
  <si>
    <t xml:space="preserve">9Cr2Mo# </t>
  </si>
  <si>
    <t xml:space="preserve">Cr12MoV </t>
  </si>
  <si>
    <t xml:space="preserve">Cr4Mo4V# </t>
  </si>
  <si>
    <t xml:space="preserve">CrWMn </t>
  </si>
  <si>
    <t xml:space="preserve">20CrMnMo </t>
  </si>
  <si>
    <t xml:space="preserve">40CrMnMo </t>
  </si>
  <si>
    <t xml:space="preserve">20CrMnTi </t>
  </si>
  <si>
    <t xml:space="preserve">30CrMnTi </t>
  </si>
  <si>
    <t xml:space="preserve">20CrMnSi </t>
  </si>
  <si>
    <t xml:space="preserve">40CrMnSiMoV </t>
  </si>
  <si>
    <t xml:space="preserve">5Cr21Mn9Ni2N </t>
  </si>
  <si>
    <t xml:space="preserve">5Cr21Mn9Ni12N </t>
  </si>
  <si>
    <t xml:space="preserve">20CrNiMo </t>
  </si>
  <si>
    <t xml:space="preserve">20CrNi2MoA </t>
  </si>
  <si>
    <t xml:space="preserve">2Cr12NiMoWV </t>
  </si>
  <si>
    <t xml:space="preserve">28CrNiMoV# </t>
  </si>
  <si>
    <t xml:space="preserve">30Cr2Ni4MoV# </t>
  </si>
  <si>
    <t xml:space="preserve">40CrNiMo </t>
  </si>
  <si>
    <t xml:space="preserve">40CrNiMoA </t>
  </si>
  <si>
    <t xml:space="preserve">45CrNiMoV </t>
  </si>
  <si>
    <t xml:space="preserve">45CrNiMoVA </t>
  </si>
  <si>
    <t xml:space="preserve">10Cr2Mo1# </t>
  </si>
  <si>
    <t xml:space="preserve">10Cr9Mo1VNb# </t>
  </si>
  <si>
    <t xml:space="preserve">10CrMo910# </t>
  </si>
  <si>
    <t xml:space="preserve">12Cr1MoV </t>
  </si>
  <si>
    <t xml:space="preserve">12Cr1MoVTiB# </t>
  </si>
  <si>
    <t xml:space="preserve">12Cr3MoVSiTiB# </t>
  </si>
  <si>
    <t xml:space="preserve">12CrNi3 </t>
  </si>
  <si>
    <t xml:space="preserve">12Cr2Ni4 </t>
  </si>
  <si>
    <t xml:space="preserve">12Cr2Ni4H </t>
  </si>
  <si>
    <t xml:space="preserve">12Cr2Ni4HA </t>
  </si>
  <si>
    <t xml:space="preserve">12Cr18Ni9# </t>
  </si>
  <si>
    <t xml:space="preserve">12Cr11MoV# </t>
  </si>
  <si>
    <t xml:space="preserve">12Cr12Mo# </t>
  </si>
  <si>
    <t xml:space="preserve">1Cr13 </t>
  </si>
  <si>
    <t xml:space="preserve">1Cr18Ni9 </t>
  </si>
  <si>
    <t xml:space="preserve">18Cr2Ni4W </t>
  </si>
  <si>
    <t xml:space="preserve">18Cr2Ni4WA </t>
  </si>
  <si>
    <t xml:space="preserve">20CrMoVNbTiB# </t>
  </si>
  <si>
    <t xml:space="preserve">20CrMo1VTiB# </t>
  </si>
  <si>
    <t xml:space="preserve">4Cr3Mo2MnSiVNbB# </t>
  </si>
  <si>
    <t xml:space="preserve">4Cr5Mo2MnVSi# </t>
  </si>
  <si>
    <t xml:space="preserve">20CrNi4A# </t>
  </si>
  <si>
    <t xml:space="preserve">3Cr2W8V </t>
  </si>
  <si>
    <t xml:space="preserve">16MnCr5 </t>
  </si>
  <si>
    <t xml:space="preserve">16Mng# </t>
  </si>
  <si>
    <t xml:space="preserve">16Mnl# </t>
  </si>
  <si>
    <t xml:space="preserve">16MnR# </t>
  </si>
  <si>
    <t xml:space="preserve">19Mn5 </t>
  </si>
  <si>
    <t xml:space="preserve">35Mn2 </t>
  </si>
  <si>
    <t xml:space="preserve">40MnB </t>
  </si>
  <si>
    <t xml:space="preserve">40MnBH </t>
  </si>
  <si>
    <t xml:space="preserve">40MnBHA </t>
  </si>
  <si>
    <t xml:space="preserve">45Mn2 </t>
  </si>
  <si>
    <t xml:space="preserve">20MnCr5 </t>
  </si>
  <si>
    <t xml:space="preserve">25MnCr5# </t>
  </si>
  <si>
    <t xml:space="preserve">28MnCr5 </t>
  </si>
  <si>
    <t xml:space="preserve">20MnMoB </t>
  </si>
  <si>
    <t xml:space="preserve">20MnMoBH </t>
  </si>
  <si>
    <t xml:space="preserve">20MnMoBHA </t>
  </si>
  <si>
    <t xml:space="preserve">20MnTiBRE# </t>
  </si>
  <si>
    <t xml:space="preserve">20MnVB </t>
  </si>
  <si>
    <t xml:space="preserve">20MnVBH </t>
  </si>
  <si>
    <t xml:space="preserve">20MnVBHA </t>
  </si>
  <si>
    <t xml:space="preserve">20Ni2Mo </t>
  </si>
  <si>
    <t xml:space="preserve">19CN5 </t>
  </si>
  <si>
    <t xml:space="preserve">13MnNiMoNB# </t>
  </si>
  <si>
    <t xml:space="preserve">14MnMoVBRE </t>
  </si>
  <si>
    <t xml:space="preserve">15MnV </t>
  </si>
  <si>
    <t xml:space="preserve">ML15MnV </t>
  </si>
  <si>
    <t xml:space="preserve">53CaS </t>
  </si>
  <si>
    <t xml:space="preserve">55Si2Mn </t>
  </si>
  <si>
    <t xml:space="preserve">55Si2MnB </t>
  </si>
  <si>
    <t xml:space="preserve">55SiMnVB </t>
  </si>
  <si>
    <t xml:space="preserve">55Tis# </t>
  </si>
  <si>
    <t xml:space="preserve">60Si2Mn </t>
  </si>
  <si>
    <t xml:space="preserve">60Si2MnA </t>
  </si>
  <si>
    <t xml:space="preserve">BHW35# </t>
  </si>
  <si>
    <t xml:space="preserve">K409# </t>
  </si>
  <si>
    <t xml:space="preserve">K438# </t>
  </si>
  <si>
    <t xml:space="preserve">GCr15 </t>
  </si>
  <si>
    <t xml:space="preserve">GCr15A </t>
  </si>
  <si>
    <t xml:space="preserve">GCr15SiMn </t>
  </si>
  <si>
    <t xml:space="preserve">GCr15SiMnA </t>
  </si>
  <si>
    <t xml:space="preserve">Ni-Cr-Co-Fe# </t>
  </si>
  <si>
    <t xml:space="preserve">X20CrNiMoV121# </t>
  </si>
  <si>
    <t xml:space="preserve">YF45MnV </t>
  </si>
  <si>
    <t xml:space="preserve">ZG15Cr1Mo# </t>
  </si>
  <si>
    <t xml:space="preserve">ZG15Cr1Mo1V# </t>
  </si>
  <si>
    <t xml:space="preserve">ZG15Cr2Mo# </t>
  </si>
  <si>
    <t xml:space="preserve">ZG1Cr13# </t>
  </si>
  <si>
    <t xml:space="preserve">G20CrNi2Mo </t>
  </si>
  <si>
    <t xml:space="preserve">G20CrNi2MoA </t>
  </si>
  <si>
    <t xml:space="preserve">G20CrNi4A# </t>
  </si>
  <si>
    <t xml:space="preserve">G20CrNiMo </t>
  </si>
  <si>
    <t xml:space="preserve">G20CrNiMoA </t>
  </si>
  <si>
    <t xml:space="preserve">00Cr17Ni14Mo2 (GB) </t>
  </si>
  <si>
    <t xml:space="preserve">0Cr13Al </t>
  </si>
  <si>
    <t xml:space="preserve">0Cr18Ni9 (GB) </t>
  </si>
  <si>
    <t xml:space="preserve">0Cr17Ni4Cu4Nb (GB) </t>
  </si>
  <si>
    <t xml:space="preserve">0Cr18Ni12Mo2Ti (GB) </t>
  </si>
  <si>
    <t xml:space="preserve">0Cr18Ni9Cu3 (GB) </t>
  </si>
  <si>
    <t xml:space="preserve">0Cr18Ni13Si4 (GB) </t>
  </si>
  <si>
    <t xml:space="preserve">1Cr17Mn6Ni5N(GB) </t>
  </si>
  <si>
    <t xml:space="preserve">ZG20Cr13 </t>
  </si>
  <si>
    <t xml:space="preserve">ZG0Cr13Ni6Mo# </t>
  </si>
  <si>
    <t xml:space="preserve">Bronze </t>
  </si>
  <si>
    <t xml:space="preserve">QBe1.7 </t>
  </si>
  <si>
    <t xml:space="preserve">QBe2 </t>
  </si>
  <si>
    <t xml:space="preserve">H90 </t>
  </si>
  <si>
    <t xml:space="preserve">HPb63-3 </t>
  </si>
  <si>
    <t xml:space="preserve">QCr0.5-0.2-0.1 </t>
  </si>
  <si>
    <t xml:space="preserve">QCd-1 </t>
  </si>
  <si>
    <t xml:space="preserve">QMn5 </t>
  </si>
  <si>
    <t xml:space="preserve">QSn4-3 </t>
  </si>
  <si>
    <t xml:space="preserve">QSn6.5-0.4 </t>
  </si>
  <si>
    <t xml:space="preserve">ZChPbSB16-16-2# </t>
  </si>
  <si>
    <t xml:space="preserve">ZChSnSb11-6# </t>
  </si>
  <si>
    <t xml:space="preserve">ZChSnSb8-4# </t>
  </si>
  <si>
    <t xml:space="preserve">ZCuAL10Fe3# </t>
  </si>
  <si>
    <t xml:space="preserve">ZCuAL10Fe3Mn2# </t>
  </si>
  <si>
    <t xml:space="preserve">ZCuPb30 </t>
  </si>
  <si>
    <t xml:space="preserve">ZCuSn5Pb5Zn5 </t>
  </si>
  <si>
    <t xml:space="preserve">AL-1# </t>
  </si>
  <si>
    <t xml:space="preserve">LC4# </t>
  </si>
  <si>
    <t xml:space="preserve">LD5# </t>
  </si>
  <si>
    <t xml:space="preserve">LD9# </t>
  </si>
  <si>
    <t xml:space="preserve">LD10# </t>
  </si>
  <si>
    <t xml:space="preserve">LY12# </t>
  </si>
  <si>
    <t xml:space="preserve">ZALSi12# </t>
  </si>
  <si>
    <t xml:space="preserve">ZALSi9Mg# </t>
  </si>
  <si>
    <t xml:space="preserve">1050 (GB) </t>
  </si>
  <si>
    <t xml:space="preserve">1050-O (GB) </t>
  </si>
  <si>
    <t xml:space="preserve">1050-H12 (GB) </t>
  </si>
  <si>
    <t xml:space="preserve">1050-H12 Rod (GB) </t>
  </si>
  <si>
    <t xml:space="preserve">1050-H14 (GB) </t>
  </si>
  <si>
    <t xml:space="preserve">1050-H16 (GB) </t>
  </si>
  <si>
    <t xml:space="preserve">1050-H18 (GB) </t>
  </si>
  <si>
    <t xml:space="preserve">1050-H18 Rod (GB) </t>
  </si>
  <si>
    <t xml:space="preserve">1200-O Rod (GB) </t>
  </si>
  <si>
    <t xml:space="preserve">1200-H12 Rod (GB) </t>
  </si>
  <si>
    <t xml:space="preserve">1200-H16 Rod (GB) </t>
  </si>
  <si>
    <t xml:space="preserve">1200-H26 Rod (GB) </t>
  </si>
  <si>
    <t xml:space="preserve">1145 (GB) </t>
  </si>
  <si>
    <t xml:space="preserve">2014 Alloy (GB) </t>
  </si>
  <si>
    <t xml:space="preserve">2014-O (GB) </t>
  </si>
  <si>
    <t xml:space="preserve">2014-T4 (GB) </t>
  </si>
  <si>
    <t xml:space="preserve">2014-T6 (GB) </t>
  </si>
  <si>
    <t xml:space="preserve">2014-H112 (GB) </t>
  </si>
  <si>
    <t xml:space="preserve">2014-T62 (GB) </t>
  </si>
  <si>
    <t xml:space="preserve">2A90 (GB) </t>
  </si>
  <si>
    <t xml:space="preserve">2024 (GB) </t>
  </si>
  <si>
    <t xml:space="preserve">2024-O (GB) </t>
  </si>
  <si>
    <t xml:space="preserve">2024-T3 (GB) </t>
  </si>
  <si>
    <t xml:space="preserve">2024-T4 (GB) </t>
  </si>
  <si>
    <t xml:space="preserve">2219-O (GB) </t>
  </si>
  <si>
    <t xml:space="preserve">2219-T31 (GB) </t>
  </si>
  <si>
    <t xml:space="preserve">2219-T37 (GB) </t>
  </si>
  <si>
    <t xml:space="preserve">2219-T62 (GB) </t>
  </si>
  <si>
    <t xml:space="preserve">2219-T81 (GB) </t>
  </si>
  <si>
    <t xml:space="preserve">2219-T87 (GB) </t>
  </si>
  <si>
    <t xml:space="preserve">2618-T61 (GB) </t>
  </si>
  <si>
    <t xml:space="preserve">3003 Alloy (GB) </t>
  </si>
  <si>
    <t xml:space="preserve">3003-O (GB) </t>
  </si>
  <si>
    <t xml:space="preserve">3003-O, Rod (GB) </t>
  </si>
  <si>
    <t xml:space="preserve">3003-H12 (GB) </t>
  </si>
  <si>
    <t xml:space="preserve">3003-H12, Rod (GB) </t>
  </si>
  <si>
    <t xml:space="preserve">3003-H14 (GB) </t>
  </si>
  <si>
    <t xml:space="preserve">3003-H14, Rod (GB) </t>
  </si>
  <si>
    <t xml:space="preserve">3003-H16 (GB) </t>
  </si>
  <si>
    <t xml:space="preserve">3003-H18 (GB) </t>
  </si>
  <si>
    <t xml:space="preserve">3003-H18, Rod (GB) </t>
  </si>
  <si>
    <t xml:space="preserve">3004-H34, Rod (GB) </t>
  </si>
  <si>
    <t xml:space="preserve">3004-O, Rod (GB) </t>
  </si>
  <si>
    <t xml:space="preserve">4032-T6 (GB) </t>
  </si>
  <si>
    <t xml:space="preserve">5A03-O (GB) </t>
  </si>
  <si>
    <t xml:space="preserve">5A03-O, Rod (GB) </t>
  </si>
  <si>
    <t xml:space="preserve">5A03-H32 (GB) </t>
  </si>
  <si>
    <t xml:space="preserve">5A03-H34 (GB) </t>
  </si>
  <si>
    <t xml:space="preserve">5A03-H36 (GB) </t>
  </si>
  <si>
    <t xml:space="preserve">5A03-H38 (GB) </t>
  </si>
  <si>
    <t xml:space="preserve">5A03-H38, Rod (GB) </t>
  </si>
  <si>
    <t xml:space="preserve">5154A-O, Rod (GB) </t>
  </si>
  <si>
    <t xml:space="preserve">5086-H32, Rod (GB) </t>
  </si>
  <si>
    <t xml:space="preserve">5554-O (GB) </t>
  </si>
  <si>
    <t xml:space="preserve">5554-H32 (GB) </t>
  </si>
  <si>
    <t xml:space="preserve">5554-H34 (GB) </t>
  </si>
  <si>
    <t xml:space="preserve">5554-H111 (GB) </t>
  </si>
  <si>
    <t xml:space="preserve">5554-H112 (GB) </t>
  </si>
  <si>
    <t xml:space="preserve">6061 Alloy  (GB) </t>
  </si>
  <si>
    <t xml:space="preserve">6061-O (GB) </t>
  </si>
  <si>
    <t xml:space="preserve">6061-T4 (GB) </t>
  </si>
  <si>
    <t xml:space="preserve">6061-T6 (GB) </t>
  </si>
  <si>
    <t xml:space="preserve">6063-O (GB) </t>
  </si>
  <si>
    <t xml:space="preserve">6063-O, Extruded Rod (GB) </t>
  </si>
  <si>
    <t xml:space="preserve">6063-T1 (GB) </t>
  </si>
  <si>
    <t xml:space="preserve">6063-T4 (GB) </t>
  </si>
  <si>
    <t xml:space="preserve">6063-T5 (GB) </t>
  </si>
  <si>
    <t xml:space="preserve">6063-T6 (GB) </t>
  </si>
  <si>
    <t xml:space="preserve">6063-T6, Rod (GB) </t>
  </si>
  <si>
    <t xml:space="preserve">6063-T83 (GB) </t>
  </si>
  <si>
    <t xml:space="preserve">7075-O (GB) </t>
  </si>
  <si>
    <t xml:space="preserve">7075-T6 (GB) </t>
  </si>
  <si>
    <t xml:space="preserve">7075-T6, Plate (GB) </t>
  </si>
  <si>
    <t xml:space="preserve">7A10 (GB) </t>
  </si>
  <si>
    <t xml:space="preserve">1023 Carbon Steel Sheet #(SS) </t>
  </si>
  <si>
    <t xml:space="preserve">201 Annealed Stainless Steel (SS) </t>
  </si>
  <si>
    <t xml:space="preserve">AISI 1015 Steel, Cold Drawn (SS) </t>
  </si>
  <si>
    <t xml:space="preserve">AISI 1035 Steel (SS) </t>
  </si>
  <si>
    <t xml:space="preserve">AISI 1020 </t>
  </si>
  <si>
    <t xml:space="preserve">AISI 1010 Steel, hot rolled bar </t>
  </si>
  <si>
    <t xml:space="preserve">AISI 1020 Steel, Cold Rolled </t>
  </si>
  <si>
    <t xml:space="preserve">AISI 1045 Steel, cold drawn </t>
  </si>
  <si>
    <t xml:space="preserve">AISI 304 </t>
  </si>
  <si>
    <t xml:space="preserve">AISI 316 Annealed Stainless Steel Bar (SS) </t>
  </si>
  <si>
    <t xml:space="preserve">AISI 316 Stainless Steel Sheet (SS) </t>
  </si>
  <si>
    <t xml:space="preserve">AISI 321 Annealed Stainless Steel (SS) </t>
  </si>
  <si>
    <t xml:space="preserve">AISI 347 Annealed Stainless Steel (SS) </t>
  </si>
  <si>
    <t xml:space="preserve">AISI 4130 Steel, annealed at 865C </t>
  </si>
  <si>
    <t xml:space="preserve">AISI 4130 Steel, normalized at 870C </t>
  </si>
  <si>
    <t xml:space="preserve">AISI 4340 Steel, annealed </t>
  </si>
  <si>
    <t xml:space="preserve">AISI 4340 Steel, normalized </t>
  </si>
  <si>
    <t xml:space="preserve">AISI Type A2 Tool Steel </t>
  </si>
  <si>
    <t xml:space="preserve">AISI Type 316L stainless steel </t>
  </si>
  <si>
    <t xml:space="preserve">A286 Iron Base Superalloy </t>
  </si>
  <si>
    <t xml:space="preserve">ASTM A36 Steel </t>
  </si>
  <si>
    <t xml:space="preserve">Alloy Steel (SS) </t>
  </si>
  <si>
    <t xml:space="preserve">Cast Alloy Steel </t>
  </si>
  <si>
    <t xml:space="preserve">Cast Carbon Steel (SN) </t>
  </si>
  <si>
    <t xml:space="preserve">Cast Stainless Steel </t>
  </si>
  <si>
    <t xml:space="preserve">Chrome Stainless Steel </t>
  </si>
  <si>
    <t xml:space="preserve">Galvanized Steel </t>
  </si>
  <si>
    <t xml:space="preserve">Plain Carbon Steel </t>
  </si>
  <si>
    <t xml:space="preserve">Wrought Stainless Steel </t>
  </si>
  <si>
    <t xml:space="preserve">Stainless Steel (ferritic) </t>
  </si>
  <si>
    <t xml:space="preserve">1060 Alloy </t>
  </si>
  <si>
    <t xml:space="preserve">1060-O (SS) </t>
  </si>
  <si>
    <t xml:space="preserve">1060-H12 </t>
  </si>
  <si>
    <t xml:space="preserve">1060-H12 Rod (SS) </t>
  </si>
  <si>
    <t xml:space="preserve">1060-H14 </t>
  </si>
  <si>
    <t xml:space="preserve">1060-H16 </t>
  </si>
  <si>
    <t xml:space="preserve">1060-H18 </t>
  </si>
  <si>
    <t xml:space="preserve">1060-H18 Rod (SS) </t>
  </si>
  <si>
    <t xml:space="preserve">1100-O Rod (SS) </t>
  </si>
  <si>
    <t xml:space="preserve">1100-H12 Rod (SS) </t>
  </si>
  <si>
    <t xml:space="preserve">1100-H16 Rod (SS) </t>
  </si>
  <si>
    <t xml:space="preserve">1100-H26 Rod (SS) </t>
  </si>
  <si>
    <t xml:space="preserve">1345 Alloy </t>
  </si>
  <si>
    <t xml:space="preserve">1350 Alloy </t>
  </si>
  <si>
    <t xml:space="preserve">201.0-T6 Insulated Mold Casting (SS) </t>
  </si>
  <si>
    <t xml:space="preserve">201.0-T7 Insulated Mold Casting (SS) </t>
  </si>
  <si>
    <t xml:space="preserve">201.0-T43 Insulated Mold Casting (SS) </t>
  </si>
  <si>
    <t xml:space="preserve">2014 Alloy </t>
  </si>
  <si>
    <t xml:space="preserve">2014-O </t>
  </si>
  <si>
    <t xml:space="preserve">2014-T4 </t>
  </si>
  <si>
    <t xml:space="preserve">2014-T6 </t>
  </si>
  <si>
    <t xml:space="preserve">2018 Alloy </t>
  </si>
  <si>
    <t xml:space="preserve">2024 Alloy (SN) </t>
  </si>
  <si>
    <t xml:space="preserve">2024-O </t>
  </si>
  <si>
    <t xml:space="preserve">2024-T3 </t>
  </si>
  <si>
    <t xml:space="preserve">2024-T4 </t>
  </si>
  <si>
    <t xml:space="preserve">2024-T361 </t>
  </si>
  <si>
    <t xml:space="preserve">2219-O </t>
  </si>
  <si>
    <t xml:space="preserve">2219-T31 </t>
  </si>
  <si>
    <t xml:space="preserve">2219-T37 </t>
  </si>
  <si>
    <t xml:space="preserve">2219-T62 </t>
  </si>
  <si>
    <t xml:space="preserve">2219-T81 </t>
  </si>
  <si>
    <t xml:space="preserve">2219-T87 </t>
  </si>
  <si>
    <t xml:space="preserve">2618-T61 (SS) </t>
  </si>
  <si>
    <t xml:space="preserve">3003 Alloy </t>
  </si>
  <si>
    <t xml:space="preserve">3003-O </t>
  </si>
  <si>
    <t xml:space="preserve">3003-O, Rod (SS) </t>
  </si>
  <si>
    <t xml:space="preserve">3003-H12 </t>
  </si>
  <si>
    <t xml:space="preserve">3003-H12, Rod (SS) </t>
  </si>
  <si>
    <t xml:space="preserve">3003-H14 </t>
  </si>
  <si>
    <t xml:space="preserve">3003-H14, Rod (SS) </t>
  </si>
  <si>
    <t xml:space="preserve">3003-H16 </t>
  </si>
  <si>
    <t xml:space="preserve">3003-H18 </t>
  </si>
  <si>
    <t xml:space="preserve">3003-H18, Rod (SS) </t>
  </si>
  <si>
    <t xml:space="preserve">3004-H34, Rod (SS) </t>
  </si>
  <si>
    <t xml:space="preserve">3004-O, Rod (SS) </t>
  </si>
  <si>
    <t xml:space="preserve">356.0-T6 Permanent Mold cast (SS) </t>
  </si>
  <si>
    <t xml:space="preserve">4032-T6 </t>
  </si>
  <si>
    <t xml:space="preserve">5052-O </t>
  </si>
  <si>
    <t xml:space="preserve">5052-O, Rod (SS) </t>
  </si>
  <si>
    <t xml:space="preserve">5052-H32 </t>
  </si>
  <si>
    <t xml:space="preserve">5052-H34 </t>
  </si>
  <si>
    <t xml:space="preserve">5052-H36 </t>
  </si>
  <si>
    <t xml:space="preserve">5052-H38 </t>
  </si>
  <si>
    <t xml:space="preserve">5052-H38, Rod (SS) </t>
  </si>
  <si>
    <t xml:space="preserve">5154-O, Rod (SS) </t>
  </si>
  <si>
    <t xml:space="preserve">5086-H32, Rod (SS) </t>
  </si>
  <si>
    <t xml:space="preserve">5454-O </t>
  </si>
  <si>
    <t xml:space="preserve">5454-H32 </t>
  </si>
  <si>
    <t xml:space="preserve">5454-H34 </t>
  </si>
  <si>
    <t xml:space="preserve">5454-H111 </t>
  </si>
  <si>
    <t xml:space="preserve">5454-H112 </t>
  </si>
  <si>
    <t xml:space="preserve">6061 Alloy </t>
  </si>
  <si>
    <t xml:space="preserve">6061-O (SS) </t>
  </si>
  <si>
    <t xml:space="preserve">6061-T4 (SS) </t>
  </si>
  <si>
    <t xml:space="preserve">6061-T6 (SS) </t>
  </si>
  <si>
    <t xml:space="preserve">6063-O </t>
  </si>
  <si>
    <t xml:space="preserve">6063-O, Extruded Rod (SS) </t>
  </si>
  <si>
    <t xml:space="preserve">6063-T1 </t>
  </si>
  <si>
    <t xml:space="preserve">6063-T4 </t>
  </si>
  <si>
    <t xml:space="preserve">6063-T5 </t>
  </si>
  <si>
    <t xml:space="preserve">6063-T6 </t>
  </si>
  <si>
    <t xml:space="preserve">6063-T6, Rod (SS) </t>
  </si>
  <si>
    <t xml:space="preserve">6063-T83 </t>
  </si>
  <si>
    <t xml:space="preserve">7050-T73510 </t>
  </si>
  <si>
    <t xml:space="preserve">7050-T7451 </t>
  </si>
  <si>
    <t xml:space="preserve">7050-T7651 </t>
  </si>
  <si>
    <t xml:space="preserve">7075-O (SS) </t>
  </si>
  <si>
    <t xml:space="preserve">7075-T6 (SN) </t>
  </si>
  <si>
    <t xml:space="preserve">7075-T6, Plate (SS) </t>
  </si>
  <si>
    <t xml:space="preserve">7079 Alloy </t>
  </si>
  <si>
    <t xml:space="preserve">Alumina </t>
  </si>
  <si>
    <t xml:space="preserve">AA356.0-F  </t>
  </si>
  <si>
    <t xml:space="preserve">AA380.0-F die </t>
  </si>
  <si>
    <t xml:space="preserve">C355.0-T61 Permanent Mold cast (SS) </t>
  </si>
  <si>
    <t xml:space="preserve">Aluminium Bronze </t>
  </si>
  <si>
    <t xml:space="preserve">Beryllium Copper, UNS C17000 </t>
  </si>
  <si>
    <t xml:space="preserve">Beryllium Copper, UNS C17200 </t>
  </si>
  <si>
    <t xml:space="preserve">Beryllium Copper, UNS C17300 </t>
  </si>
  <si>
    <t xml:space="preserve">Beryllium S-65C, Vacuum Hot Pressed </t>
  </si>
  <si>
    <t xml:space="preserve">Beryllium S-200F, Vacuum Hot Pressed </t>
  </si>
  <si>
    <t xml:space="preserve">Brass </t>
  </si>
  <si>
    <t xml:space="preserve">Chromium Copper, UNS C18200 </t>
  </si>
  <si>
    <t xml:space="preserve">Copper </t>
  </si>
  <si>
    <t xml:space="preserve">Commercial Bronze, UNS C22000 (90-10 Bronze) </t>
  </si>
  <si>
    <t xml:space="preserve">Copper-Cobalt-Beryllium alloy, UNS C17500 </t>
  </si>
  <si>
    <t xml:space="preserve">Free-Cutting Brass, UNS C36000 </t>
  </si>
  <si>
    <t xml:space="preserve">High-leaded brass, UNS C34200 </t>
  </si>
  <si>
    <t xml:space="preserve">Leaded Commercial Bronze </t>
  </si>
  <si>
    <t xml:space="preserve">Manganese Bronze </t>
  </si>
  <si>
    <t xml:space="preserve">Nickel silver 65-12, UNS C75700 </t>
  </si>
  <si>
    <t xml:space="preserve">Phosphor bronze 10% D, UNS C52400 </t>
  </si>
  <si>
    <t xml:space="preserve">Tin Bearing Bronze </t>
  </si>
  <si>
    <t xml:space="preserve">Wrought Copper </t>
  </si>
  <si>
    <t xml:space="preserve">Commercially Pure titanium (Ti-55)  UNS R50550* </t>
  </si>
  <si>
    <t xml:space="preserve">Commercially Pure CP-Ti UNS R50700  Grade 4 (SS) </t>
  </si>
  <si>
    <t xml:space="preserve">Commercially Pure CP-Ti UNS R50400 (SS) </t>
  </si>
  <si>
    <t xml:space="preserve">Commercially Pure Grade 2 Textured (SS) </t>
  </si>
  <si>
    <t xml:space="preserve">Commercially Pure grade 2 longitudinal (SS) </t>
  </si>
  <si>
    <t xml:space="preserve">Ti-3Al-8V-6Cr-4Mo-4Zr (SS) </t>
  </si>
  <si>
    <t xml:space="preserve">Ti-5Al-2.5Sn Annealed (SS) </t>
  </si>
  <si>
    <t xml:space="preserve">Ti-6Al-2Sn-2Zr-2Mo-2Cr-0.25Si (SS) </t>
  </si>
  <si>
    <t xml:space="preserve">Ti-6Al-4VSolution treated and aged (SS) </t>
  </si>
  <si>
    <t xml:space="preserve">Ti-8Al-1Mo-1V annealed sheet (SS) </t>
  </si>
  <si>
    <t xml:space="preserve">Ti-8Mn annealed sheet (SS) </t>
  </si>
  <si>
    <t xml:space="preserve">Ti-10V-2Fe-3Al Solution Treated Bar (SS) </t>
  </si>
  <si>
    <t xml:space="preserve">TIMETAL 35A CP Titanium (ASTM Grade 1) 99.1 Ti </t>
  </si>
  <si>
    <t xml:space="preserve">Titanium Ti-5Al-2.5Sn </t>
  </si>
  <si>
    <t xml:space="preserve">Titanium Ti-8Al-1Mo-1V </t>
  </si>
  <si>
    <t xml:space="preserve">Titanium Ti-8Mn, Annealed </t>
  </si>
  <si>
    <t xml:space="preserve">Titanium Ti-13V-11Cr-3Al Solution Treated </t>
  </si>
  <si>
    <t xml:space="preserve">Zinc AC43A (Zn-4Al-2.5Cu-0.04Mg; Number 2 Die Casting Alloy; Zamak 2), Die Cast </t>
  </si>
  <si>
    <t xml:space="preserve">Zinc AG40A (Zn-4Al-0.4Mg; Zamak 3), Cast </t>
  </si>
  <si>
    <t xml:space="preserve">Zinc AC41A Alloy, As Cast </t>
  </si>
  <si>
    <t xml:space="preserve">Zinc Alloy 7; AG40B; Zn-4Al-0.015Mg </t>
  </si>
  <si>
    <t xml:space="preserve">Duranickel&amp;#174; 301 !-- Added &amp;#174; which adds a registered trademark symbol -- </t>
  </si>
  <si>
    <t xml:space="preserve">Magnesium Alloy </t>
  </si>
  <si>
    <t xml:space="preserve">Monel&amp;#174; 400 !-- Added &amp;#174; which adds a registered trademark symbol -- </t>
  </si>
  <si>
    <t xml:space="preserve">Nylon 101 </t>
  </si>
  <si>
    <t xml:space="preserve">ABS </t>
  </si>
  <si>
    <t xml:space="preserve">ABS PC </t>
  </si>
  <si>
    <t xml:space="preserve">Acrylic (Medium-high impact) </t>
  </si>
  <si>
    <t xml:space="preserve">Delrin 2700 NC010, Low Viscosity Acetal Copolymer (SS) </t>
  </si>
  <si>
    <t xml:space="preserve">Nylon 610 </t>
  </si>
  <si>
    <t xml:space="preserve">PA Type 6 </t>
  </si>
  <si>
    <t xml:space="preserve">PBT General Purpose </t>
  </si>
  <si>
    <t xml:space="preserve">PC High Viscosity </t>
  </si>
  <si>
    <t xml:space="preserve">PE High Density </t>
  </si>
  <si>
    <t xml:space="preserve">PE LowMedium Density </t>
  </si>
  <si>
    <t xml:space="preserve">POM Acetal Copolymer </t>
  </si>
  <si>
    <t xml:space="preserve">PP Copolymer </t>
  </si>
  <si>
    <t xml:space="preserve">PS MediumHigh Flow </t>
  </si>
  <si>
    <t xml:space="preserve">PVC 0.007 Plasticized </t>
  </si>
  <si>
    <t xml:space="preserve">PVC Rigid </t>
  </si>
  <si>
    <t xml:space="preserve">Very Low Density PE (SS) </t>
  </si>
  <si>
    <t xml:space="preserve">Perspex (TM) GS Acrylic Cast Sheet </t>
  </si>
  <si>
    <t xml:space="preserve">PTFE (general) </t>
  </si>
  <si>
    <t xml:space="preserve">Beryllium (Be) </t>
  </si>
  <si>
    <t xml:space="preserve">Cobalt (Co) </t>
  </si>
  <si>
    <t xml:space="preserve">Molybdenum (Mo) </t>
  </si>
  <si>
    <t xml:space="preserve">Nickel (Ni) </t>
  </si>
  <si>
    <t xml:space="preserve">Pure Gold </t>
  </si>
  <si>
    <t xml:space="preserve">Pure Lead (Pb) </t>
  </si>
  <si>
    <t xml:space="preserve">Pure Silver (Ag) </t>
  </si>
  <si>
    <t xml:space="preserve">Titanium (Ti) </t>
  </si>
  <si>
    <t xml:space="preserve">Tungsten (W) </t>
  </si>
  <si>
    <t xml:space="preserve">Vanadium (V) </t>
  </si>
  <si>
    <t xml:space="preserve">Zirconium (Zr) </t>
  </si>
  <si>
    <r>
      <rPr>
        <sz val="12"/>
        <rFont val="Times New Roman"/>
        <family val="1"/>
      </rPr>
      <t>Air</t>
    </r>
    <r>
      <rPr>
        <sz val="12"/>
        <rFont val="宋体"/>
        <family val="3"/>
        <charset val="134"/>
      </rPr>
      <t xml:space="preserve">（空气） </t>
    </r>
  </si>
  <si>
    <r>
      <rPr>
        <sz val="12"/>
        <rFont val="Times New Roman"/>
        <family val="1"/>
      </rPr>
      <t>Ceramic Porcelain</t>
    </r>
    <r>
      <rPr>
        <sz val="12"/>
        <rFont val="宋体"/>
        <family val="3"/>
        <charset val="134"/>
      </rPr>
      <t xml:space="preserve">（陶瓷） </t>
    </r>
  </si>
  <si>
    <r>
      <rPr>
        <sz val="12"/>
        <rFont val="Times New Roman"/>
        <family val="1"/>
      </rPr>
      <t>Glass</t>
    </r>
    <r>
      <rPr>
        <sz val="12"/>
        <rFont val="宋体"/>
        <family val="3"/>
        <charset val="134"/>
      </rPr>
      <t xml:space="preserve">（玻璃） </t>
    </r>
  </si>
  <si>
    <r>
      <rPr>
        <sz val="12"/>
        <rFont val="Times New Roman"/>
        <family val="1"/>
      </rPr>
      <t>Rubber</t>
    </r>
    <r>
      <rPr>
        <sz val="12"/>
        <rFont val="宋体"/>
        <family val="3"/>
        <charset val="134"/>
      </rPr>
      <t xml:space="preserve">（橡胶） </t>
    </r>
  </si>
  <si>
    <r>
      <rPr>
        <sz val="12"/>
        <rFont val="Times New Roman"/>
        <family val="1"/>
      </rPr>
      <t>Water</t>
    </r>
    <r>
      <rPr>
        <sz val="12"/>
        <rFont val="宋体"/>
        <family val="3"/>
        <charset val="134"/>
      </rPr>
      <t xml:space="preserve">（水） </t>
    </r>
  </si>
  <si>
    <t>塑料名称</t>
  </si>
  <si>
    <t>流动性</t>
  </si>
  <si>
    <t>拉伸强度</t>
  </si>
  <si>
    <t xml:space="preserve"> 收缩率</t>
  </si>
  <si>
    <t>吸水率</t>
  </si>
  <si>
    <t>线膨胀系数</t>
  </si>
  <si>
    <t>产品精度</t>
  </si>
  <si>
    <t>原料价格</t>
  </si>
  <si>
    <t>相对密度</t>
  </si>
  <si>
    <t>弯曲强度</t>
  </si>
  <si>
    <t>压缩强度</t>
  </si>
  <si>
    <t>断裂伸长率</t>
  </si>
  <si>
    <t>冲击强度</t>
  </si>
  <si>
    <t>缺口冲击强度</t>
  </si>
  <si>
    <t>洛氏硬度</t>
  </si>
  <si>
    <t>热变形温度</t>
  </si>
  <si>
    <t>摩擦系数</t>
  </si>
  <si>
    <t>透光率</t>
  </si>
  <si>
    <t>氧指数</t>
  </si>
  <si>
    <t>丙稀腈、丁二稀、苯乙烯</t>
  </si>
  <si>
    <t>ABS</t>
  </si>
  <si>
    <t>一般</t>
  </si>
  <si>
    <t>35～62</t>
  </si>
  <si>
    <t>0.3～0.8</t>
  </si>
  <si>
    <t>0.2～0.45</t>
  </si>
  <si>
    <t>3～60</t>
  </si>
  <si>
    <t>R65～115</t>
  </si>
  <si>
    <t>氨基树脂</t>
  </si>
  <si>
    <t>AF</t>
  </si>
  <si>
    <t>氯化聚醚</t>
  </si>
  <si>
    <t>CP</t>
  </si>
  <si>
    <t>60～130</t>
  </si>
  <si>
    <t>1.6～2.2</t>
  </si>
  <si>
    <t>环氧树脂</t>
  </si>
  <si>
    <t>EP</t>
  </si>
  <si>
    <t>聚三氟氯乙烯</t>
  </si>
  <si>
    <t>F3</t>
  </si>
  <si>
    <t>较差</t>
  </si>
  <si>
    <t>＜0.01</t>
  </si>
  <si>
    <t>R115</t>
  </si>
  <si>
    <t>＞95</t>
  </si>
  <si>
    <t>聚四氟乙烯</t>
  </si>
  <si>
    <t>F4</t>
  </si>
  <si>
    <t>聚四氟乙烯(增强)</t>
  </si>
  <si>
    <t>F4+20%GF</t>
  </si>
  <si>
    <t>聚全氟乙丙烯</t>
  </si>
  <si>
    <t>F46</t>
  </si>
  <si>
    <t>R110</t>
  </si>
  <si>
    <t>高密度聚乙烯(孖力士)</t>
  </si>
  <si>
    <t>HDPE</t>
  </si>
  <si>
    <t>较好</t>
  </si>
  <si>
    <t>22～30</t>
  </si>
  <si>
    <t>2～5.0</t>
  </si>
  <si>
    <t>＞500</t>
  </si>
  <si>
    <t>40～70</t>
  </si>
  <si>
    <t>R70</t>
  </si>
  <si>
    <t>高抗冲聚苯乙烯(不脆胶)</t>
  </si>
  <si>
    <t>HIPS</t>
  </si>
  <si>
    <t>0.2～0.6</t>
  </si>
  <si>
    <t>3.4～21</t>
  </si>
  <si>
    <t>硬质聚氯乙烯</t>
  </si>
  <si>
    <t>HPVC</t>
  </si>
  <si>
    <t>0.6～1.0</t>
  </si>
  <si>
    <t>0.07～0.4</t>
  </si>
  <si>
    <t>2.2～10.6</t>
  </si>
  <si>
    <t>D75～85</t>
  </si>
  <si>
    <t>液晶聚合物</t>
  </si>
  <si>
    <t>LCP</t>
  </si>
  <si>
    <t>低密度聚乙烯</t>
  </si>
  <si>
    <t>LDPE</t>
  </si>
  <si>
    <t>7～15</t>
  </si>
  <si>
    <t>1.5～5.0</t>
  </si>
  <si>
    <t>＞650</t>
  </si>
  <si>
    <t>80～90</t>
  </si>
  <si>
    <t>R45</t>
  </si>
  <si>
    <t>改性聚苯醚</t>
  </si>
  <si>
    <t>MPPO</t>
  </si>
  <si>
    <t>聚酰胺6</t>
  </si>
  <si>
    <t>PA6</t>
  </si>
  <si>
    <t>0.6～1.4</t>
  </si>
  <si>
    <t>M114</t>
  </si>
  <si>
    <t>聚酰胺6(增强)</t>
  </si>
  <si>
    <t>PA6+30%GF</t>
  </si>
  <si>
    <t>0.3～0.7</t>
  </si>
  <si>
    <t>聚酰胺66</t>
  </si>
  <si>
    <t>PA66</t>
  </si>
  <si>
    <t>0.8～1.5</t>
  </si>
  <si>
    <t>3.4～3.6</t>
  </si>
  <si>
    <t>M118</t>
  </si>
  <si>
    <t>聚酰胺66(增强)</t>
  </si>
  <si>
    <t>PA66+30%GF</t>
  </si>
  <si>
    <t>0.2～0.8</t>
  </si>
  <si>
    <t>0.5～1.3</t>
  </si>
  <si>
    <t>聚芳砜</t>
  </si>
  <si>
    <t>PASF</t>
  </si>
  <si>
    <t>M110</t>
  </si>
  <si>
    <t>聚对苯二甲酸丁二醇酯</t>
  </si>
  <si>
    <t>PBT</t>
  </si>
  <si>
    <t>200～300</t>
  </si>
  <si>
    <t>M72</t>
  </si>
  <si>
    <t>聚对苯二甲酸丁二醇酯(增强)</t>
  </si>
  <si>
    <t>PBT+30%GF</t>
  </si>
  <si>
    <t>R121</t>
  </si>
  <si>
    <t>聚碳酸脂(防弹胶)</t>
  </si>
  <si>
    <t>PC</t>
  </si>
  <si>
    <t>M80</t>
  </si>
  <si>
    <t>聚碳酸脂(增强)</t>
  </si>
  <si>
    <t>PC+30%GF</t>
  </si>
  <si>
    <t>＜5</t>
  </si>
  <si>
    <t>M90</t>
  </si>
  <si>
    <t>聚醚醚酮</t>
  </si>
  <si>
    <t>PEEK</t>
  </si>
  <si>
    <t>聚醚酮</t>
  </si>
  <si>
    <t>PEK</t>
  </si>
  <si>
    <t>聚醚酮酮</t>
  </si>
  <si>
    <t>PEKK</t>
  </si>
  <si>
    <t>聚醚砜</t>
  </si>
  <si>
    <t>PES</t>
  </si>
  <si>
    <t>M98</t>
  </si>
  <si>
    <t>聚对苯二甲酸乙二醇酯</t>
  </si>
  <si>
    <t>PET</t>
  </si>
  <si>
    <t>涤纶(的确凉)</t>
  </si>
  <si>
    <t>PET+30%GF</t>
  </si>
  <si>
    <t>0.2～0.9</t>
  </si>
  <si>
    <t>R120</t>
  </si>
  <si>
    <t xml:space="preserve">酚醛塑料(电木粉) </t>
  </si>
  <si>
    <t>PF</t>
  </si>
  <si>
    <t>聚酰亚胺</t>
  </si>
  <si>
    <t>PI</t>
  </si>
  <si>
    <t>聚甲基丙烯酸酯(亚加力)</t>
  </si>
  <si>
    <t>PMMA</t>
  </si>
  <si>
    <t>55～77</t>
  </si>
  <si>
    <t>2.5～6</t>
  </si>
  <si>
    <t>聚甲醛 共聚(赛钢)</t>
  </si>
  <si>
    <t>共聚POM</t>
  </si>
  <si>
    <t>1.5～3.5</t>
  </si>
  <si>
    <t>聚甲醛 共聚(增强)</t>
  </si>
  <si>
    <t>共聚POM+25%GF</t>
  </si>
  <si>
    <t>聚甲醛 均聚</t>
  </si>
  <si>
    <t>均聚POM</t>
  </si>
  <si>
    <t>1.5～3</t>
  </si>
  <si>
    <t>M94</t>
  </si>
  <si>
    <t>聚丙烯(百折胶)</t>
  </si>
  <si>
    <t>PP</t>
  </si>
  <si>
    <t>1～2.5</t>
  </si>
  <si>
    <t>＞200</t>
  </si>
  <si>
    <t>R80～110</t>
  </si>
  <si>
    <t>聚丙烯(增强)</t>
  </si>
  <si>
    <t>PP+30%GF</t>
  </si>
  <si>
    <t>0.4～0.8</t>
  </si>
  <si>
    <t>聚苯醚</t>
  </si>
  <si>
    <t>PPO</t>
  </si>
  <si>
    <t>R119</t>
  </si>
  <si>
    <t>聚苯硫醚(增强)</t>
  </si>
  <si>
    <t>PPS+40%GF</t>
  </si>
  <si>
    <t>＜0.12</t>
  </si>
  <si>
    <t>＜0.05</t>
  </si>
  <si>
    <t>R132</t>
  </si>
  <si>
    <t xml:space="preserve">聚苯乙烯(硬胶) </t>
  </si>
  <si>
    <t>PS</t>
  </si>
  <si>
    <t>0.4～0.7</t>
  </si>
  <si>
    <t>M65～90</t>
  </si>
  <si>
    <t>聚砜</t>
  </si>
  <si>
    <t>PSF</t>
  </si>
  <si>
    <t>50～10</t>
  </si>
  <si>
    <t>M169</t>
  </si>
  <si>
    <t>聚氨酯</t>
  </si>
  <si>
    <t>PU</t>
  </si>
  <si>
    <t>软质聚氯乙烯</t>
  </si>
  <si>
    <t>SPVC</t>
  </si>
  <si>
    <t>10.5～20.5</t>
  </si>
  <si>
    <t>1.5～2.5</t>
  </si>
  <si>
    <t>超高分子量聚乙烯</t>
  </si>
  <si>
    <t>UHMWPE</t>
  </si>
  <si>
    <t>30～50</t>
  </si>
  <si>
    <t>2～3</t>
  </si>
  <si>
    <t>＞100</t>
  </si>
  <si>
    <t>R38</t>
  </si>
  <si>
    <t>醋酸纤维素</t>
  </si>
  <si>
    <t>参考手册：机械设计手册（第五版）第五卷 第21篇 21-32页</t>
  </si>
  <si>
    <t>液压冲击计算公式</t>
  </si>
  <si>
    <t>输入参数区</t>
  </si>
  <si>
    <t>输出结果区</t>
  </si>
  <si>
    <t>输入的参数及代号(单位)</t>
  </si>
  <si>
    <t>输入参数值</t>
  </si>
  <si>
    <t>备注说明</t>
  </si>
  <si>
    <t>计算的参数代号(单位)</t>
  </si>
  <si>
    <r>
      <rPr>
        <sz val="11"/>
        <color theme="1"/>
        <rFont val="微软雅黑"/>
        <family val="2"/>
        <charset val="134"/>
      </rPr>
      <t>液体体积弹性模量E</t>
    </r>
    <r>
      <rPr>
        <vertAlign val="subscript"/>
        <sz val="11"/>
        <color theme="1"/>
        <rFont val="微软雅黑"/>
        <family val="2"/>
        <charset val="134"/>
      </rPr>
      <t>0</t>
    </r>
    <r>
      <rPr>
        <sz val="11"/>
        <color theme="1"/>
        <rFont val="微软雅黑"/>
        <family val="2"/>
        <charset val="134"/>
      </rPr>
      <t>（Pa）</t>
    </r>
  </si>
  <si>
    <t>冲击波在管内的转播速度
α（m/s）</t>
  </si>
  <si>
    <r>
      <rPr>
        <sz val="11"/>
        <color theme="1"/>
        <rFont val="微软雅黑"/>
        <family val="2"/>
        <charset val="134"/>
      </rPr>
      <t>液体密度ρ（kg/m</t>
    </r>
    <r>
      <rPr>
        <vertAlign val="superscript"/>
        <sz val="11"/>
        <color theme="1"/>
        <rFont val="微软雅黑"/>
        <family val="2"/>
        <charset val="134"/>
      </rPr>
      <t>3</t>
    </r>
    <r>
      <rPr>
        <sz val="11"/>
        <color theme="1"/>
        <rFont val="微软雅黑"/>
        <family val="2"/>
        <charset val="134"/>
      </rPr>
      <t>）</t>
    </r>
  </si>
  <si>
    <t>管道内径d（m）</t>
  </si>
  <si>
    <t>管壁厚度δ（m）</t>
  </si>
  <si>
    <t>管道材料的弹性模量E（Pa）</t>
  </si>
  <si>
    <t>转播速度α（m/s）</t>
  </si>
  <si>
    <t>冲击波在管内往复所需要的
时间T（s）</t>
  </si>
  <si>
    <t>T=2l/α</t>
  </si>
  <si>
    <t>管道长度l(m)</t>
  </si>
  <si>
    <t>液体密度ρ（kg/m3）</t>
  </si>
  <si>
    <t>直接冲击是管内压力增大值
△p（Pa）</t>
  </si>
  <si>
    <r>
      <rPr>
        <sz val="11"/>
        <color theme="1"/>
        <rFont val="微软雅黑"/>
        <family val="2"/>
        <charset val="134"/>
      </rPr>
      <t>△p=αρ(V</t>
    </r>
    <r>
      <rPr>
        <vertAlign val="subscript"/>
        <sz val="11"/>
        <color theme="1"/>
        <rFont val="微软雅黑"/>
        <family val="2"/>
        <charset val="134"/>
      </rPr>
      <t>1</t>
    </r>
    <r>
      <rPr>
        <sz val="11"/>
        <color theme="1"/>
        <rFont val="微软雅黑"/>
        <family val="2"/>
        <charset val="134"/>
      </rPr>
      <t>-V</t>
    </r>
    <r>
      <rPr>
        <vertAlign val="subscript"/>
        <sz val="11"/>
        <color theme="1"/>
        <rFont val="微软雅黑"/>
        <family val="2"/>
        <charset val="134"/>
      </rPr>
      <t>2</t>
    </r>
    <r>
      <rPr>
        <sz val="11"/>
        <color theme="1"/>
        <rFont val="微软雅黑"/>
        <family val="2"/>
        <charset val="134"/>
      </rPr>
      <t>)</t>
    </r>
  </si>
  <si>
    <r>
      <rPr>
        <sz val="11"/>
        <color theme="1"/>
        <rFont val="微软雅黑"/>
        <family val="2"/>
        <charset val="134"/>
      </rPr>
      <t>管内原流速v</t>
    </r>
    <r>
      <rPr>
        <vertAlign val="subscript"/>
        <sz val="11"/>
        <color theme="1"/>
        <rFont val="微软雅黑"/>
        <family val="2"/>
        <charset val="134"/>
      </rPr>
      <t>1</t>
    </r>
    <r>
      <rPr>
        <sz val="11"/>
        <color theme="1"/>
        <rFont val="微软雅黑"/>
        <family val="2"/>
        <charset val="134"/>
      </rPr>
      <t>（m/s）</t>
    </r>
  </si>
  <si>
    <r>
      <rPr>
        <sz val="11"/>
        <color theme="1"/>
        <rFont val="微软雅黑"/>
        <family val="2"/>
        <charset val="134"/>
      </rPr>
      <t>关闭或打开管内流速v</t>
    </r>
    <r>
      <rPr>
        <vertAlign val="subscript"/>
        <sz val="11"/>
        <color theme="1"/>
        <rFont val="微软雅黑"/>
        <family val="2"/>
        <charset val="134"/>
      </rPr>
      <t>2</t>
    </r>
    <r>
      <rPr>
        <sz val="11"/>
        <color theme="1"/>
        <rFont val="微软雅黑"/>
        <family val="2"/>
        <charset val="134"/>
      </rPr>
      <t>(m/s)</t>
    </r>
  </si>
  <si>
    <t>间接冲击是管内压力增大值
△p（Pa）</t>
  </si>
  <si>
    <r>
      <rPr>
        <sz val="11"/>
        <color theme="1"/>
        <rFont val="微软雅黑"/>
        <family val="2"/>
        <charset val="134"/>
      </rPr>
      <t>△p=αρ(V</t>
    </r>
    <r>
      <rPr>
        <vertAlign val="subscript"/>
        <sz val="11"/>
        <color theme="1"/>
        <rFont val="微软雅黑"/>
        <family val="2"/>
        <charset val="134"/>
      </rPr>
      <t>1</t>
    </r>
    <r>
      <rPr>
        <sz val="11"/>
        <color theme="1"/>
        <rFont val="微软雅黑"/>
        <family val="2"/>
        <charset val="134"/>
      </rPr>
      <t>-V</t>
    </r>
    <r>
      <rPr>
        <vertAlign val="subscript"/>
        <sz val="11"/>
        <color theme="1"/>
        <rFont val="微软雅黑"/>
        <family val="2"/>
        <charset val="134"/>
      </rPr>
      <t>2</t>
    </r>
    <r>
      <rPr>
        <sz val="11"/>
        <color theme="1"/>
        <rFont val="微软雅黑"/>
        <family val="2"/>
        <charset val="134"/>
      </rPr>
      <t>)T/t</t>
    </r>
  </si>
  <si>
    <t>关闭或打开液流通道时间t(s)</t>
  </si>
  <si>
    <t>管道长度l（m）</t>
  </si>
  <si>
    <t>版权所有：杭州新迪数字工程系统有限公司</t>
  </si>
  <si>
    <t>免责声明：本工具的计算结果仅供设计参考，开发方对此不承担任何保证责任。</t>
  </si>
  <si>
    <r>
      <rPr>
        <b/>
        <sz val="20"/>
        <color indexed="12"/>
        <rFont val="Times New Roman"/>
        <family val="1"/>
      </rPr>
      <t xml:space="preserve">                              </t>
    </r>
    <r>
      <rPr>
        <b/>
        <sz val="20"/>
        <color indexed="12"/>
        <rFont val="宋体"/>
        <family val="3"/>
        <charset val="134"/>
      </rPr>
      <t>【理论】</t>
    </r>
    <r>
      <rPr>
        <b/>
        <sz val="20"/>
        <color indexed="12"/>
        <rFont val="Times New Roman"/>
        <family val="1"/>
      </rPr>
      <t xml:space="preserve"> </t>
    </r>
    <r>
      <rPr>
        <b/>
        <sz val="20"/>
        <color indexed="12"/>
        <rFont val="宋体"/>
        <family val="3"/>
        <charset val="134"/>
      </rPr>
      <t>总冲裁力的计算</t>
    </r>
  </si>
  <si>
    <t>一、</t>
  </si>
  <si>
    <t>前言</t>
  </si>
  <si>
    <t>计算总冲裁力的目的是为了合理地选用压力机（冲床）和设计模具。压力机的吨</t>
  </si>
  <si>
    <r>
      <rPr>
        <sz val="12"/>
        <rFont val="宋体"/>
        <family val="3"/>
        <charset val="134"/>
      </rPr>
      <t>位必须大于所计算的总冲裁力，以适应冲裁的要求。</t>
    </r>
    <r>
      <rPr>
        <sz val="12"/>
        <color indexed="53"/>
        <rFont val="宋体"/>
        <family val="3"/>
        <charset val="134"/>
      </rPr>
      <t>总冲裁力包含：冲裁力、推</t>
    </r>
  </si>
  <si>
    <t>料力、顶件力、卸料力等。</t>
  </si>
  <si>
    <t>二、</t>
  </si>
  <si>
    <t>冲裁力的计算</t>
  </si>
  <si>
    <t>冲裁力是冲裁过程中凸模对板料施加的压力，它是随凸模进入材料的深度（凸模</t>
  </si>
  <si>
    <t>行程）而变化的。</t>
  </si>
  <si>
    <r>
      <rPr>
        <sz val="12"/>
        <rFont val="宋体"/>
        <family val="3"/>
        <charset val="134"/>
      </rPr>
      <t>用普通平刃口模具冲裁时，其冲裁力</t>
    </r>
    <r>
      <rPr>
        <sz val="12"/>
        <rFont val="Times New Roman"/>
        <family val="1"/>
      </rPr>
      <t>F</t>
    </r>
    <r>
      <rPr>
        <sz val="12"/>
        <rFont val="宋体"/>
        <family val="3"/>
        <charset val="134"/>
      </rPr>
      <t>一般按下计算：</t>
    </r>
  </si>
  <si>
    <r>
      <rPr>
        <sz val="12"/>
        <rFont val="Times New Roman"/>
        <family val="1"/>
      </rPr>
      <t xml:space="preserve">F = K * L * t * T </t>
    </r>
    <r>
      <rPr>
        <sz val="8"/>
        <rFont val="Times New Roman"/>
        <family val="1"/>
      </rPr>
      <t>b</t>
    </r>
  </si>
  <si>
    <r>
      <rPr>
        <sz val="12"/>
        <rFont val="Times New Roman"/>
        <family val="1"/>
      </rPr>
      <t>F——</t>
    </r>
    <r>
      <rPr>
        <sz val="12"/>
        <rFont val="宋体"/>
        <family val="3"/>
        <charset val="134"/>
      </rPr>
      <t>冲裁力</t>
    </r>
    <r>
      <rPr>
        <sz val="12"/>
        <rFont val="Times New Roman"/>
        <family val="1"/>
      </rPr>
      <t>(N)</t>
    </r>
    <r>
      <rPr>
        <sz val="12"/>
        <rFont val="宋体"/>
        <family val="3"/>
        <charset val="134"/>
      </rPr>
      <t>；</t>
    </r>
  </si>
  <si>
    <r>
      <rPr>
        <sz val="12"/>
        <rFont val="Times New Roman"/>
        <family val="1"/>
      </rPr>
      <t>K——</t>
    </r>
    <r>
      <rPr>
        <sz val="12"/>
        <rFont val="宋体"/>
        <family val="3"/>
        <charset val="134"/>
      </rPr>
      <t>系数</t>
    </r>
    <r>
      <rPr>
        <sz val="12"/>
        <color indexed="10"/>
        <rFont val="宋体"/>
        <family val="3"/>
        <charset val="134"/>
      </rPr>
      <t>（注</t>
    </r>
    <r>
      <rPr>
        <sz val="12"/>
        <color indexed="10"/>
        <rFont val="Times New Roman"/>
        <family val="1"/>
      </rPr>
      <t>1</t>
    </r>
    <r>
      <rPr>
        <sz val="12"/>
        <color indexed="10"/>
        <rFont val="宋体"/>
        <family val="3"/>
        <charset val="134"/>
      </rPr>
      <t>）</t>
    </r>
  </si>
  <si>
    <r>
      <rPr>
        <sz val="12"/>
        <rFont val="Times New Roman"/>
        <family val="1"/>
      </rPr>
      <t>L——</t>
    </r>
    <r>
      <rPr>
        <sz val="12"/>
        <rFont val="宋体"/>
        <family val="3"/>
        <charset val="134"/>
      </rPr>
      <t>冲裁周边长度</t>
    </r>
    <r>
      <rPr>
        <sz val="12"/>
        <rFont val="Times New Roman"/>
        <family val="1"/>
      </rPr>
      <t>(mm)</t>
    </r>
    <r>
      <rPr>
        <sz val="12"/>
        <rFont val="宋体"/>
        <family val="3"/>
        <charset val="134"/>
      </rPr>
      <t>；</t>
    </r>
  </si>
  <si>
    <r>
      <rPr>
        <sz val="12"/>
        <rFont val="Times New Roman"/>
        <family val="1"/>
      </rPr>
      <t>t  ——</t>
    </r>
    <r>
      <rPr>
        <sz val="12"/>
        <rFont val="宋体"/>
        <family val="3"/>
        <charset val="134"/>
      </rPr>
      <t>材料厚度</t>
    </r>
    <r>
      <rPr>
        <sz val="12"/>
        <rFont val="Times New Roman"/>
        <family val="1"/>
      </rPr>
      <t>(mm)</t>
    </r>
    <r>
      <rPr>
        <sz val="12"/>
        <rFont val="宋体"/>
        <family val="3"/>
        <charset val="134"/>
      </rPr>
      <t>；</t>
    </r>
  </si>
  <si>
    <r>
      <rPr>
        <sz val="12"/>
        <rFont val="宋体"/>
        <family val="3"/>
        <charset val="134"/>
      </rPr>
      <t>T</t>
    </r>
    <r>
      <rPr>
        <sz val="8"/>
        <rFont val="宋体"/>
        <family val="3"/>
        <charset val="134"/>
      </rPr>
      <t>b</t>
    </r>
    <r>
      <rPr>
        <sz val="12"/>
        <rFont val="宋体"/>
        <family val="3"/>
        <charset val="134"/>
      </rPr>
      <t>—— 材料抗剪强度</t>
    </r>
    <r>
      <rPr>
        <sz val="12"/>
        <rFont val="宋体"/>
        <family val="3"/>
        <charset val="134"/>
      </rPr>
      <t>(MPa)</t>
    </r>
    <r>
      <rPr>
        <sz val="12"/>
        <rFont val="宋体"/>
        <family val="3"/>
        <charset val="134"/>
      </rPr>
      <t>；</t>
    </r>
  </si>
  <si>
    <r>
      <rPr>
        <sz val="12"/>
        <color indexed="10"/>
        <rFont val="宋体"/>
        <family val="3"/>
        <charset val="134"/>
      </rPr>
      <t>注</t>
    </r>
    <r>
      <rPr>
        <sz val="12"/>
        <color indexed="10"/>
        <rFont val="Times New Roman"/>
        <family val="1"/>
      </rPr>
      <t>1</t>
    </r>
    <r>
      <rPr>
        <sz val="12"/>
        <color indexed="10"/>
        <rFont val="宋体"/>
        <family val="3"/>
        <charset val="134"/>
      </rPr>
      <t>：系数</t>
    </r>
    <r>
      <rPr>
        <sz val="12"/>
        <color indexed="10"/>
        <rFont val="Times New Roman"/>
        <family val="1"/>
      </rPr>
      <t>K</t>
    </r>
    <r>
      <rPr>
        <sz val="12"/>
        <color indexed="10"/>
        <rFont val="宋体"/>
        <family val="3"/>
        <charset val="134"/>
      </rPr>
      <t>是考虑到实际生产中，模具间隙值的波动和不均匀、刃口的磨损、板</t>
    </r>
  </si>
  <si>
    <r>
      <rPr>
        <sz val="12"/>
        <color indexed="10"/>
        <rFont val="宋体"/>
        <family val="3"/>
        <charset val="134"/>
      </rPr>
      <t>料力学性能和厚度波动等因素的影响而给出的修正系数。一般取</t>
    </r>
    <r>
      <rPr>
        <sz val="12"/>
        <color indexed="10"/>
        <rFont val="Times New Roman"/>
        <family val="1"/>
      </rPr>
      <t>K=1.3</t>
    </r>
    <r>
      <rPr>
        <sz val="12"/>
        <color indexed="10"/>
        <rFont val="宋体"/>
        <family val="3"/>
        <charset val="134"/>
      </rPr>
      <t>。</t>
    </r>
  </si>
  <si>
    <t>三、</t>
  </si>
  <si>
    <r>
      <rPr>
        <b/>
        <sz val="16"/>
        <color indexed="12"/>
        <rFont val="宋体"/>
        <family val="3"/>
        <charset val="134"/>
      </rPr>
      <t>推料力、顶件力、卸料力（见图</t>
    </r>
    <r>
      <rPr>
        <b/>
        <sz val="16"/>
        <color indexed="12"/>
        <rFont val="Times New Roman"/>
        <family val="1"/>
      </rPr>
      <t>1~2</t>
    </r>
    <r>
      <rPr>
        <b/>
        <sz val="16"/>
        <color indexed="12"/>
        <rFont val="宋体"/>
        <family val="3"/>
        <charset val="134"/>
      </rPr>
      <t>说明）</t>
    </r>
  </si>
  <si>
    <t>弹簧</t>
  </si>
  <si>
    <t>凸模</t>
  </si>
  <si>
    <t>卸料板</t>
  </si>
  <si>
    <t>制品或废料</t>
  </si>
  <si>
    <t>废料或制品</t>
  </si>
  <si>
    <t>凹模</t>
  </si>
  <si>
    <r>
      <rPr>
        <sz val="12"/>
        <color indexed="10"/>
        <rFont val="宋体"/>
        <family val="3"/>
        <charset val="134"/>
      </rPr>
      <t>图</t>
    </r>
    <r>
      <rPr>
        <sz val="12"/>
        <color indexed="10"/>
        <rFont val="Times New Roman"/>
        <family val="1"/>
      </rPr>
      <t xml:space="preserve">1   </t>
    </r>
    <r>
      <rPr>
        <sz val="12"/>
        <color indexed="10"/>
        <rFont val="宋体"/>
        <family val="3"/>
        <charset val="134"/>
      </rPr>
      <t>正装结构</t>
    </r>
    <r>
      <rPr>
        <sz val="12"/>
        <color indexed="10"/>
        <rFont val="Times New Roman"/>
        <family val="1"/>
      </rPr>
      <t>(</t>
    </r>
    <r>
      <rPr>
        <sz val="12"/>
        <color indexed="10"/>
        <rFont val="宋体"/>
        <family val="3"/>
        <charset val="134"/>
      </rPr>
      <t>在此不用考虑顶件力</t>
    </r>
    <r>
      <rPr>
        <sz val="12"/>
        <color indexed="10"/>
        <rFont val="Times New Roman"/>
        <family val="1"/>
      </rPr>
      <t>)</t>
    </r>
  </si>
  <si>
    <t>P2/3</t>
  </si>
  <si>
    <r>
      <rPr>
        <sz val="12"/>
        <rFont val="宋体"/>
        <family val="3"/>
        <charset val="134"/>
      </rPr>
      <t>卸料力：</t>
    </r>
    <r>
      <rPr>
        <sz val="12"/>
        <rFont val="Times New Roman"/>
        <family val="1"/>
      </rPr>
      <t xml:space="preserve">   Fx =Kx * F</t>
    </r>
  </si>
  <si>
    <r>
      <rPr>
        <sz val="12"/>
        <rFont val="宋体"/>
        <family val="3"/>
        <charset val="134"/>
      </rPr>
      <t>推料力：</t>
    </r>
    <r>
      <rPr>
        <sz val="12"/>
        <rFont val="Times New Roman"/>
        <family val="1"/>
      </rPr>
      <t xml:space="preserve">   Ft  = n * Kx * F</t>
    </r>
  </si>
  <si>
    <r>
      <rPr>
        <sz val="12"/>
        <color indexed="48"/>
        <rFont val="宋体"/>
        <family val="3"/>
        <charset val="134"/>
      </rPr>
      <t>说明</t>
    </r>
    <r>
      <rPr>
        <sz val="12"/>
        <color indexed="48"/>
        <rFont val="Times New Roman"/>
        <family val="1"/>
      </rPr>
      <t>:</t>
    </r>
    <r>
      <rPr>
        <sz val="12"/>
        <color indexed="10"/>
        <rFont val="Times New Roman"/>
        <family val="1"/>
      </rPr>
      <t>Kx</t>
    </r>
    <r>
      <rPr>
        <sz val="12"/>
        <color indexed="10"/>
        <rFont val="宋体"/>
        <family val="3"/>
        <charset val="134"/>
      </rPr>
      <t>为系数（这是一个经验值随材料厚度变化，通常取</t>
    </r>
    <r>
      <rPr>
        <sz val="12"/>
        <color indexed="10"/>
        <rFont val="Times New Roman"/>
        <family val="1"/>
      </rPr>
      <t>F</t>
    </r>
    <r>
      <rPr>
        <sz val="12"/>
        <color indexed="10"/>
        <rFont val="宋体"/>
        <family val="3"/>
        <charset val="134"/>
      </rPr>
      <t>冲裁力的</t>
    </r>
    <r>
      <rPr>
        <sz val="12"/>
        <color indexed="10"/>
        <rFont val="Times New Roman"/>
        <family val="1"/>
      </rPr>
      <t>0.6%~0.8%</t>
    </r>
    <r>
      <rPr>
        <sz val="12"/>
        <color indexed="10"/>
        <rFont val="宋体"/>
        <family val="3"/>
        <charset val="134"/>
      </rPr>
      <t>）</t>
    </r>
  </si>
  <si>
    <r>
      <rPr>
        <sz val="12"/>
        <color indexed="10"/>
        <rFont val="Times New Roman"/>
        <family val="1"/>
      </rPr>
      <t>,</t>
    </r>
    <r>
      <rPr>
        <sz val="12"/>
        <color indexed="10"/>
        <rFont val="宋体"/>
        <family val="3"/>
        <charset val="134"/>
      </rPr>
      <t>n为同时卡在凹模内的冲裁件或废料数量，Fx为卸料力。</t>
    </r>
  </si>
  <si>
    <r>
      <rPr>
        <sz val="12"/>
        <color indexed="10"/>
        <rFont val="Times New Roman"/>
        <family val="1"/>
      </rPr>
      <t xml:space="preserve"> </t>
    </r>
    <r>
      <rPr>
        <sz val="12"/>
        <color indexed="10"/>
        <rFont val="宋体"/>
        <family val="3"/>
        <charset val="134"/>
      </rPr>
      <t>废料或</t>
    </r>
  </si>
  <si>
    <r>
      <rPr>
        <sz val="12"/>
        <color indexed="10"/>
        <rFont val="Times New Roman"/>
        <family val="1"/>
      </rPr>
      <t xml:space="preserve"> </t>
    </r>
    <r>
      <rPr>
        <sz val="12"/>
        <color indexed="10"/>
        <rFont val="宋体"/>
        <family val="3"/>
        <charset val="134"/>
      </rPr>
      <t>制品</t>
    </r>
  </si>
  <si>
    <t>顶料装置</t>
  </si>
  <si>
    <r>
      <rPr>
        <sz val="12"/>
        <color indexed="10"/>
        <rFont val="宋体"/>
        <family val="3"/>
        <charset val="134"/>
      </rPr>
      <t>图</t>
    </r>
    <r>
      <rPr>
        <sz val="12"/>
        <color indexed="10"/>
        <rFont val="Times New Roman"/>
        <family val="1"/>
      </rPr>
      <t xml:space="preserve">2   </t>
    </r>
    <r>
      <rPr>
        <sz val="12"/>
        <color indexed="10"/>
        <rFont val="宋体"/>
        <family val="3"/>
        <charset val="134"/>
      </rPr>
      <t>倒装结构</t>
    </r>
    <r>
      <rPr>
        <sz val="12"/>
        <color indexed="10"/>
        <rFont val="Times New Roman"/>
        <family val="1"/>
      </rPr>
      <t>(</t>
    </r>
    <r>
      <rPr>
        <sz val="12"/>
        <color indexed="10"/>
        <rFont val="宋体"/>
        <family val="3"/>
        <charset val="134"/>
      </rPr>
      <t>在此不用考虑推料力</t>
    </r>
    <r>
      <rPr>
        <sz val="12"/>
        <color indexed="10"/>
        <rFont val="Times New Roman"/>
        <family val="1"/>
      </rPr>
      <t>)</t>
    </r>
  </si>
  <si>
    <r>
      <rPr>
        <sz val="12"/>
        <rFont val="宋体"/>
        <family val="3"/>
        <charset val="134"/>
      </rPr>
      <t>顶料力</t>
    </r>
    <r>
      <rPr>
        <sz val="12"/>
        <rFont val="Times New Roman"/>
        <family val="1"/>
      </rPr>
      <t>:   F</t>
    </r>
    <r>
      <rPr>
        <sz val="8"/>
        <rFont val="Times New Roman"/>
        <family val="1"/>
      </rPr>
      <t>d</t>
    </r>
    <r>
      <rPr>
        <sz val="12"/>
        <rFont val="Times New Roman"/>
        <family val="1"/>
      </rPr>
      <t xml:space="preserve">  =  Kx * F</t>
    </r>
  </si>
  <si>
    <r>
      <rPr>
        <sz val="12"/>
        <color indexed="10"/>
        <rFont val="宋体"/>
        <family val="3"/>
        <charset val="134"/>
      </rPr>
      <t>最终选择冲床时必须是由：</t>
    </r>
    <r>
      <rPr>
        <sz val="12"/>
        <color indexed="10"/>
        <rFont val="Times New Roman"/>
        <family val="1"/>
      </rPr>
      <t>F</t>
    </r>
    <r>
      <rPr>
        <sz val="8"/>
        <color indexed="10"/>
        <rFont val="宋体"/>
        <family val="3"/>
        <charset val="134"/>
      </rPr>
      <t>总</t>
    </r>
    <r>
      <rPr>
        <sz val="8"/>
        <color indexed="10"/>
        <rFont val="Times New Roman"/>
        <family val="1"/>
      </rPr>
      <t xml:space="preserve"> = </t>
    </r>
    <r>
      <rPr>
        <sz val="12"/>
        <color indexed="10"/>
        <rFont val="Times New Roman"/>
        <family val="1"/>
      </rPr>
      <t>F + Fx + Ft + F</t>
    </r>
    <r>
      <rPr>
        <sz val="8"/>
        <color indexed="10"/>
        <rFont val="Times New Roman"/>
        <family val="1"/>
      </rPr>
      <t>d</t>
    </r>
    <r>
      <rPr>
        <sz val="12"/>
        <color indexed="10"/>
        <rFont val="Times New Roman"/>
        <family val="1"/>
      </rPr>
      <t xml:space="preserve"> </t>
    </r>
  </si>
  <si>
    <r>
      <rPr>
        <sz val="12"/>
        <color indexed="10"/>
        <rFont val="宋体"/>
        <family val="3"/>
        <charset val="134"/>
      </rPr>
      <t>正装结构：</t>
    </r>
    <r>
      <rPr>
        <sz val="12"/>
        <color indexed="10"/>
        <rFont val="Times New Roman"/>
        <family val="1"/>
      </rPr>
      <t xml:space="preserve">  F</t>
    </r>
    <r>
      <rPr>
        <sz val="8"/>
        <color indexed="10"/>
        <rFont val="宋体"/>
        <family val="3"/>
        <charset val="134"/>
      </rPr>
      <t>总</t>
    </r>
    <r>
      <rPr>
        <sz val="8"/>
        <color indexed="10"/>
        <rFont val="Times New Roman"/>
        <family val="1"/>
      </rPr>
      <t xml:space="preserve"> </t>
    </r>
    <r>
      <rPr>
        <sz val="12"/>
        <color indexed="10"/>
        <rFont val="Times New Roman"/>
        <family val="1"/>
      </rPr>
      <t xml:space="preserve"> =  F +  Fx  +  Ft</t>
    </r>
  </si>
  <si>
    <r>
      <rPr>
        <sz val="12"/>
        <color indexed="10"/>
        <rFont val="宋体"/>
        <family val="3"/>
        <charset val="134"/>
      </rPr>
      <t>倒装结构:  F</t>
    </r>
    <r>
      <rPr>
        <sz val="8"/>
        <color indexed="10"/>
        <rFont val="宋体"/>
        <family val="3"/>
        <charset val="134"/>
      </rPr>
      <t>总</t>
    </r>
    <r>
      <rPr>
        <sz val="12"/>
        <color indexed="10"/>
        <rFont val="宋体"/>
        <family val="3"/>
        <charset val="134"/>
      </rPr>
      <t xml:space="preserve"> = F + Fx + F</t>
    </r>
    <r>
      <rPr>
        <sz val="8"/>
        <color indexed="10"/>
        <rFont val="宋体"/>
        <family val="3"/>
        <charset val="134"/>
      </rPr>
      <t>d</t>
    </r>
  </si>
  <si>
    <r>
      <rPr>
        <sz val="12"/>
        <color indexed="10"/>
        <rFont val="宋体"/>
        <family val="3"/>
        <charset val="134"/>
      </rPr>
      <t>推料力</t>
    </r>
    <r>
      <rPr>
        <sz val="12"/>
        <color indexed="10"/>
        <rFont val="Times New Roman"/>
        <family val="1"/>
      </rPr>
      <t xml:space="preserve">: </t>
    </r>
    <r>
      <rPr>
        <sz val="12"/>
        <rFont val="Times New Roman"/>
        <family val="1"/>
      </rPr>
      <t xml:space="preserve">    </t>
    </r>
    <r>
      <rPr>
        <sz val="12"/>
        <rFont val="宋体"/>
        <family val="3"/>
        <charset val="134"/>
      </rPr>
      <t>在冲裁结束时</t>
    </r>
    <r>
      <rPr>
        <sz val="12"/>
        <rFont val="Times New Roman"/>
        <family val="1"/>
      </rPr>
      <t>,</t>
    </r>
    <r>
      <rPr>
        <sz val="12"/>
        <rFont val="宋体"/>
        <family val="3"/>
        <charset val="134"/>
      </rPr>
      <t>由于材料的弹性回复及摩擦的存在</t>
    </r>
    <r>
      <rPr>
        <sz val="12"/>
        <rFont val="Times New Roman"/>
        <family val="1"/>
      </rPr>
      <t>,</t>
    </r>
    <r>
      <rPr>
        <sz val="12"/>
        <rFont val="宋体"/>
        <family val="3"/>
        <charset val="134"/>
      </rPr>
      <t>将冲落的材料梗塞在</t>
    </r>
  </si>
  <si>
    <t>凹模内,为使冲裁工作继续进行,必须将材料从凹模推下,这样产生的力</t>
  </si>
  <si>
    <t>为推料力!</t>
  </si>
  <si>
    <r>
      <rPr>
        <sz val="12"/>
        <color indexed="10"/>
        <rFont val="宋体"/>
        <family val="3"/>
        <charset val="134"/>
      </rPr>
      <t>顶件力</t>
    </r>
    <r>
      <rPr>
        <sz val="12"/>
        <color indexed="10"/>
        <rFont val="Times New Roman"/>
        <family val="1"/>
      </rPr>
      <t>:</t>
    </r>
  </si>
  <si>
    <t>在冲裁结束时,由于材料的弹性回复及摩擦的存在,将冲落的材料梗塞在</t>
  </si>
  <si>
    <t>凹模内,为使冲裁工作继续进行,必须将材料从凹模内往上顶出,这样产</t>
  </si>
  <si>
    <t>生的力为顶料力!</t>
  </si>
  <si>
    <r>
      <rPr>
        <sz val="12"/>
        <color indexed="10"/>
        <rFont val="宋体"/>
        <family val="3"/>
        <charset val="134"/>
      </rPr>
      <t>卸料力</t>
    </r>
    <r>
      <rPr>
        <sz val="12"/>
        <color indexed="10"/>
        <rFont val="Times New Roman"/>
        <family val="1"/>
      </rPr>
      <t>:</t>
    </r>
  </si>
  <si>
    <t>从凸模上卸下箍着的材料而产生的力为卸料力。</t>
  </si>
  <si>
    <t>P3/3</t>
  </si>
  <si>
    <t>四、</t>
  </si>
  <si>
    <t>实例计算</t>
  </si>
  <si>
    <r>
      <rPr>
        <sz val="12"/>
        <rFont val="Times New Roman"/>
        <family val="1"/>
      </rPr>
      <t>1</t>
    </r>
    <r>
      <rPr>
        <sz val="12"/>
        <rFont val="宋体"/>
        <family val="3"/>
        <charset val="134"/>
      </rPr>
      <t>、</t>
    </r>
  </si>
  <si>
    <r>
      <rPr>
        <sz val="12"/>
        <rFont val="宋体"/>
        <family val="3"/>
        <charset val="134"/>
      </rPr>
      <t>制品图：</t>
    </r>
    <r>
      <rPr>
        <sz val="12"/>
        <rFont val="Times New Roman"/>
        <family val="1"/>
      </rPr>
      <t>HOOP-CPU143    68</t>
    </r>
    <r>
      <rPr>
        <sz val="12"/>
        <rFont val="宋体"/>
        <family val="3"/>
        <charset val="134"/>
      </rPr>
      <t>黄铜</t>
    </r>
    <r>
      <rPr>
        <sz val="12"/>
        <rFont val="Times New Roman"/>
        <family val="1"/>
      </rPr>
      <t xml:space="preserve"> T=0.4mm</t>
    </r>
  </si>
  <si>
    <r>
      <rPr>
        <sz val="12"/>
        <color indexed="10"/>
        <rFont val="宋体"/>
        <family val="3"/>
        <charset val="134"/>
      </rPr>
      <t>红色圆圈处为</t>
    </r>
    <r>
      <rPr>
        <sz val="12"/>
        <color indexed="10"/>
        <rFont val="Times New Roman"/>
        <family val="1"/>
      </rPr>
      <t xml:space="preserve"> </t>
    </r>
    <r>
      <rPr>
        <sz val="14"/>
        <color indexed="10"/>
        <rFont val="Times New Roman"/>
        <family val="1"/>
      </rPr>
      <t>L</t>
    </r>
  </si>
  <si>
    <t>的周边长度</t>
  </si>
  <si>
    <r>
      <rPr>
        <sz val="12"/>
        <color indexed="10"/>
        <rFont val="宋体"/>
        <family val="3"/>
        <charset val="134"/>
      </rPr>
      <t>图</t>
    </r>
    <r>
      <rPr>
        <sz val="12"/>
        <color indexed="10"/>
        <rFont val="Times New Roman"/>
        <family val="1"/>
      </rPr>
      <t>3</t>
    </r>
  </si>
  <si>
    <r>
      <rPr>
        <sz val="12"/>
        <color indexed="10"/>
        <rFont val="宋体"/>
        <family val="3"/>
        <charset val="134"/>
      </rPr>
      <t>冲裁力：</t>
    </r>
    <r>
      <rPr>
        <sz val="12"/>
        <color indexed="10"/>
        <rFont val="Times New Roman"/>
        <family val="1"/>
      </rPr>
      <t xml:space="preserve">   </t>
    </r>
    <r>
      <rPr>
        <sz val="12"/>
        <rFont val="Times New Roman"/>
        <family val="1"/>
      </rPr>
      <t>F =K*L*t*T b</t>
    </r>
  </si>
  <si>
    <r>
      <rPr>
        <sz val="12"/>
        <color indexed="10"/>
        <rFont val="宋体"/>
        <family val="3"/>
        <charset val="134"/>
      </rPr>
      <t>（注：此处的</t>
    </r>
    <r>
      <rPr>
        <sz val="12"/>
        <color indexed="10"/>
        <rFont val="Times New Roman"/>
        <family val="1"/>
      </rPr>
      <t>L</t>
    </r>
    <r>
      <rPr>
        <sz val="12"/>
        <color indexed="10"/>
        <rFont val="宋体"/>
        <family val="3"/>
        <charset val="134"/>
      </rPr>
      <t>只是根据制品图的初步反</t>
    </r>
  </si>
  <si>
    <t xml:space="preserve"> F =1.3*286.1*0.4*400</t>
  </si>
  <si>
    <t>应而得出一个大概估算结果。在最终确</t>
  </si>
  <si>
    <r>
      <rPr>
        <sz val="12"/>
        <rFont val="Times New Roman"/>
        <family val="1"/>
      </rPr>
      <t xml:space="preserve"> F =59508.8</t>
    </r>
    <r>
      <rPr>
        <sz val="12"/>
        <rFont val="宋体"/>
        <family val="3"/>
        <charset val="134"/>
      </rPr>
      <t>（</t>
    </r>
    <r>
      <rPr>
        <sz val="12"/>
        <rFont val="Times New Roman"/>
        <family val="1"/>
      </rPr>
      <t>N</t>
    </r>
    <r>
      <rPr>
        <sz val="12"/>
        <rFont val="宋体"/>
        <family val="3"/>
        <charset val="134"/>
      </rPr>
      <t>）</t>
    </r>
  </si>
  <si>
    <t>定冲床时需计算每一步所冲裁的实际周</t>
  </si>
  <si>
    <r>
      <rPr>
        <sz val="12"/>
        <rFont val="Times New Roman"/>
        <family val="1"/>
      </rPr>
      <t xml:space="preserve"> F =5.95</t>
    </r>
    <r>
      <rPr>
        <sz val="12"/>
        <rFont val="宋体"/>
        <family val="3"/>
        <charset val="134"/>
      </rPr>
      <t>（</t>
    </r>
    <r>
      <rPr>
        <sz val="12"/>
        <rFont val="Times New Roman"/>
        <family val="1"/>
      </rPr>
      <t>TON</t>
    </r>
    <r>
      <rPr>
        <sz val="12"/>
        <rFont val="宋体"/>
        <family val="3"/>
        <charset val="134"/>
      </rPr>
      <t>）</t>
    </r>
  </si>
  <si>
    <t>边长度。）</t>
  </si>
  <si>
    <r>
      <rPr>
        <sz val="12"/>
        <color indexed="10"/>
        <rFont val="宋体"/>
        <family val="3"/>
        <charset val="134"/>
      </rPr>
      <t>卸料力：</t>
    </r>
    <r>
      <rPr>
        <sz val="12"/>
        <rFont val="Times New Roman"/>
        <family val="1"/>
      </rPr>
      <t xml:space="preserve">   Fx =Kx * F</t>
    </r>
  </si>
  <si>
    <t xml:space="preserve"> Fx =0.6%*5.95</t>
  </si>
  <si>
    <t xml:space="preserve"> Fx =0.357(TON)</t>
  </si>
  <si>
    <r>
      <rPr>
        <sz val="12"/>
        <color indexed="10"/>
        <rFont val="宋体"/>
        <family val="3"/>
        <charset val="134"/>
      </rPr>
      <t>推料力：</t>
    </r>
    <r>
      <rPr>
        <sz val="12"/>
        <rFont val="Times New Roman"/>
        <family val="1"/>
      </rPr>
      <t xml:space="preserve">   Ft  = n * Kx * F</t>
    </r>
  </si>
  <si>
    <t xml:space="preserve"> Ft  =3*(0.6%*5.95)</t>
  </si>
  <si>
    <t xml:space="preserve"> Ft  =1.07(TON)</t>
  </si>
  <si>
    <r>
      <rPr>
        <sz val="12"/>
        <color indexed="10"/>
        <rFont val="宋体"/>
        <family val="3"/>
        <charset val="134"/>
      </rPr>
      <t>顶件力：</t>
    </r>
    <r>
      <rPr>
        <sz val="12"/>
        <rFont val="Times New Roman"/>
        <family val="1"/>
      </rPr>
      <t xml:space="preserve">   Fd  =  Kx * F</t>
    </r>
  </si>
  <si>
    <t>（注：此套模具是不用计算顶件力，在此只是一</t>
  </si>
  <si>
    <t xml:space="preserve"> Fd  =0.6%*5.95</t>
  </si>
  <si>
    <r>
      <rPr>
        <sz val="12"/>
        <color indexed="10"/>
        <rFont val="宋体"/>
        <family val="3"/>
        <charset val="134"/>
      </rPr>
      <t>种模拟计算而已，因此没有计算到总冲裁力里面</t>
    </r>
    <r>
      <rPr>
        <sz val="12"/>
        <color indexed="10"/>
        <rFont val="Times New Roman"/>
        <family val="1"/>
      </rPr>
      <t>.</t>
    </r>
    <r>
      <rPr>
        <sz val="12"/>
        <color indexed="10"/>
        <rFont val="宋体"/>
        <family val="3"/>
        <charset val="134"/>
      </rPr>
      <t>）</t>
    </r>
  </si>
  <si>
    <t xml:space="preserve"> Fd  =0.357(TON)</t>
  </si>
  <si>
    <r>
      <rPr>
        <sz val="12"/>
        <color indexed="10"/>
        <rFont val="宋体"/>
        <family val="3"/>
        <charset val="134"/>
      </rPr>
      <t>总冲裁力：</t>
    </r>
    <r>
      <rPr>
        <sz val="12"/>
        <rFont val="Times New Roman"/>
        <family val="1"/>
      </rPr>
      <t>F</t>
    </r>
    <r>
      <rPr>
        <sz val="8"/>
        <color indexed="10"/>
        <rFont val="宋体"/>
        <family val="3"/>
        <charset val="134"/>
      </rPr>
      <t>总</t>
    </r>
    <r>
      <rPr>
        <sz val="8"/>
        <color indexed="10"/>
        <rFont val="Times New Roman"/>
        <family val="1"/>
      </rPr>
      <t xml:space="preserve"> </t>
    </r>
    <r>
      <rPr>
        <sz val="12"/>
        <rFont val="Times New Roman"/>
        <family val="1"/>
      </rPr>
      <t>=</t>
    </r>
    <r>
      <rPr>
        <sz val="12"/>
        <rFont val="宋体"/>
        <family val="3"/>
        <charset val="134"/>
      </rPr>
      <t>（</t>
    </r>
    <r>
      <rPr>
        <sz val="12"/>
        <rFont val="Times New Roman"/>
        <family val="1"/>
      </rPr>
      <t>5.95+0.357+1.07</t>
    </r>
    <r>
      <rPr>
        <sz val="12"/>
        <rFont val="宋体"/>
        <family val="3"/>
        <charset val="134"/>
      </rPr>
      <t>）</t>
    </r>
    <r>
      <rPr>
        <sz val="12"/>
        <rFont val="Times New Roman"/>
        <family val="1"/>
      </rPr>
      <t>*1.8</t>
    </r>
    <r>
      <rPr>
        <sz val="12"/>
        <color indexed="10"/>
        <rFont val="宋体"/>
        <family val="3"/>
        <charset val="134"/>
      </rPr>
      <t>（注）</t>
    </r>
  </si>
  <si>
    <r>
      <rPr>
        <sz val="12"/>
        <rFont val="Times New Roman"/>
        <family val="1"/>
      </rPr>
      <t xml:space="preserve">  F</t>
    </r>
    <r>
      <rPr>
        <sz val="8"/>
        <color indexed="10"/>
        <rFont val="宋体"/>
        <family val="3"/>
        <charset val="134"/>
      </rPr>
      <t>总</t>
    </r>
    <r>
      <rPr>
        <sz val="8"/>
        <color indexed="10"/>
        <rFont val="Times New Roman"/>
        <family val="1"/>
      </rPr>
      <t xml:space="preserve"> </t>
    </r>
    <r>
      <rPr>
        <sz val="12"/>
        <rFont val="Times New Roman"/>
        <family val="1"/>
      </rPr>
      <t>= 13.28</t>
    </r>
    <r>
      <rPr>
        <sz val="12"/>
        <rFont val="宋体"/>
        <family val="3"/>
        <charset val="134"/>
      </rPr>
      <t>（</t>
    </r>
    <r>
      <rPr>
        <sz val="12"/>
        <rFont val="Times New Roman"/>
        <family val="1"/>
      </rPr>
      <t>TON</t>
    </r>
    <r>
      <rPr>
        <sz val="12"/>
        <rFont val="宋体"/>
        <family val="3"/>
        <charset val="134"/>
      </rPr>
      <t>）</t>
    </r>
  </si>
  <si>
    <r>
      <rPr>
        <sz val="12"/>
        <color indexed="10"/>
        <rFont val="宋体"/>
        <family val="3"/>
        <charset val="134"/>
      </rPr>
      <t>注</t>
    </r>
    <r>
      <rPr>
        <sz val="12"/>
        <rFont val="宋体"/>
        <family val="3"/>
        <charset val="134"/>
      </rPr>
      <t>：</t>
    </r>
    <r>
      <rPr>
        <sz val="12"/>
        <rFont val="Times New Roman"/>
        <family val="1"/>
      </rPr>
      <t>1.8</t>
    </r>
    <r>
      <rPr>
        <sz val="12"/>
        <rFont val="宋体"/>
        <family val="3"/>
        <charset val="134"/>
      </rPr>
      <t>是指连续模具设计时选择冲床必须在原有冲裁力的基础上加上的系数。因</t>
    </r>
  </si>
  <si>
    <t>为连续模具是在一套模具内同时完成冲孔、折弯、成型、落料等工序，故还需在</t>
  </si>
  <si>
    <t>总冲裁力上乘以1.8的系数。</t>
  </si>
  <si>
    <r>
      <rPr>
        <sz val="12"/>
        <color indexed="12"/>
        <rFont val="宋体"/>
        <family val="3"/>
        <charset val="134"/>
      </rPr>
      <t>根据以上计算结果此模具选择</t>
    </r>
    <r>
      <rPr>
        <sz val="12"/>
        <color indexed="12"/>
        <rFont val="Times New Roman"/>
        <family val="1"/>
      </rPr>
      <t>15</t>
    </r>
    <r>
      <rPr>
        <sz val="12"/>
        <color indexed="12"/>
        <rFont val="宋体"/>
        <family val="3"/>
        <charset val="134"/>
      </rPr>
      <t>（</t>
    </r>
    <r>
      <rPr>
        <sz val="12"/>
        <color indexed="12"/>
        <rFont val="Times New Roman"/>
        <family val="1"/>
      </rPr>
      <t>TON</t>
    </r>
    <r>
      <rPr>
        <sz val="12"/>
        <color indexed="12"/>
        <rFont val="宋体"/>
        <family val="3"/>
        <charset val="134"/>
      </rPr>
      <t>）的冲床即可。</t>
    </r>
  </si>
  <si>
    <t>以上</t>
  </si>
  <si>
    <t>液压油的压缩性</t>
  </si>
  <si>
    <t>△V ＝P*V/K</t>
  </si>
  <si>
    <t>系统油量 V  (升)</t>
  </si>
  <si>
    <t>P - 系统压力 Mpa（兆帕）</t>
  </si>
  <si>
    <t>系统压力 P  (bar)</t>
  </si>
  <si>
    <t>V－ 油液体积 L（升）</t>
  </si>
  <si>
    <t>系统体积变量△V (升)</t>
  </si>
  <si>
    <t>K－ 油液弹性模量</t>
  </si>
  <si>
    <t>液压油的膨胀量</t>
  </si>
  <si>
    <r>
      <rPr>
        <sz val="12"/>
        <rFont val="宋体"/>
        <family val="3"/>
        <charset val="134"/>
      </rPr>
      <t>原系统油量 V</t>
    </r>
    <r>
      <rPr>
        <vertAlign val="subscript"/>
        <sz val="12"/>
        <rFont val="宋体"/>
        <family val="3"/>
        <charset val="134"/>
      </rPr>
      <t>0</t>
    </r>
    <r>
      <rPr>
        <sz val="12"/>
        <rFont val="宋体"/>
        <family val="3"/>
        <charset val="134"/>
      </rPr>
      <t xml:space="preserve">    (升)</t>
    </r>
  </si>
  <si>
    <r>
      <rPr>
        <sz val="12"/>
        <rFont val="宋体"/>
        <family val="3"/>
        <charset val="134"/>
      </rPr>
      <t>Vt＝V</t>
    </r>
    <r>
      <rPr>
        <vertAlign val="subscript"/>
        <sz val="12"/>
        <rFont val="宋体"/>
        <family val="3"/>
        <charset val="134"/>
      </rPr>
      <t>0</t>
    </r>
    <r>
      <rPr>
        <sz val="12"/>
        <rFont val="宋体"/>
        <family val="3"/>
        <charset val="134"/>
      </rPr>
      <t>*(1+a*△t)</t>
    </r>
  </si>
  <si>
    <t>油温变量△t</t>
  </si>
  <si>
    <r>
      <rPr>
        <sz val="12"/>
        <rFont val="宋体"/>
        <family val="3"/>
        <charset val="134"/>
      </rPr>
      <t>a- 油体积膨胀系数, (6～8)*10</t>
    </r>
    <r>
      <rPr>
        <vertAlign val="superscript"/>
        <sz val="12"/>
        <rFont val="宋体"/>
        <family val="3"/>
        <charset val="134"/>
      </rPr>
      <t>-4</t>
    </r>
    <r>
      <rPr>
        <sz val="12"/>
        <rFont val="宋体"/>
        <family val="3"/>
        <charset val="134"/>
      </rPr>
      <t>/℃</t>
    </r>
  </si>
  <si>
    <t>变化后系统体积Vt (升)</t>
  </si>
  <si>
    <t>压力对粘度的影响</t>
  </si>
  <si>
    <r>
      <rPr>
        <sz val="12"/>
        <rFont val="宋体"/>
        <family val="3"/>
        <charset val="134"/>
      </rPr>
      <t>νp=ν</t>
    </r>
    <r>
      <rPr>
        <vertAlign val="subscript"/>
        <sz val="12"/>
        <rFont val="宋体"/>
        <family val="3"/>
        <charset val="134"/>
      </rPr>
      <t>0</t>
    </r>
    <r>
      <rPr>
        <sz val="12"/>
        <rFont val="宋体"/>
        <family val="3"/>
        <charset val="134"/>
      </rPr>
      <t>·e</t>
    </r>
    <r>
      <rPr>
        <vertAlign val="superscript"/>
        <sz val="12"/>
        <rFont val="宋体"/>
        <family val="3"/>
        <charset val="134"/>
      </rPr>
      <t>bp</t>
    </r>
    <r>
      <rPr>
        <sz val="12"/>
        <rFont val="宋体"/>
        <family val="3"/>
        <charset val="134"/>
      </rPr>
      <t>≈ν</t>
    </r>
    <r>
      <rPr>
        <vertAlign val="subscript"/>
        <sz val="12"/>
        <rFont val="宋体"/>
        <family val="3"/>
        <charset val="134"/>
      </rPr>
      <t>0</t>
    </r>
    <r>
      <rPr>
        <sz val="12"/>
        <rFont val="宋体"/>
        <family val="3"/>
        <charset val="134"/>
      </rPr>
      <t>(1+bp)</t>
    </r>
  </si>
  <si>
    <r>
      <rPr>
        <sz val="12"/>
        <rFont val="宋体"/>
        <family val="3"/>
        <charset val="134"/>
      </rPr>
      <t>ν</t>
    </r>
    <r>
      <rPr>
        <vertAlign val="subscript"/>
        <sz val="12"/>
        <rFont val="宋体"/>
        <family val="3"/>
        <charset val="134"/>
      </rPr>
      <t>0</t>
    </r>
    <r>
      <rPr>
        <sz val="12"/>
        <rFont val="宋体"/>
        <family val="3"/>
        <charset val="134"/>
      </rPr>
      <t xml:space="preserve"> (cSt)</t>
    </r>
  </si>
  <si>
    <t>p-系统压力(bar)</t>
  </si>
  <si>
    <t>p(bar)</t>
  </si>
  <si>
    <t>b-系数 0.002～0.003</t>
  </si>
  <si>
    <t>νp</t>
  </si>
  <si>
    <t>温度对粘度的影响</t>
  </si>
  <si>
    <r>
      <rPr>
        <sz val="12"/>
        <rFont val="宋体"/>
        <family val="3"/>
        <charset val="134"/>
      </rPr>
      <t>ν</t>
    </r>
    <r>
      <rPr>
        <vertAlign val="subscript"/>
        <sz val="12"/>
        <rFont val="宋体"/>
        <family val="3"/>
        <charset val="134"/>
      </rPr>
      <t>50</t>
    </r>
    <r>
      <rPr>
        <sz val="12"/>
        <rFont val="宋体"/>
        <family val="3"/>
        <charset val="134"/>
      </rPr>
      <t xml:space="preserve"> (cSt)-50℃时运动粘度</t>
    </r>
  </si>
  <si>
    <t>t(℃)-温度</t>
  </si>
  <si>
    <t>n -指数,参见表格</t>
  </si>
  <si>
    <t>νt</t>
  </si>
  <si>
    <t>粘度换算</t>
  </si>
  <si>
    <t>运动粘度ν  cSt</t>
  </si>
  <si>
    <t>恩氏粘度  °E</t>
  </si>
  <si>
    <t>赛氏秒(Soybolt) SSU/SUS</t>
  </si>
  <si>
    <t>商用雷氏秒(Redwood)   "R</t>
  </si>
  <si>
    <t>压力水头P=ρ·g·h</t>
  </si>
  <si>
    <t>油液密度(kg/m3)</t>
  </si>
  <si>
    <t>吸油口高mm</t>
  </si>
  <si>
    <t>入口真空度(bar)</t>
  </si>
  <si>
    <t>油密度</t>
  </si>
  <si>
    <r>
      <rPr>
        <sz val="12"/>
        <rFont val="宋体"/>
        <family val="3"/>
        <charset val="134"/>
      </rPr>
      <t>ρ＝900kg/m</t>
    </r>
    <r>
      <rPr>
        <vertAlign val="superscript"/>
        <sz val="12"/>
        <rFont val="宋体"/>
        <family val="3"/>
        <charset val="134"/>
      </rPr>
      <t>3</t>
    </r>
  </si>
  <si>
    <t>油的比热</t>
  </si>
  <si>
    <t>C=(1.7～2.1)*1000 J/kg·℃</t>
  </si>
  <si>
    <t>弹性模量 K</t>
  </si>
  <si>
    <t>纯油</t>
  </si>
  <si>
    <r>
      <rPr>
        <sz val="12"/>
        <rFont val="宋体"/>
        <family val="3"/>
        <charset val="134"/>
      </rPr>
      <t>(1.4~2.0)*10</t>
    </r>
    <r>
      <rPr>
        <vertAlign val="superscript"/>
        <sz val="12"/>
        <rFont val="宋体"/>
        <family val="3"/>
        <charset val="134"/>
      </rPr>
      <t>9</t>
    </r>
    <r>
      <rPr>
        <sz val="12"/>
        <rFont val="宋体"/>
        <family val="3"/>
        <charset val="134"/>
      </rPr>
      <t xml:space="preserve"> N/m</t>
    </r>
    <r>
      <rPr>
        <vertAlign val="superscript"/>
        <sz val="12"/>
        <rFont val="宋体"/>
        <family val="3"/>
        <charset val="134"/>
      </rPr>
      <t>2</t>
    </r>
  </si>
  <si>
    <t>实际油气混合</t>
  </si>
  <si>
    <r>
      <rPr>
        <sz val="12"/>
        <rFont val="宋体"/>
        <family val="3"/>
        <charset val="134"/>
      </rPr>
      <t>7*10</t>
    </r>
    <r>
      <rPr>
        <vertAlign val="superscript"/>
        <sz val="12"/>
        <rFont val="宋体"/>
        <family val="3"/>
        <charset val="134"/>
      </rPr>
      <t>8</t>
    </r>
    <r>
      <rPr>
        <sz val="12"/>
        <rFont val="宋体"/>
        <family val="3"/>
        <charset val="134"/>
      </rPr>
      <t xml:space="preserve"> N/m</t>
    </r>
    <r>
      <rPr>
        <vertAlign val="superscript"/>
        <sz val="12"/>
        <rFont val="宋体"/>
        <family val="3"/>
        <charset val="134"/>
      </rPr>
      <t>2</t>
    </r>
  </si>
  <si>
    <t>牛顿内摩擦定律</t>
  </si>
  <si>
    <t>τ- 单位面积上的摩擦力(剪切力)</t>
  </si>
  <si>
    <t>du/dz- 速度梯度 级液层间相对速度对液层距离的变化率</t>
  </si>
  <si>
    <t>μ- 动力粘度  帕·秒 (Pa·S)</t>
  </si>
  <si>
    <t>其他单位 泊(P) 厘泊(cP)</t>
  </si>
  <si>
    <r>
      <rPr>
        <sz val="12"/>
        <rFont val="宋体"/>
        <family val="3"/>
        <charset val="134"/>
      </rPr>
      <t>1cP=10</t>
    </r>
    <r>
      <rPr>
        <vertAlign val="superscript"/>
        <sz val="12"/>
        <rFont val="宋体"/>
        <family val="3"/>
        <charset val="134"/>
      </rPr>
      <t>-2</t>
    </r>
    <r>
      <rPr>
        <sz val="12"/>
        <rFont val="宋体"/>
        <family val="3"/>
        <charset val="134"/>
      </rPr>
      <t>P=10</t>
    </r>
    <r>
      <rPr>
        <vertAlign val="superscript"/>
        <sz val="12"/>
        <rFont val="宋体"/>
        <family val="3"/>
        <charset val="134"/>
      </rPr>
      <t>-3</t>
    </r>
    <r>
      <rPr>
        <sz val="12"/>
        <rFont val="宋体"/>
        <family val="3"/>
        <charset val="134"/>
      </rPr>
      <t>Pa·S</t>
    </r>
  </si>
  <si>
    <t>ν=μ/ρ</t>
  </si>
  <si>
    <r>
      <rPr>
        <sz val="12"/>
        <rFont val="宋体"/>
        <family val="3"/>
        <charset val="134"/>
      </rPr>
      <t>ν- 运动粘度  米</t>
    </r>
    <r>
      <rPr>
        <vertAlign val="superscript"/>
        <sz val="12"/>
        <rFont val="宋体"/>
        <family val="3"/>
        <charset val="134"/>
      </rPr>
      <t>2</t>
    </r>
    <r>
      <rPr>
        <sz val="12"/>
        <rFont val="宋体"/>
        <family val="3"/>
        <charset val="134"/>
      </rPr>
      <t>/秒</t>
    </r>
  </si>
  <si>
    <t>常用单位 斯(St) 厘斯(cSt)</t>
  </si>
  <si>
    <r>
      <rPr>
        <sz val="12"/>
        <rFont val="宋体"/>
        <family val="3"/>
        <charset val="134"/>
      </rPr>
      <t>1cSt(mm</t>
    </r>
    <r>
      <rPr>
        <vertAlign val="superscript"/>
        <sz val="12"/>
        <rFont val="宋体"/>
        <family val="3"/>
        <charset val="134"/>
      </rPr>
      <t>2</t>
    </r>
    <r>
      <rPr>
        <sz val="12"/>
        <rFont val="宋体"/>
        <family val="3"/>
        <charset val="134"/>
      </rPr>
      <t>/s)=0.01St(cm</t>
    </r>
    <r>
      <rPr>
        <vertAlign val="superscript"/>
        <sz val="12"/>
        <rFont val="宋体"/>
        <family val="3"/>
        <charset val="134"/>
      </rPr>
      <t>2</t>
    </r>
    <r>
      <rPr>
        <sz val="12"/>
        <rFont val="宋体"/>
        <family val="3"/>
        <charset val="134"/>
      </rPr>
      <t>/s)=10</t>
    </r>
    <r>
      <rPr>
        <vertAlign val="superscript"/>
        <sz val="12"/>
        <rFont val="宋体"/>
        <family val="3"/>
        <charset val="134"/>
      </rPr>
      <t>-6</t>
    </r>
    <r>
      <rPr>
        <sz val="12"/>
        <rFont val="宋体"/>
        <family val="3"/>
        <charset val="134"/>
      </rPr>
      <t>m</t>
    </r>
    <r>
      <rPr>
        <vertAlign val="superscript"/>
        <sz val="12"/>
        <rFont val="宋体"/>
        <family val="3"/>
        <charset val="134"/>
      </rPr>
      <t>2</t>
    </r>
    <r>
      <rPr>
        <sz val="12"/>
        <rFont val="宋体"/>
        <family val="3"/>
        <charset val="134"/>
      </rPr>
      <t>/s</t>
    </r>
  </si>
  <si>
    <t>恩氏粘度- 以200毫升油在t℃通过一特定容器上φ2.8mm孔时间与同体积20℃蒸馏水通过同样小孔所需时间比值</t>
  </si>
  <si>
    <t>t℃时的粘度 °Et</t>
  </si>
  <si>
    <t>系统压力(bar)</t>
  </si>
  <si>
    <t>系统流量(L/min)</t>
  </si>
  <si>
    <t>管路内径(mm)</t>
  </si>
  <si>
    <t>油液粘度(cSt)</t>
  </si>
  <si>
    <t>压力管路内径(mm)</t>
  </si>
  <si>
    <t>回油管路内径(mm)</t>
  </si>
  <si>
    <t>吸油管路内径(mm)</t>
  </si>
  <si>
    <t>安全壁厚(mm)(20号钢)</t>
  </si>
  <si>
    <t>流速(m/s)</t>
  </si>
  <si>
    <t>雷诺数(Re)</t>
  </si>
  <si>
    <t>金属直管长度(m)</t>
  </si>
  <si>
    <t>软管直管长度(m)</t>
  </si>
  <si>
    <t>层流压力损失(bar)</t>
  </si>
  <si>
    <t>紊流压力损失(bar)</t>
  </si>
  <si>
    <t>作用在滑阀上的稳态液动力</t>
  </si>
  <si>
    <t>系统流量Q(L/min)</t>
  </si>
  <si>
    <t>阀开口度x(mm)</t>
  </si>
  <si>
    <t>滑阀通径d(mm)</t>
  </si>
  <si>
    <t>压力降(bar)</t>
  </si>
  <si>
    <t>射流角θ(°)</t>
  </si>
  <si>
    <t>稳态液动力(N)</t>
  </si>
  <si>
    <t>薄壁小孔流量</t>
  </si>
  <si>
    <t>小孔的直径(mm)</t>
  </si>
  <si>
    <t>压力差(bar)</t>
  </si>
  <si>
    <t>流量系数</t>
  </si>
  <si>
    <t>流量(L/min)</t>
  </si>
  <si>
    <t>细长孔流量</t>
  </si>
  <si>
    <t>孔长度(mm)</t>
  </si>
  <si>
    <t>圆环形间隙流量</t>
  </si>
  <si>
    <t>圆柱直径(mm)</t>
  </si>
  <si>
    <t>平均间隙δ(mm)</t>
  </si>
  <si>
    <t>偏心距e(mm)</t>
  </si>
  <si>
    <t>偏心率ε</t>
  </si>
  <si>
    <t>平面缝隙流量</t>
  </si>
  <si>
    <t>缝隙宽度b(mm)</t>
  </si>
  <si>
    <t>缝隙间隙(mm)</t>
  </si>
  <si>
    <t>缝隙长度(mm)</t>
  </si>
  <si>
    <t>平行圆盘间隙流量</t>
  </si>
  <si>
    <t>圆盘直径(mm)</t>
  </si>
  <si>
    <t>中心孔直径(mm)</t>
  </si>
  <si>
    <t>理想液体伯努利方程</t>
  </si>
  <si>
    <t>实际</t>
  </si>
  <si>
    <t>液体重度</t>
  </si>
  <si>
    <t>γ=ρ·g</t>
  </si>
  <si>
    <t>雷诺数</t>
  </si>
  <si>
    <r>
      <rPr>
        <sz val="12"/>
        <rFont val="宋体"/>
        <family val="3"/>
        <charset val="134"/>
      </rPr>
      <t>Re=v·D</t>
    </r>
    <r>
      <rPr>
        <vertAlign val="subscript"/>
        <sz val="12"/>
        <rFont val="宋体"/>
        <family val="3"/>
        <charset val="134"/>
      </rPr>
      <t>H</t>
    </r>
    <r>
      <rPr>
        <sz val="12"/>
        <rFont val="宋体"/>
        <family val="3"/>
        <charset val="134"/>
      </rPr>
      <t>/ν</t>
    </r>
  </si>
  <si>
    <t>v - 流速</t>
  </si>
  <si>
    <r>
      <rPr>
        <sz val="12"/>
        <rFont val="宋体"/>
        <family val="3"/>
        <charset val="134"/>
      </rPr>
      <t>D</t>
    </r>
    <r>
      <rPr>
        <vertAlign val="subscript"/>
        <sz val="12"/>
        <rFont val="宋体"/>
        <family val="3"/>
        <charset val="134"/>
      </rPr>
      <t xml:space="preserve">H </t>
    </r>
    <r>
      <rPr>
        <sz val="12"/>
        <rFont val="宋体"/>
        <family val="3"/>
        <charset val="134"/>
      </rPr>
      <t>- 水力直径</t>
    </r>
  </si>
  <si>
    <t>ν - 运动粘度</t>
  </si>
  <si>
    <r>
      <rPr>
        <sz val="12"/>
        <rFont val="宋体"/>
        <family val="3"/>
        <charset val="134"/>
      </rPr>
      <t>D</t>
    </r>
    <r>
      <rPr>
        <vertAlign val="subscript"/>
        <sz val="12"/>
        <rFont val="宋体"/>
        <family val="3"/>
        <charset val="134"/>
      </rPr>
      <t xml:space="preserve">H </t>
    </r>
    <r>
      <rPr>
        <sz val="12"/>
        <rFont val="宋体"/>
        <family val="3"/>
        <charset val="134"/>
      </rPr>
      <t>=4A/χ</t>
    </r>
  </si>
  <si>
    <t>A- 通流截面面积</t>
  </si>
  <si>
    <t>χ- 湿周长度</t>
  </si>
  <si>
    <t>沿程压力损失 达西(Darcy)公式</t>
  </si>
  <si>
    <t>l- 直管长度</t>
  </si>
  <si>
    <t>d- 管路内径</t>
  </si>
  <si>
    <t>v- 平均流速</t>
  </si>
  <si>
    <t>ρ- 油密度</t>
  </si>
  <si>
    <t>λ-沿程阻力系数</t>
  </si>
  <si>
    <t>局部压力损失</t>
  </si>
  <si>
    <t>ξ-局部阻力系数</t>
  </si>
  <si>
    <r>
      <rPr>
        <sz val="12"/>
        <rFont val="宋体"/>
        <family val="3"/>
        <charset val="134"/>
      </rPr>
      <t>C</t>
    </r>
    <r>
      <rPr>
        <vertAlign val="subscript"/>
        <sz val="12"/>
        <rFont val="宋体"/>
        <family val="3"/>
        <charset val="134"/>
      </rPr>
      <t>d</t>
    </r>
    <r>
      <rPr>
        <sz val="12"/>
        <rFont val="宋体"/>
        <family val="3"/>
        <charset val="134"/>
      </rPr>
      <t>- 流量系数</t>
    </r>
  </si>
  <si>
    <t>Cd</t>
  </si>
  <si>
    <t>a - 节流面积</t>
  </si>
  <si>
    <t>薄壁小孔 l&lt;0.5d</t>
  </si>
  <si>
    <t>0.62~0.63</t>
  </si>
  <si>
    <t>ρ- 油液密度</t>
  </si>
  <si>
    <r>
      <rPr>
        <sz val="12"/>
        <rFont val="宋体"/>
        <family val="3"/>
        <charset val="134"/>
      </rPr>
      <t>阻尼长孔</t>
    </r>
    <r>
      <rPr>
        <sz val="12"/>
        <rFont val="Times New Roman"/>
        <family val="1"/>
      </rPr>
      <t xml:space="preserve"> l=(2~4)d</t>
    </r>
  </si>
  <si>
    <t>ε- 偏心率</t>
  </si>
  <si>
    <t>δ- 同心时的间隙量</t>
  </si>
  <si>
    <t xml:space="preserve"> e - 偏心量</t>
  </si>
  <si>
    <t>ε=e/δ</t>
  </si>
  <si>
    <t>b - 缝隙宽度</t>
  </si>
  <si>
    <t>R - 圆盘的外半径</t>
  </si>
  <si>
    <t>r - 圆盘的中心孔半径</t>
  </si>
  <si>
    <t>工作循环</t>
  </si>
  <si>
    <t>流量(升/分)</t>
  </si>
  <si>
    <t>持续时间(秒)</t>
  </si>
  <si>
    <t>泵流量(升/分)</t>
  </si>
  <si>
    <t>极限工作容积(升)</t>
  </si>
  <si>
    <t>工作容积(升)</t>
  </si>
  <si>
    <t>充压指数</t>
  </si>
  <si>
    <t>折合式气囊</t>
  </si>
  <si>
    <t>波纹形气囊</t>
  </si>
  <si>
    <t>活塞式</t>
  </si>
  <si>
    <t>隔膜式</t>
  </si>
  <si>
    <r>
      <rPr>
        <sz val="12"/>
        <rFont val="宋体"/>
        <family val="3"/>
        <charset val="134"/>
      </rPr>
      <t>过程指数</t>
    </r>
    <r>
      <rPr>
        <sz val="12"/>
        <rFont val="Times New Roman"/>
        <family val="1"/>
      </rPr>
      <t xml:space="preserve"> n</t>
    </r>
  </si>
  <si>
    <t>0.8~0.85</t>
  </si>
  <si>
    <t>0.6~0.65</t>
  </si>
  <si>
    <t>0.8~0.9</t>
  </si>
  <si>
    <t>最低压力(bar)</t>
  </si>
  <si>
    <t>吸收液压冲击</t>
  </si>
  <si>
    <r>
      <rPr>
        <sz val="12"/>
        <rFont val="宋体"/>
        <family val="3"/>
        <charset val="134"/>
      </rPr>
      <t>p</t>
    </r>
    <r>
      <rPr>
        <vertAlign val="subscript"/>
        <sz val="12"/>
        <rFont val="宋体"/>
        <family val="3"/>
        <charset val="134"/>
      </rPr>
      <t>0</t>
    </r>
    <r>
      <rPr>
        <sz val="12"/>
        <rFont val="宋体"/>
        <family val="3"/>
        <charset val="134"/>
      </rPr>
      <t>=p</t>
    </r>
    <r>
      <rPr>
        <vertAlign val="subscript"/>
        <sz val="12"/>
        <rFont val="宋体"/>
        <family val="3"/>
        <charset val="134"/>
      </rPr>
      <t>1</t>
    </r>
  </si>
  <si>
    <t>充气压力(bar)</t>
  </si>
  <si>
    <t>消除脉动</t>
  </si>
  <si>
    <t>蓄能器容积(升)</t>
  </si>
  <si>
    <t>绝热过程</t>
  </si>
  <si>
    <t>恒温过程</t>
  </si>
  <si>
    <t>蓄能器用于吸收液压冲击</t>
  </si>
  <si>
    <t>管道内径(mm)</t>
  </si>
  <si>
    <t>管路长度(m)</t>
  </si>
  <si>
    <t>峰值压力(bar)</t>
  </si>
  <si>
    <t>切换时间(s)</t>
  </si>
  <si>
    <t>蓄能器容积 (L)</t>
  </si>
  <si>
    <t>经验公式   (L)</t>
  </si>
  <si>
    <t>液压冲击</t>
  </si>
  <si>
    <r>
      <rPr>
        <sz val="12"/>
        <rFont val="宋体"/>
        <family val="3"/>
        <charset val="134"/>
      </rPr>
      <t>系统流量</t>
    </r>
    <r>
      <rPr>
        <sz val="12"/>
        <rFont val="Times New Roman"/>
        <family val="1"/>
      </rPr>
      <t>(L/min)</t>
    </r>
  </si>
  <si>
    <r>
      <rPr>
        <sz val="12"/>
        <rFont val="宋体"/>
        <family val="3"/>
        <charset val="134"/>
      </rPr>
      <t>管道内径</t>
    </r>
    <r>
      <rPr>
        <sz val="12"/>
        <rFont val="Times New Roman"/>
        <family val="1"/>
      </rPr>
      <t>(mm)</t>
    </r>
  </si>
  <si>
    <r>
      <rPr>
        <sz val="12"/>
        <rFont val="宋体"/>
        <family val="3"/>
        <charset val="134"/>
      </rPr>
      <t>弹性模量</t>
    </r>
    <r>
      <rPr>
        <sz val="12"/>
        <rFont val="Times New Roman"/>
        <family val="1"/>
      </rPr>
      <t xml:space="preserve"> (Mpa)</t>
    </r>
  </si>
  <si>
    <r>
      <rPr>
        <sz val="12"/>
        <rFont val="宋体"/>
        <family val="3"/>
        <charset val="134"/>
      </rPr>
      <t>开</t>
    </r>
    <r>
      <rPr>
        <sz val="12"/>
        <rFont val="Times New Roman"/>
        <family val="1"/>
      </rPr>
      <t>(</t>
    </r>
    <r>
      <rPr>
        <sz val="12"/>
        <rFont val="宋体"/>
        <family val="3"/>
        <charset val="134"/>
      </rPr>
      <t>关</t>
    </r>
    <r>
      <rPr>
        <sz val="12"/>
        <rFont val="Times New Roman"/>
        <family val="1"/>
      </rPr>
      <t>)</t>
    </r>
    <r>
      <rPr>
        <sz val="12"/>
        <rFont val="宋体"/>
        <family val="3"/>
        <charset val="134"/>
      </rPr>
      <t>时间</t>
    </r>
    <r>
      <rPr>
        <sz val="12"/>
        <rFont val="Times New Roman"/>
        <family val="1"/>
      </rPr>
      <t>t (s)</t>
    </r>
  </si>
  <si>
    <r>
      <rPr>
        <sz val="12"/>
        <rFont val="宋体"/>
        <family val="3"/>
        <charset val="134"/>
      </rPr>
      <t>管壁厚度</t>
    </r>
    <r>
      <rPr>
        <sz val="12"/>
        <rFont val="Times New Roman"/>
        <family val="1"/>
      </rPr>
      <t>(mm)</t>
    </r>
  </si>
  <si>
    <t>液体</t>
  </si>
  <si>
    <r>
      <rPr>
        <sz val="12"/>
        <rFont val="宋体"/>
        <family val="3"/>
        <charset val="134"/>
      </rPr>
      <t>变化后流量</t>
    </r>
    <r>
      <rPr>
        <sz val="12"/>
        <rFont val="Times New Roman"/>
        <family val="1"/>
      </rPr>
      <t>(L/min)</t>
    </r>
  </si>
  <si>
    <r>
      <rPr>
        <sz val="12"/>
        <rFont val="宋体"/>
        <family val="3"/>
        <charset val="134"/>
      </rPr>
      <t>管路长度</t>
    </r>
    <r>
      <rPr>
        <sz val="12"/>
        <rFont val="Times New Roman"/>
        <family val="1"/>
      </rPr>
      <t>(m)</t>
    </r>
  </si>
  <si>
    <r>
      <rPr>
        <sz val="12"/>
        <rFont val="宋体"/>
        <family val="3"/>
        <charset val="134"/>
      </rPr>
      <t>液体弹性模量</t>
    </r>
    <r>
      <rPr>
        <sz val="12"/>
        <rFont val="Times New Roman"/>
        <family val="1"/>
      </rPr>
      <t xml:space="preserve"> (Mpa)</t>
    </r>
  </si>
  <si>
    <r>
      <rPr>
        <sz val="12"/>
        <rFont val="宋体"/>
        <family val="3"/>
        <charset val="134"/>
      </rPr>
      <t>管壁材料弹性模量</t>
    </r>
    <r>
      <rPr>
        <sz val="12"/>
        <rFont val="Times New Roman"/>
        <family val="1"/>
      </rPr>
      <t xml:space="preserve"> (Mpa)</t>
    </r>
  </si>
  <si>
    <t>紫铜</t>
  </si>
  <si>
    <t>黄铜</t>
  </si>
  <si>
    <r>
      <rPr>
        <sz val="12"/>
        <rFont val="宋体"/>
        <family val="3"/>
        <charset val="134"/>
      </rPr>
      <t>冲击波速度</t>
    </r>
    <r>
      <rPr>
        <sz val="12"/>
        <rFont val="Times New Roman"/>
        <family val="1"/>
      </rPr>
      <t>v (m/s)</t>
    </r>
  </si>
  <si>
    <t>直接冲击(t&lt;T)压力变化(bar)</t>
  </si>
  <si>
    <t>橡皮</t>
  </si>
  <si>
    <t>2~6</t>
  </si>
  <si>
    <r>
      <rPr>
        <sz val="12"/>
        <rFont val="宋体"/>
        <family val="3"/>
        <charset val="134"/>
      </rPr>
      <t>冲击波时间</t>
    </r>
    <r>
      <rPr>
        <sz val="12"/>
        <rFont val="Times New Roman"/>
        <family val="1"/>
      </rPr>
      <t>T (s)</t>
    </r>
  </si>
  <si>
    <t>间接冲击(t&gt;T)压力变化(bar)</t>
  </si>
  <si>
    <t>铝合金</t>
  </si>
  <si>
    <t>v1(m/s)</t>
  </si>
  <si>
    <t>v2(m/s)</t>
  </si>
  <si>
    <t>蓄能器容积(液压冲击)</t>
  </si>
  <si>
    <t>ρ- 油液密度(kg/m3)</t>
  </si>
  <si>
    <t>Q- 阀关闭前管内流量(L/min)</t>
  </si>
  <si>
    <t>L- 产生冲击波的管长(m)</t>
  </si>
  <si>
    <t>A- 管道通流面积(㎝2)</t>
  </si>
  <si>
    <t>t- 阀由全开到全关的时间(s)</t>
  </si>
  <si>
    <t>p0- 充气压力(Pa)</t>
  </si>
  <si>
    <t>P2- 峰值压力(Pa)</t>
  </si>
  <si>
    <t>p1- 最低工作压力(Pa)</t>
  </si>
  <si>
    <t>经验公式</t>
  </si>
  <si>
    <t>冲击波传播速度</t>
  </si>
  <si>
    <t>冲击波在管内往复所需时间</t>
  </si>
  <si>
    <r>
      <rPr>
        <sz val="12"/>
        <rFont val="宋体"/>
        <family val="3"/>
        <charset val="134"/>
      </rPr>
      <t>直接冲击</t>
    </r>
    <r>
      <rPr>
        <sz val="12"/>
        <rFont val="Times New Roman"/>
        <family val="1"/>
      </rPr>
      <t>(t&lt;T)</t>
    </r>
    <r>
      <rPr>
        <sz val="12"/>
        <rFont val="宋体"/>
        <family val="3"/>
        <charset val="134"/>
      </rPr>
      <t>压力变化</t>
    </r>
  </si>
  <si>
    <r>
      <rPr>
        <sz val="12"/>
        <rFont val="宋体"/>
        <family val="3"/>
        <charset val="134"/>
      </rPr>
      <t>间接冲击</t>
    </r>
    <r>
      <rPr>
        <sz val="12"/>
        <rFont val="Times New Roman"/>
        <family val="1"/>
      </rPr>
      <t>(t&gt;T)</t>
    </r>
    <r>
      <rPr>
        <sz val="12"/>
        <rFont val="宋体"/>
        <family val="3"/>
        <charset val="134"/>
      </rPr>
      <t>压力变化</t>
    </r>
  </si>
  <si>
    <t>油箱热平衡</t>
  </si>
  <si>
    <r>
      <rPr>
        <sz val="12"/>
        <rFont val="宋体"/>
        <family val="3"/>
        <charset val="134"/>
      </rPr>
      <t>油箱总体积</t>
    </r>
    <r>
      <rPr>
        <sz val="12"/>
        <rFont val="Times New Roman"/>
        <family val="1"/>
      </rPr>
      <t>V       (L)</t>
    </r>
  </si>
  <si>
    <r>
      <rPr>
        <sz val="12"/>
        <rFont val="宋体"/>
        <family val="3"/>
        <charset val="134"/>
      </rPr>
      <t>系统发热功率</t>
    </r>
    <r>
      <rPr>
        <sz val="12"/>
        <rFont val="Times New Roman"/>
        <family val="1"/>
      </rPr>
      <t>(Kw)</t>
    </r>
  </si>
  <si>
    <t>通风条件</t>
  </si>
  <si>
    <r>
      <rPr>
        <sz val="12"/>
        <rFont val="宋体"/>
        <family val="3"/>
        <charset val="134"/>
      </rPr>
      <t>系数</t>
    </r>
    <r>
      <rPr>
        <sz val="12"/>
        <rFont val="Times New Roman"/>
        <family val="1"/>
      </rPr>
      <t>k</t>
    </r>
  </si>
  <si>
    <r>
      <rPr>
        <sz val="12"/>
        <rFont val="宋体"/>
        <family val="3"/>
        <charset val="134"/>
      </rPr>
      <t>油箱传热系数</t>
    </r>
    <r>
      <rPr>
        <sz val="12"/>
        <rFont val="Times New Roman"/>
        <family val="1"/>
      </rPr>
      <t xml:space="preserve">   k</t>
    </r>
  </si>
  <si>
    <r>
      <rPr>
        <sz val="12"/>
        <rFont val="宋体"/>
        <family val="3"/>
        <charset val="134"/>
      </rPr>
      <t>加热功率</t>
    </r>
    <r>
      <rPr>
        <sz val="12"/>
        <rFont val="Times New Roman"/>
        <family val="1"/>
      </rPr>
      <t>(Kw)</t>
    </r>
  </si>
  <si>
    <t>差</t>
  </si>
  <si>
    <t>8~9</t>
  </si>
  <si>
    <r>
      <rPr>
        <sz val="12"/>
        <rFont val="宋体"/>
        <family val="3"/>
        <charset val="134"/>
      </rPr>
      <t>油比热</t>
    </r>
    <r>
      <rPr>
        <sz val="12"/>
        <rFont val="Times New Roman"/>
        <family val="1"/>
      </rPr>
      <t>( 1.7~2.1 KJ/(kg*K)</t>
    </r>
  </si>
  <si>
    <r>
      <rPr>
        <sz val="12"/>
        <rFont val="宋体"/>
        <family val="3"/>
        <charset val="134"/>
      </rPr>
      <t>冷却功率</t>
    </r>
    <r>
      <rPr>
        <sz val="12"/>
        <rFont val="Times New Roman"/>
        <family val="1"/>
      </rPr>
      <t>(Kw)</t>
    </r>
  </si>
  <si>
    <t>良好</t>
  </si>
  <si>
    <r>
      <rPr>
        <sz val="12"/>
        <rFont val="宋体"/>
        <family val="3"/>
        <charset val="134"/>
      </rPr>
      <t>环境温度</t>
    </r>
    <r>
      <rPr>
        <sz val="12"/>
        <rFont val="Times New Roman"/>
        <family val="1"/>
      </rPr>
      <t>T</t>
    </r>
    <r>
      <rPr>
        <vertAlign val="subscript"/>
        <sz val="12"/>
        <rFont val="Times New Roman"/>
        <family val="1"/>
      </rPr>
      <t>0</t>
    </r>
    <r>
      <rPr>
        <sz val="12"/>
        <rFont val="Times New Roman"/>
        <family val="1"/>
      </rPr>
      <t xml:space="preserve"> (K) </t>
    </r>
  </si>
  <si>
    <r>
      <rPr>
        <sz val="12"/>
        <rFont val="宋体"/>
        <family val="3"/>
        <charset val="134"/>
      </rPr>
      <t>油质量（</t>
    </r>
    <r>
      <rPr>
        <sz val="12"/>
        <rFont val="Times New Roman"/>
        <family val="1"/>
      </rPr>
      <t>kg)</t>
    </r>
  </si>
  <si>
    <t>风冷冷却</t>
  </si>
  <si>
    <r>
      <rPr>
        <sz val="12"/>
        <rFont val="宋体"/>
        <family val="3"/>
        <charset val="134"/>
      </rPr>
      <t>设定油温</t>
    </r>
    <r>
      <rPr>
        <sz val="12"/>
        <rFont val="Times New Roman"/>
        <family val="1"/>
      </rPr>
      <t xml:space="preserve"> T (K)</t>
    </r>
  </si>
  <si>
    <r>
      <rPr>
        <sz val="12"/>
        <rFont val="宋体"/>
        <family val="3"/>
        <charset val="134"/>
      </rPr>
      <t>油箱散热面积</t>
    </r>
    <r>
      <rPr>
        <sz val="12"/>
        <rFont val="Times New Roman"/>
        <family val="1"/>
      </rPr>
      <t>(m2)</t>
    </r>
    <r>
      <rPr>
        <sz val="12"/>
        <rFont val="宋体"/>
        <family val="3"/>
        <charset val="134"/>
      </rPr>
      <t>≈</t>
    </r>
  </si>
  <si>
    <t>循环水冷却</t>
  </si>
  <si>
    <t>110~174</t>
  </si>
  <si>
    <r>
      <rPr>
        <sz val="12"/>
        <rFont val="宋体"/>
        <family val="3"/>
        <charset val="134"/>
      </rPr>
      <t>油箱散热面积</t>
    </r>
    <r>
      <rPr>
        <sz val="12"/>
        <rFont val="Times New Roman"/>
        <family val="1"/>
      </rPr>
      <t>(m2)</t>
    </r>
  </si>
  <si>
    <r>
      <rPr>
        <sz val="12"/>
        <rFont val="宋体"/>
        <family val="3"/>
        <charset val="134"/>
      </rPr>
      <t>油箱冷却功率</t>
    </r>
    <r>
      <rPr>
        <sz val="12"/>
        <rFont val="Times New Roman"/>
        <family val="1"/>
      </rPr>
      <t>(Kw)</t>
    </r>
  </si>
  <si>
    <r>
      <rPr>
        <sz val="12"/>
        <rFont val="宋体"/>
        <family val="3"/>
        <charset val="134"/>
      </rPr>
      <t>系统温升</t>
    </r>
    <r>
      <rPr>
        <sz val="12"/>
        <rFont val="Times New Roman"/>
        <family val="1"/>
      </rPr>
      <t>(</t>
    </r>
    <r>
      <rPr>
        <sz val="12"/>
        <rFont val="宋体"/>
        <family val="3"/>
        <charset val="134"/>
      </rPr>
      <t>冷却时间</t>
    </r>
    <r>
      <rPr>
        <sz val="12"/>
        <rFont val="Times New Roman"/>
        <family val="1"/>
      </rPr>
      <t>) t(min)</t>
    </r>
  </si>
  <si>
    <t>油箱壁厚(mm)</t>
  </si>
  <si>
    <t>系统热平衡温度(K)</t>
  </si>
  <si>
    <t>油箱重量(Kg)≈</t>
  </si>
  <si>
    <t>风冷计算</t>
  </si>
  <si>
    <r>
      <rPr>
        <sz val="12"/>
        <rFont val="宋体"/>
        <family val="3"/>
        <charset val="134"/>
      </rPr>
      <t>风量</t>
    </r>
    <r>
      <rPr>
        <sz val="12"/>
        <rFont val="Times New Roman"/>
        <family val="1"/>
      </rPr>
      <t>(m3 / h)</t>
    </r>
  </si>
  <si>
    <r>
      <rPr>
        <sz val="12"/>
        <rFont val="宋体"/>
        <family val="3"/>
        <charset val="134"/>
      </rPr>
      <t>散热温差</t>
    </r>
    <r>
      <rPr>
        <sz val="12"/>
        <rFont val="Times New Roman"/>
        <family val="1"/>
      </rPr>
      <t>t (K)</t>
    </r>
  </si>
  <si>
    <r>
      <rPr>
        <sz val="12"/>
        <rFont val="宋体"/>
        <family val="3"/>
        <charset val="134"/>
      </rPr>
      <t>散热功率</t>
    </r>
    <r>
      <rPr>
        <sz val="12"/>
        <rFont val="Times New Roman"/>
        <family val="1"/>
      </rPr>
      <t xml:space="preserve"> (Kw)</t>
    </r>
  </si>
  <si>
    <t>水冷计算</t>
  </si>
  <si>
    <r>
      <rPr>
        <sz val="12"/>
        <rFont val="宋体"/>
        <family val="3"/>
        <charset val="134"/>
      </rPr>
      <t>冷却水量</t>
    </r>
    <r>
      <rPr>
        <sz val="12"/>
        <rFont val="Times New Roman"/>
        <family val="1"/>
      </rPr>
      <t>(m3 / h)</t>
    </r>
  </si>
  <si>
    <r>
      <rPr>
        <sz val="12"/>
        <rFont val="宋体"/>
        <family val="3"/>
        <charset val="134"/>
      </rPr>
      <t>进出水温差</t>
    </r>
    <r>
      <rPr>
        <sz val="12"/>
        <rFont val="Times New Roman"/>
        <family val="1"/>
      </rPr>
      <t>t (K)</t>
    </r>
  </si>
  <si>
    <t>温度换算</t>
  </si>
  <si>
    <t>摄氏度</t>
  </si>
  <si>
    <t>——〉华氏度</t>
  </si>
  <si>
    <t>华氏度</t>
  </si>
  <si>
    <t>——〉摄氏度</t>
  </si>
  <si>
    <r>
      <rPr>
        <sz val="12"/>
        <rFont val="宋体"/>
        <family val="3"/>
        <charset val="134"/>
      </rPr>
      <t xml:space="preserve">k- </t>
    </r>
    <r>
      <rPr>
        <sz val="12"/>
        <rFont val="宋体"/>
        <family val="3"/>
        <charset val="134"/>
      </rPr>
      <t>油箱传热系数</t>
    </r>
    <r>
      <rPr>
        <sz val="12"/>
        <rFont val="Times New Roman"/>
        <family val="1"/>
      </rPr>
      <t xml:space="preserve"> (W/m2*K)</t>
    </r>
  </si>
  <si>
    <r>
      <rPr>
        <sz val="12"/>
        <rFont val="宋体"/>
        <family val="3"/>
        <charset val="134"/>
      </rPr>
      <t xml:space="preserve">t - </t>
    </r>
    <r>
      <rPr>
        <sz val="12"/>
        <rFont val="宋体"/>
        <family val="3"/>
        <charset val="134"/>
      </rPr>
      <t>运转时间</t>
    </r>
    <r>
      <rPr>
        <sz val="12"/>
        <rFont val="Times New Roman"/>
        <family val="1"/>
      </rPr>
      <t>(s)</t>
    </r>
  </si>
  <si>
    <r>
      <rPr>
        <sz val="12"/>
        <rFont val="宋体"/>
        <family val="3"/>
        <charset val="134"/>
      </rPr>
      <t xml:space="preserve">C - </t>
    </r>
    <r>
      <rPr>
        <sz val="12"/>
        <rFont val="宋体"/>
        <family val="3"/>
        <charset val="134"/>
      </rPr>
      <t>油比热</t>
    </r>
    <r>
      <rPr>
        <sz val="12"/>
        <rFont val="Times New Roman"/>
        <family val="1"/>
      </rPr>
      <t>( 1.7~2.1 KJ/(kg*K))</t>
    </r>
  </si>
  <si>
    <r>
      <rPr>
        <sz val="12"/>
        <rFont val="宋体"/>
        <family val="3"/>
        <charset val="134"/>
      </rPr>
      <t xml:space="preserve">A - </t>
    </r>
    <r>
      <rPr>
        <sz val="12"/>
        <rFont val="宋体"/>
        <family val="3"/>
        <charset val="134"/>
      </rPr>
      <t>油箱散热面积</t>
    </r>
    <r>
      <rPr>
        <sz val="12"/>
        <rFont val="Times New Roman"/>
        <family val="1"/>
      </rPr>
      <t>(m2)</t>
    </r>
  </si>
  <si>
    <r>
      <rPr>
        <sz val="12"/>
        <rFont val="宋体"/>
        <family val="3"/>
        <charset val="134"/>
      </rPr>
      <t xml:space="preserve">T - </t>
    </r>
    <r>
      <rPr>
        <sz val="12"/>
        <rFont val="宋体"/>
        <family val="3"/>
        <charset val="134"/>
      </rPr>
      <t>油液温度</t>
    </r>
    <r>
      <rPr>
        <sz val="12"/>
        <rFont val="Times New Roman"/>
        <family val="1"/>
      </rPr>
      <t>(K)</t>
    </r>
  </si>
  <si>
    <r>
      <rPr>
        <sz val="12"/>
        <rFont val="宋体"/>
        <family val="3"/>
        <charset val="134"/>
      </rPr>
      <t xml:space="preserve">T0 - </t>
    </r>
    <r>
      <rPr>
        <sz val="12"/>
        <rFont val="宋体"/>
        <family val="3"/>
        <charset val="134"/>
      </rPr>
      <t>环境温度</t>
    </r>
    <r>
      <rPr>
        <sz val="12"/>
        <rFont val="Times New Roman"/>
        <family val="1"/>
      </rPr>
      <t>(K)</t>
    </r>
  </si>
  <si>
    <r>
      <rPr>
        <sz val="12"/>
        <rFont val="宋体"/>
        <family val="3"/>
        <charset val="134"/>
      </rPr>
      <t>当</t>
    </r>
    <r>
      <rPr>
        <sz val="12"/>
        <rFont val="Times New Roman"/>
        <family val="1"/>
      </rPr>
      <t xml:space="preserve">t </t>
    </r>
    <r>
      <rPr>
        <sz val="12"/>
        <rFont val="宋体"/>
        <family val="3"/>
        <charset val="134"/>
      </rPr>
      <t>→∞</t>
    </r>
    <r>
      <rPr>
        <sz val="12"/>
        <rFont val="Times New Roman"/>
        <family val="1"/>
      </rPr>
      <t xml:space="preserve"> </t>
    </r>
    <r>
      <rPr>
        <sz val="12"/>
        <rFont val="宋体"/>
        <family val="3"/>
        <charset val="134"/>
      </rPr>
      <t>时</t>
    </r>
    <r>
      <rPr>
        <sz val="12"/>
        <rFont val="Times New Roman"/>
        <family val="1"/>
      </rPr>
      <t>,</t>
    </r>
    <r>
      <rPr>
        <sz val="12"/>
        <rFont val="宋体"/>
        <family val="3"/>
        <charset val="134"/>
      </rPr>
      <t>系统热平衡公式</t>
    </r>
  </si>
  <si>
    <r>
      <rPr>
        <sz val="12"/>
        <rFont val="宋体"/>
        <family val="3"/>
        <charset val="134"/>
      </rPr>
      <t xml:space="preserve">m - </t>
    </r>
    <r>
      <rPr>
        <sz val="12"/>
        <rFont val="宋体"/>
        <family val="3"/>
        <charset val="134"/>
      </rPr>
      <t>油液质量</t>
    </r>
    <r>
      <rPr>
        <sz val="12"/>
        <rFont val="Times New Roman"/>
        <family val="1"/>
      </rPr>
      <t>(kg)</t>
    </r>
  </si>
  <si>
    <r>
      <rPr>
        <sz val="12"/>
        <rFont val="宋体"/>
        <family val="3"/>
        <charset val="134"/>
      </rPr>
      <t xml:space="preserve">H- </t>
    </r>
    <r>
      <rPr>
        <sz val="12"/>
        <rFont val="宋体"/>
        <family val="3"/>
        <charset val="134"/>
      </rPr>
      <t>热功率</t>
    </r>
    <r>
      <rPr>
        <sz val="12"/>
        <rFont val="Times New Roman"/>
        <family val="1"/>
      </rPr>
      <t>(W)</t>
    </r>
  </si>
  <si>
    <r>
      <rPr>
        <sz val="12"/>
        <rFont val="宋体"/>
        <family val="3"/>
        <charset val="134"/>
      </rPr>
      <t>Ｈ＝Ｑａ</t>
    </r>
    <r>
      <rPr>
        <sz val="10.5"/>
        <rFont val="Times New Roman"/>
        <family val="1"/>
      </rPr>
      <t>*</t>
    </r>
    <r>
      <rPr>
        <sz val="10.5"/>
        <rFont val="宋体"/>
        <family val="3"/>
        <charset val="134"/>
      </rPr>
      <t>ρｋ</t>
    </r>
    <r>
      <rPr>
        <sz val="10.5"/>
        <rFont val="Times New Roman"/>
        <family val="1"/>
      </rPr>
      <t>*</t>
    </r>
    <r>
      <rPr>
        <sz val="10.5"/>
        <rFont val="宋体"/>
        <family val="3"/>
        <charset val="134"/>
      </rPr>
      <t>Ｃｐ·Δ</t>
    </r>
    <r>
      <rPr>
        <sz val="10.5"/>
        <rFont val="Times New Roman"/>
        <family val="1"/>
      </rPr>
      <t>t</t>
    </r>
    <r>
      <rPr>
        <sz val="10.5"/>
        <rFont val="宋体"/>
        <family val="3"/>
        <charset val="134"/>
      </rPr>
      <t>（J/h）</t>
    </r>
  </si>
  <si>
    <r>
      <rPr>
        <sz val="12"/>
        <rFont val="宋体"/>
        <family val="3"/>
        <charset val="134"/>
      </rPr>
      <t>Ｑａ</t>
    </r>
    <r>
      <rPr>
        <sz val="12"/>
        <rFont val="Times New Roman"/>
        <family val="1"/>
      </rPr>
      <t>——</t>
    </r>
    <r>
      <rPr>
        <sz val="12"/>
        <rFont val="宋体"/>
        <family val="3"/>
        <charset val="134"/>
      </rPr>
      <t>风扇风量（</t>
    </r>
    <r>
      <rPr>
        <sz val="12"/>
        <rFont val="Times New Roman"/>
        <family val="1"/>
      </rPr>
      <t>m3 / h</t>
    </r>
    <r>
      <rPr>
        <sz val="12"/>
        <rFont val="宋体"/>
        <family val="3"/>
        <charset val="134"/>
      </rPr>
      <t>）</t>
    </r>
  </si>
  <si>
    <r>
      <rPr>
        <sz val="12"/>
        <rFont val="宋体"/>
        <family val="3"/>
        <charset val="134"/>
      </rPr>
      <t>ρｋ</t>
    </r>
    <r>
      <rPr>
        <sz val="12"/>
        <rFont val="Times New Roman"/>
        <family val="1"/>
      </rPr>
      <t>——</t>
    </r>
    <r>
      <rPr>
        <sz val="12"/>
        <rFont val="宋体"/>
        <family val="3"/>
        <charset val="134"/>
      </rPr>
      <t>空气密度（取ρｋ＝</t>
    </r>
    <r>
      <rPr>
        <sz val="12"/>
        <rFont val="Times New Roman"/>
        <family val="1"/>
      </rPr>
      <t>1.29kg/m3</t>
    </r>
    <r>
      <rPr>
        <sz val="12"/>
        <rFont val="宋体"/>
        <family val="3"/>
        <charset val="134"/>
      </rPr>
      <t>）</t>
    </r>
  </si>
  <si>
    <r>
      <rPr>
        <sz val="12"/>
        <rFont val="宋体"/>
        <family val="3"/>
        <charset val="134"/>
      </rPr>
      <t>Ｃｐ</t>
    </r>
    <r>
      <rPr>
        <sz val="12"/>
        <rFont val="Times New Roman"/>
        <family val="1"/>
      </rPr>
      <t>——</t>
    </r>
    <r>
      <rPr>
        <sz val="12"/>
        <rFont val="宋体"/>
        <family val="3"/>
        <charset val="134"/>
      </rPr>
      <t>空气比热容（取Ｃｐ＝</t>
    </r>
    <r>
      <rPr>
        <sz val="12"/>
        <rFont val="Times New Roman"/>
        <family val="1"/>
      </rPr>
      <t>1008J/kg·K</t>
    </r>
    <r>
      <rPr>
        <sz val="12"/>
        <rFont val="宋体"/>
        <family val="3"/>
        <charset val="134"/>
      </rPr>
      <t>）</t>
    </r>
  </si>
  <si>
    <r>
      <rPr>
        <sz val="12"/>
        <rFont val="宋体"/>
        <family val="3"/>
        <charset val="134"/>
      </rPr>
      <t>Δｔ</t>
    </r>
    <r>
      <rPr>
        <sz val="12"/>
        <rFont val="Times New Roman"/>
        <family val="1"/>
      </rPr>
      <t>——</t>
    </r>
    <r>
      <rPr>
        <sz val="12"/>
        <rFont val="宋体"/>
        <family val="3"/>
        <charset val="134"/>
      </rPr>
      <t>散热温差（取Δｔ＝１０Ｋ）</t>
    </r>
  </si>
  <si>
    <r>
      <rPr>
        <sz val="12"/>
        <rFont val="宋体"/>
        <family val="3"/>
        <charset val="134"/>
      </rPr>
      <t>Ｑａ</t>
    </r>
    <r>
      <rPr>
        <sz val="12"/>
        <rFont val="Times New Roman"/>
        <family val="1"/>
      </rPr>
      <t>——</t>
    </r>
    <r>
      <rPr>
        <sz val="12"/>
        <rFont val="宋体"/>
        <family val="3"/>
        <charset val="134"/>
      </rPr>
      <t>冷却水量</t>
    </r>
    <r>
      <rPr>
        <sz val="12"/>
        <rFont val="宋体"/>
        <family val="3"/>
        <charset val="134"/>
      </rPr>
      <t>（</t>
    </r>
    <r>
      <rPr>
        <sz val="12"/>
        <rFont val="Times New Roman"/>
        <family val="1"/>
      </rPr>
      <t>m3 / h</t>
    </r>
    <r>
      <rPr>
        <sz val="12"/>
        <rFont val="宋体"/>
        <family val="3"/>
        <charset val="134"/>
      </rPr>
      <t>）</t>
    </r>
  </si>
  <si>
    <r>
      <rPr>
        <sz val="12"/>
        <rFont val="宋体"/>
        <family val="3"/>
        <charset val="134"/>
      </rPr>
      <t>ρｋ</t>
    </r>
    <r>
      <rPr>
        <sz val="12"/>
        <rFont val="Times New Roman"/>
        <family val="1"/>
      </rPr>
      <t>——</t>
    </r>
    <r>
      <rPr>
        <sz val="12"/>
        <rFont val="宋体"/>
        <family val="3"/>
        <charset val="134"/>
      </rPr>
      <t>水</t>
    </r>
    <r>
      <rPr>
        <sz val="12"/>
        <rFont val="宋体"/>
        <family val="3"/>
        <charset val="134"/>
      </rPr>
      <t>密度（取ρｋ＝</t>
    </r>
    <r>
      <rPr>
        <sz val="12"/>
        <rFont val="Times New Roman"/>
        <family val="1"/>
      </rPr>
      <t>1000kg/m3</t>
    </r>
    <r>
      <rPr>
        <sz val="12"/>
        <rFont val="宋体"/>
        <family val="3"/>
        <charset val="134"/>
      </rPr>
      <t>）</t>
    </r>
  </si>
  <si>
    <r>
      <rPr>
        <sz val="12"/>
        <rFont val="宋体"/>
        <family val="3"/>
        <charset val="134"/>
      </rPr>
      <t>Ｃｐ</t>
    </r>
    <r>
      <rPr>
        <sz val="12"/>
        <rFont val="Times New Roman"/>
        <family val="1"/>
      </rPr>
      <t>——</t>
    </r>
    <r>
      <rPr>
        <sz val="12"/>
        <rFont val="宋体"/>
        <family val="3"/>
        <charset val="134"/>
      </rPr>
      <t>水比热容（取Ｃｐ＝</t>
    </r>
    <r>
      <rPr>
        <sz val="12"/>
        <rFont val="Times New Roman"/>
        <family val="1"/>
      </rPr>
      <t>4186.8J/kg·K</t>
    </r>
    <r>
      <rPr>
        <sz val="12"/>
        <rFont val="宋体"/>
        <family val="3"/>
        <charset val="134"/>
      </rPr>
      <t>）</t>
    </r>
  </si>
  <si>
    <r>
      <rPr>
        <sz val="12"/>
        <rFont val="宋体"/>
        <family val="3"/>
        <charset val="134"/>
      </rPr>
      <t>Δｔ</t>
    </r>
    <r>
      <rPr>
        <sz val="12"/>
        <rFont val="Times New Roman"/>
        <family val="1"/>
      </rPr>
      <t>——</t>
    </r>
    <r>
      <rPr>
        <sz val="12"/>
        <rFont val="宋体"/>
        <family val="3"/>
        <charset val="134"/>
      </rPr>
      <t>进出水</t>
    </r>
    <r>
      <rPr>
        <sz val="12"/>
        <rFont val="宋体"/>
        <family val="3"/>
        <charset val="134"/>
      </rPr>
      <t>温差</t>
    </r>
  </si>
  <si>
    <t>马达工况参数</t>
  </si>
  <si>
    <t>Psi =</t>
  </si>
  <si>
    <t>Bar</t>
  </si>
  <si>
    <r>
      <rPr>
        <sz val="12"/>
        <rFont val="宋体"/>
        <family val="3"/>
        <charset val="134"/>
      </rPr>
      <t>卷筒转速</t>
    </r>
    <r>
      <rPr>
        <sz val="14"/>
        <rFont val="Arial"/>
        <family val="2"/>
      </rPr>
      <t xml:space="preserve"> (Required)</t>
    </r>
  </si>
  <si>
    <t>r/min</t>
  </si>
  <si>
    <t>Bar =</t>
  </si>
  <si>
    <t>Psi</t>
  </si>
  <si>
    <r>
      <rPr>
        <sz val="12"/>
        <rFont val="宋体"/>
        <family val="3"/>
        <charset val="134"/>
      </rPr>
      <t>卷筒扭矩</t>
    </r>
    <r>
      <rPr>
        <sz val="14"/>
        <rFont val="Times New Roman"/>
        <family val="1"/>
      </rPr>
      <t>(Required)</t>
    </r>
  </si>
  <si>
    <t>N.M</t>
  </si>
  <si>
    <t>Hp  =</t>
  </si>
  <si>
    <t>kw</t>
  </si>
  <si>
    <t>减速比</t>
  </si>
  <si>
    <t>Kw  =</t>
  </si>
  <si>
    <t>Hp</t>
  </si>
  <si>
    <t>马达排量</t>
  </si>
  <si>
    <t>ml / r</t>
  </si>
  <si>
    <t>GPM =</t>
  </si>
  <si>
    <t>LPM</t>
  </si>
  <si>
    <t>马达输出扭矩</t>
  </si>
  <si>
    <t>LPM =</t>
  </si>
  <si>
    <t>GPM</t>
  </si>
  <si>
    <t>马达转速</t>
  </si>
  <si>
    <t>cc/rev</t>
  </si>
  <si>
    <t>系统功率</t>
  </si>
  <si>
    <t>1  gpm ( us)  = 3.785 Liter</t>
  </si>
  <si>
    <r>
      <rPr>
        <sz val="12"/>
        <rFont val="宋体"/>
        <family val="3"/>
        <charset val="134"/>
      </rPr>
      <t>1 in</t>
    </r>
    <r>
      <rPr>
        <vertAlign val="superscript"/>
        <sz val="14"/>
        <rFont val="Arial"/>
        <family val="2"/>
      </rPr>
      <t>3</t>
    </r>
    <r>
      <rPr>
        <sz val="14"/>
        <rFont val="Arial"/>
        <family val="2"/>
      </rPr>
      <t xml:space="preserve">  =  16.3871 cm</t>
    </r>
    <r>
      <rPr>
        <vertAlign val="superscript"/>
        <sz val="14"/>
        <rFont val="Arial"/>
        <family val="2"/>
      </rPr>
      <t>3</t>
    </r>
  </si>
  <si>
    <t>工作压力</t>
  </si>
  <si>
    <t>1  psi  =  0.0689  bar</t>
  </si>
  <si>
    <t>1 bar  = 14.5 psi</t>
  </si>
  <si>
    <t>马达流量</t>
  </si>
  <si>
    <t>机械效率</t>
  </si>
  <si>
    <t>Eff</t>
  </si>
  <si>
    <r>
      <rPr>
        <sz val="12"/>
        <rFont val="宋体"/>
        <family val="3"/>
        <charset val="134"/>
      </rPr>
      <t>KW x overall efficiency@P max / Pmax x .166 x 10</t>
    </r>
    <r>
      <rPr>
        <vertAlign val="superscript"/>
        <sz val="14"/>
        <rFont val="Arial"/>
        <family val="2"/>
      </rPr>
      <t>-4</t>
    </r>
  </si>
  <si>
    <t>容积效率</t>
  </si>
  <si>
    <t>HP x overall efficiency @ PSI / PSI x 0.000583</t>
  </si>
  <si>
    <t>泵和电机</t>
  </si>
  <si>
    <t>系统流量</t>
  </si>
  <si>
    <t>系统压力</t>
  </si>
  <si>
    <t>电机转速</t>
  </si>
  <si>
    <t>泵排量</t>
  </si>
  <si>
    <t>钢丝卷筒</t>
  </si>
  <si>
    <t>卷筒钢丝绳拉力</t>
  </si>
  <si>
    <t>Ton</t>
  </si>
  <si>
    <t>卷筒直径</t>
  </si>
  <si>
    <t>卷筒钢丝绳层数</t>
  </si>
  <si>
    <t>卷筒钢丝绳直径</t>
  </si>
  <si>
    <t>卷筒钢丝绳速（第一层钢丝）</t>
  </si>
  <si>
    <t>m/min</t>
  </si>
  <si>
    <t>→</t>
  </si>
  <si>
    <t>　</t>
  </si>
  <si>
    <t>∴卷筒转速</t>
  </si>
  <si>
    <t>卷筒最大扭矩（最外钢丝）</t>
  </si>
  <si>
    <t>卷筒最小扭矩（第一层钢丝）</t>
  </si>
  <si>
    <t>卷筒钢丝最大绳速（最外层钢丝）</t>
  </si>
  <si>
    <t>卷筒钢丝最小绳速（第一层钢丝）</t>
  </si>
  <si>
    <t>油缸参数</t>
  </si>
  <si>
    <t>行程(mm)</t>
  </si>
  <si>
    <t>安装距(mm)</t>
  </si>
  <si>
    <t>无杆腔面积 (c㎡)</t>
  </si>
  <si>
    <t>无杆腔体积 (L)</t>
  </si>
  <si>
    <t>有杆腔面积 (c㎡)</t>
  </si>
  <si>
    <t>有杆腔体积 (L)</t>
  </si>
  <si>
    <t>油缸面积比</t>
  </si>
  <si>
    <t>体积变化   (L)</t>
  </si>
  <si>
    <t>伸出速度(M/min)</t>
  </si>
  <si>
    <t>收缩速度(M/min)</t>
  </si>
  <si>
    <r>
      <rPr>
        <sz val="12"/>
        <rFont val="宋体"/>
        <family val="3"/>
        <charset val="134"/>
      </rPr>
      <t>系统压力</t>
    </r>
    <r>
      <rPr>
        <sz val="12"/>
        <rFont val="Times New Roman"/>
        <family val="1"/>
      </rPr>
      <t>(bar)</t>
    </r>
  </si>
  <si>
    <t>全差动流量(L/min)</t>
  </si>
  <si>
    <t>效率</t>
  </si>
  <si>
    <r>
      <rPr>
        <sz val="12"/>
        <rFont val="宋体"/>
        <family val="3"/>
        <charset val="134"/>
      </rPr>
      <t>系统功率</t>
    </r>
    <r>
      <rPr>
        <sz val="12"/>
        <rFont val="Times New Roman"/>
        <family val="1"/>
      </rPr>
      <t>(Kw)</t>
    </r>
  </si>
  <si>
    <t>伸出阻力 (Ton)</t>
  </si>
  <si>
    <t>无杆腔压力(bar)</t>
  </si>
  <si>
    <t>收缩拉力 (Ton)</t>
  </si>
  <si>
    <t>有杆腔压力(bar)</t>
  </si>
  <si>
    <t>回油背压 (bar)</t>
  </si>
  <si>
    <t>SUN平衡阀-油缸</t>
  </si>
  <si>
    <t>平衡阀先导面积比</t>
  </si>
  <si>
    <t>伸出杆受压力(吨)</t>
  </si>
  <si>
    <t>平衡阀设定压(bar)</t>
  </si>
  <si>
    <t>平衡阀出口背压(bar)</t>
  </si>
  <si>
    <t>负负载(Ton)</t>
  </si>
  <si>
    <t>活塞伸出</t>
  </si>
  <si>
    <t>活塞收缩</t>
  </si>
  <si>
    <t>压杆稳定性校核</t>
  </si>
  <si>
    <t>油缸安装方式</t>
  </si>
  <si>
    <t>末端系数ψ2</t>
  </si>
  <si>
    <t>安全系数 n  (2～4)</t>
  </si>
  <si>
    <t>一端自由,一端固定</t>
  </si>
  <si>
    <r>
      <rPr>
        <sz val="12"/>
        <rFont val="宋体"/>
        <family val="3"/>
        <charset val="134"/>
      </rPr>
      <t>末端系数ψ</t>
    </r>
    <r>
      <rPr>
        <vertAlign val="subscript"/>
        <sz val="12"/>
        <rFont val="宋体"/>
        <family val="3"/>
        <charset val="134"/>
      </rPr>
      <t>2</t>
    </r>
  </si>
  <si>
    <t>两端铰接</t>
  </si>
  <si>
    <t>钢材柔性系数ψ1</t>
  </si>
  <si>
    <t>一端铰接,一端固定</t>
  </si>
  <si>
    <t>两端固定</t>
  </si>
  <si>
    <t>临界负载F(Ton)</t>
  </si>
  <si>
    <t>无杆腔临界压力(bar)</t>
  </si>
  <si>
    <t>油缸强度和刚度校核</t>
  </si>
  <si>
    <t>缸筒抗拉强度(Mpa)</t>
  </si>
  <si>
    <t>Q235</t>
  </si>
  <si>
    <t>20号钢</t>
  </si>
  <si>
    <t>油缸试验压力(bar)</t>
  </si>
  <si>
    <t>抗拉强度(Mpa)</t>
  </si>
  <si>
    <t>375~460</t>
  </si>
  <si>
    <t>≥410</t>
  </si>
  <si>
    <t>安全系数 n</t>
  </si>
  <si>
    <t>屈服极限(Mpa)</t>
  </si>
  <si>
    <t>185~235</t>
  </si>
  <si>
    <t>≥245</t>
  </si>
  <si>
    <t>壁厚 (mm)</t>
  </si>
  <si>
    <t>→ 壁厚≤缸径/10</t>
  </si>
  <si>
    <t>→ 壁厚＞缸径/10</t>
  </si>
  <si>
    <t>活塞杆强度校核</t>
  </si>
  <si>
    <t>活塞杆抗拉强度(Mpa)</t>
  </si>
  <si>
    <t>活塞杆直径(mm)</t>
  </si>
  <si>
    <t xml:space="preserve"> 壁厚≤缸径/10</t>
  </si>
  <si>
    <r>
      <rPr>
        <sz val="12"/>
        <rFont val="宋体"/>
        <family val="3"/>
        <charset val="134"/>
      </rPr>
      <t>σ=σ</t>
    </r>
    <r>
      <rPr>
        <vertAlign val="subscript"/>
        <sz val="12"/>
        <rFont val="宋体"/>
        <family val="3"/>
        <charset val="134"/>
      </rPr>
      <t>b</t>
    </r>
    <r>
      <rPr>
        <sz val="12"/>
        <rFont val="宋体"/>
        <family val="3"/>
        <charset val="134"/>
      </rPr>
      <t>/n</t>
    </r>
  </si>
  <si>
    <t>缸筒需用应力</t>
  </si>
  <si>
    <r>
      <rPr>
        <sz val="12"/>
        <rFont val="宋体"/>
        <family val="3"/>
        <charset val="134"/>
      </rPr>
      <t>σ</t>
    </r>
    <r>
      <rPr>
        <vertAlign val="subscript"/>
        <sz val="12"/>
        <rFont val="宋体"/>
        <family val="3"/>
        <charset val="134"/>
      </rPr>
      <t>b</t>
    </r>
  </si>
  <si>
    <t>材料抗拉强度</t>
  </si>
  <si>
    <t>n=5</t>
  </si>
  <si>
    <t>安全系数</t>
  </si>
  <si>
    <t xml:space="preserve"> 壁厚＞缸径/10</t>
  </si>
  <si>
    <t>Py</t>
  </si>
  <si>
    <t>油缸试验压力</t>
  </si>
  <si>
    <t>圆锥滚子轴承参数表</t>
  </si>
  <si>
    <t>轴承类型</t>
  </si>
  <si>
    <t>国内新型号</t>
  </si>
  <si>
    <t>内径</t>
  </si>
  <si>
    <t>宽度</t>
  </si>
  <si>
    <t>Cr</t>
  </si>
  <si>
    <t>Cor</t>
  </si>
  <si>
    <t>脂润滑转速</t>
  </si>
  <si>
    <t>油润滑转速</t>
  </si>
  <si>
    <t>重量</t>
  </si>
  <si>
    <t>国内旧型号</t>
  </si>
  <si>
    <t>(mm)</t>
  </si>
  <si>
    <t>(kN)</t>
  </si>
  <si>
    <t>(r/min)</t>
  </si>
  <si>
    <t>(kg)</t>
  </si>
  <si>
    <t>7202E</t>
  </si>
  <si>
    <t>—</t>
  </si>
  <si>
    <t>7244E</t>
  </si>
  <si>
    <t>7340E</t>
  </si>
  <si>
    <t>7352E</t>
  </si>
  <si>
    <t>7302E</t>
  </si>
  <si>
    <t>7203E</t>
  </si>
  <si>
    <t>7303E</t>
  </si>
  <si>
    <t>7603E</t>
  </si>
  <si>
    <t>2007904E</t>
  </si>
  <si>
    <t>2007104E</t>
  </si>
  <si>
    <t>7204E</t>
  </si>
  <si>
    <t>7304E</t>
  </si>
  <si>
    <t>7604E</t>
  </si>
  <si>
    <t>329/22</t>
  </si>
  <si>
    <t>-</t>
  </si>
  <si>
    <t>320/22</t>
  </si>
  <si>
    <t>20071/22E</t>
  </si>
  <si>
    <t>2007905E</t>
  </si>
  <si>
    <t>2007105E</t>
  </si>
  <si>
    <t>3007105E</t>
  </si>
  <si>
    <t>7205E</t>
  </si>
  <si>
    <t>3007205E</t>
  </si>
  <si>
    <t>7305E</t>
  </si>
  <si>
    <t>27305E</t>
  </si>
  <si>
    <t>7605E</t>
  </si>
  <si>
    <t>329/28</t>
  </si>
  <si>
    <t>750D</t>
  </si>
  <si>
    <t>320/28</t>
  </si>
  <si>
    <t>20071/28E</t>
  </si>
  <si>
    <t>332/28</t>
  </si>
  <si>
    <t>30072/28E</t>
  </si>
  <si>
    <t>2007906E</t>
  </si>
  <si>
    <t>32006X2</t>
  </si>
  <si>
    <t>2007106X</t>
  </si>
  <si>
    <t>2007106E</t>
  </si>
  <si>
    <t>3007106E</t>
  </si>
  <si>
    <t>7206E</t>
  </si>
  <si>
    <t>7506E</t>
  </si>
  <si>
    <t>3007206E</t>
  </si>
  <si>
    <t>7306E</t>
  </si>
  <si>
    <t>27306E</t>
  </si>
  <si>
    <t>7606E</t>
  </si>
  <si>
    <t>329/32</t>
  </si>
  <si>
    <t>320/32</t>
  </si>
  <si>
    <t>20071/32E</t>
  </si>
  <si>
    <t>332/32</t>
  </si>
  <si>
    <t>30072/32E</t>
  </si>
  <si>
    <t>2007907E</t>
  </si>
  <si>
    <t>32007X2</t>
  </si>
  <si>
    <t>2007117E</t>
  </si>
  <si>
    <t>2007107E</t>
  </si>
  <si>
    <t>3007107E</t>
  </si>
  <si>
    <t>7207E</t>
  </si>
  <si>
    <t>7507E</t>
  </si>
  <si>
    <t>3007207E</t>
  </si>
  <si>
    <t>7307E</t>
  </si>
  <si>
    <t>27307E</t>
  </si>
  <si>
    <t>7607E</t>
  </si>
  <si>
    <t>32908X2</t>
  </si>
  <si>
    <t>2007908E</t>
  </si>
  <si>
    <t>32008X2</t>
  </si>
  <si>
    <t>2007108E</t>
  </si>
  <si>
    <t>3007108E</t>
  </si>
  <si>
    <t>3007708E</t>
  </si>
  <si>
    <t>7208E</t>
  </si>
  <si>
    <t>7508E</t>
  </si>
  <si>
    <t>3007208E</t>
  </si>
  <si>
    <t>7308E</t>
  </si>
  <si>
    <t>27308E</t>
  </si>
  <si>
    <t>7608E</t>
  </si>
  <si>
    <t>32909X2</t>
  </si>
  <si>
    <t>7007909E</t>
  </si>
  <si>
    <t>32009X2</t>
  </si>
  <si>
    <t>2007109X</t>
  </si>
  <si>
    <t>2007109E</t>
  </si>
  <si>
    <t>3007109E</t>
  </si>
  <si>
    <t>3007709E</t>
  </si>
  <si>
    <t>7209E</t>
  </si>
  <si>
    <t>7509E</t>
  </si>
  <si>
    <t>3007209E</t>
  </si>
  <si>
    <t>7309E</t>
  </si>
  <si>
    <t>27309E</t>
  </si>
  <si>
    <t>7609E</t>
  </si>
  <si>
    <t>32910X2</t>
  </si>
  <si>
    <t>2007910E</t>
  </si>
  <si>
    <t>32010X2</t>
  </si>
  <si>
    <t>2007110X</t>
  </si>
  <si>
    <t>2007110E</t>
  </si>
  <si>
    <t>3007110E</t>
  </si>
  <si>
    <t>3007710E</t>
  </si>
  <si>
    <t>7210E</t>
  </si>
  <si>
    <t>7510E</t>
  </si>
  <si>
    <t>3007210E</t>
  </si>
  <si>
    <t>7310E</t>
  </si>
  <si>
    <t>27310E</t>
  </si>
  <si>
    <t>7610E</t>
  </si>
  <si>
    <t>2007911E</t>
  </si>
  <si>
    <t>32011X2</t>
  </si>
  <si>
    <t>2007111E</t>
  </si>
  <si>
    <t>3007111E</t>
  </si>
  <si>
    <t>3007711E</t>
  </si>
  <si>
    <t>7211E</t>
  </si>
  <si>
    <t>7511E</t>
  </si>
  <si>
    <t>3007211E</t>
  </si>
  <si>
    <t>7311E</t>
  </si>
  <si>
    <t>27311E</t>
  </si>
  <si>
    <t>7611E</t>
  </si>
  <si>
    <t>32912X2</t>
  </si>
  <si>
    <t>2007912E</t>
  </si>
  <si>
    <t>32012X2</t>
  </si>
  <si>
    <t>2007112E</t>
  </si>
  <si>
    <t>3007112E</t>
  </si>
  <si>
    <t>3007712E</t>
  </si>
  <si>
    <t>7212E</t>
  </si>
  <si>
    <t>7512E</t>
  </si>
  <si>
    <t>3007212E</t>
  </si>
  <si>
    <t>7312E</t>
  </si>
  <si>
    <t>27312E</t>
  </si>
  <si>
    <t>7612E</t>
  </si>
  <si>
    <t>2007913E</t>
  </si>
  <si>
    <t>32013X2</t>
  </si>
  <si>
    <t>2007113E</t>
  </si>
  <si>
    <t>3007113E</t>
  </si>
  <si>
    <t>3007713E</t>
  </si>
  <si>
    <t>7213E</t>
  </si>
  <si>
    <t>7513E</t>
  </si>
  <si>
    <t>3007213E</t>
  </si>
  <si>
    <t>7313E</t>
  </si>
  <si>
    <t>27313E</t>
  </si>
  <si>
    <t>7613E</t>
  </si>
  <si>
    <t>32914X2</t>
  </si>
  <si>
    <t>2007914E</t>
  </si>
  <si>
    <t>32014X2</t>
  </si>
  <si>
    <t>2007114E</t>
  </si>
  <si>
    <t>3007114E</t>
  </si>
  <si>
    <t>3007714E</t>
  </si>
  <si>
    <t>7214E</t>
  </si>
  <si>
    <t>7514E</t>
  </si>
  <si>
    <t>3007214E</t>
  </si>
  <si>
    <t>7314E</t>
  </si>
  <si>
    <t>27314E</t>
  </si>
  <si>
    <t>7614E</t>
  </si>
  <si>
    <t>2007915E</t>
  </si>
  <si>
    <t>32015X2</t>
  </si>
  <si>
    <t>2007115E</t>
  </si>
  <si>
    <t>3007115E</t>
  </si>
  <si>
    <t>3007715E</t>
  </si>
  <si>
    <t>7215E</t>
  </si>
  <si>
    <t>7515E</t>
  </si>
  <si>
    <t>3007215E</t>
  </si>
  <si>
    <t>7315E</t>
  </si>
  <si>
    <t>27315E</t>
  </si>
  <si>
    <t>7615E</t>
  </si>
  <si>
    <t>2007916E</t>
  </si>
  <si>
    <t>32016X2</t>
  </si>
  <si>
    <t>2007116E</t>
  </si>
  <si>
    <t>3007116E</t>
  </si>
  <si>
    <t>3007716E</t>
  </si>
  <si>
    <t>7216E</t>
  </si>
  <si>
    <t>7516E</t>
  </si>
  <si>
    <t>3007216E</t>
  </si>
  <si>
    <t>7316E</t>
  </si>
  <si>
    <t>27316E</t>
  </si>
  <si>
    <t>7616E</t>
  </si>
  <si>
    <t>32917X2</t>
  </si>
  <si>
    <t>2007917E</t>
  </si>
  <si>
    <t>32017X2</t>
  </si>
  <si>
    <t>3007117E</t>
  </si>
  <si>
    <t>3007717E</t>
  </si>
  <si>
    <t>7217E</t>
  </si>
  <si>
    <t>7517E</t>
  </si>
  <si>
    <t>7317E</t>
  </si>
  <si>
    <t>27317E</t>
  </si>
  <si>
    <t>7617E</t>
  </si>
  <si>
    <t>32918X2</t>
  </si>
  <si>
    <t>2007918E</t>
  </si>
  <si>
    <t>32018X2</t>
  </si>
  <si>
    <t>2007118E</t>
  </si>
  <si>
    <t>3007118E</t>
  </si>
  <si>
    <t>3007718E</t>
  </si>
  <si>
    <t>7218E</t>
  </si>
  <si>
    <t>7518E</t>
  </si>
  <si>
    <t>3007218E</t>
  </si>
  <si>
    <t>7318E</t>
  </si>
  <si>
    <t>27318E</t>
  </si>
  <si>
    <t>7618E</t>
  </si>
  <si>
    <t>2007919E</t>
  </si>
  <si>
    <t>32019X2</t>
  </si>
  <si>
    <t>3007119E</t>
  </si>
  <si>
    <t>3007719E</t>
  </si>
  <si>
    <t>7219E</t>
  </si>
  <si>
    <t>7336E</t>
  </si>
  <si>
    <t>7519E</t>
  </si>
  <si>
    <t>3007219E</t>
  </si>
  <si>
    <t>7319E</t>
  </si>
  <si>
    <t>27319E</t>
  </si>
  <si>
    <t>7619E</t>
  </si>
  <si>
    <t>2007920E</t>
  </si>
  <si>
    <t>32020X2</t>
  </si>
  <si>
    <t>2007120E</t>
  </si>
  <si>
    <t>3007120E</t>
  </si>
  <si>
    <t>7220E</t>
  </si>
  <si>
    <t>7520E</t>
  </si>
  <si>
    <t>3007220E</t>
  </si>
  <si>
    <t>7320E</t>
  </si>
  <si>
    <t>27320E</t>
  </si>
  <si>
    <t>7620E</t>
  </si>
  <si>
    <t>2007921E</t>
  </si>
  <si>
    <t>32021X2</t>
  </si>
  <si>
    <t>2007121E</t>
  </si>
  <si>
    <t>3007121E</t>
  </si>
  <si>
    <t>3007721E</t>
  </si>
  <si>
    <t>7221E</t>
  </si>
  <si>
    <t>7521E</t>
  </si>
  <si>
    <t>3007221E</t>
  </si>
  <si>
    <t>7321E</t>
  </si>
  <si>
    <t>27321E</t>
  </si>
  <si>
    <t>7621E</t>
  </si>
  <si>
    <t>32922X2</t>
  </si>
  <si>
    <t>2007922E</t>
  </si>
  <si>
    <t>32022X2</t>
  </si>
  <si>
    <t>2007122E</t>
  </si>
  <si>
    <t>3007122E</t>
  </si>
  <si>
    <t>3007722E</t>
  </si>
  <si>
    <t>7222E</t>
  </si>
  <si>
    <t>7522E</t>
  </si>
  <si>
    <t>7322E</t>
  </si>
  <si>
    <t>27322E</t>
  </si>
  <si>
    <t>7622E</t>
  </si>
  <si>
    <t>2007924E</t>
  </si>
  <si>
    <t>32024X2</t>
  </si>
  <si>
    <t>2007124E</t>
  </si>
  <si>
    <t>3007124E</t>
  </si>
  <si>
    <t>3007724E</t>
  </si>
  <si>
    <t>7224E</t>
  </si>
  <si>
    <t>7524E</t>
  </si>
  <si>
    <t>7324E</t>
  </si>
  <si>
    <t>27324E</t>
  </si>
  <si>
    <t>7624E</t>
  </si>
  <si>
    <t>32926X2</t>
  </si>
  <si>
    <t>2007926E</t>
  </si>
  <si>
    <t>32026X2</t>
  </si>
  <si>
    <t>2007126E</t>
  </si>
  <si>
    <t>3007126E</t>
  </si>
  <si>
    <t>7226E</t>
  </si>
  <si>
    <t>7526E</t>
  </si>
  <si>
    <t>7326E</t>
  </si>
  <si>
    <t>27326E</t>
  </si>
  <si>
    <t>32928X2</t>
  </si>
  <si>
    <t>2007928E</t>
  </si>
  <si>
    <t>32028X2</t>
  </si>
  <si>
    <t>2007128E</t>
  </si>
  <si>
    <t>3007128E</t>
  </si>
  <si>
    <t>7228E</t>
  </si>
  <si>
    <t>7528E</t>
  </si>
  <si>
    <t>7328E</t>
  </si>
  <si>
    <t>27328E</t>
  </si>
  <si>
    <t>32930X2</t>
  </si>
  <si>
    <t>2007930E</t>
  </si>
  <si>
    <t>32030X2</t>
  </si>
  <si>
    <t>2007130E</t>
  </si>
  <si>
    <t>3007130E</t>
  </si>
  <si>
    <t>7230E</t>
  </si>
  <si>
    <t>7530E</t>
  </si>
  <si>
    <t>7330E</t>
  </si>
  <si>
    <t>27330E</t>
  </si>
  <si>
    <t>32932X2</t>
  </si>
  <si>
    <t>2007932E</t>
  </si>
  <si>
    <t>32032X2</t>
  </si>
  <si>
    <t>2007132E</t>
  </si>
  <si>
    <t>7232E</t>
  </si>
  <si>
    <t>7532E</t>
  </si>
  <si>
    <t>7332E</t>
  </si>
  <si>
    <t>32934X2</t>
  </si>
  <si>
    <t>2007934E</t>
  </si>
  <si>
    <t>32034X2</t>
  </si>
  <si>
    <t>2007134E</t>
  </si>
  <si>
    <t>7234E</t>
  </si>
  <si>
    <t>7534E</t>
  </si>
  <si>
    <t>7334E</t>
  </si>
  <si>
    <t>2007936E</t>
  </si>
  <si>
    <t>32036X2</t>
  </si>
  <si>
    <t>2007136E</t>
  </si>
  <si>
    <t>7236E</t>
  </si>
  <si>
    <t>7536E</t>
  </si>
  <si>
    <t>32938X2</t>
  </si>
  <si>
    <t>2007938E</t>
  </si>
  <si>
    <t>32038X2</t>
  </si>
  <si>
    <t>2007138E</t>
  </si>
  <si>
    <t>7238E</t>
  </si>
  <si>
    <t>7538E</t>
  </si>
  <si>
    <t>32940X2</t>
  </si>
  <si>
    <t>2007940E</t>
  </si>
  <si>
    <t>32040X2</t>
  </si>
  <si>
    <t>2007140E</t>
  </si>
  <si>
    <t>7240E</t>
  </si>
  <si>
    <t>7540E</t>
  </si>
  <si>
    <t>32944X2</t>
  </si>
  <si>
    <t>2007944E</t>
  </si>
  <si>
    <t>32044X2</t>
  </si>
  <si>
    <t>2007144E</t>
  </si>
  <si>
    <t>32948X2</t>
  </si>
  <si>
    <t>2007948E</t>
  </si>
  <si>
    <t>32048X2</t>
  </si>
  <si>
    <t>2007148E</t>
  </si>
  <si>
    <t>32952X2</t>
  </si>
  <si>
    <t>2007952E</t>
  </si>
  <si>
    <t>32052X2</t>
  </si>
  <si>
    <t>2007152E</t>
  </si>
  <si>
    <t>32056X2</t>
  </si>
  <si>
    <t>2007156E</t>
  </si>
  <si>
    <t>32960X2</t>
  </si>
  <si>
    <t>2007960E</t>
  </si>
  <si>
    <t>32060X2</t>
  </si>
  <si>
    <t>2007160E</t>
  </si>
  <si>
    <t>32964X2</t>
  </si>
  <si>
    <t>2007964E</t>
  </si>
  <si>
    <t>32064X2</t>
  </si>
  <si>
    <t>2007164E</t>
  </si>
  <si>
    <t>32968X2</t>
  </si>
  <si>
    <t>2007968E</t>
  </si>
  <si>
    <t>32972X2</t>
  </si>
  <si>
    <t>2007972E</t>
  </si>
  <si>
    <t>3007720E</t>
  </si>
  <si>
    <t>31038X2</t>
  </si>
  <si>
    <t>31068X2</t>
  </si>
  <si>
    <t>31080X2</t>
  </si>
  <si>
    <t>31084X2</t>
  </si>
  <si>
    <t>31088X2</t>
  </si>
  <si>
    <t>310/500X2</t>
  </si>
  <si>
    <t>71/500</t>
  </si>
  <si>
    <t>310/560X2</t>
  </si>
  <si>
    <t>71/560</t>
  </si>
  <si>
    <t>310/600X2</t>
  </si>
  <si>
    <t>71/600</t>
  </si>
  <si>
    <t>310/630X2</t>
  </si>
  <si>
    <t>71/630</t>
  </si>
  <si>
    <t>310/900X2</t>
  </si>
  <si>
    <t>71/900</t>
  </si>
  <si>
    <t>30244/SO</t>
  </si>
  <si>
    <t>32216/YB2</t>
  </si>
  <si>
    <t>7544E</t>
  </si>
  <si>
    <t>7548E</t>
  </si>
  <si>
    <t>T5FD32/YB</t>
  </si>
  <si>
    <t>TSFD040</t>
  </si>
  <si>
    <t>32311/YB2</t>
  </si>
  <si>
    <t>7611EK</t>
  </si>
  <si>
    <t>T5F060</t>
  </si>
  <si>
    <t>T5CD065</t>
  </si>
  <si>
    <t>T5CD070</t>
  </si>
  <si>
    <t>T5GD075</t>
  </si>
  <si>
    <t>7626E</t>
  </si>
  <si>
    <t>7634E</t>
  </si>
  <si>
    <t>807813E</t>
  </si>
  <si>
    <t>T2ED070</t>
  </si>
  <si>
    <t>7816E</t>
  </si>
  <si>
    <t>32318X2</t>
  </si>
  <si>
    <t>32321X3</t>
  </si>
  <si>
    <t>7728E</t>
  </si>
  <si>
    <t>306/33.2</t>
  </si>
  <si>
    <t>306/520</t>
  </si>
  <si>
    <t>77/520</t>
  </si>
  <si>
    <t>30208X2</t>
  </si>
  <si>
    <t>30209X3</t>
  </si>
  <si>
    <t>33113X2</t>
  </si>
  <si>
    <t>33114X2</t>
  </si>
  <si>
    <t>7814E</t>
  </si>
  <si>
    <t>7815E</t>
  </si>
  <si>
    <t>33115/YB2</t>
  </si>
  <si>
    <t>33216X2</t>
  </si>
  <si>
    <t>7817E</t>
  </si>
  <si>
    <t>30328X2</t>
  </si>
  <si>
    <t>30658/RS</t>
  </si>
  <si>
    <t>32880X2</t>
  </si>
  <si>
    <t>306/760</t>
  </si>
  <si>
    <t>78/760</t>
  </si>
  <si>
    <t>306/47</t>
  </si>
  <si>
    <t>306/48</t>
  </si>
  <si>
    <t>462/453X</t>
  </si>
  <si>
    <t>3984/3920</t>
  </si>
  <si>
    <t>56245/56662</t>
  </si>
  <si>
    <t>48290/48220</t>
  </si>
  <si>
    <t>7925E</t>
  </si>
  <si>
    <t>48393/48320</t>
  </si>
  <si>
    <t>7927E</t>
  </si>
  <si>
    <t>HM252343/10</t>
  </si>
  <si>
    <t>27303E</t>
  </si>
  <si>
    <t>27332E</t>
  </si>
  <si>
    <t>30306X2B</t>
  </si>
  <si>
    <t>30309X2B</t>
  </si>
  <si>
    <t>27709E</t>
  </si>
  <si>
    <t>30611B</t>
  </si>
  <si>
    <t>27711E</t>
  </si>
  <si>
    <t>350620D1</t>
  </si>
  <si>
    <t>350626D1</t>
  </si>
  <si>
    <t>350622X2D1</t>
  </si>
  <si>
    <t>350636D1</t>
  </si>
  <si>
    <t>350641D1</t>
  </si>
  <si>
    <t>350645D1</t>
  </si>
  <si>
    <t>350646D1</t>
  </si>
  <si>
    <t>350652D1</t>
  </si>
  <si>
    <t>350668D1</t>
  </si>
  <si>
    <t>350672D1</t>
  </si>
  <si>
    <t>350680D1</t>
  </si>
  <si>
    <t>350684X2D1</t>
  </si>
  <si>
    <t>350660D1</t>
  </si>
  <si>
    <t>LM241149NW/LM241110D</t>
  </si>
  <si>
    <t>32212R</t>
  </si>
  <si>
    <t>32215R</t>
  </si>
  <si>
    <t>32218R</t>
  </si>
  <si>
    <t>33114X2R</t>
  </si>
  <si>
    <t>30628R</t>
  </si>
  <si>
    <t>306/6223RM</t>
  </si>
  <si>
    <t>381072/C9</t>
  </si>
  <si>
    <t>77172U</t>
  </si>
  <si>
    <t>381096/C9</t>
  </si>
  <si>
    <t>77196U</t>
  </si>
  <si>
    <t>3810/500</t>
  </si>
  <si>
    <t>771/500</t>
  </si>
  <si>
    <t>3810/530</t>
  </si>
  <si>
    <t>771/530</t>
  </si>
  <si>
    <t>3810/600</t>
  </si>
  <si>
    <t>771/600</t>
  </si>
  <si>
    <t>3810/630</t>
  </si>
  <si>
    <t>771/630</t>
  </si>
  <si>
    <t>3810/710</t>
  </si>
  <si>
    <t>771/710</t>
  </si>
  <si>
    <t>381030X2</t>
  </si>
  <si>
    <t>381036X2</t>
  </si>
  <si>
    <t>381050/YB2</t>
  </si>
  <si>
    <t>381052X2</t>
  </si>
  <si>
    <t>381056X2</t>
  </si>
  <si>
    <t>381056/S1</t>
  </si>
  <si>
    <t>381060X2</t>
  </si>
  <si>
    <t>381088X2</t>
  </si>
  <si>
    <t>3811/560X2</t>
  </si>
  <si>
    <t>3811/660X2</t>
  </si>
  <si>
    <t>3806/650</t>
  </si>
  <si>
    <t>777/650C</t>
  </si>
  <si>
    <t>3806/650/C9</t>
  </si>
  <si>
    <t>777/650U</t>
  </si>
  <si>
    <t>3806/660</t>
  </si>
  <si>
    <t>777/660</t>
  </si>
  <si>
    <t>3806/750</t>
  </si>
  <si>
    <t>777/750</t>
  </si>
  <si>
    <t>380284X2</t>
  </si>
  <si>
    <t>380692/C9</t>
  </si>
  <si>
    <t>77892U</t>
  </si>
  <si>
    <t>48680DW/48620/48620D</t>
  </si>
  <si>
    <t>LM272248DW/LM272210/272210D</t>
  </si>
  <si>
    <t>R331978/L3319781/1331978-2</t>
  </si>
  <si>
    <t>3819/600X2</t>
  </si>
  <si>
    <t>779/600</t>
  </si>
  <si>
    <t>97192K</t>
  </si>
  <si>
    <t>351/500</t>
  </si>
  <si>
    <t>351/560</t>
  </si>
  <si>
    <t>351/600</t>
  </si>
  <si>
    <t>350210X2</t>
  </si>
  <si>
    <t>97210E</t>
  </si>
  <si>
    <t>350222X2</t>
  </si>
  <si>
    <t>97222E</t>
  </si>
  <si>
    <t>97512E</t>
  </si>
  <si>
    <t>97513E</t>
  </si>
  <si>
    <t>97514E</t>
  </si>
  <si>
    <t>97515E</t>
  </si>
  <si>
    <t>97516E</t>
  </si>
  <si>
    <t>97517E</t>
  </si>
  <si>
    <t>97518E</t>
  </si>
  <si>
    <t>97520E</t>
  </si>
  <si>
    <t>352220/YA</t>
  </si>
  <si>
    <t>352221/YA</t>
  </si>
  <si>
    <t>97524E</t>
  </si>
  <si>
    <t>97526E</t>
  </si>
  <si>
    <t>97528E</t>
  </si>
  <si>
    <t>97530E</t>
  </si>
  <si>
    <t>97532E</t>
  </si>
  <si>
    <t>97536K</t>
  </si>
  <si>
    <t>97540E</t>
  </si>
  <si>
    <t>350630/SO</t>
  </si>
  <si>
    <t>352960/X2-2</t>
  </si>
  <si>
    <t>3506/520</t>
  </si>
  <si>
    <t>977/520</t>
  </si>
  <si>
    <t>3510/710X2</t>
  </si>
  <si>
    <t>977/710</t>
  </si>
  <si>
    <t>306/720</t>
  </si>
  <si>
    <t>352014X2</t>
  </si>
  <si>
    <t>352220X2-2</t>
  </si>
  <si>
    <t>352222X2</t>
  </si>
  <si>
    <t>97522EK</t>
  </si>
  <si>
    <t>350626/C9</t>
  </si>
  <si>
    <t>97826U</t>
  </si>
  <si>
    <t>351072X2</t>
  </si>
  <si>
    <t>35108X2</t>
  </si>
  <si>
    <t>3529/1600X2</t>
  </si>
  <si>
    <t>HM236849/HM256810D</t>
  </si>
  <si>
    <t>EE181453/182351D</t>
  </si>
  <si>
    <t>3506/381</t>
  </si>
  <si>
    <t>3706/305.079</t>
  </si>
  <si>
    <t>187761K</t>
  </si>
  <si>
    <t>371180X2B/HCC9</t>
  </si>
  <si>
    <t>187780SU</t>
  </si>
  <si>
    <t>352220X2-3</t>
  </si>
  <si>
    <t>352226X2-3</t>
  </si>
  <si>
    <t>352216X2R/P4</t>
  </si>
  <si>
    <t>R32304</t>
  </si>
  <si>
    <t>LR306/33.02</t>
  </si>
  <si>
    <t>LR306/40.62</t>
  </si>
  <si>
    <t>LR306/46.673</t>
  </si>
  <si>
    <t>31160X2</t>
  </si>
  <si>
    <t>31856X2/96</t>
  </si>
  <si>
    <t>31976X2</t>
  </si>
  <si>
    <t>31984X2</t>
  </si>
  <si>
    <t>31992X2</t>
  </si>
  <si>
    <t>31996X2</t>
  </si>
  <si>
    <t>319/530X2</t>
  </si>
  <si>
    <t>10079/530</t>
  </si>
  <si>
    <t>319/710X2</t>
  </si>
  <si>
    <t>10079/710</t>
  </si>
  <si>
    <t>319/800X2</t>
  </si>
  <si>
    <t>10079/800</t>
  </si>
  <si>
    <t>319/900X2</t>
  </si>
  <si>
    <t>10079/900</t>
  </si>
  <si>
    <t>319/950X2</t>
  </si>
  <si>
    <t>10079/950</t>
  </si>
  <si>
    <t>381160/C2</t>
  </si>
  <si>
    <t>2G1077760</t>
  </si>
  <si>
    <t>381168/C2</t>
  </si>
  <si>
    <t>2G1077768</t>
  </si>
  <si>
    <t>3811/530</t>
  </si>
  <si>
    <t>10777/530</t>
  </si>
  <si>
    <t>3811/600</t>
  </si>
  <si>
    <t>10777/600</t>
  </si>
  <si>
    <t>3811/630</t>
  </si>
  <si>
    <t>10777/630</t>
  </si>
  <si>
    <t>3811/710</t>
  </si>
  <si>
    <t>10777/710</t>
  </si>
  <si>
    <t>3811/750</t>
  </si>
  <si>
    <t>10777/750</t>
  </si>
  <si>
    <t>3819/560</t>
  </si>
  <si>
    <t>10779/560</t>
  </si>
  <si>
    <t>3819/600</t>
  </si>
  <si>
    <t>10779/600</t>
  </si>
  <si>
    <t>3819/630</t>
  </si>
  <si>
    <t>10779/630</t>
  </si>
  <si>
    <t>3819/670</t>
  </si>
  <si>
    <t>10779/670</t>
  </si>
  <si>
    <t>3519/500</t>
  </si>
  <si>
    <t>10979/500</t>
  </si>
  <si>
    <t>3519/530</t>
  </si>
  <si>
    <t>10979/530</t>
  </si>
  <si>
    <t>3519/560</t>
  </si>
  <si>
    <t>10979/560</t>
  </si>
  <si>
    <t>3519/600</t>
  </si>
  <si>
    <t>10979/600</t>
  </si>
  <si>
    <t>3519/630</t>
  </si>
  <si>
    <t>10979/630</t>
  </si>
  <si>
    <t>3519/670</t>
  </si>
  <si>
    <t>10979/670</t>
  </si>
  <si>
    <t>3519/710</t>
  </si>
  <si>
    <t>10979/710</t>
  </si>
  <si>
    <t>3519/750</t>
  </si>
  <si>
    <t>10979/750</t>
  </si>
  <si>
    <t>3519/800</t>
  </si>
  <si>
    <t>10979/800</t>
  </si>
  <si>
    <t>3519/850</t>
  </si>
  <si>
    <t>10979/850</t>
  </si>
  <si>
    <t>3519/900</t>
  </si>
  <si>
    <t>10979/900</t>
  </si>
  <si>
    <t>3519/950</t>
  </si>
  <si>
    <t>10979/950</t>
  </si>
  <si>
    <t>3519/1120</t>
  </si>
  <si>
    <t>10979/1120</t>
  </si>
  <si>
    <t>2007119E</t>
  </si>
  <si>
    <t>32020/DF</t>
  </si>
  <si>
    <t>32022/DF</t>
  </si>
  <si>
    <t>352930X2D</t>
  </si>
  <si>
    <t>382034/C2</t>
  </si>
  <si>
    <t>2G2077134</t>
  </si>
  <si>
    <t>2077148E</t>
  </si>
  <si>
    <t>2077160E</t>
  </si>
  <si>
    <t>2077164E</t>
  </si>
  <si>
    <t>3820/950</t>
  </si>
  <si>
    <t>20771/950</t>
  </si>
  <si>
    <t>3820/1060</t>
  </si>
  <si>
    <t>20771/1060</t>
  </si>
  <si>
    <t>2097126E</t>
  </si>
  <si>
    <t>2097128E</t>
  </si>
  <si>
    <t>2097132E</t>
  </si>
  <si>
    <t>2097134E</t>
  </si>
  <si>
    <t>2097136E</t>
  </si>
  <si>
    <t>2097138E</t>
  </si>
  <si>
    <t>2097140E</t>
  </si>
  <si>
    <t>2097144E</t>
  </si>
  <si>
    <t>2097148E</t>
  </si>
  <si>
    <t>2097156E</t>
  </si>
  <si>
    <t>2097160E</t>
  </si>
  <si>
    <t>2097164E</t>
  </si>
  <si>
    <t>52952/YA</t>
  </si>
  <si>
    <t>2097964E</t>
  </si>
  <si>
    <t>2097968E</t>
  </si>
  <si>
    <t>2097972E</t>
  </si>
  <si>
    <t>3007217E</t>
  </si>
  <si>
    <t>02474/02420</t>
  </si>
  <si>
    <t>33281/33462</t>
  </si>
  <si>
    <t>33275/33462</t>
  </si>
  <si>
    <t>33262/33462</t>
  </si>
  <si>
    <t>33218X2</t>
  </si>
  <si>
    <t>33215X2</t>
  </si>
  <si>
    <t>7815KE</t>
  </si>
  <si>
    <t>33213/YB2</t>
  </si>
  <si>
    <t>33118X2</t>
  </si>
  <si>
    <t>33118/DF</t>
  </si>
  <si>
    <t>33116X2B</t>
  </si>
  <si>
    <t>27716E</t>
  </si>
  <si>
    <t>33116X2</t>
  </si>
  <si>
    <t>7716E</t>
  </si>
  <si>
    <t>33114X2B</t>
  </si>
  <si>
    <t>33113X2/YB</t>
  </si>
  <si>
    <t>7813Y</t>
  </si>
  <si>
    <t>33113X2/YA</t>
  </si>
  <si>
    <t>7813KE</t>
  </si>
  <si>
    <t>33018/DF</t>
  </si>
  <si>
    <t>32956X2/YB2</t>
  </si>
  <si>
    <t>2007956K</t>
  </si>
  <si>
    <t>32956X2</t>
  </si>
  <si>
    <t>32952X2/YB2</t>
  </si>
  <si>
    <t>32948/YB2</t>
  </si>
  <si>
    <t>32940X2/YA</t>
  </si>
  <si>
    <t>2007940K</t>
  </si>
  <si>
    <t>329/500X2</t>
  </si>
  <si>
    <t>20079/500</t>
  </si>
  <si>
    <t>7556E</t>
  </si>
  <si>
    <t>32244X2</t>
  </si>
  <si>
    <t>33281/33472</t>
  </si>
  <si>
    <t>32226X2</t>
  </si>
  <si>
    <t>32220X2</t>
  </si>
  <si>
    <t>32218X2</t>
  </si>
  <si>
    <t>32218/Z</t>
  </si>
  <si>
    <t>7518EZ</t>
  </si>
  <si>
    <t>32216X2/HV</t>
  </si>
  <si>
    <t>7516X</t>
  </si>
  <si>
    <t>32216X2</t>
  </si>
  <si>
    <t>32215X2</t>
  </si>
  <si>
    <t>32088X2/YA</t>
  </si>
  <si>
    <t>32088X2</t>
  </si>
  <si>
    <t>32064/YA</t>
  </si>
  <si>
    <t>32060X2/C4</t>
  </si>
  <si>
    <t>4G2007160</t>
  </si>
  <si>
    <t>32048/YA</t>
  </si>
  <si>
    <t>32048/HC</t>
  </si>
  <si>
    <t>2007148SY</t>
  </si>
  <si>
    <t>32044X2/C2</t>
  </si>
  <si>
    <t>2G2007144</t>
  </si>
  <si>
    <t>32044/YA</t>
  </si>
  <si>
    <t>32040/YA</t>
  </si>
  <si>
    <t>32038X2/HV</t>
  </si>
  <si>
    <t>2007138N</t>
  </si>
  <si>
    <t>32026/Z1</t>
  </si>
  <si>
    <t>2007126EZ1</t>
  </si>
  <si>
    <t>32210X2</t>
  </si>
  <si>
    <t>32205B</t>
  </si>
  <si>
    <t>7505EK</t>
  </si>
  <si>
    <t>32021/YA</t>
  </si>
  <si>
    <t>2007121EK</t>
  </si>
  <si>
    <t>32010/YB2</t>
  </si>
  <si>
    <t>2007110EK</t>
  </si>
  <si>
    <t>32007X1/YB</t>
  </si>
  <si>
    <t>7707EY</t>
  </si>
  <si>
    <t>32007X1</t>
  </si>
  <si>
    <t>7707E</t>
  </si>
  <si>
    <t>319/560X2</t>
  </si>
  <si>
    <t>10079/560</t>
  </si>
  <si>
    <t>318/850X2</t>
  </si>
  <si>
    <t>10078/850</t>
  </si>
  <si>
    <t>30307B</t>
  </si>
  <si>
    <t>30306B/HC3YB2</t>
  </si>
  <si>
    <t>7256E</t>
  </si>
  <si>
    <t>7252E</t>
  </si>
  <si>
    <t>7248E</t>
  </si>
  <si>
    <t>30244/S0</t>
  </si>
  <si>
    <t>7244ET</t>
  </si>
  <si>
    <t>30230X2</t>
  </si>
  <si>
    <t>7230K</t>
  </si>
  <si>
    <t>30226X2</t>
  </si>
  <si>
    <t>30220X2/HV</t>
  </si>
  <si>
    <t>7220X</t>
  </si>
  <si>
    <t>30219X2/HV</t>
  </si>
  <si>
    <t>7219X</t>
  </si>
  <si>
    <t>30218X2</t>
  </si>
  <si>
    <t>30215/S0</t>
  </si>
  <si>
    <t>7215ET</t>
  </si>
  <si>
    <t>30214/T</t>
  </si>
  <si>
    <t>7214M</t>
  </si>
  <si>
    <t>32016X2/HV</t>
  </si>
  <si>
    <t>E2007116T</t>
  </si>
  <si>
    <t>32015X2/HV</t>
  </si>
  <si>
    <t>2007115X</t>
  </si>
  <si>
    <t>32012X2/HVS0</t>
  </si>
  <si>
    <t>2007112XT</t>
  </si>
  <si>
    <t>30209/HP</t>
  </si>
  <si>
    <t>7209PN</t>
  </si>
  <si>
    <t>30207/YB2</t>
  </si>
  <si>
    <t>302/32</t>
  </si>
  <si>
    <t>72/32</t>
  </si>
  <si>
    <t>TR101204</t>
  </si>
  <si>
    <t>T25590/25523</t>
  </si>
  <si>
    <t>T25590/25520</t>
  </si>
  <si>
    <t>T25580/25520</t>
  </si>
  <si>
    <t>T5FD032/YB</t>
  </si>
  <si>
    <t>76/32BK</t>
  </si>
  <si>
    <t>T5FD032</t>
  </si>
  <si>
    <t>T5FB040</t>
  </si>
  <si>
    <t>T5FB030</t>
  </si>
  <si>
    <t>T2ED045</t>
  </si>
  <si>
    <t>R30206</t>
  </si>
  <si>
    <t>877206E</t>
  </si>
  <si>
    <t>R30204</t>
  </si>
  <si>
    <t>877204E</t>
  </si>
  <si>
    <t>NA95500/95927CD</t>
  </si>
  <si>
    <t>97925TK</t>
  </si>
  <si>
    <t>NA48685SW/48620D</t>
  </si>
  <si>
    <t>NA329120/329173D</t>
  </si>
  <si>
    <t>3-769</t>
  </si>
  <si>
    <t>M88048/M88010</t>
  </si>
  <si>
    <t>M86649A/M86610A</t>
  </si>
  <si>
    <t>M86649/M86610</t>
  </si>
  <si>
    <t>M86648A/M86610</t>
  </si>
  <si>
    <t>M86647/M86610</t>
  </si>
  <si>
    <t>M86643/M86610</t>
  </si>
  <si>
    <t>M84249/M84210</t>
  </si>
  <si>
    <t>M802048/M802011</t>
  </si>
  <si>
    <t>M349549/M349510</t>
  </si>
  <si>
    <t>M348449/M348410</t>
  </si>
  <si>
    <t>M280049D/M280010</t>
  </si>
  <si>
    <t>879/595</t>
  </si>
  <si>
    <t>M278749D/M278710</t>
  </si>
  <si>
    <t>3-754</t>
  </si>
  <si>
    <t>M270749/M270710</t>
  </si>
  <si>
    <t>M267849/M268710</t>
  </si>
  <si>
    <t>M255449/M255410</t>
  </si>
  <si>
    <t>M252349DW/252310</t>
  </si>
  <si>
    <t>M252349D/M252310</t>
  </si>
  <si>
    <t>M252349/M252310</t>
  </si>
  <si>
    <t>M249749/M249710</t>
  </si>
  <si>
    <t>M244249/M244210</t>
  </si>
  <si>
    <t>M241547/M241510</t>
  </si>
  <si>
    <t>M238840/M238810D</t>
  </si>
  <si>
    <t>M236849/M236810</t>
  </si>
  <si>
    <t>M236848/M236810</t>
  </si>
  <si>
    <t>M224749/M224710</t>
  </si>
  <si>
    <t>M201047/M201011</t>
  </si>
  <si>
    <t>M201047/M102011</t>
  </si>
  <si>
    <t>M12649/M12610</t>
  </si>
  <si>
    <t>M12648/M12610</t>
  </si>
  <si>
    <t>LY-3004/P2</t>
  </si>
  <si>
    <t>B3-709(B867710)</t>
  </si>
  <si>
    <t>LY-3003/P2</t>
  </si>
  <si>
    <t>B3-708(B967710)</t>
  </si>
  <si>
    <t>LY-3001/P2</t>
  </si>
  <si>
    <t>B3-706(B867712)</t>
  </si>
  <si>
    <t>LR306/56.62</t>
  </si>
  <si>
    <t>LM78349/LM78310</t>
  </si>
  <si>
    <t>LM78349/LM48510A</t>
  </si>
  <si>
    <t>LM772748/772710</t>
  </si>
  <si>
    <t>LM757049/LM757010</t>
  </si>
  <si>
    <t>LM742749/LM742714</t>
  </si>
  <si>
    <t>LM742745/LM742710</t>
  </si>
  <si>
    <t>LM739749/LM739710</t>
  </si>
  <si>
    <t>LM68149/LM68111</t>
  </si>
  <si>
    <t>LM68149/LM68110</t>
  </si>
  <si>
    <t>LM67049A/LM67010</t>
  </si>
  <si>
    <t>LM67048/LM67010</t>
  </si>
  <si>
    <t>LM654649/LM654610</t>
  </si>
  <si>
    <t>LM607049A/LM607010</t>
  </si>
  <si>
    <t>LM607048/LM607010</t>
  </si>
  <si>
    <t>LM607045/LM607010</t>
  </si>
  <si>
    <t>LM603049/LM603014</t>
  </si>
  <si>
    <t>LM603049/LM603012</t>
  </si>
  <si>
    <t>LM603049/LM603011</t>
  </si>
  <si>
    <t>LM545849/LM545810</t>
  </si>
  <si>
    <t>LM522546/LM522510</t>
  </si>
  <si>
    <t>LM501349/LM501414</t>
  </si>
  <si>
    <t>LM501349/LM501314</t>
  </si>
  <si>
    <t>LM501349/LM501311</t>
  </si>
  <si>
    <t>LM501349/LM501310</t>
  </si>
  <si>
    <t>LM48549X/LM48510</t>
  </si>
  <si>
    <t>LM48548A/LM48510</t>
  </si>
  <si>
    <t>LM48548/LM48511A</t>
  </si>
  <si>
    <t>LM48548/LM48510A</t>
  </si>
  <si>
    <t>LM48548/LM48510</t>
  </si>
  <si>
    <t>LM451349A/LM451310</t>
  </si>
  <si>
    <t>LM451349/LM451310</t>
  </si>
  <si>
    <t>LM451345/LM451310</t>
  </si>
  <si>
    <t>LM377449/LM377410</t>
  </si>
  <si>
    <t>LM300849/LM300811</t>
  </si>
  <si>
    <t>LM29749/LM29711</t>
  </si>
  <si>
    <t>LM29749/LM29710</t>
  </si>
  <si>
    <t>LM29748/LM29748</t>
  </si>
  <si>
    <t>LM29748/LM29710</t>
  </si>
  <si>
    <t>LM272249/LM272210</t>
  </si>
  <si>
    <t>L476549/L476510</t>
  </si>
  <si>
    <t>L467549/L467510</t>
  </si>
  <si>
    <t>L45449/L45410</t>
  </si>
  <si>
    <t>L44649/L44610</t>
  </si>
  <si>
    <t>L44649/L44120</t>
  </si>
  <si>
    <t>L44643L/L44610</t>
  </si>
  <si>
    <t>L44643/L44610</t>
  </si>
  <si>
    <t>L44642/L44610</t>
  </si>
  <si>
    <t>L44640/L44610</t>
  </si>
  <si>
    <t>L432348/L432310</t>
  </si>
  <si>
    <t>L357049NW/L3570100</t>
  </si>
  <si>
    <t>37961K</t>
  </si>
  <si>
    <t>L357049/L357010D</t>
  </si>
  <si>
    <t>2G37961K</t>
  </si>
  <si>
    <t>L357049/L357010</t>
  </si>
  <si>
    <t>L225849/L225818</t>
  </si>
  <si>
    <t>L225842/L225810</t>
  </si>
  <si>
    <t>L183449/L183410</t>
  </si>
  <si>
    <t>L183448/L183410</t>
  </si>
  <si>
    <t>L163149/L163110D</t>
  </si>
  <si>
    <t>L163149/L163110</t>
  </si>
  <si>
    <t>KM88048/KM88010</t>
  </si>
  <si>
    <t>KM802048/KM802011</t>
  </si>
  <si>
    <t>KM349547/KM349510</t>
  </si>
  <si>
    <t>KM348449/KM348410</t>
  </si>
  <si>
    <t>KM249747/KM249710</t>
  </si>
  <si>
    <t>KLM501349/KLM501314</t>
  </si>
  <si>
    <t>KLM48548A/KLM48511A</t>
  </si>
  <si>
    <t>KLM300849/KLM300811</t>
  </si>
  <si>
    <t>KLM300849/KLM30081</t>
  </si>
  <si>
    <t>KLM29749/KLM29710</t>
  </si>
  <si>
    <t>KJM911242/KHM911210</t>
  </si>
  <si>
    <t>KJM822049/KJM822010</t>
  </si>
  <si>
    <t>KJM734449/KJM734410</t>
  </si>
  <si>
    <t>KJM716649/KJM716610</t>
  </si>
  <si>
    <t>KJM714249/KJM714210-3</t>
  </si>
  <si>
    <t>LM249747NW/LM2497100</t>
  </si>
  <si>
    <t>37951K</t>
  </si>
  <si>
    <t>LM241149/LM241110</t>
  </si>
  <si>
    <t>LM201047/LM201011</t>
  </si>
  <si>
    <t>LM12749/LM12711</t>
  </si>
  <si>
    <t>LM12749/LM12710</t>
  </si>
  <si>
    <t>LM12748/LM12710</t>
  </si>
  <si>
    <t>LM11949/LM11910</t>
  </si>
  <si>
    <t>LM11749/LM11710</t>
  </si>
  <si>
    <t>LM10497A/LM104911</t>
  </si>
  <si>
    <t>LM104949E/LM104911</t>
  </si>
  <si>
    <t>LM104949/LM104912</t>
  </si>
  <si>
    <t>LM104949/LM104911A</t>
  </si>
  <si>
    <t>LM104949/LM104911</t>
  </si>
  <si>
    <t>LM104949/LM104910</t>
  </si>
  <si>
    <t>LM104949/JLM104910</t>
  </si>
  <si>
    <t>LM102949/LM102911</t>
  </si>
  <si>
    <t>LM102949/LM102910</t>
  </si>
  <si>
    <t>LL778149/LL778110</t>
  </si>
  <si>
    <t>LL687949/LL687910</t>
  </si>
  <si>
    <t>LL225749/LL225710</t>
  </si>
  <si>
    <t>LL217849/LL217810</t>
  </si>
  <si>
    <t>L865547/L865512</t>
  </si>
  <si>
    <t>L860049/L860010</t>
  </si>
  <si>
    <t>L853049/L853010</t>
  </si>
  <si>
    <t>L68149/L68111</t>
  </si>
  <si>
    <t>L68149/L68110</t>
  </si>
  <si>
    <t>L610549/L610510</t>
  </si>
  <si>
    <t>L610515/L610510</t>
  </si>
  <si>
    <t>L521949/L521910</t>
  </si>
  <si>
    <t>KJM714249/KJM714210</t>
  </si>
  <si>
    <t>KJM511946/KJM511910</t>
  </si>
  <si>
    <t>KJLM104948/KJLM104910</t>
  </si>
  <si>
    <t>KJL848849/KJL848811</t>
  </si>
  <si>
    <t>KJHM534149/KJHM534110</t>
  </si>
  <si>
    <t>KJH211749/KJH211710</t>
  </si>
  <si>
    <t>KHM926740/KHM926710</t>
  </si>
  <si>
    <t>KHM911242/KHM911210</t>
  </si>
  <si>
    <t>KHM237545/KHM237510</t>
  </si>
  <si>
    <t>KHM237542/KHM237510</t>
  </si>
  <si>
    <t>KHH437549/KHH437510</t>
  </si>
  <si>
    <t>KH242649/KH242610</t>
  </si>
  <si>
    <t>HM926747/HM926710</t>
  </si>
  <si>
    <t>HM911245/HM911210</t>
  </si>
  <si>
    <t>HM903249A/HM903210</t>
  </si>
  <si>
    <t>HM903249/HM903210</t>
  </si>
  <si>
    <t>HM89449/HM89411</t>
  </si>
  <si>
    <t>HM89449/HM803110</t>
  </si>
  <si>
    <t>HM89446/HM89446</t>
  </si>
  <si>
    <t>HM89446/HM89410</t>
  </si>
  <si>
    <t>HM89444/HM89410</t>
  </si>
  <si>
    <t>HM89443/HM89410</t>
  </si>
  <si>
    <t>HM89440/HM89410</t>
  </si>
  <si>
    <t>HM88649/HM88610</t>
  </si>
  <si>
    <t>HM88648A/HM903210</t>
  </si>
  <si>
    <t>HM88542/HM88510</t>
  </si>
  <si>
    <t>HM813849/HM813811</t>
  </si>
  <si>
    <t>HM813846/HM813811</t>
  </si>
  <si>
    <t>HM813843/HM813811</t>
  </si>
  <si>
    <t>HM813842/HM813811</t>
  </si>
  <si>
    <t>HM813841/HM813811</t>
  </si>
  <si>
    <t>HM807046/HM807010</t>
  </si>
  <si>
    <t>HM807040/HM807010</t>
  </si>
  <si>
    <t>HM803149/HM803112</t>
  </si>
  <si>
    <t>HM803149/HM803110</t>
  </si>
  <si>
    <t>HM803149/10</t>
  </si>
  <si>
    <t>HM803146/HM803110</t>
  </si>
  <si>
    <t>HM803145/HM803110</t>
  </si>
  <si>
    <t>HM801346X/HM801310</t>
  </si>
  <si>
    <t>HM617049/HM617010</t>
  </si>
  <si>
    <t>HM603049/HM603012</t>
  </si>
  <si>
    <t>HM518445/LM518410</t>
  </si>
  <si>
    <t>HM518445/HM518410</t>
  </si>
  <si>
    <t>HM516449/HM516410</t>
  </si>
  <si>
    <t>HM266449/HM266410</t>
  </si>
  <si>
    <t>HH923649/HH923610</t>
  </si>
  <si>
    <t>HH506348/HH506310</t>
  </si>
  <si>
    <t>HH249949/HH249910</t>
  </si>
  <si>
    <t>HH234048/HH234010</t>
  </si>
  <si>
    <t>HH224346/HH224310</t>
  </si>
  <si>
    <t>HH224340/HH224310</t>
  </si>
  <si>
    <t>HH224335/HH224310</t>
  </si>
  <si>
    <t>HH221449/HH221410</t>
  </si>
  <si>
    <t>HH221434/HH221410</t>
  </si>
  <si>
    <t>HH221430/HH221410</t>
  </si>
  <si>
    <t>H917840-90010</t>
  </si>
  <si>
    <t>H913849/H913810</t>
  </si>
  <si>
    <t>H913842/H913810</t>
  </si>
  <si>
    <t>H715343/H715311</t>
  </si>
  <si>
    <t>H715341/H715311</t>
  </si>
  <si>
    <t>H715340/H715311</t>
  </si>
  <si>
    <t>H715336/H715311</t>
  </si>
  <si>
    <t>H715334/H715310</t>
  </si>
  <si>
    <t>H715332/H715311</t>
  </si>
  <si>
    <t>H714345/H715311</t>
  </si>
  <si>
    <t>H414249/H414210</t>
  </si>
  <si>
    <t>H414245/H414210</t>
  </si>
  <si>
    <t>H414242/H414210</t>
  </si>
  <si>
    <t>H414235/H414210</t>
  </si>
  <si>
    <t>H247549/247510</t>
  </si>
  <si>
    <t>H247535/H247510</t>
  </si>
  <si>
    <t>H242649/H242610</t>
  </si>
  <si>
    <t>H239649/H239612</t>
  </si>
  <si>
    <t>H221647NA/K426864</t>
  </si>
  <si>
    <t>EE941205X/EE941950</t>
  </si>
  <si>
    <t>EE923095/EE923175</t>
  </si>
  <si>
    <t>EE911600/EE912400</t>
  </si>
  <si>
    <t>EE843220/EE843290</t>
  </si>
  <si>
    <t>EE822100/EE822175</t>
  </si>
  <si>
    <t>EE790120/EE790221</t>
  </si>
  <si>
    <t>EE790114/EE790221</t>
  </si>
  <si>
    <t>EE763330/EE763410</t>
  </si>
  <si>
    <t>EE755285/EE755360</t>
  </si>
  <si>
    <t>EE755280/EE755360</t>
  </si>
  <si>
    <t>EE752300/EE752380</t>
  </si>
  <si>
    <t>EE724120/EE724195</t>
  </si>
  <si>
    <t>EE722110/EE722185</t>
  </si>
  <si>
    <t>EE655270/EE655345</t>
  </si>
  <si>
    <t>EE649240/EE649310</t>
  </si>
  <si>
    <t>EE649239/EE649310</t>
  </si>
  <si>
    <t>EE640192/EE640260</t>
  </si>
  <si>
    <t>EE526132/EE526190</t>
  </si>
  <si>
    <t>EE430900/EE431575</t>
  </si>
  <si>
    <t>EE430888/EE431575</t>
  </si>
  <si>
    <t>EE420751/EE421437</t>
  </si>
  <si>
    <t>EE390095/EE390200</t>
  </si>
  <si>
    <t>EE350750/EE351687/P6</t>
  </si>
  <si>
    <t>EE333140/EE338197</t>
  </si>
  <si>
    <t>EE333137/EE333197</t>
  </si>
  <si>
    <t>EE328167/EE328269</t>
  </si>
  <si>
    <t>EE295950/EE295193</t>
  </si>
  <si>
    <t>EE295110/EE295193</t>
  </si>
  <si>
    <t>EE295102/EE295193</t>
  </si>
  <si>
    <t>EE291250/EE291750</t>
  </si>
  <si>
    <t>EE291201/EE291749</t>
  </si>
  <si>
    <t>3-736</t>
  </si>
  <si>
    <t>EE277455/EE277565</t>
  </si>
  <si>
    <t>EE275108/EE275155</t>
  </si>
  <si>
    <t>EE275105/EE275155</t>
  </si>
  <si>
    <t>EE275100/EE275155</t>
  </si>
  <si>
    <t>EE275095/EE275155</t>
  </si>
  <si>
    <t>EE244180/EE244235</t>
  </si>
  <si>
    <t>EE243196/EE243250</t>
  </si>
  <si>
    <t>EE243192/EE243250</t>
  </si>
  <si>
    <t>EE243190/EE243250</t>
  </si>
  <si>
    <t>EE241701/EE242375</t>
  </si>
  <si>
    <t>EE234160/EE234220</t>
  </si>
  <si>
    <t>EE234156/EE234215</t>
  </si>
  <si>
    <t>EE231462/EE232025</t>
  </si>
  <si>
    <t>EE221026/EE221575</t>
  </si>
  <si>
    <t>EE203137/EE203190</t>
  </si>
  <si>
    <t>EE170975/EE171450</t>
  </si>
  <si>
    <t>EE170950/EE171436</t>
  </si>
  <si>
    <t>EE168400/EE168500/P5</t>
  </si>
  <si>
    <t>D79/1016</t>
  </si>
  <si>
    <t>EE168400/EE168500</t>
  </si>
  <si>
    <t>EE161400/EE161850</t>
  </si>
  <si>
    <t>EE161363/EE161900</t>
  </si>
  <si>
    <t>EE161300/EE161850</t>
  </si>
  <si>
    <t>EE134102/EE134143</t>
  </si>
  <si>
    <t>EE132084/EE132125</t>
  </si>
  <si>
    <t>EE130902/EE131400</t>
  </si>
  <si>
    <t>EE130889/EE131400</t>
  </si>
  <si>
    <t>EE130851/EE131400</t>
  </si>
  <si>
    <t>EE128111/EE128160</t>
  </si>
  <si>
    <t>EE107060/EE107105</t>
  </si>
  <si>
    <t>88900/88126</t>
  </si>
  <si>
    <t>87750/87111</t>
  </si>
  <si>
    <t>87737/87111</t>
  </si>
  <si>
    <t>869/854</t>
  </si>
  <si>
    <t>86650/86100</t>
  </si>
  <si>
    <t>866/854</t>
  </si>
  <si>
    <t>864/854</t>
  </si>
  <si>
    <t>861/854D</t>
  </si>
  <si>
    <t>861/854</t>
  </si>
  <si>
    <t>8578/8520DC</t>
  </si>
  <si>
    <t>8578/8520</t>
  </si>
  <si>
    <t>8575/8520</t>
  </si>
  <si>
    <t>8573/8520</t>
  </si>
  <si>
    <t>857/854</t>
  </si>
  <si>
    <t>855/854B</t>
  </si>
  <si>
    <t>855/854</t>
  </si>
  <si>
    <t>850/832</t>
  </si>
  <si>
    <t>842/832</t>
  </si>
  <si>
    <t>841/832</t>
  </si>
  <si>
    <t>838/832</t>
  </si>
  <si>
    <t>82576/82950</t>
  </si>
  <si>
    <t>82562/82932D</t>
  </si>
  <si>
    <t>82550/82932D</t>
  </si>
  <si>
    <t>82550/82050</t>
  </si>
  <si>
    <t>813/832</t>
  </si>
  <si>
    <t>80385/80325</t>
  </si>
  <si>
    <t>802048/802011</t>
  </si>
  <si>
    <t>799/792</t>
  </si>
  <si>
    <t>795/792</t>
  </si>
  <si>
    <t>787/772</t>
  </si>
  <si>
    <t>786/772</t>
  </si>
  <si>
    <t>783/772</t>
  </si>
  <si>
    <t>78250/78551</t>
  </si>
  <si>
    <t>782/772</t>
  </si>
  <si>
    <t>780/772B</t>
  </si>
  <si>
    <t>780/772</t>
  </si>
  <si>
    <t>779/772</t>
  </si>
  <si>
    <t>778/772</t>
  </si>
  <si>
    <t>77375/77675</t>
  </si>
  <si>
    <t>77350/77675</t>
  </si>
  <si>
    <t>760/752</t>
  </si>
  <si>
    <t>758/752</t>
  </si>
  <si>
    <t>757/752</t>
  </si>
  <si>
    <t>756A/752</t>
  </si>
  <si>
    <t>755/752</t>
  </si>
  <si>
    <t>750/742</t>
  </si>
  <si>
    <t>749/742</t>
  </si>
  <si>
    <t>745S/742</t>
  </si>
  <si>
    <t>745A/742</t>
  </si>
  <si>
    <t>74550/74850</t>
  </si>
  <si>
    <t>74537/74850</t>
  </si>
  <si>
    <t>74500/74850</t>
  </si>
  <si>
    <t>744/742</t>
  </si>
  <si>
    <t>740/742</t>
  </si>
  <si>
    <t>72200/72487</t>
  </si>
  <si>
    <t>71455/71750</t>
  </si>
  <si>
    <t>71453/71750</t>
  </si>
  <si>
    <t>71450/71750</t>
  </si>
  <si>
    <t>71425/71750</t>
  </si>
  <si>
    <t>71412/71750</t>
  </si>
  <si>
    <t>687/672D</t>
  </si>
  <si>
    <t>687/672</t>
  </si>
  <si>
    <t>685/672</t>
  </si>
  <si>
    <t>68450/68712</t>
  </si>
  <si>
    <t>683/672</t>
  </si>
  <si>
    <t>681A/672</t>
  </si>
  <si>
    <t>67989/67920</t>
  </si>
  <si>
    <t>67985/67920</t>
  </si>
  <si>
    <t>67983/67920</t>
  </si>
  <si>
    <t>679/672</t>
  </si>
  <si>
    <t>67885/67820</t>
  </si>
  <si>
    <t>67884/67820</t>
  </si>
  <si>
    <t>67883CL4/67820CL4</t>
  </si>
  <si>
    <t>67790/67720</t>
  </si>
  <si>
    <t>67780/67720</t>
  </si>
  <si>
    <t>677/672</t>
  </si>
  <si>
    <t>JM822049/JM822010</t>
  </si>
  <si>
    <t>JM734449/JM734410</t>
  </si>
  <si>
    <t>JM716649/JM716610</t>
  </si>
  <si>
    <t>JM714249/JM714210</t>
  </si>
  <si>
    <t>JM515649/JM515610</t>
  </si>
  <si>
    <t>JM511946/JM511910</t>
  </si>
  <si>
    <t>JM511910/JM511946</t>
  </si>
  <si>
    <t>JM207049/JM207010</t>
  </si>
  <si>
    <t>JM205149/JM205110</t>
  </si>
  <si>
    <t>JLM813049/JLM813010</t>
  </si>
  <si>
    <t>JLM714249/JLM714210</t>
  </si>
  <si>
    <t>JLM714149/JLM714210</t>
  </si>
  <si>
    <t>JLM506849/JLM506810</t>
  </si>
  <si>
    <t>JLM506848/JLM506810</t>
  </si>
  <si>
    <t>JLM3939/JLM3968</t>
  </si>
  <si>
    <t>JLM104948EX/JLM104910</t>
  </si>
  <si>
    <t>JLM104948/JM104910</t>
  </si>
  <si>
    <t>JLM104948/JLM104910</t>
  </si>
  <si>
    <t>JLM104948-N/JLM104910</t>
  </si>
  <si>
    <t>JL819349/JL819310</t>
  </si>
  <si>
    <t>JL69349/JL69310</t>
  </si>
  <si>
    <t>JL68149/JL68111-Z1</t>
  </si>
  <si>
    <t>JL68145/JL68111</t>
  </si>
  <si>
    <t>JHM840449/JHM840410</t>
  </si>
  <si>
    <t>JHM522649/JHM522610</t>
  </si>
  <si>
    <t>JHM318448/JHM318410</t>
  </si>
  <si>
    <t>JH307710/JH307749</t>
  </si>
  <si>
    <t>JH211749/JH211710</t>
  </si>
  <si>
    <t>HM959649/HM959618</t>
  </si>
  <si>
    <t>3-770S</t>
  </si>
  <si>
    <t>HM932145/HH932110</t>
  </si>
  <si>
    <t>HM262749/HM262710</t>
  </si>
  <si>
    <t>HM261049/HM261010</t>
  </si>
  <si>
    <t>HM259049/HM250010</t>
  </si>
  <si>
    <t>HM256849/HM256810</t>
  </si>
  <si>
    <t>HM252348/HM252310</t>
  </si>
  <si>
    <t>HM252343/HM252310</t>
  </si>
  <si>
    <t>HM237545/HM237510</t>
  </si>
  <si>
    <t>HM237542/HM237510</t>
  </si>
  <si>
    <t>HM237535/HM237510</t>
  </si>
  <si>
    <t>HM231149/HM231110</t>
  </si>
  <si>
    <t>HM221449/HM221410</t>
  </si>
  <si>
    <t>HM220149/HM220110</t>
  </si>
  <si>
    <t>HM218248/HM518410</t>
  </si>
  <si>
    <t>HM218248/HM218210</t>
  </si>
  <si>
    <t>HM218238/HM218210</t>
  </si>
  <si>
    <t>HM212049X/HM212011</t>
  </si>
  <si>
    <t>HM212049/HM212011</t>
  </si>
  <si>
    <t>HM212049/HM212010</t>
  </si>
  <si>
    <t>HM212047A/HM212011</t>
  </si>
  <si>
    <t>HM212047/HM212011</t>
  </si>
  <si>
    <t>HM212047/HM212010</t>
  </si>
  <si>
    <t>HM212046/HM212011</t>
  </si>
  <si>
    <t>HM212044/HM212011</t>
  </si>
  <si>
    <t>HM212044/HM212010</t>
  </si>
  <si>
    <t>HM212017/HM212011</t>
  </si>
  <si>
    <t>HH926749/HH926710</t>
  </si>
  <si>
    <t>EE107057/EE107105</t>
  </si>
  <si>
    <t>E323166D/323290</t>
  </si>
  <si>
    <t>99600/99100</t>
  </si>
  <si>
    <t>99587/99100</t>
  </si>
  <si>
    <t>99575/99102CD</t>
  </si>
  <si>
    <t>99575/99100</t>
  </si>
  <si>
    <t>99550/99100</t>
  </si>
  <si>
    <t>995/394A</t>
  </si>
  <si>
    <t>98400/98788</t>
  </si>
  <si>
    <t>98350/98788</t>
  </si>
  <si>
    <t>96925/96140</t>
  </si>
  <si>
    <t>96900/96140</t>
  </si>
  <si>
    <t>96845/96140</t>
  </si>
  <si>
    <t>95525/95925</t>
  </si>
  <si>
    <t>95500/95925</t>
  </si>
  <si>
    <t>95475/95925</t>
  </si>
  <si>
    <t>953566/3030517</t>
  </si>
  <si>
    <t>94700/94113</t>
  </si>
  <si>
    <t>94649/94113</t>
  </si>
  <si>
    <t>94637/94113</t>
  </si>
  <si>
    <t>941/932</t>
  </si>
  <si>
    <t>9385/9321</t>
  </si>
  <si>
    <t>93825/93125</t>
  </si>
  <si>
    <t>93812/93125</t>
  </si>
  <si>
    <t>93800/93125</t>
  </si>
  <si>
    <t>9380/9321</t>
  </si>
  <si>
    <t>938/932</t>
  </si>
  <si>
    <t>93787/93125</t>
  </si>
  <si>
    <t>93775/93125</t>
  </si>
  <si>
    <t>93750/93126</t>
  </si>
  <si>
    <t>936/932</t>
  </si>
  <si>
    <t>9285/9220</t>
  </si>
  <si>
    <t>9185/9121</t>
  </si>
  <si>
    <t>898/892</t>
  </si>
  <si>
    <t>896/892D</t>
  </si>
  <si>
    <t>97528K</t>
  </si>
  <si>
    <t>896/892</t>
  </si>
  <si>
    <t>89440/89410</t>
  </si>
  <si>
    <t>88925/88128</t>
  </si>
  <si>
    <t>67390/67324</t>
  </si>
  <si>
    <t>67390/67322</t>
  </si>
  <si>
    <t>67388/67322</t>
  </si>
  <si>
    <t>665A/653</t>
  </si>
  <si>
    <t>665/653</t>
  </si>
  <si>
    <t>663/653</t>
  </si>
  <si>
    <t>663/652</t>
  </si>
  <si>
    <t>66225/66462</t>
  </si>
  <si>
    <t>661/653</t>
  </si>
  <si>
    <t>661/635</t>
  </si>
  <si>
    <t>659/653</t>
  </si>
  <si>
    <t>659/652</t>
  </si>
  <si>
    <t>6580/6535A</t>
  </si>
  <si>
    <t>6580/6535</t>
  </si>
  <si>
    <t>658/653X</t>
  </si>
  <si>
    <t>6575/6535</t>
  </si>
  <si>
    <t>6559/6535</t>
  </si>
  <si>
    <t>655/653</t>
  </si>
  <si>
    <t>65231/65500</t>
  </si>
  <si>
    <t>65225/65500</t>
  </si>
  <si>
    <t>65212/65500</t>
  </si>
  <si>
    <t>65200/65500</t>
  </si>
  <si>
    <t>6460/6420</t>
  </si>
  <si>
    <t>6454/6420</t>
  </si>
  <si>
    <t>64450/64700</t>
  </si>
  <si>
    <t>644/633</t>
  </si>
  <si>
    <t>641/633</t>
  </si>
  <si>
    <t>639/633</t>
  </si>
  <si>
    <t>6379/6320</t>
  </si>
  <si>
    <t>6376/6320</t>
  </si>
  <si>
    <t>637/633</t>
  </si>
  <si>
    <t>635/632</t>
  </si>
  <si>
    <t>6280/6220</t>
  </si>
  <si>
    <t>621/612</t>
  </si>
  <si>
    <t>6155/6420</t>
  </si>
  <si>
    <t>599X/593X</t>
  </si>
  <si>
    <t>598A/593X</t>
  </si>
  <si>
    <t>598A/592A</t>
  </si>
  <si>
    <t>598/592XE</t>
  </si>
  <si>
    <t>598/592D</t>
  </si>
  <si>
    <t>598/592B</t>
  </si>
  <si>
    <t>598/592A</t>
  </si>
  <si>
    <t>596/592A</t>
  </si>
  <si>
    <t>595/592A</t>
  </si>
  <si>
    <t>594A/592XS</t>
  </si>
  <si>
    <t>594A/592A</t>
  </si>
  <si>
    <t>594/592XE</t>
  </si>
  <si>
    <t>594/592A</t>
  </si>
  <si>
    <t>593A/592A</t>
  </si>
  <si>
    <t>593/592XE</t>
  </si>
  <si>
    <t>593/592A</t>
  </si>
  <si>
    <t>590A/592A</t>
  </si>
  <si>
    <t>582/572</t>
  </si>
  <si>
    <t>581/572X</t>
  </si>
  <si>
    <t>581/572</t>
  </si>
  <si>
    <t>580/572X</t>
  </si>
  <si>
    <t>580/572B</t>
  </si>
  <si>
    <t>580/572</t>
  </si>
  <si>
    <t>5795/5735</t>
  </si>
  <si>
    <t>577/572</t>
  </si>
  <si>
    <t>5760/5725</t>
  </si>
  <si>
    <t>576/572X</t>
  </si>
  <si>
    <t>575S/572</t>
  </si>
  <si>
    <t>575/572X</t>
  </si>
  <si>
    <t>575/572</t>
  </si>
  <si>
    <t>57414/LM300811</t>
  </si>
  <si>
    <t>570/563X</t>
  </si>
  <si>
    <t>569/563</t>
  </si>
  <si>
    <t>567/563X</t>
  </si>
  <si>
    <t>567/563</t>
  </si>
  <si>
    <t>565/563X</t>
  </si>
  <si>
    <t>56425E/56650B</t>
  </si>
  <si>
    <t>56425/56662</t>
  </si>
  <si>
    <t>7912E</t>
  </si>
  <si>
    <t>56425/56650</t>
  </si>
  <si>
    <t>56418/56650</t>
  </si>
  <si>
    <t>560S/553X</t>
  </si>
  <si>
    <t>560S/552A</t>
  </si>
  <si>
    <t>49585/49520</t>
  </si>
  <si>
    <t>495/492A</t>
  </si>
  <si>
    <t>48684/48620</t>
  </si>
  <si>
    <t>48506/48750</t>
  </si>
  <si>
    <t>484/472</t>
  </si>
  <si>
    <t>48393A/48320</t>
  </si>
  <si>
    <t>48385/48320</t>
  </si>
  <si>
    <t>483/472A</t>
  </si>
  <si>
    <t>483/472</t>
  </si>
  <si>
    <t>48286/48220B</t>
  </si>
  <si>
    <t>48286/48120</t>
  </si>
  <si>
    <t>482/472A</t>
  </si>
  <si>
    <t>482/472</t>
  </si>
  <si>
    <t>48190/48120</t>
  </si>
  <si>
    <t>480/472A</t>
  </si>
  <si>
    <t>480/472</t>
  </si>
  <si>
    <t>47896/47820</t>
  </si>
  <si>
    <t>47890/47820</t>
  </si>
  <si>
    <t>477/472</t>
  </si>
  <si>
    <t>47687/47620</t>
  </si>
  <si>
    <t>47686/47620A</t>
  </si>
  <si>
    <t>47686/47620</t>
  </si>
  <si>
    <t>47675/47620A</t>
  </si>
  <si>
    <t>476/472</t>
  </si>
  <si>
    <t>475/472</t>
  </si>
  <si>
    <t>47490/47420</t>
  </si>
  <si>
    <t>47487/47420</t>
  </si>
  <si>
    <t>469/454</t>
  </si>
  <si>
    <t>469/453X</t>
  </si>
  <si>
    <t>469/453A</t>
  </si>
  <si>
    <t>469-N/453X-N</t>
  </si>
  <si>
    <t>468/453X</t>
  </si>
  <si>
    <t>46790/46720</t>
  </si>
  <si>
    <t>46780/46730</t>
  </si>
  <si>
    <t>46780/46720</t>
  </si>
  <si>
    <t>467/453X</t>
  </si>
  <si>
    <t>466/453X</t>
  </si>
  <si>
    <t>463/453X</t>
  </si>
  <si>
    <t>462/454</t>
  </si>
  <si>
    <t>462/453</t>
  </si>
  <si>
    <t>46143/46368</t>
  </si>
  <si>
    <t>460/453A</t>
  </si>
  <si>
    <t>460/453</t>
  </si>
  <si>
    <t>456/453X</t>
  </si>
  <si>
    <t>455S/453X</t>
  </si>
  <si>
    <t>455/453X</t>
  </si>
  <si>
    <t>455/453</t>
  </si>
  <si>
    <t>45290/45221</t>
  </si>
  <si>
    <t>45285/45221</t>
  </si>
  <si>
    <t>45284/45280</t>
  </si>
  <si>
    <t>45284/45220</t>
  </si>
  <si>
    <t>4388/4335</t>
  </si>
  <si>
    <t>42688/42620</t>
  </si>
  <si>
    <t>42687/42620</t>
  </si>
  <si>
    <t>42683/42620</t>
  </si>
  <si>
    <t>42368/42584</t>
  </si>
  <si>
    <t>42362/42584</t>
  </si>
  <si>
    <t>42350/42587</t>
  </si>
  <si>
    <t>420/414</t>
  </si>
  <si>
    <t>419/414</t>
  </si>
  <si>
    <t>418/414</t>
  </si>
  <si>
    <t>41125/41286</t>
  </si>
  <si>
    <t>399AS/394A</t>
  </si>
  <si>
    <t>399A/394A</t>
  </si>
  <si>
    <t>3984/3920XA</t>
  </si>
  <si>
    <t>3982/3925</t>
  </si>
  <si>
    <t>3982/3920</t>
  </si>
  <si>
    <t>3981/3920</t>
  </si>
  <si>
    <t>3980/3920</t>
  </si>
  <si>
    <t>3979/3920</t>
  </si>
  <si>
    <t>3977/3920</t>
  </si>
  <si>
    <t>3975/3926</t>
  </si>
  <si>
    <t>3975/3920</t>
  </si>
  <si>
    <t>395S/394A</t>
  </si>
  <si>
    <t>395A/394A</t>
  </si>
  <si>
    <t>3767/3720</t>
  </si>
  <si>
    <t>37425/37625</t>
  </si>
  <si>
    <t>372216X2/P6</t>
  </si>
  <si>
    <t>E187216E</t>
  </si>
  <si>
    <t>372216X2</t>
  </si>
  <si>
    <t>187216E</t>
  </si>
  <si>
    <t>372016X2</t>
  </si>
  <si>
    <t>2187116E</t>
  </si>
  <si>
    <t>372011X2</t>
  </si>
  <si>
    <t>371180X2/HCYA</t>
  </si>
  <si>
    <t>187880SK</t>
  </si>
  <si>
    <t>3706/670B/YA</t>
  </si>
  <si>
    <t>1877/670</t>
  </si>
  <si>
    <t>3706/570</t>
  </si>
  <si>
    <t>877/570</t>
  </si>
  <si>
    <t>3706/550B/HCC2</t>
  </si>
  <si>
    <t>1879/550</t>
  </si>
  <si>
    <t>3706/501.625/P6</t>
  </si>
  <si>
    <t>E879/500</t>
  </si>
  <si>
    <t>3706/501.625</t>
  </si>
  <si>
    <t>879/500</t>
  </si>
  <si>
    <t>3706/500</t>
  </si>
  <si>
    <t>3706/305.079/YA</t>
  </si>
  <si>
    <t>3706/305.07</t>
  </si>
  <si>
    <t>87961K</t>
  </si>
  <si>
    <t>368A/362A</t>
  </si>
  <si>
    <t>368/362A</t>
  </si>
  <si>
    <t>560/553X</t>
  </si>
  <si>
    <t>559/552A</t>
  </si>
  <si>
    <t>559/552</t>
  </si>
  <si>
    <t>557S/552A</t>
  </si>
  <si>
    <t>557/532</t>
  </si>
  <si>
    <t>5566/5535</t>
  </si>
  <si>
    <t>5565/5535</t>
  </si>
  <si>
    <t>5558/5535X</t>
  </si>
  <si>
    <t>555/553X</t>
  </si>
  <si>
    <t>554/553X</t>
  </si>
  <si>
    <t>55200/55437</t>
  </si>
  <si>
    <t>55187/55437</t>
  </si>
  <si>
    <t>55175/55443</t>
  </si>
  <si>
    <t>545112/545139</t>
  </si>
  <si>
    <t>544091/544118</t>
  </si>
  <si>
    <t>544090/544118</t>
  </si>
  <si>
    <t>544090/544116</t>
  </si>
  <si>
    <t>5395/5335</t>
  </si>
  <si>
    <t>536991A/532168B</t>
  </si>
  <si>
    <t>53178/53375</t>
  </si>
  <si>
    <t>52400/52618</t>
  </si>
  <si>
    <t>52393/52618</t>
  </si>
  <si>
    <t>52387/52637</t>
  </si>
  <si>
    <t>52375/52618</t>
  </si>
  <si>
    <t>498A/492A</t>
  </si>
  <si>
    <t>498/492A</t>
  </si>
  <si>
    <t>497/493</t>
  </si>
  <si>
    <t>497/492A</t>
  </si>
  <si>
    <t>49681/47620A</t>
  </si>
  <si>
    <t>496/493</t>
  </si>
  <si>
    <t>496/492A</t>
  </si>
  <si>
    <t>495AX/492A</t>
  </si>
  <si>
    <t>495AS/492A</t>
  </si>
  <si>
    <t>495A/493</t>
  </si>
  <si>
    <t>39590/39520</t>
  </si>
  <si>
    <t>39585/39520</t>
  </si>
  <si>
    <t>39581/39520</t>
  </si>
  <si>
    <t>39578/39520</t>
  </si>
  <si>
    <t>395/394A</t>
  </si>
  <si>
    <t>390A/394A</t>
  </si>
  <si>
    <t>389A/382A</t>
  </si>
  <si>
    <t>389A/382</t>
  </si>
  <si>
    <t>3892/3920</t>
  </si>
  <si>
    <t>389/382A</t>
  </si>
  <si>
    <t>3880/3925</t>
  </si>
  <si>
    <t>387AS/382A</t>
  </si>
  <si>
    <t>387A/383A</t>
  </si>
  <si>
    <t>387A/382S</t>
  </si>
  <si>
    <t>387A/382A</t>
  </si>
  <si>
    <t>387A/382</t>
  </si>
  <si>
    <t>3878/3820</t>
  </si>
  <si>
    <t>3872/3820</t>
  </si>
  <si>
    <t>387/383</t>
  </si>
  <si>
    <t>387/382S</t>
  </si>
  <si>
    <t>387/382A</t>
  </si>
  <si>
    <t>386A/382A</t>
  </si>
  <si>
    <t>385X/382A</t>
  </si>
  <si>
    <t>385/382A</t>
  </si>
  <si>
    <t>3784/3720</t>
  </si>
  <si>
    <t>3781/3730</t>
  </si>
  <si>
    <t>3781/3720</t>
  </si>
  <si>
    <t>3780/3732</t>
  </si>
  <si>
    <t>3780/3730</t>
  </si>
  <si>
    <t>3780/3726</t>
  </si>
  <si>
    <t>3780/3720</t>
  </si>
  <si>
    <t>3779/3720</t>
  </si>
  <si>
    <t>3778/3720</t>
  </si>
  <si>
    <t>3777/3720</t>
  </si>
  <si>
    <t>3776/3720</t>
  </si>
  <si>
    <t>3775/3730</t>
  </si>
  <si>
    <t>3775/3720</t>
  </si>
  <si>
    <t>368/362</t>
  </si>
  <si>
    <t>36691/36620</t>
  </si>
  <si>
    <t>36690/36626</t>
  </si>
  <si>
    <t>359S/354A</t>
  </si>
  <si>
    <t>359S/352</t>
  </si>
  <si>
    <t>359A/354A</t>
  </si>
  <si>
    <t>3585/3525</t>
  </si>
  <si>
    <t>358/354A</t>
  </si>
  <si>
    <t>3579/3525</t>
  </si>
  <si>
    <t>3578/3525</t>
  </si>
  <si>
    <t>355A/354A</t>
  </si>
  <si>
    <t>355/354A</t>
  </si>
  <si>
    <t>352972X2</t>
  </si>
  <si>
    <t>352968X2</t>
  </si>
  <si>
    <t>352964X2/C2</t>
  </si>
  <si>
    <t>2G2097964</t>
  </si>
  <si>
    <t>352964X2</t>
  </si>
  <si>
    <t>352960X2/P59</t>
  </si>
  <si>
    <t>D2097960U</t>
  </si>
  <si>
    <t>352960X2-2</t>
  </si>
  <si>
    <t>352960X2</t>
  </si>
  <si>
    <t>2097960E</t>
  </si>
  <si>
    <t>352956X2/P59</t>
  </si>
  <si>
    <t>D2097956U</t>
  </si>
  <si>
    <t>352956X2</t>
  </si>
  <si>
    <t>2097956E</t>
  </si>
  <si>
    <t>2097928E</t>
  </si>
  <si>
    <t>352926X2</t>
  </si>
  <si>
    <t>2097926E</t>
  </si>
  <si>
    <t>97538E</t>
  </si>
  <si>
    <t>352236X2</t>
  </si>
  <si>
    <t>97536E</t>
  </si>
  <si>
    <t>352236/S0</t>
  </si>
  <si>
    <t>97536KT</t>
  </si>
  <si>
    <t>97534E</t>
  </si>
  <si>
    <t>352232X2</t>
  </si>
  <si>
    <t>352230X2/YA</t>
  </si>
  <si>
    <t>97530EK</t>
  </si>
  <si>
    <t>352230X2</t>
  </si>
  <si>
    <t>352230-2Z</t>
  </si>
  <si>
    <t>352228X2</t>
  </si>
  <si>
    <t>97528EK</t>
  </si>
  <si>
    <t>352226X3-2Z/HG</t>
  </si>
  <si>
    <t>197826G</t>
  </si>
  <si>
    <t>352226X2-2Z-2</t>
  </si>
  <si>
    <t>197726K2</t>
  </si>
  <si>
    <t>352226X2-2Z</t>
  </si>
  <si>
    <t>352226X2</t>
  </si>
  <si>
    <t>352224D</t>
  </si>
  <si>
    <t>352224/YA</t>
  </si>
  <si>
    <t>97524K</t>
  </si>
  <si>
    <t>352222X2/YA1</t>
  </si>
  <si>
    <t>97822K</t>
  </si>
  <si>
    <t>352221X2</t>
  </si>
  <si>
    <t>97521EK</t>
  </si>
  <si>
    <t>97521E</t>
  </si>
  <si>
    <t>352220X2-2Z</t>
  </si>
  <si>
    <t>352220X2</t>
  </si>
  <si>
    <t>97519E</t>
  </si>
  <si>
    <t>352218X2</t>
  </si>
  <si>
    <t>352217X2/YA</t>
  </si>
  <si>
    <t>97517EK</t>
  </si>
  <si>
    <t>352216X2</t>
  </si>
  <si>
    <t>352214X2</t>
  </si>
  <si>
    <t>97514EK</t>
  </si>
  <si>
    <t>352140/YA1</t>
  </si>
  <si>
    <t>35213X2/C3S0</t>
  </si>
  <si>
    <t>3G97730T</t>
  </si>
  <si>
    <t>2097738E</t>
  </si>
  <si>
    <t>352134/W33</t>
  </si>
  <si>
    <t>2097734Y</t>
  </si>
  <si>
    <t>352132/YB</t>
  </si>
  <si>
    <t>2097732Y</t>
  </si>
  <si>
    <t>352132/YA1</t>
  </si>
  <si>
    <t>352130X2</t>
  </si>
  <si>
    <t>352080X2</t>
  </si>
  <si>
    <t>352072X2/YA</t>
  </si>
  <si>
    <t>352072X2</t>
  </si>
  <si>
    <t>352064X2F1</t>
  </si>
  <si>
    <t>2097164W1</t>
  </si>
  <si>
    <t>352064X2/YA</t>
  </si>
  <si>
    <t>352064X2/C9</t>
  </si>
  <si>
    <t>2097164U</t>
  </si>
  <si>
    <t>352064X2/C3</t>
  </si>
  <si>
    <t>3G2097164</t>
  </si>
  <si>
    <t>352064X2</t>
  </si>
  <si>
    <t>352060X2/C4</t>
  </si>
  <si>
    <t>4G2097160</t>
  </si>
  <si>
    <t>352060X2</t>
  </si>
  <si>
    <t>352056X2/YA</t>
  </si>
  <si>
    <t>352056X2</t>
  </si>
  <si>
    <t>352052X2/YA</t>
  </si>
  <si>
    <t>351984/P59</t>
  </si>
  <si>
    <t>D1097984U</t>
  </si>
  <si>
    <t>351980X2</t>
  </si>
  <si>
    <t>3519/950/HC</t>
  </si>
  <si>
    <t>10979/950S</t>
  </si>
  <si>
    <t>3519/800/S0</t>
  </si>
  <si>
    <t>10979/800T</t>
  </si>
  <si>
    <t>3519/630/C2</t>
  </si>
  <si>
    <t>2G10979/630</t>
  </si>
  <si>
    <t>3519/530J</t>
  </si>
  <si>
    <t>3519/500/HC</t>
  </si>
  <si>
    <t>10979/500S</t>
  </si>
  <si>
    <t>351160X2</t>
  </si>
  <si>
    <t>351084X2D1</t>
  </si>
  <si>
    <t>351076X2</t>
  </si>
  <si>
    <t>351072/YA1</t>
  </si>
  <si>
    <t>97172Y</t>
  </si>
  <si>
    <t>3510/710</t>
  </si>
  <si>
    <t>971/710</t>
  </si>
  <si>
    <t>3510/670</t>
  </si>
  <si>
    <t>971/670</t>
  </si>
  <si>
    <t>3510/630</t>
  </si>
  <si>
    <t>971/630</t>
  </si>
  <si>
    <t>3510/600</t>
  </si>
  <si>
    <t>971/600</t>
  </si>
  <si>
    <t>3510/560</t>
  </si>
  <si>
    <t>971/560</t>
  </si>
  <si>
    <t>3510/530</t>
  </si>
  <si>
    <t>971/530</t>
  </si>
  <si>
    <t>3510/500J</t>
  </si>
  <si>
    <t>971/500</t>
  </si>
  <si>
    <t>3510/500</t>
  </si>
  <si>
    <t>350636/C3</t>
  </si>
  <si>
    <t>3G97736</t>
  </si>
  <si>
    <t>350633/C9</t>
  </si>
  <si>
    <t>97833U</t>
  </si>
  <si>
    <t>350630D1</t>
  </si>
  <si>
    <t>350626-2Z/YB2</t>
  </si>
  <si>
    <t>197726K1</t>
  </si>
  <si>
    <t>3506/99.5/S0</t>
  </si>
  <si>
    <t>97720KT</t>
  </si>
  <si>
    <t>3506/99.5</t>
  </si>
  <si>
    <t>97720K</t>
  </si>
  <si>
    <t>3506/720</t>
  </si>
  <si>
    <t>977/720</t>
  </si>
  <si>
    <t>3506/710/C3</t>
  </si>
  <si>
    <t>3G977/710</t>
  </si>
  <si>
    <t>3506/254D1</t>
  </si>
  <si>
    <t>3506/203.2D1/YA3</t>
  </si>
  <si>
    <t>37941K</t>
  </si>
  <si>
    <t>3506/1600</t>
  </si>
  <si>
    <t>978/1600</t>
  </si>
  <si>
    <t>3506/144.463-2Z</t>
  </si>
  <si>
    <t>344A/332</t>
  </si>
  <si>
    <t>33895/33822</t>
  </si>
  <si>
    <t>3386/3320</t>
  </si>
  <si>
    <t>3384/3320</t>
  </si>
  <si>
    <t>3382/3339</t>
  </si>
  <si>
    <t>3382/3331</t>
  </si>
  <si>
    <t>3382/3328</t>
  </si>
  <si>
    <t>3382/3321</t>
  </si>
  <si>
    <t>3382/3320</t>
  </si>
  <si>
    <t>3381/3320</t>
  </si>
  <si>
    <t>3379/3320</t>
  </si>
  <si>
    <t>7656E</t>
  </si>
  <si>
    <t>7652E</t>
  </si>
  <si>
    <t>7648E</t>
  </si>
  <si>
    <t>7644E</t>
  </si>
  <si>
    <t>7640E</t>
  </si>
  <si>
    <t>7638E</t>
  </si>
  <si>
    <t>7636E</t>
  </si>
  <si>
    <t>32334X2</t>
  </si>
  <si>
    <t>32326X2</t>
  </si>
  <si>
    <t>352952X2/YB2</t>
  </si>
  <si>
    <t>352952X2/YAYB2</t>
  </si>
  <si>
    <t>2097952K</t>
  </si>
  <si>
    <t>352952X2/YA1</t>
  </si>
  <si>
    <t>352952X2</t>
  </si>
  <si>
    <t>2097952E</t>
  </si>
  <si>
    <t>352948X2/YB2</t>
  </si>
  <si>
    <t>352948X2/YA1</t>
  </si>
  <si>
    <t>2097948K</t>
  </si>
  <si>
    <t>352948X2/YA</t>
  </si>
  <si>
    <t>2097948K1</t>
  </si>
  <si>
    <t>352948X2</t>
  </si>
  <si>
    <t>2097948E</t>
  </si>
  <si>
    <t>352944X2</t>
  </si>
  <si>
    <t>2097944E</t>
  </si>
  <si>
    <t>352940X2/YA1</t>
  </si>
  <si>
    <t>2097940K</t>
  </si>
  <si>
    <t>352940X2</t>
  </si>
  <si>
    <t>2097940E</t>
  </si>
  <si>
    <t>352938X2</t>
  </si>
  <si>
    <t>2097938E</t>
  </si>
  <si>
    <t>352936X2D1/YA1</t>
  </si>
  <si>
    <t>37836K</t>
  </si>
  <si>
    <t>352936X2/YA1</t>
  </si>
  <si>
    <t>2097936K</t>
  </si>
  <si>
    <t>352936X2</t>
  </si>
  <si>
    <t>2097936E</t>
  </si>
  <si>
    <t>352934X2</t>
  </si>
  <si>
    <t>2097934E</t>
  </si>
  <si>
    <t>2097932E</t>
  </si>
  <si>
    <t>352052X2</t>
  </si>
  <si>
    <t>352048X2/YA</t>
  </si>
  <si>
    <t>352048X2</t>
  </si>
  <si>
    <t>352044X2/YA</t>
  </si>
  <si>
    <t>352044X2</t>
  </si>
  <si>
    <t>352040X2/YA</t>
  </si>
  <si>
    <t>352040X2</t>
  </si>
  <si>
    <t>352036X2</t>
  </si>
  <si>
    <t>352034X2D</t>
  </si>
  <si>
    <t>352034X2</t>
  </si>
  <si>
    <t>352034/YA</t>
  </si>
  <si>
    <t>2097134K</t>
  </si>
  <si>
    <t>352032X2</t>
  </si>
  <si>
    <t>352032/YA</t>
  </si>
  <si>
    <t>352030X2RD</t>
  </si>
  <si>
    <t>2097130E</t>
  </si>
  <si>
    <t>352028X2RD</t>
  </si>
  <si>
    <t>352028X2/YA</t>
  </si>
  <si>
    <t>2097128K</t>
  </si>
  <si>
    <t>352028X2</t>
  </si>
  <si>
    <t>352026X2</t>
  </si>
  <si>
    <t>352024X2RDL1</t>
  </si>
  <si>
    <t>2657124L</t>
  </si>
  <si>
    <t>352024X2RD</t>
  </si>
  <si>
    <t>2097115E</t>
  </si>
  <si>
    <t>32320X2</t>
  </si>
  <si>
    <t>32312B</t>
  </si>
  <si>
    <t>7612K</t>
  </si>
  <si>
    <t>32311BRJ</t>
  </si>
  <si>
    <t>32310X2</t>
  </si>
  <si>
    <t>7710E</t>
  </si>
  <si>
    <t>32310/YA</t>
  </si>
  <si>
    <t>7610EK</t>
  </si>
  <si>
    <t>32309BR</t>
  </si>
  <si>
    <t>32308/YB2</t>
  </si>
  <si>
    <t>7608EK</t>
  </si>
  <si>
    <t>32306AN</t>
  </si>
  <si>
    <t>323/32CN</t>
  </si>
  <si>
    <t>323/32</t>
  </si>
  <si>
    <t>76/32</t>
  </si>
  <si>
    <t>32210R</t>
  </si>
  <si>
    <t>32209R</t>
  </si>
  <si>
    <t>32208R</t>
  </si>
  <si>
    <t>32028/DF</t>
  </si>
  <si>
    <t>31326/DF</t>
  </si>
  <si>
    <t>31314/YA</t>
  </si>
  <si>
    <t>27314EK</t>
  </si>
  <si>
    <t>31313/YB2</t>
  </si>
  <si>
    <t>27313EK</t>
  </si>
  <si>
    <t>31311/YB2</t>
  </si>
  <si>
    <t>27311EK</t>
  </si>
  <si>
    <t>31311/YA</t>
  </si>
  <si>
    <t>31306WB1</t>
  </si>
  <si>
    <t>306/405</t>
  </si>
  <si>
    <t>306/330.2</t>
  </si>
  <si>
    <t>306/304.8</t>
  </si>
  <si>
    <t>306/276.225</t>
  </si>
  <si>
    <t>7955E</t>
  </si>
  <si>
    <t>30352X2</t>
  </si>
  <si>
    <t>7348E</t>
  </si>
  <si>
    <t>7344E</t>
  </si>
  <si>
    <t>7338E</t>
  </si>
  <si>
    <t>30312X1B</t>
  </si>
  <si>
    <t>30311X3B</t>
  </si>
  <si>
    <t>30305X2B</t>
  </si>
  <si>
    <t>30210AR</t>
  </si>
  <si>
    <t>67210K</t>
  </si>
  <si>
    <t>30208AR</t>
  </si>
  <si>
    <t>67208K</t>
  </si>
  <si>
    <t>29688/29620</t>
  </si>
  <si>
    <t>29685/29620</t>
  </si>
  <si>
    <t>29685/20</t>
  </si>
  <si>
    <t>29675/29620</t>
  </si>
  <si>
    <t>29590/29592</t>
  </si>
  <si>
    <t>29590/29522</t>
  </si>
  <si>
    <t>29587/29520</t>
  </si>
  <si>
    <t>29586A/29522A</t>
  </si>
  <si>
    <t>29586/29520</t>
  </si>
  <si>
    <t>29585/29521</t>
  </si>
  <si>
    <t>29585/29520</t>
  </si>
  <si>
    <t>29522/29590</t>
  </si>
  <si>
    <t>28985A/28920</t>
  </si>
  <si>
    <t>28985/28921</t>
  </si>
  <si>
    <t>28985/28920</t>
  </si>
  <si>
    <t>28958X/28920</t>
  </si>
  <si>
    <t>28682/28522</t>
  </si>
  <si>
    <t>28680/28622</t>
  </si>
  <si>
    <t>28678/28622B</t>
  </si>
  <si>
    <t>28584/28521</t>
  </si>
  <si>
    <t>28580/28521</t>
  </si>
  <si>
    <t>28158/28300</t>
  </si>
  <si>
    <t>2796/2720</t>
  </si>
  <si>
    <t>2794/2720</t>
  </si>
  <si>
    <t>2793/2729</t>
  </si>
  <si>
    <t>2793/2720</t>
  </si>
  <si>
    <t>2790/2720</t>
  </si>
  <si>
    <t>2789/2735X</t>
  </si>
  <si>
    <t>2789/2720</t>
  </si>
  <si>
    <t>2788A/2720</t>
  </si>
  <si>
    <t>2788/2720</t>
  </si>
  <si>
    <t>2786/2720</t>
  </si>
  <si>
    <t>2785/2720</t>
  </si>
  <si>
    <t>2780/2720</t>
  </si>
  <si>
    <t>2777/2720</t>
  </si>
  <si>
    <t>2776/2720</t>
  </si>
  <si>
    <t>27687/27620</t>
  </si>
  <si>
    <t>27678/27620</t>
  </si>
  <si>
    <t>27084/27020</t>
  </si>
  <si>
    <t>26886/26882</t>
  </si>
  <si>
    <t>26886/26822</t>
  </si>
  <si>
    <t>26885/26822</t>
  </si>
  <si>
    <t>26884/26824</t>
  </si>
  <si>
    <t>26884/26823</t>
  </si>
  <si>
    <t>26884/26820</t>
  </si>
  <si>
    <t>26883/26822</t>
  </si>
  <si>
    <t>26882/26824</t>
  </si>
  <si>
    <t>26882/26823</t>
  </si>
  <si>
    <t>26882/26822</t>
  </si>
  <si>
    <t>26882/26820</t>
  </si>
  <si>
    <t>26882/26522A</t>
  </si>
  <si>
    <t>26881/26823</t>
  </si>
  <si>
    <t>26881/26822</t>
  </si>
  <si>
    <t>26880/26822</t>
  </si>
  <si>
    <t>26878/26822</t>
  </si>
  <si>
    <t>26877/26822</t>
  </si>
  <si>
    <t>26685/29620</t>
  </si>
  <si>
    <t>25880/25821</t>
  </si>
  <si>
    <t>7950E</t>
  </si>
  <si>
    <t>30622/S0</t>
  </si>
  <si>
    <t>E7522T</t>
  </si>
  <si>
    <t>30615/YB2</t>
  </si>
  <si>
    <t>30615/YA</t>
  </si>
  <si>
    <t>7815EK</t>
  </si>
  <si>
    <t>30610R</t>
  </si>
  <si>
    <t>30610/S1</t>
  </si>
  <si>
    <t>7710T2</t>
  </si>
  <si>
    <t>2007206K</t>
  </si>
  <si>
    <t>306/82.55</t>
  </si>
  <si>
    <t>306/800/R</t>
  </si>
  <si>
    <t>70678/800</t>
  </si>
  <si>
    <t>306/800</t>
  </si>
  <si>
    <t>306/760/HC</t>
  </si>
  <si>
    <t>78/760S</t>
  </si>
  <si>
    <t>306/62</t>
  </si>
  <si>
    <t>306/560</t>
  </si>
  <si>
    <t>77/560</t>
  </si>
  <si>
    <t>306/41</t>
  </si>
  <si>
    <t>25878/25821</t>
  </si>
  <si>
    <t>25878/25820</t>
  </si>
  <si>
    <t>25854/25821</t>
  </si>
  <si>
    <t>2585/2523</t>
  </si>
  <si>
    <t>2582/2523</t>
  </si>
  <si>
    <t>2581/2523</t>
  </si>
  <si>
    <t>2580/2532</t>
  </si>
  <si>
    <t>2580/2523S</t>
  </si>
  <si>
    <t>2580/2523</t>
  </si>
  <si>
    <t>2580/2520</t>
  </si>
  <si>
    <t>2578/2523</t>
  </si>
  <si>
    <t>25590/25526</t>
  </si>
  <si>
    <t>25590/25523</t>
  </si>
  <si>
    <t>25590/25522</t>
  </si>
  <si>
    <t>25590/25521</t>
  </si>
  <si>
    <t>25590/25520</t>
  </si>
  <si>
    <t>25590/25519</t>
  </si>
  <si>
    <t>2559/2523B</t>
  </si>
  <si>
    <t>25584/25520</t>
  </si>
  <si>
    <t>25582/25520</t>
  </si>
  <si>
    <t>25581/25520</t>
  </si>
  <si>
    <t>25580/25523</t>
  </si>
  <si>
    <t>25580/25521</t>
  </si>
  <si>
    <t>25580/25520</t>
  </si>
  <si>
    <t>2558/2523</t>
  </si>
  <si>
    <t>25578/25520</t>
  </si>
  <si>
    <t>25577/25523</t>
  </si>
  <si>
    <t>25577/25522</t>
  </si>
  <si>
    <t>25577/25521</t>
  </si>
  <si>
    <t>25577/25520</t>
  </si>
  <si>
    <t>24780/24721</t>
  </si>
  <si>
    <t>24780/24720</t>
  </si>
  <si>
    <t>23100/23256</t>
  </si>
  <si>
    <t>22780/22720</t>
  </si>
  <si>
    <t>22580/25520</t>
  </si>
  <si>
    <t>14137A/14274</t>
  </si>
  <si>
    <t>14131/14276</t>
  </si>
  <si>
    <t>14130/14276</t>
  </si>
  <si>
    <t>14125A/14276</t>
  </si>
  <si>
    <t>14125A/14274</t>
  </si>
  <si>
    <t>14124/14276</t>
  </si>
  <si>
    <t>14124/14274</t>
  </si>
  <si>
    <t>14118/14283</t>
  </si>
  <si>
    <t>14117A/14276</t>
  </si>
  <si>
    <t>14116/14283</t>
  </si>
  <si>
    <t>14116/14276</t>
  </si>
  <si>
    <t>14116/14274</t>
  </si>
  <si>
    <t>13682/13620</t>
  </si>
  <si>
    <t>1280/1220</t>
  </si>
  <si>
    <t>12580/12520</t>
  </si>
  <si>
    <t>11590/11520</t>
  </si>
  <si>
    <t>11162/11615</t>
  </si>
  <si>
    <t>11162/11300</t>
  </si>
  <si>
    <t>09074/09194</t>
  </si>
  <si>
    <t>09067/09195</t>
  </si>
  <si>
    <t>07100/07196</t>
  </si>
  <si>
    <t>07093/07196</t>
  </si>
  <si>
    <t>07087/07210X</t>
  </si>
  <si>
    <t>02878/02820</t>
  </si>
  <si>
    <t>02475/02420</t>
  </si>
  <si>
    <t>ZXY-3003</t>
  </si>
  <si>
    <t>ZXY-3002</t>
  </si>
  <si>
    <t>YA006B1/F33</t>
  </si>
  <si>
    <t>39602/F33</t>
  </si>
  <si>
    <t>YA003B1/F29</t>
  </si>
  <si>
    <t>39602/F29</t>
  </si>
  <si>
    <t>TRA0607</t>
  </si>
  <si>
    <t>TR131305R</t>
  </si>
  <si>
    <t>TR070803C</t>
  </si>
  <si>
    <t>T4AA045R-1</t>
  </si>
  <si>
    <t>R40-15A</t>
  </si>
  <si>
    <t>M274149D/110/110D</t>
  </si>
  <si>
    <t>3-755</t>
  </si>
  <si>
    <t>M257248DW/10/10D</t>
  </si>
  <si>
    <t>3-768</t>
  </si>
  <si>
    <t>M252349D/10/10D</t>
  </si>
  <si>
    <t>M252349/10/10D</t>
  </si>
  <si>
    <t>3-729</t>
  </si>
  <si>
    <t>LY-3006/P2</t>
  </si>
  <si>
    <t>B3-711</t>
  </si>
  <si>
    <t>HM259049D/10/10D</t>
  </si>
  <si>
    <t>HL-407</t>
  </si>
  <si>
    <t>HL-406</t>
  </si>
  <si>
    <t>HL-405</t>
  </si>
  <si>
    <t>HL-404</t>
  </si>
  <si>
    <t>HL-403A</t>
  </si>
  <si>
    <t>HL-403</t>
  </si>
  <si>
    <t>HL-402</t>
  </si>
  <si>
    <t>FC12025S07</t>
  </si>
  <si>
    <t>CZ301</t>
  </si>
  <si>
    <t>CR1154</t>
  </si>
  <si>
    <t>C183</t>
  </si>
  <si>
    <t>C107</t>
  </si>
  <si>
    <t>C102</t>
  </si>
  <si>
    <t>C101</t>
  </si>
  <si>
    <t>BT1B328053</t>
  </si>
  <si>
    <t>21075/21212</t>
  </si>
  <si>
    <t>21063/21212</t>
  </si>
  <si>
    <t>18790/18724</t>
  </si>
  <si>
    <t>18790/18720B</t>
  </si>
  <si>
    <t>18790/18720</t>
  </si>
  <si>
    <t>18690/18620</t>
  </si>
  <si>
    <t>18590/18520</t>
  </si>
  <si>
    <t>17887/17831</t>
  </si>
  <si>
    <t>1755/1729</t>
  </si>
  <si>
    <t>16150/16284</t>
  </si>
  <si>
    <t>16150/16282</t>
  </si>
  <si>
    <t>16137/16282</t>
  </si>
  <si>
    <t>15579/15520</t>
  </si>
  <si>
    <t>15126/15245</t>
  </si>
  <si>
    <t>15125/15245</t>
  </si>
  <si>
    <t>15123/15250</t>
  </si>
  <si>
    <t>15123/15245</t>
  </si>
  <si>
    <t>15120/15245</t>
  </si>
  <si>
    <t>15119/15245</t>
  </si>
  <si>
    <t>15118/15245</t>
  </si>
  <si>
    <t>15117/15245</t>
  </si>
  <si>
    <t>15116/15245</t>
  </si>
  <si>
    <t>15113/15245</t>
  </si>
  <si>
    <t>15112/15245</t>
  </si>
  <si>
    <t>15106/15245</t>
  </si>
  <si>
    <t>15103S/15245</t>
  </si>
  <si>
    <t>15103S/15243</t>
  </si>
  <si>
    <t>15102/15245</t>
  </si>
  <si>
    <t>15101/15250X</t>
  </si>
  <si>
    <t>15101/15250</t>
  </si>
  <si>
    <t>15101/15245</t>
  </si>
  <si>
    <t>15101/15244</t>
  </si>
  <si>
    <t>15101/15243</t>
  </si>
  <si>
    <t>15100/15245</t>
  </si>
  <si>
    <t>14139/14276</t>
  </si>
  <si>
    <t>14139/14274A</t>
  </si>
  <si>
    <t>14138A/14276</t>
  </si>
  <si>
    <t>14138A/14274</t>
  </si>
  <si>
    <t>14137A/14276</t>
  </si>
  <si>
    <t>LY-3005/P2</t>
  </si>
  <si>
    <t>B3-710</t>
  </si>
  <si>
    <t>LY-3002/P2</t>
  </si>
  <si>
    <t>B3-707</t>
  </si>
  <si>
    <t>LM761649DW/10/10D</t>
  </si>
  <si>
    <t>3-722</t>
  </si>
  <si>
    <t>LM451349DW/10/10D</t>
  </si>
  <si>
    <t>LM247748DW/10/10D</t>
  </si>
  <si>
    <t>LM247748D/10/10D</t>
  </si>
  <si>
    <t>HS713</t>
  </si>
  <si>
    <t>HS712</t>
  </si>
  <si>
    <t>HS709</t>
  </si>
  <si>
    <t>HS708</t>
  </si>
  <si>
    <t>HS707</t>
  </si>
  <si>
    <t>HS706</t>
  </si>
  <si>
    <t>HS705</t>
  </si>
  <si>
    <t>47T563927AWH/DPGC</t>
  </si>
  <si>
    <t>382972X2</t>
  </si>
  <si>
    <t>382968/C2</t>
  </si>
  <si>
    <t>2G2077968</t>
  </si>
  <si>
    <t>382960/C2</t>
  </si>
  <si>
    <t>2G2077960</t>
  </si>
  <si>
    <t>3819/630/C2</t>
  </si>
  <si>
    <t>2G10779/630</t>
  </si>
  <si>
    <t>3819/600J/HC</t>
  </si>
  <si>
    <t>3819/600HCC2YA3</t>
  </si>
  <si>
    <t>10779/600S</t>
  </si>
  <si>
    <t>3819/600/C2</t>
  </si>
  <si>
    <t>2G10779/600</t>
  </si>
  <si>
    <t>3819/560/HCC2YA3</t>
  </si>
  <si>
    <t>10779/560S</t>
  </si>
  <si>
    <t>3819/560/C2</t>
  </si>
  <si>
    <t>2G10779/560</t>
  </si>
  <si>
    <t>3819/540</t>
  </si>
  <si>
    <t>779/540</t>
  </si>
  <si>
    <t>381184/C2</t>
  </si>
  <si>
    <t>2G1077784</t>
  </si>
  <si>
    <t>381176/HC</t>
  </si>
  <si>
    <t>381176/C9</t>
  </si>
  <si>
    <t>1077776U</t>
  </si>
  <si>
    <t>381176/C2</t>
  </si>
  <si>
    <t>2G1077776</t>
  </si>
  <si>
    <t>381172/HC</t>
  </si>
  <si>
    <t>1077772S</t>
  </si>
  <si>
    <t>381168/C3S0</t>
  </si>
  <si>
    <t>1077768C3T</t>
  </si>
  <si>
    <t>381160X2/HC</t>
  </si>
  <si>
    <t>77760S</t>
  </si>
  <si>
    <t>381160X2/C9</t>
  </si>
  <si>
    <t>77760U</t>
  </si>
  <si>
    <t>381160X2</t>
  </si>
  <si>
    <t>381156/C9</t>
  </si>
  <si>
    <t>1077756U</t>
  </si>
  <si>
    <t>381156/C2</t>
  </si>
  <si>
    <t>2G1077756</t>
  </si>
  <si>
    <t>381152X2</t>
  </si>
  <si>
    <t>3811/750/YA</t>
  </si>
  <si>
    <t>10777/750Y</t>
  </si>
  <si>
    <t>3811/750/HC</t>
  </si>
  <si>
    <t>10777/750S</t>
  </si>
  <si>
    <t>3811/750/C9</t>
  </si>
  <si>
    <t>10777/750U</t>
  </si>
  <si>
    <t>3811/750/C2YA1</t>
  </si>
  <si>
    <t>2G10777/750Y1</t>
  </si>
  <si>
    <t>3811/750/C2YA</t>
  </si>
  <si>
    <t>2G10777/750Y</t>
  </si>
  <si>
    <t>3811/750/C2</t>
  </si>
  <si>
    <t>2G10777/750</t>
  </si>
  <si>
    <t>3811/710/C2</t>
  </si>
  <si>
    <t>2G10777/710</t>
  </si>
  <si>
    <t>3811/670</t>
  </si>
  <si>
    <t>10777/670</t>
  </si>
  <si>
    <t>3811/630/C2</t>
  </si>
  <si>
    <t>2G10777/630</t>
  </si>
  <si>
    <t>3811/600/HC</t>
  </si>
  <si>
    <t>3811/600/C2</t>
  </si>
  <si>
    <t>2G10777/600</t>
  </si>
  <si>
    <t>3811/560/C2</t>
  </si>
  <si>
    <t>2G10777/560</t>
  </si>
  <si>
    <t>3811/560</t>
  </si>
  <si>
    <t>10777/560</t>
  </si>
  <si>
    <t>3811/530/C2</t>
  </si>
  <si>
    <t>2G10777/530</t>
  </si>
  <si>
    <t>3811/500</t>
  </si>
  <si>
    <t>10777/500</t>
  </si>
  <si>
    <t>381096/HC</t>
  </si>
  <si>
    <t>77196S</t>
  </si>
  <si>
    <t>381096/C2</t>
  </si>
  <si>
    <t>2G77196</t>
  </si>
  <si>
    <t>381088X2E/YB2</t>
  </si>
  <si>
    <t>77788E</t>
  </si>
  <si>
    <t>381088X2/YB2</t>
  </si>
  <si>
    <t>381088X2/YA</t>
  </si>
  <si>
    <t>77788K</t>
  </si>
  <si>
    <t>381088X2/HC</t>
  </si>
  <si>
    <t>77788S</t>
  </si>
  <si>
    <t>381088X2/C9YB2</t>
  </si>
  <si>
    <t>77788U</t>
  </si>
  <si>
    <t>381088X2/C2YB2</t>
  </si>
  <si>
    <t>2G77788</t>
  </si>
  <si>
    <t>381088/C2</t>
  </si>
  <si>
    <t>2G77188</t>
  </si>
  <si>
    <t>381084/C2</t>
  </si>
  <si>
    <t>2G77184</t>
  </si>
  <si>
    <t>381080/C3</t>
  </si>
  <si>
    <t>3G77180</t>
  </si>
  <si>
    <t>381080/C2</t>
  </si>
  <si>
    <t>2G77180</t>
  </si>
  <si>
    <t>381076/C2</t>
  </si>
  <si>
    <t>2G77176</t>
  </si>
  <si>
    <t>381072/C2</t>
  </si>
  <si>
    <t>2G77172</t>
  </si>
  <si>
    <t>381068/C2</t>
  </si>
  <si>
    <t>2G77168</t>
  </si>
  <si>
    <t>381050X2</t>
  </si>
  <si>
    <t>77750Y</t>
  </si>
  <si>
    <t>3810/710/C2</t>
  </si>
  <si>
    <t>2G771/710</t>
  </si>
  <si>
    <t>3810/670</t>
  </si>
  <si>
    <t>771/670</t>
  </si>
  <si>
    <t>3810/630/HC</t>
  </si>
  <si>
    <t>3810/630/C2</t>
  </si>
  <si>
    <t>2G771/630</t>
  </si>
  <si>
    <t>3810/600/HC</t>
  </si>
  <si>
    <t>3810/600/C2</t>
  </si>
  <si>
    <t>2G771/600</t>
  </si>
  <si>
    <t>3810/560</t>
  </si>
  <si>
    <t>771/560</t>
  </si>
  <si>
    <t>3806/530/C2</t>
  </si>
  <si>
    <t>2G30777/530</t>
  </si>
  <si>
    <t>3806/530</t>
  </si>
  <si>
    <t>30777/530</t>
  </si>
  <si>
    <t>3806/488.95/YA3</t>
  </si>
  <si>
    <t>3-720</t>
  </si>
  <si>
    <t>382952/C2</t>
  </si>
  <si>
    <t>2G2077952</t>
  </si>
  <si>
    <t>382064X2/YB2</t>
  </si>
  <si>
    <t>382064X2/P52</t>
  </si>
  <si>
    <t>2D2077164</t>
  </si>
  <si>
    <t>382064X2/P5</t>
  </si>
  <si>
    <t>D2077164</t>
  </si>
  <si>
    <t>382064X2/C2YB2</t>
  </si>
  <si>
    <t>2G2077164</t>
  </si>
  <si>
    <t>382064X2/C2</t>
  </si>
  <si>
    <t>382064X2</t>
  </si>
  <si>
    <t>382060/C2</t>
  </si>
  <si>
    <t>2G2077160</t>
  </si>
  <si>
    <t>382056X2</t>
  </si>
  <si>
    <t>2077156E</t>
  </si>
  <si>
    <t>382052X2/HG</t>
  </si>
  <si>
    <t>4G77752</t>
  </si>
  <si>
    <t>382052X2/C9</t>
  </si>
  <si>
    <t>77752U</t>
  </si>
  <si>
    <t>382052X2/C5</t>
  </si>
  <si>
    <t>5G77752</t>
  </si>
  <si>
    <t>382052X2/C4</t>
  </si>
  <si>
    <t>382052X2/C3</t>
  </si>
  <si>
    <t>3G77752</t>
  </si>
  <si>
    <t>382052X2/C2</t>
  </si>
  <si>
    <t>2G77752</t>
  </si>
  <si>
    <t>382052/P62</t>
  </si>
  <si>
    <t>2E2077152</t>
  </si>
  <si>
    <t>382052/P52</t>
  </si>
  <si>
    <t>2D2077152</t>
  </si>
  <si>
    <t>382052/C2</t>
  </si>
  <si>
    <t>2G2077152</t>
  </si>
  <si>
    <t>382044/P52</t>
  </si>
  <si>
    <t>2D2077144</t>
  </si>
  <si>
    <t>382044/C2</t>
  </si>
  <si>
    <t>2G2077144</t>
  </si>
  <si>
    <t>382034/S0</t>
  </si>
  <si>
    <t>2077134T</t>
  </si>
  <si>
    <t>3820/950/C2</t>
  </si>
  <si>
    <t>2G20771/950</t>
  </si>
  <si>
    <t>3820/1060/C2</t>
  </si>
  <si>
    <t>2G20771/1060</t>
  </si>
  <si>
    <t>381992X3/YA</t>
  </si>
  <si>
    <t>381992/P6</t>
  </si>
  <si>
    <t>E1077992S</t>
  </si>
  <si>
    <t>381992/HCC9</t>
  </si>
  <si>
    <t>1077992U</t>
  </si>
  <si>
    <t>381992/HC</t>
  </si>
  <si>
    <t>381992/C2</t>
  </si>
  <si>
    <t>2G1077992</t>
  </si>
  <si>
    <t>3819/670/HC</t>
  </si>
  <si>
    <t>10779/670S</t>
  </si>
  <si>
    <t>3819/670/C2</t>
  </si>
  <si>
    <t>2G10779/670</t>
  </si>
  <si>
    <t>3819/630/HC</t>
  </si>
  <si>
    <t>3810/530C2</t>
  </si>
  <si>
    <t>2G771/530</t>
  </si>
  <si>
    <t>3810/500C2</t>
  </si>
  <si>
    <t>2G771/500</t>
  </si>
  <si>
    <t>380692/YB2</t>
  </si>
  <si>
    <t>380692/C9YB2</t>
  </si>
  <si>
    <t>77792U</t>
  </si>
  <si>
    <t>380692/C2YB2</t>
  </si>
  <si>
    <t>2G77792</t>
  </si>
  <si>
    <t>380692/C2</t>
  </si>
  <si>
    <t>2G77892</t>
  </si>
  <si>
    <t>380688/HC</t>
  </si>
  <si>
    <t>77888S</t>
  </si>
  <si>
    <t>380688/C9</t>
  </si>
  <si>
    <t>77888U</t>
  </si>
  <si>
    <t>380688/C2</t>
  </si>
  <si>
    <t>2G77888</t>
  </si>
  <si>
    <t>380684/C2</t>
  </si>
  <si>
    <t>2G77884</t>
  </si>
  <si>
    <t>380680/HC</t>
  </si>
  <si>
    <t>77880S</t>
  </si>
  <si>
    <t>380679/YA</t>
  </si>
  <si>
    <t>77779K</t>
  </si>
  <si>
    <t>380679/HCC9</t>
  </si>
  <si>
    <t>77779S</t>
  </si>
  <si>
    <t>380679/C9</t>
  </si>
  <si>
    <t>77779U</t>
  </si>
  <si>
    <t>380679/C2</t>
  </si>
  <si>
    <t>2G77779</t>
  </si>
  <si>
    <t>380670/HC</t>
  </si>
  <si>
    <t>777770S</t>
  </si>
  <si>
    <t>380670/C3</t>
  </si>
  <si>
    <t>3G777770</t>
  </si>
  <si>
    <t>380670/C2</t>
  </si>
  <si>
    <t>2G777770</t>
  </si>
  <si>
    <t>380664/YB2</t>
  </si>
  <si>
    <t>3-703</t>
  </si>
  <si>
    <t>380649/C9</t>
  </si>
  <si>
    <t>77949U</t>
  </si>
  <si>
    <t>380641/C2</t>
  </si>
  <si>
    <t>2G77741</t>
  </si>
  <si>
    <t>3-744</t>
  </si>
  <si>
    <t>3806/750/C2</t>
  </si>
  <si>
    <t>2G777/750</t>
  </si>
  <si>
    <t>3806/660/C2</t>
  </si>
  <si>
    <t>2G777/660</t>
  </si>
  <si>
    <t>3806/650/YA5</t>
  </si>
  <si>
    <t>777/650K</t>
  </si>
  <si>
    <t>3806/650/YA</t>
  </si>
  <si>
    <t>3806/650/HCC9</t>
  </si>
  <si>
    <t>777/650SU</t>
  </si>
  <si>
    <t>3806/650/C2</t>
  </si>
  <si>
    <t>2G777/650</t>
  </si>
  <si>
    <t>3806/600</t>
  </si>
  <si>
    <t>777/600</t>
  </si>
  <si>
    <t>3806/530/C3</t>
  </si>
  <si>
    <t>3G30777/530</t>
  </si>
  <si>
    <t>220KBE30+L</t>
  </si>
  <si>
    <t>31313/S0</t>
  </si>
  <si>
    <t>27313ET</t>
  </si>
  <si>
    <t>31315/S0</t>
  </si>
  <si>
    <t>27315ET</t>
  </si>
  <si>
    <t>32209X2B</t>
  </si>
  <si>
    <t>27509E</t>
  </si>
  <si>
    <t>32934YA</t>
  </si>
  <si>
    <t>32005YA</t>
  </si>
  <si>
    <t>2007105EK</t>
  </si>
  <si>
    <t>32022Z1</t>
  </si>
  <si>
    <t>2007122EZ1</t>
  </si>
  <si>
    <t>32024/YA</t>
  </si>
  <si>
    <t>2007124K</t>
  </si>
  <si>
    <t>32028L1</t>
  </si>
  <si>
    <t>2007128EL</t>
  </si>
  <si>
    <t>32060/HC</t>
  </si>
  <si>
    <t>2007160S</t>
  </si>
  <si>
    <t>33118/YB2</t>
  </si>
  <si>
    <t>32213/Z1</t>
  </si>
  <si>
    <t>7513Z1</t>
  </si>
  <si>
    <t>32218/Z1</t>
  </si>
  <si>
    <t>7518EZ1</t>
  </si>
  <si>
    <t>32311/YA</t>
  </si>
  <si>
    <t>308/800YB2</t>
  </si>
  <si>
    <t>31856X2</t>
  </si>
  <si>
    <t>31092X2</t>
  </si>
  <si>
    <t>32008X1/WC</t>
  </si>
  <si>
    <t>32022X2/S0</t>
  </si>
  <si>
    <t>32028X2/L2</t>
  </si>
  <si>
    <t>32032X2/YA</t>
  </si>
  <si>
    <t>2007132K</t>
  </si>
  <si>
    <t>32044X2/S0</t>
  </si>
  <si>
    <t>7244T</t>
  </si>
  <si>
    <t>33011X2</t>
  </si>
  <si>
    <t>331133X2</t>
  </si>
  <si>
    <t>7813EK</t>
  </si>
  <si>
    <t>30203X2</t>
  </si>
  <si>
    <t>30204X2</t>
  </si>
  <si>
    <t>30205X2</t>
  </si>
  <si>
    <t>30211X2/YA</t>
  </si>
  <si>
    <t>30215X2</t>
  </si>
  <si>
    <t>30224X2</t>
  </si>
  <si>
    <t>32213X2</t>
  </si>
  <si>
    <t>32216X2/Z</t>
  </si>
  <si>
    <t>7516Z</t>
  </si>
  <si>
    <t>32222X2</t>
  </si>
  <si>
    <t>7522K</t>
  </si>
  <si>
    <t>33209X3</t>
  </si>
  <si>
    <t>7809E</t>
  </si>
  <si>
    <t>33217/HV</t>
  </si>
  <si>
    <t>7217X</t>
  </si>
  <si>
    <t>323/32X1TN1</t>
  </si>
  <si>
    <t>7806EA</t>
  </si>
  <si>
    <t>T2ED070/YA</t>
  </si>
  <si>
    <t>EXT2ED070K</t>
  </si>
  <si>
    <t>T5DD055</t>
  </si>
  <si>
    <t>306/19.05</t>
  </si>
  <si>
    <t>7804EY</t>
  </si>
  <si>
    <t>306/22.225</t>
  </si>
  <si>
    <t>7905E</t>
  </si>
  <si>
    <t>306/26</t>
  </si>
  <si>
    <t>7905EY</t>
  </si>
  <si>
    <t>306/30.213</t>
  </si>
  <si>
    <t>7906E</t>
  </si>
  <si>
    <t>306/45.25</t>
  </si>
  <si>
    <t>306/50.8</t>
  </si>
  <si>
    <t>306/50.8/S0</t>
  </si>
  <si>
    <t>7910KT</t>
  </si>
  <si>
    <t>7714E</t>
  </si>
  <si>
    <t>306/71</t>
  </si>
  <si>
    <t>7914K</t>
  </si>
  <si>
    <t>306/72</t>
  </si>
  <si>
    <t>7914E</t>
  </si>
  <si>
    <t>30615/HC</t>
  </si>
  <si>
    <t>306/182.6</t>
  </si>
  <si>
    <t>D7858</t>
  </si>
  <si>
    <t>306/209.55</t>
  </si>
  <si>
    <t>306/212.725</t>
  </si>
  <si>
    <t>306/292.1</t>
  </si>
  <si>
    <t>306/760-1</t>
  </si>
  <si>
    <t>79/760</t>
  </si>
  <si>
    <t>R31302</t>
  </si>
  <si>
    <t>877302E</t>
  </si>
  <si>
    <t>R32308</t>
  </si>
  <si>
    <t>877608E</t>
  </si>
  <si>
    <t>LR306/33.02-1</t>
  </si>
  <si>
    <t>977907K</t>
  </si>
  <si>
    <t>LR306/40.62-1</t>
  </si>
  <si>
    <t>977908K(9879)</t>
  </si>
  <si>
    <t>LR306/46.673-1</t>
  </si>
  <si>
    <t>977909K</t>
  </si>
  <si>
    <t>352132X2D1</t>
  </si>
  <si>
    <t>352052X2D1</t>
  </si>
  <si>
    <t>350307X2D</t>
  </si>
  <si>
    <t>372222X3</t>
  </si>
  <si>
    <t>372224X2</t>
  </si>
  <si>
    <t>187224E</t>
  </si>
  <si>
    <t>371180X2</t>
  </si>
  <si>
    <t>371184X2</t>
  </si>
  <si>
    <t>371188X2</t>
  </si>
  <si>
    <t>3711/500X2</t>
  </si>
  <si>
    <t>878/500</t>
  </si>
  <si>
    <t>3706/260.35</t>
  </si>
  <si>
    <t>3706/228.925</t>
  </si>
  <si>
    <t>87958K</t>
  </si>
  <si>
    <t>370660/YA</t>
  </si>
  <si>
    <t>3706/501.13/HC</t>
  </si>
  <si>
    <t>1879/510.13</t>
  </si>
  <si>
    <t>3506/530</t>
  </si>
  <si>
    <t>878/530</t>
  </si>
  <si>
    <t>31980/P59</t>
  </si>
  <si>
    <t>D109780U</t>
  </si>
  <si>
    <t>3519/600HC</t>
  </si>
  <si>
    <t>10979/600S</t>
  </si>
  <si>
    <t>3519/750HC</t>
  </si>
  <si>
    <t>10979/750S</t>
  </si>
  <si>
    <t>3519/800/C3S0</t>
  </si>
  <si>
    <t>3G10979/800T</t>
  </si>
  <si>
    <t>352064/C2</t>
  </si>
  <si>
    <t>2G2097164</t>
  </si>
  <si>
    <t>351184HC</t>
  </si>
  <si>
    <t>1097784S</t>
  </si>
  <si>
    <t>97509E</t>
  </si>
  <si>
    <t>97511E</t>
  </si>
  <si>
    <t>352215X2L1/P2</t>
  </si>
  <si>
    <t>97515L</t>
  </si>
  <si>
    <t>3529X2</t>
  </si>
  <si>
    <t>352952X2-2</t>
  </si>
  <si>
    <t>351080X2</t>
  </si>
  <si>
    <t>3510/710X2/C3</t>
  </si>
  <si>
    <t>3511/500X2</t>
  </si>
  <si>
    <t>978/500</t>
  </si>
  <si>
    <t>352122X2/YA</t>
  </si>
  <si>
    <t>2097722K</t>
  </si>
  <si>
    <t>351232X2</t>
  </si>
  <si>
    <t>352132X2/HA</t>
  </si>
  <si>
    <t>352134X2/YA</t>
  </si>
  <si>
    <t>2097734K</t>
  </si>
  <si>
    <t>97713FKT</t>
  </si>
  <si>
    <t>3506/129.5</t>
  </si>
  <si>
    <t>97726K</t>
  </si>
  <si>
    <t>3709/305.079</t>
  </si>
  <si>
    <t>3509/382/HA</t>
  </si>
  <si>
    <t>352223X2-2Z-1</t>
  </si>
  <si>
    <t>352223X3-2Z/HGS0</t>
  </si>
  <si>
    <t>197826GT</t>
  </si>
  <si>
    <t>3522262Z/S0</t>
  </si>
  <si>
    <t>197726T</t>
  </si>
  <si>
    <t>352226X1-2Z</t>
  </si>
  <si>
    <t>3506/119.095</t>
  </si>
  <si>
    <t>3506/165.087</t>
  </si>
  <si>
    <t>382968X2/C9</t>
  </si>
  <si>
    <t>77860U</t>
  </si>
  <si>
    <t>384080/HC</t>
  </si>
  <si>
    <t>77180S</t>
  </si>
  <si>
    <t>391092/C2</t>
  </si>
  <si>
    <t>2G77192</t>
  </si>
  <si>
    <t>3810/750</t>
  </si>
  <si>
    <t>771/750</t>
  </si>
  <si>
    <t>3810/750/C2</t>
  </si>
  <si>
    <t>2G771/750</t>
  </si>
  <si>
    <t>382064/P42</t>
  </si>
  <si>
    <t>381160/C9</t>
  </si>
  <si>
    <t>1077760U</t>
  </si>
  <si>
    <t>3811/850</t>
  </si>
  <si>
    <t>10777/850</t>
  </si>
  <si>
    <t>381052X2/C2</t>
  </si>
  <si>
    <t>381052X2/C3</t>
  </si>
  <si>
    <t>381152X2/C9</t>
  </si>
  <si>
    <t>77852U</t>
  </si>
  <si>
    <t>3811/750X2/HC</t>
  </si>
  <si>
    <t>3811/560X2/C2</t>
  </si>
  <si>
    <t>2G777/560</t>
  </si>
  <si>
    <t>3811/600X2</t>
  </si>
  <si>
    <t>381176X2</t>
  </si>
  <si>
    <t>380676/C2</t>
  </si>
  <si>
    <t>2G77776</t>
  </si>
  <si>
    <t>3806/488.95/YA3/P5</t>
  </si>
  <si>
    <t>D3-720</t>
  </si>
  <si>
    <t>32024R</t>
  </si>
  <si>
    <t>30601R</t>
  </si>
  <si>
    <t>306/622</t>
  </si>
  <si>
    <t>679/622</t>
  </si>
  <si>
    <t>306/622.3RM</t>
  </si>
  <si>
    <t>679/622H</t>
  </si>
  <si>
    <t>352024X2RDNA</t>
  </si>
  <si>
    <t>350620X2RD</t>
  </si>
  <si>
    <t>350628RD</t>
  </si>
  <si>
    <t>352024X2R</t>
  </si>
  <si>
    <t>2697124K(2657124)</t>
  </si>
  <si>
    <t>352028X2R</t>
  </si>
  <si>
    <t>352032X2RL1</t>
  </si>
  <si>
    <t>A2697132L</t>
  </si>
  <si>
    <t>352124R</t>
  </si>
  <si>
    <t>352216X2R</t>
  </si>
  <si>
    <t>352216X2RL1</t>
  </si>
  <si>
    <t>697516L</t>
  </si>
  <si>
    <t>352019X2R</t>
  </si>
  <si>
    <t>697819K</t>
  </si>
  <si>
    <t>320/328</t>
  </si>
  <si>
    <t>339/332</t>
  </si>
  <si>
    <t>392A/394A</t>
  </si>
  <si>
    <t>438/432</t>
  </si>
  <si>
    <t>444/432</t>
  </si>
  <si>
    <t>498/493</t>
  </si>
  <si>
    <t>527/522</t>
  </si>
  <si>
    <t>528X/520X</t>
  </si>
  <si>
    <t>535/532A</t>
  </si>
  <si>
    <t>536/532A</t>
  </si>
  <si>
    <t>AK53X/532X</t>
  </si>
  <si>
    <t>538/532A</t>
  </si>
  <si>
    <t>539/532</t>
  </si>
  <si>
    <t>539/532X</t>
  </si>
  <si>
    <t>539/532A</t>
  </si>
  <si>
    <t>539A/532X</t>
  </si>
  <si>
    <t>566/563X</t>
  </si>
  <si>
    <t>566/563</t>
  </si>
  <si>
    <t>567X/562X</t>
  </si>
  <si>
    <t>567A/562</t>
  </si>
  <si>
    <t>567/562</t>
  </si>
  <si>
    <t>567A/563</t>
  </si>
  <si>
    <t>569/562X</t>
  </si>
  <si>
    <t>569X/562</t>
  </si>
  <si>
    <t>570/562X</t>
  </si>
  <si>
    <t>570/562</t>
  </si>
  <si>
    <t>575S/572S</t>
  </si>
  <si>
    <t>582S/572S</t>
  </si>
  <si>
    <t>594/493X</t>
  </si>
  <si>
    <t>597/593X</t>
  </si>
  <si>
    <t>597/592</t>
  </si>
  <si>
    <t>615/612</t>
  </si>
  <si>
    <t>622X/613X</t>
  </si>
  <si>
    <t>622/614X</t>
  </si>
  <si>
    <t>639/632</t>
  </si>
  <si>
    <t>645/632X</t>
  </si>
  <si>
    <t>645/632</t>
  </si>
  <si>
    <t>759/752</t>
  </si>
  <si>
    <t>1755/1729X</t>
  </si>
  <si>
    <t>1779/1729</t>
  </si>
  <si>
    <t>1779/1729X</t>
  </si>
  <si>
    <t>1986/1932</t>
  </si>
  <si>
    <t>1998/1922</t>
  </si>
  <si>
    <t>2788/2729</t>
  </si>
  <si>
    <t>2984/2920</t>
  </si>
  <si>
    <t>2984/2924</t>
  </si>
  <si>
    <t>3984/3925</t>
  </si>
  <si>
    <t>3984/3926</t>
  </si>
  <si>
    <t>5557/5520</t>
  </si>
  <si>
    <t>8574/8520</t>
  </si>
  <si>
    <t>02473/02419</t>
  </si>
  <si>
    <t>02872/02820</t>
  </si>
  <si>
    <t>07100/07210</t>
  </si>
  <si>
    <t>07887/07210</t>
  </si>
  <si>
    <t>09074/09195</t>
  </si>
  <si>
    <t>09075/09196</t>
  </si>
  <si>
    <t>KA11020/11020Z</t>
  </si>
  <si>
    <t>KA11410/11410Z</t>
  </si>
  <si>
    <t>M12649S/M12610S</t>
  </si>
  <si>
    <t>M12649S/10</t>
  </si>
  <si>
    <t>15580/15520</t>
  </si>
  <si>
    <t>NA24776SW/K78175</t>
  </si>
  <si>
    <t>15877/25821</t>
  </si>
  <si>
    <t>22570/25520</t>
  </si>
  <si>
    <t>255720/25520</t>
  </si>
  <si>
    <t>26884/26882</t>
  </si>
  <si>
    <t>2780/27620</t>
  </si>
  <si>
    <t>28682/28622</t>
  </si>
  <si>
    <t>29590/29522A</t>
  </si>
  <si>
    <t>31590/31520</t>
  </si>
  <si>
    <t>31593/31520</t>
  </si>
  <si>
    <t>32310/32355</t>
  </si>
  <si>
    <t>33225/33472</t>
  </si>
  <si>
    <t>29.29.794</t>
  </si>
  <si>
    <t>33275/33472</t>
  </si>
  <si>
    <t>33885/33821</t>
  </si>
  <si>
    <t>33889/33821</t>
  </si>
  <si>
    <t>33891/33821</t>
  </si>
  <si>
    <t>36690/36920</t>
  </si>
  <si>
    <t>41126/41286</t>
  </si>
  <si>
    <t>44150/44348</t>
  </si>
  <si>
    <t>48086/48220</t>
  </si>
  <si>
    <t>53176/53375</t>
  </si>
  <si>
    <t>57305/30207J</t>
  </si>
  <si>
    <t>59175/59412</t>
  </si>
  <si>
    <t>59187/59412</t>
  </si>
  <si>
    <t>65237/65500</t>
  </si>
  <si>
    <t>65385/65320</t>
  </si>
  <si>
    <t>K65525/K75925</t>
  </si>
  <si>
    <t>73449/734410</t>
  </si>
  <si>
    <t>K75500/K75925</t>
  </si>
  <si>
    <t>K73825/K73125</t>
  </si>
  <si>
    <t>HN89448/HM89410</t>
  </si>
  <si>
    <t>HM228340/HM228310</t>
  </si>
  <si>
    <t>7924E</t>
  </si>
  <si>
    <t>HM26447/HM266410</t>
  </si>
  <si>
    <t>LL428439/LL428310</t>
  </si>
  <si>
    <t>JLM508748/JLM508710</t>
  </si>
  <si>
    <t>KJHM522649/KJHM522510-3</t>
  </si>
  <si>
    <t>527053/HM80710</t>
  </si>
  <si>
    <t>JM720249/JM716610</t>
  </si>
  <si>
    <t>EE722115/EE7221185</t>
  </si>
  <si>
    <t>FHM803146/FHN803110</t>
  </si>
  <si>
    <t>LM247748DW/710/710D</t>
  </si>
  <si>
    <t>LM451349/DW/310/310D</t>
  </si>
  <si>
    <t>M240648DW/611/611D</t>
  </si>
  <si>
    <t>M240631T/644TD/644TD/647T</t>
  </si>
  <si>
    <t>NA484/472D</t>
  </si>
  <si>
    <t>JRM3535/JRM3564XD</t>
  </si>
  <si>
    <t>JRM3939/JRM3968XD</t>
  </si>
  <si>
    <t>64450/64700D</t>
  </si>
  <si>
    <t>NA46790-SW/46720CD</t>
  </si>
  <si>
    <t>71437/71751D</t>
  </si>
  <si>
    <t>74550/74851ZDC</t>
  </si>
  <si>
    <t>EE114080/EE114161DC</t>
  </si>
  <si>
    <t>EE126098/EE126161CD</t>
  </si>
  <si>
    <t>HM126048/HM124618XD</t>
  </si>
  <si>
    <t>HM129848/HM129814XD</t>
  </si>
  <si>
    <t>EE181453/EE19235LD</t>
  </si>
  <si>
    <t>NA231400/231976CD</t>
  </si>
  <si>
    <t>JH211749/JH211710/DB</t>
  </si>
  <si>
    <t>KJH211749/KJH211710/DB</t>
  </si>
  <si>
    <t>KHM237545/KHM237510D</t>
  </si>
  <si>
    <t>HM237546DW/HM237510</t>
  </si>
  <si>
    <t>3-759</t>
  </si>
  <si>
    <t>HM237545/HM237510DC</t>
  </si>
  <si>
    <t>97136K</t>
  </si>
  <si>
    <t>HM237545/237510CD</t>
  </si>
  <si>
    <t>HM256849/HM256810D</t>
  </si>
  <si>
    <t>379411K</t>
  </si>
  <si>
    <t>LM239530T/LM239546TD-LM239549T</t>
  </si>
  <si>
    <t>(d</t>
  </si>
  <si>
    <t>EE243196/EE243251DC</t>
  </si>
  <si>
    <t>D3-725</t>
  </si>
  <si>
    <t>HH255149D/HH255110</t>
  </si>
  <si>
    <t>HH258249TD/HH258210</t>
  </si>
  <si>
    <t>HM262749TD/HM262710</t>
  </si>
  <si>
    <t>HM269010R/HM261049D</t>
  </si>
  <si>
    <t>HM265049/HM265010D/P</t>
  </si>
  <si>
    <t>E3-743</t>
  </si>
  <si>
    <t>HM2650497DS/HM265010S</t>
  </si>
  <si>
    <t>LM272249DW/LM27221-LM272210D</t>
  </si>
  <si>
    <t>M238848/M238810DC</t>
  </si>
  <si>
    <t>M249732/M249710CD</t>
  </si>
  <si>
    <t>M255449TD/M255410</t>
  </si>
  <si>
    <t>M268749DW/M268710</t>
  </si>
  <si>
    <t>M270749ADW/M270710</t>
  </si>
  <si>
    <t>M272749/M272710DC</t>
  </si>
  <si>
    <t>E3-723</t>
  </si>
  <si>
    <t>L357049NW/L357010D</t>
  </si>
  <si>
    <t>L357049/L357010D/C</t>
  </si>
  <si>
    <t>EE420800D/EE421450</t>
  </si>
  <si>
    <t>3-758</t>
  </si>
  <si>
    <t>JM511946/JM511910/DB</t>
  </si>
  <si>
    <t>KJHM534149/KJHM534110/DB</t>
  </si>
  <si>
    <t>EE722115/EE722186CD</t>
  </si>
  <si>
    <t>LM772748/LM772710CD</t>
  </si>
  <si>
    <t>EE738101DW/EE738172</t>
  </si>
  <si>
    <t>3-757</t>
  </si>
  <si>
    <t>EE822101D/EE822175</t>
  </si>
  <si>
    <t>EE843220/EE843292D</t>
  </si>
  <si>
    <t>3-737</t>
  </si>
  <si>
    <t>EE843220/EE843292D/P6</t>
  </si>
  <si>
    <t>3E3-737</t>
  </si>
  <si>
    <t>EE843220/EE843292D/C3</t>
  </si>
  <si>
    <t>3G3-737</t>
  </si>
  <si>
    <t>HM926749/HM926710D</t>
  </si>
  <si>
    <t>HH949549/HH949510D</t>
  </si>
  <si>
    <t>LM961548/LM961511D</t>
  </si>
  <si>
    <t>4T-HM903249/HM903210</t>
  </si>
  <si>
    <t>48680DW/4862/48620D</t>
  </si>
  <si>
    <t>77928UK</t>
  </si>
  <si>
    <t>47T513627AWF/DPGCS</t>
  </si>
  <si>
    <t>EE127097D/EE127135-127136D</t>
  </si>
  <si>
    <t>EE231475D/EE231975-231976D</t>
  </si>
  <si>
    <t>EE531201D/EE300/301XD</t>
  </si>
  <si>
    <t>3-721</t>
  </si>
  <si>
    <t>EE649241DW/EE649310/64</t>
  </si>
  <si>
    <t>779/609.6SU</t>
  </si>
  <si>
    <t>EE655271W/EE345/346D</t>
  </si>
  <si>
    <t>3-719</t>
  </si>
  <si>
    <t>EE65527W/EE345/346D/P</t>
  </si>
  <si>
    <t>D3-719</t>
  </si>
  <si>
    <t>HM266449DW/HM266410-HM266410CD</t>
  </si>
  <si>
    <t>K18790/K18720B+K28580/K28521/D</t>
  </si>
  <si>
    <t>KHM218248/KHM218210/DB</t>
  </si>
  <si>
    <t>K387A/K382B+K3979/K3920/DB</t>
  </si>
  <si>
    <t>K95525/K5925-3</t>
  </si>
  <si>
    <t>KEE127097D/K127135-K127136D</t>
  </si>
  <si>
    <t>KEE135111DW/K135155-135156D</t>
  </si>
  <si>
    <t>LM239530T/46TD/49T/1</t>
  </si>
  <si>
    <t>3-771</t>
  </si>
  <si>
    <t>LM247748DW/LM247710-LM247710D</t>
  </si>
  <si>
    <t>LM451349DW/310/310D</t>
  </si>
  <si>
    <t>LM451349DW/LM451310-LM451310D</t>
  </si>
  <si>
    <t>LM761648DW/LM761610-LM761610D</t>
  </si>
  <si>
    <t>LM761649DW/10/10/HC</t>
  </si>
  <si>
    <t>3-722S</t>
  </si>
  <si>
    <t>LM76164DW/610/610D/P</t>
  </si>
  <si>
    <t>D3-722</t>
  </si>
  <si>
    <t>LM761649DW/LW761610D</t>
  </si>
  <si>
    <t>E77969</t>
  </si>
  <si>
    <t>LM716649DW/LM761610-LM761610D</t>
  </si>
  <si>
    <t>LM769349D/LM769310-LM769310D</t>
  </si>
  <si>
    <t>LM274049DW/LM274010-LM2740010D</t>
  </si>
  <si>
    <t>M238849D/M238810-M238810D</t>
  </si>
  <si>
    <t>M204648DW.611.611D</t>
  </si>
  <si>
    <t>M240631T.644T.647T.</t>
  </si>
  <si>
    <t>M249748D/M249710-M249710D</t>
  </si>
  <si>
    <t>M249710C2/ORM249748D</t>
  </si>
  <si>
    <t>M252349/M252310-M252310D</t>
  </si>
  <si>
    <t>M255449DW/M255410-M25540D</t>
  </si>
  <si>
    <t>子轴承</t>
  </si>
  <si>
    <t>M257149DW/110/110D</t>
  </si>
  <si>
    <t>M257148/M257210-M257210D</t>
  </si>
  <si>
    <t>M274149DW/M274110-M27410D</t>
  </si>
  <si>
    <t>M282249DW/M282210/M2</t>
  </si>
  <si>
    <t>779/682.7S</t>
  </si>
  <si>
    <t>SKF 32308 J2/Q</t>
  </si>
  <si>
    <t>1KG</t>
  </si>
  <si>
    <t>LM102949/10</t>
  </si>
  <si>
    <t>T4DB180</t>
  </si>
  <si>
    <t>3.6kg</t>
  </si>
  <si>
    <t>715KG</t>
  </si>
  <si>
    <t>EE531201D/EE531300/EE531301XD</t>
  </si>
  <si>
    <t>579KG</t>
  </si>
  <si>
    <t>EE655271DW/655345/655346D</t>
  </si>
  <si>
    <t>3-723</t>
  </si>
  <si>
    <t>322KG</t>
  </si>
  <si>
    <t>M272749/M272710DC/P6</t>
  </si>
  <si>
    <t>3-752</t>
  </si>
  <si>
    <t>1007KG</t>
  </si>
  <si>
    <t>M278749DW/M278710/M278710D</t>
  </si>
  <si>
    <t>25.1KG</t>
  </si>
  <si>
    <t>EE291202/291749</t>
  </si>
  <si>
    <t>65.4KG</t>
  </si>
  <si>
    <t>3-743</t>
  </si>
  <si>
    <t>141KG</t>
  </si>
  <si>
    <t>HM65049/HM265010D/P6</t>
  </si>
  <si>
    <t>109KG</t>
  </si>
  <si>
    <t>M257248DW/257210/M257210D</t>
  </si>
  <si>
    <t>99.9KG</t>
  </si>
  <si>
    <t>M252349D/M252310/M252310D</t>
  </si>
  <si>
    <t>31.5KG</t>
  </si>
  <si>
    <t>25.2KG</t>
  </si>
  <si>
    <t>LM239530T/LM239546TD/LM239546T/LM239512D</t>
  </si>
  <si>
    <t>3-725</t>
  </si>
  <si>
    <t>127KG</t>
  </si>
  <si>
    <t>EE213196/243251DC/P5</t>
  </si>
  <si>
    <t>3-730</t>
  </si>
  <si>
    <t>107KG</t>
  </si>
  <si>
    <t>EE114080/114161DC</t>
  </si>
  <si>
    <t>334/332</t>
  </si>
  <si>
    <t>0.48KG</t>
  </si>
  <si>
    <t>11749/11710</t>
  </si>
  <si>
    <t>0.08KG</t>
  </si>
  <si>
    <t>11949/11910</t>
  </si>
  <si>
    <t>0.12KG</t>
  </si>
  <si>
    <t>12649/12610</t>
  </si>
  <si>
    <t>0.17KG</t>
  </si>
  <si>
    <t>12749/12711</t>
  </si>
  <si>
    <t>15123/15243</t>
  </si>
  <si>
    <t>0.24kg</t>
  </si>
  <si>
    <t>T25580/T25520</t>
  </si>
  <si>
    <t>0.57KG</t>
  </si>
  <si>
    <t>T25590/T25520</t>
  </si>
  <si>
    <t>0.55KG</t>
  </si>
  <si>
    <t>LM29478/LM29710</t>
  </si>
  <si>
    <t>0.24KG</t>
  </si>
  <si>
    <t>48680D/48620/48620D</t>
  </si>
  <si>
    <t>16KG</t>
  </si>
  <si>
    <t>48685/48620</t>
  </si>
  <si>
    <t>3.84kg</t>
  </si>
  <si>
    <t>M244249DW/M244210/M244210D</t>
  </si>
  <si>
    <t>58.4KG</t>
  </si>
  <si>
    <t>M244249DW/M244210/M211210D</t>
  </si>
  <si>
    <t>L44643/10</t>
  </si>
  <si>
    <t>0.1KG</t>
  </si>
  <si>
    <t>L44649/10</t>
  </si>
  <si>
    <t>46134/368</t>
  </si>
  <si>
    <t>1.7KG</t>
  </si>
  <si>
    <t>47686/20</t>
  </si>
  <si>
    <t>1.6KG</t>
  </si>
  <si>
    <t>48286/20</t>
  </si>
  <si>
    <t>48290/20</t>
  </si>
  <si>
    <t>3.3KG</t>
  </si>
  <si>
    <t>LM48548/10</t>
  </si>
  <si>
    <t>17.7KG</t>
  </si>
  <si>
    <t>LM48548/11A</t>
  </si>
  <si>
    <t>0.2KG</t>
  </si>
  <si>
    <t>56245/50</t>
  </si>
  <si>
    <t>2.7KG</t>
  </si>
  <si>
    <t>64450/700</t>
  </si>
  <si>
    <t>2.5kg</t>
  </si>
  <si>
    <t>LM67048/10</t>
  </si>
  <si>
    <t>LM68145/11</t>
  </si>
  <si>
    <t>L68149/11</t>
  </si>
  <si>
    <t>HM88542/10</t>
  </si>
  <si>
    <t>0.16KG</t>
  </si>
  <si>
    <t>HM86649/10</t>
  </si>
  <si>
    <t>21.7kg</t>
  </si>
  <si>
    <t>99600/100</t>
  </si>
  <si>
    <t>12.3KG</t>
  </si>
  <si>
    <t>LILM101918/10</t>
  </si>
  <si>
    <t>0.4KG</t>
  </si>
  <si>
    <t>JILM101948/10</t>
  </si>
  <si>
    <t>HM212049/10</t>
  </si>
  <si>
    <t>1.8KG</t>
  </si>
  <si>
    <t>HM21848/10</t>
  </si>
  <si>
    <t>2.5KG</t>
  </si>
  <si>
    <t>LM501349/10</t>
  </si>
  <si>
    <t>0.3KG</t>
  </si>
  <si>
    <t>09074/Q</t>
  </si>
  <si>
    <t>30621X2</t>
  </si>
  <si>
    <t>7821E</t>
  </si>
  <si>
    <t>30207 J2/Q</t>
  </si>
  <si>
    <t>30206 J2/Q</t>
  </si>
  <si>
    <t>30205 J2/Q</t>
  </si>
  <si>
    <t>JL69349A/310Q</t>
  </si>
  <si>
    <t>JL69349X/310/Q</t>
  </si>
  <si>
    <t>T2EE040/QVB134</t>
  </si>
  <si>
    <t>T7FC045/HN3QCL7C</t>
  </si>
  <si>
    <t>45364R</t>
  </si>
  <si>
    <t>452/500</t>
  </si>
  <si>
    <t>453/500</t>
  </si>
  <si>
    <t>46T30305DJ/29.5</t>
  </si>
  <si>
    <t>46T30306DJ/31.5</t>
  </si>
  <si>
    <t>46T30307DJ/35.5</t>
  </si>
  <si>
    <t>46T30208J/37.5</t>
  </si>
  <si>
    <t>46T32208J/43.5</t>
  </si>
  <si>
    <t>46T30308DJ/39.5</t>
  </si>
  <si>
    <t>46T30308J/45.5</t>
  </si>
  <si>
    <t>46T30209J/37.5</t>
  </si>
  <si>
    <t>46T32209J/43.5</t>
  </si>
  <si>
    <t>46T30309DJ/41.5</t>
  </si>
  <si>
    <t>46T30309J/49.5</t>
  </si>
  <si>
    <t>46T30210J/39.5</t>
  </si>
  <si>
    <t>46T32210J/43.5</t>
  </si>
  <si>
    <t>46T30310DJ/43.5</t>
  </si>
  <si>
    <t>46T30310J/51.5</t>
  </si>
  <si>
    <t>46T32310J/71.5</t>
  </si>
  <si>
    <t>46T30211J/41.5</t>
  </si>
  <si>
    <t>46T32211J/48.5</t>
  </si>
  <si>
    <t>46T30311DJ/49</t>
  </si>
  <si>
    <t>46T30311J/57</t>
  </si>
  <si>
    <t>46T32311J/76</t>
  </si>
  <si>
    <t>46T30212J/43.5</t>
  </si>
  <si>
    <t>46T32212J/54.5</t>
  </si>
  <si>
    <t>46T30312DJ/51</t>
  </si>
  <si>
    <t>46T30312J/59</t>
  </si>
  <si>
    <t>46T32312J/81</t>
  </si>
  <si>
    <t>46T30213J46.5</t>
  </si>
  <si>
    <t>46T32213J/61.5</t>
  </si>
  <si>
    <t>46T30313DJ/53</t>
  </si>
  <si>
    <t>46T30313J/63</t>
  </si>
  <si>
    <t>46T32313J/84</t>
  </si>
  <si>
    <t>46T30214J/48.5</t>
  </si>
  <si>
    <t>46T32214J/61.5</t>
  </si>
  <si>
    <t>46T30314DJ/57</t>
  </si>
  <si>
    <t>46T30314J/67</t>
  </si>
  <si>
    <t>46T32314J/92</t>
  </si>
  <si>
    <t>46215A</t>
  </si>
  <si>
    <t>46T30215J/51.5</t>
  </si>
  <si>
    <t>46T32215J/61.5</t>
  </si>
  <si>
    <t>46T30315J/69</t>
  </si>
  <si>
    <t>46T32315J/99</t>
  </si>
  <si>
    <t>46T30216J/51.5</t>
  </si>
  <si>
    <t>46T32216J/63.5</t>
  </si>
  <si>
    <t>46T30316J/73</t>
  </si>
  <si>
    <t>46T32316J/104</t>
  </si>
  <si>
    <t>46T30217J/57</t>
  </si>
  <si>
    <t>46T32217J/69</t>
  </si>
  <si>
    <t>46T30317J/77</t>
  </si>
  <si>
    <t>46T32317J/108</t>
  </si>
  <si>
    <t>46218A</t>
  </si>
  <si>
    <t>46T30218J/61</t>
  </si>
  <si>
    <t>46T32218J/77</t>
  </si>
  <si>
    <t>46T30318J/81</t>
  </si>
  <si>
    <t>46T32318J/115</t>
  </si>
  <si>
    <t>46T30219J/63</t>
  </si>
  <si>
    <t>46T32219J/83</t>
  </si>
  <si>
    <t>46T30319J/85</t>
  </si>
  <si>
    <t>46T32319J/118</t>
  </si>
  <si>
    <t>46220A</t>
  </si>
  <si>
    <t>46320A</t>
  </si>
  <si>
    <t>46T30220J/67</t>
  </si>
  <si>
    <t>46T32220J/87</t>
  </si>
  <si>
    <t>46T30320J/87</t>
  </si>
  <si>
    <t>46T32320J/127</t>
  </si>
  <si>
    <t>46T30221J/70</t>
  </si>
  <si>
    <t>46T32221J/95</t>
  </si>
  <si>
    <t>46T30321J/91</t>
  </si>
  <si>
    <t>46T32321J/113</t>
  </si>
  <si>
    <t>46322A</t>
  </si>
  <si>
    <t>46T30222J/74</t>
  </si>
  <si>
    <t>46T32222J/101</t>
  </si>
  <si>
    <t>46T30322J/93</t>
  </si>
  <si>
    <t>46T32322J/142</t>
  </si>
  <si>
    <t>46224A</t>
  </si>
  <si>
    <t>30202JR</t>
  </si>
  <si>
    <t>30203JR</t>
  </si>
  <si>
    <t>32203JR</t>
  </si>
  <si>
    <t>30303JR</t>
  </si>
  <si>
    <t>30303R</t>
  </si>
  <si>
    <t>32303JR</t>
  </si>
  <si>
    <t>32004JR</t>
  </si>
  <si>
    <t>37008R</t>
  </si>
  <si>
    <t>30204JR</t>
  </si>
  <si>
    <t>32204JR</t>
  </si>
  <si>
    <t>32204XR</t>
  </si>
  <si>
    <t>30304AJR</t>
  </si>
  <si>
    <t>32304CR</t>
  </si>
  <si>
    <t>32304JR</t>
  </si>
  <si>
    <t>320/22JR</t>
  </si>
  <si>
    <t>T2CC022</t>
  </si>
  <si>
    <t>302/22CR</t>
  </si>
  <si>
    <t>302/22R</t>
  </si>
  <si>
    <t>322/22CR</t>
  </si>
  <si>
    <t>322/22R</t>
  </si>
  <si>
    <t>303/22XR</t>
  </si>
  <si>
    <t>303/22R</t>
  </si>
  <si>
    <t>323/22CR</t>
  </si>
  <si>
    <t>323/22R</t>
  </si>
  <si>
    <t>32005JR</t>
  </si>
  <si>
    <t>3305JR</t>
  </si>
  <si>
    <t>30205XR</t>
  </si>
  <si>
    <t>30205JR</t>
  </si>
  <si>
    <t>32205XR</t>
  </si>
  <si>
    <t>32205JR</t>
  </si>
  <si>
    <t>33205JR</t>
  </si>
  <si>
    <t>30305DJR</t>
  </si>
  <si>
    <t>TR0506R</t>
  </si>
  <si>
    <t>30305JR</t>
  </si>
  <si>
    <t>32305XR</t>
  </si>
  <si>
    <t>32305JR</t>
  </si>
  <si>
    <t>320/2JR</t>
  </si>
  <si>
    <t>302/28CR</t>
  </si>
  <si>
    <t>302/28R</t>
  </si>
  <si>
    <t>322/28CR</t>
  </si>
  <si>
    <t>322/28R</t>
  </si>
  <si>
    <t>332/28JR</t>
  </si>
  <si>
    <t>303/28CR</t>
  </si>
  <si>
    <t>303/28R</t>
  </si>
  <si>
    <t>323/28CR</t>
  </si>
  <si>
    <t>32006JR</t>
  </si>
  <si>
    <t>33006JR</t>
  </si>
  <si>
    <t>30206CR</t>
  </si>
  <si>
    <t>30206JR</t>
  </si>
  <si>
    <t>32206XR</t>
  </si>
  <si>
    <t>32206JR</t>
  </si>
  <si>
    <t>33206JR</t>
  </si>
  <si>
    <t>30306DJR</t>
  </si>
  <si>
    <t>TRA0607R</t>
  </si>
  <si>
    <t>30306JR</t>
  </si>
  <si>
    <t>32306CR</t>
  </si>
  <si>
    <t>32306JR</t>
  </si>
  <si>
    <t>320/32JR</t>
  </si>
  <si>
    <t>302/32CR</t>
  </si>
  <si>
    <t>302/32R</t>
  </si>
  <si>
    <t>322/32CR</t>
  </si>
  <si>
    <t>322/32</t>
  </si>
  <si>
    <t>332/32JR</t>
  </si>
  <si>
    <t>303/32CR</t>
  </si>
  <si>
    <t>303/32R</t>
  </si>
  <si>
    <t>TR0608A</t>
  </si>
  <si>
    <t>323/32R</t>
  </si>
  <si>
    <t>32907JR</t>
  </si>
  <si>
    <t>32007JR</t>
  </si>
  <si>
    <t>33007JR</t>
  </si>
  <si>
    <t>30207CR</t>
  </si>
  <si>
    <t>30207JR</t>
  </si>
  <si>
    <t>32207-1R</t>
  </si>
  <si>
    <t>32207JR</t>
  </si>
  <si>
    <t>33207JR</t>
  </si>
  <si>
    <t>30307DJR</t>
  </si>
  <si>
    <t>30307XR</t>
  </si>
  <si>
    <t>30307JR-1</t>
  </si>
  <si>
    <t>TR0708-1R</t>
  </si>
  <si>
    <t>32307JR</t>
  </si>
  <si>
    <t>32908JR</t>
  </si>
  <si>
    <t>32008JR</t>
  </si>
  <si>
    <t>33008JR</t>
  </si>
  <si>
    <t>33108JR</t>
  </si>
  <si>
    <t>30208CR</t>
  </si>
  <si>
    <t>30208JR</t>
  </si>
  <si>
    <t>32208CR</t>
  </si>
  <si>
    <t>32208JR</t>
  </si>
  <si>
    <t>33208JR</t>
  </si>
  <si>
    <t>T2EE040</t>
  </si>
  <si>
    <t>30308DJR</t>
  </si>
  <si>
    <t>30308XR</t>
  </si>
  <si>
    <t>30308JR</t>
  </si>
  <si>
    <t>TR0809AR</t>
  </si>
  <si>
    <t>32308JR</t>
  </si>
  <si>
    <t>32909JR</t>
  </si>
  <si>
    <t>32009JR</t>
  </si>
  <si>
    <t>33009JR</t>
  </si>
  <si>
    <t>33109JR</t>
  </si>
  <si>
    <t>30209XR</t>
  </si>
  <si>
    <t>30209JR</t>
  </si>
  <si>
    <t>32209CR</t>
  </si>
  <si>
    <t>32209JR-1</t>
  </si>
  <si>
    <t>33209JR</t>
  </si>
  <si>
    <t>T7FC045</t>
  </si>
  <si>
    <t>T2ED405</t>
  </si>
  <si>
    <t>30309DJR</t>
  </si>
  <si>
    <t>30309CR</t>
  </si>
  <si>
    <t>30309JR</t>
  </si>
  <si>
    <t>32309CR</t>
  </si>
  <si>
    <t>32309JR</t>
  </si>
  <si>
    <t>32910JR</t>
  </si>
  <si>
    <t>32010JR</t>
  </si>
  <si>
    <t>33010JR</t>
  </si>
  <si>
    <t>33110JR</t>
  </si>
  <si>
    <t>30210CR</t>
  </si>
  <si>
    <t>30210JR</t>
  </si>
  <si>
    <t>32210CR</t>
  </si>
  <si>
    <t>32210JR</t>
  </si>
  <si>
    <t>33210JR</t>
  </si>
  <si>
    <t>T2ED050</t>
  </si>
  <si>
    <t>T7EC050</t>
  </si>
  <si>
    <t>30310DJR</t>
  </si>
  <si>
    <t>30310CR</t>
  </si>
  <si>
    <t>30310JR</t>
  </si>
  <si>
    <t>32310CR</t>
  </si>
  <si>
    <t>32310JR</t>
  </si>
  <si>
    <t>32911JR</t>
  </si>
  <si>
    <t>32011JR</t>
  </si>
  <si>
    <t>33011JR</t>
  </si>
  <si>
    <t>33111JR</t>
  </si>
  <si>
    <t>30211CR</t>
  </si>
  <si>
    <t>30211JR</t>
  </si>
  <si>
    <t>32211CR</t>
  </si>
  <si>
    <t>32211JR-1</t>
  </si>
  <si>
    <t>33211JR</t>
  </si>
  <si>
    <t>T7FC055</t>
  </si>
  <si>
    <t>30311DJR</t>
  </si>
  <si>
    <t>30311CR</t>
  </si>
  <si>
    <t>30311JR</t>
  </si>
  <si>
    <t>32311C</t>
  </si>
  <si>
    <t>32311J</t>
  </si>
  <si>
    <t>32311JR</t>
  </si>
  <si>
    <t>2771E</t>
  </si>
  <si>
    <t>32912JR</t>
  </si>
  <si>
    <t>32012JR</t>
  </si>
  <si>
    <t>33012JR</t>
  </si>
  <si>
    <t>33112JR</t>
  </si>
  <si>
    <t>30212CR</t>
  </si>
  <si>
    <t>30212JR</t>
  </si>
  <si>
    <t>32212CR</t>
  </si>
  <si>
    <t>32212JR</t>
  </si>
  <si>
    <t>33212JR</t>
  </si>
  <si>
    <t>T5ED060</t>
  </si>
  <si>
    <t>T2EE060</t>
  </si>
  <si>
    <t>T7FC060</t>
  </si>
  <si>
    <t>30312DJR</t>
  </si>
  <si>
    <t>30312CR</t>
  </si>
  <si>
    <t>30312JR</t>
  </si>
  <si>
    <t>32312CR</t>
  </si>
  <si>
    <t>32312J</t>
  </si>
  <si>
    <t>32312JR</t>
  </si>
  <si>
    <t>32913JR</t>
  </si>
  <si>
    <t>32013JR</t>
  </si>
  <si>
    <t>33013JR</t>
  </si>
  <si>
    <t>33113JR</t>
  </si>
  <si>
    <t>30213CR</t>
  </si>
  <si>
    <t>30213JR</t>
  </si>
  <si>
    <t>32213CR</t>
  </si>
  <si>
    <t>32213JR</t>
  </si>
  <si>
    <t>T5ED065</t>
  </si>
  <si>
    <t>33213JR</t>
  </si>
  <si>
    <t>T7FC065</t>
  </si>
  <si>
    <t>30313DJR</t>
  </si>
  <si>
    <t>30313CR</t>
  </si>
  <si>
    <t>30313JR</t>
  </si>
  <si>
    <t>32313CR</t>
  </si>
  <si>
    <t>32313J</t>
  </si>
  <si>
    <t>32313JR</t>
  </si>
  <si>
    <t>32914JR</t>
  </si>
  <si>
    <t>32014JR</t>
  </si>
  <si>
    <t>33014JR</t>
  </si>
  <si>
    <t>33114JR</t>
  </si>
  <si>
    <t>30214CR</t>
  </si>
  <si>
    <t>30214JR</t>
  </si>
  <si>
    <t>32214CR</t>
  </si>
  <si>
    <t>32214JR</t>
  </si>
  <si>
    <t>33214JR</t>
  </si>
  <si>
    <t>T7FC070</t>
  </si>
  <si>
    <t>T4FE070</t>
  </si>
  <si>
    <t>30314DJR</t>
  </si>
  <si>
    <t>30314CR</t>
  </si>
  <si>
    <t>30314JR</t>
  </si>
  <si>
    <t>32314C</t>
  </si>
  <si>
    <t>32314JR</t>
  </si>
  <si>
    <t>32915JR</t>
  </si>
  <si>
    <t>32015JR</t>
  </si>
  <si>
    <t>33015JR</t>
  </si>
  <si>
    <t>33115JR</t>
  </si>
  <si>
    <t>30215CR</t>
  </si>
  <si>
    <t>30215JR</t>
  </si>
  <si>
    <t>32215CR</t>
  </si>
  <si>
    <t>32215JR</t>
  </si>
  <si>
    <t>33215JR</t>
  </si>
  <si>
    <t>T7FC075</t>
  </si>
  <si>
    <t>30315DJR</t>
  </si>
  <si>
    <t>30315DR</t>
  </si>
  <si>
    <t>30315CR</t>
  </si>
  <si>
    <t>30315JR</t>
  </si>
  <si>
    <t>30315R</t>
  </si>
  <si>
    <t>32315CR</t>
  </si>
  <si>
    <t>32315JR</t>
  </si>
  <si>
    <t>32315R</t>
  </si>
  <si>
    <t>32916JR</t>
  </si>
  <si>
    <t>32016JR</t>
  </si>
  <si>
    <t>33016JR</t>
  </si>
  <si>
    <t>33116JR</t>
  </si>
  <si>
    <t>30216JR</t>
  </si>
  <si>
    <t>32216JR</t>
  </si>
  <si>
    <t>33216JR</t>
  </si>
  <si>
    <t>T2ED080</t>
  </si>
  <si>
    <t>30316DJR</t>
  </si>
  <si>
    <t>30316JR</t>
  </si>
  <si>
    <t>30316R</t>
  </si>
  <si>
    <t>32316J</t>
  </si>
  <si>
    <t>32316JR</t>
  </si>
  <si>
    <t>32917JR</t>
  </si>
  <si>
    <t>32017JR</t>
  </si>
  <si>
    <t>33017JR</t>
  </si>
  <si>
    <t>33117JR</t>
  </si>
  <si>
    <t>30217JR</t>
  </si>
  <si>
    <t>32217JR</t>
  </si>
  <si>
    <t>33217JR</t>
  </si>
  <si>
    <t>30317D</t>
  </si>
  <si>
    <t>30317DJR</t>
  </si>
  <si>
    <t>30317JR</t>
  </si>
  <si>
    <t>30317R</t>
  </si>
  <si>
    <t>32317JR</t>
  </si>
  <si>
    <t>32918JR</t>
  </si>
  <si>
    <t>32018JR</t>
  </si>
  <si>
    <t>33018JR</t>
  </si>
  <si>
    <t>33118JR</t>
  </si>
  <si>
    <t>T2ED090</t>
  </si>
  <si>
    <t>30218JR</t>
  </si>
  <si>
    <t>32218JR</t>
  </si>
  <si>
    <t>33218JR</t>
  </si>
  <si>
    <t>30318DJR</t>
  </si>
  <si>
    <t>30318DR</t>
  </si>
  <si>
    <t>30318JR</t>
  </si>
  <si>
    <t>30318R</t>
  </si>
  <si>
    <t>32318JR</t>
  </si>
  <si>
    <t>32919JR</t>
  </si>
  <si>
    <t>32019JR</t>
  </si>
  <si>
    <t>33019JR</t>
  </si>
  <si>
    <t>T2ED095</t>
  </si>
  <si>
    <t>33119JR</t>
  </si>
  <si>
    <t>30219JR</t>
  </si>
  <si>
    <t>32219JR</t>
  </si>
  <si>
    <t>33219JR</t>
  </si>
  <si>
    <t>30319DJR</t>
  </si>
  <si>
    <t>30319DR</t>
  </si>
  <si>
    <t>30319JR</t>
  </si>
  <si>
    <t>32319JR</t>
  </si>
  <si>
    <t>32920JR</t>
  </si>
  <si>
    <t>T4CB100</t>
  </si>
  <si>
    <t>32020JR</t>
  </si>
  <si>
    <t>33020JR</t>
  </si>
  <si>
    <t>T2EE100</t>
  </si>
  <si>
    <t>33120JR</t>
  </si>
  <si>
    <t>30220JR</t>
  </si>
  <si>
    <t>32220JR</t>
  </si>
  <si>
    <t>33220JR</t>
  </si>
  <si>
    <t>30320D</t>
  </si>
  <si>
    <t>30320JR</t>
  </si>
  <si>
    <t>31320JR</t>
  </si>
  <si>
    <t>32320JR</t>
  </si>
  <si>
    <t>32921JR</t>
  </si>
  <si>
    <t>32021JR</t>
  </si>
  <si>
    <t>33021JR</t>
  </si>
  <si>
    <t>33121JR</t>
  </si>
  <si>
    <t>30221JR</t>
  </si>
  <si>
    <t>32221JR</t>
  </si>
  <si>
    <t>33221JR</t>
  </si>
  <si>
    <t>30321D</t>
  </si>
  <si>
    <t>30321JR</t>
  </si>
  <si>
    <t>31321JR</t>
  </si>
  <si>
    <t>32321JR</t>
  </si>
  <si>
    <t>32922JR</t>
  </si>
  <si>
    <t>T4CB110</t>
  </si>
  <si>
    <t>32022JR</t>
  </si>
  <si>
    <t>33022JR</t>
  </si>
  <si>
    <t>33122JR</t>
  </si>
  <si>
    <t>32222JR</t>
  </si>
  <si>
    <t>30322D</t>
  </si>
  <si>
    <t>30322JR</t>
  </si>
  <si>
    <t>31322JR</t>
  </si>
  <si>
    <t>32322JR</t>
  </si>
  <si>
    <t>32924JR</t>
  </si>
  <si>
    <t>T4CB120</t>
  </si>
  <si>
    <t>32024JR</t>
  </si>
  <si>
    <t>33024JR</t>
  </si>
  <si>
    <t>33124JR</t>
  </si>
  <si>
    <t>30224JR</t>
  </si>
  <si>
    <t>32224JR</t>
  </si>
  <si>
    <t>30324D</t>
  </si>
  <si>
    <t>30324JR</t>
  </si>
  <si>
    <t>31324JR</t>
  </si>
  <si>
    <t>32324JR</t>
  </si>
  <si>
    <t>32324R</t>
  </si>
  <si>
    <t>32926JR</t>
  </si>
  <si>
    <t>T4CB130</t>
  </si>
  <si>
    <t>32026JR</t>
  </si>
  <si>
    <t>33026JR</t>
  </si>
  <si>
    <t>30226JR</t>
  </si>
  <si>
    <t>32226JR</t>
  </si>
  <si>
    <t>30326D</t>
  </si>
  <si>
    <t>30326JR</t>
  </si>
  <si>
    <t>31326JR</t>
  </si>
  <si>
    <t>32928JR</t>
  </si>
  <si>
    <t>T4CB140</t>
  </si>
  <si>
    <t>32028JR</t>
  </si>
  <si>
    <t>33028JR</t>
  </si>
  <si>
    <t>30228JR</t>
  </si>
  <si>
    <t>32228JR</t>
  </si>
  <si>
    <t>30328D</t>
  </si>
  <si>
    <t>30328JR</t>
  </si>
  <si>
    <t>31328JR</t>
  </si>
  <si>
    <t>32328R</t>
  </si>
  <si>
    <t>32930JR</t>
  </si>
  <si>
    <t>32030JR</t>
  </si>
  <si>
    <t>33030JR</t>
  </si>
  <si>
    <t>30230JR</t>
  </si>
  <si>
    <t>32230JR-</t>
  </si>
  <si>
    <t>30330D</t>
  </si>
  <si>
    <t>30330JR</t>
  </si>
  <si>
    <t>31330JR</t>
  </si>
  <si>
    <t>32330R</t>
  </si>
  <si>
    <t>T4DB160</t>
  </si>
  <si>
    <t>32932JR</t>
  </si>
  <si>
    <t>32032JR</t>
  </si>
  <si>
    <t>30232JR</t>
  </si>
  <si>
    <t>32232JR</t>
  </si>
  <si>
    <t>30332D</t>
  </si>
  <si>
    <t>30332JR</t>
  </si>
  <si>
    <t>32934JR</t>
  </si>
  <si>
    <t>32034JR</t>
  </si>
  <si>
    <t>32234JR</t>
  </si>
  <si>
    <t>30334D</t>
  </si>
  <si>
    <t>30334JR</t>
  </si>
  <si>
    <t>32936JR</t>
  </si>
  <si>
    <t>32036JR</t>
  </si>
  <si>
    <t>30236JR</t>
  </si>
  <si>
    <t>32236JR</t>
  </si>
  <si>
    <t>30336D</t>
  </si>
  <si>
    <t>32938JR</t>
  </si>
  <si>
    <t>32038JR</t>
  </si>
  <si>
    <t>30238JR</t>
  </si>
  <si>
    <t>32238JR</t>
  </si>
  <si>
    <t>30338D</t>
  </si>
  <si>
    <t>32940JR</t>
  </si>
  <si>
    <t>32040JR</t>
  </si>
  <si>
    <t>30240JR</t>
  </si>
  <si>
    <t>32240JR</t>
  </si>
  <si>
    <t>30340D</t>
  </si>
  <si>
    <t>32944JR</t>
  </si>
  <si>
    <t>32044JR</t>
  </si>
  <si>
    <t>30244R</t>
  </si>
  <si>
    <t>32948JR</t>
  </si>
  <si>
    <t>32048JR</t>
  </si>
  <si>
    <t>30248R</t>
  </si>
  <si>
    <t>32952JR</t>
  </si>
  <si>
    <t>32052JR</t>
  </si>
  <si>
    <t>32956JR</t>
  </si>
  <si>
    <t>32056JR</t>
  </si>
  <si>
    <t>32960JR</t>
  </si>
  <si>
    <t>32060JR</t>
  </si>
  <si>
    <t>32964JR</t>
  </si>
  <si>
    <t>32064JR</t>
  </si>
  <si>
    <t>32968JR</t>
  </si>
  <si>
    <t>32972JR</t>
  </si>
  <si>
    <t>31084×2</t>
  </si>
  <si>
    <t>46324A</t>
  </si>
  <si>
    <t>46324AS</t>
  </si>
  <si>
    <t>46T30224J/78</t>
  </si>
  <si>
    <t>46T32224J/109</t>
  </si>
  <si>
    <t>46T30324J/101</t>
  </si>
  <si>
    <t>46T32324J/145</t>
  </si>
  <si>
    <t>46226A</t>
  </si>
  <si>
    <t>46326A</t>
  </si>
  <si>
    <t>46T30226J/78.5</t>
  </si>
  <si>
    <t>46T32226J/117.5</t>
  </si>
  <si>
    <t>46T30326J/107.5</t>
  </si>
  <si>
    <t>46T32326J/163.5</t>
  </si>
  <si>
    <t>46228A</t>
  </si>
  <si>
    <r>
      <rPr>
        <b/>
        <sz val="14"/>
        <rFont val="Arial"/>
        <family val="2"/>
      </rPr>
      <t>External</t>
    </r>
    <r>
      <rPr>
        <b/>
        <sz val="14"/>
        <color indexed="10"/>
        <rFont val="細明體"/>
        <charset val="136"/>
      </rPr>
      <t>外螺紋</t>
    </r>
  </si>
  <si>
    <t>Internal</t>
  </si>
  <si>
    <t>ISO Metric profile</t>
  </si>
  <si>
    <r>
      <rPr>
        <b/>
        <sz val="12"/>
        <rFont val="Arial"/>
        <family val="2"/>
      </rPr>
      <t>Major Dia</t>
    </r>
    <r>
      <rPr>
        <b/>
        <sz val="12"/>
        <color indexed="10"/>
        <rFont val="細明體"/>
        <charset val="136"/>
      </rPr>
      <t>大徑</t>
    </r>
  </si>
  <si>
    <r>
      <rPr>
        <b/>
        <sz val="12"/>
        <rFont val="Arial"/>
        <family val="2"/>
      </rPr>
      <t>Pitch Dia</t>
    </r>
    <r>
      <rPr>
        <b/>
        <sz val="12"/>
        <color indexed="10"/>
        <rFont val="細明體"/>
        <charset val="136"/>
      </rPr>
      <t>中徑</t>
    </r>
  </si>
  <si>
    <t>Minor Dia</t>
  </si>
  <si>
    <t>Pitch Dia</t>
  </si>
  <si>
    <t>Major Dia</t>
  </si>
  <si>
    <t>Tap Drill</t>
  </si>
  <si>
    <t>Size</t>
  </si>
  <si>
    <t>Thread Designation</t>
  </si>
  <si>
    <t>Class</t>
  </si>
  <si>
    <t>Max</t>
  </si>
  <si>
    <t>Min</t>
  </si>
  <si>
    <t>Basic</t>
  </si>
  <si>
    <t>M0.25x0.075</t>
  </si>
  <si>
    <t>6g</t>
  </si>
  <si>
    <t>6H</t>
  </si>
  <si>
    <t>4g6g</t>
  </si>
  <si>
    <t>M0.3x0.08</t>
  </si>
  <si>
    <t>M0.3x0.09</t>
  </si>
  <si>
    <t>M0.35x0.09</t>
  </si>
  <si>
    <t>M0.4x0.1</t>
  </si>
  <si>
    <t>M0.45x0.1</t>
  </si>
  <si>
    <t>M0.5x0.125</t>
  </si>
  <si>
    <t>M0.55x0.125</t>
  </si>
  <si>
    <t>M0.6x0.15</t>
  </si>
  <si>
    <t>M0.7x0.175</t>
  </si>
  <si>
    <t>M0.8x0.2</t>
  </si>
  <si>
    <t>M0.9x0.225</t>
  </si>
  <si>
    <t>M1x0.25</t>
  </si>
  <si>
    <t>M1x0.2</t>
  </si>
  <si>
    <t>M1.1x0.25</t>
  </si>
  <si>
    <t>M1.1x0.2</t>
  </si>
  <si>
    <t>M1.2x0.25</t>
  </si>
  <si>
    <t>M1.2x0.2</t>
  </si>
  <si>
    <t>M1.4x0.3</t>
  </si>
  <si>
    <t>M1.4x0.2</t>
  </si>
  <si>
    <t>M1.6x0.35</t>
  </si>
  <si>
    <t>M1.6x0.3</t>
  </si>
  <si>
    <t>M1.6x0.2</t>
  </si>
  <si>
    <t>M1.7x0.35</t>
  </si>
  <si>
    <t>M1.8x0.35</t>
  </si>
  <si>
    <t>M1.8x0.2</t>
  </si>
  <si>
    <t>M2x0.4</t>
  </si>
  <si>
    <t>M2x0.25</t>
  </si>
  <si>
    <t>M2.2x0.45</t>
  </si>
  <si>
    <t>M2.2x0.25</t>
  </si>
  <si>
    <t>M2.3x0.45</t>
  </si>
  <si>
    <t>M2.3x0.4</t>
  </si>
  <si>
    <t>M2.5x0.45</t>
  </si>
  <si>
    <t>M2.5x0.35</t>
  </si>
  <si>
    <t>M2.6x0.45</t>
  </si>
  <si>
    <t>M3x0.5</t>
  </si>
  <si>
    <t>M3x0.35</t>
  </si>
  <si>
    <t>M3.5x0.6</t>
  </si>
  <si>
    <t>M3.5x0.35</t>
  </si>
  <si>
    <t>M4x0.7</t>
  </si>
  <si>
    <t>M4x0.5</t>
  </si>
  <si>
    <t>M4.5x0.75</t>
  </si>
  <si>
    <t>M4.5x0.5</t>
  </si>
  <si>
    <t>M5x0.8</t>
  </si>
  <si>
    <t>M5x0.5</t>
  </si>
  <si>
    <t>M5.5x0.5</t>
  </si>
  <si>
    <t>M6x1</t>
  </si>
  <si>
    <t>M6x0.8</t>
  </si>
  <si>
    <t>M6x0.75</t>
  </si>
  <si>
    <t>M6x0.7</t>
  </si>
  <si>
    <t>M6x0.5</t>
  </si>
  <si>
    <t>M7x1</t>
  </si>
  <si>
    <t>M7x0.75</t>
  </si>
  <si>
    <t>M7x0.5</t>
  </si>
  <si>
    <t>M8x1.25</t>
  </si>
  <si>
    <t>M8x1</t>
  </si>
  <si>
    <t>M8x0.8</t>
  </si>
  <si>
    <t>M8x0.75</t>
  </si>
  <si>
    <t>M8x0.5</t>
  </si>
  <si>
    <t>M9x1.25</t>
  </si>
  <si>
    <t>M9x1</t>
  </si>
  <si>
    <t>M9x0.75</t>
  </si>
  <si>
    <t>M9x0.5</t>
  </si>
  <si>
    <t>M10x1.5</t>
  </si>
  <si>
    <t>M10x1.25</t>
  </si>
  <si>
    <t>M10x1.12</t>
  </si>
  <si>
    <t>M10x1</t>
  </si>
  <si>
    <t>M10x0.75</t>
  </si>
  <si>
    <t>M10x0.5</t>
  </si>
  <si>
    <t>M11x1.5</t>
  </si>
  <si>
    <t>M11x1</t>
  </si>
  <si>
    <t>M11x0.75</t>
  </si>
  <si>
    <t>M11x0.5</t>
  </si>
  <si>
    <t>M12x1.75</t>
  </si>
  <si>
    <t>M12x1.5</t>
  </si>
  <si>
    <t>M12x1.25</t>
  </si>
  <si>
    <t>M12x1</t>
  </si>
  <si>
    <t>M12x0.75</t>
  </si>
  <si>
    <t>M12x0.5</t>
  </si>
  <si>
    <t>M14x2</t>
  </si>
  <si>
    <t>M14x1.5</t>
  </si>
  <si>
    <t>M14x1.25</t>
  </si>
  <si>
    <t>M14x1</t>
  </si>
  <si>
    <t>M14x0.75</t>
  </si>
  <si>
    <t>M14x0.5</t>
  </si>
  <si>
    <t>M15x1.5</t>
  </si>
  <si>
    <t>M15x1</t>
  </si>
  <si>
    <t>M16x2</t>
  </si>
  <si>
    <t>M16x1.6</t>
  </si>
  <si>
    <t>M16x1.5</t>
  </si>
  <si>
    <t>M16x1.25</t>
  </si>
  <si>
    <t>M16x1</t>
  </si>
  <si>
    <t>M16x0.75</t>
  </si>
  <si>
    <t>M16x0.5</t>
  </si>
  <si>
    <t>M17x1.5</t>
  </si>
  <si>
    <t>M17x1</t>
  </si>
  <si>
    <t>M18x2.5</t>
  </si>
  <si>
    <t>M18x2</t>
  </si>
  <si>
    <t>M18x1.5</t>
  </si>
  <si>
    <t>M18x1.25</t>
  </si>
  <si>
    <t>M18x1</t>
  </si>
  <si>
    <t>M18x0.75</t>
  </si>
  <si>
    <t>M18x0.5</t>
  </si>
  <si>
    <t>M20x2.5</t>
  </si>
  <si>
    <t>M20x2</t>
  </si>
  <si>
    <t>M20x1.5</t>
  </si>
  <si>
    <t>M20x1</t>
  </si>
  <si>
    <t>M20x0.75</t>
  </si>
  <si>
    <t>M20x0.5</t>
  </si>
  <si>
    <t>M22x3</t>
  </si>
  <si>
    <t>M22x2.5</t>
  </si>
  <si>
    <t>M22x2</t>
  </si>
  <si>
    <t>M22x1.5</t>
  </si>
  <si>
    <t>M22x1</t>
  </si>
  <si>
    <t>M22x0.75</t>
  </si>
  <si>
    <t>M22x0.5</t>
  </si>
  <si>
    <t>M24x3</t>
  </si>
  <si>
    <t>M24x2.5</t>
  </si>
  <si>
    <t>M24x2</t>
  </si>
  <si>
    <t>M24x1.5</t>
  </si>
  <si>
    <t>M24x1</t>
  </si>
  <si>
    <t>M24x0.75</t>
  </si>
  <si>
    <t>M25x2</t>
  </si>
  <si>
    <t>M25x1.5</t>
  </si>
  <si>
    <t>M25x1</t>
  </si>
  <si>
    <t>M26x1.5</t>
  </si>
  <si>
    <t>M27x3</t>
  </si>
  <si>
    <t>M27x2</t>
  </si>
  <si>
    <t>M27x1.5</t>
  </si>
  <si>
    <t>M27x1</t>
  </si>
  <si>
    <t>M27x0.75</t>
  </si>
  <si>
    <t>M28x2</t>
  </si>
  <si>
    <t>M28x1.5</t>
  </si>
  <si>
    <t>M28x1</t>
  </si>
  <si>
    <t>M30x3.5</t>
  </si>
  <si>
    <t>M30x3</t>
  </si>
  <si>
    <t>M30x2.5</t>
  </si>
  <si>
    <t>M30x2</t>
  </si>
  <si>
    <t>M30x1.5</t>
  </si>
  <si>
    <t>M30x1</t>
  </si>
  <si>
    <t>M30x0.75</t>
  </si>
  <si>
    <t>M32x2</t>
  </si>
  <si>
    <t>M32x1.5</t>
  </si>
  <si>
    <t>M33x3.5</t>
  </si>
  <si>
    <t>M33x3</t>
  </si>
  <si>
    <t>M33x2</t>
  </si>
  <si>
    <t>M33x1.5</t>
  </si>
  <si>
    <t>M33x1</t>
  </si>
  <si>
    <t>M33x0.75</t>
  </si>
  <si>
    <t>M35x1.5</t>
  </si>
  <si>
    <t>M36x4</t>
  </si>
  <si>
    <t>M36x3</t>
  </si>
  <si>
    <t>M36x2</t>
  </si>
  <si>
    <t>M36x1.5</t>
  </si>
  <si>
    <t>M36x1</t>
  </si>
  <si>
    <t>M38x1.5</t>
  </si>
  <si>
    <t>M39x4</t>
  </si>
  <si>
    <t>M39x3</t>
  </si>
  <si>
    <t>M39x2</t>
  </si>
  <si>
    <t>M39x1.5</t>
  </si>
  <si>
    <t>M39x1</t>
  </si>
  <si>
    <t>M40x3</t>
  </si>
  <si>
    <t>M40x2.5</t>
  </si>
  <si>
    <t>M40x2</t>
  </si>
  <si>
    <t>M40x1.5</t>
  </si>
  <si>
    <t>M42x4.5</t>
  </si>
  <si>
    <t>M42x4</t>
  </si>
  <si>
    <t>M42x3</t>
  </si>
  <si>
    <t>M42x2</t>
  </si>
  <si>
    <t>M42x1.5</t>
  </si>
  <si>
    <t>M42x1</t>
  </si>
  <si>
    <t>M45x4.5</t>
  </si>
  <si>
    <t>M45x4</t>
  </si>
  <si>
    <t>M45x3</t>
  </si>
  <si>
    <t>M45x2</t>
  </si>
  <si>
    <t>M45x1.5</t>
  </si>
  <si>
    <t>M45x1</t>
  </si>
  <si>
    <t>M48x5</t>
  </si>
  <si>
    <t>M48x4</t>
  </si>
  <si>
    <t>M48x3</t>
  </si>
  <si>
    <t>M48x2</t>
  </si>
  <si>
    <t>M48x1.5</t>
  </si>
  <si>
    <t>M50x4</t>
  </si>
  <si>
    <t>M50x3</t>
  </si>
  <si>
    <t>M50x2</t>
  </si>
  <si>
    <t>M50x1.5</t>
  </si>
  <si>
    <t>M52x5</t>
  </si>
  <si>
    <t>M52x4</t>
  </si>
  <si>
    <t>M52x3</t>
  </si>
  <si>
    <t>M52x2</t>
  </si>
  <si>
    <t>M52x1.5</t>
  </si>
  <si>
    <t>M55x4</t>
  </si>
  <si>
    <t>M55x3</t>
  </si>
  <si>
    <t>M55x2</t>
  </si>
  <si>
    <t>M55x1.5</t>
  </si>
  <si>
    <t>M56x6.5</t>
  </si>
  <si>
    <t>M56x5.5</t>
  </si>
  <si>
    <t>M56x4</t>
  </si>
  <si>
    <t>M56x3</t>
  </si>
  <si>
    <t>M56x2</t>
  </si>
  <si>
    <t>M56x1.5</t>
  </si>
  <si>
    <t>M56x1</t>
  </si>
  <si>
    <t>M58x4</t>
  </si>
  <si>
    <t>M58x3</t>
  </si>
  <si>
    <t>M58x2</t>
  </si>
  <si>
    <t>M58x1.5</t>
  </si>
  <si>
    <t>M60x5.5</t>
  </si>
  <si>
    <t>M60x4</t>
  </si>
  <si>
    <t>M60x3</t>
  </si>
  <si>
    <t>M60x2</t>
  </si>
  <si>
    <t>M60x1.5</t>
  </si>
  <si>
    <t>M60x1</t>
  </si>
  <si>
    <t>M62x4</t>
  </si>
  <si>
    <t>M62x3</t>
  </si>
  <si>
    <t>M62x2</t>
  </si>
  <si>
    <t>M62x1.5</t>
  </si>
  <si>
    <t>M63x1.5</t>
  </si>
  <si>
    <t>M64x6</t>
  </si>
  <si>
    <t>M64x5.5</t>
  </si>
  <si>
    <t>M64x4</t>
  </si>
  <si>
    <t>M64x3</t>
  </si>
  <si>
    <t>M64x2</t>
  </si>
  <si>
    <t>M64x1.5</t>
  </si>
  <si>
    <t>M64x1</t>
  </si>
  <si>
    <t>M65x4</t>
  </si>
  <si>
    <t>M65x3</t>
  </si>
  <si>
    <t>M65x2</t>
  </si>
  <si>
    <t>M65x1.5</t>
  </si>
  <si>
    <t>M68x6</t>
  </si>
  <si>
    <t>M68x4</t>
  </si>
  <si>
    <t>M68x3</t>
  </si>
  <si>
    <t>M68x2</t>
  </si>
  <si>
    <t>M68x1.5</t>
  </si>
  <si>
    <t>M68x1</t>
  </si>
  <si>
    <t>M70x6</t>
  </si>
  <si>
    <t>M70x4</t>
  </si>
  <si>
    <t>M70x3</t>
  </si>
  <si>
    <t>M70x2</t>
  </si>
  <si>
    <t>M70x1.5</t>
  </si>
  <si>
    <t>M72x6</t>
  </si>
  <si>
    <t>M72x4</t>
  </si>
  <si>
    <t>M72x3</t>
  </si>
  <si>
    <t>M72x2</t>
  </si>
  <si>
    <t>M72x1.5</t>
  </si>
  <si>
    <t>M72x1</t>
  </si>
  <si>
    <t>M75x6</t>
  </si>
  <si>
    <t>M75x4</t>
  </si>
  <si>
    <t>M75x3</t>
  </si>
  <si>
    <t>M75x2</t>
  </si>
  <si>
    <t>M75x1.5</t>
  </si>
  <si>
    <t>M76x6</t>
  </si>
  <si>
    <t>M76x4</t>
  </si>
  <si>
    <t>M76x3</t>
  </si>
  <si>
    <t>M76x2</t>
  </si>
  <si>
    <t>M76x1.5</t>
  </si>
  <si>
    <t>M76x1</t>
  </si>
  <si>
    <t>M78x2</t>
  </si>
  <si>
    <t>M80x6</t>
  </si>
  <si>
    <t>M80x4</t>
  </si>
  <si>
    <t>M80x3</t>
  </si>
  <si>
    <t>M80x2</t>
  </si>
  <si>
    <t>M80x1.5</t>
  </si>
  <si>
    <t>M80x1</t>
  </si>
  <si>
    <t>M82x2</t>
  </si>
  <si>
    <t>M85x6</t>
  </si>
  <si>
    <t>M85x4</t>
  </si>
  <si>
    <t>M85x3</t>
  </si>
  <si>
    <t>M85x2</t>
  </si>
  <si>
    <t>M85x1.5</t>
  </si>
  <si>
    <t>M90x6</t>
  </si>
  <si>
    <t>M90x4</t>
  </si>
  <si>
    <t>M90x3</t>
  </si>
  <si>
    <t>M90x2</t>
  </si>
  <si>
    <t>M90x1.5</t>
  </si>
  <si>
    <t>M95x6</t>
  </si>
  <si>
    <t>M95x4</t>
  </si>
  <si>
    <t>M95x3</t>
  </si>
  <si>
    <t>M95x2</t>
  </si>
  <si>
    <t>M95x1.5</t>
  </si>
  <si>
    <t>M100x6</t>
  </si>
  <si>
    <t>M100x4</t>
  </si>
  <si>
    <t>M100x3</t>
  </si>
  <si>
    <t>M100x2</t>
  </si>
  <si>
    <t>M100x1.5</t>
  </si>
  <si>
    <t>M105x6</t>
  </si>
  <si>
    <t>M105x4</t>
  </si>
  <si>
    <t>M105x3</t>
  </si>
  <si>
    <t>M105x2</t>
  </si>
  <si>
    <t>M105x1.5</t>
  </si>
  <si>
    <t>M110x6</t>
  </si>
  <si>
    <t>M110x4</t>
  </si>
  <si>
    <t>M110x3</t>
  </si>
  <si>
    <t>M110x2</t>
  </si>
  <si>
    <t>M110x1.5</t>
  </si>
  <si>
    <t>M115x6</t>
  </si>
  <si>
    <t>M115x4</t>
  </si>
  <si>
    <t>M115x3</t>
  </si>
  <si>
    <t>M115x2</t>
  </si>
  <si>
    <t>M115x1.5</t>
  </si>
  <si>
    <t>M120x6</t>
  </si>
  <si>
    <t>M120x4</t>
  </si>
  <si>
    <t>M120x3</t>
  </si>
  <si>
    <t>M120x2</t>
  </si>
  <si>
    <t>M120x1.5</t>
  </si>
  <si>
    <t>M125x8</t>
  </si>
  <si>
    <t>M125x6</t>
  </si>
  <si>
    <t>M125x4</t>
  </si>
  <si>
    <t>M125x3</t>
  </si>
  <si>
    <t>M125x2</t>
  </si>
  <si>
    <t>M125x1.5</t>
  </si>
  <si>
    <t>M130x8</t>
  </si>
  <si>
    <t>M130x6</t>
  </si>
  <si>
    <t>M130x4</t>
  </si>
  <si>
    <t>M130x3</t>
  </si>
  <si>
    <t>M130x2</t>
  </si>
  <si>
    <t>M130x1.5</t>
  </si>
  <si>
    <t>M135x6</t>
  </si>
  <si>
    <t>M135x4</t>
  </si>
  <si>
    <t>M135x3</t>
  </si>
  <si>
    <t>M135x2</t>
  </si>
  <si>
    <t>M135x1.5</t>
  </si>
  <si>
    <t>M140x8</t>
  </si>
  <si>
    <t>M140x6</t>
  </si>
  <si>
    <t>M140x4</t>
  </si>
  <si>
    <t>M140x3</t>
  </si>
  <si>
    <t>M140x2</t>
  </si>
  <si>
    <t>M140x1.5</t>
  </si>
  <si>
    <t>M145x6</t>
  </si>
  <si>
    <t>M145x4</t>
  </si>
  <si>
    <t>M145x3</t>
  </si>
  <si>
    <t>M145x2</t>
  </si>
  <si>
    <t>M145x1.5</t>
  </si>
  <si>
    <t>M150x8</t>
  </si>
  <si>
    <t>M150x6</t>
  </si>
  <si>
    <t>M150x4</t>
  </si>
  <si>
    <t>M150x3</t>
  </si>
  <si>
    <t>M150x2</t>
  </si>
  <si>
    <t>M150x1.5</t>
  </si>
  <si>
    <t>M155x6</t>
  </si>
  <si>
    <t>M155x4</t>
  </si>
  <si>
    <t>M155x3</t>
  </si>
  <si>
    <t>M155x2</t>
  </si>
  <si>
    <t>M160x8</t>
  </si>
  <si>
    <t>M160x6</t>
  </si>
  <si>
    <t>M160x4</t>
  </si>
  <si>
    <t>M160x3</t>
  </si>
  <si>
    <t>M160x2</t>
  </si>
  <si>
    <t>M165x6</t>
  </si>
  <si>
    <t>M165x4</t>
  </si>
  <si>
    <t>M165x3</t>
  </si>
  <si>
    <t>M165x2</t>
  </si>
  <si>
    <t>M170x8</t>
  </si>
  <si>
    <t>M170x6</t>
  </si>
  <si>
    <t>M170x4</t>
  </si>
  <si>
    <t>M170x3</t>
  </si>
  <si>
    <t>M170x2</t>
  </si>
  <si>
    <t>M175x6</t>
  </si>
  <si>
    <t>M175x4</t>
  </si>
  <si>
    <t>M175x3</t>
  </si>
  <si>
    <t>M175x2</t>
  </si>
  <si>
    <t>M180x8</t>
  </si>
  <si>
    <t>M180x6</t>
  </si>
  <si>
    <t>M180x4</t>
  </si>
  <si>
    <t>M180x3</t>
  </si>
  <si>
    <t>M180x2</t>
  </si>
  <si>
    <t>M185x6</t>
  </si>
  <si>
    <t>M185x4</t>
  </si>
  <si>
    <t>M185x3</t>
  </si>
  <si>
    <t>M185x2</t>
  </si>
  <si>
    <t>M190x8</t>
  </si>
  <si>
    <t>M190x6</t>
  </si>
  <si>
    <t>M190x4</t>
  </si>
  <si>
    <t>M190x3</t>
  </si>
  <si>
    <t>M190x2</t>
  </si>
  <si>
    <t>M195x6</t>
  </si>
  <si>
    <t>M195x4</t>
  </si>
  <si>
    <t>M195x3</t>
  </si>
  <si>
    <t>M195x2</t>
  </si>
  <si>
    <t>M200x8</t>
  </si>
  <si>
    <t>M200x6</t>
  </si>
  <si>
    <t>M200x4</t>
  </si>
  <si>
    <t>M200x3</t>
  </si>
  <si>
    <t>M200x2</t>
  </si>
  <si>
    <t>M205x6</t>
  </si>
  <si>
    <t>M205x4</t>
  </si>
  <si>
    <t>M205x3</t>
  </si>
  <si>
    <t>M205x2</t>
  </si>
  <si>
    <t>M210x8</t>
  </si>
  <si>
    <t>M210x6</t>
  </si>
  <si>
    <t>M210x4</t>
  </si>
  <si>
    <t>M210x3</t>
  </si>
  <si>
    <t>M210x2</t>
  </si>
  <si>
    <t>M215x6</t>
  </si>
  <si>
    <t>M215x4</t>
  </si>
  <si>
    <t>M215x3</t>
  </si>
  <si>
    <t>M220x8</t>
  </si>
  <si>
    <t>M220x6</t>
  </si>
  <si>
    <t>M220x4</t>
  </si>
  <si>
    <t>M220x3</t>
  </si>
  <si>
    <t>M220x2</t>
  </si>
  <si>
    <t>M225x6</t>
  </si>
  <si>
    <t>M225x4</t>
  </si>
  <si>
    <t>M225x3</t>
  </si>
  <si>
    <t>M225x2</t>
  </si>
  <si>
    <t>M230x6</t>
  </si>
  <si>
    <t>M230x4</t>
  </si>
  <si>
    <t>M230x3</t>
  </si>
  <si>
    <t>M230x2</t>
  </si>
  <si>
    <t>M235x6</t>
  </si>
  <si>
    <t>M235x4</t>
  </si>
  <si>
    <t>M235x3</t>
  </si>
  <si>
    <t>M240x8</t>
  </si>
  <si>
    <t>M240x6</t>
  </si>
  <si>
    <t>M240x4</t>
  </si>
  <si>
    <t>M240x3</t>
  </si>
  <si>
    <t>M240x2</t>
  </si>
  <si>
    <t>M245x6</t>
  </si>
  <si>
    <t>M245x4</t>
  </si>
  <si>
    <t>M245x3</t>
  </si>
  <si>
    <t>M245x2</t>
  </si>
  <si>
    <t>M250x8</t>
  </si>
  <si>
    <t>M250x6</t>
  </si>
  <si>
    <t>M250x4</t>
  </si>
  <si>
    <t>M250x3</t>
  </si>
  <si>
    <t>M250x2</t>
  </si>
  <si>
    <t>M255x6</t>
  </si>
  <si>
    <t>M255x4</t>
  </si>
  <si>
    <t>M255x3</t>
  </si>
  <si>
    <t>M260x8</t>
  </si>
  <si>
    <t>M260x6</t>
  </si>
  <si>
    <t>M260x4</t>
  </si>
  <si>
    <t>M260x3</t>
  </si>
  <si>
    <t>M265x6</t>
  </si>
  <si>
    <t>M265x4</t>
  </si>
  <si>
    <t>M265x3</t>
  </si>
  <si>
    <t>M270x6</t>
  </si>
  <si>
    <t>M270x4</t>
  </si>
  <si>
    <t>M270x3</t>
  </si>
  <si>
    <t>M275x6</t>
  </si>
  <si>
    <t>M275x4</t>
  </si>
  <si>
    <t>M275x3</t>
  </si>
  <si>
    <t>M280x8</t>
  </si>
  <si>
    <t>M280x6</t>
  </si>
  <si>
    <t>M280x4</t>
  </si>
  <si>
    <t>M280x3</t>
  </si>
  <si>
    <t>M285x6</t>
  </si>
  <si>
    <t>M285x4</t>
  </si>
  <si>
    <t>M285x3</t>
  </si>
  <si>
    <t>M290x6</t>
  </si>
  <si>
    <t>M290x4</t>
  </si>
  <si>
    <t>M290x3</t>
  </si>
  <si>
    <t>M295x6</t>
  </si>
  <si>
    <t>M295x4</t>
  </si>
  <si>
    <t>M295x3</t>
  </si>
  <si>
    <t>M300x8</t>
  </si>
  <si>
    <t>M300x6</t>
  </si>
  <si>
    <t>M300x4</t>
  </si>
  <si>
    <t>M300x3</t>
  </si>
  <si>
    <t>M310x6</t>
  </si>
  <si>
    <t>M310x4</t>
  </si>
  <si>
    <t>M320x6</t>
  </si>
  <si>
    <t>M320x4</t>
  </si>
  <si>
    <t>M330x6</t>
  </si>
  <si>
    <t>M330x4</t>
  </si>
  <si>
    <t>M340x6</t>
  </si>
  <si>
    <t>M340x4</t>
  </si>
  <si>
    <t>M350x6</t>
  </si>
  <si>
    <t>M350x4</t>
  </si>
  <si>
    <t>M360x6</t>
  </si>
  <si>
    <t>M360x4</t>
  </si>
  <si>
    <t>M370x6</t>
  </si>
  <si>
    <t>M370x4</t>
  </si>
  <si>
    <t>M380x6</t>
  </si>
  <si>
    <t>M380x4</t>
  </si>
  <si>
    <t>M390x6</t>
  </si>
  <si>
    <t>M390x4</t>
  </si>
  <si>
    <t>M400x6</t>
  </si>
  <si>
    <t>M400x4</t>
  </si>
  <si>
    <t>M410x6</t>
  </si>
  <si>
    <t>M420x6</t>
  </si>
  <si>
    <t>M430x6</t>
  </si>
  <si>
    <t>M440x6</t>
  </si>
  <si>
    <t>M450x6</t>
  </si>
  <si>
    <t>M460x6</t>
  </si>
  <si>
    <t>M470x6</t>
  </si>
  <si>
    <t>M480x6</t>
  </si>
  <si>
    <t>M490x6</t>
  </si>
  <si>
    <t>M500x6</t>
  </si>
  <si>
    <t>M510x6</t>
  </si>
  <si>
    <t>M520x6</t>
  </si>
  <si>
    <t>M530x6</t>
  </si>
  <si>
    <t>M540x6</t>
  </si>
  <si>
    <t>M550x6</t>
  </si>
  <si>
    <t>M560x6</t>
  </si>
  <si>
    <t>M570x6</t>
  </si>
  <si>
    <t>M580x6</t>
  </si>
  <si>
    <t>M590x6</t>
  </si>
  <si>
    <t>M600x6</t>
  </si>
  <si>
    <t>M1060x8</t>
  </si>
  <si>
    <r>
      <rPr>
        <sz val="11"/>
        <color theme="1"/>
        <rFont val="微软雅黑"/>
        <family val="2"/>
        <charset val="134"/>
      </rPr>
      <t xml:space="preserve">参考书籍：机械设计手册（第五版）第一卷 第1篇  1-116页   </t>
    </r>
  </si>
  <si>
    <t>各种截面的力学性能-椭圆</t>
  </si>
  <si>
    <t>长半轴a(cm)</t>
  </si>
  <si>
    <r>
      <rPr>
        <sz val="11"/>
        <color theme="1"/>
        <rFont val="微软雅黑"/>
        <family val="2"/>
        <charset val="134"/>
      </rPr>
      <t>面A(cm</t>
    </r>
    <r>
      <rPr>
        <vertAlign val="superscript"/>
        <sz val="11"/>
        <color theme="1"/>
        <rFont val="微软雅黑"/>
        <family val="2"/>
        <charset val="134"/>
      </rPr>
      <t>2</t>
    </r>
    <r>
      <rPr>
        <sz val="11"/>
        <color theme="1"/>
        <rFont val="微软雅黑"/>
        <family val="2"/>
        <charset val="134"/>
      </rPr>
      <t>)</t>
    </r>
  </si>
  <si>
    <r>
      <rPr>
        <sz val="11"/>
        <color theme="1"/>
        <rFont val="微软雅黑"/>
        <family val="2"/>
        <charset val="134"/>
      </rPr>
      <t>A=</t>
    </r>
    <r>
      <rPr>
        <sz val="11"/>
        <color theme="1"/>
        <rFont val="Symbol"/>
        <family val="1"/>
        <charset val="2"/>
      </rPr>
      <t>p</t>
    </r>
    <r>
      <rPr>
        <sz val="11"/>
        <color theme="1"/>
        <rFont val="微软雅黑"/>
        <family val="2"/>
        <charset val="134"/>
      </rPr>
      <t>ab</t>
    </r>
  </si>
  <si>
    <r>
      <rPr>
        <sz val="11"/>
        <color theme="1"/>
        <rFont val="微软雅黑"/>
        <family val="2"/>
        <charset val="134"/>
      </rPr>
      <t>惯性距I</t>
    </r>
    <r>
      <rPr>
        <vertAlign val="subscript"/>
        <sz val="11"/>
        <color theme="1"/>
        <rFont val="微软雅黑"/>
        <family val="2"/>
        <charset val="134"/>
      </rPr>
      <t>x</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</si>
  <si>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r>
      <rPr>
        <sz val="11"/>
        <color theme="1"/>
        <rFont val="微软雅黑"/>
        <family val="2"/>
        <charset val="134"/>
      </rPr>
      <t>惯性距I</t>
    </r>
    <r>
      <rPr>
        <vertAlign val="subscript"/>
        <sz val="11"/>
        <color theme="1"/>
        <rFont val="微软雅黑"/>
        <family val="2"/>
        <charset val="134"/>
      </rPr>
      <t>y</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</si>
  <si>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r>
      <rPr>
        <sz val="11"/>
        <color theme="1"/>
        <rFont val="微软雅黑"/>
        <family val="2"/>
        <charset val="134"/>
      </rPr>
      <t>抗弯截面系数W</t>
    </r>
    <r>
      <rPr>
        <vertAlign val="subscript"/>
        <sz val="11"/>
        <color theme="1"/>
        <rFont val="微软雅黑"/>
        <family val="2"/>
        <charset val="134"/>
      </rPr>
      <t>x</t>
    </r>
    <r>
      <rPr>
        <sz val="11"/>
        <color theme="1"/>
        <rFont val="微软雅黑"/>
        <family val="2"/>
        <charset val="134"/>
      </rPr>
      <t>(cm</t>
    </r>
    <r>
      <rPr>
        <vertAlign val="superscript"/>
        <sz val="11"/>
        <color theme="1"/>
        <rFont val="微软雅黑"/>
        <family val="2"/>
        <charset val="134"/>
      </rPr>
      <t>3</t>
    </r>
    <r>
      <rPr>
        <sz val="11"/>
        <color theme="1"/>
        <rFont val="微软雅黑"/>
        <family val="2"/>
        <charset val="134"/>
      </rPr>
      <t>)</t>
    </r>
  </si>
  <si>
    <r>
      <rPr>
        <sz val="11"/>
        <color theme="1"/>
        <rFont val="微软雅黑"/>
        <family val="2"/>
        <charset val="134"/>
      </rPr>
      <t>抗弯截面系数W</t>
    </r>
    <r>
      <rPr>
        <vertAlign val="subscript"/>
        <sz val="11"/>
        <color theme="1"/>
        <rFont val="微软雅黑"/>
        <family val="2"/>
        <charset val="134"/>
      </rPr>
      <t>y</t>
    </r>
    <r>
      <rPr>
        <sz val="11"/>
        <color theme="1"/>
        <rFont val="微软雅黑"/>
        <family val="2"/>
        <charset val="134"/>
      </rPr>
      <t>(cm</t>
    </r>
    <r>
      <rPr>
        <vertAlign val="superscript"/>
        <sz val="11"/>
        <color theme="1"/>
        <rFont val="微软雅黑"/>
        <family val="2"/>
        <charset val="134"/>
      </rPr>
      <t>3</t>
    </r>
    <r>
      <rPr>
        <sz val="11"/>
        <color theme="1"/>
        <rFont val="微软雅黑"/>
        <family val="2"/>
        <charset val="134"/>
      </rPr>
      <t>)</t>
    </r>
  </si>
  <si>
    <t>短半轴b(cm)</t>
  </si>
  <si>
    <r>
      <rPr>
        <sz val="11"/>
        <color theme="1"/>
        <rFont val="微软雅黑"/>
        <family val="2"/>
        <charset val="134"/>
      </rPr>
      <t>重心S到相应边的距离e</t>
    </r>
    <r>
      <rPr>
        <vertAlign val="subscript"/>
        <sz val="11"/>
        <color theme="1"/>
        <rFont val="微软雅黑"/>
        <family val="2"/>
        <charset val="134"/>
      </rPr>
      <t>x</t>
    </r>
    <r>
      <rPr>
        <sz val="11"/>
        <color theme="1"/>
        <rFont val="微软雅黑"/>
        <family val="2"/>
        <charset val="134"/>
      </rPr>
      <t>(cm)</t>
    </r>
  </si>
  <si>
    <r>
      <rPr>
        <sz val="11"/>
        <color theme="1"/>
        <rFont val="微软雅黑"/>
        <family val="2"/>
        <charset val="134"/>
      </rPr>
      <t>重心S到相应边的距离e</t>
    </r>
    <r>
      <rPr>
        <vertAlign val="subscript"/>
        <sz val="11"/>
        <color theme="1"/>
        <rFont val="微软雅黑"/>
        <family val="2"/>
        <charset val="134"/>
      </rPr>
      <t>y</t>
    </r>
    <r>
      <rPr>
        <sz val="11"/>
        <color theme="1"/>
        <rFont val="微软雅黑"/>
        <family val="2"/>
        <charset val="134"/>
      </rPr>
      <t>(cm)</t>
    </r>
  </si>
  <si>
    <r>
      <rPr>
        <sz val="11"/>
        <color theme="1"/>
        <rFont val="微软雅黑"/>
        <family val="2"/>
        <charset val="134"/>
      </rPr>
      <t>惯量半径i</t>
    </r>
    <r>
      <rPr>
        <vertAlign val="subscript"/>
        <sz val="11"/>
        <color theme="1"/>
        <rFont val="微软雅黑"/>
        <family val="2"/>
        <charset val="134"/>
      </rPr>
      <t>x</t>
    </r>
    <r>
      <rPr>
        <sz val="11"/>
        <color theme="1"/>
        <rFont val="微软雅黑"/>
        <family val="2"/>
        <charset val="134"/>
      </rPr>
      <t>(cm)</t>
    </r>
  </si>
  <si>
    <r>
      <rPr>
        <sz val="11"/>
        <color theme="1"/>
        <rFont val="微软雅黑"/>
        <family val="2"/>
        <charset val="134"/>
      </rPr>
      <t>惯量半径i</t>
    </r>
    <r>
      <rPr>
        <vertAlign val="subscript"/>
        <sz val="11"/>
        <color theme="1"/>
        <rFont val="微软雅黑"/>
        <family val="2"/>
        <charset val="134"/>
      </rPr>
      <t>y</t>
    </r>
    <r>
      <rPr>
        <sz val="11"/>
        <color theme="1"/>
        <rFont val="微软雅黑"/>
        <family val="2"/>
        <charset val="134"/>
      </rPr>
      <t>(cm)</t>
    </r>
  </si>
  <si>
    <r>
      <rPr>
        <sz val="11"/>
        <color theme="1"/>
        <rFont val="微软雅黑"/>
        <family val="2"/>
        <charset val="134"/>
      </rPr>
      <t xml:space="preserve">参考书籍：机械设计手册（第五版）第一卷 第1篇  1-111页   </t>
    </r>
  </si>
  <si>
    <t>各种截面的力学性能-正方形</t>
  </si>
  <si>
    <t>边长a(cm)</t>
  </si>
  <si>
    <r>
      <rPr>
        <sz val="11"/>
        <color theme="1"/>
        <rFont val="微软雅黑"/>
        <family val="2"/>
        <charset val="134"/>
      </rPr>
      <t>惯性距I(cm</t>
    </r>
    <r>
      <rPr>
        <vertAlign val="superscript"/>
        <sz val="11"/>
        <color theme="1"/>
        <rFont val="微软雅黑"/>
        <family val="2"/>
        <charset val="134"/>
      </rPr>
      <t>4</t>
    </r>
    <r>
      <rPr>
        <sz val="11"/>
        <color theme="1"/>
        <rFont val="微软雅黑"/>
        <family val="2"/>
        <charset val="134"/>
      </rPr>
      <t>)</t>
    </r>
  </si>
  <si>
    <r>
      <rPr>
        <sz val="11"/>
        <color theme="1"/>
        <rFont val="微软雅黑"/>
        <family val="2"/>
        <charset val="134"/>
      </rPr>
      <t>抗弯截面系数W</t>
    </r>
    <r>
      <rPr>
        <vertAlign val="subscript"/>
        <sz val="11"/>
        <color theme="1"/>
        <rFont val="微软雅黑"/>
        <family val="2"/>
        <charset val="134"/>
      </rPr>
      <t>x1</t>
    </r>
    <r>
      <rPr>
        <sz val="11"/>
        <color theme="1"/>
        <rFont val="微软雅黑"/>
        <family val="2"/>
        <charset val="134"/>
      </rPr>
      <t>(cm</t>
    </r>
    <r>
      <rPr>
        <vertAlign val="superscript"/>
        <sz val="11"/>
        <color theme="1"/>
        <rFont val="微软雅黑"/>
        <family val="2"/>
        <charset val="134"/>
      </rPr>
      <t>3</t>
    </r>
    <r>
      <rPr>
        <sz val="11"/>
        <color theme="1"/>
        <rFont val="微软雅黑"/>
        <family val="2"/>
        <charset val="134"/>
      </rPr>
      <t>)</t>
    </r>
  </si>
  <si>
    <r>
      <rPr>
        <sz val="11"/>
        <color theme="1"/>
        <rFont val="微软雅黑"/>
        <family val="2"/>
        <charset val="134"/>
      </rPr>
      <t>重心S到相应边的距离e</t>
    </r>
    <r>
      <rPr>
        <vertAlign val="subscript"/>
        <sz val="11"/>
        <color theme="1"/>
        <rFont val="微软雅黑"/>
        <family val="2"/>
        <charset val="134"/>
      </rPr>
      <t>x1</t>
    </r>
    <r>
      <rPr>
        <sz val="11"/>
        <color theme="1"/>
        <rFont val="微软雅黑"/>
        <family val="2"/>
        <charset val="134"/>
      </rPr>
      <t>(cm)</t>
    </r>
  </si>
  <si>
    <t>惯量半径i(cm)</t>
  </si>
  <si>
    <r>
      <rPr>
        <sz val="11"/>
        <color theme="1"/>
        <rFont val="微软雅黑"/>
        <family val="2"/>
        <charset val="134"/>
      </rPr>
      <t xml:space="preserve">参考书籍：机械设计手册（第五版）第一卷 第1篇  1-113页   </t>
    </r>
  </si>
  <si>
    <t>各种截面的力学性能-圆</t>
  </si>
  <si>
    <t>直径d(cm)</t>
  </si>
  <si>
    <r>
      <rPr>
        <sz val="11"/>
        <color theme="1"/>
        <rFont val="微软雅黑"/>
        <family val="2"/>
        <charset val="134"/>
      </rPr>
      <t>惯性距I</t>
    </r>
    <r>
      <rPr>
        <vertAlign val="subscript"/>
        <sz val="11"/>
        <color theme="1"/>
        <rFont val="微软雅黑"/>
        <family val="2"/>
        <charset val="134"/>
      </rPr>
      <t>x</t>
    </r>
    <r>
      <rPr>
        <sz val="11"/>
        <color theme="1"/>
        <rFont val="微软雅黑"/>
        <family val="2"/>
        <charset val="134"/>
      </rPr>
      <t>=I</t>
    </r>
    <r>
      <rPr>
        <vertAlign val="subscript"/>
        <sz val="11"/>
        <color theme="1"/>
        <rFont val="微软雅黑"/>
        <family val="2"/>
        <charset val="134"/>
      </rPr>
      <t>y</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</si>
  <si>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r>
      <rPr>
        <sz val="11"/>
        <color theme="1"/>
        <rFont val="微软雅黑"/>
        <family val="2"/>
        <charset val="134"/>
      </rPr>
      <t>惯性距I</t>
    </r>
    <r>
      <rPr>
        <vertAlign val="subscript"/>
        <sz val="11"/>
        <color theme="1"/>
        <rFont val="微软雅黑"/>
        <family val="2"/>
        <charset val="134"/>
      </rPr>
      <t>p</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</si>
  <si>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r>
      <rPr>
        <sz val="11"/>
        <color theme="1"/>
        <rFont val="微软雅黑"/>
        <family val="2"/>
        <charset val="134"/>
      </rPr>
      <t>抗弯截面系数W</t>
    </r>
    <r>
      <rPr>
        <sz val="11"/>
        <color theme="1"/>
        <rFont val="微软雅黑"/>
        <family val="2"/>
        <charset val="134"/>
      </rPr>
      <t>(cm</t>
    </r>
    <r>
      <rPr>
        <vertAlign val="superscript"/>
        <sz val="11"/>
        <color theme="1"/>
        <rFont val="微软雅黑"/>
        <family val="2"/>
        <charset val="134"/>
      </rPr>
      <t>3</t>
    </r>
    <r>
      <rPr>
        <sz val="11"/>
        <color theme="1"/>
        <rFont val="微软雅黑"/>
        <family val="2"/>
        <charset val="134"/>
      </rPr>
      <t>)</t>
    </r>
  </si>
  <si>
    <r>
      <rPr>
        <sz val="11"/>
        <color theme="1"/>
        <rFont val="微软雅黑"/>
        <family val="2"/>
        <charset val="134"/>
      </rPr>
      <t>惯量半径i</t>
    </r>
    <r>
      <rPr>
        <sz val="11"/>
        <color theme="1"/>
        <rFont val="微软雅黑"/>
        <family val="2"/>
        <charset val="134"/>
      </rPr>
      <t>(cm)</t>
    </r>
  </si>
  <si>
    <r>
      <rPr>
        <sz val="11"/>
        <color theme="1"/>
        <rFont val="微软雅黑"/>
        <family val="2"/>
        <charset val="134"/>
      </rPr>
      <t xml:space="preserve">参考书籍：机械设计手册（第五版）第一卷 第1篇  1-112页   </t>
    </r>
  </si>
  <si>
    <t>各种截面的力学性能-扇形圆环</t>
  </si>
  <si>
    <t>圆环外径R(cm)</t>
  </si>
  <si>
    <r>
      <rPr>
        <sz val="11"/>
        <color theme="1"/>
        <rFont val="微软雅黑"/>
        <family val="2"/>
        <charset val="134"/>
      </rPr>
      <t>惯性距I</t>
    </r>
    <r>
      <rPr>
        <vertAlign val="subscript"/>
        <sz val="11"/>
        <color theme="1"/>
        <rFont val="微软雅黑"/>
        <family val="2"/>
        <charset val="134"/>
      </rPr>
      <t>x1</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</si>
  <si>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t>圆环内径r(cm)</t>
  </si>
  <si>
    <r>
      <rPr>
        <sz val="11"/>
        <color theme="1"/>
        <rFont val="微软雅黑"/>
        <family val="2"/>
        <charset val="134"/>
      </rPr>
      <t>惯性距I</t>
    </r>
    <r>
      <rPr>
        <vertAlign val="subscript"/>
        <sz val="11"/>
        <color theme="1"/>
        <rFont val="微软雅黑"/>
        <family val="2"/>
        <charset val="134"/>
      </rPr>
      <t>y</t>
    </r>
    <r>
      <rPr>
        <sz val="11"/>
        <color theme="1"/>
        <rFont val="微软雅黑"/>
        <family val="2"/>
        <charset val="134"/>
      </rPr>
      <t>(cm</t>
    </r>
    <r>
      <rPr>
        <vertAlign val="superscript"/>
        <sz val="11"/>
        <color theme="1"/>
        <rFont val="微软雅黑"/>
        <family val="2"/>
        <charset val="134"/>
      </rPr>
      <t>5</t>
    </r>
    <r>
      <rPr>
        <sz val="11"/>
        <color theme="1"/>
        <rFont val="微软雅黑"/>
        <family val="2"/>
        <charset val="134"/>
      </rPr>
      <t>)</t>
    </r>
  </si>
  <si>
    <r>
      <rPr>
        <sz val="11"/>
        <color theme="1"/>
        <rFont val="微软雅黑"/>
        <family val="2"/>
        <charset val="134"/>
      </rPr>
      <t>重心S到相应边的距离y</t>
    </r>
    <r>
      <rPr>
        <vertAlign val="subscript"/>
        <sz val="11"/>
        <color theme="1"/>
        <rFont val="微软雅黑"/>
        <family val="2"/>
        <charset val="134"/>
      </rPr>
      <t>s</t>
    </r>
    <r>
      <rPr>
        <sz val="11"/>
        <color theme="1"/>
        <rFont val="微软雅黑"/>
        <family val="2"/>
        <charset val="134"/>
      </rPr>
      <t>(cm)</t>
    </r>
  </si>
  <si>
    <t>弧度α(°)</t>
  </si>
  <si>
    <r>
      <rPr>
        <sz val="11"/>
        <color theme="1"/>
        <rFont val="微软雅黑"/>
        <family val="2"/>
        <charset val="134"/>
      </rPr>
      <t xml:space="preserve">参考书籍：机械设计手册（第五版）第一卷 第1篇  1-115页   </t>
    </r>
  </si>
  <si>
    <t>各种截面的力学性能-扇形</t>
  </si>
  <si>
    <t>半径r(cm)</t>
  </si>
  <si>
    <t>弧长l(cm)</t>
  </si>
  <si>
    <t>弦长C(cm)</t>
  </si>
  <si>
    <t>夹角α(°)</t>
  </si>
  <si>
    <t>各种截面的力学性能-三角形</t>
  </si>
  <si>
    <t>低边b(cm)</t>
  </si>
  <si>
    <r>
      <rPr>
        <sz val="11"/>
        <color theme="1"/>
        <rFont val="微软雅黑"/>
        <family val="2"/>
        <charset val="134"/>
      </rPr>
      <t>惯性距I</t>
    </r>
    <r>
      <rPr>
        <vertAlign val="subscript"/>
        <sz val="11"/>
        <color theme="1"/>
        <rFont val="微软雅黑"/>
        <family val="2"/>
        <charset val="134"/>
      </rPr>
      <t>x2</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</si>
  <si>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t>高h(cm)</t>
  </si>
  <si>
    <r>
      <rPr>
        <sz val="11"/>
        <color theme="1"/>
        <rFont val="微软雅黑"/>
        <family val="2"/>
        <charset val="134"/>
      </rPr>
      <t>抗弯截面系数W</t>
    </r>
    <r>
      <rPr>
        <vertAlign val="subscript"/>
        <sz val="11"/>
        <color theme="1"/>
        <rFont val="微软雅黑"/>
        <family val="2"/>
        <charset val="134"/>
      </rPr>
      <t>x2</t>
    </r>
    <r>
      <rPr>
        <sz val="11"/>
        <color theme="1"/>
        <rFont val="微软雅黑"/>
        <family val="2"/>
        <charset val="134"/>
      </rPr>
      <t>(cm</t>
    </r>
    <r>
      <rPr>
        <vertAlign val="superscript"/>
        <sz val="11"/>
        <color theme="1"/>
        <rFont val="微软雅黑"/>
        <family val="2"/>
        <charset val="134"/>
      </rPr>
      <t>3</t>
    </r>
    <r>
      <rPr>
        <sz val="11"/>
        <color theme="1"/>
        <rFont val="微软雅黑"/>
        <family val="2"/>
        <charset val="134"/>
      </rPr>
      <t>)</t>
    </r>
  </si>
  <si>
    <t>各种截面的力学性能-六边形</t>
  </si>
  <si>
    <t>外切圆半径R(cm)</t>
  </si>
  <si>
    <t>边长C(cm)</t>
  </si>
  <si>
    <t>各种截面的力学性能-空心正方形</t>
  </si>
  <si>
    <t>外正方形边长a(cm)</t>
  </si>
  <si>
    <r>
      <rPr>
        <sz val="11"/>
        <color theme="1"/>
        <rFont val="微软雅黑"/>
        <family val="2"/>
        <charset val="134"/>
      </rPr>
      <t>惯性距I</t>
    </r>
    <r>
      <rPr>
        <sz val="11"/>
        <color theme="1"/>
        <rFont val="微软雅黑"/>
        <family val="2"/>
        <charset val="134"/>
      </rPr>
      <t>(cm</t>
    </r>
    <r>
      <rPr>
        <vertAlign val="superscript"/>
        <sz val="11"/>
        <color theme="1"/>
        <rFont val="微软雅黑"/>
        <family val="2"/>
        <charset val="134"/>
      </rPr>
      <t>4</t>
    </r>
    <r>
      <rPr>
        <sz val="11"/>
        <color theme="1"/>
        <rFont val="微软雅黑"/>
        <family val="2"/>
        <charset val="134"/>
      </rPr>
      <t>)</t>
    </r>
  </si>
  <si>
    <t>内正方形边长b(cm)</t>
  </si>
  <si>
    <t>各种截面的力学性能-空心正方形（圆）</t>
  </si>
  <si>
    <t>正方形边长a(cm)</t>
  </si>
  <si>
    <t>空心圆直径d(cm)</t>
  </si>
  <si>
    <t>各种截面的力学性能-空心圆</t>
  </si>
  <si>
    <t>外圆直径D(cm)</t>
  </si>
  <si>
    <t>内圆直径d(cm)</t>
  </si>
  <si>
    <t>各种截面的力学性能-空心椭圆</t>
  </si>
  <si>
    <t>外长半轴a(cm)</t>
  </si>
  <si>
    <r>
      <rPr>
        <sz val="11"/>
        <color theme="1"/>
        <rFont val="微软雅黑"/>
        <family val="2"/>
        <charset val="134"/>
      </rPr>
      <t>内长半轴a</t>
    </r>
    <r>
      <rPr>
        <vertAlign val="subscript"/>
        <sz val="11"/>
        <color theme="1"/>
        <rFont val="微软雅黑"/>
        <family val="2"/>
        <charset val="134"/>
      </rPr>
      <t>1</t>
    </r>
    <r>
      <rPr>
        <sz val="11"/>
        <color theme="1"/>
        <rFont val="微软雅黑"/>
        <family val="2"/>
        <charset val="134"/>
      </rPr>
      <t>(cm)</t>
    </r>
  </si>
  <si>
    <t>外短半轴b(cm)</t>
  </si>
  <si>
    <r>
      <rPr>
        <sz val="11"/>
        <color theme="1"/>
        <rFont val="微软雅黑"/>
        <family val="2"/>
        <charset val="134"/>
      </rPr>
      <t>外短半轴b</t>
    </r>
    <r>
      <rPr>
        <vertAlign val="subscript"/>
        <sz val="11"/>
        <color theme="1"/>
        <rFont val="微软雅黑"/>
        <family val="2"/>
        <charset val="134"/>
      </rPr>
      <t>1</t>
    </r>
    <r>
      <rPr>
        <sz val="11"/>
        <color theme="1"/>
        <rFont val="微软雅黑"/>
        <family val="2"/>
        <charset val="134"/>
      </rPr>
      <t>(cm)</t>
    </r>
  </si>
  <si>
    <t>各种截面的力学性能-矩形</t>
  </si>
  <si>
    <t xml:space="preserve">                                                                                                                                                                                                                                                                                                                                                                                                          </t>
  </si>
  <si>
    <t>边长b(cm)</t>
  </si>
  <si>
    <r>
      <rPr>
        <sz val="11"/>
        <color theme="1"/>
        <rFont val="微软雅黑"/>
        <family val="2"/>
        <charset val="134"/>
      </rPr>
      <t xml:space="preserve">参考书籍：机械设计手册（第五版）第一卷 第1篇  1-114页   </t>
    </r>
  </si>
  <si>
    <t>各种截面的力学性能-花键</t>
  </si>
  <si>
    <t>外直径D(cm)</t>
  </si>
  <si>
    <t>Z为花键齿数，计算取值为6</t>
  </si>
  <si>
    <t>花键齿数Z</t>
  </si>
  <si>
    <t>齿宽b(cm)</t>
  </si>
  <si>
    <t>内直径d(cm)</t>
  </si>
  <si>
    <r>
      <rPr>
        <sz val="11"/>
        <color theme="1"/>
        <rFont val="微软雅黑"/>
        <family val="2"/>
        <charset val="134"/>
      </rPr>
      <t xml:space="preserve">参考书籍：机械设计手册（第五版）第一卷 第1篇  1-117页   </t>
    </r>
  </si>
  <si>
    <t>各种截面的力学性能-钢型截面</t>
  </si>
  <si>
    <t>如图B(cm)</t>
  </si>
  <si>
    <t>如图H(cm)</t>
  </si>
  <si>
    <t>如图b(cm)</t>
  </si>
  <si>
    <t>如图h(cm)</t>
  </si>
  <si>
    <t>各种截面的力学性能-带横孔圆</t>
  </si>
  <si>
    <t>圆直径d(cm)</t>
  </si>
  <si>
    <r>
      <rPr>
        <sz val="11"/>
        <color theme="1"/>
        <rFont val="Symbol"/>
        <family val="1"/>
        <charset val="2"/>
      </rPr>
      <t>b</t>
    </r>
    <r>
      <rPr>
        <sz val="11"/>
        <color theme="1"/>
        <rFont val="微软雅黑"/>
        <family val="2"/>
        <charset val="134"/>
      </rPr>
      <t>=d</t>
    </r>
    <r>
      <rPr>
        <vertAlign val="subscript"/>
        <sz val="11"/>
        <color theme="1"/>
        <rFont val="微软雅黑"/>
        <family val="2"/>
        <charset val="134"/>
      </rPr>
      <t>1</t>
    </r>
    <r>
      <rPr>
        <sz val="11"/>
        <color theme="1"/>
        <rFont val="微软雅黑"/>
        <family val="2"/>
        <charset val="134"/>
      </rPr>
      <t>/d，其中公式中已经转换</t>
    </r>
  </si>
  <si>
    <r>
      <rPr>
        <sz val="11"/>
        <color theme="1"/>
        <rFont val="微软雅黑"/>
        <family val="2"/>
        <charset val="134"/>
      </rPr>
      <t>横孔圆直径d</t>
    </r>
    <r>
      <rPr>
        <vertAlign val="subscript"/>
        <sz val="11"/>
        <color theme="1"/>
        <rFont val="微软雅黑"/>
        <family val="2"/>
        <charset val="134"/>
      </rPr>
      <t>1</t>
    </r>
    <r>
      <rPr>
        <sz val="11"/>
        <color theme="1"/>
        <rFont val="微软雅黑"/>
        <family val="2"/>
        <charset val="134"/>
      </rPr>
      <t>(cm)</t>
    </r>
  </si>
  <si>
    <t>各种截面的力学性能-薄壁正方形</t>
  </si>
  <si>
    <t>一般δ≤a/15     这里计算取值为δ=a/15</t>
  </si>
  <si>
    <r>
      <rPr>
        <sz val="11"/>
        <color theme="1"/>
        <rFont val="微软雅黑"/>
        <family val="2"/>
        <charset val="134"/>
      </rPr>
      <t>抗弯截面系数W(cm</t>
    </r>
    <r>
      <rPr>
        <vertAlign val="superscript"/>
        <sz val="11"/>
        <color theme="1"/>
        <rFont val="微软雅黑"/>
        <family val="2"/>
        <charset val="134"/>
      </rPr>
      <t>3</t>
    </r>
    <r>
      <rPr>
        <sz val="11"/>
        <color theme="1"/>
        <rFont val="微软雅黑"/>
        <family val="2"/>
        <charset val="134"/>
      </rPr>
      <t>)</t>
    </r>
  </si>
  <si>
    <t>各种截面的力学性能-半圆环</t>
  </si>
  <si>
    <t>外半圆直径D(cm)</t>
  </si>
  <si>
    <t>内半圆直径d(d)</t>
  </si>
  <si>
    <t>各种截面的力学性能-半圆</t>
  </si>
  <si>
    <t>半圆直径d(cm)</t>
  </si>
  <si>
    <t>参考手册：机械设计手册（第五版）第五卷 第17篇 20-98页</t>
  </si>
  <si>
    <r>
      <rPr>
        <sz val="11"/>
        <color theme="1"/>
        <rFont val="微软雅黑"/>
        <family val="2"/>
        <charset val="134"/>
      </rPr>
      <t>电动机转矩T</t>
    </r>
    <r>
      <rPr>
        <vertAlign val="subscript"/>
        <sz val="11"/>
        <color theme="1"/>
        <rFont val="微软雅黑"/>
        <family val="2"/>
        <charset val="134"/>
      </rPr>
      <t>D</t>
    </r>
    <r>
      <rPr>
        <sz val="11"/>
        <color theme="1"/>
        <rFont val="微软雅黑"/>
        <family val="2"/>
        <charset val="134"/>
      </rPr>
      <t>（N·m）</t>
    </r>
  </si>
  <si>
    <t>一般旋转运动的机械P(kW)</t>
  </si>
  <si>
    <r>
      <rPr>
        <sz val="11"/>
        <color theme="1"/>
        <rFont val="微软雅黑"/>
        <family val="2"/>
        <charset val="134"/>
      </rPr>
      <t>电动机转速n</t>
    </r>
    <r>
      <rPr>
        <vertAlign val="subscript"/>
        <sz val="11"/>
        <color theme="1"/>
        <rFont val="微软雅黑"/>
        <family val="2"/>
        <charset val="134"/>
      </rPr>
      <t>D</t>
    </r>
    <r>
      <rPr>
        <sz val="11"/>
        <color theme="1"/>
        <rFont val="微软雅黑"/>
        <family val="2"/>
        <charset val="134"/>
      </rPr>
      <t>（r/min）</t>
    </r>
  </si>
  <si>
    <r>
      <rPr>
        <sz val="11"/>
        <color theme="1"/>
        <rFont val="微软雅黑"/>
        <family val="2"/>
        <charset val="134"/>
      </rPr>
      <t>电动机角速度ω</t>
    </r>
    <r>
      <rPr>
        <vertAlign val="subscript"/>
        <sz val="11"/>
        <color theme="1"/>
        <rFont val="微软雅黑"/>
        <family val="2"/>
        <charset val="134"/>
      </rPr>
      <t>D</t>
    </r>
    <r>
      <rPr>
        <sz val="11"/>
        <color theme="1"/>
        <rFont val="微软雅黑"/>
        <family val="2"/>
        <charset val="134"/>
      </rPr>
      <t>（rad/s）</t>
    </r>
  </si>
  <si>
    <t>余量系数K</t>
  </si>
  <si>
    <t>离心式通风机P（kW）</t>
  </si>
  <si>
    <r>
      <rPr>
        <sz val="11"/>
        <color theme="1"/>
        <rFont val="微软雅黑"/>
        <family val="2"/>
        <charset val="134"/>
      </rPr>
      <t>空气耗量Q（m</t>
    </r>
    <r>
      <rPr>
        <vertAlign val="superscript"/>
        <sz val="11"/>
        <color theme="1"/>
        <rFont val="微软雅黑"/>
        <family val="2"/>
        <charset val="134"/>
      </rPr>
      <t>3</t>
    </r>
    <r>
      <rPr>
        <sz val="11"/>
        <color theme="1"/>
        <rFont val="微软雅黑"/>
        <family val="2"/>
        <charset val="134"/>
      </rPr>
      <t>/s）</t>
    </r>
  </si>
  <si>
    <t>空气压力H（Pa）</t>
  </si>
  <si>
    <t>风机效率η</t>
  </si>
  <si>
    <r>
      <rPr>
        <sz val="11"/>
        <color theme="1"/>
        <rFont val="微软雅黑"/>
        <family val="2"/>
        <charset val="134"/>
      </rPr>
      <t>传动效率η</t>
    </r>
    <r>
      <rPr>
        <vertAlign val="subscript"/>
        <sz val="11"/>
        <color theme="1"/>
        <rFont val="微软雅黑"/>
        <family val="2"/>
        <charset val="134"/>
      </rPr>
      <t>c</t>
    </r>
  </si>
  <si>
    <t>离心泵及活塞泵P（kW）</t>
  </si>
  <si>
    <r>
      <rPr>
        <sz val="11"/>
        <color theme="1"/>
        <rFont val="微软雅黑"/>
        <family val="2"/>
        <charset val="134"/>
      </rPr>
      <t>泵的出水量Q（m</t>
    </r>
    <r>
      <rPr>
        <vertAlign val="superscript"/>
        <sz val="11"/>
        <color theme="1"/>
        <rFont val="微软雅黑"/>
        <family val="2"/>
        <charset val="134"/>
      </rPr>
      <t>3</t>
    </r>
    <r>
      <rPr>
        <sz val="11"/>
        <color theme="1"/>
        <rFont val="微软雅黑"/>
        <family val="2"/>
        <charset val="134"/>
      </rPr>
      <t>/s）</t>
    </r>
  </si>
  <si>
    <t>水头（扬程）H（m）</t>
  </si>
  <si>
    <t>主管损失水头△H（m）</t>
  </si>
  <si>
    <t>泵的效率η</t>
  </si>
  <si>
    <r>
      <rPr>
        <sz val="11"/>
        <color theme="1"/>
        <rFont val="微软雅黑"/>
        <family val="2"/>
        <charset val="134"/>
      </rPr>
      <t>重力加速度g（m/s</t>
    </r>
    <r>
      <rPr>
        <vertAlign val="superscript"/>
        <sz val="11"/>
        <color theme="1"/>
        <rFont val="微软雅黑"/>
        <family val="2"/>
        <charset val="134"/>
      </rPr>
      <t>2</t>
    </r>
    <r>
      <rPr>
        <sz val="11"/>
        <color theme="1"/>
        <rFont val="微软雅黑"/>
        <family val="2"/>
        <charset val="134"/>
      </rPr>
      <t>）</t>
    </r>
  </si>
  <si>
    <r>
      <rPr>
        <sz val="11"/>
        <color theme="1"/>
        <rFont val="微软雅黑"/>
        <family val="2"/>
        <charset val="134"/>
      </rPr>
      <t>压缩机的生产率Q（m</t>
    </r>
    <r>
      <rPr>
        <vertAlign val="superscript"/>
        <sz val="11"/>
        <color theme="1"/>
        <rFont val="微软雅黑"/>
        <family val="2"/>
        <charset val="134"/>
      </rPr>
      <t>3</t>
    </r>
    <r>
      <rPr>
        <sz val="11"/>
        <color theme="1"/>
        <rFont val="微软雅黑"/>
        <family val="2"/>
        <charset val="134"/>
      </rPr>
      <t>/s）</t>
    </r>
  </si>
  <si>
    <t>离心式压缩机P（kW）</t>
  </si>
  <si>
    <r>
      <rPr>
        <sz val="11"/>
        <color theme="1"/>
        <rFont val="微软雅黑"/>
        <family val="2"/>
        <charset val="134"/>
      </rPr>
      <t>等温功A</t>
    </r>
    <r>
      <rPr>
        <vertAlign val="subscript"/>
        <sz val="11"/>
        <color theme="1"/>
        <rFont val="微软雅黑"/>
        <family val="2"/>
        <charset val="134"/>
      </rPr>
      <t>d</t>
    </r>
    <r>
      <rPr>
        <sz val="11"/>
        <color theme="1"/>
        <rFont val="微软雅黑"/>
        <family val="2"/>
        <charset val="134"/>
      </rPr>
      <t>（J）</t>
    </r>
  </si>
  <si>
    <r>
      <rPr>
        <sz val="11"/>
        <color theme="1"/>
        <rFont val="微软雅黑"/>
        <family val="2"/>
        <charset val="134"/>
      </rPr>
      <t>绝热功A</t>
    </r>
    <r>
      <rPr>
        <vertAlign val="subscript"/>
        <sz val="11"/>
        <color theme="1"/>
        <rFont val="微软雅黑"/>
        <family val="2"/>
        <charset val="134"/>
      </rPr>
      <t>r</t>
    </r>
    <r>
      <rPr>
        <sz val="11"/>
        <color theme="1"/>
        <rFont val="微软雅黑"/>
        <family val="2"/>
        <charset val="134"/>
      </rPr>
      <t>（J）</t>
    </r>
  </si>
  <si>
    <t>压缩机总效率η</t>
  </si>
  <si>
    <t>作用力F（N）</t>
  </si>
  <si>
    <t>直线运动机械P（kW）</t>
  </si>
  <si>
    <t>运动速度v（m/s）</t>
  </si>
  <si>
    <t>传动效率η</t>
  </si>
  <si>
    <t>捲料沖壓效率計算</t>
  </si>
  <si>
    <t>這料捲重量約</t>
  </si>
  <si>
    <t>Kgs</t>
  </si>
  <si>
    <t>這料捲可沖製</t>
  </si>
  <si>
    <t>Pcs</t>
  </si>
  <si>
    <r>
      <rPr>
        <sz val="12"/>
        <rFont val="宋体"/>
        <family val="3"/>
        <charset val="134"/>
      </rPr>
      <t>列印日期</t>
    </r>
    <r>
      <rPr>
        <sz val="10"/>
        <rFont val="Times New Roman"/>
        <family val="1"/>
      </rPr>
      <t xml:space="preserve"> :</t>
    </r>
  </si>
  <si>
    <r>
      <rPr>
        <sz val="12"/>
        <rFont val="宋体"/>
        <family val="3"/>
        <charset val="134"/>
      </rPr>
      <t>備</t>
    </r>
    <r>
      <rPr>
        <sz val="12"/>
        <rFont val="Times New Roman"/>
        <family val="1"/>
      </rPr>
      <t xml:space="preserve"> </t>
    </r>
    <r>
      <rPr>
        <sz val="12"/>
        <rFont val="新細明體"/>
        <charset val="134"/>
      </rPr>
      <t>註</t>
    </r>
    <r>
      <rPr>
        <sz val="12"/>
        <rFont val="Times New Roman"/>
        <family val="1"/>
      </rPr>
      <t xml:space="preserve"> :</t>
    </r>
  </si>
  <si>
    <t>沖製品送距</t>
  </si>
  <si>
    <t>捲料厚度</t>
  </si>
  <si>
    <t>捲料寬度</t>
  </si>
  <si>
    <t>捲料內徑</t>
  </si>
  <si>
    <t>捲料材質</t>
  </si>
  <si>
    <t>我選擇</t>
  </si>
  <si>
    <r>
      <rPr>
        <sz val="12"/>
        <rFont val="宋体"/>
        <family val="3"/>
        <charset val="134"/>
      </rPr>
      <t xml:space="preserve">1. </t>
    </r>
    <r>
      <rPr>
        <sz val="12"/>
        <rFont val="新細明體"/>
        <charset val="134"/>
      </rPr>
      <t>鋁</t>
    </r>
  </si>
  <si>
    <r>
      <rPr>
        <sz val="12"/>
        <rFont val="宋体"/>
        <family val="3"/>
        <charset val="134"/>
      </rPr>
      <t xml:space="preserve">2. </t>
    </r>
    <r>
      <rPr>
        <sz val="12"/>
        <rFont val="新細明體"/>
        <charset val="134"/>
      </rPr>
      <t>黃銅</t>
    </r>
    <r>
      <rPr>
        <sz val="12"/>
        <rFont val="Times New Roman"/>
        <family val="1"/>
      </rPr>
      <t xml:space="preserve"> . </t>
    </r>
    <r>
      <rPr>
        <sz val="12"/>
        <rFont val="新細明體"/>
        <charset val="134"/>
      </rPr>
      <t>青銅</t>
    </r>
  </si>
  <si>
    <r>
      <rPr>
        <sz val="12"/>
        <rFont val="宋体"/>
        <family val="3"/>
        <charset val="134"/>
      </rPr>
      <t xml:space="preserve">3. </t>
    </r>
    <r>
      <rPr>
        <sz val="12"/>
        <rFont val="新細明體"/>
        <charset val="134"/>
      </rPr>
      <t>磷青銅</t>
    </r>
  </si>
  <si>
    <r>
      <rPr>
        <sz val="12"/>
        <rFont val="宋体"/>
        <family val="3"/>
        <charset val="134"/>
      </rPr>
      <t xml:space="preserve">4. </t>
    </r>
    <r>
      <rPr>
        <sz val="12"/>
        <rFont val="新細明體"/>
        <charset val="134"/>
      </rPr>
      <t>冷軋鋼板</t>
    </r>
  </si>
  <si>
    <r>
      <rPr>
        <sz val="12"/>
        <rFont val="宋体"/>
        <family val="3"/>
        <charset val="134"/>
      </rPr>
      <t xml:space="preserve">5. </t>
    </r>
    <r>
      <rPr>
        <sz val="12"/>
        <rFont val="新細明體"/>
        <charset val="134"/>
      </rPr>
      <t>矽鋼板</t>
    </r>
  </si>
  <si>
    <r>
      <rPr>
        <sz val="12"/>
        <rFont val="宋体"/>
        <family val="3"/>
        <charset val="134"/>
      </rPr>
      <t xml:space="preserve">6. </t>
    </r>
    <r>
      <rPr>
        <sz val="12"/>
        <rFont val="新細明體"/>
        <charset val="134"/>
      </rPr>
      <t>高碳鋼</t>
    </r>
    <r>
      <rPr>
        <sz val="12"/>
        <rFont val="Times New Roman"/>
        <family val="1"/>
      </rPr>
      <t xml:space="preserve"> . </t>
    </r>
    <r>
      <rPr>
        <sz val="12"/>
        <rFont val="新細明體"/>
        <charset val="134"/>
      </rPr>
      <t>工具鋼</t>
    </r>
  </si>
  <si>
    <t>捲料外徑</t>
  </si>
  <si>
    <r>
      <rPr>
        <sz val="12"/>
        <rFont val="宋体"/>
        <family val="3"/>
        <charset val="134"/>
      </rPr>
      <t xml:space="preserve">7. </t>
    </r>
    <r>
      <rPr>
        <sz val="12"/>
        <rFont val="新細明體"/>
        <charset val="134"/>
      </rPr>
      <t>不</t>
    </r>
    <r>
      <rPr>
        <sz val="12"/>
        <rFont val="新細明體"/>
        <charset val="134"/>
      </rPr>
      <t>銹鋼</t>
    </r>
  </si>
  <si>
    <t>落料剪切力之理论(参考)值计算</t>
  </si>
  <si>
    <t>最大抗剪应力 :</t>
  </si>
  <si>
    <t>吨</t>
  </si>
  <si>
    <t>冲剪所需能量</t>
  </si>
  <si>
    <t>Kg-m</t>
  </si>
  <si>
    <r>
      <rPr>
        <sz val="12"/>
        <rFont val="宋体"/>
        <family val="3"/>
        <charset val="134"/>
      </rPr>
      <t>列印日期</t>
    </r>
    <r>
      <rPr>
        <b/>
        <sz val="10"/>
        <rFont val="宋体"/>
        <family val="3"/>
        <charset val="134"/>
      </rPr>
      <t xml:space="preserve"> : </t>
    </r>
  </si>
  <si>
    <t>B.选择材料特性</t>
  </si>
  <si>
    <t>A.选择材料种类</t>
  </si>
  <si>
    <t>剪断长度计算工具</t>
  </si>
  <si>
    <t>我选择</t>
  </si>
  <si>
    <t>软质</t>
  </si>
  <si>
    <t>硬质</t>
  </si>
  <si>
    <t>Ⅰ.</t>
  </si>
  <si>
    <t>Ⅱ.</t>
  </si>
  <si>
    <t>Ⅲ.</t>
  </si>
  <si>
    <t>Ⅳ.</t>
  </si>
  <si>
    <t>Ⅴ.</t>
  </si>
  <si>
    <t>1. 软质</t>
  </si>
  <si>
    <t xml:space="preserve"> 1.  铅</t>
  </si>
  <si>
    <t>---</t>
  </si>
  <si>
    <t>2. 硬质</t>
  </si>
  <si>
    <t xml:space="preserve"> 2.  锡</t>
  </si>
  <si>
    <t xml:space="preserve"> 3.  纯铝</t>
  </si>
  <si>
    <t>C.输入材料厚度</t>
  </si>
  <si>
    <t xml:space="preserve"> 4.  杜拉铝</t>
  </si>
  <si>
    <t>材料厚</t>
  </si>
  <si>
    <t xml:space="preserve"> 5.  耐蚀铝</t>
  </si>
  <si>
    <t>c</t>
  </si>
  <si>
    <t xml:space="preserve"> 6.  锌</t>
  </si>
  <si>
    <t>长度</t>
  </si>
  <si>
    <t>长边</t>
  </si>
  <si>
    <t>D.输入剪断长度</t>
  </si>
  <si>
    <t xml:space="preserve"> 7.  铜</t>
  </si>
  <si>
    <t>长轴</t>
  </si>
  <si>
    <t>短边</t>
  </si>
  <si>
    <t>剪断长</t>
  </si>
  <si>
    <t xml:space="preserve"> 8.  黄铜</t>
  </si>
  <si>
    <t>直径</t>
  </si>
  <si>
    <t>圆角</t>
  </si>
  <si>
    <t>短轴</t>
  </si>
  <si>
    <t>高度</t>
  </si>
  <si>
    <t xml:space="preserve"> 9.  磷青铜</t>
  </si>
  <si>
    <t>数量</t>
  </si>
  <si>
    <t>E.选择弹簧压力</t>
  </si>
  <si>
    <t>10. 铍铜</t>
  </si>
  <si>
    <t>周长</t>
  </si>
  <si>
    <t>11. 冷轧钢(SPCC)</t>
  </si>
  <si>
    <t>剪断长度合计 :</t>
  </si>
  <si>
    <t>1. 10%</t>
  </si>
  <si>
    <t>12. 冷轧钢(SPCD)</t>
  </si>
  <si>
    <t>2. 15%</t>
  </si>
  <si>
    <t>13. 冷轧钢(SPCE)</t>
  </si>
  <si>
    <t>3. 20%</t>
  </si>
  <si>
    <t>14. 碳钢0.2%C</t>
  </si>
  <si>
    <t>15. 碳钢0.3%C</t>
  </si>
  <si>
    <t>F.预留刀刃磨耗</t>
  </si>
  <si>
    <t>16. 碳钢0.4%C</t>
  </si>
  <si>
    <t>备注:</t>
  </si>
  <si>
    <t>17. 碳钢0.6%C</t>
  </si>
  <si>
    <t>1. 30%</t>
  </si>
  <si>
    <t>18. 碳钢0.8%C</t>
  </si>
  <si>
    <t>2. 35%</t>
  </si>
  <si>
    <t>19. 碳钢1.0%C</t>
  </si>
  <si>
    <t>3. 40%</t>
  </si>
  <si>
    <t>20. 不锈钢</t>
  </si>
  <si>
    <t>21. 硅钢片</t>
  </si>
  <si>
    <t>G.预留安全系数</t>
  </si>
  <si>
    <t>22. 镍钢</t>
  </si>
  <si>
    <t>23. 热硬化树脂</t>
  </si>
  <si>
    <t>----</t>
  </si>
  <si>
    <r>
      <rPr>
        <sz val="12"/>
        <rFont val="宋体"/>
        <family val="3"/>
        <charset val="134"/>
      </rPr>
      <t>1.</t>
    </r>
    <r>
      <rPr>
        <sz val="12"/>
        <rFont val="宋体"/>
        <family val="3"/>
        <charset val="134"/>
      </rPr>
      <t xml:space="preserve"> 10%  ,</t>
    </r>
  </si>
  <si>
    <r>
      <rPr>
        <sz val="12"/>
        <rFont val="宋体"/>
        <family val="3"/>
        <charset val="134"/>
      </rPr>
      <t>2.</t>
    </r>
    <r>
      <rPr>
        <sz val="12"/>
        <rFont val="宋体"/>
        <family val="3"/>
        <charset val="134"/>
      </rPr>
      <t xml:space="preserve"> 20%</t>
    </r>
  </si>
  <si>
    <t>24. 云母</t>
  </si>
  <si>
    <t>板材壓印、壓縮成型加工之壓力計算</t>
  </si>
  <si>
    <r>
      <rPr>
        <sz val="12"/>
        <rFont val="宋体"/>
        <family val="3"/>
        <charset val="134"/>
      </rPr>
      <t>壓印所需之壓力為</t>
    </r>
    <r>
      <rPr>
        <sz val="16"/>
        <rFont val="宋体"/>
        <family val="3"/>
        <charset val="134"/>
      </rPr>
      <t xml:space="preserve"> :</t>
    </r>
  </si>
  <si>
    <t>噸</t>
  </si>
  <si>
    <r>
      <rPr>
        <sz val="12"/>
        <rFont val="宋体"/>
        <family val="3"/>
        <charset val="134"/>
      </rPr>
      <t>壓印所需之能量為</t>
    </r>
    <r>
      <rPr>
        <sz val="16"/>
        <rFont val="宋体"/>
        <family val="3"/>
        <charset val="134"/>
      </rPr>
      <t xml:space="preserve"> :</t>
    </r>
  </si>
  <si>
    <r>
      <rPr>
        <sz val="12"/>
        <rFont val="宋体"/>
        <family val="3"/>
        <charset val="134"/>
      </rPr>
      <t>列印日期</t>
    </r>
    <r>
      <rPr>
        <sz val="10"/>
        <rFont val="宋体"/>
        <family val="3"/>
        <charset val="134"/>
      </rPr>
      <t>:</t>
    </r>
  </si>
  <si>
    <t xml:space="preserve">     沖  頭           </t>
  </si>
  <si>
    <t>沖   頭</t>
  </si>
  <si>
    <t>沖 頭</t>
  </si>
  <si>
    <t xml:space="preserve">    下  模</t>
  </si>
  <si>
    <t>下   模</t>
  </si>
  <si>
    <t>下 模</t>
  </si>
  <si>
    <r>
      <rPr>
        <sz val="12"/>
        <rFont val="宋体"/>
        <family val="3"/>
        <charset val="134"/>
      </rPr>
      <t xml:space="preserve">    1. </t>
    </r>
    <r>
      <rPr>
        <b/>
        <sz val="12"/>
        <rFont val="宋体"/>
        <family val="3"/>
        <charset val="134"/>
      </rPr>
      <t>文字或花紋之刻入</t>
    </r>
  </si>
  <si>
    <r>
      <rPr>
        <sz val="12"/>
        <rFont val="宋体"/>
        <family val="3"/>
        <charset val="134"/>
      </rPr>
      <t xml:space="preserve">       2. </t>
    </r>
    <r>
      <rPr>
        <b/>
        <sz val="12"/>
        <rFont val="宋体"/>
        <family val="3"/>
        <charset val="134"/>
      </rPr>
      <t>突起沖壓加工</t>
    </r>
  </si>
  <si>
    <r>
      <rPr>
        <sz val="12"/>
        <rFont val="宋体"/>
        <family val="3"/>
        <charset val="134"/>
      </rPr>
      <t xml:space="preserve">    3. </t>
    </r>
    <r>
      <rPr>
        <b/>
        <sz val="12"/>
        <rFont val="宋体"/>
        <family val="3"/>
        <charset val="134"/>
      </rPr>
      <t>壓印沖壓加工</t>
    </r>
  </si>
  <si>
    <r>
      <rPr>
        <sz val="12"/>
        <rFont val="宋体"/>
        <family val="3"/>
        <charset val="134"/>
      </rPr>
      <t xml:space="preserve">4. </t>
    </r>
    <r>
      <rPr>
        <b/>
        <sz val="12"/>
        <rFont val="宋体"/>
        <family val="3"/>
        <charset val="134"/>
      </rPr>
      <t>壓縮成型</t>
    </r>
  </si>
  <si>
    <t>突起部位之面積不可過大</t>
  </si>
  <si>
    <t>壓印深度不可大於材料之30%</t>
  </si>
  <si>
    <t xml:space="preserve">          硬幣及紀念章等</t>
  </si>
  <si>
    <t>面積過大應以引伸或成型計算</t>
  </si>
  <si>
    <t>材料側方必須為開放</t>
  </si>
  <si>
    <t>A. 選擇壓印加工型式</t>
  </si>
  <si>
    <t>B.  選擇壓印材料為</t>
  </si>
  <si>
    <t>備註 :</t>
  </si>
  <si>
    <r>
      <rPr>
        <sz val="12"/>
        <rFont val="宋体"/>
        <family val="3"/>
        <charset val="134"/>
      </rPr>
      <t>kg/mm</t>
    </r>
    <r>
      <rPr>
        <vertAlign val="superscript"/>
        <sz val="10"/>
        <rFont val="宋体"/>
        <family val="3"/>
        <charset val="134"/>
      </rPr>
      <t>2</t>
    </r>
  </si>
  <si>
    <t>文字刻印</t>
  </si>
  <si>
    <t>突起加工</t>
  </si>
  <si>
    <t>壓印加工</t>
  </si>
  <si>
    <t>壓縮成型</t>
  </si>
  <si>
    <t>1.</t>
  </si>
  <si>
    <t>純  鋁</t>
  </si>
  <si>
    <t>2.</t>
  </si>
  <si>
    <t>鋁合金</t>
  </si>
  <si>
    <t>C. 板材壓印之投影面積為</t>
  </si>
  <si>
    <r>
      <rPr>
        <sz val="12"/>
        <rFont val="宋体"/>
        <family val="3"/>
        <charset val="134"/>
      </rPr>
      <t>mm</t>
    </r>
    <r>
      <rPr>
        <vertAlign val="superscript"/>
        <sz val="12"/>
        <rFont val="宋体"/>
        <family val="3"/>
        <charset val="134"/>
      </rPr>
      <t>2</t>
    </r>
  </si>
  <si>
    <t>3.</t>
  </si>
  <si>
    <t xml:space="preserve">電解銅 </t>
  </si>
  <si>
    <t>4.</t>
  </si>
  <si>
    <t>黃  銅</t>
  </si>
  <si>
    <t>D. 壓印板材厚度為</t>
  </si>
  <si>
    <t>5.</t>
  </si>
  <si>
    <t>軟鋼板</t>
  </si>
  <si>
    <t>6.</t>
  </si>
  <si>
    <t>不銹鋼</t>
  </si>
  <si>
    <t>E. 板材壓印深度為</t>
  </si>
  <si>
    <t>7.</t>
  </si>
  <si>
    <t>鎳</t>
  </si>
  <si>
    <t>8</t>
  </si>
  <si>
    <t>銀合金</t>
  </si>
  <si>
    <t>F. 沖床型式選用</t>
  </si>
  <si>
    <t>9</t>
  </si>
  <si>
    <t xml:space="preserve">黃  金  </t>
  </si>
  <si>
    <t>1. 曲柄式沖床</t>
  </si>
  <si>
    <t xml:space="preserve">白  銀  </t>
  </si>
  <si>
    <t>2. 肘節式沖床</t>
  </si>
  <si>
    <r>
      <rPr>
        <sz val="12"/>
        <rFont val="宋体"/>
        <family val="3"/>
        <charset val="134"/>
      </rPr>
      <t>V</t>
    </r>
    <r>
      <rPr>
        <sz val="20"/>
        <rFont val="宋体"/>
        <family val="3"/>
        <charset val="134"/>
      </rPr>
      <t>型彎曲之彎曲荷重計算</t>
    </r>
  </si>
  <si>
    <r>
      <rPr>
        <sz val="12"/>
        <rFont val="宋体"/>
        <family val="3"/>
        <charset val="134"/>
      </rPr>
      <t xml:space="preserve">A. </t>
    </r>
    <r>
      <rPr>
        <b/>
        <sz val="16"/>
        <rFont val="宋体"/>
        <family val="3"/>
        <charset val="134"/>
      </rPr>
      <t>自由彎曲荷重  :</t>
    </r>
  </si>
  <si>
    <r>
      <rPr>
        <sz val="12"/>
        <rFont val="宋体"/>
        <family val="3"/>
        <charset val="134"/>
      </rPr>
      <t xml:space="preserve">B. </t>
    </r>
    <r>
      <rPr>
        <b/>
        <sz val="16"/>
        <rFont val="宋体"/>
        <family val="3"/>
        <charset val="134"/>
      </rPr>
      <t>限制彎曲荷重  :</t>
    </r>
  </si>
  <si>
    <r>
      <rPr>
        <sz val="12"/>
        <rFont val="宋体"/>
        <family val="3"/>
        <charset val="134"/>
      </rPr>
      <t>自由彎曲能量</t>
    </r>
    <r>
      <rPr>
        <b/>
        <sz val="16"/>
        <rFont val="宋体"/>
        <family val="3"/>
        <charset val="134"/>
      </rPr>
      <t xml:space="preserve">  :</t>
    </r>
  </si>
  <si>
    <t>Kgf - m</t>
  </si>
  <si>
    <r>
      <rPr>
        <sz val="12"/>
        <rFont val="宋体"/>
        <family val="3"/>
        <charset val="134"/>
      </rPr>
      <t>限制彎曲能量</t>
    </r>
    <r>
      <rPr>
        <b/>
        <sz val="16"/>
        <rFont val="宋体"/>
        <family val="3"/>
        <charset val="134"/>
      </rPr>
      <t xml:space="preserve">  :</t>
    </r>
  </si>
  <si>
    <r>
      <rPr>
        <sz val="12"/>
        <rFont val="宋体"/>
        <family val="3"/>
        <charset val="134"/>
      </rPr>
      <t>列印日期</t>
    </r>
    <r>
      <rPr>
        <sz val="10"/>
        <rFont val="宋体"/>
        <family val="3"/>
        <charset val="134"/>
      </rPr>
      <t xml:space="preserve"> :</t>
    </r>
  </si>
  <si>
    <r>
      <rPr>
        <sz val="12"/>
        <rFont val="宋体"/>
        <family val="3"/>
        <charset val="134"/>
      </rPr>
      <t xml:space="preserve">A .  </t>
    </r>
    <r>
      <rPr>
        <b/>
        <sz val="14"/>
        <rFont val="宋体"/>
        <family val="3"/>
        <charset val="134"/>
      </rPr>
      <t>自由彎曲</t>
    </r>
  </si>
  <si>
    <t xml:space="preserve">材料選擇 : </t>
  </si>
  <si>
    <t>純鋁</t>
  </si>
  <si>
    <t>8.</t>
  </si>
  <si>
    <t>冷軋鋼 (SPCC)</t>
  </si>
  <si>
    <r>
      <rPr>
        <sz val="12"/>
        <rFont val="宋体"/>
        <family val="3"/>
        <charset val="134"/>
      </rPr>
      <t>板厚</t>
    </r>
    <r>
      <rPr>
        <sz val="11"/>
        <rFont val="宋体"/>
        <family val="3"/>
        <charset val="134"/>
      </rPr>
      <t>=</t>
    </r>
  </si>
  <si>
    <t>9.</t>
  </si>
  <si>
    <t>冷軋鋼 (SPCD)</t>
  </si>
  <si>
    <t>5t</t>
  </si>
  <si>
    <t>6t</t>
  </si>
  <si>
    <t>8t</t>
  </si>
  <si>
    <t>10t</t>
  </si>
  <si>
    <t>12t</t>
  </si>
  <si>
    <t>15t</t>
  </si>
  <si>
    <t>20t</t>
  </si>
  <si>
    <t>25t</t>
  </si>
  <si>
    <t>鎳鋼</t>
  </si>
  <si>
    <t>10.</t>
  </si>
  <si>
    <t>碳鋼  0.1-0.2%C</t>
  </si>
  <si>
    <t>r=t</t>
  </si>
  <si>
    <t>電解銅</t>
  </si>
  <si>
    <t>11.</t>
  </si>
  <si>
    <t>碳鋼  0.3-0.4%C</t>
  </si>
  <si>
    <t>r=1.5t</t>
  </si>
  <si>
    <t>青銅 (PB)</t>
  </si>
  <si>
    <t>12.</t>
  </si>
  <si>
    <t>碳鋼  0.6-0.8%C</t>
  </si>
  <si>
    <t>r=2t</t>
  </si>
  <si>
    <t>料寬</t>
  </si>
  <si>
    <t>黃銅 (BS)</t>
  </si>
  <si>
    <t>13.</t>
  </si>
  <si>
    <t>碳鋼 1.0%C</t>
  </si>
  <si>
    <t xml:space="preserve">磷青銅 </t>
  </si>
  <si>
    <t>14.</t>
  </si>
  <si>
    <t>不銹鋼 (SUS)</t>
  </si>
  <si>
    <t>深度</t>
  </si>
  <si>
    <t>備  註:</t>
  </si>
  <si>
    <t>係數</t>
  </si>
  <si>
    <r>
      <rPr>
        <sz val="12"/>
        <rFont val="宋体"/>
        <family val="3"/>
        <charset val="134"/>
      </rPr>
      <t xml:space="preserve">B .  </t>
    </r>
    <r>
      <rPr>
        <b/>
        <sz val="14"/>
        <rFont val="宋体"/>
        <family val="3"/>
        <charset val="134"/>
      </rPr>
      <t>限制彎曲</t>
    </r>
  </si>
  <si>
    <t>最小模寬</t>
  </si>
  <si>
    <r>
      <rPr>
        <sz val="12"/>
        <rFont val="宋体"/>
        <family val="3"/>
        <charset val="134"/>
      </rPr>
      <t>U</t>
    </r>
    <r>
      <rPr>
        <sz val="20"/>
        <rFont val="宋体"/>
        <family val="3"/>
        <charset val="134"/>
      </rPr>
      <t>型彎曲之彎曲荷重計算</t>
    </r>
  </si>
  <si>
    <r>
      <rPr>
        <sz val="12"/>
        <rFont val="宋体"/>
        <family val="3"/>
        <charset val="134"/>
      </rPr>
      <t>A.</t>
    </r>
    <r>
      <rPr>
        <b/>
        <sz val="16"/>
        <rFont val="宋体"/>
        <family val="3"/>
        <charset val="134"/>
      </rPr>
      <t>自由彎曲荷重:</t>
    </r>
  </si>
  <si>
    <r>
      <rPr>
        <sz val="12"/>
        <rFont val="宋体"/>
        <family val="3"/>
        <charset val="134"/>
      </rPr>
      <t>B.</t>
    </r>
    <r>
      <rPr>
        <b/>
        <sz val="16"/>
        <rFont val="宋体"/>
        <family val="3"/>
        <charset val="134"/>
      </rPr>
      <t>限制彎曲荷重:</t>
    </r>
  </si>
  <si>
    <r>
      <rPr>
        <sz val="12"/>
        <rFont val="宋体"/>
        <family val="3"/>
        <charset val="134"/>
      </rPr>
      <t xml:space="preserve">    </t>
    </r>
    <r>
      <rPr>
        <b/>
        <sz val="16"/>
        <rFont val="宋体"/>
        <family val="3"/>
        <charset val="134"/>
      </rPr>
      <t>自由彎曲能量:</t>
    </r>
  </si>
  <si>
    <r>
      <rPr>
        <sz val="12"/>
        <rFont val="宋体"/>
        <family val="3"/>
        <charset val="134"/>
      </rPr>
      <t xml:space="preserve">    </t>
    </r>
    <r>
      <rPr>
        <b/>
        <sz val="16"/>
        <rFont val="宋体"/>
        <family val="3"/>
        <charset val="134"/>
      </rPr>
      <t>限制彎曲能量:</t>
    </r>
  </si>
  <si>
    <t>R=2t</t>
  </si>
  <si>
    <t>R=3t</t>
  </si>
  <si>
    <t>R=4t</t>
  </si>
  <si>
    <t>R=5t</t>
  </si>
  <si>
    <t>R=6t</t>
  </si>
  <si>
    <t>R=7t</t>
  </si>
  <si>
    <t>R=8t</t>
  </si>
  <si>
    <t>R=10t</t>
  </si>
  <si>
    <t>r=0.5t</t>
  </si>
  <si>
    <t>r=1t</t>
  </si>
  <si>
    <t>碳鋼  1.0% C</t>
  </si>
  <si>
    <t>r=3t</t>
  </si>
  <si>
    <t>W=</t>
  </si>
  <si>
    <t xml:space="preserve">  備  註 :</t>
  </si>
  <si>
    <t>料厚</t>
  </si>
  <si>
    <t>外圓角=</t>
  </si>
  <si>
    <t>如折彎處僅為二邊時,請將此邊尺寸值輸入 " 0 "</t>
  </si>
  <si>
    <r>
      <rPr>
        <b/>
        <sz val="25"/>
        <color rgb="FF000000"/>
        <rFont val="宋体"/>
        <family val="3"/>
        <charset val="134"/>
      </rPr>
      <t>齿轮齿条电机选型</t>
    </r>
    <r>
      <rPr>
        <b/>
        <sz val="12"/>
        <color indexed="8"/>
        <rFont val="宋体"/>
        <family val="3"/>
        <charset val="134"/>
      </rPr>
      <t>（网友</t>
    </r>
    <r>
      <rPr>
        <b/>
        <sz val="12"/>
        <color indexed="10"/>
        <rFont val="宋体"/>
        <family val="3"/>
        <charset val="134"/>
      </rPr>
      <t>坐看云起</t>
    </r>
    <r>
      <rPr>
        <b/>
        <sz val="12"/>
        <color indexed="8"/>
        <rFont val="宋体"/>
        <family val="3"/>
        <charset val="134"/>
      </rPr>
      <t>分享）</t>
    </r>
  </si>
  <si>
    <t>180+10+80+10</t>
  </si>
  <si>
    <t>定位时间</t>
  </si>
  <si>
    <t>t=</t>
  </si>
  <si>
    <t>路程</t>
  </si>
  <si>
    <t>s=</t>
  </si>
  <si>
    <t>u=</t>
  </si>
  <si>
    <t>齿轮模数</t>
  </si>
  <si>
    <t>S=vt+½at²</t>
  </si>
  <si>
    <t>齿轮齿数</t>
  </si>
  <si>
    <t>z=</t>
  </si>
  <si>
    <t>齿轮半径</t>
  </si>
  <si>
    <t>R=</t>
  </si>
  <si>
    <t>电机扭矩</t>
  </si>
  <si>
    <t>NM</t>
  </si>
  <si>
    <t>30-90</t>
  </si>
  <si>
    <t>2000-4000</t>
  </si>
  <si>
    <t>i=</t>
  </si>
  <si>
    <t>加减速条件</t>
  </si>
  <si>
    <t>a&gt;</t>
  </si>
  <si>
    <t>m/s^2</t>
  </si>
  <si>
    <t>a&gt;4s/t^2</t>
  </si>
  <si>
    <t>重力</t>
  </si>
  <si>
    <t>mg=</t>
  </si>
  <si>
    <t>物体受的重力</t>
  </si>
  <si>
    <t>摩擦力</t>
  </si>
  <si>
    <t>f=</t>
  </si>
  <si>
    <t>电机要带动</t>
  </si>
  <si>
    <t>牵引力</t>
  </si>
  <si>
    <t>F=</t>
  </si>
  <si>
    <t>电机剩余的力（加速度力）</t>
  </si>
  <si>
    <t>加速度</t>
  </si>
  <si>
    <t>a=</t>
  </si>
  <si>
    <t>加速度确认</t>
  </si>
  <si>
    <t>加速时间</t>
  </si>
  <si>
    <t>t1=</t>
  </si>
  <si>
    <t>无效解</t>
  </si>
  <si>
    <t>匀速时间</t>
  </si>
  <si>
    <t>t2=</t>
  </si>
  <si>
    <t>匀速速度</t>
  </si>
  <si>
    <t>vt1=</t>
  </si>
  <si>
    <t>最高速度</t>
  </si>
  <si>
    <t>路程确认</t>
  </si>
  <si>
    <t>匀速时电机速度</t>
  </si>
  <si>
    <t>V=</t>
  </si>
  <si>
    <t>校核电机转速情况</t>
  </si>
  <si>
    <t>MP=2πM</t>
  </si>
  <si>
    <t>fai</t>
  </si>
  <si>
    <t>h=30</t>
  </si>
  <si>
    <t>rb=100</t>
  </si>
  <si>
    <t>faio=60</t>
  </si>
  <si>
    <t>faio'=60</t>
  </si>
  <si>
    <t>fais=120</t>
  </si>
  <si>
    <t>fais'=120</t>
  </si>
  <si>
    <t xml:space="preserve">凸轮正弦余弦计算对照表 </t>
  </si>
  <si>
    <t xml:space="preserve"> 70+H/2*{1-COS[π/60*(θ-20)]}  /    70+H*[（θ-20）/60-sin[2π（θ-20）/60] /2π]</t>
  </si>
  <si>
    <t>弧度转角度公式</t>
  </si>
  <si>
    <t>角度</t>
  </si>
  <si>
    <t>圆周率</t>
  </si>
  <si>
    <t>起始角度</t>
  </si>
  <si>
    <t>行程H</t>
  </si>
  <si>
    <t>回程夹角</t>
  </si>
  <si>
    <t>近程夹角</t>
  </si>
  <si>
    <t>推程夹角</t>
  </si>
  <si>
    <t>基圆半径</t>
  </si>
  <si>
    <t>余弦值凸轮半径R</t>
  </si>
  <si>
    <t>正弦值凸轮半径R</t>
  </si>
  <si>
    <t>sin(θ/180*PI())</t>
  </si>
  <si>
    <t>cos(θ/180*PI())</t>
  </si>
  <si>
    <t>90-10X{1-COS[90/30X(θ-280)]}</t>
  </si>
  <si>
    <t>凸轮的轮廓曲线设计</t>
  </si>
  <si>
    <t>推程角</t>
  </si>
  <si>
    <t>回程角</t>
  </si>
  <si>
    <t>升距</t>
  </si>
  <si>
    <t>铁碳合金</t>
  </si>
  <si>
    <r>
      <rPr>
        <b/>
        <sz val="11"/>
        <color indexed="12"/>
        <rFont val="宋体"/>
        <family val="3"/>
        <charset val="134"/>
      </rPr>
      <t>密度</t>
    </r>
    <r>
      <rPr>
        <b/>
        <sz val="11"/>
        <color indexed="12"/>
        <rFont val="Times New Roman"/>
        <family val="1"/>
      </rPr>
      <t> g/mm</t>
    </r>
    <r>
      <rPr>
        <b/>
        <sz val="12"/>
        <color indexed="12"/>
        <rFont val="宋体"/>
        <family val="3"/>
        <charset val="134"/>
      </rPr>
      <t>³</t>
    </r>
  </si>
  <si>
    <t>铜材</t>
  </si>
  <si>
    <t>铝材</t>
  </si>
  <si>
    <t>镁、锌、钛、镍及合金</t>
  </si>
  <si>
    <t>工程塑料</t>
  </si>
  <si>
    <r>
      <rPr>
        <sz val="10.5"/>
        <rFont val="Times New Roman"/>
        <family val="1"/>
      </rPr>
      <t> </t>
    </r>
    <r>
      <rPr>
        <sz val="10.5"/>
        <rFont val="宋体"/>
        <family val="3"/>
        <charset val="134"/>
      </rPr>
      <t>纯铜材</t>
    </r>
  </si>
  <si>
    <t>材质名称</t>
  </si>
  <si>
    <r>
      <rPr>
        <sz val="11"/>
        <rFont val="宋体"/>
        <family val="3"/>
        <charset val="134"/>
      </rPr>
      <t>密度（g/cm</t>
    </r>
    <r>
      <rPr>
        <vertAlign val="superscript"/>
        <sz val="11"/>
        <rFont val="宋体"/>
        <family val="3"/>
        <charset val="134"/>
      </rPr>
      <t>3</t>
    </r>
    <r>
      <rPr>
        <sz val="11"/>
        <rFont val="宋体"/>
        <family val="3"/>
        <charset val="134"/>
      </rPr>
      <t>)</t>
    </r>
  </si>
  <si>
    <t xml:space="preserve"> 7.4~7.7</t>
  </si>
  <si>
    <r>
      <rPr>
        <sz val="10.5"/>
        <rFont val="Times New Roman"/>
        <family val="1"/>
      </rPr>
      <t>59</t>
    </r>
    <r>
      <rPr>
        <sz val="10.5"/>
        <rFont val="宋体"/>
        <family val="3"/>
        <charset val="134"/>
      </rPr>
      <t>、</t>
    </r>
    <r>
      <rPr>
        <sz val="10.5"/>
        <rFont val="Times New Roman"/>
        <family val="1"/>
      </rPr>
      <t>62</t>
    </r>
    <r>
      <rPr>
        <sz val="10.5"/>
        <rFont val="宋体"/>
        <family val="3"/>
        <charset val="134"/>
      </rPr>
      <t>、</t>
    </r>
    <r>
      <rPr>
        <sz val="10.5"/>
        <rFont val="Times New Roman"/>
        <family val="1"/>
      </rPr>
      <t>65</t>
    </r>
    <r>
      <rPr>
        <sz val="10.5"/>
        <rFont val="宋体"/>
        <family val="3"/>
        <charset val="134"/>
      </rPr>
      <t>、</t>
    </r>
    <r>
      <rPr>
        <sz val="10.5"/>
        <rFont val="Times New Roman"/>
        <family val="1"/>
      </rPr>
      <t>68</t>
    </r>
    <r>
      <rPr>
        <sz val="10.5"/>
        <rFont val="宋体"/>
        <family val="3"/>
        <charset val="134"/>
      </rPr>
      <t>黄铜</t>
    </r>
  </si>
  <si>
    <r>
      <rPr>
        <sz val="10.5"/>
        <rFont val="宋体"/>
        <family val="3"/>
        <charset val="134"/>
      </rPr>
      <t>防锈铝</t>
    </r>
    <r>
      <rPr>
        <sz val="10.5"/>
        <rFont val="Times New Roman"/>
        <family val="1"/>
      </rPr>
      <t xml:space="preserve"> LF2</t>
    </r>
    <r>
      <rPr>
        <sz val="10.5"/>
        <rFont val="宋体"/>
        <family val="3"/>
        <charset val="134"/>
      </rPr>
      <t>、</t>
    </r>
    <r>
      <rPr>
        <sz val="10.5"/>
        <rFont val="Times New Roman"/>
        <family val="1"/>
      </rPr>
      <t>LF43</t>
    </r>
  </si>
  <si>
    <r>
      <rPr>
        <sz val="10.5"/>
        <rFont val="宋体"/>
        <family val="3"/>
        <charset val="134"/>
      </rPr>
      <t>变形镁</t>
    </r>
    <r>
      <rPr>
        <sz val="10.5"/>
        <rFont val="Times New Roman"/>
        <family val="1"/>
      </rPr>
      <t xml:space="preserve"> MB1</t>
    </r>
  </si>
  <si>
    <t>ULTEM 1000</t>
  </si>
  <si>
    <r>
      <rPr>
        <sz val="10.5"/>
        <rFont val="Times New Roman"/>
        <family val="1"/>
      </rPr>
      <t>80</t>
    </r>
    <r>
      <rPr>
        <sz val="10.5"/>
        <rFont val="宋体"/>
        <family val="3"/>
        <charset val="134"/>
      </rPr>
      <t>、</t>
    </r>
    <r>
      <rPr>
        <sz val="10.5"/>
        <rFont val="Times New Roman"/>
        <family val="1"/>
      </rPr>
      <t>85</t>
    </r>
    <r>
      <rPr>
        <sz val="10.5"/>
        <rFont val="宋体"/>
        <family val="3"/>
        <charset val="134"/>
      </rPr>
      <t>、</t>
    </r>
    <r>
      <rPr>
        <sz val="10.5"/>
        <rFont val="Times New Roman"/>
        <family val="1"/>
      </rPr>
      <t>90</t>
    </r>
    <r>
      <rPr>
        <sz val="10.5"/>
        <rFont val="宋体"/>
        <family val="3"/>
        <charset val="134"/>
      </rPr>
      <t>黄铜</t>
    </r>
  </si>
  <si>
    <r>
      <rPr>
        <sz val="10.5"/>
        <rFont val="Times New Roman"/>
        <family val="1"/>
      </rPr>
      <t>MB2</t>
    </r>
    <r>
      <rPr>
        <sz val="10.5"/>
        <rFont val="宋体"/>
        <family val="3"/>
        <charset val="134"/>
      </rPr>
      <t>、</t>
    </r>
    <r>
      <rPr>
        <sz val="10.5"/>
        <rFont val="Times New Roman"/>
        <family val="1"/>
      </rPr>
      <t>MB8</t>
    </r>
  </si>
  <si>
    <t>PTFE</t>
  </si>
  <si>
    <r>
      <rPr>
        <sz val="10.5"/>
        <rFont val="宋体"/>
        <family val="3"/>
        <charset val="134"/>
      </rPr>
      <t>铸钢</t>
    </r>
    <r>
      <rPr>
        <sz val="10.5"/>
        <rFont val="Times New Roman"/>
        <family val="1"/>
      </rPr>
      <t xml:space="preserve"> </t>
    </r>
  </si>
  <si>
    <r>
      <rPr>
        <sz val="10.5"/>
        <rFont val="Times New Roman"/>
        <family val="1"/>
      </rPr>
      <t>96</t>
    </r>
    <r>
      <rPr>
        <sz val="10.5"/>
        <rFont val="宋体"/>
        <family val="3"/>
        <charset val="134"/>
      </rPr>
      <t>黄铜</t>
    </r>
  </si>
  <si>
    <r>
      <rPr>
        <sz val="10.5"/>
        <rFont val="Times New Roman"/>
        <family val="1"/>
      </rPr>
      <t>LF5</t>
    </r>
    <r>
      <rPr>
        <sz val="10.5"/>
        <rFont val="宋体"/>
        <family val="3"/>
        <charset val="134"/>
      </rPr>
      <t>、</t>
    </r>
    <r>
      <rPr>
        <sz val="10.5"/>
        <rFont val="Times New Roman"/>
        <family val="1"/>
      </rPr>
      <t>LF10</t>
    </r>
    <r>
      <rPr>
        <sz val="10.5"/>
        <rFont val="宋体"/>
        <family val="3"/>
        <charset val="134"/>
      </rPr>
      <t>、</t>
    </r>
    <r>
      <rPr>
        <sz val="10.5"/>
        <rFont val="Times New Roman"/>
        <family val="1"/>
      </rPr>
      <t>LF11</t>
    </r>
  </si>
  <si>
    <t>POLYESTER LAMINATE 
NERMA GPO-3</t>
  </si>
  <si>
    <r>
      <rPr>
        <sz val="10.5"/>
        <rFont val="Times New Roman"/>
        <family val="1"/>
      </rPr>
      <t>59-1</t>
    </r>
    <r>
      <rPr>
        <sz val="10.5"/>
        <rFont val="宋体"/>
        <family val="3"/>
        <charset val="134"/>
      </rPr>
      <t>、</t>
    </r>
    <r>
      <rPr>
        <sz val="10.5"/>
        <rFont val="Times New Roman"/>
        <family val="1"/>
      </rPr>
      <t>63-3</t>
    </r>
    <r>
      <rPr>
        <sz val="10.5"/>
        <rFont val="宋体"/>
        <family val="3"/>
        <charset val="134"/>
      </rPr>
      <t>铅黄铜</t>
    </r>
  </si>
  <si>
    <r>
      <rPr>
        <sz val="10.5"/>
        <rFont val="Times New Roman"/>
        <family val="1"/>
      </rPr>
      <t>MB5</t>
    </r>
    <r>
      <rPr>
        <sz val="10.5"/>
        <rFont val="宋体"/>
        <family val="3"/>
        <charset val="134"/>
      </rPr>
      <t>、</t>
    </r>
    <r>
      <rPr>
        <sz val="10.5"/>
        <rFont val="Times New Roman"/>
        <family val="1"/>
      </rPr>
      <t>MB6</t>
    </r>
    <r>
      <rPr>
        <sz val="10.5"/>
        <rFont val="宋体"/>
        <family val="3"/>
        <charset val="134"/>
      </rPr>
      <t>、</t>
    </r>
    <r>
      <rPr>
        <sz val="10.5"/>
        <rFont val="Times New Roman"/>
        <family val="1"/>
      </rPr>
      <t>MB7</t>
    </r>
    <r>
      <rPr>
        <sz val="10.5"/>
        <rFont val="宋体"/>
        <family val="3"/>
        <charset val="134"/>
      </rPr>
      <t>、</t>
    </r>
    <r>
      <rPr>
        <sz val="10.5"/>
        <rFont val="Times New Roman"/>
        <family val="1"/>
      </rPr>
      <t>MB15</t>
    </r>
  </si>
  <si>
    <t>WHITE DELRIN</t>
  </si>
  <si>
    <r>
      <rPr>
        <sz val="10.5"/>
        <rFont val="Times New Roman"/>
        <family val="1"/>
      </rPr>
      <t>74-3</t>
    </r>
    <r>
      <rPr>
        <sz val="10.5"/>
        <rFont val="宋体"/>
        <family val="3"/>
        <charset val="134"/>
      </rPr>
      <t>铅黄铜</t>
    </r>
  </si>
  <si>
    <t>PVC</t>
  </si>
  <si>
    <r>
      <rPr>
        <sz val="10.5"/>
        <rFont val="Times New Roman"/>
        <family val="1"/>
      </rPr>
      <t>90-1</t>
    </r>
    <r>
      <rPr>
        <sz val="10.5"/>
        <rFont val="宋体"/>
        <family val="3"/>
        <charset val="134"/>
      </rPr>
      <t>锡黄铜</t>
    </r>
  </si>
  <si>
    <r>
      <rPr>
        <sz val="10.5"/>
        <rFont val="宋体"/>
        <family val="3"/>
        <charset val="134"/>
      </rPr>
      <t>硬铝</t>
    </r>
    <r>
      <rPr>
        <sz val="10.5"/>
        <rFont val="Times New Roman"/>
        <family val="1"/>
      </rPr>
      <t xml:space="preserve"> LY1</t>
    </r>
    <r>
      <rPr>
        <sz val="10.5"/>
        <rFont val="宋体"/>
        <family val="3"/>
        <charset val="134"/>
      </rPr>
      <t>、</t>
    </r>
    <r>
      <rPr>
        <sz val="10.5"/>
        <rFont val="Times New Roman"/>
        <family val="1"/>
      </rPr>
      <t>LY2</t>
    </r>
    <r>
      <rPr>
        <sz val="10.5"/>
        <rFont val="宋体"/>
        <family val="3"/>
        <charset val="134"/>
      </rPr>
      <t>、</t>
    </r>
    <r>
      <rPr>
        <sz val="10.5"/>
        <rFont val="Times New Roman"/>
        <family val="1"/>
      </rPr>
      <t>LY4</t>
    </r>
    <r>
      <rPr>
        <sz val="10.5"/>
        <rFont val="宋体"/>
        <family val="3"/>
        <charset val="134"/>
      </rPr>
      <t>、</t>
    </r>
    <r>
      <rPr>
        <sz val="10.5"/>
        <rFont val="Times New Roman"/>
        <family val="1"/>
      </rPr>
      <t>LY6</t>
    </r>
  </si>
  <si>
    <r>
      <rPr>
        <sz val="10.5"/>
        <rFont val="宋体"/>
        <family val="3"/>
        <charset val="134"/>
      </rPr>
      <t>工业纯钛</t>
    </r>
    <r>
      <rPr>
        <sz val="10.5"/>
        <rFont val="Times New Roman"/>
        <family val="1"/>
      </rPr>
      <t>TA1</t>
    </r>
    <r>
      <rPr>
        <sz val="10.5"/>
        <rFont val="宋体"/>
        <family val="3"/>
        <charset val="134"/>
      </rPr>
      <t>、</t>
    </r>
    <r>
      <rPr>
        <sz val="10.5"/>
        <rFont val="Times New Roman"/>
        <family val="1"/>
      </rPr>
      <t>TA2</t>
    </r>
    <r>
      <rPr>
        <sz val="10.5"/>
        <rFont val="宋体"/>
        <family val="3"/>
        <charset val="134"/>
      </rPr>
      <t>、</t>
    </r>
    <r>
      <rPr>
        <sz val="10.5"/>
        <rFont val="Times New Roman"/>
        <family val="1"/>
      </rPr>
      <t>TA3</t>
    </r>
  </si>
  <si>
    <t>GLASS EPOXY G10</t>
  </si>
  <si>
    <r>
      <rPr>
        <sz val="10.5"/>
        <rFont val="Times New Roman"/>
        <family val="1"/>
      </rPr>
      <t>70-1</t>
    </r>
    <r>
      <rPr>
        <sz val="10.5"/>
        <rFont val="宋体"/>
        <family val="3"/>
        <charset val="134"/>
      </rPr>
      <t>锡黄铜</t>
    </r>
  </si>
  <si>
    <r>
      <rPr>
        <sz val="10.5"/>
        <rFont val="宋体"/>
        <family val="3"/>
        <charset val="134"/>
      </rPr>
      <t>钛合金</t>
    </r>
    <r>
      <rPr>
        <sz val="10.5"/>
        <rFont val="Times New Roman"/>
        <family val="1"/>
      </rPr>
      <t xml:space="preserve"> TA4</t>
    </r>
    <r>
      <rPr>
        <sz val="10.5"/>
        <rFont val="宋体"/>
        <family val="3"/>
        <charset val="134"/>
      </rPr>
      <t>、</t>
    </r>
    <r>
      <rPr>
        <sz val="10.5"/>
        <rFont val="Times New Roman"/>
        <family val="1"/>
      </rPr>
      <t>TA5</t>
    </r>
    <r>
      <rPr>
        <sz val="10.5"/>
        <rFont val="宋体"/>
        <family val="3"/>
        <charset val="134"/>
      </rPr>
      <t>、</t>
    </r>
    <r>
      <rPr>
        <sz val="10.5"/>
        <rFont val="Times New Roman"/>
        <family val="1"/>
      </rPr>
      <t>TC6</t>
    </r>
  </si>
  <si>
    <t>NYLON</t>
  </si>
  <si>
    <r>
      <rPr>
        <sz val="10.5"/>
        <rFont val="宋体"/>
        <family val="3"/>
        <charset val="134"/>
      </rPr>
      <t>易切钢</t>
    </r>
    <r>
      <rPr>
        <sz val="10.5"/>
        <rFont val="Times New Roman"/>
        <family val="1"/>
      </rPr>
      <t xml:space="preserve"> </t>
    </r>
  </si>
  <si>
    <r>
      <rPr>
        <sz val="10.5"/>
        <rFont val="Times New Roman"/>
        <family val="1"/>
      </rPr>
      <t>60-1</t>
    </r>
    <r>
      <rPr>
        <sz val="10.5"/>
        <rFont val="宋体"/>
        <family val="3"/>
        <charset val="134"/>
      </rPr>
      <t>和</t>
    </r>
    <r>
      <rPr>
        <sz val="10.5"/>
        <rFont val="Times New Roman"/>
        <family val="1"/>
      </rPr>
      <t>62-1</t>
    </r>
    <r>
      <rPr>
        <sz val="10.5"/>
        <rFont val="宋体"/>
        <family val="3"/>
        <charset val="134"/>
      </rPr>
      <t>锡黄铜</t>
    </r>
  </si>
  <si>
    <r>
      <rPr>
        <sz val="10.5"/>
        <rFont val="Times New Roman"/>
        <family val="1"/>
      </rPr>
      <t>LY7</t>
    </r>
    <r>
      <rPr>
        <sz val="10.5"/>
        <rFont val="宋体"/>
        <family val="3"/>
        <charset val="134"/>
      </rPr>
      <t>、</t>
    </r>
    <r>
      <rPr>
        <sz val="10.5"/>
        <rFont val="Times New Roman"/>
        <family val="1"/>
      </rPr>
      <t>LY8</t>
    </r>
    <r>
      <rPr>
        <sz val="10.5"/>
        <rFont val="宋体"/>
        <family val="3"/>
        <charset val="134"/>
      </rPr>
      <t>、</t>
    </r>
    <r>
      <rPr>
        <sz val="10.5"/>
        <rFont val="Times New Roman"/>
        <family val="1"/>
      </rPr>
      <t>LY10</t>
    </r>
    <r>
      <rPr>
        <sz val="10.5"/>
        <rFont val="宋体"/>
        <family val="3"/>
        <charset val="134"/>
      </rPr>
      <t>、</t>
    </r>
    <r>
      <rPr>
        <sz val="10.5"/>
        <rFont val="Times New Roman"/>
        <family val="1"/>
      </rPr>
      <t>LY11</t>
    </r>
    <r>
      <rPr>
        <sz val="10.5"/>
        <rFont val="宋体"/>
        <family val="3"/>
        <charset val="134"/>
      </rPr>
      <t>、</t>
    </r>
    <r>
      <rPr>
        <sz val="10.5"/>
        <rFont val="Times New Roman"/>
        <family val="1"/>
      </rPr>
      <t xml:space="preserve">LY14 </t>
    </r>
  </si>
  <si>
    <t>PE</t>
  </si>
  <si>
    <r>
      <rPr>
        <sz val="10.5"/>
        <rFont val="Times New Roman"/>
        <family val="1"/>
      </rPr>
      <t>77-2</t>
    </r>
    <r>
      <rPr>
        <sz val="10.5"/>
        <rFont val="宋体"/>
        <family val="3"/>
        <charset val="134"/>
      </rPr>
      <t>铝黄铜</t>
    </r>
  </si>
  <si>
    <r>
      <rPr>
        <sz val="10.5"/>
        <rFont val="Times New Roman"/>
        <family val="1"/>
      </rPr>
      <t>TA7</t>
    </r>
    <r>
      <rPr>
        <sz val="10.5"/>
        <rFont val="宋体"/>
        <family val="3"/>
        <charset val="134"/>
      </rPr>
      <t>、</t>
    </r>
    <r>
      <rPr>
        <sz val="10.5"/>
        <rFont val="Times New Roman"/>
        <family val="1"/>
      </rPr>
      <t>TC5</t>
    </r>
  </si>
  <si>
    <t>TORLON 4203L</t>
  </si>
  <si>
    <r>
      <rPr>
        <sz val="10.5"/>
        <rFont val="Times New Roman"/>
        <family val="1"/>
      </rPr>
      <t>15CrA</t>
    </r>
    <r>
      <rPr>
        <sz val="10.5"/>
        <rFont val="宋体"/>
        <family val="3"/>
        <charset val="134"/>
      </rPr>
      <t>铬钢</t>
    </r>
  </si>
  <si>
    <r>
      <rPr>
        <sz val="10.5"/>
        <rFont val="Times New Roman"/>
        <family val="1"/>
      </rPr>
      <t>67-2.5</t>
    </r>
    <r>
      <rPr>
        <sz val="10.5"/>
        <rFont val="宋体"/>
        <family val="3"/>
        <charset val="134"/>
      </rPr>
      <t>、</t>
    </r>
    <r>
      <rPr>
        <sz val="10.5"/>
        <rFont val="Times New Roman"/>
        <family val="1"/>
      </rPr>
      <t>66-6-3-2</t>
    </r>
    <r>
      <rPr>
        <sz val="10.5"/>
        <rFont val="宋体"/>
        <family val="3"/>
        <charset val="134"/>
      </rPr>
      <t>、</t>
    </r>
    <r>
      <rPr>
        <sz val="10.5"/>
        <rFont val="Times New Roman"/>
        <family val="1"/>
      </rPr>
      <t>60-1-1</t>
    </r>
    <r>
      <rPr>
        <sz val="10.5"/>
        <rFont val="宋体"/>
        <family val="3"/>
        <charset val="134"/>
      </rPr>
      <t>铝黄铜</t>
    </r>
  </si>
  <si>
    <r>
      <rPr>
        <sz val="10.5"/>
        <rFont val="Times New Roman"/>
        <family val="1"/>
      </rPr>
      <t>LY9</t>
    </r>
    <r>
      <rPr>
        <sz val="10.5"/>
        <rFont val="宋体"/>
        <family val="3"/>
        <charset val="134"/>
      </rPr>
      <t>、</t>
    </r>
    <r>
      <rPr>
        <sz val="10.5"/>
        <rFont val="Times New Roman"/>
        <family val="1"/>
      </rPr>
      <t>LY12</t>
    </r>
  </si>
  <si>
    <t>PEER</t>
  </si>
  <si>
    <r>
      <rPr>
        <sz val="10.5"/>
        <rFont val="Times New Roman"/>
        <family val="1"/>
      </rPr>
      <t>20Cr</t>
    </r>
    <r>
      <rPr>
        <sz val="10.5"/>
        <rFont val="宋体"/>
        <family val="3"/>
        <charset val="134"/>
      </rPr>
      <t>、</t>
    </r>
    <r>
      <rPr>
        <sz val="10.5"/>
        <rFont val="Times New Roman"/>
        <family val="1"/>
      </rPr>
      <t>30Cr</t>
    </r>
    <r>
      <rPr>
        <sz val="10.5"/>
        <rFont val="宋体"/>
        <family val="3"/>
        <charset val="134"/>
      </rPr>
      <t>、</t>
    </r>
    <r>
      <rPr>
        <sz val="10.5"/>
        <rFont val="Times New Roman"/>
        <family val="1"/>
      </rPr>
      <t>40Cr</t>
    </r>
    <r>
      <rPr>
        <sz val="10.5"/>
        <rFont val="宋体"/>
        <family val="3"/>
        <charset val="134"/>
      </rPr>
      <t>铬钢</t>
    </r>
  </si>
  <si>
    <r>
      <rPr>
        <sz val="10.5"/>
        <rFont val="Times New Roman"/>
        <family val="1"/>
      </rPr>
      <t>LY16</t>
    </r>
    <r>
      <rPr>
        <sz val="10.5"/>
        <rFont val="宋体"/>
        <family val="3"/>
        <charset val="134"/>
      </rPr>
      <t>、</t>
    </r>
    <r>
      <rPr>
        <sz val="10.5"/>
        <rFont val="Times New Roman"/>
        <family val="1"/>
      </rPr>
      <t>LY17</t>
    </r>
  </si>
  <si>
    <r>
      <rPr>
        <sz val="10.5"/>
        <rFont val="Times New Roman"/>
        <family val="1"/>
      </rPr>
      <t>TB1</t>
    </r>
    <r>
      <rPr>
        <sz val="10.5"/>
        <rFont val="宋体"/>
        <family val="3"/>
        <charset val="134"/>
      </rPr>
      <t>、</t>
    </r>
    <r>
      <rPr>
        <sz val="10.5"/>
        <rFont val="Times New Roman"/>
        <family val="1"/>
      </rPr>
      <t>TB2</t>
    </r>
  </si>
  <si>
    <t>TOLY CARBONATE</t>
  </si>
  <si>
    <r>
      <rPr>
        <sz val="10.5"/>
        <rFont val="Times New Roman"/>
        <family val="1"/>
      </rPr>
      <t>38CrA</t>
    </r>
    <r>
      <rPr>
        <sz val="10.5"/>
        <rFont val="宋体"/>
        <family val="3"/>
        <charset val="134"/>
      </rPr>
      <t>铬钢</t>
    </r>
  </si>
  <si>
    <r>
      <rPr>
        <sz val="10.5"/>
        <rFont val="宋体"/>
        <family val="3"/>
        <charset val="134"/>
      </rPr>
      <t>锻铝</t>
    </r>
    <r>
      <rPr>
        <sz val="10.5"/>
        <rFont val="Times New Roman"/>
        <family val="1"/>
      </rPr>
      <t xml:space="preserve"> LD2</t>
    </r>
    <r>
      <rPr>
        <sz val="10.5"/>
        <rFont val="宋体"/>
        <family val="3"/>
        <charset val="134"/>
      </rPr>
      <t>、</t>
    </r>
    <r>
      <rPr>
        <sz val="10.5"/>
        <rFont val="Times New Roman"/>
        <family val="1"/>
      </rPr>
      <t>LD30</t>
    </r>
  </si>
  <si>
    <r>
      <rPr>
        <sz val="10.5"/>
        <rFont val="Times New Roman"/>
        <family val="1"/>
      </rPr>
      <t>TC1</t>
    </r>
    <r>
      <rPr>
        <sz val="10.5"/>
        <rFont val="宋体"/>
        <family val="3"/>
        <charset val="134"/>
      </rPr>
      <t>、</t>
    </r>
    <r>
      <rPr>
        <sz val="10.5"/>
        <rFont val="Times New Roman"/>
        <family val="1"/>
      </rPr>
      <t>TC2</t>
    </r>
  </si>
  <si>
    <t>ROGERS 4350</t>
  </si>
  <si>
    <t xml:space="preserve">铬钒、铬镍、铬镍钼、铬锰、硅、铬锰硅镍、硅锰、硅铬钢 </t>
  </si>
  <si>
    <r>
      <rPr>
        <sz val="10.5"/>
        <rFont val="Times New Roman"/>
        <family val="1"/>
      </rPr>
      <t>TC3</t>
    </r>
    <r>
      <rPr>
        <sz val="10.5"/>
        <rFont val="宋体"/>
        <family val="3"/>
        <charset val="134"/>
      </rPr>
      <t>、</t>
    </r>
    <r>
      <rPr>
        <sz val="10.5"/>
        <rFont val="Times New Roman"/>
        <family val="1"/>
      </rPr>
      <t>TC4</t>
    </r>
  </si>
  <si>
    <t>POLYCARBONATE（PC）</t>
  </si>
  <si>
    <r>
      <rPr>
        <sz val="10.5"/>
        <rFont val="Times New Roman"/>
        <family val="1"/>
      </rPr>
      <t>5-5-5</t>
    </r>
    <r>
      <rPr>
        <sz val="10.5"/>
        <rFont val="宋体"/>
        <family val="3"/>
        <charset val="134"/>
      </rPr>
      <t>铸锡青铜</t>
    </r>
  </si>
  <si>
    <t xml:space="preserve"> 8.8 </t>
  </si>
  <si>
    <t>ASBESTOS(石棉）</t>
  </si>
  <si>
    <r>
      <rPr>
        <sz val="10.5"/>
        <rFont val="Times New Roman"/>
        <family val="1"/>
      </rPr>
      <t>3-12-5</t>
    </r>
    <r>
      <rPr>
        <sz val="10.5"/>
        <rFont val="宋体"/>
        <family val="3"/>
        <charset val="134"/>
      </rPr>
      <t>铸锡青铜</t>
    </r>
    <r>
      <rPr>
        <sz val="10.5"/>
        <rFont val="Times New Roman"/>
        <family val="1"/>
      </rPr>
      <t xml:space="preserve"> </t>
    </r>
  </si>
  <si>
    <r>
      <rPr>
        <sz val="10.5"/>
        <rFont val="Times New Roman"/>
        <family val="1"/>
      </rPr>
      <t>LD7</t>
    </r>
    <r>
      <rPr>
        <sz val="10.5"/>
        <rFont val="宋体"/>
        <family val="3"/>
        <charset val="134"/>
      </rPr>
      <t>、</t>
    </r>
    <r>
      <rPr>
        <sz val="10.5"/>
        <rFont val="Times New Roman"/>
        <family val="1"/>
      </rPr>
      <t>LD9</t>
    </r>
    <r>
      <rPr>
        <sz val="10.5"/>
        <rFont val="宋体"/>
        <family val="3"/>
        <charset val="134"/>
      </rPr>
      <t>、</t>
    </r>
    <r>
      <rPr>
        <sz val="10.5"/>
        <rFont val="Times New Roman"/>
        <family val="1"/>
      </rPr>
      <t>LD10</t>
    </r>
  </si>
  <si>
    <t>SILCONE SPONGE
PAD</t>
  </si>
  <si>
    <r>
      <rPr>
        <sz val="10.5"/>
        <rFont val="宋体"/>
        <family val="3"/>
        <charset val="134"/>
      </rPr>
      <t>铬镍钨钢</t>
    </r>
    <r>
      <rPr>
        <sz val="10.5"/>
        <rFont val="Times New Roman"/>
        <family val="1"/>
      </rPr>
      <t xml:space="preserve"> </t>
    </r>
  </si>
  <si>
    <r>
      <rPr>
        <sz val="10.5"/>
        <rFont val="Times New Roman"/>
        <family val="1"/>
      </rPr>
      <t>6-6-3</t>
    </r>
    <r>
      <rPr>
        <sz val="10.5"/>
        <rFont val="宋体"/>
        <family val="3"/>
        <charset val="134"/>
      </rPr>
      <t>铸锡青铜</t>
    </r>
  </si>
  <si>
    <t>POM(赛刚)</t>
  </si>
  <si>
    <r>
      <rPr>
        <sz val="10.5"/>
        <rFont val="Times New Roman"/>
        <family val="1"/>
      </rPr>
      <t>7-0.2</t>
    </r>
    <r>
      <rPr>
        <sz val="10.5"/>
        <rFont val="宋体"/>
        <family val="3"/>
        <charset val="134"/>
      </rPr>
      <t>、</t>
    </r>
    <r>
      <rPr>
        <sz val="10.5"/>
        <rFont val="Times New Roman"/>
        <family val="1"/>
      </rPr>
      <t>6.5-0.4</t>
    </r>
    <r>
      <rPr>
        <sz val="10.5"/>
        <rFont val="宋体"/>
        <family val="3"/>
        <charset val="134"/>
      </rPr>
      <t>、</t>
    </r>
    <r>
      <rPr>
        <sz val="10.5"/>
        <rFont val="Times New Roman"/>
        <family val="1"/>
      </rPr>
      <t>6.5-0.1</t>
    </r>
    <r>
      <rPr>
        <sz val="10.5"/>
        <rFont val="宋体"/>
        <family val="3"/>
        <charset val="134"/>
      </rPr>
      <t>、</t>
    </r>
    <r>
      <rPr>
        <sz val="10.5"/>
        <rFont val="Times New Roman"/>
        <family val="1"/>
      </rPr>
      <t>4-3</t>
    </r>
    <r>
      <rPr>
        <sz val="10.5"/>
        <rFont val="宋体"/>
        <family val="3"/>
        <charset val="134"/>
      </rPr>
      <t>锡青铜</t>
    </r>
    <r>
      <rPr>
        <sz val="10.5"/>
        <rFont val="Times New Roman"/>
        <family val="1"/>
      </rPr>
      <t xml:space="preserve"> </t>
    </r>
  </si>
  <si>
    <r>
      <rPr>
        <sz val="10.5"/>
        <rFont val="Times New Roman"/>
        <family val="1"/>
      </rPr>
      <t>LT1</t>
    </r>
    <r>
      <rPr>
        <sz val="10.5"/>
        <rFont val="宋体"/>
        <family val="3"/>
        <charset val="134"/>
      </rPr>
      <t>特殊铝</t>
    </r>
    <r>
      <rPr>
        <sz val="10.5"/>
        <rFont val="Times New Roman"/>
        <family val="1"/>
      </rPr>
      <t xml:space="preserve"> </t>
    </r>
  </si>
  <si>
    <r>
      <rPr>
        <sz val="10.5"/>
        <rFont val="宋体"/>
        <family val="3"/>
        <charset val="134"/>
      </rPr>
      <t>含钨</t>
    </r>
    <r>
      <rPr>
        <sz val="10.5"/>
        <rFont val="Times New Roman"/>
        <family val="1"/>
      </rPr>
      <t>9</t>
    </r>
    <r>
      <rPr>
        <sz val="10.5"/>
        <rFont val="宋体"/>
        <family val="3"/>
        <charset val="134"/>
      </rPr>
      <t>高速工具钢</t>
    </r>
  </si>
  <si>
    <t> 8.3</t>
  </si>
  <si>
    <t>PMMA（亚克力）</t>
  </si>
  <si>
    <r>
      <rPr>
        <sz val="10.5"/>
        <rFont val="宋体"/>
        <family val="3"/>
        <charset val="134"/>
      </rPr>
      <t>含钨</t>
    </r>
    <r>
      <rPr>
        <sz val="10.5"/>
        <rFont val="Times New Roman"/>
        <family val="1"/>
      </rPr>
      <t>18</t>
    </r>
    <r>
      <rPr>
        <sz val="10.5"/>
        <rFont val="宋体"/>
        <family val="3"/>
        <charset val="134"/>
      </rPr>
      <t>高速工具钢</t>
    </r>
  </si>
  <si>
    <r>
      <rPr>
        <sz val="10.5"/>
        <rFont val="Times New Roman"/>
        <family val="1"/>
      </rPr>
      <t>4-0.3</t>
    </r>
    <r>
      <rPr>
        <sz val="10.5"/>
        <rFont val="宋体"/>
        <family val="3"/>
        <charset val="134"/>
      </rPr>
      <t>、</t>
    </r>
    <r>
      <rPr>
        <sz val="10.5"/>
        <rFont val="Times New Roman"/>
        <family val="1"/>
      </rPr>
      <t>4-4-4</t>
    </r>
    <r>
      <rPr>
        <sz val="10.5"/>
        <rFont val="宋体"/>
        <family val="3"/>
        <charset val="134"/>
      </rPr>
      <t>锡青铜</t>
    </r>
    <r>
      <rPr>
        <sz val="10.5"/>
        <rFont val="Times New Roman"/>
        <family val="1"/>
      </rPr>
      <t xml:space="preserve"> </t>
    </r>
  </si>
  <si>
    <r>
      <rPr>
        <sz val="10.5"/>
        <rFont val="Times New Roman"/>
        <family val="1"/>
      </rPr>
      <t> 4-4-2.5</t>
    </r>
    <r>
      <rPr>
        <sz val="10.5"/>
        <rFont val="宋体"/>
        <family val="3"/>
        <charset val="134"/>
      </rPr>
      <t>锡青铜</t>
    </r>
  </si>
  <si>
    <t> 8.75</t>
  </si>
  <si>
    <r>
      <rPr>
        <sz val="10.5"/>
        <rFont val="Times New Roman"/>
        <family val="1"/>
      </rPr>
      <t>5</t>
    </r>
    <r>
      <rPr>
        <sz val="10.5"/>
        <rFont val="宋体"/>
        <family val="3"/>
        <charset val="134"/>
      </rPr>
      <t>铝青铜</t>
    </r>
    <r>
      <rPr>
        <sz val="10.5"/>
        <rFont val="Times New Roman"/>
        <family val="1"/>
      </rPr>
      <t xml:space="preserve"> </t>
    </r>
  </si>
  <si>
    <r>
      <rPr>
        <sz val="10.5"/>
        <rFont val="宋体"/>
        <family val="3"/>
        <charset val="134"/>
      </rPr>
      <t>锌锭</t>
    </r>
    <r>
      <rPr>
        <sz val="10.5"/>
        <rFont val="Times New Roman"/>
        <family val="1"/>
      </rPr>
      <t>Zn0.1</t>
    </r>
    <r>
      <rPr>
        <sz val="10.5"/>
        <rFont val="宋体"/>
        <family val="3"/>
        <charset val="134"/>
      </rPr>
      <t>、</t>
    </r>
    <r>
      <rPr>
        <sz val="10.5"/>
        <rFont val="Times New Roman"/>
        <family val="1"/>
      </rPr>
      <t>Zn1</t>
    </r>
    <r>
      <rPr>
        <sz val="10.5"/>
        <rFont val="宋体"/>
        <family val="3"/>
        <charset val="134"/>
      </rPr>
      <t>、</t>
    </r>
    <r>
      <rPr>
        <sz val="10.5"/>
        <rFont val="Times New Roman"/>
        <family val="1"/>
      </rPr>
      <t>Zn2</t>
    </r>
    <r>
      <rPr>
        <sz val="10.5"/>
        <rFont val="宋体"/>
        <family val="3"/>
        <charset val="134"/>
      </rPr>
      <t>、</t>
    </r>
    <r>
      <rPr>
        <sz val="10.5"/>
        <rFont val="Times New Roman"/>
        <family val="1"/>
      </rPr>
      <t>Zn3</t>
    </r>
  </si>
  <si>
    <t>不锈钢0Cr13、1Cr13、2Cr13、3Cr13、4Cr13、Cr17Ni2、Cr18、9Cr18、Cr25、Cr28</t>
  </si>
  <si>
    <r>
      <rPr>
        <sz val="10.5"/>
        <rFont val="Times New Roman"/>
        <family val="1"/>
      </rPr>
      <t>7</t>
    </r>
    <r>
      <rPr>
        <sz val="10.5"/>
        <rFont val="宋体"/>
        <family val="3"/>
        <charset val="134"/>
      </rPr>
      <t>铝青铜</t>
    </r>
  </si>
  <si>
    <r>
      <rPr>
        <sz val="10.5"/>
        <rFont val="Times New Roman"/>
        <family val="1"/>
      </rPr>
      <t>19-2</t>
    </r>
    <r>
      <rPr>
        <sz val="10.5"/>
        <rFont val="宋体"/>
        <family val="3"/>
        <charset val="134"/>
      </rPr>
      <t>铝青铜</t>
    </r>
  </si>
  <si>
    <r>
      <rPr>
        <sz val="10.5"/>
        <rFont val="Times New Roman"/>
        <family val="1"/>
      </rPr>
      <t>4-1</t>
    </r>
    <r>
      <rPr>
        <sz val="10.5"/>
        <rFont val="宋体"/>
        <family val="3"/>
        <charset val="134"/>
      </rPr>
      <t>铸造锌铝合金</t>
    </r>
  </si>
  <si>
    <r>
      <rPr>
        <sz val="10.5"/>
        <rFont val="Times New Roman"/>
        <family val="1"/>
      </rPr>
      <t>9-4</t>
    </r>
    <r>
      <rPr>
        <sz val="10.5"/>
        <rFont val="宋体"/>
        <family val="3"/>
        <charset val="134"/>
      </rPr>
      <t>、</t>
    </r>
    <r>
      <rPr>
        <sz val="10.5"/>
        <rFont val="Times New Roman"/>
        <family val="1"/>
      </rPr>
      <t>10-3-1.5</t>
    </r>
    <r>
      <rPr>
        <sz val="10.5"/>
        <rFont val="宋体"/>
        <family val="3"/>
        <charset val="134"/>
      </rPr>
      <t>铝青铜</t>
    </r>
  </si>
  <si>
    <r>
      <rPr>
        <sz val="10.5"/>
        <rFont val="Times New Roman"/>
        <family val="1"/>
      </rPr>
      <t>4-0.5</t>
    </r>
    <r>
      <rPr>
        <sz val="10.5"/>
        <rFont val="宋体"/>
        <family val="3"/>
        <charset val="134"/>
      </rPr>
      <t>铸造锌铝合金</t>
    </r>
  </si>
  <si>
    <r>
      <rPr>
        <sz val="10.5"/>
        <rFont val="Times New Roman"/>
        <family val="1"/>
      </rPr>
      <t>10-4-4</t>
    </r>
    <r>
      <rPr>
        <sz val="10.5"/>
        <rFont val="宋体"/>
        <family val="3"/>
        <charset val="134"/>
      </rPr>
      <t>铝青铜</t>
    </r>
  </si>
  <si>
    <r>
      <rPr>
        <sz val="10.5"/>
        <rFont val="Times New Roman"/>
        <family val="1"/>
      </rPr>
      <t>Cr14</t>
    </r>
    <r>
      <rPr>
        <sz val="10.5"/>
        <rFont val="宋体"/>
        <family val="3"/>
        <charset val="134"/>
      </rPr>
      <t>、</t>
    </r>
    <r>
      <rPr>
        <sz val="10.5"/>
        <rFont val="Times New Roman"/>
        <family val="1"/>
      </rPr>
      <t xml:space="preserve">Cr17 </t>
    </r>
  </si>
  <si>
    <r>
      <rPr>
        <sz val="10.5"/>
        <rFont val="Times New Roman"/>
        <family val="1"/>
      </rPr>
      <t>0Cr18Ni9</t>
    </r>
    <r>
      <rPr>
        <sz val="10.5"/>
        <rFont val="宋体"/>
        <family val="3"/>
        <charset val="134"/>
      </rPr>
      <t>、</t>
    </r>
    <r>
      <rPr>
        <sz val="10.5"/>
        <rFont val="Times New Roman"/>
        <family val="1"/>
      </rPr>
      <t>1Cr18Ni9</t>
    </r>
    <r>
      <rPr>
        <sz val="10.5"/>
        <rFont val="宋体"/>
        <family val="3"/>
        <charset val="134"/>
      </rPr>
      <t>、</t>
    </r>
    <r>
      <rPr>
        <sz val="10.5"/>
        <rFont val="Times New Roman"/>
        <family val="1"/>
      </rPr>
      <t>Cr18Ni9Ti</t>
    </r>
    <r>
      <rPr>
        <sz val="10.5"/>
        <rFont val="宋体"/>
        <family val="3"/>
        <charset val="134"/>
      </rPr>
      <t>、</t>
    </r>
    <r>
      <rPr>
        <sz val="10.5"/>
        <rFont val="Times New Roman"/>
        <family val="1"/>
      </rPr>
      <t xml:space="preserve">2Cr18Ni9 </t>
    </r>
  </si>
  <si>
    <r>
      <rPr>
        <sz val="10.5"/>
        <rFont val="Times New Roman"/>
        <family val="1"/>
      </rPr>
      <t>1</t>
    </r>
    <r>
      <rPr>
        <sz val="10.5"/>
        <rFont val="宋体"/>
        <family val="3"/>
        <charset val="134"/>
      </rPr>
      <t>铍青铜</t>
    </r>
  </si>
  <si>
    <r>
      <rPr>
        <sz val="10.5"/>
        <rFont val="Times New Roman"/>
        <family val="1"/>
      </rPr>
      <t>3-1</t>
    </r>
    <r>
      <rPr>
        <sz val="10.5"/>
        <rFont val="宋体"/>
        <family val="3"/>
        <charset val="134"/>
      </rPr>
      <t>硅青铜</t>
    </r>
  </si>
  <si>
    <t xml:space="preserve">1Cr18Ni11Si4A1Ti </t>
  </si>
  <si>
    <r>
      <rPr>
        <sz val="10.5"/>
        <rFont val="Times New Roman"/>
        <family val="1"/>
      </rPr>
      <t>1-3</t>
    </r>
    <r>
      <rPr>
        <sz val="10.5"/>
        <rFont val="宋体"/>
        <family val="3"/>
        <charset val="134"/>
      </rPr>
      <t>硅青铜</t>
    </r>
  </si>
  <si>
    <r>
      <rPr>
        <sz val="10.5"/>
        <rFont val="Times New Roman"/>
        <family val="1"/>
      </rPr>
      <t>1Crl8NillNb</t>
    </r>
    <r>
      <rPr>
        <sz val="10.5"/>
        <rFont val="宋体"/>
        <family val="3"/>
        <charset val="134"/>
      </rPr>
      <t>、</t>
    </r>
    <r>
      <rPr>
        <sz val="10.5"/>
        <rFont val="Times New Roman"/>
        <family val="1"/>
      </rPr>
      <t>Cr23Ni18</t>
    </r>
  </si>
  <si>
    <r>
      <rPr>
        <sz val="10.5"/>
        <rFont val="Times New Roman"/>
        <family val="1"/>
      </rPr>
      <t>0.5</t>
    </r>
    <r>
      <rPr>
        <sz val="10.5"/>
        <rFont val="宋体"/>
        <family val="3"/>
        <charset val="134"/>
      </rPr>
      <t>镉青铜</t>
    </r>
  </si>
  <si>
    <r>
      <rPr>
        <sz val="10.5"/>
        <rFont val="Times New Roman"/>
        <family val="1"/>
      </rPr>
      <t>0.5</t>
    </r>
    <r>
      <rPr>
        <sz val="10.5"/>
        <rFont val="宋体"/>
        <family val="3"/>
        <charset val="134"/>
      </rPr>
      <t>铬青铜</t>
    </r>
  </si>
  <si>
    <r>
      <rPr>
        <sz val="10.5"/>
        <rFont val="Times New Roman"/>
        <family val="1"/>
      </rPr>
      <t>1.5</t>
    </r>
    <r>
      <rPr>
        <sz val="10.5"/>
        <rFont val="宋体"/>
        <family val="3"/>
        <charset val="134"/>
      </rPr>
      <t>锰青铜</t>
    </r>
  </si>
  <si>
    <r>
      <rPr>
        <sz val="10.5"/>
        <rFont val="Times New Roman"/>
        <family val="1"/>
      </rPr>
      <t>5</t>
    </r>
    <r>
      <rPr>
        <sz val="10.5"/>
        <rFont val="宋体"/>
        <family val="3"/>
        <charset val="134"/>
      </rPr>
      <t>锰青铜</t>
    </r>
  </si>
  <si>
    <t>白铜B5、B19、B30、BMn40-1.5</t>
  </si>
  <si>
    <t> 8.9</t>
  </si>
  <si>
    <t>T=G/1000M·{(W1+M)*L1·f1+W2·L2·f2+(W2+M)*L2·f3+1.1M(L1+L2)·f1}</t>
  </si>
  <si>
    <t>T: 作用于链条上的最大张力(KN)</t>
  </si>
  <si>
    <t>得出：</t>
  </si>
  <si>
    <t>L1: 传送部的长度(ｍ)</t>
  </si>
  <si>
    <t xml:space="preserve">L2: 滞留部的长度(ｍ) </t>
  </si>
  <si>
    <t>W1: 含传送部托盘的传送物重量(kg/ｍ)</t>
  </si>
  <si>
    <t>W2: 含滞留部托盘的传送物重量(kg/ｍ)</t>
  </si>
  <si>
    <t>M: 链条重量(kg/ｍ)</t>
  </si>
  <si>
    <t>f1: 有滞留时传送物与链条间的摩擦系数</t>
  </si>
  <si>
    <t>f2: 链条与滑轨的摩擦系数</t>
  </si>
  <si>
    <t>f3: 有滞留时链条与滑轨间的摩擦系数</t>
  </si>
  <si>
    <t>G: 重力加速度=9.80665(m/s2)</t>
  </si>
  <si>
    <t>KW:所需动力（KW）</t>
  </si>
  <si>
    <t>V:链条速度（m/min）</t>
  </si>
  <si>
    <t>n：传动效率（75%）</t>
  </si>
  <si>
    <t>F1：作用在单根链条的最大张力（KN）</t>
  </si>
  <si>
    <t xml:space="preserve">自流式输送机一般并列使用2条链条， 计算每条链条的张力。  </t>
  </si>
  <si>
    <t>链条的容许张力≥(TMK1MK2)/2  如果超过了链条的容许张力，</t>
  </si>
  <si>
    <t>请将链条变更为大一号规格， 或将机械长度进行分割后重新计算.</t>
  </si>
  <si>
    <r>
      <rPr>
        <b/>
        <sz val="18"/>
        <color rgb="FFFFFFFF"/>
        <rFont val="굴림"/>
        <charset val="134"/>
      </rPr>
      <t>倍速</t>
    </r>
    <r>
      <rPr>
        <b/>
        <sz val="18"/>
        <color indexed="9"/>
        <rFont val="宋体"/>
        <family val="3"/>
        <charset val="134"/>
      </rPr>
      <t>链线马达功率计算</t>
    </r>
  </si>
  <si>
    <t>变量参数</t>
  </si>
  <si>
    <t>输送速度</t>
  </si>
  <si>
    <t>速度倍速</t>
  </si>
  <si>
    <t>输送链轮直径</t>
  </si>
  <si>
    <t>电机效率</t>
  </si>
  <si>
    <r>
      <rPr>
        <b/>
        <sz val="12"/>
        <rFont val="宋体"/>
        <family val="3"/>
        <charset val="134"/>
      </rPr>
      <t>η</t>
    </r>
    <r>
      <rPr>
        <b/>
        <sz val="13.8"/>
        <rFont val="Arial"/>
        <family val="2"/>
      </rPr>
      <t>1</t>
    </r>
  </si>
  <si>
    <t>输送机构效率</t>
  </si>
  <si>
    <r>
      <rPr>
        <b/>
        <sz val="12"/>
        <rFont val="宋体"/>
        <family val="3"/>
        <charset val="134"/>
      </rPr>
      <t>η</t>
    </r>
    <r>
      <rPr>
        <b/>
        <sz val="13.8"/>
        <rFont val="宋体"/>
        <family val="3"/>
        <charset val="134"/>
      </rPr>
      <t>2</t>
    </r>
  </si>
  <si>
    <t>电机轴链轮</t>
  </si>
  <si>
    <t>主动轴链轮</t>
  </si>
  <si>
    <t>输送工件总重量</t>
  </si>
  <si>
    <t>链条重量</t>
  </si>
  <si>
    <t>转动物重量</t>
  </si>
  <si>
    <t>电机加速时间</t>
  </si>
  <si>
    <r>
      <rPr>
        <sz val="12"/>
        <rFont val="宋体"/>
        <family val="3"/>
        <charset val="134"/>
      </rPr>
      <t>静</t>
    </r>
    <r>
      <rPr>
        <sz val="12"/>
        <rFont val="굴림"/>
        <charset val="134"/>
      </rPr>
      <t>摩擦系</t>
    </r>
    <r>
      <rPr>
        <sz val="12"/>
        <rFont val="宋体"/>
        <family val="3"/>
        <charset val="134"/>
      </rPr>
      <t>数（滑动摩擦）</t>
    </r>
  </si>
  <si>
    <t>μ2</t>
  </si>
  <si>
    <t>得出</t>
  </si>
  <si>
    <t>链条速度</t>
  </si>
  <si>
    <t>Va</t>
  </si>
  <si>
    <t>驱动轴转速</t>
  </si>
  <si>
    <t>n2</t>
  </si>
  <si>
    <t>输送链加速度</t>
  </si>
  <si>
    <t>驱动轴角加速度</t>
  </si>
  <si>
    <t>rad/s^2</t>
  </si>
  <si>
    <t>n1</t>
  </si>
  <si>
    <t>输送加速度需要扭矩</t>
  </si>
  <si>
    <t>转动物加速度需要扭矩</t>
  </si>
  <si>
    <t>T2</t>
  </si>
  <si>
    <r>
      <rPr>
        <sz val="12"/>
        <rFont val="굴림"/>
        <charset val="134"/>
      </rPr>
      <t>克服</t>
    </r>
    <r>
      <rPr>
        <sz val="12"/>
        <rFont val="宋体"/>
        <family val="3"/>
        <charset val="134"/>
      </rPr>
      <t>静摩擦力需要的扭矩</t>
    </r>
  </si>
  <si>
    <t>T3</t>
  </si>
  <si>
    <t>驱动轴所需最小扭矩</t>
  </si>
  <si>
    <t>Te</t>
  </si>
  <si>
    <t>马达所需最小扭矩</t>
  </si>
  <si>
    <t>Ma</t>
  </si>
  <si>
    <t>规 格</t>
  </si>
  <si>
    <t>钻孔径</t>
  </si>
  <si>
    <t>硬材</t>
  </si>
  <si>
    <t>软材</t>
  </si>
  <si>
    <t>W 1/8    -40</t>
  </si>
  <si>
    <t>W 5/32   -32</t>
  </si>
  <si>
    <t>W 3/16   -24</t>
  </si>
  <si>
    <t>W 1/4    -20</t>
  </si>
  <si>
    <t>W 5/16   -18</t>
  </si>
  <si>
    <t>W 3/8    -16</t>
  </si>
  <si>
    <t>W 7/16   -14</t>
  </si>
  <si>
    <t>W 1/2    -12</t>
  </si>
  <si>
    <t>W 9/16   -12</t>
  </si>
  <si>
    <t>W 5/8    -11</t>
  </si>
  <si>
    <t>W 3/4    -10</t>
  </si>
  <si>
    <t>W 7/8    -9</t>
  </si>
  <si>
    <t>W 1      -8</t>
  </si>
  <si>
    <t>W 1-1/8  -7</t>
  </si>
  <si>
    <t>W 1-1/4  -7</t>
  </si>
  <si>
    <t>滚珠丝杆水平运动计算【伺服电机】</t>
  </si>
  <si>
    <t>参数名称</t>
  </si>
  <si>
    <t>参 数 输 入 区</t>
  </si>
  <si>
    <t>滚珠丝杆机构</t>
  </si>
  <si>
    <t>变化量值</t>
  </si>
  <si>
    <t>工件部分的质量</t>
  </si>
  <si>
    <t>Kg</t>
  </si>
  <si>
    <t>预选电机转数</t>
  </si>
  <si>
    <t>转/min</t>
  </si>
  <si>
    <t>减速比i</t>
  </si>
  <si>
    <t>1/</t>
  </si>
  <si>
    <t>/1</t>
  </si>
  <si>
    <t>滚珠丝杆的长度</t>
  </si>
  <si>
    <t>BL</t>
  </si>
  <si>
    <t>均速移动时最高速度</t>
  </si>
  <si>
    <t>Vmax</t>
  </si>
  <si>
    <t>铁的密度</t>
  </si>
  <si>
    <t>P1</t>
  </si>
  <si>
    <t>Kg/m3</t>
  </si>
  <si>
    <t>滚珠丝杆的直径</t>
  </si>
  <si>
    <t>BD</t>
  </si>
  <si>
    <t>铝的密度</t>
  </si>
  <si>
    <t>P2</t>
  </si>
  <si>
    <t>滚珠丝杆的螺距</t>
  </si>
  <si>
    <t>BP</t>
  </si>
  <si>
    <t>黄铜的密度</t>
  </si>
  <si>
    <t>P3</t>
  </si>
  <si>
    <t>滚珠丝杆的效率</t>
  </si>
  <si>
    <t>BN</t>
  </si>
  <si>
    <t>联轴器的惯量</t>
  </si>
  <si>
    <t>JC</t>
  </si>
  <si>
    <t>Kg.m2</t>
  </si>
  <si>
    <t>U</t>
  </si>
  <si>
    <t>外力</t>
  </si>
  <si>
    <t>重力加速度</t>
  </si>
  <si>
    <t>m/s2</t>
  </si>
  <si>
    <t>ta</t>
  </si>
  <si>
    <t>tb</t>
  </si>
  <si>
    <t>减速时间</t>
  </si>
  <si>
    <t>td</t>
  </si>
  <si>
    <t>总共时间</t>
  </si>
  <si>
    <t>循环时间</t>
  </si>
  <si>
    <t>tc</t>
  </si>
  <si>
    <t>以下为自动计算过程</t>
  </si>
  <si>
    <t>计算量</t>
  </si>
  <si>
    <t>滚珠丝杆的质量</t>
  </si>
  <si>
    <t>BW</t>
  </si>
  <si>
    <t>负载部分的惯量</t>
  </si>
  <si>
    <t>JL</t>
  </si>
  <si>
    <t>预选电机的惯量</t>
  </si>
  <si>
    <t>JM</t>
  </si>
  <si>
    <t>惯量比</t>
  </si>
  <si>
    <t>JL/JM</t>
  </si>
  <si>
    <t>倍</t>
  </si>
  <si>
    <t>定位快的要求惯量比在3-5倍之间，定位慢的要求惯量比在5-8倍之间</t>
  </si>
  <si>
    <t>加速时间换算</t>
  </si>
  <si>
    <t>Vmax/ta</t>
  </si>
  <si>
    <t>加速时转矩</t>
  </si>
  <si>
    <t>Ta</t>
  </si>
  <si>
    <t>M*a+M*g*u</t>
  </si>
  <si>
    <t>固定时转矩</t>
  </si>
  <si>
    <t>Tb</t>
  </si>
  <si>
    <t>M*g*u</t>
  </si>
  <si>
    <t>减速时转矩</t>
  </si>
  <si>
    <t>Td</t>
  </si>
  <si>
    <t>M*a-M*g*u</t>
  </si>
  <si>
    <t>移动转矩</t>
  </si>
  <si>
    <t>Tf</t>
  </si>
  <si>
    <t>确认最大转矩</t>
  </si>
  <si>
    <t>Tmax</t>
  </si>
  <si>
    <t>确认有效转矩</t>
  </si>
  <si>
    <t>Trms</t>
  </si>
  <si>
    <t>加速时转矩=Ta</t>
  </si>
  <si>
    <t>r/s</t>
  </si>
  <si>
    <t xml:space="preserve">     异步电机转矩换算</t>
  </si>
  <si>
    <t>电机功率P：KW</t>
  </si>
  <si>
    <t>参数输入</t>
  </si>
  <si>
    <t>电机转速n：rmin</t>
  </si>
  <si>
    <t>额定转矩T：Nm【T=9550P/n】</t>
  </si>
  <si>
    <t>自动计算区</t>
  </si>
  <si>
    <t>扭矩公式：T=9550P/n</t>
  </si>
  <si>
    <t xml:space="preserve">                        T是扭矩，单位N·m</t>
  </si>
  <si>
    <t xml:space="preserve">                        P是输出功率，单位KW</t>
  </si>
  <si>
    <t xml:space="preserve">           n是电机转速，单位r/min</t>
  </si>
  <si>
    <t>以下为参考文献</t>
  </si>
  <si>
    <t>皮带传动机构</t>
  </si>
  <si>
    <t>变化量</t>
  </si>
  <si>
    <t>WA</t>
  </si>
  <si>
    <t>带轮的直径</t>
  </si>
  <si>
    <t>PD</t>
  </si>
  <si>
    <t>带轮的质量</t>
  </si>
  <si>
    <t>WP</t>
  </si>
  <si>
    <t>机构部分的效率</t>
  </si>
  <si>
    <t>运行模式</t>
  </si>
  <si>
    <t>移动距离</t>
  </si>
  <si>
    <t>滚珠丝杆垂直运动计算</t>
  </si>
  <si>
    <t>以下为参考文献：</t>
  </si>
  <si>
    <r>
      <rPr>
        <sz val="50"/>
        <color indexed="8"/>
        <rFont val="华文新魏"/>
        <family val="3"/>
        <charset val="134"/>
      </rPr>
      <t>滚珠丝杆水平运动计算</t>
    </r>
    <r>
      <rPr>
        <sz val="12"/>
        <color indexed="8"/>
        <rFont val="华文新魏"/>
        <family val="3"/>
        <charset val="134"/>
      </rPr>
      <t>【伺服电机】</t>
    </r>
  </si>
  <si>
    <t>弹 簧 刚 度 计 算 大 全</t>
  </si>
  <si>
    <t>钢丝直径与旋绕比选择</t>
  </si>
  <si>
    <t xml:space="preserve">角度正弦值的计算方法：SIN(30*PI()/180) </t>
  </si>
  <si>
    <t xml:space="preserve">角度余弦值的计算方法：COS(60*PI()/180) </t>
  </si>
  <si>
    <r>
      <rPr>
        <sz val="10"/>
        <rFont val="宋体"/>
        <family val="3"/>
        <charset val="134"/>
      </rPr>
      <t>钢丝直径：</t>
    </r>
    <r>
      <rPr>
        <sz val="10"/>
        <rFont val="Times New Roman"/>
        <family val="1"/>
      </rPr>
      <t xml:space="preserve">           d</t>
    </r>
  </si>
  <si>
    <r>
      <rPr>
        <sz val="10"/>
        <rFont val="Times New Roman"/>
        <family val="1"/>
      </rPr>
      <t>0.2</t>
    </r>
    <r>
      <rPr>
        <sz val="10"/>
        <rFont val="宋体"/>
        <family val="3"/>
        <charset val="134"/>
      </rPr>
      <t>～</t>
    </r>
    <r>
      <rPr>
        <sz val="10"/>
        <rFont val="Times New Roman"/>
        <family val="1"/>
      </rPr>
      <t>0.4</t>
    </r>
  </si>
  <si>
    <r>
      <rPr>
        <sz val="10"/>
        <rFont val="Times New Roman"/>
        <family val="1"/>
      </rPr>
      <t>0.45</t>
    </r>
    <r>
      <rPr>
        <sz val="10"/>
        <rFont val="宋体"/>
        <family val="3"/>
        <charset val="134"/>
      </rPr>
      <t>～</t>
    </r>
    <r>
      <rPr>
        <sz val="10"/>
        <rFont val="Times New Roman"/>
        <family val="1"/>
      </rPr>
      <t>1</t>
    </r>
  </si>
  <si>
    <r>
      <rPr>
        <sz val="10"/>
        <rFont val="Times New Roman"/>
        <family val="1"/>
      </rPr>
      <t>1.1</t>
    </r>
    <r>
      <rPr>
        <sz val="10"/>
        <rFont val="宋体"/>
        <family val="3"/>
        <charset val="134"/>
      </rPr>
      <t>～</t>
    </r>
    <r>
      <rPr>
        <sz val="10"/>
        <rFont val="Times New Roman"/>
        <family val="1"/>
      </rPr>
      <t>2.2</t>
    </r>
  </si>
  <si>
    <r>
      <rPr>
        <sz val="10"/>
        <rFont val="Times New Roman"/>
        <family val="1"/>
      </rPr>
      <t>2.5</t>
    </r>
    <r>
      <rPr>
        <sz val="10"/>
        <rFont val="宋体"/>
        <family val="3"/>
        <charset val="134"/>
      </rPr>
      <t>～</t>
    </r>
    <r>
      <rPr>
        <sz val="10"/>
        <rFont val="Times New Roman"/>
        <family val="1"/>
      </rPr>
      <t>6</t>
    </r>
  </si>
  <si>
    <r>
      <rPr>
        <sz val="10"/>
        <rFont val="Times New Roman"/>
        <family val="1"/>
      </rPr>
      <t>7</t>
    </r>
    <r>
      <rPr>
        <sz val="10"/>
        <rFont val="宋体"/>
        <family val="3"/>
        <charset val="134"/>
      </rPr>
      <t>～</t>
    </r>
    <r>
      <rPr>
        <sz val="10"/>
        <rFont val="Times New Roman"/>
        <family val="1"/>
      </rPr>
      <t>16</t>
    </r>
  </si>
  <si>
    <r>
      <rPr>
        <sz val="10"/>
        <rFont val="Times New Roman"/>
        <family val="1"/>
      </rPr>
      <t>18</t>
    </r>
    <r>
      <rPr>
        <sz val="10"/>
        <rFont val="宋体"/>
        <family val="3"/>
        <charset val="134"/>
      </rPr>
      <t>～</t>
    </r>
    <r>
      <rPr>
        <sz val="10"/>
        <rFont val="Times New Roman"/>
        <family val="1"/>
      </rPr>
      <t>24</t>
    </r>
  </si>
  <si>
    <t xml:space="preserve">角度正切值的计算方法：TAN(45*PI()/180) </t>
  </si>
  <si>
    <r>
      <rPr>
        <sz val="8"/>
        <rFont val="宋体"/>
        <family val="3"/>
        <charset val="134"/>
      </rPr>
      <t>乘方或开方计算方法</t>
    </r>
    <r>
      <rPr>
        <sz val="8"/>
        <rFont val="Times New Roman"/>
        <family val="1"/>
      </rPr>
      <t>:</t>
    </r>
  </si>
  <si>
    <t>8^2=64</t>
  </si>
  <si>
    <t>64^(1/3)=4</t>
  </si>
  <si>
    <r>
      <rPr>
        <sz val="10"/>
        <rFont val="宋体"/>
        <family val="3"/>
        <charset val="134"/>
      </rPr>
      <t>旋绕比：</t>
    </r>
    <r>
      <rPr>
        <sz val="10"/>
        <rFont val="Times New Roman"/>
        <family val="1"/>
      </rPr>
      <t xml:space="preserve">     C=D2/d</t>
    </r>
  </si>
  <si>
    <r>
      <rPr>
        <sz val="10"/>
        <rFont val="Times New Roman"/>
        <family val="1"/>
      </rPr>
      <t>7</t>
    </r>
    <r>
      <rPr>
        <sz val="10"/>
        <rFont val="宋体"/>
        <family val="3"/>
        <charset val="134"/>
      </rPr>
      <t>～</t>
    </r>
    <r>
      <rPr>
        <sz val="10"/>
        <rFont val="Times New Roman"/>
        <family val="1"/>
      </rPr>
      <t>14</t>
    </r>
  </si>
  <si>
    <r>
      <rPr>
        <sz val="10"/>
        <rFont val="Times New Roman"/>
        <family val="1"/>
      </rPr>
      <t>5</t>
    </r>
    <r>
      <rPr>
        <sz val="10"/>
        <rFont val="宋体"/>
        <family val="3"/>
        <charset val="134"/>
      </rPr>
      <t>～</t>
    </r>
    <r>
      <rPr>
        <sz val="10"/>
        <rFont val="Times New Roman"/>
        <family val="1"/>
      </rPr>
      <t>12</t>
    </r>
  </si>
  <si>
    <r>
      <rPr>
        <sz val="10"/>
        <rFont val="Times New Roman"/>
        <family val="1"/>
      </rPr>
      <t>5</t>
    </r>
    <r>
      <rPr>
        <sz val="10"/>
        <rFont val="宋体"/>
        <family val="3"/>
        <charset val="134"/>
      </rPr>
      <t>～</t>
    </r>
    <r>
      <rPr>
        <sz val="10"/>
        <rFont val="Times New Roman"/>
        <family val="1"/>
      </rPr>
      <t>10</t>
    </r>
  </si>
  <si>
    <r>
      <rPr>
        <sz val="10"/>
        <rFont val="Times New Roman"/>
        <family val="1"/>
      </rPr>
      <t>4</t>
    </r>
    <r>
      <rPr>
        <sz val="10"/>
        <rFont val="宋体"/>
        <family val="3"/>
        <charset val="134"/>
      </rPr>
      <t>～</t>
    </r>
    <r>
      <rPr>
        <sz val="10"/>
        <rFont val="Times New Roman"/>
        <family val="1"/>
      </rPr>
      <t>10</t>
    </r>
  </si>
  <si>
    <r>
      <rPr>
        <sz val="10"/>
        <rFont val="Times New Roman"/>
        <family val="1"/>
      </rPr>
      <t>4</t>
    </r>
    <r>
      <rPr>
        <sz val="10"/>
        <rFont val="宋体"/>
        <family val="3"/>
        <charset val="134"/>
      </rPr>
      <t>～</t>
    </r>
    <r>
      <rPr>
        <sz val="10"/>
        <rFont val="Times New Roman"/>
        <family val="1"/>
      </rPr>
      <t>8</t>
    </r>
  </si>
  <si>
    <r>
      <rPr>
        <sz val="10"/>
        <rFont val="Times New Roman"/>
        <family val="1"/>
      </rPr>
      <t>4</t>
    </r>
    <r>
      <rPr>
        <sz val="10"/>
        <rFont val="宋体"/>
        <family val="3"/>
        <charset val="134"/>
      </rPr>
      <t>～</t>
    </r>
    <r>
      <rPr>
        <sz val="10"/>
        <rFont val="Times New Roman"/>
        <family val="1"/>
      </rPr>
      <t>6</t>
    </r>
  </si>
  <si>
    <t>国内专利网</t>
  </si>
  <si>
    <t>www.sipo.gov.cn</t>
  </si>
  <si>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（方案一）</t>
    </r>
  </si>
  <si>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（方案四）</t>
    </r>
  </si>
  <si>
    <r>
      <rPr>
        <sz val="8"/>
        <rFont val="宋体"/>
        <family val="3"/>
        <charset val="134"/>
      </rPr>
      <t>材料剪切弹性系数：</t>
    </r>
    <r>
      <rPr>
        <sz val="8"/>
        <rFont val="Times New Roman"/>
        <family val="1"/>
      </rPr>
      <t xml:space="preserve">   </t>
    </r>
    <r>
      <rPr>
        <sz val="8"/>
        <color indexed="12"/>
        <rFont val="Times New Roman"/>
        <family val="1"/>
      </rPr>
      <t>G</t>
    </r>
  </si>
  <si>
    <t>kgf/mm2</t>
  </si>
  <si>
    <r>
      <rPr>
        <sz val="10"/>
        <color indexed="12"/>
        <rFont val="宋体"/>
        <family val="3"/>
        <charset val="134"/>
      </rPr>
      <t>旋绕比：</t>
    </r>
    <r>
      <rPr>
        <sz val="10"/>
        <color indexed="12"/>
        <rFont val="Times New Roman"/>
        <family val="1"/>
      </rPr>
      <t xml:space="preserve">     C=D2/d</t>
    </r>
  </si>
  <si>
    <r>
      <rPr>
        <sz val="10"/>
        <color indexed="12"/>
        <rFont val="Times New Roman"/>
        <family val="1"/>
      </rPr>
      <t xml:space="preserve">    </t>
    </r>
    <r>
      <rPr>
        <sz val="10"/>
        <color indexed="12"/>
        <rFont val="宋体"/>
        <family val="3"/>
        <charset val="134"/>
      </rPr>
      <t>弹簧中径：</t>
    </r>
    <r>
      <rPr>
        <sz val="10"/>
        <color indexed="12"/>
        <rFont val="Times New Roman"/>
        <family val="1"/>
      </rPr>
      <t xml:space="preserve">     D</t>
    </r>
    <r>
      <rPr>
        <sz val="12"/>
        <color indexed="12"/>
        <rFont val="Times New Roman"/>
        <family val="1"/>
      </rPr>
      <t>2</t>
    </r>
  </si>
  <si>
    <r>
      <rPr>
        <sz val="10"/>
        <color indexed="12"/>
        <rFont val="宋体"/>
        <family val="3"/>
        <charset val="134"/>
      </rPr>
      <t>拉、压弹簧：</t>
    </r>
    <r>
      <rPr>
        <sz val="10"/>
        <color indexed="12"/>
        <rFont val="Times New Roman"/>
        <family val="1"/>
      </rPr>
      <t xml:space="preserve">      K</t>
    </r>
  </si>
  <si>
    <r>
      <rPr>
        <sz val="10"/>
        <color indexed="12"/>
        <rFont val="Times New Roman"/>
        <family val="1"/>
      </rPr>
      <t xml:space="preserve">    </t>
    </r>
    <r>
      <rPr>
        <sz val="10"/>
        <color indexed="12"/>
        <rFont val="宋体"/>
        <family val="3"/>
        <charset val="134"/>
      </rPr>
      <t>钢丝直径：</t>
    </r>
    <r>
      <rPr>
        <sz val="10"/>
        <color indexed="12"/>
        <rFont val="Times New Roman"/>
        <family val="1"/>
      </rPr>
      <t xml:space="preserve">      d</t>
    </r>
  </si>
  <si>
    <t xml:space="preserve">    有效圈数:         n</t>
  </si>
  <si>
    <r>
      <rPr>
        <sz val="8"/>
        <color indexed="12"/>
        <rFont val="宋体"/>
        <family val="3"/>
        <charset val="134"/>
      </rPr>
      <t>材料：</t>
    </r>
    <r>
      <rPr>
        <sz val="8"/>
        <color indexed="12"/>
        <rFont val="Times New Roman"/>
        <family val="1"/>
      </rPr>
      <t>65Mn</t>
    </r>
    <r>
      <rPr>
        <sz val="8"/>
        <color indexed="12"/>
        <rFont val="宋体"/>
        <family val="3"/>
        <charset val="134"/>
      </rPr>
      <t>τ</t>
    </r>
    <r>
      <rPr>
        <sz val="8"/>
        <color indexed="12"/>
        <rFont val="Times New Roman"/>
        <family val="1"/>
      </rPr>
      <t>(kgf/mm2)</t>
    </r>
  </si>
  <si>
    <r>
      <rPr>
        <sz val="10"/>
        <color indexed="12"/>
        <rFont val="Times New Roman"/>
        <family val="1"/>
      </rPr>
      <t xml:space="preserve">    </t>
    </r>
    <r>
      <rPr>
        <sz val="10"/>
        <color indexed="12"/>
        <rFont val="宋体"/>
        <family val="3"/>
        <charset val="134"/>
      </rPr>
      <t>弹簧刚度：</t>
    </r>
    <r>
      <rPr>
        <sz val="10"/>
        <color indexed="12"/>
        <rFont val="Times New Roman"/>
        <family val="1"/>
      </rPr>
      <t xml:space="preserve">      P`</t>
    </r>
  </si>
  <si>
    <t>kgf/mm</t>
  </si>
  <si>
    <t>拼圈高度</t>
  </si>
  <si>
    <t>设</t>
  </si>
  <si>
    <r>
      <rPr>
        <sz val="10"/>
        <color indexed="12"/>
        <rFont val="宋体"/>
        <family val="3"/>
        <charset val="134"/>
      </rPr>
      <t>允许极限负荷：</t>
    </r>
    <r>
      <rPr>
        <sz val="10"/>
        <color indexed="12"/>
        <rFont val="Times New Roman"/>
        <family val="1"/>
      </rPr>
      <t xml:space="preserve"> P3</t>
    </r>
  </si>
  <si>
    <t>（参考）</t>
  </si>
  <si>
    <r>
      <rPr>
        <sz val="10"/>
        <color indexed="12"/>
        <rFont val="宋体"/>
        <family val="3"/>
        <charset val="134"/>
      </rPr>
      <t>极限负荷弹簧总变形量：</t>
    </r>
    <r>
      <rPr>
        <sz val="10"/>
        <color indexed="12"/>
        <rFont val="Times New Roman"/>
        <family val="1"/>
      </rPr>
      <t xml:space="preserve">    f3</t>
    </r>
  </si>
  <si>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（方案二）</t>
    </r>
  </si>
  <si>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（方案五）</t>
    </r>
  </si>
  <si>
    <t>计</t>
  </si>
  <si>
    <t>`</t>
  </si>
  <si>
    <t>``</t>
  </si>
  <si>
    <t>验</t>
  </si>
  <si>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（方案三）</t>
    </r>
  </si>
  <si>
    <r>
      <rPr>
        <sz val="12"/>
        <color indexed="14"/>
        <rFont val="宋体"/>
        <family val="3"/>
        <charset val="134"/>
      </rPr>
      <t>拉伸（压缩）弹簧计算</t>
    </r>
    <r>
      <rPr>
        <sz val="12"/>
        <color indexed="14"/>
        <rFont val="Times New Roman"/>
        <family val="1"/>
      </rPr>
      <t xml:space="preserve">  </t>
    </r>
    <r>
      <rPr>
        <sz val="12"/>
        <color indexed="17"/>
        <rFont val="宋体"/>
        <family val="3"/>
        <charset val="134"/>
      </rPr>
      <t>（方案六）</t>
    </r>
  </si>
  <si>
    <t>算</t>
  </si>
  <si>
    <t>拉伸（压缩）弹簧设计计算步骤</t>
  </si>
  <si>
    <r>
      <rPr>
        <sz val="12"/>
        <rFont val="宋体"/>
        <family val="3"/>
        <charset val="134"/>
      </rPr>
      <t>第一步</t>
    </r>
    <r>
      <rPr>
        <sz val="12"/>
        <color indexed="14"/>
        <rFont val="宋体"/>
        <family val="3"/>
        <charset val="134"/>
      </rPr>
      <t>（验算弹簧钢丝直径及有关参数）</t>
    </r>
  </si>
  <si>
    <r>
      <rPr>
        <sz val="12"/>
        <rFont val="宋体"/>
        <family val="3"/>
        <charset val="134"/>
      </rPr>
      <t>第二步</t>
    </r>
    <r>
      <rPr>
        <sz val="12"/>
        <color indexed="14"/>
        <rFont val="宋体"/>
        <family val="3"/>
        <charset val="134"/>
      </rPr>
      <t>（验算弹簧工作圈数及有关参数）</t>
    </r>
  </si>
  <si>
    <r>
      <rPr>
        <sz val="10"/>
        <rFont val="宋体"/>
        <family val="3"/>
        <charset val="134"/>
      </rPr>
      <t>弹簧材料：</t>
    </r>
    <r>
      <rPr>
        <sz val="10"/>
        <rFont val="Times New Roman"/>
        <family val="1"/>
      </rPr>
      <t>60Si2Mn</t>
    </r>
  </si>
  <si>
    <r>
      <rPr>
        <sz val="10"/>
        <rFont val="Times New Roman"/>
        <family val="1"/>
      </rPr>
      <t>[</t>
    </r>
    <r>
      <rPr>
        <sz val="10"/>
        <rFont val="宋体"/>
        <family val="3"/>
        <charset val="134"/>
      </rPr>
      <t>τ]</t>
    </r>
  </si>
  <si>
    <t>τ</t>
  </si>
  <si>
    <r>
      <rPr>
        <sz val="10"/>
        <rFont val="宋体"/>
        <family val="3"/>
        <charset val="134"/>
      </rPr>
      <t>自由高度或长度</t>
    </r>
    <r>
      <rPr>
        <sz val="10"/>
        <rFont val="Times New Roman"/>
        <family val="1"/>
      </rPr>
      <t>:           YI</t>
    </r>
    <r>
      <rPr>
        <sz val="10"/>
        <rFont val="宋体"/>
        <family val="3"/>
        <charset val="134"/>
      </rPr>
      <t>型</t>
    </r>
  </si>
  <si>
    <t>弹簧剪切弹性系数</t>
  </si>
  <si>
    <r>
      <rPr>
        <sz val="10"/>
        <color indexed="12"/>
        <rFont val="Times New Roman"/>
        <family val="1"/>
      </rPr>
      <t>YII</t>
    </r>
    <r>
      <rPr>
        <sz val="10"/>
        <color indexed="12"/>
        <rFont val="宋体"/>
        <family val="3"/>
        <charset val="134"/>
      </rPr>
      <t>型</t>
    </r>
  </si>
  <si>
    <r>
      <rPr>
        <sz val="10"/>
        <rFont val="宋体"/>
        <family val="3"/>
        <charset val="134"/>
      </rPr>
      <t>弹簧指数：</t>
    </r>
    <r>
      <rPr>
        <sz val="10"/>
        <rFont val="Times New Roman"/>
        <family val="1"/>
      </rPr>
      <t xml:space="preserve">    C=D2/d</t>
    </r>
  </si>
  <si>
    <r>
      <rPr>
        <sz val="10"/>
        <rFont val="Times New Roman"/>
        <family val="1"/>
      </rPr>
      <t>L</t>
    </r>
    <r>
      <rPr>
        <sz val="10"/>
        <rFont val="宋体"/>
        <family val="3"/>
        <charset val="134"/>
      </rPr>
      <t>型（不加钩环尺寸）</t>
    </r>
  </si>
  <si>
    <t>曲度系数</t>
  </si>
  <si>
    <r>
      <rPr>
        <sz val="10"/>
        <rFont val="宋体"/>
        <family val="3"/>
        <charset val="134"/>
      </rPr>
      <t>压缩弹簧稳定性指标</t>
    </r>
    <r>
      <rPr>
        <sz val="10"/>
        <rFont val="Times New Roman"/>
        <family val="1"/>
      </rPr>
      <t>:   YI</t>
    </r>
    <r>
      <rPr>
        <sz val="10"/>
        <rFont val="宋体"/>
        <family val="3"/>
        <charset val="134"/>
      </rPr>
      <t>型</t>
    </r>
  </si>
  <si>
    <r>
      <rPr>
        <sz val="10"/>
        <rFont val="Times New Roman"/>
        <family val="1"/>
      </rPr>
      <t>b</t>
    </r>
    <r>
      <rPr>
        <sz val="10"/>
        <rFont val="宋体"/>
        <family val="3"/>
        <charset val="134"/>
      </rPr>
      <t>≤</t>
    </r>
    <r>
      <rPr>
        <sz val="10"/>
        <rFont val="Times New Roman"/>
        <family val="1"/>
      </rPr>
      <t>3</t>
    </r>
  </si>
  <si>
    <t>钢丝直径</t>
  </si>
  <si>
    <r>
      <rPr>
        <sz val="10"/>
        <rFont val="Times New Roman"/>
        <family val="1"/>
      </rPr>
      <t>YII</t>
    </r>
    <r>
      <rPr>
        <sz val="10"/>
        <rFont val="宋体"/>
        <family val="3"/>
        <charset val="134"/>
      </rPr>
      <t>型</t>
    </r>
  </si>
  <si>
    <t>工作圈数</t>
  </si>
  <si>
    <r>
      <rPr>
        <sz val="10"/>
        <rFont val="宋体"/>
        <family val="3"/>
        <charset val="134"/>
      </rPr>
      <t>当</t>
    </r>
    <r>
      <rPr>
        <sz val="10"/>
        <rFont val="Times New Roman"/>
        <family val="1"/>
      </rPr>
      <t>b</t>
    </r>
    <r>
      <rPr>
        <sz val="10"/>
        <rFont val="宋体"/>
        <family val="3"/>
        <charset val="134"/>
      </rPr>
      <t>＞</t>
    </r>
    <r>
      <rPr>
        <sz val="10"/>
        <rFont val="Times New Roman"/>
        <family val="1"/>
      </rPr>
      <t>3</t>
    </r>
    <r>
      <rPr>
        <sz val="10"/>
        <rFont val="宋体"/>
        <family val="3"/>
        <charset val="134"/>
      </rPr>
      <t>时，弹簧须套在心轴上使用。</t>
    </r>
  </si>
  <si>
    <t>总圈数</t>
  </si>
  <si>
    <t>最小工作负荷下变形量</t>
  </si>
  <si>
    <t>最小工作负荷</t>
  </si>
  <si>
    <t>最大工作负荷下变形量</t>
  </si>
  <si>
    <t>F2</t>
  </si>
  <si>
    <t>最大工作负荷</t>
  </si>
  <si>
    <t>极限负荷下变形量</t>
  </si>
  <si>
    <t>允许极限负荷</t>
  </si>
  <si>
    <t>最小工作负荷下高（长）度</t>
  </si>
  <si>
    <t>H-F1</t>
  </si>
  <si>
    <t>极限负荷单圈变形量</t>
  </si>
  <si>
    <t>f3</t>
  </si>
  <si>
    <t>最大工作负荷下高（长）度</t>
  </si>
  <si>
    <t>H-F2</t>
  </si>
  <si>
    <t>弹簧钢丝间距</t>
  </si>
  <si>
    <t>δ</t>
  </si>
  <si>
    <t>极限负荷下高（长）度</t>
  </si>
  <si>
    <t>H3</t>
  </si>
  <si>
    <t>H-F3</t>
  </si>
  <si>
    <t>弹簧刚度</t>
  </si>
  <si>
    <t>P`</t>
  </si>
  <si>
    <t>螺旋角</t>
  </si>
  <si>
    <r>
      <rPr>
        <sz val="10"/>
        <rFont val="Times New Roman"/>
        <family val="1"/>
      </rPr>
      <t>tg</t>
    </r>
    <r>
      <rPr>
        <sz val="10"/>
        <rFont val="宋体"/>
        <family val="3"/>
        <charset val="134"/>
      </rPr>
      <t>α</t>
    </r>
  </si>
  <si>
    <t>最大工作负荷下间距</t>
  </si>
  <si>
    <r>
      <rPr>
        <sz val="10"/>
        <rFont val="宋体"/>
        <family val="3"/>
        <charset val="134"/>
      </rPr>
      <t>δ</t>
    </r>
    <r>
      <rPr>
        <sz val="10"/>
        <rFont val="Times New Roman"/>
        <family val="1"/>
      </rPr>
      <t>1</t>
    </r>
  </si>
  <si>
    <r>
      <rPr>
        <sz val="10"/>
        <rFont val="宋体"/>
        <family val="3"/>
        <charset val="134"/>
      </rPr>
      <t>←δ</t>
    </r>
    <r>
      <rPr>
        <sz val="10"/>
        <rFont val="Times New Roman"/>
        <family val="1"/>
      </rPr>
      <t>1</t>
    </r>
    <r>
      <rPr>
        <sz val="10"/>
        <rFont val="宋体"/>
        <family val="3"/>
        <charset val="134"/>
      </rPr>
      <t>（适用于压缩弹簧，指弹簧钢丝间隙）</t>
    </r>
  </si>
  <si>
    <r>
      <rPr>
        <sz val="12"/>
        <color indexed="8"/>
        <rFont val="Times New Roman"/>
        <family val="1"/>
      </rPr>
      <t>CM8</t>
    </r>
    <r>
      <rPr>
        <sz val="12"/>
        <color indexed="14"/>
        <rFont val="宋体"/>
        <family val="3"/>
        <charset val="134"/>
      </rPr>
      <t>（计算弹簧刚度及有关参数）</t>
    </r>
  </si>
  <si>
    <r>
      <rPr>
        <sz val="12"/>
        <rFont val="宋体"/>
        <family val="3"/>
        <charset val="134"/>
      </rPr>
      <t>第四步</t>
    </r>
    <r>
      <rPr>
        <sz val="12"/>
        <color indexed="14"/>
        <rFont val="宋体"/>
        <family val="3"/>
        <charset val="134"/>
      </rPr>
      <t>（方案确定设计计算）</t>
    </r>
  </si>
  <si>
    <r>
      <rPr>
        <sz val="10"/>
        <rFont val="宋体"/>
        <family val="3"/>
        <charset val="134"/>
      </rPr>
      <t>材料剪切弹性系数：</t>
    </r>
    <r>
      <rPr>
        <sz val="10"/>
        <rFont val="Times New Roman"/>
        <family val="1"/>
      </rPr>
      <t xml:space="preserve">   </t>
    </r>
    <r>
      <rPr>
        <sz val="10"/>
        <color indexed="12"/>
        <rFont val="Times New Roman"/>
        <family val="1"/>
      </rPr>
      <t>G</t>
    </r>
  </si>
  <si>
    <r>
      <rPr>
        <sz val="10"/>
        <color indexed="12"/>
        <rFont val="宋体"/>
        <family val="3"/>
        <charset val="134"/>
      </rPr>
      <t>注：</t>
    </r>
    <r>
      <rPr>
        <sz val="10"/>
        <color indexed="12"/>
        <rFont val="Times New Roman"/>
        <family val="1"/>
      </rPr>
      <t xml:space="preserve">1. </t>
    </r>
    <r>
      <rPr>
        <sz val="10"/>
        <color indexed="12"/>
        <rFont val="宋体"/>
        <family val="3"/>
        <charset val="134"/>
      </rPr>
      <t>弹簧结构形式</t>
    </r>
    <r>
      <rPr>
        <sz val="10"/>
        <color indexed="12"/>
        <rFont val="Times New Roman"/>
        <family val="1"/>
      </rPr>
      <t>-----YII</t>
    </r>
    <r>
      <rPr>
        <sz val="10"/>
        <color indexed="12"/>
        <rFont val="宋体"/>
        <family val="3"/>
        <charset val="134"/>
      </rPr>
      <t>型</t>
    </r>
  </si>
  <si>
    <r>
      <rPr>
        <sz val="10"/>
        <color indexed="12"/>
        <rFont val="Times New Roman"/>
        <family val="1"/>
      </rPr>
      <t xml:space="preserve">         2. </t>
    </r>
    <r>
      <rPr>
        <sz val="10"/>
        <color indexed="12"/>
        <rFont val="宋体"/>
        <family val="3"/>
        <charset val="134"/>
      </rPr>
      <t>计算结果应满足：</t>
    </r>
    <r>
      <rPr>
        <sz val="10"/>
        <color indexed="12"/>
        <rFont val="Times New Roman"/>
        <family val="1"/>
      </rPr>
      <t>P3</t>
    </r>
    <r>
      <rPr>
        <sz val="10"/>
        <color indexed="12"/>
        <rFont val="宋体"/>
        <family val="3"/>
        <charset val="134"/>
      </rPr>
      <t>≥</t>
    </r>
    <r>
      <rPr>
        <sz val="10"/>
        <color indexed="12"/>
        <rFont val="Times New Roman"/>
        <family val="1"/>
      </rPr>
      <t>1.25P2</t>
    </r>
  </si>
  <si>
    <r>
      <rPr>
        <sz val="12"/>
        <color indexed="8"/>
        <rFont val="宋体"/>
        <family val="3"/>
        <charset val="134"/>
      </rPr>
      <t>第三步</t>
    </r>
    <r>
      <rPr>
        <sz val="12"/>
        <color indexed="14"/>
        <rFont val="宋体"/>
        <family val="3"/>
        <charset val="134"/>
      </rPr>
      <t>（计算弹簧刚度及有关参数）</t>
    </r>
  </si>
  <si>
    <r>
      <rPr>
        <sz val="12"/>
        <color indexed="10"/>
        <rFont val="宋体"/>
        <family val="3"/>
        <charset val="134"/>
      </rPr>
      <t>截锥簧</t>
    </r>
    <r>
      <rPr>
        <sz val="12"/>
        <color indexed="14"/>
        <rFont val="宋体"/>
        <family val="3"/>
        <charset val="134"/>
      </rPr>
      <t>（计算弹簧刚度及有关参数）</t>
    </r>
  </si>
  <si>
    <t>p '</t>
  </si>
  <si>
    <r>
      <rPr>
        <sz val="10"/>
        <color indexed="12"/>
        <rFont val="Times New Roman"/>
        <family val="1"/>
      </rPr>
      <t xml:space="preserve">    </t>
    </r>
    <r>
      <rPr>
        <sz val="10"/>
        <color indexed="12"/>
        <rFont val="宋体"/>
        <family val="3"/>
        <charset val="134"/>
      </rPr>
      <t>弹簧小中径：</t>
    </r>
    <r>
      <rPr>
        <sz val="10"/>
        <color indexed="12"/>
        <rFont val="Times New Roman"/>
        <family val="1"/>
      </rPr>
      <t xml:space="preserve"> d</t>
    </r>
    <r>
      <rPr>
        <sz val="12"/>
        <color indexed="12"/>
        <rFont val="Times New Roman"/>
        <family val="1"/>
      </rPr>
      <t>2</t>
    </r>
  </si>
  <si>
    <r>
      <rPr>
        <sz val="10"/>
        <color indexed="12"/>
        <rFont val="Times New Roman"/>
        <family val="1"/>
      </rPr>
      <t xml:space="preserve">    </t>
    </r>
    <r>
      <rPr>
        <sz val="10"/>
        <color indexed="12"/>
        <rFont val="宋体"/>
        <family val="3"/>
        <charset val="134"/>
      </rPr>
      <t>弹簧大中径：</t>
    </r>
    <r>
      <rPr>
        <sz val="10"/>
        <color indexed="12"/>
        <rFont val="Times New Roman"/>
        <family val="1"/>
      </rPr>
      <t xml:space="preserve"> D</t>
    </r>
    <r>
      <rPr>
        <sz val="12"/>
        <color indexed="12"/>
        <rFont val="Times New Roman"/>
        <family val="1"/>
      </rPr>
      <t>2</t>
    </r>
  </si>
  <si>
    <t>d=2.2</t>
  </si>
  <si>
    <t>D=28.8</t>
  </si>
  <si>
    <t>n=22.75</t>
  </si>
  <si>
    <r>
      <rPr>
        <sz val="12"/>
        <color indexed="10"/>
        <rFont val="宋体"/>
        <family val="3"/>
        <charset val="134"/>
      </rPr>
      <t>圆柱簧</t>
    </r>
    <r>
      <rPr>
        <sz val="12"/>
        <color indexed="14"/>
        <rFont val="宋体"/>
        <family val="3"/>
        <charset val="134"/>
      </rPr>
      <t>（计算弹簧刚度及有关参数）</t>
    </r>
  </si>
  <si>
    <t>请输入齿数</t>
  </si>
  <si>
    <t>齿数Z</t>
  </si>
  <si>
    <t>链条参数</t>
  </si>
  <si>
    <t>基本参数</t>
  </si>
  <si>
    <t>链条编号</t>
  </si>
  <si>
    <t>06B</t>
  </si>
  <si>
    <t>08A</t>
  </si>
  <si>
    <t>08B</t>
  </si>
  <si>
    <t>10A</t>
  </si>
  <si>
    <t>10B</t>
  </si>
  <si>
    <t>12A</t>
  </si>
  <si>
    <t>12B</t>
  </si>
  <si>
    <t>16A</t>
  </si>
  <si>
    <t>16B</t>
  </si>
  <si>
    <t>20A</t>
  </si>
  <si>
    <t>20B</t>
  </si>
  <si>
    <t>节距P</t>
  </si>
  <si>
    <t>滚子外径d1</t>
  </si>
  <si>
    <t>名 称</t>
  </si>
  <si>
    <t>最大齿槽形状--公式</t>
  </si>
  <si>
    <t>最大齿槽形状</t>
  </si>
  <si>
    <t>齿侧圆弧半径</t>
  </si>
  <si>
    <r>
      <rPr>
        <sz val="10.5"/>
        <rFont val="宋体"/>
        <family val="3"/>
        <charset val="134"/>
      </rPr>
      <t>r</t>
    </r>
    <r>
      <rPr>
        <vertAlign val="subscript"/>
        <sz val="10.5"/>
        <rFont val="宋体"/>
        <family val="3"/>
        <charset val="134"/>
      </rPr>
      <t>e</t>
    </r>
  </si>
  <si>
    <t>滚子定位圆弧半径</t>
  </si>
  <si>
    <r>
      <rPr>
        <sz val="10.5"/>
        <rFont val="宋体"/>
        <family val="3"/>
        <charset val="134"/>
      </rPr>
      <t>r</t>
    </r>
    <r>
      <rPr>
        <vertAlign val="subscript"/>
        <sz val="10.5"/>
        <rFont val="宋体"/>
        <family val="3"/>
        <charset val="134"/>
      </rPr>
      <t>i</t>
    </r>
  </si>
  <si>
    <t>滚子定位角</t>
  </si>
  <si>
    <t>α(°)</t>
  </si>
  <si>
    <t>最小齿槽形状--公式</t>
  </si>
  <si>
    <t>最小齿槽形状</t>
  </si>
  <si>
    <t>链轮的基本参数和主要尺寸</t>
  </si>
  <si>
    <t>输入链轮齿数z</t>
  </si>
  <si>
    <t>24B</t>
  </si>
  <si>
    <t>配用链条的</t>
  </si>
  <si>
    <t>d1</t>
  </si>
  <si>
    <t>排距</t>
  </si>
  <si>
    <t>pt</t>
  </si>
  <si>
    <t>内链节内宽</t>
  </si>
  <si>
    <t>b1</t>
  </si>
  <si>
    <t>内链板高度</t>
  </si>
  <si>
    <t>主要尺寸</t>
  </si>
  <si>
    <t>可在damax与damin范围内选取，但当选用damax时，应注意用展成法加工时有可能发生顶切</t>
  </si>
  <si>
    <t>damax=d+1.25p-d1</t>
  </si>
  <si>
    <t>damin=d+(1-1.6/z)p-d1</t>
  </si>
  <si>
    <t>若为三圆弧-直线齿形
则da=p(0.54+cot(180°/z)</t>
  </si>
  <si>
    <t>df=d-d1</t>
  </si>
  <si>
    <t>齿侧凸缘直径</t>
  </si>
  <si>
    <t>dg</t>
  </si>
  <si>
    <t>dg&lt;p*cot(180°/z)-1.04*h-0.76</t>
  </si>
  <si>
    <t>滚子链链轮的量柱测量距Mr</t>
  </si>
  <si>
    <t>量柱测量距</t>
  </si>
  <si>
    <t>偶数齿</t>
  </si>
  <si>
    <t>MR</t>
  </si>
  <si>
    <t>Mr=d+drmin</t>
  </si>
  <si>
    <t>奇数齿</t>
  </si>
  <si>
    <t>MR=dcos(90°/z)+drmin</t>
  </si>
  <si>
    <t>传动用短节距精密滚子链　GB1243-1997</t>
  </si>
  <si>
    <t>链条名称</t>
  </si>
  <si>
    <t>滚子外径</t>
  </si>
  <si>
    <t>销轴直径</t>
  </si>
  <si>
    <t>销轴长度</t>
  </si>
  <si>
    <t>极限拉伸载荷</t>
  </si>
  <si>
    <t>单排重量</t>
  </si>
  <si>
    <t>双排</t>
  </si>
  <si>
    <t>三排</t>
  </si>
  <si>
    <r>
      <rPr>
        <sz val="12"/>
        <rFont val="宋体"/>
        <family val="3"/>
        <charset val="134"/>
      </rPr>
      <t>b</t>
    </r>
    <r>
      <rPr>
        <sz val="12"/>
        <rFont val="宋体"/>
        <family val="3"/>
        <charset val="134"/>
      </rPr>
      <t>1</t>
    </r>
  </si>
  <si>
    <t>b2</t>
  </si>
  <si>
    <t>b3</t>
  </si>
  <si>
    <t>b4</t>
  </si>
  <si>
    <t>h1</t>
  </si>
  <si>
    <t>Qmin</t>
  </si>
  <si>
    <t>3/8</t>
  </si>
  <si>
    <t>1/2</t>
  </si>
  <si>
    <t>5/8</t>
  </si>
  <si>
    <t>3/4</t>
  </si>
  <si>
    <t>1</t>
  </si>
  <si>
    <t>11/4</t>
  </si>
  <si>
    <t>11/2</t>
  </si>
  <si>
    <t>24A</t>
  </si>
  <si>
    <t>13/4</t>
  </si>
  <si>
    <t>28A</t>
  </si>
  <si>
    <t>28B</t>
  </si>
  <si>
    <t xml:space="preserve">2 </t>
  </si>
  <si>
    <t>32A</t>
  </si>
  <si>
    <t>32B</t>
  </si>
  <si>
    <t>滚子链长度计算</t>
  </si>
  <si>
    <t>名     称</t>
  </si>
  <si>
    <t>04C</t>
  </si>
  <si>
    <t>小链轮齿数z1</t>
  </si>
  <si>
    <t>大链轮齿数z2</t>
  </si>
  <si>
    <t xml:space="preserve">初定中心距a0 (mm)
</t>
  </si>
  <si>
    <t>以节距计的初定中心距a0p</t>
  </si>
  <si>
    <t>c值</t>
  </si>
  <si>
    <t>链条节数Lp (节）</t>
  </si>
  <si>
    <t>实际选用链条节数LP0 (节）</t>
  </si>
  <si>
    <t>LP0&gt;LP,且为整数</t>
  </si>
  <si>
    <t>链条长度L (m)</t>
  </si>
  <si>
    <t>lp0*P</t>
  </si>
  <si>
    <r>
      <rPr>
        <sz val="20"/>
        <rFont val="宋体"/>
        <family val="3"/>
        <charset val="134"/>
      </rPr>
      <t>注：只要输入大小链轮的齿数、中心距（</t>
    </r>
    <r>
      <rPr>
        <sz val="20"/>
        <color indexed="10"/>
        <rFont val="宋体"/>
        <family val="3"/>
        <charset val="134"/>
      </rPr>
      <t>红色字</t>
    </r>
    <r>
      <rPr>
        <sz val="20"/>
        <rFont val="宋体"/>
        <family val="3"/>
        <charset val="134"/>
      </rPr>
      <t>），就可得出链条的节数（</t>
    </r>
    <r>
      <rPr>
        <sz val="20"/>
        <color indexed="11"/>
        <rFont val="宋体"/>
        <family val="3"/>
        <charset val="134"/>
      </rPr>
      <t>绿色字</t>
    </r>
    <r>
      <rPr>
        <sz val="20"/>
        <rFont val="宋体"/>
        <family val="3"/>
        <charset val="134"/>
      </rPr>
      <t>）</t>
    </r>
  </si>
  <si>
    <r>
      <rPr>
        <sz val="12"/>
        <rFont val="宋体"/>
        <family val="3"/>
        <charset val="134"/>
      </rPr>
      <t>2</t>
    </r>
    <r>
      <rPr>
        <sz val="12"/>
        <rFont val="宋体"/>
        <family val="3"/>
        <charset val="134"/>
      </rPr>
      <t>4</t>
    </r>
    <r>
      <rPr>
        <sz val="12"/>
        <rFont val="宋体"/>
        <family val="3"/>
        <charset val="134"/>
      </rPr>
      <t>B</t>
    </r>
  </si>
  <si>
    <t>p≤12.7</t>
  </si>
  <si>
    <t>p&gt;12.7</t>
  </si>
  <si>
    <t>齿
宽</t>
  </si>
  <si>
    <t>bf1</t>
  </si>
  <si>
    <t>0.93b1</t>
  </si>
  <si>
    <t>0.95b1</t>
  </si>
  <si>
    <t>p&gt;12.7时，经制造厂同意，亦可使用p≤12.7时的齿宽。  B1-内链节内宽，查表33.2-2</t>
  </si>
  <si>
    <t>双排、三排</t>
  </si>
  <si>
    <t>0.91b1</t>
  </si>
  <si>
    <t>齿侧倒角</t>
  </si>
  <si>
    <t>ba公称=0.13P</t>
  </si>
  <si>
    <t>适用于其余A或B系列链条</t>
  </si>
  <si>
    <t>齿侧半径</t>
  </si>
  <si>
    <t>rx</t>
  </si>
  <si>
    <t>rx公称=P</t>
  </si>
  <si>
    <t>排数</t>
  </si>
  <si>
    <t>m&gt;1</t>
  </si>
  <si>
    <t>双排齿全宽</t>
  </si>
  <si>
    <t>bfm</t>
  </si>
  <si>
    <t>bfm=(m-1)pt+bf1</t>
  </si>
  <si>
    <t>m-排数</t>
  </si>
  <si>
    <t>英 制 螺 纹 底 孔 对 照 表</t>
  </si>
  <si>
    <t>粗牙螺纹</t>
  </si>
  <si>
    <t>切削丝锥</t>
  </si>
  <si>
    <t>细牙螺纹</t>
  </si>
  <si>
    <t>锥管螺纹</t>
  </si>
  <si>
    <t>钻头直径</t>
  </si>
  <si>
    <t>1#-64UNC</t>
  </si>
  <si>
    <t>Φ1.55</t>
  </si>
  <si>
    <t>1#-72UNF</t>
  </si>
  <si>
    <t>Φ1.6</t>
  </si>
  <si>
    <t>1/8"-27NPT</t>
  </si>
  <si>
    <t>Φ8.4</t>
  </si>
  <si>
    <t>2#-56UNC</t>
  </si>
  <si>
    <t>Φ1.8</t>
  </si>
  <si>
    <t>2#-64UNF</t>
  </si>
  <si>
    <t>Φ1.9</t>
  </si>
  <si>
    <t>1/4"-18NPT</t>
  </si>
  <si>
    <t>Φ11.1</t>
  </si>
  <si>
    <t>3#-48UNC</t>
  </si>
  <si>
    <t>Φ2.1</t>
  </si>
  <si>
    <t>3#-56UNF</t>
  </si>
  <si>
    <t>3/8"-18NPT</t>
  </si>
  <si>
    <t>Φ14.3</t>
  </si>
  <si>
    <t>4#-40UNC</t>
  </si>
  <si>
    <t>Φ2.3</t>
  </si>
  <si>
    <t>4#-48UNF</t>
  </si>
  <si>
    <t>Φ2.4</t>
  </si>
  <si>
    <t>1/2"-14NPT</t>
  </si>
  <si>
    <t>Φ17.9</t>
  </si>
  <si>
    <t>6#-32UNC</t>
  </si>
  <si>
    <t>Φ2.8</t>
  </si>
  <si>
    <t>6#-40UNF</t>
  </si>
  <si>
    <t>Φ3</t>
  </si>
  <si>
    <t>3/4"-14NPT</t>
  </si>
  <si>
    <t>Φ23</t>
  </si>
  <si>
    <t>8#-32UNC</t>
  </si>
  <si>
    <t>Φ3.4</t>
  </si>
  <si>
    <t>8#-36UNF</t>
  </si>
  <si>
    <t>Φ3.5</t>
  </si>
  <si>
    <t>1"-11.5NPT</t>
  </si>
  <si>
    <t>Φ29</t>
  </si>
  <si>
    <t>10#-24UNC</t>
  </si>
  <si>
    <t>Φ3.9</t>
  </si>
  <si>
    <t>10#-32UNF</t>
  </si>
  <si>
    <t>Φ4.1</t>
  </si>
  <si>
    <t>1-14"-11.5NPT</t>
  </si>
  <si>
    <t>Φ37.7</t>
  </si>
  <si>
    <t>12#-24UNC</t>
  </si>
  <si>
    <t>Φ4.5</t>
  </si>
  <si>
    <t>12#-28UNF</t>
  </si>
  <si>
    <t>Φ4.7</t>
  </si>
  <si>
    <t>1-1/2"-11.5NPT</t>
  </si>
  <si>
    <t>Φ44</t>
  </si>
  <si>
    <t>1/4"-20UNC</t>
  </si>
  <si>
    <t>Φ5.1</t>
  </si>
  <si>
    <t>1/4"-28UNF</t>
  </si>
  <si>
    <t>Φ5.5</t>
  </si>
  <si>
    <t>2"-11.5NPT</t>
  </si>
  <si>
    <t>Φ56</t>
  </si>
  <si>
    <t>5/16"-18UNC</t>
  </si>
  <si>
    <t>Φ6.6</t>
  </si>
  <si>
    <t>5/16"-24UNF</t>
  </si>
  <si>
    <t>Φ6.9</t>
  </si>
  <si>
    <t>圆管螺纹</t>
  </si>
  <si>
    <t>3/8"-16UNC</t>
  </si>
  <si>
    <t>Φ8</t>
  </si>
  <si>
    <t>3/8"-24UNF</t>
  </si>
  <si>
    <t>Φ8.5</t>
  </si>
  <si>
    <t>RC1/8"-28</t>
  </si>
  <si>
    <t>Φ8.3</t>
  </si>
  <si>
    <t>7/16"-14UNC</t>
  </si>
  <si>
    <t>Φ9.4</t>
  </si>
  <si>
    <t>7/16"-20UNF</t>
  </si>
  <si>
    <t>Φ9.9</t>
  </si>
  <si>
    <t>RC1/4"-19</t>
  </si>
  <si>
    <t>1/2"-13UNC</t>
  </si>
  <si>
    <t>Φ10.8</t>
  </si>
  <si>
    <t>1/2"-20UNF</t>
  </si>
  <si>
    <t>Φ11.5</t>
  </si>
  <si>
    <t>RC3/8"-19</t>
  </si>
  <si>
    <t>Φ14.5</t>
  </si>
  <si>
    <t>9/16"-12UNC</t>
  </si>
  <si>
    <t>Φ12.2</t>
  </si>
  <si>
    <t>9/16"-18UNF</t>
  </si>
  <si>
    <t>Φ12.9</t>
  </si>
  <si>
    <t>RC1/2"-14</t>
  </si>
  <si>
    <t>Φ18.1</t>
  </si>
  <si>
    <t>5/8"-11UNC</t>
  </si>
  <si>
    <t>Φ13.6</t>
  </si>
  <si>
    <t>5/8"-18UNF</t>
  </si>
  <si>
    <t>RC3/4"-14</t>
  </si>
  <si>
    <t>Φ23.5</t>
  </si>
  <si>
    <t>3/4"-10UNC</t>
  </si>
  <si>
    <t>Φ16.5</t>
  </si>
  <si>
    <t>3/4"-16UNF</t>
  </si>
  <si>
    <t>Φ17.5</t>
  </si>
  <si>
    <t>RC1"-11</t>
  </si>
  <si>
    <t>Φ29.75</t>
  </si>
  <si>
    <t>7/8"-9UNC</t>
  </si>
  <si>
    <t>Φ19.5</t>
  </si>
  <si>
    <t>7/8"-14UNF</t>
  </si>
  <si>
    <t>Φ20.4</t>
  </si>
  <si>
    <t>RC1-1/4"-11</t>
  </si>
  <si>
    <t>Φ38.2</t>
  </si>
  <si>
    <t>1"-8UNC</t>
  </si>
  <si>
    <t>Φ22.2</t>
  </si>
  <si>
    <t>1"-12UNF</t>
  </si>
  <si>
    <t>Φ23.3</t>
  </si>
  <si>
    <t>RC1-1/2"-11</t>
  </si>
  <si>
    <r>
      <rPr>
        <b/>
        <sz val="16"/>
        <rFont val="宋体"/>
        <family val="3"/>
        <charset val="134"/>
      </rPr>
      <t>说明</t>
    </r>
    <r>
      <rPr>
        <b/>
        <sz val="16"/>
        <rFont val="Times New Roman"/>
        <family val="1"/>
      </rPr>
      <t>:</t>
    </r>
    <r>
      <rPr>
        <b/>
        <sz val="16"/>
        <rFont val="宋体"/>
        <family val="3"/>
        <charset val="134"/>
      </rPr>
      <t>如</t>
    </r>
    <r>
      <rPr>
        <b/>
        <sz val="16"/>
        <rFont val="Times New Roman"/>
        <family val="1"/>
      </rPr>
      <t>7/8"-9UNC</t>
    </r>
    <r>
      <rPr>
        <b/>
        <sz val="16"/>
        <rFont val="宋体"/>
        <family val="3"/>
        <charset val="134"/>
      </rPr>
      <t>指的是外径为</t>
    </r>
    <r>
      <rPr>
        <b/>
        <sz val="16"/>
        <rFont val="Times New Roman"/>
        <family val="1"/>
      </rPr>
      <t>7/8</t>
    </r>
    <r>
      <rPr>
        <b/>
        <sz val="16"/>
        <rFont val="宋体"/>
        <family val="3"/>
        <charset val="134"/>
      </rPr>
      <t>英寸</t>
    </r>
    <r>
      <rPr>
        <b/>
        <sz val="16"/>
        <rFont val="Times New Roman"/>
        <family val="1"/>
      </rPr>
      <t>,</t>
    </r>
    <r>
      <rPr>
        <b/>
        <sz val="16"/>
        <rFont val="宋体"/>
        <family val="3"/>
        <charset val="134"/>
      </rPr>
      <t>在一英寸距离内螺纹牙数为</t>
    </r>
    <r>
      <rPr>
        <b/>
        <sz val="16"/>
        <rFont val="Times New Roman"/>
        <family val="1"/>
      </rPr>
      <t>9</t>
    </r>
    <r>
      <rPr>
        <b/>
        <sz val="16"/>
        <rFont val="宋体"/>
        <family val="3"/>
        <charset val="134"/>
      </rPr>
      <t>牙</t>
    </r>
    <r>
      <rPr>
        <b/>
        <sz val="16"/>
        <rFont val="Times New Roman"/>
        <family val="1"/>
      </rPr>
      <t>(</t>
    </r>
    <r>
      <rPr>
        <b/>
        <sz val="16"/>
        <rFont val="宋体"/>
        <family val="3"/>
        <charset val="134"/>
      </rPr>
      <t>螺距为</t>
    </r>
    <r>
      <rPr>
        <b/>
        <sz val="16"/>
        <rFont val="Times New Roman"/>
        <family val="1"/>
      </rPr>
      <t>25.4/9=2.822)</t>
    </r>
    <r>
      <rPr>
        <b/>
        <sz val="16"/>
        <rFont val="宋体"/>
        <family val="3"/>
        <charset val="134"/>
      </rPr>
      <t>的粗牙螺纹</t>
    </r>
    <r>
      <rPr>
        <b/>
        <sz val="16"/>
        <rFont val="Times New Roman"/>
        <family val="1"/>
      </rPr>
      <t>,</t>
    </r>
  </si>
  <si>
    <r>
      <rPr>
        <b/>
        <sz val="16"/>
        <rFont val="宋体"/>
        <family val="3"/>
        <charset val="134"/>
      </rPr>
      <t>其中</t>
    </r>
    <r>
      <rPr>
        <b/>
        <sz val="16"/>
        <rFont val="Times New Roman"/>
        <family val="1"/>
      </rPr>
      <t>UNF</t>
    </r>
    <r>
      <rPr>
        <b/>
        <sz val="16"/>
        <rFont val="宋体"/>
        <family val="3"/>
        <charset val="134"/>
      </rPr>
      <t>指的是细牙螺纹</t>
    </r>
    <r>
      <rPr>
        <b/>
        <sz val="16"/>
        <rFont val="Times New Roman"/>
        <family val="1"/>
      </rPr>
      <t>,NPT</t>
    </r>
    <r>
      <rPr>
        <b/>
        <sz val="16"/>
        <rFont val="宋体"/>
        <family val="3"/>
        <charset val="134"/>
      </rPr>
      <t>指的是管螺纹</t>
    </r>
    <r>
      <rPr>
        <b/>
        <sz val="16"/>
        <rFont val="Times New Roman"/>
        <family val="1"/>
      </rPr>
      <t>.</t>
    </r>
    <r>
      <rPr>
        <b/>
        <sz val="16"/>
        <rFont val="宋体"/>
        <family val="3"/>
        <charset val="134"/>
      </rPr>
      <t>以上基本包括所有的英制螺纹</t>
    </r>
    <r>
      <rPr>
        <b/>
        <sz val="16"/>
        <rFont val="Times New Roman"/>
        <family val="1"/>
      </rPr>
      <t>.,</t>
    </r>
    <r>
      <rPr>
        <b/>
        <sz val="16"/>
        <rFont val="宋体"/>
        <family val="3"/>
        <charset val="134"/>
      </rPr>
      <t>请参考</t>
    </r>
  </si>
  <si>
    <r>
      <rPr>
        <sz val="9"/>
        <rFont val="Arial"/>
        <family val="2"/>
      </rPr>
      <t xml:space="preserve">* </t>
    </r>
    <r>
      <rPr>
        <sz val="9"/>
        <rFont val="宋体"/>
        <family val="3"/>
        <charset val="134"/>
      </rPr>
      <t>顶宽</t>
    </r>
    <r>
      <rPr>
        <sz val="9"/>
        <rFont val="Arial"/>
        <family val="2"/>
      </rPr>
      <t>: 22mm</t>
    </r>
  </si>
  <si>
    <r>
      <rPr>
        <sz val="9"/>
        <rFont val="Arial"/>
        <family val="2"/>
      </rPr>
      <t xml:space="preserve">* </t>
    </r>
    <r>
      <rPr>
        <sz val="9"/>
        <rFont val="宋体"/>
        <family val="3"/>
        <charset val="134"/>
      </rPr>
      <t>最小轮径</t>
    </r>
    <r>
      <rPr>
        <sz val="9"/>
        <rFont val="Arial"/>
        <family val="2"/>
      </rPr>
      <t>: 120mm</t>
    </r>
  </si>
  <si>
    <r>
      <rPr>
        <sz val="9"/>
        <rFont val="Arial"/>
        <family val="2"/>
      </rPr>
      <t xml:space="preserve">* </t>
    </r>
    <r>
      <rPr>
        <sz val="9"/>
        <rFont val="宋体"/>
        <family val="3"/>
        <charset val="134"/>
      </rPr>
      <t>高度</t>
    </r>
    <r>
      <rPr>
        <sz val="9"/>
        <rFont val="Arial"/>
        <family val="2"/>
      </rPr>
      <t>: 14mm</t>
    </r>
  </si>
  <si>
    <r>
      <rPr>
        <sz val="9"/>
        <rFont val="Arial"/>
        <family val="2"/>
      </rPr>
      <t>* Li(</t>
    </r>
    <r>
      <rPr>
        <sz val="9"/>
        <rFont val="宋体"/>
        <family val="3"/>
        <charset val="134"/>
      </rPr>
      <t>内长</t>
    </r>
    <r>
      <rPr>
        <sz val="9"/>
        <rFont val="Arial"/>
        <family val="2"/>
      </rPr>
      <t>)= La(</t>
    </r>
    <r>
      <rPr>
        <sz val="9"/>
        <rFont val="宋体"/>
        <family val="3"/>
        <charset val="134"/>
      </rPr>
      <t>外长</t>
    </r>
    <r>
      <rPr>
        <sz val="9"/>
        <rFont val="Arial"/>
        <family val="2"/>
      </rPr>
      <t>)-88mm</t>
    </r>
  </si>
  <si>
    <r>
      <rPr>
        <sz val="9"/>
        <rFont val="Arial"/>
        <family val="2"/>
      </rPr>
      <t xml:space="preserve">* </t>
    </r>
    <r>
      <rPr>
        <sz val="9"/>
        <rFont val="宋体"/>
        <family val="3"/>
        <charset val="134"/>
      </rPr>
      <t>角度</t>
    </r>
    <r>
      <rPr>
        <sz val="9"/>
        <rFont val="Arial"/>
        <family val="2"/>
      </rPr>
      <t>: 40°</t>
    </r>
  </si>
  <si>
    <r>
      <rPr>
        <sz val="9"/>
        <rFont val="Arial"/>
        <family val="2"/>
      </rPr>
      <t>* Li(</t>
    </r>
    <r>
      <rPr>
        <sz val="9"/>
        <rFont val="宋体"/>
        <family val="3"/>
        <charset val="134"/>
      </rPr>
      <t>内长</t>
    </r>
    <r>
      <rPr>
        <sz val="9"/>
        <rFont val="Arial"/>
        <family val="2"/>
      </rPr>
      <t>)= Lp(</t>
    </r>
    <r>
      <rPr>
        <sz val="9"/>
        <rFont val="宋体"/>
        <family val="3"/>
        <charset val="134"/>
      </rPr>
      <t>节园长</t>
    </r>
    <r>
      <rPr>
        <sz val="9"/>
        <rFont val="Arial"/>
        <family val="2"/>
      </rPr>
      <t>)-56mm</t>
    </r>
  </si>
  <si>
    <t>Li mm</t>
  </si>
  <si>
    <t>C38</t>
  </si>
  <si>
    <t>C75</t>
  </si>
  <si>
    <t>C110</t>
  </si>
  <si>
    <t>C160</t>
  </si>
  <si>
    <t>C43</t>
  </si>
  <si>
    <t>C78</t>
  </si>
  <si>
    <t>C111</t>
  </si>
  <si>
    <t>C166</t>
  </si>
  <si>
    <t>C47</t>
  </si>
  <si>
    <t>C80</t>
  </si>
  <si>
    <t>C112</t>
  </si>
  <si>
    <t>C168</t>
  </si>
  <si>
    <t>C48</t>
  </si>
  <si>
    <t>C81</t>
  </si>
  <si>
    <t>C114</t>
  </si>
  <si>
    <t>C173</t>
  </si>
  <si>
    <t>C49</t>
  </si>
  <si>
    <t>C83</t>
  </si>
  <si>
    <t>C115</t>
  </si>
  <si>
    <t>C180</t>
  </si>
  <si>
    <t>C50</t>
  </si>
  <si>
    <t>C84</t>
  </si>
  <si>
    <t>C116</t>
  </si>
  <si>
    <t>C185</t>
  </si>
  <si>
    <t>C51</t>
  </si>
  <si>
    <t>C85</t>
  </si>
  <si>
    <t>C117</t>
  </si>
  <si>
    <t>C187</t>
  </si>
  <si>
    <t>C53</t>
  </si>
  <si>
    <t>C86</t>
  </si>
  <si>
    <t>C120</t>
  </si>
  <si>
    <t>C190</t>
  </si>
  <si>
    <t>C54</t>
  </si>
  <si>
    <t>C87</t>
  </si>
  <si>
    <t>C122</t>
  </si>
  <si>
    <t>C198</t>
  </si>
  <si>
    <t>C57</t>
  </si>
  <si>
    <t>C88</t>
  </si>
  <si>
    <t>C126</t>
  </si>
  <si>
    <t>C200</t>
  </si>
  <si>
    <t>C59</t>
  </si>
  <si>
    <t>C89</t>
  </si>
  <si>
    <t>C130</t>
  </si>
  <si>
    <t>C204</t>
  </si>
  <si>
    <t>C90</t>
  </si>
  <si>
    <t>C132</t>
  </si>
  <si>
    <t>C208</t>
  </si>
  <si>
    <t>C62</t>
  </si>
  <si>
    <t>C91</t>
  </si>
  <si>
    <t>C136</t>
  </si>
  <si>
    <t>C210</t>
  </si>
  <si>
    <t>C63</t>
  </si>
  <si>
    <t>C92</t>
  </si>
  <si>
    <t>C138</t>
  </si>
  <si>
    <t>C220</t>
  </si>
  <si>
    <t>C64</t>
  </si>
  <si>
    <t>C93</t>
  </si>
  <si>
    <t>C140</t>
  </si>
  <si>
    <t>C225</t>
  </si>
  <si>
    <t>C65</t>
  </si>
  <si>
    <t>C95</t>
  </si>
  <si>
    <t>C142</t>
  </si>
  <si>
    <t>C238</t>
  </si>
  <si>
    <t>C66</t>
  </si>
  <si>
    <t>C96</t>
  </si>
  <si>
    <t>C144</t>
  </si>
  <si>
    <t>C240</t>
  </si>
  <si>
    <t>C67</t>
  </si>
  <si>
    <t>C99</t>
  </si>
  <si>
    <t>C146</t>
  </si>
  <si>
    <t>C264</t>
  </si>
  <si>
    <t>C68</t>
  </si>
  <si>
    <t>C148</t>
  </si>
  <si>
    <t>C280</t>
  </si>
  <si>
    <t>C69</t>
  </si>
  <si>
    <t>C149</t>
  </si>
  <si>
    <t>C295</t>
  </si>
  <si>
    <t>C70</t>
  </si>
  <si>
    <t>C104</t>
  </si>
  <si>
    <t>C150</t>
  </si>
  <si>
    <t>C320</t>
  </si>
  <si>
    <t>C71</t>
  </si>
  <si>
    <t>C105</t>
  </si>
  <si>
    <t>C152</t>
  </si>
  <si>
    <t>C328</t>
  </si>
  <si>
    <t>C72</t>
  </si>
  <si>
    <t>C106</t>
  </si>
  <si>
    <t>C153</t>
  </si>
  <si>
    <t>C418</t>
  </si>
  <si>
    <t>C74</t>
  </si>
  <si>
    <t>C108</t>
  </si>
  <si>
    <t>C158</t>
  </si>
  <si>
    <t>C658</t>
  </si>
  <si>
    <r>
      <rPr>
        <sz val="9"/>
        <rFont val="Arial"/>
        <family val="2"/>
      </rPr>
      <t xml:space="preserve">* </t>
    </r>
    <r>
      <rPr>
        <sz val="9"/>
        <rFont val="宋体"/>
        <family val="3"/>
        <charset val="134"/>
      </rPr>
      <t>顶宽</t>
    </r>
    <r>
      <rPr>
        <sz val="9"/>
        <rFont val="Arial"/>
        <family val="2"/>
      </rPr>
      <t>: 17mm</t>
    </r>
  </si>
  <si>
    <r>
      <rPr>
        <sz val="9"/>
        <rFont val="Arial"/>
        <family val="2"/>
      </rPr>
      <t xml:space="preserve">* </t>
    </r>
    <r>
      <rPr>
        <sz val="9"/>
        <rFont val="宋体"/>
        <family val="3"/>
        <charset val="134"/>
      </rPr>
      <t>最小轮径</t>
    </r>
    <r>
      <rPr>
        <sz val="9"/>
        <rFont val="Arial"/>
        <family val="2"/>
      </rPr>
      <t>: 125mm</t>
    </r>
  </si>
  <si>
    <r>
      <rPr>
        <sz val="9"/>
        <rFont val="Arial"/>
        <family val="2"/>
      </rPr>
      <t xml:space="preserve">* </t>
    </r>
    <r>
      <rPr>
        <sz val="9"/>
        <rFont val="宋体"/>
        <family val="3"/>
        <charset val="134"/>
      </rPr>
      <t>高度</t>
    </r>
    <r>
      <rPr>
        <sz val="9"/>
        <rFont val="Arial"/>
        <family val="2"/>
      </rPr>
      <t>: 11mm</t>
    </r>
  </si>
  <si>
    <r>
      <rPr>
        <sz val="9"/>
        <rFont val="Arial"/>
        <family val="2"/>
      </rPr>
      <t>* Li(</t>
    </r>
    <r>
      <rPr>
        <sz val="9"/>
        <rFont val="宋体"/>
        <family val="3"/>
        <charset val="134"/>
      </rPr>
      <t>内长</t>
    </r>
    <r>
      <rPr>
        <sz val="9"/>
        <rFont val="Arial"/>
        <family val="2"/>
      </rPr>
      <t>)= La(</t>
    </r>
    <r>
      <rPr>
        <sz val="9"/>
        <rFont val="宋体"/>
        <family val="3"/>
        <charset val="134"/>
      </rPr>
      <t>外长</t>
    </r>
    <r>
      <rPr>
        <sz val="9"/>
        <rFont val="Arial"/>
        <family val="2"/>
      </rPr>
      <t>)-69mm</t>
    </r>
  </si>
  <si>
    <r>
      <rPr>
        <sz val="9"/>
        <rFont val="Arial"/>
        <family val="2"/>
      </rPr>
      <t>* Li(</t>
    </r>
    <r>
      <rPr>
        <sz val="9"/>
        <rFont val="宋体"/>
        <family val="3"/>
        <charset val="134"/>
      </rPr>
      <t>内长</t>
    </r>
    <r>
      <rPr>
        <sz val="9"/>
        <rFont val="Arial"/>
        <family val="2"/>
      </rPr>
      <t>)= Lp(</t>
    </r>
    <r>
      <rPr>
        <sz val="9"/>
        <rFont val="宋体"/>
        <family val="3"/>
        <charset val="134"/>
      </rPr>
      <t>节园长</t>
    </r>
    <r>
      <rPr>
        <sz val="9"/>
        <rFont val="Arial"/>
        <family val="2"/>
      </rPr>
      <t>)-43mm</t>
    </r>
  </si>
  <si>
    <t>B23</t>
  </si>
  <si>
    <t>B52</t>
  </si>
  <si>
    <t>B89</t>
  </si>
  <si>
    <t>B132</t>
  </si>
  <si>
    <t>B24</t>
  </si>
  <si>
    <t>B53</t>
  </si>
  <si>
    <t>B90</t>
  </si>
  <si>
    <t>B136</t>
  </si>
  <si>
    <t>B25</t>
  </si>
  <si>
    <t>B53 1/2</t>
  </si>
  <si>
    <t>B91</t>
  </si>
  <si>
    <t>B140</t>
  </si>
  <si>
    <t>B26</t>
  </si>
  <si>
    <t>B55</t>
  </si>
  <si>
    <t>B92</t>
  </si>
  <si>
    <t>B142</t>
  </si>
  <si>
    <t>B26 1/2</t>
  </si>
  <si>
    <t>B56</t>
  </si>
  <si>
    <t>B93</t>
  </si>
  <si>
    <t>B146</t>
  </si>
  <si>
    <t>B27</t>
  </si>
  <si>
    <t>B57</t>
  </si>
  <si>
    <t>B94</t>
  </si>
  <si>
    <t>B150</t>
  </si>
  <si>
    <t>B28</t>
  </si>
  <si>
    <t>B58</t>
  </si>
  <si>
    <t>B94 1/2</t>
  </si>
  <si>
    <t>B151</t>
  </si>
  <si>
    <t>B29</t>
  </si>
  <si>
    <t>B59</t>
  </si>
  <si>
    <t>B95</t>
  </si>
  <si>
    <t>B152</t>
  </si>
  <si>
    <t>B31</t>
  </si>
  <si>
    <t>B60</t>
  </si>
  <si>
    <t>B96</t>
  </si>
  <si>
    <t>B155</t>
  </si>
  <si>
    <t>B32</t>
  </si>
  <si>
    <t>B62</t>
  </si>
  <si>
    <t>B96 1/2</t>
  </si>
  <si>
    <t>B158</t>
  </si>
  <si>
    <t>B33</t>
  </si>
  <si>
    <t>B63</t>
  </si>
  <si>
    <t>B98</t>
  </si>
  <si>
    <t>B160</t>
  </si>
  <si>
    <t>B341/2</t>
  </si>
  <si>
    <t>B64</t>
  </si>
  <si>
    <t>B99</t>
  </si>
  <si>
    <t>B162</t>
  </si>
  <si>
    <t>B35</t>
  </si>
  <si>
    <t>B65</t>
  </si>
  <si>
    <t>B101</t>
  </si>
  <si>
    <t>B164</t>
  </si>
  <si>
    <t>B37</t>
  </si>
  <si>
    <t>B66</t>
  </si>
  <si>
    <t>B103</t>
  </si>
  <si>
    <t>B167</t>
  </si>
  <si>
    <t>B37 1/2</t>
  </si>
  <si>
    <t>B67</t>
  </si>
  <si>
    <t>B104</t>
  </si>
  <si>
    <t>B168</t>
  </si>
  <si>
    <t>B38</t>
  </si>
  <si>
    <t>B68</t>
  </si>
  <si>
    <t>B106</t>
  </si>
  <si>
    <t>B173</t>
  </si>
  <si>
    <t>B39</t>
  </si>
  <si>
    <t>B69 1/2</t>
  </si>
  <si>
    <t>B108</t>
  </si>
  <si>
    <t>B179</t>
  </si>
  <si>
    <t>B40</t>
  </si>
  <si>
    <t>B70</t>
  </si>
  <si>
    <t>B109</t>
  </si>
  <si>
    <t>B180</t>
  </si>
  <si>
    <t>B41</t>
  </si>
  <si>
    <t>B71</t>
  </si>
  <si>
    <t>B110</t>
  </si>
  <si>
    <t>B187</t>
  </si>
  <si>
    <t>B41 1/2</t>
  </si>
  <si>
    <t>B73</t>
  </si>
  <si>
    <t>B111</t>
  </si>
  <si>
    <t>B191</t>
  </si>
  <si>
    <t>B42</t>
  </si>
  <si>
    <t>B74</t>
  </si>
  <si>
    <t>B114</t>
  </si>
  <si>
    <t>B208</t>
  </si>
  <si>
    <t>B43</t>
  </si>
  <si>
    <t>B78</t>
  </si>
  <si>
    <t>B116</t>
  </si>
  <si>
    <t>B226</t>
  </si>
  <si>
    <t>B44</t>
  </si>
  <si>
    <t>B79</t>
  </si>
  <si>
    <t>B117</t>
  </si>
  <si>
    <t>B236</t>
  </si>
  <si>
    <t>B45</t>
  </si>
  <si>
    <t>B81</t>
  </si>
  <si>
    <t>B118</t>
  </si>
  <si>
    <t>B238</t>
  </si>
  <si>
    <t>B45 1/2</t>
  </si>
  <si>
    <t>B82</t>
  </si>
  <si>
    <t>B119</t>
  </si>
  <si>
    <t>B46</t>
  </si>
  <si>
    <t>B83</t>
  </si>
  <si>
    <t>B120</t>
  </si>
  <si>
    <t>B248</t>
  </si>
  <si>
    <t>B48</t>
  </si>
  <si>
    <t>B85</t>
  </si>
  <si>
    <t>B125</t>
  </si>
  <si>
    <t>B280</t>
  </si>
  <si>
    <t>B49</t>
  </si>
  <si>
    <t>B86</t>
  </si>
  <si>
    <t>B126</t>
  </si>
  <si>
    <t>B298</t>
  </si>
  <si>
    <t>B50</t>
  </si>
  <si>
    <t>B88</t>
  </si>
  <si>
    <t>B128</t>
  </si>
  <si>
    <t>B345</t>
  </si>
  <si>
    <r>
      <rPr>
        <sz val="9"/>
        <rFont val="Arial"/>
        <family val="2"/>
      </rPr>
      <t xml:space="preserve">* </t>
    </r>
    <r>
      <rPr>
        <sz val="9"/>
        <rFont val="宋体"/>
        <family val="3"/>
        <charset val="134"/>
      </rPr>
      <t>顶宽</t>
    </r>
    <r>
      <rPr>
        <sz val="9"/>
        <rFont val="Arial"/>
        <family val="2"/>
      </rPr>
      <t>: 13mm</t>
    </r>
  </si>
  <si>
    <r>
      <rPr>
        <sz val="9"/>
        <rFont val="Arial"/>
        <family val="2"/>
      </rPr>
      <t xml:space="preserve">* </t>
    </r>
    <r>
      <rPr>
        <sz val="9"/>
        <rFont val="宋体"/>
        <family val="3"/>
        <charset val="134"/>
      </rPr>
      <t>最小轮径</t>
    </r>
    <r>
      <rPr>
        <sz val="9"/>
        <rFont val="Arial"/>
        <family val="2"/>
      </rPr>
      <t>: 75mm</t>
    </r>
  </si>
  <si>
    <r>
      <rPr>
        <sz val="9"/>
        <rFont val="Arial"/>
        <family val="2"/>
      </rPr>
      <t xml:space="preserve">* </t>
    </r>
    <r>
      <rPr>
        <sz val="9"/>
        <rFont val="宋体"/>
        <family val="3"/>
        <charset val="134"/>
      </rPr>
      <t>高度</t>
    </r>
    <r>
      <rPr>
        <sz val="9"/>
        <rFont val="Arial"/>
        <family val="2"/>
      </rPr>
      <t>: 8mm</t>
    </r>
  </si>
  <si>
    <r>
      <rPr>
        <sz val="9"/>
        <rFont val="Arial"/>
        <family val="2"/>
      </rPr>
      <t>* Li(</t>
    </r>
    <r>
      <rPr>
        <sz val="9"/>
        <rFont val="宋体"/>
        <family val="3"/>
        <charset val="134"/>
      </rPr>
      <t>内长</t>
    </r>
    <r>
      <rPr>
        <sz val="9"/>
        <rFont val="Arial"/>
        <family val="2"/>
      </rPr>
      <t>)= La(</t>
    </r>
    <r>
      <rPr>
        <sz val="9"/>
        <rFont val="宋体"/>
        <family val="3"/>
        <charset val="134"/>
      </rPr>
      <t>外长</t>
    </r>
    <r>
      <rPr>
        <sz val="9"/>
        <rFont val="Arial"/>
        <family val="2"/>
      </rPr>
      <t>)-50mm</t>
    </r>
  </si>
  <si>
    <r>
      <rPr>
        <sz val="9"/>
        <rFont val="Arial"/>
        <family val="2"/>
      </rPr>
      <t>* Li(</t>
    </r>
    <r>
      <rPr>
        <sz val="9"/>
        <rFont val="宋体"/>
        <family val="3"/>
        <charset val="134"/>
      </rPr>
      <t>内长</t>
    </r>
    <r>
      <rPr>
        <sz val="9"/>
        <rFont val="Arial"/>
        <family val="2"/>
      </rPr>
      <t>)= Lp(</t>
    </r>
    <r>
      <rPr>
        <sz val="9"/>
        <rFont val="宋体"/>
        <family val="3"/>
        <charset val="134"/>
      </rPr>
      <t>节园长</t>
    </r>
    <r>
      <rPr>
        <sz val="9"/>
        <rFont val="Arial"/>
        <family val="2"/>
      </rPr>
      <t>)-36mm</t>
    </r>
  </si>
  <si>
    <t>A15</t>
  </si>
  <si>
    <t>A42</t>
  </si>
  <si>
    <t>A72</t>
  </si>
  <si>
    <t>A96</t>
  </si>
  <si>
    <t>A18</t>
  </si>
  <si>
    <t>A43</t>
  </si>
  <si>
    <t>A74</t>
  </si>
  <si>
    <t>A98</t>
  </si>
  <si>
    <t>A43 1/2</t>
  </si>
  <si>
    <t>A75</t>
  </si>
  <si>
    <t>A22</t>
  </si>
  <si>
    <t>A44</t>
  </si>
  <si>
    <t>A76</t>
  </si>
  <si>
    <t>A101</t>
  </si>
  <si>
    <t>A23</t>
  </si>
  <si>
    <t>A45</t>
  </si>
  <si>
    <t>A77</t>
  </si>
  <si>
    <t>A102</t>
  </si>
  <si>
    <t>A23 1/2</t>
  </si>
  <si>
    <t>A45 1/2</t>
  </si>
  <si>
    <t>A78</t>
  </si>
  <si>
    <t>A103</t>
  </si>
  <si>
    <t>A24</t>
  </si>
  <si>
    <t>A46</t>
  </si>
  <si>
    <t>A79</t>
  </si>
  <si>
    <t>A104</t>
  </si>
  <si>
    <t>A25</t>
  </si>
  <si>
    <t>A46 1/2</t>
  </si>
  <si>
    <t>A80</t>
  </si>
  <si>
    <t>A105</t>
  </si>
  <si>
    <t>A26</t>
  </si>
  <si>
    <t>A47</t>
  </si>
  <si>
    <t>A81</t>
  </si>
  <si>
    <t>A107</t>
  </si>
  <si>
    <t>A27</t>
  </si>
  <si>
    <t>A48</t>
  </si>
  <si>
    <t>A83</t>
  </si>
  <si>
    <t>A108</t>
  </si>
  <si>
    <t>A28</t>
  </si>
  <si>
    <t>A49</t>
  </si>
  <si>
    <t>A85</t>
  </si>
  <si>
    <t>A110</t>
  </si>
  <si>
    <t>A29</t>
  </si>
  <si>
    <t>A50</t>
  </si>
  <si>
    <t>A86</t>
  </si>
  <si>
    <t>A112</t>
  </si>
  <si>
    <t>A29 1/2</t>
  </si>
  <si>
    <t>A51</t>
  </si>
  <si>
    <t>A87</t>
  </si>
  <si>
    <t>A113</t>
  </si>
  <si>
    <t>A52</t>
  </si>
  <si>
    <t>A88</t>
  </si>
  <si>
    <t>A114</t>
  </si>
  <si>
    <t>A31</t>
  </si>
  <si>
    <t>A53</t>
  </si>
  <si>
    <t>A89</t>
  </si>
  <si>
    <t>A115</t>
  </si>
  <si>
    <t>A32</t>
  </si>
  <si>
    <t>A55</t>
  </si>
  <si>
    <t>A91</t>
  </si>
  <si>
    <t>A118</t>
  </si>
  <si>
    <t>A32 1/2</t>
  </si>
  <si>
    <t>A56</t>
  </si>
  <si>
    <t>A92</t>
  </si>
  <si>
    <t>A120</t>
  </si>
  <si>
    <t>A33</t>
  </si>
  <si>
    <t>A57</t>
  </si>
  <si>
    <t>A124</t>
  </si>
  <si>
    <t>A34</t>
  </si>
  <si>
    <t>A58</t>
  </si>
  <si>
    <t>A83 1/2</t>
  </si>
  <si>
    <t>A125</t>
  </si>
  <si>
    <t>A34 1/2</t>
  </si>
  <si>
    <t>A59</t>
  </si>
  <si>
    <t>A84</t>
  </si>
  <si>
    <t>A126</t>
  </si>
  <si>
    <t>A35</t>
  </si>
  <si>
    <t>A60</t>
  </si>
  <si>
    <t>A84 1/2</t>
  </si>
  <si>
    <t>A128</t>
  </si>
  <si>
    <t>A35 1/2</t>
  </si>
  <si>
    <t>A61</t>
  </si>
  <si>
    <t>A130</t>
  </si>
  <si>
    <t>A36</t>
  </si>
  <si>
    <t>A62</t>
  </si>
  <si>
    <t>A132</t>
  </si>
  <si>
    <t>A37</t>
  </si>
  <si>
    <t>A63</t>
  </si>
  <si>
    <t>A140</t>
  </si>
  <si>
    <t>A38</t>
  </si>
  <si>
    <t>A65</t>
  </si>
  <si>
    <t>A148</t>
  </si>
  <si>
    <t>A38 1/2</t>
  </si>
  <si>
    <t>A66</t>
  </si>
  <si>
    <t>A90</t>
  </si>
  <si>
    <t>A154</t>
  </si>
  <si>
    <t>A39</t>
  </si>
  <si>
    <t>A67</t>
  </si>
  <si>
    <t>A162</t>
  </si>
  <si>
    <t>A40</t>
  </si>
  <si>
    <t>A68</t>
  </si>
  <si>
    <t>A167</t>
  </si>
  <si>
    <t>A41</t>
  </si>
  <si>
    <t>A70</t>
  </si>
  <si>
    <t>A94</t>
  </si>
  <si>
    <t>A192</t>
  </si>
  <si>
    <t>A41 1/2</t>
  </si>
  <si>
    <t>A71</t>
  </si>
  <si>
    <t>A197</t>
  </si>
  <si>
    <t>V型带槽规格</t>
  </si>
  <si>
    <t>SPA&amp;SPB型带轮规格型号</t>
  </si>
  <si>
    <t>SPA系列</t>
  </si>
  <si>
    <t>dd</t>
  </si>
  <si>
    <t>SPB系列</t>
  </si>
  <si>
    <t>SPC系列</t>
  </si>
  <si>
    <r>
      <rPr>
        <b/>
        <sz val="14"/>
        <rFont val="宋体"/>
        <family val="3"/>
        <charset val="134"/>
      </rPr>
      <t>选择凸轮曲线的基本</t>
    </r>
    <r>
      <rPr>
        <b/>
        <u/>
        <sz val="14"/>
        <color indexed="48"/>
        <rFont val="宋体"/>
        <family val="3"/>
        <charset val="134"/>
      </rPr>
      <t>原则</t>
    </r>
    <r>
      <rPr>
        <b/>
        <sz val="14"/>
        <rFont val="宋体"/>
        <family val="3"/>
        <charset val="134"/>
      </rPr>
      <t>：</t>
    </r>
  </si>
  <si>
    <t>举例</t>
  </si>
  <si>
    <t>1）</t>
  </si>
  <si>
    <t>速度V和加速度A的曲线连续。</t>
  </si>
  <si>
    <t>2）</t>
  </si>
  <si>
    <r>
      <rPr>
        <sz val="11"/>
        <color indexed="8"/>
        <rFont val="宋体"/>
        <family val="3"/>
        <charset val="134"/>
      </rPr>
      <t>低速重载时选择 V</t>
    </r>
    <r>
      <rPr>
        <sz val="10"/>
        <rFont val="宋体"/>
        <family val="3"/>
        <charset val="134"/>
      </rPr>
      <t>m 和 Qm 值小的曲线。</t>
    </r>
  </si>
  <si>
    <t>3）</t>
  </si>
  <si>
    <t>高速轻载时选择 Am 和 Jm 值小的曲线。</t>
  </si>
  <si>
    <t>4）</t>
  </si>
  <si>
    <t>当要求停留精度，没有残留振动时，选择加速范围小而减速范围大的非对称曲线。</t>
  </si>
  <si>
    <t>5）</t>
  </si>
  <si>
    <t>要求单停留（终端部停止的迅速回程运动）时，选择单停留曲线。</t>
  </si>
  <si>
    <t>6）</t>
  </si>
  <si>
    <t>当要求中间是等速且凸轮直径小时，选择修正等速系列曲线。</t>
  </si>
  <si>
    <t>7）</t>
  </si>
  <si>
    <t>要求加速度小时（如电梯），选择修正梯形曲线。</t>
  </si>
  <si>
    <t>8）</t>
  </si>
  <si>
    <t>如果没有任何限制条件，则选择修正正弦曲线。</t>
  </si>
  <si>
    <r>
      <rPr>
        <b/>
        <sz val="14"/>
        <rFont val="宋体"/>
        <family val="3"/>
        <charset val="134"/>
      </rPr>
      <t>标准曲线</t>
    </r>
    <r>
      <rPr>
        <b/>
        <u/>
        <sz val="14"/>
        <color indexed="48"/>
        <rFont val="宋体"/>
        <family val="3"/>
        <charset val="134"/>
      </rPr>
      <t>参数值</t>
    </r>
    <r>
      <rPr>
        <b/>
        <sz val="14"/>
        <rFont val="宋体"/>
        <family val="3"/>
        <charset val="134"/>
      </rPr>
      <t>：</t>
    </r>
  </si>
  <si>
    <t>曲线号</t>
  </si>
  <si>
    <t>曲线记号</t>
  </si>
  <si>
    <t>曲线名称</t>
  </si>
  <si>
    <t>T5</t>
  </si>
  <si>
    <t>T6</t>
  </si>
  <si>
    <t>1、</t>
  </si>
  <si>
    <t>PB</t>
  </si>
  <si>
    <t>等加速度</t>
  </si>
  <si>
    <t>2、</t>
  </si>
  <si>
    <r>
      <rPr>
        <sz val="12"/>
        <rFont val="宋体"/>
        <family val="3"/>
        <charset val="134"/>
      </rPr>
      <t>S</t>
    </r>
    <r>
      <rPr>
        <sz val="12"/>
        <rFont val="宋体"/>
        <family val="3"/>
        <charset val="134"/>
      </rPr>
      <t>H</t>
    </r>
  </si>
  <si>
    <t>简谐</t>
  </si>
  <si>
    <t>3、</t>
  </si>
  <si>
    <t>CY</t>
  </si>
  <si>
    <t>摆线</t>
  </si>
  <si>
    <t>4、</t>
  </si>
  <si>
    <t>MT</t>
  </si>
  <si>
    <t>修正梯形</t>
  </si>
  <si>
    <t>5、</t>
  </si>
  <si>
    <t>MS</t>
  </si>
  <si>
    <t>修正正弦</t>
  </si>
  <si>
    <t>6、</t>
  </si>
  <si>
    <t>MCV</t>
  </si>
  <si>
    <t>修正等速</t>
  </si>
  <si>
    <t>7、</t>
  </si>
  <si>
    <t>非对称摆线</t>
  </si>
  <si>
    <t>8、</t>
  </si>
  <si>
    <t>非对称修正梯形</t>
  </si>
  <si>
    <t>9、</t>
  </si>
  <si>
    <t>TRP</t>
  </si>
  <si>
    <t>梯形摆线</t>
  </si>
  <si>
    <r>
      <rPr>
        <sz val="12"/>
        <rFont val="宋体"/>
        <family val="3"/>
        <charset val="134"/>
      </rPr>
      <t>A</t>
    </r>
    <r>
      <rPr>
        <sz val="12"/>
        <rFont val="Dotum"/>
        <family val="2"/>
        <charset val="129"/>
      </rPr>
      <t>①</t>
    </r>
  </si>
  <si>
    <r>
      <rPr>
        <sz val="12"/>
        <rFont val="宋体"/>
        <family val="3"/>
        <charset val="134"/>
      </rPr>
      <t>A</t>
    </r>
    <r>
      <rPr>
        <sz val="11"/>
        <color indexed="8"/>
        <rFont val="宋体"/>
        <family val="3"/>
        <charset val="134"/>
      </rPr>
      <t>+0.125</t>
    </r>
  </si>
  <si>
    <t>10、</t>
  </si>
  <si>
    <r>
      <rPr>
        <sz val="12"/>
        <rFont val="宋体"/>
        <family val="3"/>
        <charset val="134"/>
      </rPr>
      <t>单停留摆线</t>
    </r>
    <r>
      <rPr>
        <sz val="12"/>
        <rFont val="SimSun-ExtB"/>
        <family val="3"/>
        <charset val="134"/>
      </rPr>
      <t xml:space="preserve"> m=1</t>
    </r>
  </si>
  <si>
    <t>11、</t>
  </si>
  <si>
    <t>单停留摆线 m=2/3</t>
  </si>
  <si>
    <t>12、</t>
  </si>
  <si>
    <r>
      <rPr>
        <sz val="12"/>
        <rFont val="宋体"/>
        <family val="3"/>
        <charset val="134"/>
      </rPr>
      <t xml:space="preserve">单停留修正梯形 </t>
    </r>
    <r>
      <rPr>
        <sz val="11"/>
        <color indexed="8"/>
        <rFont val="宋体"/>
        <family val="3"/>
        <charset val="134"/>
      </rPr>
      <t>m=1</t>
    </r>
  </si>
  <si>
    <t>B②</t>
  </si>
  <si>
    <t>B+0.125</t>
  </si>
  <si>
    <t>13、</t>
  </si>
  <si>
    <r>
      <rPr>
        <sz val="12"/>
        <rFont val="宋体"/>
        <family val="3"/>
        <charset val="134"/>
      </rPr>
      <t xml:space="preserve">单停留修正梯形 </t>
    </r>
    <r>
      <rPr>
        <sz val="11"/>
        <color indexed="8"/>
        <rFont val="宋体"/>
        <family val="3"/>
        <charset val="134"/>
      </rPr>
      <t>Ferguson</t>
    </r>
  </si>
  <si>
    <t>14、</t>
  </si>
  <si>
    <r>
      <rPr>
        <sz val="12"/>
        <rFont val="宋体"/>
        <family val="3"/>
        <charset val="134"/>
      </rPr>
      <t xml:space="preserve">单停留修正梯形 </t>
    </r>
    <r>
      <rPr>
        <sz val="11"/>
        <color indexed="8"/>
        <rFont val="宋体"/>
        <family val="3"/>
        <charset val="134"/>
      </rPr>
      <t>m=2/3</t>
    </r>
  </si>
  <si>
    <t>C③</t>
  </si>
  <si>
    <t>C+0.125</t>
  </si>
  <si>
    <t>C+5/24</t>
  </si>
  <si>
    <t>15、</t>
  </si>
  <si>
    <t>单停留修正正弦</t>
  </si>
  <si>
    <t>16、</t>
  </si>
  <si>
    <t>单停留梯形摆线</t>
  </si>
  <si>
    <t>D④</t>
  </si>
  <si>
    <t>D+0.125</t>
  </si>
  <si>
    <t>17、</t>
  </si>
  <si>
    <t>无停留修正梯形</t>
  </si>
  <si>
    <t>18、</t>
  </si>
  <si>
    <t>无停留修正等速</t>
  </si>
  <si>
    <t>19、</t>
  </si>
  <si>
    <r>
      <rPr>
        <sz val="12"/>
        <rFont val="宋体"/>
        <family val="3"/>
        <charset val="134"/>
      </rPr>
      <t>N</t>
    </r>
    <r>
      <rPr>
        <sz val="11"/>
        <color indexed="8"/>
        <rFont val="宋体"/>
        <family val="3"/>
        <charset val="134"/>
      </rPr>
      <t>C2曲线</t>
    </r>
  </si>
  <si>
    <t>1/3</t>
  </si>
  <si>
    <t>5/6</t>
  </si>
  <si>
    <t>①②③④</t>
  </si>
  <si>
    <r>
      <rPr>
        <sz val="12"/>
        <rFont val="宋体"/>
        <family val="3"/>
        <charset val="134"/>
      </rPr>
      <t>A</t>
    </r>
    <r>
      <rPr>
        <sz val="11"/>
        <color indexed="8"/>
        <rFont val="宋体"/>
        <family val="3"/>
        <charset val="134"/>
      </rPr>
      <t>=(1.25+0.125π)/(2π)</t>
    </r>
  </si>
  <si>
    <r>
      <rPr>
        <sz val="12"/>
        <rFont val="宋体"/>
        <family val="3"/>
        <charset val="134"/>
      </rPr>
      <t>B</t>
    </r>
    <r>
      <rPr>
        <sz val="11"/>
        <color indexed="8"/>
        <rFont val="宋体"/>
        <family val="3"/>
        <charset val="134"/>
      </rPr>
      <t>=7/16-0.125π</t>
    </r>
  </si>
  <si>
    <t>C=0.6*[1-7/(18Л)]-5/24</t>
  </si>
  <si>
    <t>D=(10+π)/(16+8π)</t>
  </si>
  <si>
    <t>各种凸轮曲线的特点：</t>
  </si>
  <si>
    <t>曲线的特点</t>
  </si>
  <si>
    <t>它的最大加速度Am值是所有凸轮曲线中最小的，即Am=4，用最短的时间控制最大加速度。</t>
  </si>
  <si>
    <t>不是连续曲线，易产生振动。它具有低且平滑的特性，在低速条件下使用较好。</t>
  </si>
  <si>
    <t>连续性好，助振频率成分少，可作为高速使用曲线。但缺点在于Vm 、Am、 Qm 等特性值很高。</t>
  </si>
  <si>
    <t>不但连续性好，而且Am值小，适用于高速轻载场合。对于电梯的运动曲线来说是振动最小的优良曲线。</t>
  </si>
  <si>
    <t>最常使用的标准曲线，多用于高速中载的场合。其Vm 、Qm值比修正梯形曲线低，这可以用于功率较小的电动机上。在分度盘工作台中使用，其综合性能较好。</t>
  </si>
  <si>
    <t>主要用于要求中间部位具有一定速度，而且能把速度控制在最低的场合。这种曲线Vm值很小，但Am值较大，主要用于中速重载场合。</t>
  </si>
  <si>
    <t>这种曲线Amm和Amp相等。</t>
  </si>
  <si>
    <t>这种曲线极为平滑，具有极好的特性。其Vm 、Am、 Qm值都很低，曲线变化平滑，Q曲线非常接近正弦曲线，曲线上没有尖锐突起部分。</t>
  </si>
  <si>
    <t>凸轮曲线的特性值：</t>
  </si>
  <si>
    <t>最大无量纲速度：Vm</t>
  </si>
  <si>
    <t>主要影响凸轮机构的压力角和尺寸的大小。</t>
  </si>
  <si>
    <t>在凸轮机构中，其压力角一般会随速度的增大而增大，而压力角过大会导致磨损加剧、效率降低甚至发生自锁。</t>
  </si>
  <si>
    <t>为了减小压力角，一般选用Vm较小的运动规律，同时较小的Vm可得到较小的基圆半径，从而减小凸轮机构的尺寸。</t>
  </si>
  <si>
    <t>最大无量纲加速度：Am</t>
  </si>
  <si>
    <t>是确定动态特性的主要因素之一。Am主要影响凸轮机构的使用寿命和工作精度。</t>
  </si>
  <si>
    <t>在高速凸轮机构中，由于与加速度成正比的惯性力是主要载荷，而较大的惯性力会加剧构件之间的磨损，从而导致从动振动加大，严重影响工作精度。</t>
  </si>
  <si>
    <t>一般在中、高速凸轮机构中，要选用Am较小的凸轮曲线。</t>
  </si>
  <si>
    <t>最大无量纲跃度：Jm</t>
  </si>
  <si>
    <t>Jm</t>
  </si>
  <si>
    <t>表示惯性力的变化率。Jm主要影响高速凸轮机构的运动精度。</t>
  </si>
  <si>
    <t>在高速凸轮机构中，为了提高传动精度、减小机构的振动，并保证设计的凸轮轮廓光滑，通常情况下要控制Jm不超过某个数值。</t>
  </si>
  <si>
    <t>特别在行程终了处使跃度值为零，对改善系统工作的平稳性无疑是有益的。</t>
  </si>
  <si>
    <t>加速度均方根值：Arms</t>
  </si>
  <si>
    <t>Arms</t>
  </si>
  <si>
    <t>反映了凸轮机构受惯性力后偏离平均值的动力扭曲程度。</t>
  </si>
  <si>
    <r>
      <rPr>
        <sz val="12"/>
        <rFont val="宋体"/>
        <family val="3"/>
        <charset val="134"/>
      </rPr>
      <t>在运动精度要求较高的条件下，应选用A</t>
    </r>
    <r>
      <rPr>
        <sz val="12"/>
        <rFont val="宋体"/>
        <family val="3"/>
        <charset val="134"/>
      </rPr>
      <t>rms较小的运动规律。</t>
    </r>
  </si>
  <si>
    <t>最大动载转矩：（AV)m</t>
  </si>
  <si>
    <t>（AV)m</t>
  </si>
  <si>
    <t>反映了动载转矩的最大值。</t>
  </si>
  <si>
    <t>由于动载惯性力与凸轮转矩(AV)成正比</t>
  </si>
  <si>
    <t>为了减小凸轮转矩、降低电动机功率，应选用（AV)较小的运动规律。</t>
  </si>
  <si>
    <t>GB/T1184-1996</t>
  </si>
  <si>
    <t>直线度、平面度公差</t>
  </si>
  <si>
    <t>主参数</t>
  </si>
  <si>
    <r>
      <rPr>
        <sz val="12"/>
        <rFont val="宋体"/>
        <family val="3"/>
        <charset val="134"/>
      </rPr>
      <t>公</t>
    </r>
    <r>
      <rPr>
        <sz val="12"/>
        <rFont val="宋体"/>
        <family val="3"/>
        <charset val="134"/>
      </rPr>
      <t xml:space="preserve">          差          等          级</t>
    </r>
  </si>
  <si>
    <t>L [mm]</t>
  </si>
  <si>
    <t>2</t>
  </si>
  <si>
    <t>3</t>
  </si>
  <si>
    <t>4</t>
  </si>
  <si>
    <t>5</t>
  </si>
  <si>
    <t>6</t>
  </si>
  <si>
    <t>7</t>
  </si>
  <si>
    <t>11</t>
  </si>
  <si>
    <t>12</t>
  </si>
  <si>
    <t>至</t>
  </si>
  <si>
    <r>
      <rPr>
        <sz val="12"/>
        <rFont val="宋体"/>
        <family val="3"/>
        <charset val="134"/>
      </rPr>
      <t>Ra</t>
    </r>
    <r>
      <rPr>
        <sz val="12"/>
        <rFont val="宋体"/>
        <family val="3"/>
        <charset val="134"/>
      </rPr>
      <t>及公差[μm]</t>
    </r>
  </si>
  <si>
    <t>0.025</t>
  </si>
  <si>
    <t>0.2</t>
  </si>
  <si>
    <t>0.05</t>
  </si>
  <si>
    <t>0.4</t>
  </si>
  <si>
    <t>0.1</t>
  </si>
  <si>
    <t>0.8</t>
  </si>
  <si>
    <t>1.2</t>
  </si>
  <si>
    <t>3.2</t>
  </si>
  <si>
    <t>6.3</t>
  </si>
  <si>
    <t>16</t>
  </si>
  <si>
    <t>0.25</t>
  </si>
  <si>
    <t>0.5</t>
  </si>
  <si>
    <t>1.5</t>
  </si>
  <si>
    <t>2.5</t>
  </si>
  <si>
    <t>80</t>
  </si>
  <si>
    <t>0.3</t>
  </si>
  <si>
    <t>0.6</t>
  </si>
  <si>
    <t>100</t>
  </si>
  <si>
    <t>12.5</t>
  </si>
  <si>
    <t>120</t>
  </si>
  <si>
    <t>63</t>
  </si>
  <si>
    <t>150</t>
  </si>
  <si>
    <t>200</t>
  </si>
  <si>
    <t>160</t>
  </si>
  <si>
    <t>250</t>
  </si>
  <si>
    <t>300</t>
  </si>
  <si>
    <t>400</t>
  </si>
  <si>
    <t>630</t>
  </si>
  <si>
    <t>500</t>
  </si>
  <si>
    <t>1000</t>
  </si>
  <si>
    <t>600</t>
  </si>
  <si>
    <t>1600</t>
  </si>
  <si>
    <t>800</t>
  </si>
  <si>
    <t>2500</t>
  </si>
  <si>
    <t>4000</t>
  </si>
  <si>
    <t>1200</t>
  </si>
  <si>
    <t>6300</t>
  </si>
  <si>
    <t>1500</t>
  </si>
  <si>
    <t>10000</t>
  </si>
  <si>
    <t>2000</t>
  </si>
  <si>
    <t>圆度、圆柱度公差</t>
  </si>
  <si>
    <t>0</t>
  </si>
  <si>
    <r>
      <rPr>
        <sz val="12"/>
        <rFont val="宋体"/>
        <family val="3"/>
        <charset val="134"/>
      </rPr>
      <t>公差</t>
    </r>
    <r>
      <rPr>
        <sz val="12"/>
        <rFont val="宋体"/>
        <family val="3"/>
        <charset val="134"/>
      </rPr>
      <t>[μm]</t>
    </r>
  </si>
  <si>
    <t>14</t>
  </si>
  <si>
    <t>18</t>
  </si>
  <si>
    <t>0.12</t>
  </si>
  <si>
    <t>22</t>
  </si>
  <si>
    <t>36</t>
  </si>
  <si>
    <t>0.15</t>
  </si>
  <si>
    <t>27</t>
  </si>
  <si>
    <t>43</t>
  </si>
  <si>
    <t>13</t>
  </si>
  <si>
    <t>21</t>
  </si>
  <si>
    <t>33</t>
  </si>
  <si>
    <t>52</t>
  </si>
  <si>
    <t>39</t>
  </si>
  <si>
    <t>62</t>
  </si>
  <si>
    <t>19</t>
  </si>
  <si>
    <t>46</t>
  </si>
  <si>
    <t>74</t>
  </si>
  <si>
    <t>54</t>
  </si>
  <si>
    <t>87</t>
  </si>
  <si>
    <t>180</t>
  </si>
  <si>
    <t>3.5</t>
  </si>
  <si>
    <t>4.5</t>
  </si>
  <si>
    <t>29</t>
  </si>
  <si>
    <t>72</t>
  </si>
  <si>
    <t>115</t>
  </si>
  <si>
    <t>315</t>
  </si>
  <si>
    <t>23</t>
  </si>
  <si>
    <t>32</t>
  </si>
  <si>
    <t>81</t>
  </si>
  <si>
    <t>130</t>
  </si>
  <si>
    <t>57</t>
  </si>
  <si>
    <t>89</t>
  </si>
  <si>
    <t>140</t>
  </si>
  <si>
    <t>97</t>
  </si>
  <si>
    <t>155</t>
  </si>
  <si>
    <t>平行度、垂直度、倾斜度公差</t>
  </si>
  <si>
    <r>
      <rPr>
        <sz val="12"/>
        <rFont val="宋体"/>
        <family val="3"/>
        <charset val="134"/>
      </rPr>
      <t>L</t>
    </r>
    <r>
      <rPr>
        <sz val="12"/>
        <rFont val="宋体"/>
        <family val="3"/>
        <charset val="134"/>
      </rPr>
      <t>或d(D) [mm]</t>
    </r>
  </si>
  <si>
    <t>3000</t>
  </si>
  <si>
    <t>同轴度、对称度、圆跳动和全跳动公差</t>
  </si>
  <si>
    <t>d(D),B,L [mm]</t>
  </si>
  <si>
    <t>1250</t>
  </si>
  <si>
    <t>3150</t>
  </si>
  <si>
    <t>5000</t>
  </si>
  <si>
    <t>8000</t>
  </si>
  <si>
    <t>直线度和平面度的未注公差值</t>
  </si>
  <si>
    <t>公差等级</t>
  </si>
  <si>
    <t>≤10</t>
  </si>
  <si>
    <t>＞10～30</t>
  </si>
  <si>
    <t>＞30～100</t>
  </si>
  <si>
    <t>＞100～300</t>
  </si>
  <si>
    <t>＞300～1000</t>
  </si>
  <si>
    <t>＞1000～3000</t>
  </si>
  <si>
    <t>0.02</t>
  </si>
  <si>
    <t>垂直度未注公差值</t>
  </si>
  <si>
    <r>
      <rPr>
        <sz val="12"/>
        <rFont val="宋体"/>
        <family val="3"/>
        <charset val="134"/>
      </rPr>
      <t>≤</t>
    </r>
    <r>
      <rPr>
        <sz val="12"/>
        <rFont val="宋体"/>
        <family val="3"/>
        <charset val="134"/>
      </rPr>
      <t>100</t>
    </r>
  </si>
  <si>
    <r>
      <rPr>
        <sz val="12"/>
        <rFont val="宋体"/>
        <family val="3"/>
        <charset val="134"/>
      </rPr>
      <t>＞</t>
    </r>
    <r>
      <rPr>
        <sz val="12"/>
        <rFont val="宋体"/>
        <family val="3"/>
        <charset val="134"/>
      </rPr>
      <t>100～1000</t>
    </r>
  </si>
  <si>
    <t>对称度未注公差值</t>
  </si>
  <si>
    <t>圆跳动未注公差值</t>
  </si>
  <si>
    <t>圆跳动公差值</t>
  </si>
  <si>
    <t>GB/T1800.3-1998</t>
  </si>
  <si>
    <r>
      <rPr>
        <sz val="12"/>
        <rFont val="宋体"/>
        <family val="3"/>
        <charset val="134"/>
      </rPr>
      <t>公</t>
    </r>
    <r>
      <rPr>
        <sz val="12"/>
        <rFont val="Times New Roman"/>
        <family val="1"/>
      </rPr>
      <t xml:space="preserve">                    </t>
    </r>
    <r>
      <rPr>
        <sz val="12"/>
        <rFont val="宋体"/>
        <family val="3"/>
        <charset val="134"/>
      </rPr>
      <t>差</t>
    </r>
    <r>
      <rPr>
        <sz val="12"/>
        <rFont val="Times New Roman"/>
        <family val="1"/>
      </rPr>
      <t xml:space="preserve">                    </t>
    </r>
    <r>
      <rPr>
        <sz val="12"/>
        <rFont val="宋体"/>
        <family val="3"/>
        <charset val="134"/>
      </rPr>
      <t>等</t>
    </r>
    <r>
      <rPr>
        <sz val="12"/>
        <rFont val="Times New Roman"/>
        <family val="1"/>
      </rPr>
      <t xml:space="preserve">                    </t>
    </r>
    <r>
      <rPr>
        <sz val="12"/>
        <rFont val="宋体"/>
        <family val="3"/>
        <charset val="134"/>
      </rPr>
      <t>级</t>
    </r>
  </si>
  <si>
    <t>Δ值</t>
  </si>
  <si>
    <t>[mm]</t>
  </si>
  <si>
    <t>CD</t>
  </si>
  <si>
    <t>EF</t>
  </si>
  <si>
    <t>FG</t>
  </si>
  <si>
    <t>JS</t>
  </si>
  <si>
    <r>
      <rPr>
        <sz val="12"/>
        <rFont val="Times New Roman"/>
        <family val="1"/>
      </rPr>
      <t>P</t>
    </r>
    <r>
      <rPr>
        <sz val="12"/>
        <rFont val="宋体"/>
        <family val="3"/>
        <charset val="134"/>
      </rPr>
      <t>至</t>
    </r>
    <r>
      <rPr>
        <sz val="12"/>
        <rFont val="Times New Roman"/>
        <family val="1"/>
      </rPr>
      <t>ZC</t>
    </r>
  </si>
  <si>
    <t>Y</t>
  </si>
  <si>
    <t>ZA</t>
  </si>
  <si>
    <t>ZB</t>
  </si>
  <si>
    <t>ZC</t>
  </si>
  <si>
    <r>
      <rPr>
        <sz val="12"/>
        <rFont val="宋体"/>
        <family val="3"/>
        <charset val="134"/>
      </rPr>
      <t>所</t>
    </r>
    <r>
      <rPr>
        <sz val="12"/>
        <rFont val="Times New Roman"/>
        <family val="1"/>
      </rPr>
      <t xml:space="preserve">     </t>
    </r>
    <r>
      <rPr>
        <sz val="12"/>
        <rFont val="宋体"/>
        <family val="3"/>
        <charset val="134"/>
      </rPr>
      <t>有</t>
    </r>
    <r>
      <rPr>
        <sz val="12"/>
        <rFont val="Times New Roman"/>
        <family val="1"/>
      </rPr>
      <t xml:space="preserve">     </t>
    </r>
    <r>
      <rPr>
        <sz val="12"/>
        <rFont val="宋体"/>
        <family val="3"/>
        <charset val="134"/>
      </rPr>
      <t>等</t>
    </r>
    <r>
      <rPr>
        <sz val="12"/>
        <rFont val="Times New Roman"/>
        <family val="1"/>
      </rPr>
      <t xml:space="preserve">     </t>
    </r>
    <r>
      <rPr>
        <sz val="12"/>
        <rFont val="宋体"/>
        <family val="3"/>
        <charset val="134"/>
      </rPr>
      <t>级</t>
    </r>
  </si>
  <si>
    <r>
      <rPr>
        <sz val="12"/>
        <rFont val="宋体"/>
        <family val="3"/>
        <charset val="134"/>
      </rPr>
      <t>≤</t>
    </r>
    <r>
      <rPr>
        <sz val="12"/>
        <rFont val="Times New Roman"/>
        <family val="1"/>
      </rPr>
      <t>8</t>
    </r>
  </si>
  <si>
    <r>
      <rPr>
        <sz val="12"/>
        <rFont val="宋体"/>
        <family val="3"/>
        <charset val="134"/>
      </rPr>
      <t>＞</t>
    </r>
    <r>
      <rPr>
        <sz val="12"/>
        <rFont val="Times New Roman"/>
        <family val="1"/>
      </rPr>
      <t>8</t>
    </r>
  </si>
  <si>
    <r>
      <rPr>
        <sz val="12"/>
        <rFont val="宋体"/>
        <family val="3"/>
        <charset val="134"/>
      </rPr>
      <t>≤</t>
    </r>
    <r>
      <rPr>
        <sz val="12"/>
        <rFont val="Times New Roman"/>
        <family val="1"/>
      </rPr>
      <t>7</t>
    </r>
  </si>
  <si>
    <r>
      <rPr>
        <sz val="12"/>
        <rFont val="黑体"/>
        <family val="3"/>
        <charset val="134"/>
      </rPr>
      <t>＞</t>
    </r>
    <r>
      <rPr>
        <sz val="12"/>
        <rFont val="Times New Roman"/>
        <family val="1"/>
      </rPr>
      <t>7</t>
    </r>
  </si>
  <si>
    <t>+270</t>
  </si>
  <si>
    <t>+140</t>
  </si>
  <si>
    <t>+60</t>
  </si>
  <si>
    <t>+34</t>
  </si>
  <si>
    <t>+20</t>
  </si>
  <si>
    <t>+14</t>
  </si>
  <si>
    <t>+10</t>
  </si>
  <si>
    <t>+6</t>
  </si>
  <si>
    <t>+4</t>
  </si>
  <si>
    <t>+2</t>
  </si>
  <si>
    <r>
      <rPr>
        <sz val="12"/>
        <rFont val="宋体"/>
        <family val="3"/>
        <charset val="134"/>
      </rPr>
      <t>±</t>
    </r>
    <r>
      <rPr>
        <sz val="12"/>
        <rFont val="Times New Roman"/>
        <family val="1"/>
      </rPr>
      <t>0.5IT</t>
    </r>
  </si>
  <si>
    <t>-2</t>
  </si>
  <si>
    <t>-4</t>
  </si>
  <si>
    <r>
      <rPr>
        <sz val="12"/>
        <rFont val="宋体"/>
        <family val="3"/>
        <charset val="134"/>
      </rPr>
      <t>在＞</t>
    </r>
    <r>
      <rPr>
        <sz val="12"/>
        <rFont val="Times New Roman"/>
        <family val="1"/>
      </rPr>
      <t>7</t>
    </r>
    <r>
      <rPr>
        <sz val="12"/>
        <rFont val="宋体"/>
        <family val="3"/>
        <charset val="134"/>
      </rPr>
      <t>级的相应数值上增加一个Δ值</t>
    </r>
  </si>
  <si>
    <t>-6</t>
  </si>
  <si>
    <t>-10</t>
  </si>
  <si>
    <t>-14</t>
  </si>
  <si>
    <t>-26</t>
  </si>
  <si>
    <t>-32</t>
  </si>
  <si>
    <t>-40</t>
  </si>
  <si>
    <t>-60</t>
  </si>
  <si>
    <t>+70</t>
  </si>
  <si>
    <t>+46</t>
  </si>
  <si>
    <t>+30</t>
  </si>
  <si>
    <t>+5</t>
  </si>
  <si>
    <r>
      <rPr>
        <sz val="12"/>
        <rFont val="Times New Roman"/>
        <family val="1"/>
      </rPr>
      <t>-1  +</t>
    </r>
    <r>
      <rPr>
        <sz val="12"/>
        <rFont val="宋体"/>
        <family val="3"/>
        <charset val="134"/>
      </rPr>
      <t>Δ</t>
    </r>
  </si>
  <si>
    <r>
      <rPr>
        <sz val="12"/>
        <rFont val="Times New Roman"/>
        <family val="1"/>
      </rPr>
      <t>-4  +</t>
    </r>
    <r>
      <rPr>
        <sz val="12"/>
        <rFont val="宋体"/>
        <family val="3"/>
        <charset val="134"/>
      </rPr>
      <t>Δ</t>
    </r>
  </si>
  <si>
    <r>
      <rPr>
        <sz val="12"/>
        <rFont val="Times New Roman"/>
        <family val="1"/>
      </rPr>
      <t>-8  +</t>
    </r>
    <r>
      <rPr>
        <sz val="12"/>
        <rFont val="宋体"/>
        <family val="3"/>
        <charset val="134"/>
      </rPr>
      <t>Δ</t>
    </r>
  </si>
  <si>
    <t>-12</t>
  </si>
  <si>
    <t>-15</t>
  </si>
  <si>
    <t>-19</t>
  </si>
  <si>
    <t>-23</t>
  </si>
  <si>
    <t>-28</t>
  </si>
  <si>
    <t>-35</t>
  </si>
  <si>
    <t>-42</t>
  </si>
  <si>
    <t>-50</t>
  </si>
  <si>
    <t>-80</t>
  </si>
  <si>
    <t>+280</t>
  </si>
  <si>
    <t>+150</t>
  </si>
  <si>
    <t>+80</t>
  </si>
  <si>
    <t>+56</t>
  </si>
  <si>
    <t>+40</t>
  </si>
  <si>
    <t>+25</t>
  </si>
  <si>
    <t>+18</t>
  </si>
  <si>
    <t>+13</t>
  </si>
  <si>
    <t>+8</t>
  </si>
  <si>
    <t>+12</t>
  </si>
  <si>
    <r>
      <rPr>
        <sz val="12"/>
        <rFont val="Times New Roman"/>
        <family val="1"/>
      </rPr>
      <t>-6  +</t>
    </r>
    <r>
      <rPr>
        <sz val="12"/>
        <rFont val="宋体"/>
        <family val="3"/>
        <charset val="134"/>
      </rPr>
      <t>Δ</t>
    </r>
  </si>
  <si>
    <r>
      <rPr>
        <sz val="12"/>
        <rFont val="Times New Roman"/>
        <family val="1"/>
      </rPr>
      <t>-10  +</t>
    </r>
    <r>
      <rPr>
        <sz val="12"/>
        <rFont val="宋体"/>
        <family val="3"/>
        <charset val="134"/>
      </rPr>
      <t>Δ</t>
    </r>
  </si>
  <si>
    <t>-34</t>
  </si>
  <si>
    <t>-52</t>
  </si>
  <si>
    <t>-67</t>
  </si>
  <si>
    <t>-97</t>
  </si>
  <si>
    <t>+290</t>
  </si>
  <si>
    <t>+95</t>
  </si>
  <si>
    <t>+50</t>
  </si>
  <si>
    <t>+32</t>
  </si>
  <si>
    <t>+16</t>
  </si>
  <si>
    <t>+15</t>
  </si>
  <si>
    <r>
      <rPr>
        <sz val="12"/>
        <rFont val="Times New Roman"/>
        <family val="1"/>
      </rPr>
      <t>-7  +</t>
    </r>
    <r>
      <rPr>
        <sz val="12"/>
        <rFont val="宋体"/>
        <family val="3"/>
        <charset val="134"/>
      </rPr>
      <t>Δ</t>
    </r>
  </si>
  <si>
    <t>-7</t>
  </si>
  <si>
    <r>
      <rPr>
        <sz val="12"/>
        <rFont val="Times New Roman"/>
        <family val="1"/>
      </rPr>
      <t>-12  +</t>
    </r>
    <r>
      <rPr>
        <sz val="12"/>
        <rFont val="宋体"/>
        <family val="3"/>
        <charset val="134"/>
      </rPr>
      <t>Δ</t>
    </r>
  </si>
  <si>
    <t>-18</t>
  </si>
  <si>
    <t>-33</t>
  </si>
  <si>
    <t>-64</t>
  </si>
  <si>
    <t>-90</t>
  </si>
  <si>
    <t>-130</t>
  </si>
  <si>
    <t>-39</t>
  </si>
  <si>
    <t>-45</t>
  </si>
  <si>
    <t>-77</t>
  </si>
  <si>
    <t>-108</t>
  </si>
  <si>
    <t>-150</t>
  </si>
  <si>
    <t>24</t>
  </si>
  <si>
    <t>+300</t>
  </si>
  <si>
    <t>+160</t>
  </si>
  <si>
    <t>+110</t>
  </si>
  <si>
    <t>+65</t>
  </si>
  <si>
    <t>+7</t>
  </si>
  <si>
    <r>
      <rPr>
        <sz val="12"/>
        <rFont val="Times New Roman"/>
        <family val="1"/>
      </rPr>
      <t>-2  +</t>
    </r>
    <r>
      <rPr>
        <sz val="12"/>
        <rFont val="宋体"/>
        <family val="3"/>
        <charset val="134"/>
      </rPr>
      <t>Δ</t>
    </r>
  </si>
  <si>
    <t>-8</t>
  </si>
  <si>
    <r>
      <rPr>
        <sz val="12"/>
        <rFont val="Times New Roman"/>
        <family val="1"/>
      </rPr>
      <t>-15  +</t>
    </r>
    <r>
      <rPr>
        <sz val="12"/>
        <rFont val="宋体"/>
        <family val="3"/>
        <charset val="134"/>
      </rPr>
      <t>Δ</t>
    </r>
  </si>
  <si>
    <t>-22</t>
  </si>
  <si>
    <t>-41</t>
  </si>
  <si>
    <t>-47</t>
  </si>
  <si>
    <t>-54</t>
  </si>
  <si>
    <t>-63</t>
  </si>
  <si>
    <t>-73</t>
  </si>
  <si>
    <t>-98</t>
  </si>
  <si>
    <t>-136</t>
  </si>
  <si>
    <t>-188</t>
  </si>
  <si>
    <t>-48</t>
  </si>
  <si>
    <t>-55</t>
  </si>
  <si>
    <t>-75</t>
  </si>
  <si>
    <t>-88</t>
  </si>
  <si>
    <t>-118</t>
  </si>
  <si>
    <t>-160</t>
  </si>
  <si>
    <t>-218</t>
  </si>
  <si>
    <t>+310</t>
  </si>
  <si>
    <t>+170</t>
  </si>
  <si>
    <t>+120</t>
  </si>
  <si>
    <t>+9</t>
  </si>
  <si>
    <t>+24</t>
  </si>
  <si>
    <r>
      <rPr>
        <sz val="12"/>
        <rFont val="Times New Roman"/>
        <family val="1"/>
      </rPr>
      <t>-9  +</t>
    </r>
    <r>
      <rPr>
        <sz val="12"/>
        <rFont val="宋体"/>
        <family val="3"/>
        <charset val="134"/>
      </rPr>
      <t>Δ</t>
    </r>
  </si>
  <si>
    <t>-9</t>
  </si>
  <si>
    <r>
      <rPr>
        <sz val="12"/>
        <rFont val="Times New Roman"/>
        <family val="1"/>
      </rPr>
      <t>-17  +</t>
    </r>
    <r>
      <rPr>
        <sz val="12"/>
        <rFont val="宋体"/>
        <family val="3"/>
        <charset val="134"/>
      </rPr>
      <t>Δ</t>
    </r>
  </si>
  <si>
    <t>-43</t>
  </si>
  <si>
    <t>-68</t>
  </si>
  <si>
    <t>-94</t>
  </si>
  <si>
    <t>-112</t>
  </si>
  <si>
    <t>-148</t>
  </si>
  <si>
    <t>-200</t>
  </si>
  <si>
    <t>-274</t>
  </si>
  <si>
    <t>+320</t>
  </si>
  <si>
    <t>+180</t>
  </si>
  <si>
    <t>+130</t>
  </si>
  <si>
    <t>-70</t>
  </si>
  <si>
    <t>-81</t>
  </si>
  <si>
    <t>-114</t>
  </si>
  <si>
    <t>-180</t>
  </si>
  <si>
    <t>-242</t>
  </si>
  <si>
    <t>-325</t>
  </si>
  <si>
    <t>65</t>
  </si>
  <si>
    <t>+340</t>
  </si>
  <si>
    <t>+190</t>
  </si>
  <si>
    <t>+100</t>
  </si>
  <si>
    <t>+28</t>
  </si>
  <si>
    <r>
      <rPr>
        <sz val="12"/>
        <rFont val="Times New Roman"/>
        <family val="1"/>
      </rPr>
      <t>-11  +</t>
    </r>
    <r>
      <rPr>
        <sz val="12"/>
        <rFont val="宋体"/>
        <family val="3"/>
        <charset val="134"/>
      </rPr>
      <t>Δ</t>
    </r>
  </si>
  <si>
    <t>-11</t>
  </si>
  <si>
    <r>
      <rPr>
        <sz val="12"/>
        <rFont val="Times New Roman"/>
        <family val="1"/>
      </rPr>
      <t>-20  +</t>
    </r>
    <r>
      <rPr>
        <sz val="12"/>
        <rFont val="宋体"/>
        <family val="3"/>
        <charset val="134"/>
      </rPr>
      <t>Δ</t>
    </r>
  </si>
  <si>
    <t>-53</t>
  </si>
  <si>
    <t>-66</t>
  </si>
  <si>
    <t>-87</t>
  </si>
  <si>
    <t>-102</t>
  </si>
  <si>
    <t>-122</t>
  </si>
  <si>
    <t>-144</t>
  </si>
  <si>
    <t>-172</t>
  </si>
  <si>
    <t>-226</t>
  </si>
  <si>
    <t>-300</t>
  </si>
  <si>
    <t>-405</t>
  </si>
  <si>
    <t>+360</t>
  </si>
  <si>
    <t>+200</t>
  </si>
  <si>
    <t>-59</t>
  </si>
  <si>
    <t>-120</t>
  </si>
  <si>
    <t>-146</t>
  </si>
  <si>
    <t>-174</t>
  </si>
  <si>
    <t>-210</t>
  </si>
  <si>
    <t>-360</t>
  </si>
  <si>
    <t>-480</t>
  </si>
  <si>
    <t>+380</t>
  </si>
  <si>
    <t>+220</t>
  </si>
  <si>
    <t>+72</t>
  </si>
  <si>
    <t>+36</t>
  </si>
  <si>
    <t>+22</t>
  </si>
  <si>
    <r>
      <rPr>
        <sz val="12"/>
        <rFont val="Times New Roman"/>
        <family val="1"/>
      </rPr>
      <t>-3 +</t>
    </r>
    <r>
      <rPr>
        <sz val="12"/>
        <rFont val="宋体"/>
        <family val="3"/>
        <charset val="134"/>
      </rPr>
      <t>Δ</t>
    </r>
  </si>
  <si>
    <r>
      <rPr>
        <sz val="12"/>
        <rFont val="Times New Roman"/>
        <family val="1"/>
      </rPr>
      <t>-13  +</t>
    </r>
    <r>
      <rPr>
        <sz val="12"/>
        <rFont val="宋体"/>
        <family val="3"/>
        <charset val="134"/>
      </rPr>
      <t>Δ</t>
    </r>
  </si>
  <si>
    <t>-13</t>
  </si>
  <si>
    <r>
      <rPr>
        <sz val="12"/>
        <rFont val="Times New Roman"/>
        <family val="1"/>
      </rPr>
      <t>-23  +</t>
    </r>
    <r>
      <rPr>
        <sz val="12"/>
        <rFont val="宋体"/>
        <family val="3"/>
        <charset val="134"/>
      </rPr>
      <t>Δ</t>
    </r>
  </si>
  <si>
    <t>-37</t>
  </si>
  <si>
    <t>-51</t>
  </si>
  <si>
    <t>-71</t>
  </si>
  <si>
    <t>-91</t>
  </si>
  <si>
    <t>-124</t>
  </si>
  <si>
    <t>-178</t>
  </si>
  <si>
    <t>-214</t>
  </si>
  <si>
    <t>-258</t>
  </si>
  <si>
    <t>-335</t>
  </si>
  <si>
    <t>-445</t>
  </si>
  <si>
    <t>-585</t>
  </si>
  <si>
    <t>+410</t>
  </si>
  <si>
    <t>+240</t>
  </si>
  <si>
    <t>-79</t>
  </si>
  <si>
    <t>-104</t>
  </si>
  <si>
    <t>-254</t>
  </si>
  <si>
    <t>-310</t>
  </si>
  <si>
    <t>-400</t>
  </si>
  <si>
    <t>-525</t>
  </si>
  <si>
    <t>-690</t>
  </si>
  <si>
    <t>+460</t>
  </si>
  <si>
    <t>+260</t>
  </si>
  <si>
    <t>+145</t>
  </si>
  <si>
    <t>+85</t>
  </si>
  <si>
    <t>+43</t>
  </si>
  <si>
    <t>+26</t>
  </si>
  <si>
    <t>+41</t>
  </si>
  <si>
    <r>
      <rPr>
        <sz val="12"/>
        <rFont val="Times New Roman"/>
        <family val="1"/>
      </rPr>
      <t>-15 +</t>
    </r>
    <r>
      <rPr>
        <sz val="12"/>
        <rFont val="宋体"/>
        <family val="3"/>
        <charset val="134"/>
      </rPr>
      <t>Δ</t>
    </r>
  </si>
  <si>
    <r>
      <rPr>
        <sz val="12"/>
        <rFont val="Times New Roman"/>
        <family val="1"/>
      </rPr>
      <t>-27 +</t>
    </r>
    <r>
      <rPr>
        <sz val="12"/>
        <rFont val="宋体"/>
        <family val="3"/>
        <charset val="134"/>
      </rPr>
      <t>Δ</t>
    </r>
  </si>
  <si>
    <t>-92</t>
  </si>
  <si>
    <t>-170</t>
  </si>
  <si>
    <t>-202</t>
  </si>
  <si>
    <t>-248</t>
  </si>
  <si>
    <t>-365</t>
  </si>
  <si>
    <t>-470</t>
  </si>
  <si>
    <t>-620</t>
  </si>
  <si>
    <t>-800</t>
  </si>
  <si>
    <t>+520</t>
  </si>
  <si>
    <t>+210</t>
  </si>
  <si>
    <t>-100</t>
  </si>
  <si>
    <t>-134</t>
  </si>
  <si>
    <t>-190</t>
  </si>
  <si>
    <t>-228</t>
  </si>
  <si>
    <t>-280</t>
  </si>
  <si>
    <t>-340</t>
  </si>
  <si>
    <t>-415</t>
  </si>
  <si>
    <t>-535</t>
  </si>
  <si>
    <t>-700</t>
  </si>
  <si>
    <t>-900</t>
  </si>
  <si>
    <t>+580</t>
  </si>
  <si>
    <t>+230</t>
  </si>
  <si>
    <t>-252</t>
  </si>
  <si>
    <t>-380</t>
  </si>
  <si>
    <t>-465</t>
  </si>
  <si>
    <t>-600</t>
  </si>
  <si>
    <t>-780</t>
  </si>
  <si>
    <t>-1000</t>
  </si>
  <si>
    <t>+660</t>
  </si>
  <si>
    <t>+47</t>
  </si>
  <si>
    <r>
      <rPr>
        <sz val="12"/>
        <rFont val="Times New Roman"/>
        <family val="1"/>
      </rPr>
      <t>-4 +</t>
    </r>
    <r>
      <rPr>
        <sz val="12"/>
        <rFont val="宋体"/>
        <family val="3"/>
        <charset val="134"/>
      </rPr>
      <t>Δ</t>
    </r>
  </si>
  <si>
    <r>
      <rPr>
        <sz val="12"/>
        <rFont val="Times New Roman"/>
        <family val="1"/>
      </rPr>
      <t>-17 +</t>
    </r>
    <r>
      <rPr>
        <sz val="12"/>
        <rFont val="宋体"/>
        <family val="3"/>
        <charset val="134"/>
      </rPr>
      <t>Δ</t>
    </r>
  </si>
  <si>
    <t>-17</t>
  </si>
  <si>
    <r>
      <rPr>
        <sz val="12"/>
        <rFont val="Times New Roman"/>
        <family val="1"/>
      </rPr>
      <t>-31 +</t>
    </r>
    <r>
      <rPr>
        <sz val="12"/>
        <rFont val="宋体"/>
        <family val="3"/>
        <charset val="134"/>
      </rPr>
      <t>Δ</t>
    </r>
  </si>
  <si>
    <t>-166</t>
  </si>
  <si>
    <t>-236</t>
  </si>
  <si>
    <t>-284</t>
  </si>
  <si>
    <t>-350</t>
  </si>
  <si>
    <t>-425</t>
  </si>
  <si>
    <t>-520</t>
  </si>
  <si>
    <t>-670</t>
  </si>
  <si>
    <t>-880</t>
  </si>
  <si>
    <t>-1150</t>
  </si>
  <si>
    <t>17</t>
  </si>
  <si>
    <t>26</t>
  </si>
  <si>
    <t>225</t>
  </si>
  <si>
    <t>+740</t>
  </si>
  <si>
    <t>-385</t>
  </si>
  <si>
    <t>-575</t>
  </si>
  <si>
    <t>-740</t>
  </si>
  <si>
    <t>-960</t>
  </si>
  <si>
    <t>-1250</t>
  </si>
  <si>
    <t>+820</t>
  </si>
  <si>
    <t>+420</t>
  </si>
  <si>
    <t>-140</t>
  </si>
  <si>
    <t>-196</t>
  </si>
  <si>
    <t>-640</t>
  </si>
  <si>
    <t>-820</t>
  </si>
  <si>
    <t>-1050</t>
  </si>
  <si>
    <t>-1350</t>
  </si>
  <si>
    <t>280</t>
  </si>
  <si>
    <t>+920</t>
  </si>
  <si>
    <t>+480</t>
  </si>
  <si>
    <t>+17</t>
  </si>
  <si>
    <t>+55</t>
  </si>
  <si>
    <r>
      <rPr>
        <sz val="12"/>
        <rFont val="Times New Roman"/>
        <family val="1"/>
      </rPr>
      <t>-20 +</t>
    </r>
    <r>
      <rPr>
        <sz val="12"/>
        <rFont val="宋体"/>
        <family val="3"/>
        <charset val="134"/>
      </rPr>
      <t>Δ</t>
    </r>
  </si>
  <si>
    <t>-20</t>
  </si>
  <si>
    <r>
      <rPr>
        <sz val="12"/>
        <rFont val="Times New Roman"/>
        <family val="1"/>
      </rPr>
      <t>-34  +</t>
    </r>
    <r>
      <rPr>
        <sz val="12"/>
        <rFont val="宋体"/>
        <family val="3"/>
        <charset val="134"/>
      </rPr>
      <t>Δ</t>
    </r>
  </si>
  <si>
    <t>-56</t>
  </si>
  <si>
    <t>-158</t>
  </si>
  <si>
    <t>-315</t>
  </si>
  <si>
    <t>-475</t>
  </si>
  <si>
    <t>-580</t>
  </si>
  <si>
    <t>-710</t>
  </si>
  <si>
    <t>-920</t>
  </si>
  <si>
    <t>-1200</t>
  </si>
  <si>
    <t>-1550</t>
  </si>
  <si>
    <t>+1050</t>
  </si>
  <si>
    <t>+540</t>
  </si>
  <si>
    <t>+330</t>
  </si>
  <si>
    <t>-240</t>
  </si>
  <si>
    <t>-650</t>
  </si>
  <si>
    <t>-790</t>
  </si>
  <si>
    <t>-1300</t>
  </si>
  <si>
    <t>-1700</t>
  </si>
  <si>
    <t>355</t>
  </si>
  <si>
    <t>+1200</t>
  </si>
  <si>
    <t>+600</t>
  </si>
  <si>
    <t>+125</t>
  </si>
  <si>
    <t>+62</t>
  </si>
  <si>
    <t>+29</t>
  </si>
  <si>
    <t>+39</t>
  </si>
  <si>
    <r>
      <rPr>
        <sz val="12"/>
        <rFont val="Times New Roman"/>
        <family val="1"/>
      </rPr>
      <t>-21 +</t>
    </r>
    <r>
      <rPr>
        <sz val="12"/>
        <rFont val="宋体"/>
        <family val="3"/>
        <charset val="134"/>
      </rPr>
      <t>Δ</t>
    </r>
  </si>
  <si>
    <t>-21</t>
  </si>
  <si>
    <r>
      <rPr>
        <sz val="12"/>
        <rFont val="Times New Roman"/>
        <family val="1"/>
      </rPr>
      <t>-37  +</t>
    </r>
    <r>
      <rPr>
        <sz val="12"/>
        <rFont val="宋体"/>
        <family val="3"/>
        <charset val="134"/>
      </rPr>
      <t>Δ</t>
    </r>
  </si>
  <si>
    <t>-62</t>
  </si>
  <si>
    <t>-268</t>
  </si>
  <si>
    <t>-390</t>
  </si>
  <si>
    <t>-590</t>
  </si>
  <si>
    <t>-730</t>
  </si>
  <si>
    <t>-1500</t>
  </si>
  <si>
    <t>-1900</t>
  </si>
  <si>
    <t>+1350</t>
  </si>
  <si>
    <t>+680</t>
  </si>
  <si>
    <t>+400</t>
  </si>
  <si>
    <t>-208</t>
  </si>
  <si>
    <t>-294</t>
  </si>
  <si>
    <t>-435</t>
  </si>
  <si>
    <t>-530</t>
  </si>
  <si>
    <t>-660</t>
  </si>
  <si>
    <t>-1650</t>
  </si>
  <si>
    <t>-2100</t>
  </si>
  <si>
    <t>450</t>
  </si>
  <si>
    <t>+1500</t>
  </si>
  <si>
    <t>+760</t>
  </si>
  <si>
    <t>+440</t>
  </si>
  <si>
    <t>+135</t>
  </si>
  <si>
    <t>+68</t>
  </si>
  <si>
    <t>+33</t>
  </si>
  <si>
    <t>+66</t>
  </si>
  <si>
    <r>
      <rPr>
        <sz val="12"/>
        <rFont val="Times New Roman"/>
        <family val="1"/>
      </rPr>
      <t>-5 +</t>
    </r>
    <r>
      <rPr>
        <sz val="12"/>
        <rFont val="宋体"/>
        <family val="3"/>
        <charset val="134"/>
      </rPr>
      <t>Δ</t>
    </r>
  </si>
  <si>
    <r>
      <rPr>
        <sz val="12"/>
        <rFont val="Times New Roman"/>
        <family val="1"/>
      </rPr>
      <t>-23 +</t>
    </r>
    <r>
      <rPr>
        <sz val="12"/>
        <rFont val="宋体"/>
        <family val="3"/>
        <charset val="134"/>
      </rPr>
      <t>Δ</t>
    </r>
  </si>
  <si>
    <r>
      <rPr>
        <sz val="12"/>
        <rFont val="Times New Roman"/>
        <family val="1"/>
      </rPr>
      <t>-40  +</t>
    </r>
    <r>
      <rPr>
        <sz val="12"/>
        <rFont val="宋体"/>
        <family val="3"/>
        <charset val="134"/>
      </rPr>
      <t>Δ</t>
    </r>
  </si>
  <si>
    <t>-126</t>
  </si>
  <si>
    <t>-232</t>
  </si>
  <si>
    <t>-330</t>
  </si>
  <si>
    <t>-490</t>
  </si>
  <si>
    <t>-595</t>
  </si>
  <si>
    <t>-1100</t>
  </si>
  <si>
    <t>-1450</t>
  </si>
  <si>
    <t>-1850</t>
  </si>
  <si>
    <t>-2400</t>
  </si>
  <si>
    <t>34</t>
  </si>
  <si>
    <t>+1650</t>
  </si>
  <si>
    <t>+840</t>
  </si>
  <si>
    <t>-540</t>
  </si>
  <si>
    <t>-1600</t>
  </si>
  <si>
    <t>-2600</t>
  </si>
  <si>
    <t>560</t>
  </si>
  <si>
    <t>+76</t>
  </si>
  <si>
    <t>-44</t>
  </si>
  <si>
    <t>-78</t>
  </si>
  <si>
    <t>-155</t>
  </si>
  <si>
    <t>-450</t>
  </si>
  <si>
    <t>710</t>
  </si>
  <si>
    <t>-30</t>
  </si>
  <si>
    <t>-175</t>
  </si>
  <si>
    <t>-500</t>
  </si>
  <si>
    <t>-185</t>
  </si>
  <si>
    <t>-560</t>
  </si>
  <si>
    <t>-840</t>
  </si>
  <si>
    <t>900</t>
  </si>
  <si>
    <t>+86</t>
  </si>
  <si>
    <t>-430</t>
  </si>
  <si>
    <t>-940</t>
  </si>
  <si>
    <t>-220</t>
  </si>
  <si>
    <t>-680</t>
  </si>
  <si>
    <t>1150</t>
  </si>
  <si>
    <t>+350</t>
  </si>
  <si>
    <t>+195</t>
  </si>
  <si>
    <t>+98</t>
  </si>
  <si>
    <t>-250</t>
  </si>
  <si>
    <t>-260</t>
  </si>
  <si>
    <t>1400</t>
  </si>
  <si>
    <t>+390</t>
  </si>
  <si>
    <t>47</t>
  </si>
  <si>
    <t>-720</t>
  </si>
  <si>
    <t>1800</t>
  </si>
  <si>
    <t>+430</t>
  </si>
  <si>
    <t>-58</t>
  </si>
  <si>
    <t>-370</t>
  </si>
  <si>
    <t>58</t>
  </si>
  <si>
    <t>-2000</t>
  </si>
  <si>
    <t>2240</t>
  </si>
  <si>
    <t>-110</t>
  </si>
  <si>
    <t>-195</t>
  </si>
  <si>
    <t>-440</t>
  </si>
  <si>
    <t>-2300</t>
  </si>
  <si>
    <t>-460</t>
  </si>
  <si>
    <t>-2500</t>
  </si>
  <si>
    <t>2800</t>
  </si>
  <si>
    <t>+38</t>
  </si>
  <si>
    <t>-76</t>
  </si>
  <si>
    <t>-135</t>
  </si>
  <si>
    <t>-550</t>
  </si>
  <si>
    <t>-2900</t>
  </si>
  <si>
    <t>28</t>
  </si>
  <si>
    <t>75</t>
  </si>
  <si>
    <t>-1400</t>
  </si>
  <si>
    <t>-3200</t>
  </si>
  <si>
    <r>
      <rPr>
        <sz val="12"/>
        <rFont val="宋体"/>
        <family val="3"/>
        <charset val="134"/>
      </rPr>
      <t>注：</t>
    </r>
    <r>
      <rPr>
        <sz val="12"/>
        <rFont val="Times New Roman"/>
        <family val="1"/>
      </rPr>
      <t>1.</t>
    </r>
    <r>
      <rPr>
        <sz val="12"/>
        <rFont val="宋体"/>
        <family val="3"/>
        <charset val="134"/>
      </rPr>
      <t>基本尺寸小于</t>
    </r>
    <r>
      <rPr>
        <sz val="12"/>
        <rFont val="Times New Roman"/>
        <family val="1"/>
      </rPr>
      <t>1mm</t>
    </r>
    <r>
      <rPr>
        <sz val="12"/>
        <rFont val="宋体"/>
        <family val="3"/>
        <charset val="134"/>
      </rPr>
      <t>时，各级的</t>
    </r>
    <r>
      <rPr>
        <sz val="12"/>
        <rFont val="Times New Roman"/>
        <family val="1"/>
      </rPr>
      <t>A</t>
    </r>
    <r>
      <rPr>
        <sz val="12"/>
        <rFont val="宋体"/>
        <family val="3"/>
        <charset val="134"/>
      </rPr>
      <t>和</t>
    </r>
    <r>
      <rPr>
        <sz val="12"/>
        <rFont val="Times New Roman"/>
        <family val="1"/>
      </rPr>
      <t>B</t>
    </r>
    <r>
      <rPr>
        <sz val="12"/>
        <rFont val="宋体"/>
        <family val="3"/>
        <charset val="134"/>
      </rPr>
      <t>均不采用。</t>
    </r>
  </si>
  <si>
    <r>
      <rPr>
        <sz val="12"/>
        <rFont val="Times New Roman"/>
        <family val="1"/>
      </rPr>
      <t xml:space="preserve">        2.JS</t>
    </r>
    <r>
      <rPr>
        <sz val="12"/>
        <rFont val="宋体"/>
        <family val="3"/>
        <charset val="134"/>
      </rPr>
      <t>的数值对</t>
    </r>
    <r>
      <rPr>
        <sz val="12"/>
        <rFont val="Times New Roman"/>
        <family val="1"/>
      </rPr>
      <t>IT7</t>
    </r>
    <r>
      <rPr>
        <sz val="12"/>
        <rFont val="宋体"/>
        <family val="3"/>
        <charset val="134"/>
      </rPr>
      <t>至</t>
    </r>
    <r>
      <rPr>
        <sz val="12"/>
        <rFont val="Times New Roman"/>
        <family val="1"/>
      </rPr>
      <t>IT11</t>
    </r>
    <r>
      <rPr>
        <sz val="12"/>
        <rFont val="宋体"/>
        <family val="3"/>
        <charset val="134"/>
      </rPr>
      <t>，若</t>
    </r>
    <r>
      <rPr>
        <sz val="12"/>
        <rFont val="Times New Roman"/>
        <family val="1"/>
      </rPr>
      <t>IT</t>
    </r>
    <r>
      <rPr>
        <sz val="12"/>
        <rFont val="宋体"/>
        <family val="3"/>
        <charset val="134"/>
      </rPr>
      <t>的数值为奇数则取</t>
    </r>
    <r>
      <rPr>
        <sz val="12"/>
        <rFont val="Times New Roman"/>
        <family val="1"/>
      </rPr>
      <t>js=±0.5(IT-1)</t>
    </r>
    <r>
      <rPr>
        <sz val="12"/>
        <rFont val="宋体"/>
        <family val="3"/>
        <charset val="134"/>
      </rPr>
      <t>。</t>
    </r>
  </si>
  <si>
    <r>
      <rPr>
        <sz val="12"/>
        <rFont val="Times New Roman"/>
        <family val="1"/>
      </rPr>
      <t xml:space="preserve">       3.</t>
    </r>
    <r>
      <rPr>
        <sz val="12"/>
        <rFont val="宋体"/>
        <family val="3"/>
        <charset val="134"/>
      </rPr>
      <t>特殊情况，当基本尺寸大于</t>
    </r>
    <r>
      <rPr>
        <sz val="12"/>
        <rFont val="Times New Roman"/>
        <family val="1"/>
      </rPr>
      <t>250</t>
    </r>
    <r>
      <rPr>
        <sz val="12"/>
        <rFont val="宋体"/>
        <family val="3"/>
        <charset val="134"/>
      </rPr>
      <t>至</t>
    </r>
    <r>
      <rPr>
        <sz val="12"/>
        <rFont val="Times New Roman"/>
        <family val="1"/>
      </rPr>
      <t>315</t>
    </r>
    <r>
      <rPr>
        <sz val="12"/>
        <rFont val="宋体"/>
        <family val="3"/>
        <charset val="134"/>
      </rPr>
      <t>时，</t>
    </r>
    <r>
      <rPr>
        <sz val="12"/>
        <rFont val="Times New Roman"/>
        <family val="1"/>
      </rPr>
      <t>M6</t>
    </r>
    <r>
      <rPr>
        <sz val="12"/>
        <rFont val="宋体"/>
        <family val="3"/>
        <charset val="134"/>
      </rPr>
      <t>的</t>
    </r>
    <r>
      <rPr>
        <sz val="12"/>
        <rFont val="Times New Roman"/>
        <family val="1"/>
      </rPr>
      <t>ES</t>
    </r>
    <r>
      <rPr>
        <sz val="12"/>
        <rFont val="宋体"/>
        <family val="3"/>
        <charset val="134"/>
      </rPr>
      <t>等于</t>
    </r>
    <r>
      <rPr>
        <sz val="12"/>
        <rFont val="Times New Roman"/>
        <family val="1"/>
      </rPr>
      <t>-9</t>
    </r>
    <r>
      <rPr>
        <sz val="12"/>
        <rFont val="宋体"/>
        <family val="3"/>
        <charset val="134"/>
      </rPr>
      <t>（不等于</t>
    </r>
    <r>
      <rPr>
        <sz val="12"/>
        <rFont val="Times New Roman"/>
        <family val="1"/>
      </rPr>
      <t>-11</t>
    </r>
    <r>
      <rPr>
        <sz val="12"/>
        <rFont val="宋体"/>
        <family val="3"/>
        <charset val="134"/>
      </rPr>
      <t>）。</t>
    </r>
  </si>
  <si>
    <t>GB1800-79</t>
  </si>
  <si>
    <t>1~13</t>
  </si>
  <si>
    <t>6~12</t>
  </si>
  <si>
    <r>
      <rPr>
        <sz val="12"/>
        <rFont val="Times New Roman"/>
        <family val="1"/>
      </rPr>
      <t>6~12</t>
    </r>
    <r>
      <rPr>
        <sz val="12"/>
        <rFont val="宋体"/>
        <family val="3"/>
        <charset val="134"/>
      </rPr>
      <t>级常用</t>
    </r>
    <r>
      <rPr>
        <sz val="12"/>
        <rFont val="Times New Roman"/>
        <family val="1"/>
      </rPr>
      <t>7</t>
    </r>
    <r>
      <rPr>
        <sz val="12"/>
        <rFont val="宋体"/>
        <family val="3"/>
        <charset val="134"/>
      </rPr>
      <t>、</t>
    </r>
    <r>
      <rPr>
        <sz val="12"/>
        <rFont val="Times New Roman"/>
        <family val="1"/>
      </rPr>
      <t>8</t>
    </r>
    <r>
      <rPr>
        <sz val="12"/>
        <rFont val="宋体"/>
        <family val="3"/>
        <charset val="134"/>
      </rPr>
      <t>、</t>
    </r>
    <r>
      <rPr>
        <sz val="12"/>
        <rFont val="Times New Roman"/>
        <family val="1"/>
      </rPr>
      <t>9</t>
    </r>
    <r>
      <rPr>
        <sz val="12"/>
        <rFont val="宋体"/>
        <family val="3"/>
        <charset val="134"/>
      </rPr>
      <t>、</t>
    </r>
    <r>
      <rPr>
        <sz val="12"/>
        <rFont val="Times New Roman"/>
        <family val="1"/>
      </rPr>
      <t>11</t>
    </r>
    <r>
      <rPr>
        <sz val="12"/>
        <rFont val="宋体"/>
        <family val="3"/>
        <charset val="134"/>
      </rPr>
      <t>级优先</t>
    </r>
    <r>
      <rPr>
        <sz val="12"/>
        <rFont val="Times New Roman"/>
        <family val="1"/>
      </rPr>
      <t xml:space="preserve">                 0</t>
    </r>
  </si>
  <si>
    <r>
      <rPr>
        <sz val="12"/>
        <rFont val="Times New Roman"/>
        <family val="1"/>
      </rPr>
      <t>6~9</t>
    </r>
    <r>
      <rPr>
        <sz val="12"/>
        <rFont val="宋体"/>
        <family val="3"/>
        <charset val="134"/>
      </rPr>
      <t>级常用</t>
    </r>
    <r>
      <rPr>
        <sz val="12"/>
        <rFont val="Times New Roman"/>
        <family val="1"/>
      </rPr>
      <t xml:space="preserve">         ±0.5IT</t>
    </r>
  </si>
  <si>
    <t>+3</t>
  </si>
  <si>
    <t>-3</t>
  </si>
  <si>
    <t>+0.5</t>
  </si>
  <si>
    <t>-2.5</t>
  </si>
  <si>
    <t>-1</t>
  </si>
  <si>
    <t>-5</t>
  </si>
  <si>
    <t>-16</t>
  </si>
  <si>
    <t>-25</t>
  </si>
  <si>
    <t>-24</t>
  </si>
  <si>
    <t>-31</t>
  </si>
  <si>
    <t>+1</t>
  </si>
  <si>
    <t>+4.5</t>
  </si>
  <si>
    <t>-36</t>
  </si>
  <si>
    <t>-38</t>
  </si>
  <si>
    <t>-57</t>
  </si>
  <si>
    <t>+0</t>
  </si>
  <si>
    <t>-27</t>
  </si>
  <si>
    <t>-46</t>
  </si>
  <si>
    <t>-69</t>
  </si>
  <si>
    <t>-65</t>
  </si>
  <si>
    <t>-84</t>
  </si>
  <si>
    <t>-29</t>
  </si>
  <si>
    <t>-89</t>
  </si>
  <si>
    <t>-85</t>
  </si>
  <si>
    <t>-107</t>
  </si>
  <si>
    <t>-103</t>
  </si>
  <si>
    <t>-49</t>
  </si>
  <si>
    <t>-61</t>
  </si>
  <si>
    <t>-72</t>
  </si>
  <si>
    <t>-109</t>
  </si>
  <si>
    <t>-105</t>
  </si>
  <si>
    <t>-131</t>
  </si>
  <si>
    <t>-127</t>
  </si>
  <si>
    <t>-96</t>
  </si>
  <si>
    <t>-116</t>
  </si>
  <si>
    <t>-111</t>
  </si>
  <si>
    <t>-138</t>
  </si>
  <si>
    <t>-133</t>
  </si>
  <si>
    <t>-161</t>
  </si>
  <si>
    <t>-168</t>
  </si>
  <si>
    <t>-163</t>
  </si>
  <si>
    <t>-204</t>
  </si>
  <si>
    <t>-199</t>
  </si>
  <si>
    <t>-117</t>
  </si>
  <si>
    <t>-139</t>
  </si>
  <si>
    <t>-171</t>
  </si>
  <si>
    <t>-165</t>
  </si>
  <si>
    <t>-207</t>
  </si>
  <si>
    <t>-201</t>
  </si>
  <si>
    <t>-251</t>
  </si>
  <si>
    <t>-245</t>
  </si>
  <si>
    <t>-74</t>
  </si>
  <si>
    <t>-137</t>
  </si>
  <si>
    <t>-159</t>
  </si>
  <si>
    <t>-203</t>
  </si>
  <si>
    <t>-197</t>
  </si>
  <si>
    <t>-247</t>
  </si>
  <si>
    <t>-241</t>
  </si>
  <si>
    <t>-303</t>
  </si>
  <si>
    <t>-297</t>
  </si>
  <si>
    <t>-86</t>
  </si>
  <si>
    <t>-115</t>
  </si>
  <si>
    <t>-187</t>
  </si>
  <si>
    <t>-233</t>
  </si>
  <si>
    <t>-293</t>
  </si>
  <si>
    <t>-285</t>
  </si>
  <si>
    <t>-358</t>
  </si>
  <si>
    <t>-93</t>
  </si>
  <si>
    <t>-119</t>
  </si>
  <si>
    <t>-183</t>
  </si>
  <si>
    <t>-221</t>
  </si>
  <si>
    <t>-213</t>
  </si>
  <si>
    <t>-273</t>
  </si>
  <si>
    <t>-265</t>
  </si>
  <si>
    <t>-333</t>
  </si>
  <si>
    <t>-408</t>
  </si>
  <si>
    <t>-101</t>
  </si>
  <si>
    <t>-237</t>
  </si>
  <si>
    <t>-295</t>
  </si>
  <si>
    <t>-373</t>
  </si>
  <si>
    <t>-458</t>
  </si>
  <si>
    <t>-113</t>
  </si>
  <si>
    <t>-157</t>
  </si>
  <si>
    <t>-149</t>
  </si>
  <si>
    <t>-227</t>
  </si>
  <si>
    <t>-219</t>
  </si>
  <si>
    <t>-275</t>
  </si>
  <si>
    <t>-267</t>
  </si>
  <si>
    <t>-341</t>
  </si>
  <si>
    <t>-416</t>
  </si>
  <si>
    <t>-511</t>
  </si>
  <si>
    <t>-503</t>
  </si>
  <si>
    <t>-121</t>
  </si>
  <si>
    <t>-249</t>
  </si>
  <si>
    <t>-301</t>
  </si>
  <si>
    <t>-376</t>
  </si>
  <si>
    <t>-368</t>
  </si>
  <si>
    <t>-461</t>
  </si>
  <si>
    <t>-453</t>
  </si>
  <si>
    <t>-566</t>
  </si>
  <si>
    <t>-558</t>
  </si>
  <si>
    <t>-123</t>
  </si>
  <si>
    <t>-179</t>
  </si>
  <si>
    <t>-331</t>
  </si>
  <si>
    <t>-323</t>
  </si>
  <si>
    <t>-631</t>
  </si>
  <si>
    <t>-623</t>
  </si>
  <si>
    <t>-151</t>
  </si>
  <si>
    <t>-209</t>
  </si>
  <si>
    <t>-198</t>
  </si>
  <si>
    <t>-306</t>
  </si>
  <si>
    <t>-466</t>
  </si>
  <si>
    <t>-455</t>
  </si>
  <si>
    <t>-571</t>
  </si>
  <si>
    <t>-701</t>
  </si>
  <si>
    <t>-231</t>
  </si>
  <si>
    <t>-516</t>
  </si>
  <si>
    <t>-505</t>
  </si>
  <si>
    <t>-641</t>
  </si>
  <si>
    <t>-630</t>
  </si>
  <si>
    <t>-781</t>
  </si>
  <si>
    <t>-770</t>
  </si>
  <si>
    <t>+11</t>
  </si>
  <si>
    <t>-169</t>
  </si>
  <si>
    <t>-257</t>
  </si>
  <si>
    <t>-379</t>
  </si>
  <si>
    <t>-369</t>
  </si>
  <si>
    <t>-464</t>
  </si>
  <si>
    <t>-454</t>
  </si>
  <si>
    <t>-579</t>
  </si>
  <si>
    <t>-569</t>
  </si>
  <si>
    <t>-719</t>
  </si>
  <si>
    <t>-709</t>
  </si>
  <si>
    <t>-889</t>
  </si>
  <si>
    <t>-879</t>
  </si>
  <si>
    <t>114</t>
  </si>
  <si>
    <t>-283</t>
  </si>
  <si>
    <t>-424</t>
  </si>
  <si>
    <t>-414</t>
  </si>
  <si>
    <t>-519</t>
  </si>
  <si>
    <t>-509</t>
  </si>
  <si>
    <t>-649</t>
  </si>
  <si>
    <t>-639</t>
  </si>
  <si>
    <t>-809</t>
  </si>
  <si>
    <t>-799</t>
  </si>
  <si>
    <t>-989</t>
  </si>
  <si>
    <t>-979</t>
  </si>
  <si>
    <t>-225</t>
  </si>
  <si>
    <t>-317</t>
  </si>
  <si>
    <t>-307</t>
  </si>
  <si>
    <t>-477</t>
  </si>
  <si>
    <t>-467</t>
  </si>
  <si>
    <t>-582</t>
  </si>
  <si>
    <t>-572</t>
  </si>
  <si>
    <t>-727</t>
  </si>
  <si>
    <t>-717</t>
  </si>
  <si>
    <t>-907</t>
  </si>
  <si>
    <t>-897</t>
  </si>
  <si>
    <t>-1087</t>
  </si>
  <si>
    <t>-1077</t>
  </si>
  <si>
    <t>-125</t>
  </si>
  <si>
    <t>-132</t>
  </si>
  <si>
    <t>-239</t>
  </si>
  <si>
    <t>-229</t>
  </si>
  <si>
    <t>-347</t>
  </si>
  <si>
    <t>-337</t>
  </si>
  <si>
    <t>-527</t>
  </si>
  <si>
    <t>-517</t>
  </si>
  <si>
    <t>-647</t>
  </si>
  <si>
    <t>-637</t>
  </si>
  <si>
    <t>-807</t>
  </si>
  <si>
    <t>-797</t>
  </si>
  <si>
    <t>-987</t>
  </si>
  <si>
    <t>-977</t>
  </si>
  <si>
    <t>-1237</t>
  </si>
  <si>
    <t>-1227</t>
  </si>
  <si>
    <r>
      <rPr>
        <sz val="12"/>
        <rFont val="宋体"/>
        <family val="3"/>
        <charset val="134"/>
      </rPr>
      <t>注：基本尺寸小于</t>
    </r>
    <r>
      <rPr>
        <sz val="12"/>
        <rFont val="Times New Roman"/>
        <family val="1"/>
      </rPr>
      <t>1mm</t>
    </r>
    <r>
      <rPr>
        <sz val="12"/>
        <rFont val="宋体"/>
        <family val="3"/>
        <charset val="134"/>
      </rPr>
      <t>时，各级的</t>
    </r>
    <r>
      <rPr>
        <sz val="12"/>
        <rFont val="Times New Roman"/>
        <family val="1"/>
      </rPr>
      <t>A</t>
    </r>
    <r>
      <rPr>
        <sz val="12"/>
        <rFont val="宋体"/>
        <family val="3"/>
        <charset val="134"/>
      </rPr>
      <t>和</t>
    </r>
    <r>
      <rPr>
        <sz val="12"/>
        <rFont val="Times New Roman"/>
        <family val="1"/>
      </rPr>
      <t>B</t>
    </r>
    <r>
      <rPr>
        <sz val="12"/>
        <rFont val="宋体"/>
        <family val="3"/>
        <charset val="134"/>
      </rPr>
      <t>均不采用。</t>
    </r>
  </si>
  <si>
    <r>
      <rPr>
        <sz val="12"/>
        <rFont val="宋体"/>
        <family val="3"/>
        <charset val="134"/>
      </rPr>
      <t>注：当基本尺寸大于</t>
    </r>
    <r>
      <rPr>
        <sz val="12"/>
        <rFont val="Times New Roman"/>
        <family val="1"/>
      </rPr>
      <t>250</t>
    </r>
    <r>
      <rPr>
        <sz val="12"/>
        <rFont val="宋体"/>
        <family val="3"/>
        <charset val="134"/>
      </rPr>
      <t>至</t>
    </r>
    <r>
      <rPr>
        <sz val="12"/>
        <rFont val="Times New Roman"/>
        <family val="1"/>
      </rPr>
      <t>315mm</t>
    </r>
    <r>
      <rPr>
        <sz val="12"/>
        <rFont val="宋体"/>
        <family val="3"/>
        <charset val="134"/>
      </rPr>
      <t>时，</t>
    </r>
    <r>
      <rPr>
        <sz val="12"/>
        <rFont val="Times New Roman"/>
        <family val="1"/>
      </rPr>
      <t>M6</t>
    </r>
    <r>
      <rPr>
        <sz val="12"/>
        <rFont val="宋体"/>
        <family val="3"/>
        <charset val="134"/>
      </rPr>
      <t>的</t>
    </r>
    <r>
      <rPr>
        <sz val="12"/>
        <rFont val="Times New Roman"/>
        <family val="1"/>
      </rPr>
      <t>ES=-9</t>
    </r>
    <r>
      <rPr>
        <sz val="12"/>
        <rFont val="宋体"/>
        <family val="3"/>
        <charset val="134"/>
      </rPr>
      <t>（不等于</t>
    </r>
    <r>
      <rPr>
        <sz val="12"/>
        <rFont val="Times New Roman"/>
        <family val="1"/>
      </rPr>
      <t>-11</t>
    </r>
    <r>
      <rPr>
        <sz val="12"/>
        <rFont val="宋体"/>
        <family val="3"/>
        <charset val="134"/>
      </rPr>
      <t>）。基本尺寸小于</t>
    </r>
    <r>
      <rPr>
        <sz val="12"/>
        <rFont val="Times New Roman"/>
        <family val="1"/>
      </rPr>
      <t>1mm</t>
    </r>
    <r>
      <rPr>
        <sz val="12"/>
        <rFont val="宋体"/>
        <family val="3"/>
        <charset val="134"/>
      </rPr>
      <t>时，大于</t>
    </r>
    <r>
      <rPr>
        <sz val="12"/>
        <rFont val="Times New Roman"/>
        <family val="1"/>
      </rPr>
      <t>IT8</t>
    </r>
    <r>
      <rPr>
        <sz val="12"/>
        <rFont val="宋体"/>
        <family val="3"/>
        <charset val="134"/>
      </rPr>
      <t>的</t>
    </r>
    <r>
      <rPr>
        <sz val="12"/>
        <rFont val="Times New Roman"/>
        <family val="1"/>
      </rPr>
      <t>N</t>
    </r>
    <r>
      <rPr>
        <sz val="12"/>
        <rFont val="宋体"/>
        <family val="3"/>
        <charset val="134"/>
      </rPr>
      <t>不采用。</t>
    </r>
  </si>
  <si>
    <r>
      <rPr>
        <sz val="12"/>
        <rFont val="宋体"/>
        <family val="3"/>
        <charset val="134"/>
      </rPr>
      <t>公</t>
    </r>
    <r>
      <rPr>
        <sz val="12"/>
        <rFont val="Times New Roman"/>
        <family val="1"/>
      </rPr>
      <t xml:space="preserve">               </t>
    </r>
    <r>
      <rPr>
        <sz val="12"/>
        <rFont val="宋体"/>
        <family val="3"/>
        <charset val="134"/>
      </rPr>
      <t>差</t>
    </r>
    <r>
      <rPr>
        <sz val="12"/>
        <rFont val="Times New Roman"/>
        <family val="1"/>
      </rPr>
      <t xml:space="preserve">               </t>
    </r>
    <r>
      <rPr>
        <sz val="12"/>
        <rFont val="宋体"/>
        <family val="3"/>
        <charset val="134"/>
      </rPr>
      <t>等</t>
    </r>
    <r>
      <rPr>
        <sz val="12"/>
        <rFont val="Times New Roman"/>
        <family val="1"/>
      </rPr>
      <t xml:space="preserve">              级</t>
    </r>
  </si>
  <si>
    <t>IT01</t>
  </si>
  <si>
    <t>IT0</t>
  </si>
  <si>
    <t>IT1</t>
  </si>
  <si>
    <t>IT2</t>
  </si>
  <si>
    <t>IT3</t>
  </si>
  <si>
    <t>IT4</t>
  </si>
  <si>
    <t>IT5</t>
  </si>
  <si>
    <t>IT6</t>
  </si>
  <si>
    <t>IT7</t>
  </si>
  <si>
    <t>IT8</t>
  </si>
  <si>
    <t>IT9</t>
  </si>
  <si>
    <t>IT10</t>
  </si>
  <si>
    <t>IT11</t>
  </si>
  <si>
    <t>IT12</t>
  </si>
  <si>
    <t>IT13</t>
  </si>
  <si>
    <t>IT14</t>
  </si>
  <si>
    <t>IT15</t>
  </si>
  <si>
    <t>IT16</t>
  </si>
  <si>
    <t>IT17</t>
  </si>
  <si>
    <t>IT18</t>
  </si>
  <si>
    <r>
      <rPr>
        <sz val="12"/>
        <rFont val="Times New Roman"/>
        <family val="1"/>
      </rPr>
      <t>[</t>
    </r>
    <r>
      <rPr>
        <sz val="12"/>
        <rFont val="宋体"/>
        <family val="3"/>
        <charset val="134"/>
      </rPr>
      <t>μ</t>
    </r>
    <r>
      <rPr>
        <sz val="12"/>
        <rFont val="Times New Roman"/>
        <family val="1"/>
      </rPr>
      <t>m]</t>
    </r>
  </si>
  <si>
    <r>
      <rPr>
        <sz val="12"/>
        <rFont val="宋体"/>
        <family val="3"/>
        <charset val="134"/>
      </rPr>
      <t>注：基本尺寸小于</t>
    </r>
    <r>
      <rPr>
        <sz val="12"/>
        <rFont val="Times New Roman"/>
        <family val="1"/>
      </rPr>
      <t>1mm</t>
    </r>
    <r>
      <rPr>
        <sz val="12"/>
        <rFont val="宋体"/>
        <family val="3"/>
        <charset val="134"/>
      </rPr>
      <t>时，无</t>
    </r>
    <r>
      <rPr>
        <sz val="12"/>
        <rFont val="Times New Roman"/>
        <family val="1"/>
      </rPr>
      <t>IT14</t>
    </r>
    <r>
      <rPr>
        <sz val="12"/>
        <rFont val="宋体"/>
        <family val="3"/>
        <charset val="134"/>
      </rPr>
      <t>至</t>
    </r>
    <r>
      <rPr>
        <sz val="12"/>
        <rFont val="Times New Roman"/>
        <family val="1"/>
      </rPr>
      <t>IT18</t>
    </r>
    <r>
      <rPr>
        <sz val="12"/>
        <rFont val="宋体"/>
        <family val="3"/>
        <charset val="134"/>
      </rPr>
      <t>。</t>
    </r>
  </si>
  <si>
    <r>
      <rPr>
        <sz val="10"/>
        <rFont val="宋体"/>
        <family val="3"/>
        <charset val="134"/>
      </rPr>
      <t>未注公差尺寸的偏差</t>
    </r>
    <r>
      <rPr>
        <sz val="10"/>
        <rFont val="Times New Roman"/>
        <family val="1"/>
      </rPr>
      <t xml:space="preserve">                         </t>
    </r>
    <r>
      <rPr>
        <sz val="10"/>
        <rFont val="宋体"/>
        <family val="3"/>
        <charset val="134"/>
      </rPr>
      <t>GB/T1804-1992</t>
    </r>
  </si>
  <si>
    <t>线性尺寸的极限偏差</t>
  </si>
  <si>
    <t>倒圆半径与倒角高度尺寸的极限偏差数值</t>
  </si>
  <si>
    <r>
      <rPr>
        <sz val="10"/>
        <rFont val="宋体"/>
        <family val="3"/>
        <charset val="134"/>
      </rPr>
      <t>尺</t>
    </r>
    <r>
      <rPr>
        <sz val="10"/>
        <rFont val="Times New Roman"/>
        <family val="1"/>
      </rPr>
      <t xml:space="preserve">          </t>
    </r>
    <r>
      <rPr>
        <sz val="10"/>
        <rFont val="宋体"/>
        <family val="3"/>
        <charset val="134"/>
      </rPr>
      <t>寸</t>
    </r>
    <r>
      <rPr>
        <sz val="10"/>
        <rFont val="Times New Roman"/>
        <family val="1"/>
      </rPr>
      <t xml:space="preserve">          </t>
    </r>
    <r>
      <rPr>
        <sz val="10"/>
        <rFont val="宋体"/>
        <family val="3"/>
        <charset val="134"/>
      </rPr>
      <t>分</t>
    </r>
    <r>
      <rPr>
        <sz val="10"/>
        <rFont val="Times New Roman"/>
        <family val="1"/>
      </rPr>
      <t xml:space="preserve">          </t>
    </r>
    <r>
      <rPr>
        <sz val="10"/>
        <rFont val="宋体"/>
        <family val="3"/>
        <charset val="134"/>
      </rPr>
      <t>段</t>
    </r>
  </si>
  <si>
    <t>0.5～3</t>
  </si>
  <si>
    <t>&gt;3～6</t>
  </si>
  <si>
    <t>&gt;6～30</t>
  </si>
  <si>
    <t>&gt;30～120</t>
  </si>
  <si>
    <t>&gt;120～400</t>
  </si>
  <si>
    <t>&gt;400～1000</t>
  </si>
  <si>
    <t>&gt;1000～2000</t>
  </si>
  <si>
    <t>&gt;2000～4000</t>
  </si>
  <si>
    <t>&gt;30</t>
  </si>
  <si>
    <t>±0.05</t>
  </si>
  <si>
    <t>±0.1</t>
  </si>
  <si>
    <t>±0.15</t>
  </si>
  <si>
    <t>±0.2</t>
  </si>
  <si>
    <t>±0.3</t>
  </si>
  <si>
    <t>±0.5</t>
  </si>
  <si>
    <t>－</t>
  </si>
  <si>
    <t>±1</t>
  </si>
  <si>
    <t>±2</t>
  </si>
  <si>
    <t>±0.8</t>
  </si>
  <si>
    <t>±1.2</t>
  </si>
  <si>
    <t>±3</t>
  </si>
  <si>
    <t>±4</t>
  </si>
  <si>
    <t>±0.4</t>
  </si>
  <si>
    <t>±1.5</t>
  </si>
  <si>
    <t>±2.5</t>
  </si>
  <si>
    <t>±6</t>
  </si>
  <si>
    <t>±8</t>
  </si>
  <si>
    <r>
      <rPr>
        <sz val="12"/>
        <rFont val="宋体"/>
        <family val="3"/>
        <charset val="134"/>
      </rPr>
      <t>量</t>
    </r>
    <r>
      <rPr>
        <sz val="12"/>
        <rFont val="Times New Roman"/>
        <family val="1"/>
      </rPr>
      <t xml:space="preserve">          </t>
    </r>
    <r>
      <rPr>
        <sz val="12"/>
        <rFont val="宋体"/>
        <family val="3"/>
        <charset val="134"/>
      </rPr>
      <t>规</t>
    </r>
    <r>
      <rPr>
        <sz val="12"/>
        <rFont val="Times New Roman"/>
        <family val="1"/>
      </rPr>
      <t xml:space="preserve">          </t>
    </r>
    <r>
      <rPr>
        <sz val="12"/>
        <rFont val="宋体"/>
        <family val="3"/>
        <charset val="134"/>
      </rPr>
      <t>的</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</si>
  <si>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算</t>
    </r>
    <r>
      <rPr>
        <sz val="12"/>
        <rFont val="Times New Roman"/>
        <family val="1"/>
      </rPr>
      <t>T</t>
    </r>
  </si>
  <si>
    <r>
      <rPr>
        <sz val="12"/>
        <rFont val="宋体"/>
        <family val="3"/>
        <charset val="134"/>
      </rPr>
      <t>规</t>
    </r>
    <r>
      <rPr>
        <sz val="12"/>
        <rFont val="Times New Roman"/>
        <family val="1"/>
      </rPr>
      <t>T</t>
    </r>
  </si>
  <si>
    <r>
      <rPr>
        <sz val="12"/>
        <rFont val="宋体"/>
        <family val="3"/>
        <charset val="134"/>
      </rPr>
      <t>算</t>
    </r>
    <r>
      <rPr>
        <sz val="12"/>
        <rFont val="Times New Roman"/>
        <family val="1"/>
      </rPr>
      <t>Z</t>
    </r>
  </si>
  <si>
    <r>
      <rPr>
        <sz val="12"/>
        <rFont val="宋体"/>
        <family val="3"/>
        <charset val="134"/>
      </rPr>
      <t>规</t>
    </r>
    <r>
      <rPr>
        <sz val="12"/>
        <rFont val="Times New Roman"/>
        <family val="1"/>
      </rPr>
      <t>Z</t>
    </r>
  </si>
  <si>
    <r>
      <rPr>
        <sz val="12"/>
        <rFont val="Times New Roman"/>
        <family val="1"/>
      </rPr>
      <t>T</t>
    </r>
    <r>
      <rPr>
        <sz val="12"/>
        <rFont val="宋体"/>
        <family val="3"/>
        <charset val="134"/>
      </rPr>
      <t>基</t>
    </r>
  </si>
  <si>
    <t>設備開發    
 設計寶典</t>
  </si>
  <si>
    <t>設計篇之一般設計標准</t>
  </si>
  <si>
    <t>FOXCONN®</t>
  </si>
  <si>
    <r>
      <rPr>
        <sz val="10"/>
        <rFont val="新細明體"/>
        <charset val="134"/>
      </rPr>
      <t>共</t>
    </r>
    <r>
      <rPr>
        <sz val="10"/>
        <rFont val="Times New Roman"/>
        <family val="1"/>
      </rPr>
      <t>1</t>
    </r>
    <r>
      <rPr>
        <sz val="10"/>
        <rFont val="新細明體"/>
        <charset val="134"/>
      </rPr>
      <t>頁</t>
    </r>
  </si>
  <si>
    <r>
      <rPr>
        <sz val="10"/>
        <rFont val="新細明體"/>
        <charset val="134"/>
      </rPr>
      <t>第</t>
    </r>
    <r>
      <rPr>
        <sz val="10"/>
        <rFont val="Times New Roman"/>
        <family val="1"/>
      </rPr>
      <t>1</t>
    </r>
    <r>
      <rPr>
        <sz val="10"/>
        <rFont val="新細明體"/>
        <charset val="134"/>
      </rPr>
      <t>頁</t>
    </r>
  </si>
  <si>
    <r>
      <rPr>
        <sz val="10"/>
        <rFont val="Times New Roman"/>
        <family val="1"/>
      </rPr>
      <t>1.2.9</t>
    </r>
    <r>
      <rPr>
        <sz val="10"/>
        <rFont val="新細明體"/>
        <charset val="134"/>
      </rPr>
      <t>沉孔尺寸</t>
    </r>
  </si>
  <si>
    <t>普通機床沉孔尺寸</t>
  </si>
  <si>
    <t>公制螺紋的公稱直徑</t>
  </si>
  <si>
    <t>通道的鑽孔直徑</t>
  </si>
  <si>
    <t>用于
螺栓
和帶
有彈
簧墊
圈的
六角
頭螺
栓</t>
  </si>
  <si>
    <t>用于螺母和帶有彈簧墊圈的螺母</t>
  </si>
  <si>
    <t>用于
墊圈</t>
  </si>
  <si>
    <r>
      <rPr>
        <sz val="10"/>
        <rFont val="Times New Roman"/>
        <family val="1"/>
      </rPr>
      <t>4</t>
    </r>
    <r>
      <rPr>
        <vertAlign val="superscript"/>
        <sz val="10"/>
        <rFont val="Times New Roman"/>
        <family val="1"/>
      </rPr>
      <t>+0.4</t>
    </r>
  </si>
  <si>
    <r>
      <rPr>
        <sz val="10"/>
        <rFont val="Times New Roman"/>
        <family val="1"/>
      </rPr>
      <t>5</t>
    </r>
    <r>
      <rPr>
        <vertAlign val="superscript"/>
        <sz val="10"/>
        <rFont val="Times New Roman"/>
        <family val="1"/>
      </rPr>
      <t>+0.4</t>
    </r>
  </si>
  <si>
    <r>
      <rPr>
        <sz val="10"/>
        <rFont val="Times New Roman"/>
        <family val="1"/>
      </rPr>
      <t>6</t>
    </r>
    <r>
      <rPr>
        <vertAlign val="superscript"/>
        <sz val="10"/>
        <rFont val="Times New Roman"/>
        <family val="1"/>
      </rPr>
      <t>+0.4</t>
    </r>
  </si>
  <si>
    <r>
      <rPr>
        <sz val="10"/>
        <rFont val="Times New Roman"/>
        <family val="1"/>
      </rPr>
      <t>8</t>
    </r>
    <r>
      <rPr>
        <vertAlign val="superscript"/>
        <sz val="10"/>
        <rFont val="Times New Roman"/>
        <family val="1"/>
      </rPr>
      <t>+0.5</t>
    </r>
  </si>
  <si>
    <r>
      <rPr>
        <sz val="10"/>
        <rFont val="Times New Roman"/>
        <family val="1"/>
      </rPr>
      <t>10</t>
    </r>
    <r>
      <rPr>
        <vertAlign val="superscript"/>
        <sz val="10"/>
        <rFont val="Times New Roman"/>
        <family val="1"/>
      </rPr>
      <t>+0.5</t>
    </r>
  </si>
  <si>
    <r>
      <rPr>
        <sz val="10"/>
        <rFont val="Times New Roman"/>
        <family val="1"/>
      </rPr>
      <t>12</t>
    </r>
    <r>
      <rPr>
        <vertAlign val="superscript"/>
        <sz val="10"/>
        <rFont val="Times New Roman"/>
        <family val="1"/>
      </rPr>
      <t>+0.6</t>
    </r>
  </si>
  <si>
    <r>
      <rPr>
        <sz val="10"/>
        <rFont val="Times New Roman"/>
        <family val="1"/>
      </rPr>
      <t>16</t>
    </r>
    <r>
      <rPr>
        <vertAlign val="superscript"/>
        <sz val="10"/>
        <rFont val="Times New Roman"/>
        <family val="1"/>
      </rPr>
      <t>+0.6</t>
    </r>
  </si>
  <si>
    <r>
      <rPr>
        <sz val="10"/>
        <rFont val="Times New Roman"/>
        <family val="1"/>
      </rPr>
      <t>20</t>
    </r>
    <r>
      <rPr>
        <vertAlign val="superscript"/>
        <sz val="10"/>
        <rFont val="Times New Roman"/>
        <family val="1"/>
      </rPr>
      <t>+0.7</t>
    </r>
  </si>
  <si>
    <r>
      <rPr>
        <sz val="10"/>
        <rFont val="Times New Roman"/>
        <family val="1"/>
      </rPr>
      <t>24</t>
    </r>
    <r>
      <rPr>
        <vertAlign val="superscript"/>
        <sz val="10"/>
        <rFont val="Times New Roman"/>
        <family val="1"/>
      </rPr>
      <t>+0.7</t>
    </r>
  </si>
  <si>
    <r>
      <rPr>
        <sz val="10"/>
        <rFont val="Times New Roman"/>
        <family val="1"/>
      </rPr>
      <t>30</t>
    </r>
    <r>
      <rPr>
        <vertAlign val="superscript"/>
        <sz val="10"/>
        <rFont val="Times New Roman"/>
        <family val="1"/>
      </rPr>
      <t>+0.7</t>
    </r>
  </si>
  <si>
    <r>
      <rPr>
        <sz val="10"/>
        <rFont val="Times New Roman"/>
        <family val="1"/>
      </rPr>
      <t>36</t>
    </r>
    <r>
      <rPr>
        <vertAlign val="superscript"/>
        <sz val="10"/>
        <rFont val="Times New Roman"/>
        <family val="1"/>
      </rPr>
      <t>+0.8</t>
    </r>
  </si>
  <si>
    <r>
      <rPr>
        <sz val="10"/>
        <rFont val="Times New Roman"/>
        <family val="1"/>
      </rPr>
      <t>42</t>
    </r>
    <r>
      <rPr>
        <vertAlign val="superscript"/>
        <sz val="10"/>
        <rFont val="Times New Roman"/>
        <family val="1"/>
      </rPr>
      <t>+0.8</t>
    </r>
  </si>
  <si>
    <r>
      <rPr>
        <sz val="10"/>
        <rFont val="Times New Roman"/>
        <family val="1"/>
      </rPr>
      <t>4.5</t>
    </r>
    <r>
      <rPr>
        <vertAlign val="superscript"/>
        <sz val="10"/>
        <rFont val="Times New Roman"/>
        <family val="1"/>
      </rPr>
      <t>+0.4</t>
    </r>
  </si>
  <si>
    <r>
      <rPr>
        <sz val="10"/>
        <rFont val="Times New Roman"/>
        <family val="1"/>
      </rPr>
      <t>7</t>
    </r>
    <r>
      <rPr>
        <vertAlign val="superscript"/>
        <sz val="10"/>
        <rFont val="Times New Roman"/>
        <family val="1"/>
      </rPr>
      <t>+0.4</t>
    </r>
  </si>
  <si>
    <r>
      <rPr>
        <sz val="10"/>
        <rFont val="Times New Roman"/>
        <family val="1"/>
      </rPr>
      <t>9</t>
    </r>
    <r>
      <rPr>
        <vertAlign val="superscript"/>
        <sz val="10"/>
        <rFont val="Times New Roman"/>
        <family val="1"/>
      </rPr>
      <t>+0.5</t>
    </r>
  </si>
  <si>
    <r>
      <rPr>
        <sz val="10"/>
        <rFont val="Times New Roman"/>
        <family val="1"/>
      </rPr>
      <t>11</t>
    </r>
    <r>
      <rPr>
        <vertAlign val="superscript"/>
        <sz val="10"/>
        <rFont val="Times New Roman"/>
        <family val="1"/>
      </rPr>
      <t>+0.5</t>
    </r>
  </si>
  <si>
    <r>
      <rPr>
        <sz val="10"/>
        <rFont val="Times New Roman"/>
        <family val="1"/>
      </rPr>
      <t>13</t>
    </r>
    <r>
      <rPr>
        <vertAlign val="superscript"/>
        <sz val="10"/>
        <rFont val="Times New Roman"/>
        <family val="1"/>
      </rPr>
      <t>+0.6</t>
    </r>
  </si>
  <si>
    <r>
      <rPr>
        <sz val="10"/>
        <rFont val="Times New Roman"/>
        <family val="1"/>
      </rPr>
      <t>17</t>
    </r>
    <r>
      <rPr>
        <vertAlign val="superscript"/>
        <sz val="10"/>
        <rFont val="Times New Roman"/>
        <family val="1"/>
      </rPr>
      <t>+0.6</t>
    </r>
  </si>
  <si>
    <r>
      <rPr>
        <sz val="10"/>
        <rFont val="Times New Roman"/>
        <family val="1"/>
      </rPr>
      <t>21</t>
    </r>
    <r>
      <rPr>
        <vertAlign val="superscript"/>
        <sz val="10"/>
        <rFont val="Times New Roman"/>
        <family val="1"/>
      </rPr>
      <t>+0.7</t>
    </r>
  </si>
  <si>
    <r>
      <rPr>
        <sz val="10"/>
        <rFont val="Times New Roman"/>
        <family val="1"/>
      </rPr>
      <t>25</t>
    </r>
    <r>
      <rPr>
        <vertAlign val="superscript"/>
        <sz val="10"/>
        <rFont val="Times New Roman"/>
        <family val="1"/>
      </rPr>
      <t>+0.7</t>
    </r>
  </si>
  <si>
    <r>
      <rPr>
        <sz val="10"/>
        <rFont val="Times New Roman"/>
        <family val="1"/>
      </rPr>
      <t>31</t>
    </r>
    <r>
      <rPr>
        <vertAlign val="superscript"/>
        <sz val="10"/>
        <rFont val="Times New Roman"/>
        <family val="1"/>
      </rPr>
      <t>+0.7</t>
    </r>
  </si>
  <si>
    <r>
      <rPr>
        <sz val="10"/>
        <rFont val="Times New Roman"/>
        <family val="1"/>
      </rPr>
      <t>37</t>
    </r>
    <r>
      <rPr>
        <vertAlign val="superscript"/>
        <sz val="10"/>
        <rFont val="Times New Roman"/>
        <family val="1"/>
      </rPr>
      <t>+0.8</t>
    </r>
  </si>
  <si>
    <r>
      <rPr>
        <sz val="10"/>
        <rFont val="Times New Roman"/>
        <family val="1"/>
      </rPr>
      <t>43</t>
    </r>
    <r>
      <rPr>
        <vertAlign val="superscript"/>
        <sz val="10"/>
        <rFont val="Times New Roman"/>
        <family val="1"/>
      </rPr>
      <t>+0.8</t>
    </r>
  </si>
  <si>
    <t>用于
螺釘</t>
  </si>
  <si>
    <r>
      <rPr>
        <sz val="10"/>
        <rFont val="Times New Roman"/>
        <family val="1"/>
      </rPr>
      <t>0.8</t>
    </r>
    <r>
      <rPr>
        <vertAlign val="superscript"/>
        <sz val="10"/>
        <rFont val="Times New Roman"/>
        <family val="1"/>
      </rPr>
      <t>+0.2</t>
    </r>
  </si>
  <si>
    <r>
      <rPr>
        <sz val="10"/>
        <rFont val="Times New Roman"/>
        <family val="1"/>
      </rPr>
      <t>1.2</t>
    </r>
    <r>
      <rPr>
        <vertAlign val="superscript"/>
        <sz val="10"/>
        <rFont val="Times New Roman"/>
        <family val="1"/>
      </rPr>
      <t>+0.2</t>
    </r>
  </si>
  <si>
    <r>
      <rPr>
        <sz val="10"/>
        <rFont val="Times New Roman"/>
        <family val="1"/>
      </rPr>
      <t>1.4</t>
    </r>
    <r>
      <rPr>
        <vertAlign val="superscript"/>
        <sz val="10"/>
        <rFont val="Times New Roman"/>
        <family val="1"/>
      </rPr>
      <t>+0.2</t>
    </r>
  </si>
  <si>
    <r>
      <rPr>
        <sz val="10"/>
        <rFont val="Times New Roman"/>
        <family val="1"/>
      </rPr>
      <t>1.7</t>
    </r>
    <r>
      <rPr>
        <vertAlign val="superscript"/>
        <sz val="10"/>
        <rFont val="Times New Roman"/>
        <family val="1"/>
      </rPr>
      <t>+0.2</t>
    </r>
  </si>
  <si>
    <r>
      <rPr>
        <sz val="10"/>
        <rFont val="Times New Roman"/>
        <family val="1"/>
      </rPr>
      <t>2</t>
    </r>
    <r>
      <rPr>
        <vertAlign val="superscript"/>
        <sz val="10"/>
        <rFont val="Times New Roman"/>
        <family val="1"/>
      </rPr>
      <t>+0.3</t>
    </r>
  </si>
  <si>
    <t>2.5+0.3</t>
  </si>
  <si>
    <r>
      <rPr>
        <sz val="10"/>
        <rFont val="Times New Roman"/>
        <family val="1"/>
      </rPr>
      <t>3</t>
    </r>
    <r>
      <rPr>
        <vertAlign val="superscript"/>
        <sz val="10"/>
        <rFont val="Times New Roman"/>
        <family val="1"/>
      </rPr>
      <t>+0.3</t>
    </r>
  </si>
  <si>
    <r>
      <rPr>
        <sz val="10"/>
        <rFont val="Times New Roman"/>
        <family val="1"/>
      </rPr>
      <t>3.5</t>
    </r>
    <r>
      <rPr>
        <vertAlign val="superscript"/>
        <sz val="10"/>
        <rFont val="Times New Roman"/>
        <family val="1"/>
      </rPr>
      <t>+0.4</t>
    </r>
  </si>
  <si>
    <r>
      <rPr>
        <sz val="10"/>
        <rFont val="Times New Roman"/>
        <family val="1"/>
      </rPr>
      <t>7</t>
    </r>
    <r>
      <rPr>
        <vertAlign val="superscript"/>
        <sz val="10"/>
        <rFont val="Times New Roman"/>
        <family val="1"/>
      </rPr>
      <t>+0.5</t>
    </r>
  </si>
  <si>
    <r>
      <rPr>
        <sz val="10"/>
        <rFont val="Times New Roman"/>
        <family val="1"/>
      </rPr>
      <t>11</t>
    </r>
    <r>
      <rPr>
        <vertAlign val="superscript"/>
        <sz val="10"/>
        <rFont val="Times New Roman"/>
        <family val="1"/>
      </rPr>
      <t>+0.6</t>
    </r>
  </si>
  <si>
    <r>
      <rPr>
        <sz val="10"/>
        <rFont val="Times New Roman"/>
        <family val="1"/>
      </rPr>
      <t>H</t>
    </r>
    <r>
      <rPr>
        <vertAlign val="subscript"/>
        <sz val="10"/>
        <rFont val="Times New Roman"/>
        <family val="1"/>
      </rPr>
      <t>1</t>
    </r>
  </si>
  <si>
    <r>
      <rPr>
        <sz val="10"/>
        <rFont val="Times New Roman"/>
        <family val="1"/>
      </rPr>
      <t>1</t>
    </r>
    <r>
      <rPr>
        <vertAlign val="superscript"/>
        <sz val="10"/>
        <rFont val="Times New Roman"/>
        <family val="1"/>
      </rPr>
      <t>+0.2</t>
    </r>
  </si>
  <si>
    <r>
      <rPr>
        <sz val="10"/>
        <rFont val="Times New Roman"/>
        <family val="1"/>
      </rPr>
      <t>1.5</t>
    </r>
    <r>
      <rPr>
        <vertAlign val="superscript"/>
        <sz val="10"/>
        <rFont val="Times New Roman"/>
        <family val="1"/>
      </rPr>
      <t>+0.2</t>
    </r>
  </si>
  <si>
    <r>
      <rPr>
        <sz val="10"/>
        <rFont val="Times New Roman"/>
        <family val="1"/>
      </rPr>
      <t>2</t>
    </r>
    <r>
      <rPr>
        <vertAlign val="superscript"/>
        <sz val="10"/>
        <rFont val="Times New Roman"/>
        <family val="1"/>
      </rPr>
      <t>+0.2</t>
    </r>
  </si>
  <si>
    <r>
      <rPr>
        <sz val="10"/>
        <rFont val="Times New Roman"/>
        <family val="1"/>
      </rPr>
      <t>2.5</t>
    </r>
    <r>
      <rPr>
        <vertAlign val="superscript"/>
        <sz val="10"/>
        <rFont val="Times New Roman"/>
        <family val="1"/>
      </rPr>
      <t>+0.2</t>
    </r>
  </si>
  <si>
    <r>
      <rPr>
        <sz val="10"/>
        <rFont val="Times New Roman"/>
        <family val="1"/>
      </rPr>
      <t>3.5</t>
    </r>
    <r>
      <rPr>
        <vertAlign val="superscript"/>
        <sz val="10"/>
        <rFont val="Times New Roman"/>
        <family val="1"/>
      </rPr>
      <t>+0.3</t>
    </r>
  </si>
  <si>
    <t>6+0.4</t>
  </si>
  <si>
    <r>
      <rPr>
        <sz val="10"/>
        <rFont val="Times New Roman"/>
        <family val="1"/>
      </rPr>
      <t>0.7</t>
    </r>
    <r>
      <rPr>
        <vertAlign val="superscript"/>
        <sz val="10"/>
        <rFont val="Times New Roman"/>
        <family val="1"/>
      </rPr>
      <t>+0.3</t>
    </r>
  </si>
  <si>
    <r>
      <rPr>
        <sz val="10"/>
        <rFont val="Times New Roman"/>
        <family val="1"/>
      </rPr>
      <t>1</t>
    </r>
    <r>
      <rPr>
        <vertAlign val="superscript"/>
        <sz val="10"/>
        <rFont val="Times New Roman"/>
        <family val="1"/>
      </rPr>
      <t>+0.4</t>
    </r>
  </si>
  <si>
    <r>
      <rPr>
        <sz val="10"/>
        <rFont val="Times New Roman"/>
        <family val="1"/>
      </rPr>
      <t>1.2</t>
    </r>
    <r>
      <rPr>
        <vertAlign val="superscript"/>
        <sz val="10"/>
        <rFont val="Times New Roman"/>
        <family val="1"/>
      </rPr>
      <t>+0.4</t>
    </r>
  </si>
  <si>
    <r>
      <rPr>
        <sz val="10"/>
        <rFont val="Times New Roman"/>
        <family val="1"/>
      </rPr>
      <t>1.4</t>
    </r>
    <r>
      <rPr>
        <vertAlign val="superscript"/>
        <sz val="10"/>
        <rFont val="Times New Roman"/>
        <family val="1"/>
      </rPr>
      <t>+0.4</t>
    </r>
  </si>
  <si>
    <r>
      <rPr>
        <sz val="10"/>
        <rFont val="Times New Roman"/>
        <family val="1"/>
      </rPr>
      <t>1.6</t>
    </r>
    <r>
      <rPr>
        <vertAlign val="superscript"/>
        <sz val="10"/>
        <rFont val="Times New Roman"/>
        <family val="1"/>
      </rPr>
      <t>+0.4</t>
    </r>
  </si>
  <si>
    <r>
      <rPr>
        <sz val="10"/>
        <rFont val="Times New Roman"/>
        <family val="1"/>
      </rPr>
      <t>2</t>
    </r>
    <r>
      <rPr>
        <vertAlign val="superscript"/>
        <sz val="10"/>
        <rFont val="Times New Roman"/>
        <family val="1"/>
      </rPr>
      <t>+0.4</t>
    </r>
  </si>
  <si>
    <r>
      <rPr>
        <sz val="10"/>
        <rFont val="Times New Roman"/>
        <family val="1"/>
      </rPr>
      <t>2.5</t>
    </r>
    <r>
      <rPr>
        <vertAlign val="superscript"/>
        <sz val="10"/>
        <rFont val="Times New Roman"/>
        <family val="1"/>
      </rPr>
      <t>+0.4</t>
    </r>
  </si>
  <si>
    <r>
      <rPr>
        <sz val="10"/>
        <rFont val="Times New Roman"/>
        <family val="1"/>
      </rPr>
      <t>3</t>
    </r>
    <r>
      <rPr>
        <vertAlign val="superscript"/>
        <sz val="10"/>
        <rFont val="Times New Roman"/>
        <family val="1"/>
      </rPr>
      <t>+0.4</t>
    </r>
  </si>
  <si>
    <r>
      <rPr>
        <sz val="10"/>
        <rFont val="Times New Roman"/>
        <family val="1"/>
      </rPr>
      <t>4.8</t>
    </r>
    <r>
      <rPr>
        <vertAlign val="superscript"/>
        <sz val="10"/>
        <rFont val="Times New Roman"/>
        <family val="1"/>
      </rPr>
      <t>+0.5</t>
    </r>
  </si>
  <si>
    <r>
      <rPr>
        <sz val="10"/>
        <rFont val="Times New Roman"/>
        <family val="1"/>
      </rPr>
      <t>5.6</t>
    </r>
    <r>
      <rPr>
        <vertAlign val="superscript"/>
        <sz val="10"/>
        <rFont val="Times New Roman"/>
        <family val="1"/>
      </rPr>
      <t>+0.6</t>
    </r>
  </si>
  <si>
    <r>
      <rPr>
        <sz val="10"/>
        <rFont val="Times New Roman"/>
        <family val="1"/>
      </rPr>
      <t>7</t>
    </r>
    <r>
      <rPr>
        <vertAlign val="superscript"/>
        <sz val="10"/>
        <rFont val="Times New Roman"/>
        <family val="1"/>
      </rPr>
      <t>+0.6</t>
    </r>
  </si>
  <si>
    <r>
      <rPr>
        <sz val="10"/>
        <rFont val="Times New Roman"/>
        <family val="1"/>
      </rPr>
      <t>9</t>
    </r>
    <r>
      <rPr>
        <vertAlign val="superscript"/>
        <sz val="10"/>
        <rFont val="Times New Roman"/>
        <family val="1"/>
      </rPr>
      <t>+0.6</t>
    </r>
  </si>
  <si>
    <r>
      <rPr>
        <sz val="12"/>
        <rFont val="標楷體"/>
        <charset val="134"/>
      </rPr>
      <t>根</t>
    </r>
    <r>
      <rPr>
        <sz val="12"/>
        <rFont val="Times New Roman"/>
        <family val="1"/>
      </rPr>
      <t xml:space="preserve">                                 </t>
    </r>
    <r>
      <rPr>
        <sz val="12"/>
        <rFont val="標楷體"/>
        <charset val="134"/>
      </rPr>
      <t>據</t>
    </r>
  </si>
  <si>
    <r>
      <rPr>
        <sz val="12"/>
        <rFont val="標楷體"/>
        <charset val="134"/>
      </rPr>
      <t>編</t>
    </r>
    <r>
      <rPr>
        <sz val="12"/>
        <rFont val="Times New Roman"/>
        <family val="1"/>
      </rPr>
      <t xml:space="preserve">     </t>
    </r>
    <r>
      <rPr>
        <sz val="12"/>
        <rFont val="標楷體"/>
        <charset val="134"/>
      </rPr>
      <t>制</t>
    </r>
  </si>
  <si>
    <t>實施日期</t>
  </si>
  <si>
    <r>
      <rPr>
        <sz val="12"/>
        <rFont val="標楷體"/>
        <charset val="134"/>
      </rPr>
      <t>核</t>
    </r>
    <r>
      <rPr>
        <sz val="12"/>
        <rFont val="Times New Roman"/>
        <family val="1"/>
      </rPr>
      <t xml:space="preserve">                           </t>
    </r>
    <r>
      <rPr>
        <sz val="12"/>
        <rFont val="標楷體"/>
        <charset val="134"/>
      </rPr>
      <t>準</t>
    </r>
  </si>
  <si>
    <t>(GB152-59</t>
  </si>
  <si>
    <t>版次</t>
  </si>
  <si>
    <t>日期</t>
  </si>
  <si>
    <t>MSBG設備開發    
 設計實用手冊</t>
  </si>
  <si>
    <t>緊固螺釘的旋入深度及螺孔底孔深度</t>
  </si>
  <si>
    <r>
      <rPr>
        <sz val="10"/>
        <rFont val="Times New Roman"/>
        <family val="1"/>
      </rPr>
      <t>1.2.12</t>
    </r>
    <r>
      <rPr>
        <sz val="10"/>
        <rFont val="細明體"/>
        <charset val="134"/>
      </rPr>
      <t>緊固螺釘的旋入深度及螺孔底孔深度</t>
    </r>
  </si>
  <si>
    <r>
      <rPr>
        <sz val="10"/>
        <rFont val="新細明體"/>
        <charset val="134"/>
      </rPr>
      <t>粗牙螺紋公稱直徑</t>
    </r>
    <r>
      <rPr>
        <sz val="10"/>
        <rFont val="Times New Roman"/>
        <family val="1"/>
      </rPr>
      <t>d</t>
    </r>
  </si>
  <si>
    <r>
      <rPr>
        <sz val="10"/>
        <rFont val="新細明體"/>
        <charset val="134"/>
      </rPr>
      <t xml:space="preserve">螺距
</t>
    </r>
    <r>
      <rPr>
        <sz val="10"/>
        <rFont val="Times New Roman"/>
        <family val="1"/>
      </rPr>
      <t>S</t>
    </r>
  </si>
  <si>
    <t>用于青銅</t>
  </si>
  <si>
    <t>用于鑄鐵</t>
  </si>
  <si>
    <t>用于鋁</t>
  </si>
  <si>
    <t>M48</t>
  </si>
  <si>
    <r>
      <rPr>
        <sz val="10"/>
        <rFont val="Times New Roman"/>
        <family val="1"/>
      </rPr>
      <t xml:space="preserve">1.      </t>
    </r>
    <r>
      <rPr>
        <sz val="10"/>
        <rFont val="新細明體"/>
        <charset val="134"/>
      </rPr>
      <t>為緊固螺釘旋入深度，</t>
    </r>
    <r>
      <rPr>
        <sz val="10"/>
        <rFont val="Times New Roman"/>
        <family val="1"/>
      </rPr>
      <t xml:space="preserve">    </t>
    </r>
    <r>
      <rPr>
        <sz val="10"/>
        <rFont val="新細明體"/>
        <charset val="134"/>
      </rPr>
      <t xml:space="preserve">為螺孔的有效深度（圖樣上注出的螺紋深度）。
</t>
    </r>
    <r>
      <rPr>
        <sz val="10"/>
        <rFont val="Times New Roman"/>
        <family val="1"/>
      </rPr>
      <t>2.</t>
    </r>
    <r>
      <rPr>
        <sz val="10"/>
        <rFont val="新細明體"/>
        <charset val="134"/>
      </rPr>
      <t>鑽孔深度</t>
    </r>
    <r>
      <rPr>
        <sz val="10"/>
        <rFont val="Times New Roman"/>
        <family val="1"/>
      </rPr>
      <t xml:space="preserve">     </t>
    </r>
    <r>
      <rPr>
        <sz val="10"/>
        <rFont val="新細明體"/>
        <charset val="134"/>
      </rPr>
      <t xml:space="preserve">由工藝規定，螺孔不允許穿透時應在圖樣上注出“不許穿透”的字樣。
</t>
    </r>
    <r>
      <rPr>
        <sz val="10"/>
        <rFont val="Times New Roman"/>
        <family val="1"/>
      </rPr>
      <t>3.</t>
    </r>
    <r>
      <rPr>
        <sz val="10"/>
        <rFont val="新細明體"/>
        <charset val="134"/>
      </rPr>
      <t>細牙普通螺紋應按其螺距選用。</t>
    </r>
  </si>
  <si>
    <t>(GB3-58)</t>
  </si>
  <si>
    <t>扳手空間尺寸</t>
  </si>
  <si>
    <r>
      <rPr>
        <sz val="10"/>
        <rFont val="Times New Roman"/>
        <family val="1"/>
      </rPr>
      <t>1.2.11</t>
    </r>
    <r>
      <rPr>
        <sz val="10"/>
        <rFont val="細明體"/>
        <charset val="134"/>
      </rPr>
      <t>扳手空間尺寸</t>
    </r>
  </si>
  <si>
    <t>六角螺母</t>
  </si>
  <si>
    <t>六角螺栓</t>
  </si>
  <si>
    <t>扳手尺寸</t>
  </si>
  <si>
    <r>
      <rPr>
        <sz val="10"/>
        <rFont val="新細明體"/>
        <charset val="134"/>
      </rPr>
      <t>螺紋直徑</t>
    </r>
    <r>
      <rPr>
        <sz val="12"/>
        <rFont val="Times New Roman"/>
        <family val="1"/>
      </rPr>
      <t>d</t>
    </r>
  </si>
  <si>
    <t>最大</t>
  </si>
  <si>
    <t>最小</t>
  </si>
  <si>
    <t>(GC116-60)</t>
  </si>
  <si>
    <t>T形槽尺寸</t>
  </si>
  <si>
    <r>
      <rPr>
        <sz val="10"/>
        <rFont val="新細明體"/>
        <charset val="134"/>
      </rPr>
      <t>共</t>
    </r>
    <r>
      <rPr>
        <sz val="10"/>
        <rFont val="Times New Roman"/>
        <family val="1"/>
      </rPr>
      <t>3</t>
    </r>
    <r>
      <rPr>
        <sz val="10"/>
        <rFont val="新細明體"/>
        <charset val="134"/>
      </rPr>
      <t>頁</t>
    </r>
  </si>
  <si>
    <r>
      <rPr>
        <sz val="10"/>
        <rFont val="Times New Roman"/>
        <family val="1"/>
      </rPr>
      <t>1.2.10  T</t>
    </r>
    <r>
      <rPr>
        <sz val="10"/>
        <rFont val="新細明體"/>
        <charset val="134"/>
      </rPr>
      <t>形槽尺寸</t>
    </r>
  </si>
  <si>
    <r>
      <rPr>
        <sz val="10"/>
        <rFont val="細明體"/>
        <charset val="134"/>
      </rPr>
      <t>表</t>
    </r>
    <r>
      <rPr>
        <sz val="10"/>
        <rFont val="Times New Roman"/>
        <family val="1"/>
      </rPr>
      <t>1   T</t>
    </r>
    <r>
      <rPr>
        <sz val="10"/>
        <rFont val="細明體"/>
        <charset val="134"/>
      </rPr>
      <t>形槽</t>
    </r>
    <r>
      <rPr>
        <sz val="10"/>
        <rFont val="Times New Roman"/>
        <family val="1"/>
      </rPr>
      <t xml:space="preserve">      (mm)</t>
    </r>
  </si>
  <si>
    <r>
      <rPr>
        <sz val="10"/>
        <rFont val="Times New Roman"/>
        <family val="1"/>
      </rPr>
      <t>E,F</t>
    </r>
    <r>
      <rPr>
        <sz val="10"/>
        <rFont val="新細明體"/>
        <charset val="134"/>
      </rPr>
      <t>和</t>
    </r>
    <r>
      <rPr>
        <sz val="10"/>
        <rFont val="Times New Roman"/>
        <family val="1"/>
      </rPr>
      <t>G</t>
    </r>
    <r>
      <rPr>
        <sz val="10"/>
        <rFont val="新細明體"/>
        <charset val="134"/>
      </rPr>
      <t>刀</t>
    </r>
    <r>
      <rPr>
        <sz val="10"/>
        <rFont val="Times New Roman"/>
        <family val="1"/>
      </rPr>
      <t>45</t>
    </r>
    <r>
      <rPr>
        <sz val="10"/>
        <rFont val="新細明體"/>
        <charset val="134"/>
      </rPr>
      <t>度角或倒圓</t>
    </r>
  </si>
  <si>
    <t>T形槽</t>
  </si>
  <si>
    <t>螺栓頭部</t>
  </si>
  <si>
    <t>基本
尺寸</t>
  </si>
  <si>
    <t>最小
尺寸</t>
  </si>
  <si>
    <t>最大
尺寸</t>
  </si>
  <si>
    <t>公稱
尺寸</t>
  </si>
  <si>
    <t>(GB/T158-1996)</t>
  </si>
  <si>
    <r>
      <rPr>
        <sz val="10"/>
        <rFont val="新細明體"/>
        <charset val="134"/>
      </rPr>
      <t>第</t>
    </r>
    <r>
      <rPr>
        <sz val="10"/>
        <rFont val="Times New Roman"/>
        <family val="1"/>
      </rPr>
      <t>2</t>
    </r>
    <r>
      <rPr>
        <sz val="10"/>
        <rFont val="新細明體"/>
        <charset val="134"/>
      </rPr>
      <t>頁</t>
    </r>
  </si>
  <si>
    <r>
      <rPr>
        <sz val="10"/>
        <rFont val="新細明體"/>
        <charset val="134"/>
      </rPr>
      <t>表</t>
    </r>
    <r>
      <rPr>
        <sz val="10"/>
        <rFont val="Times New Roman"/>
        <family val="1"/>
      </rPr>
      <t>2    T</t>
    </r>
    <r>
      <rPr>
        <sz val="10"/>
        <rFont val="新細明體"/>
        <charset val="134"/>
      </rPr>
      <t>型槽間距尺寸</t>
    </r>
    <r>
      <rPr>
        <sz val="10"/>
        <rFont val="Times New Roman"/>
        <family val="1"/>
      </rPr>
      <t xml:space="preserve">        (mm)</t>
    </r>
  </si>
  <si>
    <r>
      <rPr>
        <sz val="10"/>
        <rFont val="新細明體"/>
        <charset val="134"/>
      </rPr>
      <t>注：</t>
    </r>
    <r>
      <rPr>
        <sz val="10"/>
        <rFont val="Times New Roman"/>
        <family val="1"/>
      </rPr>
      <t>T</t>
    </r>
    <r>
      <rPr>
        <sz val="10"/>
        <rFont val="新細明體"/>
        <charset val="134"/>
      </rPr>
      <t>形槽間距</t>
    </r>
    <r>
      <rPr>
        <sz val="10"/>
        <rFont val="Times New Roman"/>
        <family val="1"/>
      </rPr>
      <t>p</t>
    </r>
    <r>
      <rPr>
        <sz val="10"/>
        <rFont val="新細明體"/>
        <charset val="134"/>
      </rPr>
      <t>欄中，括號內的數值與</t>
    </r>
    <r>
      <rPr>
        <sz val="10"/>
        <rFont val="Times New Roman"/>
        <family val="1"/>
      </rPr>
      <t>T</t>
    </r>
    <r>
      <rPr>
        <sz val="10"/>
        <rFont val="新細明體"/>
        <charset val="134"/>
      </rPr>
      <t>形槽槽底寬度最大值之差值，可能較小，應避免使用。
相對於每個</t>
    </r>
    <r>
      <rPr>
        <sz val="10"/>
        <rFont val="Times New Roman"/>
        <family val="1"/>
      </rPr>
      <t>T</t>
    </r>
    <r>
      <rPr>
        <sz val="10"/>
        <rFont val="新細明體"/>
        <charset val="134"/>
      </rPr>
      <t>形槽寬度，表</t>
    </r>
    <r>
      <rPr>
        <sz val="10"/>
        <rFont val="Times New Roman"/>
        <family val="1"/>
      </rPr>
      <t>2</t>
    </r>
    <r>
      <rPr>
        <sz val="10"/>
        <rFont val="新細明體"/>
        <charset val="134"/>
      </rPr>
      <t>中給出三個間距，應根據使用需要條件選擇</t>
    </r>
    <r>
      <rPr>
        <sz val="10"/>
        <rFont val="Times New Roman"/>
        <family val="1"/>
      </rPr>
      <t>T</t>
    </r>
    <r>
      <rPr>
        <sz val="10"/>
        <rFont val="新細明體"/>
        <charset val="134"/>
      </rPr>
      <t xml:space="preserve">形槽間距。特殊情況需採用其他尺寸間距時，則應符合下列原則：
</t>
    </r>
    <r>
      <rPr>
        <sz val="10"/>
        <rFont val="Times New Roman"/>
        <family val="1"/>
      </rPr>
      <t xml:space="preserve">         1</t>
    </r>
    <r>
      <rPr>
        <sz val="10"/>
        <rFont val="新細明體"/>
        <charset val="134"/>
      </rPr>
      <t>）採用數值大於或小於規定</t>
    </r>
    <r>
      <rPr>
        <sz val="10"/>
        <rFont val="Times New Roman"/>
        <family val="1"/>
      </rPr>
      <t>T</t>
    </r>
    <r>
      <rPr>
        <sz val="10"/>
        <rFont val="新細明體"/>
        <charset val="134"/>
      </rPr>
      <t>形槽間距</t>
    </r>
    <r>
      <rPr>
        <sz val="10"/>
        <rFont val="Times New Roman"/>
        <family val="1"/>
      </rPr>
      <t>P</t>
    </r>
    <r>
      <rPr>
        <sz val="10"/>
        <rFont val="新細明體"/>
        <charset val="134"/>
      </rPr>
      <t>的尺寸時，應從優先數系</t>
    </r>
    <r>
      <rPr>
        <sz val="10"/>
        <rFont val="Times New Roman"/>
        <family val="1"/>
      </rPr>
      <t>R10</t>
    </r>
    <r>
      <rPr>
        <sz val="10"/>
        <rFont val="新細明體"/>
        <charset val="134"/>
      </rPr>
      <t>系列的數值中選取</t>
    </r>
    <r>
      <rPr>
        <sz val="10"/>
        <rFont val="Times New Roman"/>
        <family val="1"/>
      </rPr>
      <t>;
         2)</t>
    </r>
    <r>
      <rPr>
        <sz val="10"/>
        <rFont val="新細明體"/>
        <charset val="134"/>
      </rPr>
      <t>採用數值在規定</t>
    </r>
    <r>
      <rPr>
        <sz val="10"/>
        <rFont val="Times New Roman"/>
        <family val="1"/>
      </rPr>
      <t>T</t>
    </r>
    <r>
      <rPr>
        <sz val="10"/>
        <rFont val="新細明體"/>
        <charset val="134"/>
      </rPr>
      <t>形槽間距</t>
    </r>
    <r>
      <rPr>
        <sz val="10"/>
        <rFont val="Times New Roman"/>
        <family val="1"/>
      </rPr>
      <t>p</t>
    </r>
    <r>
      <rPr>
        <sz val="10"/>
        <rFont val="新細明體"/>
        <charset val="134"/>
      </rPr>
      <t>的尺寸范圍內，則應從優先數系</t>
    </r>
    <r>
      <rPr>
        <sz val="10"/>
        <rFont val="Times New Roman"/>
        <family val="1"/>
      </rPr>
      <t>R20</t>
    </r>
    <r>
      <rPr>
        <sz val="10"/>
        <rFont val="新細明體"/>
        <charset val="134"/>
      </rPr>
      <t xml:space="preserve">系列的數值中選取。
</t>
    </r>
    <r>
      <rPr>
        <sz val="10"/>
        <rFont val="Times New Roman"/>
        <family val="1"/>
      </rPr>
      <t xml:space="preserve">         T</t>
    </r>
    <r>
      <rPr>
        <sz val="10"/>
        <rFont val="新細明體"/>
        <charset val="134"/>
      </rPr>
      <t>形槽的間距尺寸</t>
    </r>
    <r>
      <rPr>
        <sz val="10"/>
        <rFont val="Times New Roman"/>
        <family val="1"/>
      </rPr>
      <t>p</t>
    </r>
    <r>
      <rPr>
        <sz val="10"/>
        <rFont val="新細明體"/>
        <charset val="134"/>
      </rPr>
      <t>的極限偏差，如表</t>
    </r>
    <r>
      <rPr>
        <sz val="10"/>
        <rFont val="Times New Roman"/>
        <family val="1"/>
      </rPr>
      <t xml:space="preserve">3.
</t>
    </r>
  </si>
  <si>
    <r>
      <rPr>
        <sz val="10"/>
        <rFont val="Times New Roman"/>
        <family val="1"/>
      </rPr>
      <t>T</t>
    </r>
    <r>
      <rPr>
        <sz val="10"/>
        <rFont val="細明體"/>
        <charset val="134"/>
      </rPr>
      <t>形槽寬度</t>
    </r>
    <r>
      <rPr>
        <sz val="10"/>
        <rFont val="Times New Roman"/>
        <family val="1"/>
      </rPr>
      <t>A</t>
    </r>
  </si>
  <si>
    <r>
      <rPr>
        <sz val="10"/>
        <rFont val="Times New Roman"/>
        <family val="1"/>
      </rPr>
      <t>T</t>
    </r>
    <r>
      <rPr>
        <sz val="10"/>
        <rFont val="細明體"/>
        <charset val="134"/>
      </rPr>
      <t>形槽間距</t>
    </r>
    <r>
      <rPr>
        <sz val="10"/>
        <rFont val="Times New Roman"/>
        <family val="1"/>
      </rPr>
      <t xml:space="preserve"> p</t>
    </r>
  </si>
  <si>
    <r>
      <rPr>
        <sz val="10"/>
        <rFont val="新細明體"/>
        <charset val="134"/>
      </rPr>
      <t>表</t>
    </r>
    <r>
      <rPr>
        <sz val="10"/>
        <rFont val="Times New Roman"/>
        <family val="1"/>
      </rPr>
      <t>3    T</t>
    </r>
    <r>
      <rPr>
        <sz val="10"/>
        <rFont val="新細明體"/>
        <charset val="134"/>
      </rPr>
      <t>形槽間距</t>
    </r>
    <r>
      <rPr>
        <sz val="10"/>
        <rFont val="Times New Roman"/>
        <family val="1"/>
      </rPr>
      <t xml:space="preserve"> p</t>
    </r>
    <r>
      <rPr>
        <sz val="10"/>
        <rFont val="新細明體"/>
        <charset val="134"/>
      </rPr>
      <t>尺寸的極限偏差</t>
    </r>
  </si>
  <si>
    <r>
      <rPr>
        <sz val="10"/>
        <rFont val="Times New Roman"/>
        <family val="1"/>
      </rPr>
      <t>T</t>
    </r>
    <r>
      <rPr>
        <sz val="10"/>
        <rFont val="新細明體"/>
        <charset val="134"/>
      </rPr>
      <t>形槽間距</t>
    </r>
    <r>
      <rPr>
        <sz val="10"/>
        <rFont val="Times New Roman"/>
        <family val="1"/>
      </rPr>
      <t xml:space="preserve"> p</t>
    </r>
  </si>
  <si>
    <t>極限偏差</t>
  </si>
  <si>
    <t>32~100</t>
  </si>
  <si>
    <t>125~250</t>
  </si>
  <si>
    <t>320~500</t>
  </si>
  <si>
    <r>
      <rPr>
        <sz val="10"/>
        <rFont val="細明體"/>
        <charset val="134"/>
      </rPr>
      <t>注：任一</t>
    </r>
    <r>
      <rPr>
        <sz val="10"/>
        <rFont val="Times New Roman"/>
        <family val="1"/>
      </rPr>
      <t>T</t>
    </r>
    <r>
      <rPr>
        <sz val="10"/>
        <rFont val="細明體"/>
        <charset val="134"/>
      </rPr>
      <t>形槽的極限偏差都不適累計誤差</t>
    </r>
  </si>
  <si>
    <r>
      <rPr>
        <sz val="10"/>
        <rFont val="Times New Roman"/>
        <family val="1"/>
      </rPr>
      <t xml:space="preserve">          3</t>
    </r>
    <r>
      <rPr>
        <sz val="10"/>
        <rFont val="新細明體"/>
        <charset val="134"/>
      </rPr>
      <t>）</t>
    </r>
    <r>
      <rPr>
        <sz val="10"/>
        <rFont val="Times New Roman"/>
        <family val="1"/>
      </rPr>
      <t>T</t>
    </r>
    <r>
      <rPr>
        <sz val="10"/>
        <rFont val="新細明體"/>
        <charset val="134"/>
      </rPr>
      <t xml:space="preserve">形槽不通端型式及尺寸
</t>
    </r>
    <r>
      <rPr>
        <sz val="10"/>
        <rFont val="Times New Roman"/>
        <family val="1"/>
      </rPr>
      <t xml:space="preserve">          T</t>
    </r>
    <r>
      <rPr>
        <sz val="10"/>
        <rFont val="新細明體"/>
        <charset val="134"/>
      </rPr>
      <t>形槽不通端型式及尺寸應符合表</t>
    </r>
    <r>
      <rPr>
        <sz val="10"/>
        <rFont val="Times New Roman"/>
        <family val="1"/>
      </rPr>
      <t>4</t>
    </r>
    <r>
      <rPr>
        <sz val="10"/>
        <rFont val="新細明體"/>
        <charset val="134"/>
      </rPr>
      <t xml:space="preserve">規定
</t>
    </r>
  </si>
  <si>
    <t>表4    T形槽不通端型式及尺寸   （mm)</t>
  </si>
  <si>
    <r>
      <rPr>
        <sz val="10"/>
        <rFont val="Times New Roman"/>
        <family val="1"/>
      </rPr>
      <t xml:space="preserve">
</t>
    </r>
    <r>
      <rPr>
        <sz val="10"/>
        <rFont val="細明體"/>
        <charset val="134"/>
      </rPr>
      <t xml:space="preserve">
</t>
    </r>
  </si>
  <si>
    <r>
      <rPr>
        <sz val="10"/>
        <rFont val="Times New Roman"/>
        <family val="1"/>
      </rPr>
      <t>T</t>
    </r>
    <r>
      <rPr>
        <sz val="10"/>
        <rFont val="細明體"/>
        <charset val="134"/>
      </rPr>
      <t>形槽
寬度</t>
    </r>
    <r>
      <rPr>
        <sz val="10"/>
        <rFont val="Times New Roman"/>
        <family val="1"/>
      </rPr>
      <t>A</t>
    </r>
  </si>
  <si>
    <t xml:space="preserve">極限
偏差
</t>
  </si>
  <si>
    <r>
      <rPr>
        <sz val="10"/>
        <rFont val="Times New Roman"/>
        <family val="1"/>
      </rPr>
      <t xml:space="preserve">          4)T</t>
    </r>
    <r>
      <rPr>
        <sz val="10"/>
        <rFont val="細明體"/>
        <charset val="134"/>
      </rPr>
      <t xml:space="preserve">形槽用螺母尺寸
</t>
    </r>
    <r>
      <rPr>
        <sz val="10"/>
        <rFont val="Times New Roman"/>
        <family val="1"/>
      </rPr>
      <t xml:space="preserve">          T</t>
    </r>
    <r>
      <rPr>
        <sz val="10"/>
        <rFont val="細明體"/>
        <charset val="134"/>
      </rPr>
      <t>形槽用螺母尺寸應符合表</t>
    </r>
    <r>
      <rPr>
        <sz val="10"/>
        <rFont val="Times New Roman"/>
        <family val="1"/>
      </rPr>
      <t>5</t>
    </r>
    <r>
      <rPr>
        <sz val="10"/>
        <rFont val="細明體"/>
        <charset val="134"/>
      </rPr>
      <t>規定</t>
    </r>
  </si>
  <si>
    <r>
      <rPr>
        <sz val="10"/>
        <rFont val="細明體"/>
        <charset val="134"/>
      </rPr>
      <t>表</t>
    </r>
    <r>
      <rPr>
        <sz val="10"/>
        <rFont val="Times New Roman"/>
        <family val="1"/>
      </rPr>
      <t>5   T</t>
    </r>
    <r>
      <rPr>
        <sz val="10"/>
        <rFont val="細明體"/>
        <charset val="134"/>
      </rPr>
      <t>形槽用螺母尺寸</t>
    </r>
    <r>
      <rPr>
        <sz val="10"/>
        <rFont val="Times New Roman"/>
        <family val="1"/>
      </rPr>
      <t xml:space="preserve">     </t>
    </r>
    <r>
      <rPr>
        <sz val="10"/>
        <rFont val="細明體"/>
        <charset val="134"/>
      </rPr>
      <t>（</t>
    </r>
    <r>
      <rPr>
        <sz val="10"/>
        <rFont val="Times New Roman"/>
        <family val="1"/>
      </rPr>
      <t>mm)</t>
    </r>
  </si>
  <si>
    <r>
      <rPr>
        <sz val="10"/>
        <rFont val="新細明體"/>
        <charset val="134"/>
      </rPr>
      <t>第</t>
    </r>
    <r>
      <rPr>
        <sz val="10"/>
        <rFont val="Times New Roman"/>
        <family val="1"/>
      </rPr>
      <t>3</t>
    </r>
    <r>
      <rPr>
        <sz val="10"/>
        <rFont val="新細明體"/>
        <charset val="134"/>
      </rPr>
      <t>頁</t>
    </r>
  </si>
  <si>
    <t>T形槽
寬度A</t>
  </si>
  <si>
    <t>極限
偏差</t>
  </si>
  <si>
    <t xml:space="preserve">         螺母材料為45鋼。螺母表面粗糙度（按GB1031）最大允許值；基準槽用螺母的E面或F面為            ；其余為          。螺母進行熱處理，硬度為35HRC，並發藍。</t>
  </si>
  <si>
    <t>油压缓冲器选型计算</t>
  </si>
  <si>
    <t>亚德客气缸使用速度：SC、MA系列气缸30-80mm/s    SDA、TN系列气缸：30-500mm/s    无杆、滑台气缸：50-400mm/s</t>
  </si>
  <si>
    <t>气缸推力下的水平撞击</t>
  </si>
  <si>
    <t>负载质量kg</t>
  </si>
  <si>
    <t>撞击速度m/s</t>
  </si>
  <si>
    <t>动能{J(N.m)}</t>
  </si>
  <si>
    <t>气缸输出力(N)</t>
  </si>
  <si>
    <t>缓冲行程(M)</t>
  </si>
  <si>
    <t>驱动能{J(N.m)}</t>
  </si>
  <si>
    <t>总能量{J(N.m)}</t>
  </si>
  <si>
    <t>右图m</t>
  </si>
  <si>
    <t>右图v</t>
  </si>
  <si>
    <t>右图F</t>
  </si>
  <si>
    <t>右图L</t>
  </si>
  <si>
    <t>E1+E2</t>
  </si>
  <si>
    <t>气缸推力下的垂直撞击</t>
  </si>
  <si>
    <t>右图M</t>
  </si>
  <si>
    <t>右图V</t>
  </si>
  <si>
    <t>右图S</t>
  </si>
  <si>
    <t>注：g为重力加速度：9.8(m/s²)</t>
  </si>
  <si>
    <t>氣缸推力下水平撞擊</t>
  </si>
  <si>
    <t>推力F（氣缸力）</t>
  </si>
  <si>
    <t>长度L（緩衝長度）</t>
  </si>
  <si>
    <t>撞击质量KG（緩衝物體質量）</t>
  </si>
  <si>
    <t>动能（J(N*m)）</t>
  </si>
  <si>
    <t>驱动能（J(N*m)）</t>
  </si>
  <si>
    <t>总能量（J(N*m)）</t>
  </si>
  <si>
    <t>氣缸下推</t>
  </si>
  <si>
    <t>材质硬度对照表</t>
  </si>
  <si>
    <t>硬度范围</t>
  </si>
  <si>
    <t>希望范围</t>
  </si>
  <si>
    <t>冷轧单（双）光板</t>
  </si>
  <si>
    <t>SPCC-SD</t>
  </si>
  <si>
    <t>75-85</t>
  </si>
  <si>
    <t>CC</t>
  </si>
  <si>
    <t>85-98</t>
  </si>
  <si>
    <t>85-95</t>
  </si>
  <si>
    <t>1/8H</t>
  </si>
  <si>
    <t>95-130</t>
  </si>
  <si>
    <t>1/4H</t>
  </si>
  <si>
    <t>115-150</t>
  </si>
  <si>
    <t>135-185</t>
  </si>
  <si>
    <t>1/2H</t>
  </si>
  <si>
    <t>170-UP</t>
  </si>
  <si>
    <t>210-235</t>
  </si>
  <si>
    <t>SPCC-SB</t>
  </si>
  <si>
    <t>95-110</t>
  </si>
  <si>
    <t>SD代表单光，SB代表双光，CD代表拉伸</t>
  </si>
  <si>
    <t>CE代表深拉伸用刀片常使用硬片（H）料，Hv范围220-240</t>
  </si>
  <si>
    <t>热轧（黑皮铁板）酸洗板/SPHC，无结构硬度</t>
  </si>
  <si>
    <t>马口铁</t>
  </si>
  <si>
    <t>锡层我司要求50/50''50''表示每平方素材表面附锡为50g</t>
  </si>
  <si>
    <t>SPTE</t>
  </si>
  <si>
    <t>T-2</t>
  </si>
  <si>
    <t>T-2.5</t>
  </si>
  <si>
    <t>T-3</t>
  </si>
  <si>
    <t>T-4</t>
  </si>
  <si>
    <t>电解板（镀锌板）</t>
  </si>
  <si>
    <t>SECC</t>
  </si>
  <si>
    <t>8D</t>
  </si>
  <si>
    <t>4D</t>
  </si>
  <si>
    <t>2D</t>
  </si>
  <si>
    <t>1D</t>
  </si>
  <si>
    <t>CC代表一般用途，CD代表拉伸，CE代表深拉伸用</t>
  </si>
  <si>
    <t>270以下</t>
  </si>
  <si>
    <t>370-290</t>
  </si>
  <si>
    <t>SUS301</t>
  </si>
  <si>
    <t>310以上</t>
  </si>
  <si>
    <t>310-360</t>
  </si>
  <si>
    <t>3/4H</t>
  </si>
  <si>
    <t>370以上</t>
  </si>
  <si>
    <t>370-410</t>
  </si>
  <si>
    <t>430以上</t>
  </si>
  <si>
    <t>430-470</t>
  </si>
  <si>
    <t>EH</t>
  </si>
  <si>
    <t>490以上</t>
  </si>
  <si>
    <t>490-520</t>
  </si>
  <si>
    <t>210以下</t>
  </si>
  <si>
    <t>150-180</t>
  </si>
  <si>
    <t>250以上</t>
  </si>
  <si>
    <t>260-290</t>
  </si>
  <si>
    <t>310-330</t>
  </si>
  <si>
    <t>370-390</t>
  </si>
  <si>
    <t>2B为压延，BA光辉</t>
  </si>
  <si>
    <t>SUS430
SUS410</t>
  </si>
  <si>
    <t>弹性差，导磁弱，放在煤油中，防氧化，脏污</t>
  </si>
  <si>
    <t>150-184</t>
  </si>
  <si>
    <t>无结构硬度</t>
  </si>
  <si>
    <t>炭素钢</t>
  </si>
  <si>
    <t>180-210</t>
  </si>
  <si>
    <t>SK7</t>
  </si>
  <si>
    <t>若SK5厚度在0.25以下时,需要用厚料压延而成,因压延而成改变其结构硬度而增大,参照如下:0.10-0.15  260-300
         0.20-0.25  220-250</t>
  </si>
  <si>
    <t>Aluminum  Alloy  Strips</t>
  </si>
  <si>
    <t>A5052</t>
  </si>
  <si>
    <t>O/H32/H34</t>
  </si>
  <si>
    <t>A1050</t>
  </si>
  <si>
    <t>O/H12/H24</t>
  </si>
  <si>
    <t>A1100</t>
  </si>
  <si>
    <t>红铜</t>
  </si>
  <si>
    <t>一般铜C1100R</t>
  </si>
  <si>
    <t>Tough Pitch Copper</t>
  </si>
  <si>
    <t>55-100</t>
  </si>
  <si>
    <t>75-120</t>
  </si>
  <si>
    <t>Oxygen Free Copper</t>
  </si>
  <si>
    <t>80-UP</t>
  </si>
  <si>
    <t>无酸素铜C1020R</t>
  </si>
  <si>
    <t>磷脱酸铜C1220R</t>
  </si>
  <si>
    <t>钛铜</t>
  </si>
  <si>
    <t>TiCuRi-M</t>
  </si>
  <si>
    <t>250-300</t>
  </si>
  <si>
    <t>300-350</t>
  </si>
  <si>
    <t>低铍铍铜</t>
  </si>
  <si>
    <t>C1750低铍</t>
  </si>
  <si>
    <t>200-250</t>
  </si>
  <si>
    <t>(已做热处理)</t>
  </si>
  <si>
    <t>230-290</t>
  </si>
  <si>
    <t>高铍铍铜</t>
  </si>
  <si>
    <t>90-160</t>
  </si>
  <si>
    <t>C1720</t>
  </si>
  <si>
    <t>145-220</t>
  </si>
  <si>
    <t>(未做热处理)</t>
  </si>
  <si>
    <t>180-240</t>
  </si>
  <si>
    <t>210-270</t>
  </si>
  <si>
    <t>遮光型</t>
  </si>
  <si>
    <t>1B表示碳素涂装厚度为0.018</t>
  </si>
  <si>
    <t>B-H</t>
  </si>
  <si>
    <t>2B表示炭素涂装厚度为0.030</t>
  </si>
  <si>
    <t>B-R</t>
  </si>
  <si>
    <t>一般型</t>
  </si>
  <si>
    <t>MD表示深浅颜色</t>
  </si>
  <si>
    <t>ED表示导电处理</t>
  </si>
  <si>
    <t>青铜C2680R</t>
  </si>
  <si>
    <t>70-UP</t>
  </si>
  <si>
    <t>Cu：64.0+68.0</t>
  </si>
  <si>
    <t>75-125</t>
  </si>
  <si>
    <t>75-100</t>
  </si>
  <si>
    <t>比重:8.47</t>
  </si>
  <si>
    <t>85-145</t>
  </si>
  <si>
    <t>100-130</t>
  </si>
  <si>
    <t>105-175</t>
  </si>
  <si>
    <t>140-170</t>
  </si>
  <si>
    <t>145-UP</t>
  </si>
  <si>
    <t>170-190</t>
  </si>
  <si>
    <t>磷铜C5191R</t>
  </si>
  <si>
    <t>100-160</t>
  </si>
  <si>
    <t>130-160</t>
  </si>
  <si>
    <t>150-205</t>
  </si>
  <si>
    <t>180-230</t>
  </si>
  <si>
    <t>190-210</t>
  </si>
  <si>
    <t>200-UP</t>
  </si>
  <si>
    <t>磷青铜C5210R</t>
  </si>
  <si>
    <t>140-205</t>
  </si>
  <si>
    <t>俗称PBS</t>
  </si>
  <si>
    <t>185-235</t>
  </si>
  <si>
    <t>190-220</t>
  </si>
  <si>
    <t>Cu+Sn+P:99.7</t>
  </si>
  <si>
    <t>210-260</t>
  </si>
  <si>
    <t>210-230</t>
  </si>
  <si>
    <t>比重:8.8</t>
  </si>
  <si>
    <t>SH</t>
  </si>
  <si>
    <t>230-270</t>
  </si>
  <si>
    <t>230-250</t>
  </si>
  <si>
    <t>洋白铜C7521R</t>
  </si>
  <si>
    <t>0.3t以上厚度常用7521R</t>
  </si>
  <si>
    <t>Cu:61-67比重8.75</t>
  </si>
  <si>
    <t>170-195</t>
  </si>
  <si>
    <t>洋白铜C7701R</t>
  </si>
  <si>
    <t>150-210</t>
  </si>
  <si>
    <t>0.2t厚度以下常C7701R</t>
  </si>
  <si>
    <t>220-240</t>
  </si>
  <si>
    <t>Cu:54.58比重:8.69</t>
  </si>
  <si>
    <t>240-260</t>
  </si>
  <si>
    <t>250-270</t>
  </si>
  <si>
    <t>轴承型号</t>
  </si>
  <si>
    <t>外型尺寸（mm)</t>
  </si>
  <si>
    <t>相关安装尺寸</t>
  </si>
  <si>
    <t>内径d</t>
  </si>
  <si>
    <t>外径D</t>
  </si>
  <si>
    <t>厚度T</t>
  </si>
  <si>
    <t>倒角r</t>
  </si>
  <si>
    <t>参考（kg)</t>
  </si>
  <si>
    <t>max</t>
  </si>
  <si>
    <t>min</t>
  </si>
  <si>
    <t>ZRO2</t>
  </si>
  <si>
    <t>SI3N4</t>
  </si>
  <si>
    <t>POM</t>
  </si>
  <si>
    <t>51100CE</t>
  </si>
  <si>
    <t>P51100</t>
  </si>
  <si>
    <t>51200CE</t>
  </si>
  <si>
    <t>P51200</t>
  </si>
  <si>
    <t>51101CE</t>
  </si>
  <si>
    <t>P51101</t>
  </si>
  <si>
    <t>51201CE</t>
  </si>
  <si>
    <t>P51201</t>
  </si>
  <si>
    <t>51102CE</t>
  </si>
  <si>
    <t>P51102</t>
  </si>
  <si>
    <t>51202CE</t>
  </si>
  <si>
    <t>P51202</t>
  </si>
  <si>
    <t>51103CE</t>
  </si>
  <si>
    <t>P51103</t>
  </si>
  <si>
    <t>51203CE</t>
  </si>
  <si>
    <t>P51203</t>
  </si>
  <si>
    <t>51104CE</t>
  </si>
  <si>
    <t>P51104</t>
  </si>
  <si>
    <t>51204CE</t>
  </si>
  <si>
    <t>P51204</t>
  </si>
  <si>
    <t>51304CE</t>
  </si>
  <si>
    <t>P51304</t>
  </si>
  <si>
    <t>51105CE</t>
  </si>
  <si>
    <t>P51105</t>
  </si>
  <si>
    <t>51205CE</t>
  </si>
  <si>
    <t>P51205</t>
  </si>
  <si>
    <t>51305CE</t>
  </si>
  <si>
    <t>P51305</t>
  </si>
  <si>
    <t>51405CE</t>
  </si>
  <si>
    <t>P51405</t>
  </si>
  <si>
    <t>51106CE</t>
  </si>
  <si>
    <t>P51106</t>
  </si>
  <si>
    <t>51206CE</t>
  </si>
  <si>
    <t>P51206</t>
  </si>
  <si>
    <t>51306CE</t>
  </si>
  <si>
    <t>P51306</t>
  </si>
  <si>
    <t>51406CE</t>
  </si>
  <si>
    <t>P51406</t>
  </si>
  <si>
    <t>51107CE</t>
  </si>
  <si>
    <t>P51107</t>
  </si>
  <si>
    <t>51207CE</t>
  </si>
  <si>
    <t>P51207</t>
  </si>
  <si>
    <t>51307CE</t>
  </si>
  <si>
    <t>P51307</t>
  </si>
  <si>
    <t>51407CE</t>
  </si>
  <si>
    <t>P51407</t>
  </si>
  <si>
    <t>51108CE</t>
  </si>
  <si>
    <t>P51108</t>
  </si>
  <si>
    <t>51208CE</t>
  </si>
  <si>
    <t>P51208</t>
  </si>
  <si>
    <t>51308CE</t>
  </si>
  <si>
    <t>P51308</t>
  </si>
  <si>
    <t>51408CE</t>
  </si>
  <si>
    <t>P51408</t>
  </si>
  <si>
    <t>51109CE</t>
  </si>
  <si>
    <t>P51109</t>
  </si>
  <si>
    <t>51209CE</t>
  </si>
  <si>
    <t>P51209</t>
  </si>
  <si>
    <t>51309CE</t>
  </si>
  <si>
    <t>P51309</t>
  </si>
  <si>
    <t>51409CE</t>
  </si>
  <si>
    <t>P51409</t>
  </si>
  <si>
    <t>51110CE</t>
  </si>
  <si>
    <t>P51110</t>
  </si>
  <si>
    <t>51210CE</t>
  </si>
  <si>
    <t>P51210</t>
  </si>
  <si>
    <t>51310CE</t>
  </si>
  <si>
    <t>P51310</t>
  </si>
  <si>
    <t>51410CE</t>
  </si>
  <si>
    <t>P51410</t>
  </si>
  <si>
    <t>51111CE</t>
  </si>
  <si>
    <t>P51111</t>
  </si>
  <si>
    <t>51211CE</t>
  </si>
  <si>
    <t>P51211</t>
  </si>
  <si>
    <t>51311CE</t>
  </si>
  <si>
    <t>P51311</t>
  </si>
  <si>
    <t>51411CE</t>
  </si>
  <si>
    <t>P51411</t>
  </si>
  <si>
    <t>51112CE</t>
  </si>
  <si>
    <t>P51112</t>
  </si>
  <si>
    <t>51212CE</t>
  </si>
  <si>
    <t>P51212</t>
  </si>
  <si>
    <t>51312CE</t>
  </si>
  <si>
    <t>P51312</t>
  </si>
  <si>
    <t>51412CE</t>
  </si>
  <si>
    <t>P51412</t>
  </si>
  <si>
    <t>51113CE</t>
  </si>
  <si>
    <t>P51113</t>
  </si>
  <si>
    <t>51213CE</t>
  </si>
  <si>
    <t>P51213</t>
  </si>
  <si>
    <t>51313CE</t>
  </si>
  <si>
    <t>P51313</t>
  </si>
  <si>
    <t>51413CE</t>
  </si>
  <si>
    <t>P51413</t>
  </si>
  <si>
    <t>51114CE</t>
  </si>
  <si>
    <t>P51114</t>
  </si>
  <si>
    <t>51214CE</t>
  </si>
  <si>
    <t>P51214</t>
  </si>
  <si>
    <t>51314CE</t>
  </si>
  <si>
    <t>P51314</t>
  </si>
  <si>
    <t>51414CE</t>
  </si>
  <si>
    <t>P51414</t>
  </si>
  <si>
    <t>51115CE</t>
  </si>
  <si>
    <t>P51115</t>
  </si>
  <si>
    <t>51215CE</t>
  </si>
  <si>
    <t>P51215</t>
  </si>
  <si>
    <t>51315CE</t>
  </si>
  <si>
    <t>P51315</t>
  </si>
  <si>
    <t>51415CE</t>
  </si>
  <si>
    <t>P51415</t>
  </si>
  <si>
    <t>51116CE</t>
  </si>
  <si>
    <t>P51116</t>
  </si>
  <si>
    <t>51216CE</t>
  </si>
  <si>
    <t>P51216</t>
  </si>
  <si>
    <t>51316CE</t>
  </si>
  <si>
    <t>P51316</t>
  </si>
  <si>
    <t>51416CE</t>
  </si>
  <si>
    <t>P51416</t>
  </si>
  <si>
    <t>51117CE</t>
  </si>
  <si>
    <t>P51117</t>
  </si>
  <si>
    <t>51217CE</t>
  </si>
  <si>
    <t>P51217</t>
  </si>
  <si>
    <t>51317CE</t>
  </si>
  <si>
    <t>P51317</t>
  </si>
  <si>
    <t>51417CE</t>
  </si>
  <si>
    <t>P51417</t>
  </si>
  <si>
    <t>51118CE</t>
  </si>
  <si>
    <t>P51118</t>
  </si>
  <si>
    <t>51218CE</t>
  </si>
  <si>
    <t>P51218</t>
  </si>
  <si>
    <t>51318CE</t>
  </si>
  <si>
    <t>P51318</t>
  </si>
  <si>
    <t>51418CE</t>
  </si>
  <si>
    <t>P51418</t>
  </si>
  <si>
    <t>51120CE</t>
  </si>
  <si>
    <t>P51120</t>
  </si>
  <si>
    <t>51220CE</t>
  </si>
  <si>
    <t>P51220</t>
  </si>
  <si>
    <t>51320CE</t>
  </si>
  <si>
    <t>P51320</t>
  </si>
  <si>
    <t>51420CE</t>
  </si>
  <si>
    <t>P51420</t>
  </si>
  <si>
    <t>51122CE</t>
  </si>
  <si>
    <t>P51122</t>
  </si>
  <si>
    <t>51222CE</t>
  </si>
  <si>
    <t>P51222</t>
  </si>
  <si>
    <t>51322CE</t>
  </si>
  <si>
    <t>P51322</t>
  </si>
  <si>
    <t>51422CE</t>
  </si>
  <si>
    <t>P51422</t>
  </si>
  <si>
    <t>51124CE</t>
  </si>
  <si>
    <t>P51124</t>
  </si>
  <si>
    <t>51224CE</t>
  </si>
  <si>
    <t>P51224</t>
  </si>
  <si>
    <t>51324CE</t>
  </si>
  <si>
    <t>P51324</t>
  </si>
  <si>
    <t>51424CE</t>
  </si>
  <si>
    <t>P51424</t>
  </si>
  <si>
    <t>51126CE</t>
  </si>
  <si>
    <t>P51126</t>
  </si>
  <si>
    <t>51226CE</t>
  </si>
  <si>
    <t>P51226</t>
  </si>
  <si>
    <t>51326CE</t>
  </si>
  <si>
    <t>P51326</t>
  </si>
  <si>
    <t>51426CE</t>
  </si>
  <si>
    <t>P51426</t>
  </si>
  <si>
    <t>51128CE</t>
  </si>
  <si>
    <t>P51128</t>
  </si>
  <si>
    <t>51228CE</t>
  </si>
  <si>
    <t>P51228</t>
  </si>
  <si>
    <t>51328CE</t>
  </si>
  <si>
    <t>P51328</t>
  </si>
  <si>
    <t>51428CE</t>
  </si>
  <si>
    <t>P51428</t>
  </si>
  <si>
    <t>51130CE</t>
  </si>
  <si>
    <t>P51130</t>
  </si>
  <si>
    <t>51230CE</t>
  </si>
  <si>
    <t>P51230</t>
  </si>
  <si>
    <t>51330CE</t>
  </si>
  <si>
    <t>P51330</t>
  </si>
  <si>
    <t>51430CE</t>
  </si>
  <si>
    <t>P51430</t>
  </si>
  <si>
    <t>内径(d)</t>
  </si>
  <si>
    <t>外径(D)</t>
  </si>
  <si>
    <t>宽度(b)</t>
  </si>
  <si>
    <t>允许回转数</t>
  </si>
  <si>
    <r>
      <rPr>
        <sz val="9"/>
        <color indexed="8"/>
        <rFont val="宋体"/>
        <family val="3"/>
        <charset val="134"/>
      </rPr>
      <t>宽度</t>
    </r>
    <r>
      <rPr>
        <sz val="9"/>
        <color indexed="8"/>
        <rFont val="Arial"/>
        <family val="2"/>
      </rPr>
      <t>open</t>
    </r>
  </si>
  <si>
    <t>zz</t>
  </si>
  <si>
    <r>
      <rPr>
        <sz val="9"/>
        <color indexed="8"/>
        <rFont val="宋体"/>
        <family val="3"/>
        <charset val="134"/>
      </rPr>
      <t>基本额定动负荷</t>
    </r>
    <r>
      <rPr>
        <sz val="9"/>
        <color indexed="8"/>
        <rFont val="Arial"/>
        <family val="2"/>
      </rPr>
      <t xml:space="preserve"> Cr(N)</t>
    </r>
  </si>
  <si>
    <t>基本额定静负荷 Cor(N)</t>
  </si>
  <si>
    <t>润滑脂</t>
  </si>
  <si>
    <t>润滑剂</t>
  </si>
  <si>
    <t>*1000rpm</t>
  </si>
  <si>
    <t>684zz</t>
  </si>
  <si>
    <t>694zz</t>
  </si>
  <si>
    <t>604zz</t>
  </si>
  <si>
    <t>624zz</t>
  </si>
  <si>
    <t>634zz</t>
  </si>
  <si>
    <t>685zz</t>
  </si>
  <si>
    <t>695zz</t>
  </si>
  <si>
    <t>605zz</t>
  </si>
  <si>
    <t>625zz</t>
  </si>
  <si>
    <t>635zz</t>
  </si>
  <si>
    <t>686zz</t>
  </si>
  <si>
    <t>696zz</t>
  </si>
  <si>
    <t>606zz</t>
  </si>
  <si>
    <t>626zz</t>
  </si>
  <si>
    <t>636zz</t>
  </si>
  <si>
    <t>687zz</t>
  </si>
  <si>
    <t>697zz</t>
  </si>
  <si>
    <t>607zz</t>
  </si>
  <si>
    <t>627zz</t>
  </si>
  <si>
    <t>637zz</t>
  </si>
  <si>
    <t>688zz</t>
  </si>
  <si>
    <t>698zz</t>
  </si>
  <si>
    <t>608z</t>
  </si>
  <si>
    <t>628zz</t>
  </si>
  <si>
    <t>638zz</t>
  </si>
  <si>
    <t>679zz</t>
  </si>
  <si>
    <t>689zz</t>
  </si>
  <si>
    <t>699zz</t>
  </si>
  <si>
    <t>609zz</t>
  </si>
  <si>
    <t>629zz</t>
  </si>
  <si>
    <t>639zz</t>
  </si>
  <si>
    <t>6700zz</t>
  </si>
  <si>
    <t>6800zz</t>
  </si>
  <si>
    <t>6900zz</t>
  </si>
  <si>
    <t>6000zz</t>
  </si>
  <si>
    <t>6200zz</t>
  </si>
  <si>
    <t>6300zz</t>
  </si>
  <si>
    <t>6701zz</t>
  </si>
  <si>
    <t>6801zz</t>
  </si>
  <si>
    <t>6901zz</t>
  </si>
  <si>
    <t>6001zz</t>
  </si>
  <si>
    <t>6201zz</t>
  </si>
  <si>
    <t>6301zz</t>
  </si>
  <si>
    <t>60/22</t>
  </si>
  <si>
    <t>62/22</t>
  </si>
  <si>
    <t>63/22</t>
  </si>
  <si>
    <t>60/28</t>
  </si>
  <si>
    <t>62/28</t>
  </si>
  <si>
    <t>63/28</t>
  </si>
  <si>
    <t>60/32</t>
  </si>
  <si>
    <t>62/32</t>
  </si>
  <si>
    <t>63/32</t>
  </si>
  <si>
    <t>平键和键槽的标准尺寸规格表</t>
  </si>
  <si>
    <r>
      <rPr>
        <sz val="12"/>
        <color indexed="8"/>
        <rFont val="宋体"/>
        <family val="3"/>
        <charset val="134"/>
      </rPr>
      <t>轴径</t>
    </r>
    <r>
      <rPr>
        <sz val="12"/>
        <color indexed="8"/>
        <rFont val="Arial"/>
        <family val="2"/>
      </rPr>
      <t xml:space="preserve"> </t>
    </r>
  </si>
  <si>
    <r>
      <rPr>
        <sz val="12"/>
        <color indexed="8"/>
        <rFont val="宋体"/>
        <family val="3"/>
        <charset val="134"/>
      </rPr>
      <t>键</t>
    </r>
    <r>
      <rPr>
        <sz val="12"/>
        <color indexed="8"/>
        <rFont val="Arial"/>
        <family val="2"/>
      </rPr>
      <t xml:space="preserve"> </t>
    </r>
  </si>
  <si>
    <r>
      <rPr>
        <sz val="12"/>
        <color indexed="8"/>
        <rFont val="宋体"/>
        <family val="3"/>
        <charset val="134"/>
      </rPr>
      <t>键　　　　　槽</t>
    </r>
    <r>
      <rPr>
        <sz val="12"/>
        <color indexed="8"/>
        <rFont val="Arial"/>
        <family val="2"/>
      </rPr>
      <t xml:space="preserve"> </t>
    </r>
  </si>
  <si>
    <r>
      <rPr>
        <sz val="12"/>
        <color indexed="8"/>
        <rFont val="宋体"/>
        <family val="3"/>
        <charset val="134"/>
      </rPr>
      <t>公称直径</t>
    </r>
    <r>
      <rPr>
        <sz val="12"/>
        <color indexed="8"/>
        <rFont val="Arial"/>
        <family val="2"/>
      </rPr>
      <t>d</t>
    </r>
  </si>
  <si>
    <r>
      <rPr>
        <sz val="12"/>
        <color indexed="8"/>
        <rFont val="宋体"/>
        <family val="3"/>
        <charset val="134"/>
      </rPr>
      <t>公称尺寸</t>
    </r>
    <r>
      <rPr>
        <sz val="12"/>
        <color indexed="8"/>
        <rFont val="Arial"/>
        <family val="2"/>
      </rPr>
      <t>b×h</t>
    </r>
  </si>
  <si>
    <r>
      <rPr>
        <sz val="12"/>
        <color indexed="8"/>
        <rFont val="宋体"/>
        <family val="3"/>
        <charset val="134"/>
      </rPr>
      <t>宽　　度</t>
    </r>
    <r>
      <rPr>
        <sz val="12"/>
        <color indexed="8"/>
        <rFont val="Arial"/>
        <family val="2"/>
      </rPr>
      <t xml:space="preserve"> </t>
    </r>
  </si>
  <si>
    <r>
      <rPr>
        <sz val="12"/>
        <color indexed="8"/>
        <rFont val="宋体"/>
        <family val="3"/>
        <charset val="134"/>
      </rPr>
      <t>深　　度</t>
    </r>
    <r>
      <rPr>
        <sz val="12"/>
        <color indexed="8"/>
        <rFont val="Arial"/>
        <family val="2"/>
      </rPr>
      <t xml:space="preserve"> </t>
    </r>
  </si>
  <si>
    <r>
      <rPr>
        <sz val="12"/>
        <color indexed="8"/>
        <rFont val="宋体"/>
        <family val="3"/>
        <charset val="134"/>
      </rPr>
      <t>半径</t>
    </r>
    <r>
      <rPr>
        <sz val="12"/>
        <color indexed="8"/>
        <rFont val="Arial"/>
        <family val="2"/>
      </rPr>
      <t xml:space="preserve"> r</t>
    </r>
  </si>
  <si>
    <r>
      <rPr>
        <sz val="12"/>
        <color indexed="8"/>
        <rFont val="宋体"/>
        <family val="3"/>
        <charset val="134"/>
      </rPr>
      <t>偏　</t>
    </r>
    <r>
      <rPr>
        <sz val="12"/>
        <color indexed="8"/>
        <rFont val="Arial"/>
        <family val="2"/>
      </rPr>
      <t xml:space="preserve">     </t>
    </r>
    <r>
      <rPr>
        <sz val="12"/>
        <color indexed="8"/>
        <rFont val="宋体"/>
        <family val="3"/>
        <charset val="134"/>
      </rPr>
      <t>　差</t>
    </r>
    <r>
      <rPr>
        <sz val="12"/>
        <color indexed="8"/>
        <rFont val="Arial"/>
        <family val="2"/>
      </rPr>
      <t xml:space="preserve"> </t>
    </r>
  </si>
  <si>
    <r>
      <rPr>
        <sz val="12"/>
        <color indexed="8"/>
        <rFont val="宋体"/>
        <family val="3"/>
        <charset val="134"/>
      </rPr>
      <t>轴</t>
    </r>
    <r>
      <rPr>
        <sz val="12"/>
        <color indexed="8"/>
        <rFont val="Arial"/>
        <family val="2"/>
      </rPr>
      <t>t</t>
    </r>
  </si>
  <si>
    <r>
      <rPr>
        <sz val="12"/>
        <color indexed="8"/>
        <rFont val="宋体"/>
        <family val="3"/>
        <charset val="134"/>
      </rPr>
      <t>毂</t>
    </r>
    <r>
      <rPr>
        <sz val="12"/>
        <color indexed="8"/>
        <rFont val="Arial"/>
        <family val="2"/>
      </rPr>
      <t xml:space="preserve">t1 </t>
    </r>
  </si>
  <si>
    <r>
      <rPr>
        <sz val="12"/>
        <color indexed="8"/>
        <rFont val="宋体"/>
        <family val="3"/>
        <charset val="134"/>
      </rPr>
      <t>较松</t>
    </r>
    <r>
      <rPr>
        <sz val="12"/>
        <color indexed="8"/>
        <rFont val="Arial"/>
        <family val="2"/>
      </rPr>
      <t xml:space="preserve"> </t>
    </r>
  </si>
  <si>
    <r>
      <rPr>
        <sz val="12"/>
        <color indexed="8"/>
        <rFont val="宋体"/>
        <family val="3"/>
        <charset val="134"/>
      </rPr>
      <t>一般</t>
    </r>
    <r>
      <rPr>
        <sz val="12"/>
        <color indexed="8"/>
        <rFont val="Arial"/>
        <family val="2"/>
      </rPr>
      <t xml:space="preserve"> </t>
    </r>
  </si>
  <si>
    <r>
      <rPr>
        <sz val="12"/>
        <color indexed="8"/>
        <rFont val="宋体"/>
        <family val="3"/>
        <charset val="134"/>
      </rPr>
      <t>较紧</t>
    </r>
    <r>
      <rPr>
        <sz val="12"/>
        <color indexed="8"/>
        <rFont val="Arial"/>
        <family val="2"/>
      </rPr>
      <t xml:space="preserve"> </t>
    </r>
  </si>
  <si>
    <r>
      <rPr>
        <sz val="12"/>
        <color indexed="8"/>
        <rFont val="宋体"/>
        <family val="3"/>
        <charset val="134"/>
      </rPr>
      <t>轴</t>
    </r>
    <r>
      <rPr>
        <sz val="12"/>
        <color indexed="8"/>
        <rFont val="Arial"/>
        <family val="2"/>
      </rPr>
      <t>H9</t>
    </r>
  </si>
  <si>
    <r>
      <rPr>
        <sz val="12"/>
        <color indexed="8"/>
        <rFont val="宋体"/>
        <family val="3"/>
        <charset val="134"/>
      </rPr>
      <t>毂</t>
    </r>
    <r>
      <rPr>
        <sz val="12"/>
        <color indexed="8"/>
        <rFont val="Arial"/>
        <family val="2"/>
      </rPr>
      <t>D10</t>
    </r>
  </si>
  <si>
    <r>
      <rPr>
        <sz val="12"/>
        <color indexed="8"/>
        <rFont val="宋体"/>
        <family val="3"/>
        <charset val="134"/>
      </rPr>
      <t>轴</t>
    </r>
    <r>
      <rPr>
        <sz val="12"/>
        <color indexed="8"/>
        <rFont val="Arial"/>
        <family val="2"/>
      </rPr>
      <t>N8</t>
    </r>
  </si>
  <si>
    <r>
      <rPr>
        <sz val="12"/>
        <color indexed="8"/>
        <rFont val="宋体"/>
        <family val="3"/>
        <charset val="134"/>
      </rPr>
      <t>毂</t>
    </r>
    <r>
      <rPr>
        <sz val="12"/>
        <color indexed="8"/>
        <rFont val="Arial"/>
        <family val="2"/>
      </rPr>
      <t>JS9</t>
    </r>
  </si>
  <si>
    <r>
      <rPr>
        <sz val="12"/>
        <color indexed="8"/>
        <rFont val="宋体"/>
        <family val="3"/>
        <charset val="134"/>
      </rPr>
      <t>轴毂</t>
    </r>
    <r>
      <rPr>
        <sz val="12"/>
        <color indexed="8"/>
        <rFont val="Arial"/>
        <family val="2"/>
      </rPr>
      <t>P9</t>
    </r>
  </si>
  <si>
    <t>公称</t>
  </si>
  <si>
    <r>
      <rPr>
        <sz val="12"/>
        <color indexed="8"/>
        <rFont val="宋体"/>
        <family val="3"/>
        <charset val="134"/>
      </rPr>
      <t>偏差</t>
    </r>
    <r>
      <rPr>
        <sz val="12"/>
        <color indexed="8"/>
        <rFont val="Arial"/>
        <family val="2"/>
      </rPr>
      <t xml:space="preserve"> </t>
    </r>
  </si>
  <si>
    <r>
      <rPr>
        <sz val="12"/>
        <color indexed="8"/>
        <rFont val="宋体"/>
        <family val="3"/>
        <charset val="134"/>
      </rPr>
      <t>最大</t>
    </r>
    <r>
      <rPr>
        <sz val="12"/>
        <color indexed="8"/>
        <rFont val="Arial"/>
        <family val="2"/>
      </rPr>
      <t xml:space="preserve"> </t>
    </r>
  </si>
  <si>
    <r>
      <rPr>
        <sz val="12"/>
        <color indexed="8"/>
        <rFont val="宋体"/>
        <family val="3"/>
        <charset val="134"/>
      </rPr>
      <t>最小</t>
    </r>
    <r>
      <rPr>
        <sz val="12"/>
        <color indexed="8"/>
        <rFont val="Arial"/>
        <family val="2"/>
      </rPr>
      <t xml:space="preserve"> </t>
    </r>
  </si>
  <si>
    <t>6~8</t>
  </si>
  <si>
    <t>2×2</t>
  </si>
  <si>
    <t>±0.0125</t>
  </si>
  <si>
    <r>
      <rPr>
        <sz val="12"/>
        <color indexed="8"/>
        <rFont val="宋体"/>
        <family val="3"/>
        <charset val="134"/>
      </rPr>
      <t>＞</t>
    </r>
    <r>
      <rPr>
        <sz val="12"/>
        <color indexed="8"/>
        <rFont val="Arial"/>
        <family val="2"/>
      </rPr>
      <t>8~10</t>
    </r>
  </si>
  <si>
    <t>3×3</t>
  </si>
  <si>
    <r>
      <rPr>
        <sz val="12"/>
        <color indexed="8"/>
        <rFont val="宋体"/>
        <family val="3"/>
        <charset val="134"/>
      </rPr>
      <t>＞</t>
    </r>
    <r>
      <rPr>
        <sz val="12"/>
        <color indexed="8"/>
        <rFont val="Arial"/>
        <family val="2"/>
      </rPr>
      <t>10~12</t>
    </r>
  </si>
  <si>
    <t>4×4</t>
  </si>
  <si>
    <t>±0.015</t>
  </si>
  <si>
    <r>
      <rPr>
        <sz val="12"/>
        <color indexed="8"/>
        <rFont val="宋体"/>
        <family val="3"/>
        <charset val="134"/>
      </rPr>
      <t>＞</t>
    </r>
    <r>
      <rPr>
        <sz val="12"/>
        <color indexed="8"/>
        <rFont val="Arial"/>
        <family val="2"/>
      </rPr>
      <t>12~17</t>
    </r>
  </si>
  <si>
    <t>5×5</t>
  </si>
  <si>
    <r>
      <rPr>
        <sz val="12"/>
        <color indexed="8"/>
        <rFont val="宋体"/>
        <family val="3"/>
        <charset val="134"/>
      </rPr>
      <t>＞</t>
    </r>
    <r>
      <rPr>
        <sz val="12"/>
        <color indexed="8"/>
        <rFont val="Arial"/>
        <family val="2"/>
      </rPr>
      <t>17~22</t>
    </r>
  </si>
  <si>
    <t>6×6</t>
  </si>
  <si>
    <r>
      <rPr>
        <sz val="12"/>
        <color indexed="8"/>
        <rFont val="宋体"/>
        <family val="3"/>
        <charset val="134"/>
      </rPr>
      <t>＞</t>
    </r>
    <r>
      <rPr>
        <sz val="12"/>
        <color indexed="8"/>
        <rFont val="Arial"/>
        <family val="2"/>
      </rPr>
      <t>22~30</t>
    </r>
  </si>
  <si>
    <t>8×7</t>
  </si>
  <si>
    <t>±0.018</t>
  </si>
  <si>
    <r>
      <rPr>
        <sz val="12"/>
        <color indexed="8"/>
        <rFont val="宋体"/>
        <family val="3"/>
        <charset val="134"/>
      </rPr>
      <t>＞</t>
    </r>
    <r>
      <rPr>
        <sz val="12"/>
        <color indexed="8"/>
        <rFont val="Arial"/>
        <family val="2"/>
      </rPr>
      <t>30~38</t>
    </r>
  </si>
  <si>
    <t>10×8</t>
  </si>
  <si>
    <r>
      <rPr>
        <sz val="12"/>
        <color indexed="8"/>
        <rFont val="宋体"/>
        <family val="3"/>
        <charset val="134"/>
      </rPr>
      <t>＞</t>
    </r>
    <r>
      <rPr>
        <sz val="12"/>
        <color indexed="8"/>
        <rFont val="Arial"/>
        <family val="2"/>
      </rPr>
      <t>38~44</t>
    </r>
  </si>
  <si>
    <t>12×8</t>
  </si>
  <si>
    <t>±0.0215</t>
  </si>
  <si>
    <r>
      <rPr>
        <sz val="12"/>
        <color indexed="8"/>
        <rFont val="宋体"/>
        <family val="3"/>
        <charset val="134"/>
      </rPr>
      <t>＞</t>
    </r>
    <r>
      <rPr>
        <sz val="12"/>
        <color indexed="8"/>
        <rFont val="Arial"/>
        <family val="2"/>
      </rPr>
      <t>44~50</t>
    </r>
  </si>
  <si>
    <t>14×9</t>
  </si>
  <si>
    <r>
      <rPr>
        <sz val="12"/>
        <color indexed="8"/>
        <rFont val="宋体"/>
        <family val="3"/>
        <charset val="134"/>
      </rPr>
      <t>＞</t>
    </r>
    <r>
      <rPr>
        <sz val="12"/>
        <color indexed="8"/>
        <rFont val="Arial"/>
        <family val="2"/>
      </rPr>
      <t>50~58</t>
    </r>
  </si>
  <si>
    <t>16×10</t>
  </si>
  <si>
    <r>
      <rPr>
        <sz val="12"/>
        <color indexed="8"/>
        <rFont val="宋体"/>
        <family val="3"/>
        <charset val="134"/>
      </rPr>
      <t>＞</t>
    </r>
    <r>
      <rPr>
        <sz val="12"/>
        <color indexed="8"/>
        <rFont val="Arial"/>
        <family val="2"/>
      </rPr>
      <t>58~65</t>
    </r>
  </si>
  <si>
    <t>18×11</t>
  </si>
  <si>
    <r>
      <rPr>
        <sz val="12"/>
        <color indexed="8"/>
        <rFont val="宋体"/>
        <family val="3"/>
        <charset val="134"/>
      </rPr>
      <t>＞</t>
    </r>
    <r>
      <rPr>
        <sz val="12"/>
        <color indexed="8"/>
        <rFont val="Arial"/>
        <family val="2"/>
      </rPr>
      <t>65~75</t>
    </r>
  </si>
  <si>
    <t>20×12</t>
  </si>
  <si>
    <t>±0.026</t>
  </si>
  <si>
    <r>
      <rPr>
        <sz val="12"/>
        <color indexed="8"/>
        <rFont val="宋体"/>
        <family val="3"/>
        <charset val="134"/>
      </rPr>
      <t>＞</t>
    </r>
    <r>
      <rPr>
        <sz val="12"/>
        <color indexed="8"/>
        <rFont val="Arial"/>
        <family val="2"/>
      </rPr>
      <t>75~85</t>
    </r>
  </si>
  <si>
    <t>22×14</t>
  </si>
  <si>
    <r>
      <rPr>
        <sz val="12"/>
        <color indexed="8"/>
        <rFont val="宋体"/>
        <family val="3"/>
        <charset val="134"/>
      </rPr>
      <t>＞</t>
    </r>
    <r>
      <rPr>
        <sz val="12"/>
        <color indexed="8"/>
        <rFont val="Arial"/>
        <family val="2"/>
      </rPr>
      <t>85~95</t>
    </r>
  </si>
  <si>
    <t>25×14</t>
  </si>
  <si>
    <r>
      <rPr>
        <sz val="12"/>
        <color indexed="8"/>
        <rFont val="宋体"/>
        <family val="3"/>
        <charset val="134"/>
      </rPr>
      <t>＞</t>
    </r>
    <r>
      <rPr>
        <sz val="12"/>
        <color indexed="8"/>
        <rFont val="Arial"/>
        <family val="2"/>
      </rPr>
      <t>95~110</t>
    </r>
  </si>
  <si>
    <t>28×16</t>
  </si>
  <si>
    <r>
      <rPr>
        <sz val="12"/>
        <color indexed="8"/>
        <rFont val="宋体"/>
        <family val="3"/>
        <charset val="134"/>
      </rPr>
      <t>＞</t>
    </r>
    <r>
      <rPr>
        <sz val="12"/>
        <color indexed="8"/>
        <rFont val="Arial"/>
        <family val="2"/>
      </rPr>
      <t>110~130</t>
    </r>
  </si>
  <si>
    <t>32×18</t>
  </si>
  <si>
    <t>±0.031</t>
  </si>
  <si>
    <r>
      <rPr>
        <sz val="12"/>
        <color indexed="8"/>
        <rFont val="宋体"/>
        <family val="3"/>
        <charset val="134"/>
      </rPr>
      <t>＞</t>
    </r>
    <r>
      <rPr>
        <sz val="12"/>
        <color indexed="8"/>
        <rFont val="Arial"/>
        <family val="2"/>
      </rPr>
      <t>130~150</t>
    </r>
  </si>
  <si>
    <t>36×20</t>
  </si>
  <si>
    <r>
      <rPr>
        <sz val="12"/>
        <color indexed="8"/>
        <rFont val="宋体"/>
        <family val="3"/>
        <charset val="134"/>
      </rPr>
      <t>＞</t>
    </r>
    <r>
      <rPr>
        <sz val="12"/>
        <color indexed="8"/>
        <rFont val="Arial"/>
        <family val="2"/>
      </rPr>
      <t>150~170</t>
    </r>
  </si>
  <si>
    <t>40×22</t>
  </si>
  <si>
    <r>
      <rPr>
        <sz val="12"/>
        <color indexed="8"/>
        <rFont val="宋体"/>
        <family val="3"/>
        <charset val="134"/>
      </rPr>
      <t>＞</t>
    </r>
    <r>
      <rPr>
        <sz val="12"/>
        <color indexed="8"/>
        <rFont val="Arial"/>
        <family val="2"/>
      </rPr>
      <t>170~200</t>
    </r>
  </si>
  <si>
    <t>45×25</t>
  </si>
  <si>
    <r>
      <rPr>
        <sz val="12"/>
        <color indexed="8"/>
        <rFont val="宋体"/>
        <family val="3"/>
        <charset val="134"/>
      </rPr>
      <t>＞</t>
    </r>
    <r>
      <rPr>
        <sz val="12"/>
        <color indexed="8"/>
        <rFont val="Arial"/>
        <family val="2"/>
      </rPr>
      <t>200~230</t>
    </r>
  </si>
  <si>
    <t>50×28</t>
  </si>
  <si>
    <r>
      <rPr>
        <sz val="12"/>
        <color indexed="8"/>
        <rFont val="宋体"/>
        <family val="3"/>
        <charset val="134"/>
      </rPr>
      <t>＞</t>
    </r>
    <r>
      <rPr>
        <sz val="12"/>
        <color indexed="8"/>
        <rFont val="Arial"/>
        <family val="2"/>
      </rPr>
      <t>230~260</t>
    </r>
  </si>
  <si>
    <t>56×32</t>
  </si>
  <si>
    <t>±0.037</t>
  </si>
  <si>
    <r>
      <rPr>
        <sz val="12"/>
        <color indexed="8"/>
        <rFont val="宋体"/>
        <family val="3"/>
        <charset val="134"/>
      </rPr>
      <t>＞</t>
    </r>
    <r>
      <rPr>
        <sz val="12"/>
        <color indexed="8"/>
        <rFont val="Arial"/>
        <family val="2"/>
      </rPr>
      <t>260~290</t>
    </r>
  </si>
  <si>
    <t>63×32</t>
  </si>
  <si>
    <r>
      <rPr>
        <sz val="12"/>
        <color indexed="8"/>
        <rFont val="宋体"/>
        <family val="3"/>
        <charset val="134"/>
      </rPr>
      <t>＞</t>
    </r>
    <r>
      <rPr>
        <sz val="12"/>
        <color indexed="8"/>
        <rFont val="Arial"/>
        <family val="2"/>
      </rPr>
      <t>290~330</t>
    </r>
  </si>
  <si>
    <t>70×36</t>
  </si>
  <si>
    <r>
      <rPr>
        <sz val="12"/>
        <color indexed="8"/>
        <rFont val="宋体"/>
        <family val="3"/>
        <charset val="134"/>
      </rPr>
      <t>＞</t>
    </r>
    <r>
      <rPr>
        <sz val="12"/>
        <color indexed="8"/>
        <rFont val="Arial"/>
        <family val="2"/>
      </rPr>
      <t>330~380</t>
    </r>
  </si>
  <si>
    <t>80×40</t>
  </si>
  <si>
    <r>
      <rPr>
        <sz val="12"/>
        <color indexed="8"/>
        <rFont val="宋体"/>
        <family val="3"/>
        <charset val="134"/>
      </rPr>
      <t>＞</t>
    </r>
    <r>
      <rPr>
        <sz val="12"/>
        <color indexed="8"/>
        <rFont val="Arial"/>
        <family val="2"/>
      </rPr>
      <t>380~440</t>
    </r>
  </si>
  <si>
    <t>90×45</t>
  </si>
  <si>
    <t>±0.0135</t>
  </si>
  <si>
    <r>
      <rPr>
        <sz val="12"/>
        <color indexed="8"/>
        <rFont val="宋体"/>
        <family val="3"/>
        <charset val="134"/>
      </rPr>
      <t>＞</t>
    </r>
    <r>
      <rPr>
        <sz val="12"/>
        <color indexed="8"/>
        <rFont val="Arial"/>
        <family val="2"/>
      </rPr>
      <t>440~500</t>
    </r>
  </si>
  <si>
    <t>100×50</t>
  </si>
  <si>
    <t>轴用E形扣环尺寸表</t>
  </si>
  <si>
    <t>标称直径</t>
  </si>
  <si>
    <t>扣环</t>
  </si>
  <si>
    <t>可适用之轴(参考)</t>
  </si>
  <si>
    <t>d1之划分</t>
  </si>
  <si>
    <t>标准尺寸</t>
  </si>
  <si>
    <t>容许差</t>
  </si>
  <si>
    <t>约</t>
  </si>
  <si>
    <t>未满</t>
  </si>
  <si>
    <r>
      <rPr>
        <sz val="12"/>
        <rFont val="宋体"/>
        <family val="3"/>
        <charset val="134"/>
      </rPr>
      <t>0             -</t>
    </r>
    <r>
      <rPr>
        <sz val="12"/>
        <rFont val="宋体"/>
        <family val="3"/>
        <charset val="134"/>
      </rPr>
      <t>0.15</t>
    </r>
  </si>
  <si>
    <r>
      <rPr>
        <sz val="12"/>
        <rFont val="宋体"/>
        <family val="3"/>
        <charset val="134"/>
      </rPr>
      <t>±</t>
    </r>
    <r>
      <rPr>
        <sz val="12"/>
        <rFont val="宋体"/>
        <family val="3"/>
        <charset val="134"/>
      </rPr>
      <t>0.1</t>
    </r>
  </si>
  <si>
    <r>
      <rPr>
        <sz val="12"/>
        <rFont val="宋体"/>
        <family val="3"/>
        <charset val="134"/>
      </rPr>
      <t>0             -</t>
    </r>
    <r>
      <rPr>
        <sz val="12"/>
        <rFont val="宋体"/>
        <family val="3"/>
        <charset val="134"/>
      </rPr>
      <t>0.25</t>
    </r>
  </si>
  <si>
    <r>
      <rPr>
        <sz val="12"/>
        <rFont val="宋体"/>
        <family val="3"/>
        <charset val="134"/>
      </rPr>
      <t>±0.</t>
    </r>
    <r>
      <rPr>
        <sz val="12"/>
        <rFont val="宋体"/>
        <family val="3"/>
        <charset val="134"/>
      </rPr>
      <t>02</t>
    </r>
  </si>
  <si>
    <t>0.05             0</t>
  </si>
  <si>
    <r>
      <rPr>
        <sz val="12"/>
        <rFont val="宋体"/>
        <family val="3"/>
        <charset val="134"/>
      </rPr>
      <t>0.</t>
    </r>
    <r>
      <rPr>
        <sz val="12"/>
        <rFont val="宋体"/>
        <family val="3"/>
        <charset val="134"/>
      </rPr>
      <t>05      0</t>
    </r>
  </si>
  <si>
    <r>
      <rPr>
        <sz val="12"/>
        <rFont val="宋体"/>
        <family val="3"/>
        <charset val="134"/>
      </rPr>
      <t>0                   -</t>
    </r>
    <r>
      <rPr>
        <sz val="12"/>
        <rFont val="宋体"/>
        <family val="3"/>
        <charset val="134"/>
      </rPr>
      <t>0.09</t>
    </r>
  </si>
  <si>
    <r>
      <rPr>
        <sz val="12"/>
        <rFont val="宋体"/>
        <family val="3"/>
        <charset val="134"/>
      </rPr>
      <t>±0.</t>
    </r>
    <r>
      <rPr>
        <sz val="12"/>
        <rFont val="宋体"/>
        <family val="3"/>
        <charset val="134"/>
      </rPr>
      <t>025</t>
    </r>
  </si>
  <si>
    <t>0.06             0</t>
  </si>
  <si>
    <r>
      <rPr>
        <sz val="12"/>
        <rFont val="宋体"/>
        <family val="3"/>
        <charset val="134"/>
      </rPr>
      <t>±</t>
    </r>
    <r>
      <rPr>
        <sz val="12"/>
        <rFont val="宋体"/>
        <family val="3"/>
        <charset val="134"/>
      </rPr>
      <t>0.2</t>
    </r>
  </si>
  <si>
    <r>
      <rPr>
        <sz val="12"/>
        <rFont val="宋体"/>
        <family val="3"/>
        <charset val="134"/>
      </rPr>
      <t>±0.</t>
    </r>
    <r>
      <rPr>
        <sz val="12"/>
        <rFont val="宋体"/>
        <family val="3"/>
        <charset val="134"/>
      </rPr>
      <t>03</t>
    </r>
  </si>
  <si>
    <r>
      <rPr>
        <sz val="12"/>
        <rFont val="宋体"/>
        <family val="3"/>
        <charset val="134"/>
      </rPr>
      <t>±0.</t>
    </r>
    <r>
      <rPr>
        <sz val="12"/>
        <rFont val="宋体"/>
        <family val="3"/>
        <charset val="134"/>
      </rPr>
      <t>04</t>
    </r>
  </si>
  <si>
    <t>0.1         0</t>
  </si>
  <si>
    <t>0                   -0.12</t>
  </si>
  <si>
    <t>0             -0.3</t>
  </si>
  <si>
    <t>0.075             0</t>
  </si>
  <si>
    <r>
      <rPr>
        <sz val="12"/>
        <rFont val="宋体"/>
        <family val="3"/>
        <charset val="134"/>
      </rPr>
      <t>0               -</t>
    </r>
    <r>
      <rPr>
        <sz val="12"/>
        <rFont val="宋体"/>
        <family val="3"/>
        <charset val="134"/>
      </rPr>
      <t>0.15</t>
    </r>
  </si>
  <si>
    <t>0             -0.35</t>
  </si>
  <si>
    <t>0.09             0</t>
  </si>
  <si>
    <r>
      <rPr>
        <sz val="12"/>
        <rFont val="宋体"/>
        <family val="3"/>
        <charset val="134"/>
      </rPr>
      <t>±</t>
    </r>
    <r>
      <rPr>
        <sz val="12"/>
        <rFont val="宋体"/>
        <family val="3"/>
        <charset val="134"/>
      </rPr>
      <t>0.3</t>
    </r>
  </si>
  <si>
    <t>0.14      0</t>
  </si>
  <si>
    <t>0               -0.18</t>
  </si>
  <si>
    <t>0             -0.45</t>
  </si>
  <si>
    <t>0.11             0</t>
  </si>
  <si>
    <r>
      <rPr>
        <sz val="12"/>
        <rFont val="宋体"/>
        <family val="3"/>
        <charset val="134"/>
      </rPr>
      <t>±0.</t>
    </r>
    <r>
      <rPr>
        <sz val="12"/>
        <rFont val="宋体"/>
        <family val="3"/>
        <charset val="134"/>
      </rPr>
      <t>05</t>
    </r>
  </si>
  <si>
    <t>0               -0.21</t>
  </si>
  <si>
    <t>0.13             0</t>
  </si>
  <si>
    <t>0             -0.5</t>
  </si>
  <si>
    <r>
      <rPr>
        <sz val="12"/>
        <rFont val="宋体"/>
        <family val="3"/>
        <charset val="134"/>
      </rPr>
      <t>±0.</t>
    </r>
    <r>
      <rPr>
        <sz val="12"/>
        <rFont val="宋体"/>
        <family val="3"/>
        <charset val="134"/>
      </rPr>
      <t>06</t>
    </r>
  </si>
  <si>
    <t>轴用弹性挡圈尺寸表</t>
  </si>
  <si>
    <t>标称</t>
  </si>
  <si>
    <t>挡圈</t>
  </si>
  <si>
    <t>可适用之轴（参考）</t>
  </si>
  <si>
    <t>d3</t>
  </si>
  <si>
    <t>挡圈厚度t</t>
  </si>
  <si>
    <t>b      约</t>
  </si>
  <si>
    <t>a     约</t>
  </si>
  <si>
    <t>d0    最小</t>
  </si>
  <si>
    <t>d5</t>
  </si>
  <si>
    <t>切槽直径d2</t>
  </si>
  <si>
    <t>切槽宽度m</t>
  </si>
  <si>
    <t>0              -0.09</t>
  </si>
  <si>
    <t>0              -0.11</t>
  </si>
  <si>
    <t>±0.18</t>
  </si>
  <si>
    <t>±0.06</t>
  </si>
  <si>
    <t>±0.20</t>
  </si>
  <si>
    <t>0              -0.21</t>
  </si>
  <si>
    <t>1.6*</t>
  </si>
  <si>
    <t>0                -0.25</t>
  </si>
  <si>
    <t>±0.25</t>
  </si>
  <si>
    <t>±0.07</t>
  </si>
  <si>
    <t>±0.40</t>
  </si>
  <si>
    <t>±0.45</t>
  </si>
  <si>
    <t>0            -0.3</t>
  </si>
  <si>
    <t>±0.08</t>
  </si>
  <si>
    <t>±0.09</t>
  </si>
  <si>
    <t>0               -0.35</t>
  </si>
  <si>
    <t>0.18          0</t>
  </si>
  <si>
    <t>±0.55</t>
  </si>
  <si>
    <t>0                      -0.54</t>
  </si>
  <si>
    <t>0                     -0.63</t>
  </si>
  <si>
    <t>孔用弹性挡圈尺寸表</t>
  </si>
  <si>
    <t>可适用之孔（参考）</t>
  </si>
  <si>
    <t>沟槽直径d2</t>
  </si>
  <si>
    <t>沟槽宽度m</t>
  </si>
  <si>
    <t>0.11              0</t>
  </si>
  <si>
    <t>0.21              0</t>
  </si>
  <si>
    <t>0.25                0</t>
  </si>
  <si>
    <t>1.75*</t>
  </si>
  <si>
    <t>0.3            0</t>
  </si>
  <si>
    <t>0.35               0</t>
  </si>
  <si>
    <t>0.18                     0</t>
  </si>
  <si>
    <t>0.54                     0</t>
  </si>
  <si>
    <t>±0.65</t>
  </si>
  <si>
    <t>0.63                     0</t>
  </si>
  <si>
    <t xml:space="preserve">     齿轮齿条传动设计计算              </t>
  </si>
  <si>
    <r>
      <rPr>
        <b/>
        <sz val="10"/>
        <color indexed="23"/>
        <rFont val="宋体"/>
        <family val="3"/>
        <charset val="134"/>
      </rPr>
      <t>说明：</t>
    </r>
    <r>
      <rPr>
        <sz val="10"/>
        <color indexed="23"/>
        <rFont val="宋体"/>
        <family val="3"/>
        <charset val="134"/>
      </rPr>
      <t xml:space="preserve">本程序适用于轴交角为 </t>
    </r>
    <r>
      <rPr>
        <sz val="10"/>
        <color indexed="23"/>
        <rFont val="Times New Roman"/>
        <family val="1"/>
      </rPr>
      <t xml:space="preserve">0 </t>
    </r>
    <r>
      <rPr>
        <sz val="10"/>
        <color indexed="23"/>
        <rFont val="宋体"/>
        <family val="3"/>
        <charset val="134"/>
      </rPr>
      <t>度的变位和非变位直齿、斜齿渐开线圆柱齿轮与齿条传动的设计计算。公差数值</t>
    </r>
  </si>
  <si>
    <r>
      <rPr>
        <sz val="10"/>
        <color indexed="23"/>
        <rFont val="Times New Roman"/>
        <family val="1"/>
      </rPr>
      <t xml:space="preserve">              </t>
    </r>
    <r>
      <rPr>
        <sz val="10"/>
        <color indexed="23"/>
        <rFont val="宋体"/>
        <family val="3"/>
        <charset val="134"/>
      </rPr>
      <t xml:space="preserve">是按照法向模数 </t>
    </r>
    <r>
      <rPr>
        <sz val="10"/>
        <color indexed="23"/>
        <rFont val="Times New Roman"/>
        <family val="1"/>
      </rPr>
      <t xml:space="preserve">1 </t>
    </r>
    <r>
      <rPr>
        <sz val="10"/>
        <color indexed="23"/>
        <rFont val="宋体"/>
        <family val="3"/>
        <charset val="134"/>
      </rPr>
      <t>至</t>
    </r>
    <r>
      <rPr>
        <sz val="10"/>
        <color indexed="23"/>
        <rFont val="Times New Roman"/>
        <family val="1"/>
      </rPr>
      <t xml:space="preserve"> 10 </t>
    </r>
    <r>
      <rPr>
        <sz val="10"/>
        <color indexed="23"/>
        <rFont val="宋体"/>
        <family val="3"/>
        <charset val="134"/>
      </rPr>
      <t>毫米，齿条长度</t>
    </r>
    <r>
      <rPr>
        <sz val="10"/>
        <color indexed="23"/>
        <rFont val="Times New Roman"/>
        <family val="1"/>
      </rPr>
      <t xml:space="preserve"> 1600 </t>
    </r>
    <r>
      <rPr>
        <sz val="10"/>
        <color indexed="23"/>
        <rFont val="宋体"/>
        <family val="3"/>
        <charset val="134"/>
      </rPr>
      <t>毫米以下，精度等级 3、4、5、6、7、8 级设定的。可进行</t>
    </r>
  </si>
  <si>
    <r>
      <rPr>
        <sz val="10"/>
        <color indexed="23"/>
        <rFont val="Times New Roman"/>
        <family val="1"/>
      </rPr>
      <t xml:space="preserve">              </t>
    </r>
    <r>
      <rPr>
        <sz val="10"/>
        <color indexed="23"/>
        <rFont val="宋体"/>
        <family val="3"/>
        <charset val="134"/>
      </rPr>
      <t>几何参数计算和传动质量指标的验算。</t>
    </r>
  </si>
  <si>
    <r>
      <rPr>
        <b/>
        <sz val="10"/>
        <color indexed="23"/>
        <rFont val="宋体"/>
        <family val="3"/>
        <charset val="134"/>
      </rPr>
      <t>引用标准：</t>
    </r>
    <r>
      <rPr>
        <sz val="10"/>
        <color indexed="23"/>
        <rFont val="Times New Roman"/>
        <family val="1"/>
      </rPr>
      <t xml:space="preserve">GB 10096--88   </t>
    </r>
    <r>
      <rPr>
        <sz val="10"/>
        <color indexed="23"/>
        <rFont val="宋体"/>
        <family val="3"/>
        <charset val="134"/>
      </rPr>
      <t>齿条精度，</t>
    </r>
    <r>
      <rPr>
        <sz val="10"/>
        <color indexed="23"/>
        <rFont val="Times New Roman"/>
        <family val="1"/>
      </rPr>
      <t xml:space="preserve">  GB 10095--88   </t>
    </r>
    <r>
      <rPr>
        <sz val="10"/>
        <color indexed="23"/>
        <rFont val="宋体"/>
        <family val="3"/>
        <charset val="134"/>
      </rPr>
      <t>渐开线圆柱齿轮</t>
    </r>
    <r>
      <rPr>
        <sz val="10"/>
        <color indexed="23"/>
        <rFont val="Times New Roman"/>
        <family val="1"/>
      </rPr>
      <t xml:space="preserve">  </t>
    </r>
    <r>
      <rPr>
        <sz val="10"/>
        <color indexed="23"/>
        <rFont val="宋体"/>
        <family val="3"/>
        <charset val="134"/>
      </rPr>
      <t>精度</t>
    </r>
  </si>
  <si>
    <r>
      <rPr>
        <sz val="10"/>
        <color indexed="23"/>
        <rFont val="宋体"/>
        <family val="3"/>
        <charset val="134"/>
      </rPr>
      <t>程序设计：</t>
    </r>
    <r>
      <rPr>
        <sz val="10"/>
        <color indexed="23"/>
        <rFont val="Times New Roman"/>
        <family val="1"/>
      </rPr>
      <t xml:space="preserve">  </t>
    </r>
    <r>
      <rPr>
        <sz val="10"/>
        <color indexed="23"/>
        <rFont val="宋体"/>
        <family val="3"/>
        <charset val="134"/>
      </rPr>
      <t>邓时俊 2002.06</t>
    </r>
  </si>
  <si>
    <r>
      <rPr>
        <sz val="12"/>
        <rFont val="宋体"/>
        <family val="3"/>
        <charset val="134"/>
      </rPr>
      <t>齿</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旋</t>
    </r>
    <r>
      <rPr>
        <sz val="12"/>
        <rFont val="Times New Roman"/>
        <family val="1"/>
      </rPr>
      <t xml:space="preserve">   </t>
    </r>
    <r>
      <rPr>
        <sz val="12"/>
        <rFont val="宋体"/>
        <family val="3"/>
        <charset val="134"/>
      </rPr>
      <t>向</t>
    </r>
  </si>
  <si>
    <r>
      <rPr>
        <sz val="10"/>
        <color indexed="12"/>
        <rFont val="宋体"/>
        <family val="3"/>
        <charset val="134"/>
      </rPr>
      <t xml:space="preserve">注：左旋输入 </t>
    </r>
    <r>
      <rPr>
        <b/>
        <sz val="10"/>
        <color indexed="10"/>
        <rFont val="Times New Roman"/>
        <family val="1"/>
      </rPr>
      <t>L</t>
    </r>
    <r>
      <rPr>
        <sz val="10"/>
        <color indexed="12"/>
        <rFont val="宋体"/>
        <family val="3"/>
        <charset val="134"/>
      </rPr>
      <t xml:space="preserve">，右旋输入 </t>
    </r>
    <r>
      <rPr>
        <b/>
        <sz val="10"/>
        <color indexed="10"/>
        <rFont val="Times New Roman"/>
        <family val="1"/>
      </rPr>
      <t>R</t>
    </r>
    <r>
      <rPr>
        <sz val="10"/>
        <color indexed="12"/>
        <rFont val="宋体"/>
        <family val="3"/>
        <charset val="134"/>
      </rPr>
      <t>，直齿不输入。</t>
    </r>
  </si>
  <si>
    <r>
      <rPr>
        <sz val="12"/>
        <rFont val="宋体"/>
        <family val="3"/>
        <charset val="134"/>
      </rPr>
      <t>齿</t>
    </r>
    <r>
      <rPr>
        <sz val="12"/>
        <rFont val="Times New Roman"/>
        <family val="1"/>
      </rPr>
      <t xml:space="preserve">   </t>
    </r>
    <r>
      <rPr>
        <sz val="12"/>
        <rFont val="宋体"/>
        <family val="3"/>
        <charset val="134"/>
      </rPr>
      <t>条</t>
    </r>
    <r>
      <rPr>
        <sz val="12"/>
        <rFont val="Times New Roman"/>
        <family val="1"/>
      </rPr>
      <t xml:space="preserve">   </t>
    </r>
    <r>
      <rPr>
        <sz val="12"/>
        <rFont val="宋体"/>
        <family val="3"/>
        <charset val="134"/>
      </rPr>
      <t>旋</t>
    </r>
    <r>
      <rPr>
        <sz val="12"/>
        <rFont val="Times New Roman"/>
        <family val="1"/>
      </rPr>
      <t xml:space="preserve">   </t>
    </r>
    <r>
      <rPr>
        <sz val="12"/>
        <rFont val="宋体"/>
        <family val="3"/>
        <charset val="134"/>
      </rPr>
      <t>向</t>
    </r>
  </si>
  <si>
    <r>
      <rPr>
        <sz val="12"/>
        <rFont val="宋体"/>
        <family val="3"/>
        <charset val="134"/>
      </rPr>
      <t>齿</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数</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</si>
  <si>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模</t>
    </r>
    <r>
      <rPr>
        <sz val="12"/>
        <rFont val="Times New Roman"/>
        <family val="1"/>
      </rPr>
      <t xml:space="preserve">   </t>
    </r>
    <r>
      <rPr>
        <sz val="12"/>
        <rFont val="宋体"/>
        <family val="3"/>
        <charset val="134"/>
      </rPr>
      <t>数</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</si>
  <si>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压</t>
    </r>
    <r>
      <rPr>
        <sz val="12"/>
        <rFont val="Times New Roman"/>
        <family val="1"/>
      </rPr>
      <t xml:space="preserve"> </t>
    </r>
    <r>
      <rPr>
        <sz val="12"/>
        <rFont val="宋体"/>
        <family val="3"/>
        <charset val="134"/>
      </rPr>
      <t>力</t>
    </r>
    <r>
      <rPr>
        <sz val="12"/>
        <rFont val="Times New Roman"/>
        <family val="1"/>
      </rPr>
      <t xml:space="preserve"> </t>
    </r>
    <r>
      <rPr>
        <sz val="12"/>
        <rFont val="宋体"/>
        <family val="3"/>
        <charset val="134"/>
      </rPr>
      <t>角</t>
    </r>
  </si>
  <si>
    <r>
      <rPr>
        <sz val="12"/>
        <rFont val="宋体"/>
        <family val="3"/>
        <charset val="134"/>
      </rPr>
      <t>螺</t>
    </r>
    <r>
      <rPr>
        <sz val="12"/>
        <rFont val="Times New Roman"/>
        <family val="1"/>
      </rPr>
      <t xml:space="preserve">      </t>
    </r>
    <r>
      <rPr>
        <sz val="12"/>
        <rFont val="宋体"/>
        <family val="3"/>
        <charset val="134"/>
      </rPr>
      <t>旋      角</t>
    </r>
  </si>
  <si>
    <r>
      <rPr>
        <sz val="12"/>
        <rFont val="宋体"/>
        <family val="3"/>
        <charset val="134"/>
      </rPr>
      <t>有</t>
    </r>
    <r>
      <rPr>
        <sz val="12"/>
        <rFont val="Times New Roman"/>
        <family val="1"/>
      </rPr>
      <t xml:space="preserve">   </t>
    </r>
    <r>
      <rPr>
        <sz val="12"/>
        <rFont val="宋体"/>
        <family val="3"/>
        <charset val="134"/>
      </rPr>
      <t>效</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宽</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</si>
  <si>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</si>
  <si>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顶</t>
    </r>
    <r>
      <rPr>
        <sz val="12"/>
        <rFont val="Times New Roman"/>
        <family val="1"/>
      </rPr>
      <t xml:space="preserve">   </t>
    </r>
    <r>
      <rPr>
        <sz val="12"/>
        <rFont val="宋体"/>
        <family val="3"/>
        <charset val="134"/>
      </rPr>
      <t>隙</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</si>
  <si>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0"/>
        <color indexed="12"/>
        <rFont val="宋体"/>
        <family val="3"/>
        <charset val="134"/>
      </rPr>
      <t>说明：在下面输入</t>
    </r>
    <r>
      <rPr>
        <sz val="10"/>
        <color indexed="10"/>
        <rFont val="宋体"/>
        <family val="3"/>
        <charset val="134"/>
      </rPr>
      <t>安装距</t>
    </r>
    <r>
      <rPr>
        <sz val="10"/>
        <color indexed="12"/>
        <rFont val="宋体"/>
        <family val="3"/>
        <charset val="134"/>
      </rPr>
      <t>或</t>
    </r>
    <r>
      <rPr>
        <sz val="10"/>
        <color indexed="10"/>
        <rFont val="宋体"/>
        <family val="3"/>
        <charset val="134"/>
      </rPr>
      <t>齿条分度线至基准面距离</t>
    </r>
    <r>
      <rPr>
        <sz val="10"/>
        <color indexed="12"/>
        <rFont val="宋体"/>
        <family val="3"/>
        <charset val="134"/>
      </rPr>
      <t>，二者只输入其中之一。</t>
    </r>
  </si>
  <si>
    <r>
      <rPr>
        <sz val="12"/>
        <rFont val="宋体"/>
        <family val="3"/>
        <charset val="134"/>
      </rPr>
      <t>齿</t>
    </r>
    <r>
      <rPr>
        <sz val="12"/>
        <rFont val="Times New Roman"/>
        <family val="1"/>
      </rPr>
      <t xml:space="preserve">   </t>
    </r>
    <r>
      <rPr>
        <sz val="12"/>
        <rFont val="宋体"/>
        <family val="3"/>
        <charset val="134"/>
      </rPr>
      <t>条</t>
    </r>
    <r>
      <rPr>
        <sz val="12"/>
        <rFont val="Times New Roman"/>
        <family val="1"/>
      </rPr>
      <t xml:space="preserve">   </t>
    </r>
    <r>
      <rPr>
        <sz val="12"/>
        <rFont val="宋体"/>
        <family val="3"/>
        <charset val="134"/>
      </rPr>
      <t>长</t>
    </r>
    <r>
      <rPr>
        <sz val="12"/>
        <rFont val="Times New Roman"/>
        <family val="1"/>
      </rPr>
      <t xml:space="preserve">   </t>
    </r>
    <r>
      <rPr>
        <sz val="12"/>
        <rFont val="宋体"/>
        <family val="3"/>
        <charset val="134"/>
      </rPr>
      <t>度</t>
    </r>
  </si>
  <si>
    <r>
      <rPr>
        <sz val="12"/>
        <rFont val="Times New Roman"/>
        <family val="1"/>
      </rPr>
      <t>L</t>
    </r>
    <r>
      <rPr>
        <sz val="10"/>
        <rFont val="Times New Roman"/>
        <family val="1"/>
      </rPr>
      <t>2</t>
    </r>
  </si>
  <si>
    <r>
      <rPr>
        <sz val="10"/>
        <color indexed="12"/>
        <rFont val="宋体"/>
        <family val="3"/>
        <charset val="134"/>
      </rPr>
      <t>输入方式</t>
    </r>
    <r>
      <rPr>
        <sz val="10"/>
        <color indexed="12"/>
        <rFont val="Times New Roman"/>
        <family val="1"/>
      </rPr>
      <t xml:space="preserve"> 1</t>
    </r>
    <r>
      <rPr>
        <sz val="10"/>
        <color indexed="12"/>
        <rFont val="宋体"/>
        <family val="3"/>
        <charset val="134"/>
      </rPr>
      <t>：</t>
    </r>
  </si>
  <si>
    <t>齿轮齿厚上偏差代码</t>
  </si>
  <si>
    <t>齿轮齿厚下偏差代码</t>
  </si>
  <si>
    <t>齿条齿厚上偏差代码</t>
  </si>
  <si>
    <t>齿条齿厚下偏差代码</t>
  </si>
  <si>
    <r>
      <rPr>
        <sz val="12"/>
        <rFont val="宋体"/>
        <family val="3"/>
        <charset val="134"/>
      </rPr>
      <t>最</t>
    </r>
    <r>
      <rPr>
        <sz val="12"/>
        <rFont val="宋体"/>
        <family val="3"/>
        <charset val="134"/>
      </rPr>
      <t>小</t>
    </r>
    <r>
      <rPr>
        <sz val="12"/>
        <rFont val="宋体"/>
        <family val="3"/>
        <charset val="134"/>
      </rPr>
      <t>法</t>
    </r>
    <r>
      <rPr>
        <sz val="12"/>
        <rFont val="宋体"/>
        <family val="3"/>
        <charset val="134"/>
      </rPr>
      <t>向</t>
    </r>
    <r>
      <rPr>
        <sz val="12"/>
        <rFont val="宋体"/>
        <family val="3"/>
        <charset val="134"/>
      </rPr>
      <t>侧</t>
    </r>
    <r>
      <rPr>
        <sz val="12"/>
        <rFont val="宋体"/>
        <family val="3"/>
        <charset val="134"/>
      </rPr>
      <t>隙</t>
    </r>
  </si>
  <si>
    <r>
      <rPr>
        <sz val="12"/>
        <rFont val="宋体"/>
        <family val="3"/>
        <charset val="134"/>
      </rPr>
      <t>最</t>
    </r>
    <r>
      <rPr>
        <sz val="12"/>
        <rFont val="宋体"/>
        <family val="3"/>
        <charset val="134"/>
      </rPr>
      <t>大</t>
    </r>
    <r>
      <rPr>
        <sz val="12"/>
        <rFont val="宋体"/>
        <family val="3"/>
        <charset val="134"/>
      </rPr>
      <t>法</t>
    </r>
    <r>
      <rPr>
        <sz val="12"/>
        <rFont val="宋体"/>
        <family val="3"/>
        <charset val="134"/>
      </rPr>
      <t>向</t>
    </r>
    <r>
      <rPr>
        <sz val="12"/>
        <rFont val="宋体"/>
        <family val="3"/>
        <charset val="134"/>
      </rPr>
      <t>侧</t>
    </r>
    <r>
      <rPr>
        <sz val="12"/>
        <rFont val="宋体"/>
        <family val="3"/>
        <charset val="134"/>
      </rPr>
      <t>隙</t>
    </r>
  </si>
  <si>
    <r>
      <rPr>
        <sz val="10"/>
        <color indexed="12"/>
        <rFont val="宋体"/>
        <family val="3"/>
        <charset val="134"/>
      </rPr>
      <t>输入方式</t>
    </r>
    <r>
      <rPr>
        <sz val="10"/>
        <color indexed="12"/>
        <rFont val="Times New Roman"/>
        <family val="1"/>
      </rPr>
      <t xml:space="preserve"> 2</t>
    </r>
    <r>
      <rPr>
        <sz val="10"/>
        <color indexed="12"/>
        <rFont val="宋体"/>
        <family val="3"/>
        <charset val="134"/>
      </rPr>
      <t>：</t>
    </r>
  </si>
  <si>
    <t>说明：如在下面输入齿厚上、下偏差的具体数值，则不认上面已输入的齿厚上、下偏差种类代码。</t>
  </si>
  <si>
    <t>齿轮齿厚上偏差</t>
  </si>
  <si>
    <t>齿轮齿厚下偏差</t>
  </si>
  <si>
    <t>齿条齿厚上偏差</t>
  </si>
  <si>
    <t>齿条齿厚下偏差</t>
  </si>
  <si>
    <r>
      <rPr>
        <b/>
        <sz val="12"/>
        <rFont val="宋体"/>
        <family val="3"/>
        <charset val="134"/>
      </rPr>
      <t>齿</t>
    </r>
    <r>
      <rPr>
        <b/>
        <sz val="12"/>
        <rFont val="Times New Roman"/>
        <family val="1"/>
      </rPr>
      <t xml:space="preserve">   </t>
    </r>
    <r>
      <rPr>
        <b/>
        <sz val="12"/>
        <rFont val="宋体"/>
        <family val="3"/>
        <charset val="134"/>
      </rPr>
      <t xml:space="preserve">轮 </t>
    </r>
    <r>
      <rPr>
        <b/>
        <sz val="12"/>
        <rFont val="Times New Roman"/>
        <family val="1"/>
      </rPr>
      <t xml:space="preserve"> </t>
    </r>
  </si>
  <si>
    <r>
      <rPr>
        <b/>
        <sz val="12"/>
        <rFont val="宋体"/>
        <family val="3"/>
        <charset val="134"/>
      </rPr>
      <t>齿</t>
    </r>
    <r>
      <rPr>
        <b/>
        <sz val="12"/>
        <rFont val="Times New Roman"/>
        <family val="1"/>
      </rPr>
      <t xml:space="preserve">   </t>
    </r>
    <r>
      <rPr>
        <b/>
        <sz val="12"/>
        <rFont val="宋体"/>
        <family val="3"/>
        <charset val="134"/>
      </rPr>
      <t xml:space="preserve">条 </t>
    </r>
  </si>
  <si>
    <r>
      <rPr>
        <sz val="12"/>
        <rFont val="宋体"/>
        <family val="3"/>
        <charset val="134"/>
      </rPr>
      <t>齿 顶</t>
    </r>
    <r>
      <rPr>
        <sz val="12"/>
        <rFont val="宋体"/>
        <family val="3"/>
        <charset val="134"/>
      </rPr>
      <t xml:space="preserve"> </t>
    </r>
    <r>
      <rPr>
        <sz val="12"/>
        <rFont val="宋体"/>
        <family val="3"/>
        <charset val="134"/>
      </rPr>
      <t>变</t>
    </r>
    <r>
      <rPr>
        <sz val="12"/>
        <rFont val="宋体"/>
        <family val="3"/>
        <charset val="134"/>
      </rPr>
      <t xml:space="preserve"> </t>
    </r>
    <r>
      <rPr>
        <sz val="12"/>
        <rFont val="宋体"/>
        <family val="3"/>
        <charset val="134"/>
      </rPr>
      <t>尖</t>
    </r>
  </si>
  <si>
    <t>顶宽 &gt;</t>
  </si>
  <si>
    <r>
      <rPr>
        <sz val="10"/>
        <color indexed="12"/>
        <rFont val="宋体"/>
        <family val="3"/>
        <charset val="134"/>
      </rPr>
      <t xml:space="preserve">顶宽 </t>
    </r>
    <r>
      <rPr>
        <sz val="10"/>
        <color indexed="12"/>
        <rFont val="Times New Roman"/>
        <family val="1"/>
      </rPr>
      <t>&gt;</t>
    </r>
  </si>
  <si>
    <r>
      <rPr>
        <sz val="12"/>
        <rFont val="宋体"/>
        <family val="3"/>
        <charset val="134"/>
      </rPr>
      <t>重</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度</t>
    </r>
  </si>
  <si>
    <t>（INVαn）</t>
  </si>
  <si>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压</t>
    </r>
    <r>
      <rPr>
        <sz val="12"/>
        <rFont val="Times New Roman"/>
        <family val="1"/>
      </rPr>
      <t xml:space="preserve"> </t>
    </r>
    <r>
      <rPr>
        <sz val="12"/>
        <rFont val="宋体"/>
        <family val="3"/>
        <charset val="134"/>
      </rPr>
      <t>力</t>
    </r>
    <r>
      <rPr>
        <sz val="12"/>
        <rFont val="Times New Roman"/>
        <family val="1"/>
      </rPr>
      <t xml:space="preserve"> </t>
    </r>
    <r>
      <rPr>
        <sz val="12"/>
        <rFont val="宋体"/>
        <family val="3"/>
        <charset val="134"/>
      </rPr>
      <t>角</t>
    </r>
  </si>
  <si>
    <r>
      <rPr>
        <sz val="12"/>
        <rFont val="宋体"/>
        <family val="3"/>
        <charset val="134"/>
      </rPr>
      <t>α</t>
    </r>
    <r>
      <rPr>
        <sz val="10"/>
        <rFont val="宋体"/>
        <family val="3"/>
        <charset val="134"/>
      </rPr>
      <t>t</t>
    </r>
  </si>
  <si>
    <t>（INVαt）</t>
  </si>
  <si>
    <r>
      <rPr>
        <sz val="12"/>
        <rFont val="宋体"/>
        <family val="3"/>
        <charset val="134"/>
      </rPr>
      <t>β</t>
    </r>
    <r>
      <rPr>
        <sz val="10"/>
        <rFont val="宋体"/>
        <family val="3"/>
        <charset val="134"/>
      </rPr>
      <t>b</t>
    </r>
  </si>
  <si>
    <r>
      <rPr>
        <sz val="12"/>
        <rFont val="宋体"/>
        <family val="3"/>
        <charset val="134"/>
      </rPr>
      <t>β</t>
    </r>
    <r>
      <rPr>
        <sz val="10"/>
        <rFont val="宋体"/>
        <family val="3"/>
        <charset val="134"/>
      </rPr>
      <t>a</t>
    </r>
  </si>
  <si>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模</t>
    </r>
    <r>
      <rPr>
        <sz val="12"/>
        <rFont val="Times New Roman"/>
        <family val="1"/>
      </rPr>
      <t xml:space="preserve">   </t>
    </r>
    <r>
      <rPr>
        <sz val="12"/>
        <rFont val="宋体"/>
        <family val="3"/>
        <charset val="134"/>
      </rPr>
      <t>数</t>
    </r>
  </si>
  <si>
    <r>
      <rPr>
        <sz val="12"/>
        <rFont val="宋体"/>
        <family val="3"/>
        <charset val="134"/>
      </rPr>
      <t>分</t>
    </r>
    <r>
      <rPr>
        <sz val="12"/>
        <rFont val="Times New Roman"/>
        <family val="1"/>
      </rPr>
      <t xml:space="preserve"> </t>
    </r>
    <r>
      <rPr>
        <sz val="12"/>
        <rFont val="宋体"/>
        <family val="3"/>
        <charset val="134"/>
      </rPr>
      <t>度</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</si>
  <si>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节</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</si>
  <si>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t>齿条分度线至基准面距离</t>
  </si>
  <si>
    <r>
      <rPr>
        <sz val="12"/>
        <rFont val="宋体"/>
        <family val="3"/>
        <charset val="134"/>
      </rPr>
      <t>基</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</si>
  <si>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t>齿条节线至基准面距离</t>
  </si>
  <si>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啮</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角</t>
    </r>
  </si>
  <si>
    <r>
      <rPr>
        <sz val="12"/>
        <rFont val="宋体"/>
        <family val="3"/>
        <charset val="134"/>
      </rPr>
      <t>α</t>
    </r>
    <r>
      <rPr>
        <sz val="10"/>
        <rFont val="宋体"/>
        <family val="3"/>
        <charset val="134"/>
      </rPr>
      <t>t'</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</si>
  <si>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啮</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角</t>
    </r>
  </si>
  <si>
    <r>
      <rPr>
        <sz val="12"/>
        <rFont val="宋体"/>
        <family val="3"/>
        <charset val="134"/>
      </rPr>
      <t>α</t>
    </r>
    <r>
      <rPr>
        <sz val="10"/>
        <rFont val="宋体"/>
        <family val="3"/>
        <charset val="134"/>
      </rPr>
      <t>n'</t>
    </r>
  </si>
  <si>
    <r>
      <rPr>
        <sz val="12"/>
        <rFont val="Times New Roman"/>
        <family val="1"/>
      </rPr>
      <t xml:space="preserve"> </t>
    </r>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距</t>
    </r>
  </si>
  <si>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距</t>
    </r>
  </si>
  <si>
    <r>
      <rPr>
        <sz val="12"/>
        <rFont val="Times New Roman"/>
        <family val="1"/>
      </rPr>
      <t xml:space="preserve"> </t>
    </r>
    <r>
      <rPr>
        <sz val="12"/>
        <rFont val="宋体"/>
        <family val="3"/>
        <charset val="134"/>
      </rPr>
      <t>基  圆</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距</t>
    </r>
  </si>
  <si>
    <r>
      <rPr>
        <sz val="12"/>
        <rFont val="宋体"/>
        <family val="3"/>
        <charset val="134"/>
      </rPr>
      <t>安</t>
    </r>
    <r>
      <rPr>
        <sz val="12"/>
        <rFont val="Times New Roman"/>
        <family val="1"/>
      </rPr>
      <t xml:space="preserve">      </t>
    </r>
    <r>
      <rPr>
        <sz val="12"/>
        <rFont val="宋体"/>
        <family val="3"/>
        <charset val="134"/>
      </rPr>
      <t>装</t>
    </r>
    <r>
      <rPr>
        <sz val="12"/>
        <rFont val="Times New Roman"/>
        <family val="1"/>
      </rPr>
      <t xml:space="preserve">      </t>
    </r>
    <r>
      <rPr>
        <sz val="12"/>
        <rFont val="宋体"/>
        <family val="3"/>
        <charset val="134"/>
      </rPr>
      <t>距</t>
    </r>
  </si>
  <si>
    <t>（齿轮中心至齿条基准面距离）</t>
  </si>
  <si>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</si>
  <si>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高</t>
    </r>
  </si>
  <si>
    <r>
      <rPr>
        <sz val="12"/>
        <rFont val="宋体"/>
        <family val="3"/>
        <charset val="134"/>
      </rPr>
      <t>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</si>
  <si>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</si>
  <si>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t>齿条齿顶至基准面距离</t>
  </si>
  <si>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</si>
  <si>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t>齿条齿根至基准面距离</t>
  </si>
  <si>
    <t>分度圆弧齿厚</t>
  </si>
  <si>
    <r>
      <rPr>
        <sz val="12"/>
        <rFont val="宋体"/>
        <family val="3"/>
        <charset val="134"/>
      </rPr>
      <t>接 触</t>
    </r>
    <r>
      <rPr>
        <sz val="12"/>
        <rFont val="Times New Roman"/>
        <family val="1"/>
      </rPr>
      <t xml:space="preserve"> </t>
    </r>
    <r>
      <rPr>
        <sz val="12"/>
        <rFont val="宋体"/>
        <family val="3"/>
        <charset val="134"/>
      </rPr>
      <t>线</t>
    </r>
    <r>
      <rPr>
        <sz val="12"/>
        <rFont val="Times New Roman"/>
        <family val="1"/>
      </rPr>
      <t xml:space="preserve"> </t>
    </r>
    <r>
      <rPr>
        <sz val="12"/>
        <rFont val="宋体"/>
        <family val="3"/>
        <charset val="134"/>
      </rPr>
      <t>长</t>
    </r>
    <r>
      <rPr>
        <sz val="12"/>
        <rFont val="Times New Roman"/>
        <family val="1"/>
      </rPr>
      <t xml:space="preserve"> </t>
    </r>
    <r>
      <rPr>
        <sz val="12"/>
        <rFont val="宋体"/>
        <family val="3"/>
        <charset val="134"/>
      </rPr>
      <t>度</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</si>
  <si>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厚</t>
    </r>
  </si>
  <si>
    <r>
      <rPr>
        <sz val="12"/>
        <rFont val="宋体"/>
        <family val="3"/>
        <charset val="134"/>
      </rPr>
      <t>公</t>
    </r>
    <r>
      <rPr>
        <sz val="12"/>
        <rFont val="Times New Roman"/>
        <family val="1"/>
      </rPr>
      <t xml:space="preserve"> </t>
    </r>
    <r>
      <rPr>
        <sz val="12"/>
        <rFont val="宋体"/>
        <family val="3"/>
        <charset val="134"/>
      </rPr>
      <t>法</t>
    </r>
    <r>
      <rPr>
        <sz val="12"/>
        <rFont val="Times New Roman"/>
        <family val="1"/>
      </rPr>
      <t xml:space="preserve"> </t>
    </r>
    <r>
      <rPr>
        <sz val="12"/>
        <rFont val="宋体"/>
        <family val="3"/>
        <charset val="134"/>
      </rPr>
      <t>线</t>
    </r>
    <r>
      <rPr>
        <sz val="12"/>
        <rFont val="Times New Roman"/>
        <family val="1"/>
      </rPr>
      <t xml:space="preserve"> </t>
    </r>
    <r>
      <rPr>
        <sz val="12"/>
        <rFont val="宋体"/>
        <family val="3"/>
        <charset val="134"/>
      </rPr>
      <t>长</t>
    </r>
    <r>
      <rPr>
        <sz val="12"/>
        <rFont val="Times New Roman"/>
        <family val="1"/>
      </rPr>
      <t xml:space="preserve"> </t>
    </r>
    <r>
      <rPr>
        <sz val="12"/>
        <rFont val="宋体"/>
        <family val="3"/>
        <charset val="134"/>
      </rPr>
      <t>度</t>
    </r>
  </si>
  <si>
    <r>
      <rPr>
        <sz val="12"/>
        <rFont val="宋体"/>
        <family val="3"/>
        <charset val="134"/>
      </rPr>
      <t>卡</t>
    </r>
    <r>
      <rPr>
        <sz val="12"/>
        <rFont val="Times New Roman"/>
        <family val="1"/>
      </rPr>
      <t xml:space="preserve">   </t>
    </r>
    <r>
      <rPr>
        <sz val="12"/>
        <rFont val="宋体"/>
        <family val="3"/>
        <charset val="134"/>
      </rPr>
      <t>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数</t>
    </r>
  </si>
  <si>
    <r>
      <rPr>
        <sz val="12"/>
        <rFont val="Times New Roman"/>
        <family val="1"/>
      </rPr>
      <t>W</t>
    </r>
    <r>
      <rPr>
        <sz val="10"/>
        <rFont val="Times New Roman"/>
        <family val="1"/>
      </rPr>
      <t xml:space="preserve">k  </t>
    </r>
    <r>
      <rPr>
        <sz val="12"/>
        <rFont val="宋体"/>
        <family val="3"/>
        <charset val="134"/>
      </rPr>
      <t>是</t>
    </r>
    <r>
      <rPr>
        <sz val="12"/>
        <rFont val="Times New Roman"/>
        <family val="1"/>
      </rPr>
      <t xml:space="preserve">  </t>
    </r>
    <r>
      <rPr>
        <sz val="12"/>
        <rFont val="宋体"/>
        <family val="3"/>
        <charset val="134"/>
      </rPr>
      <t>否</t>
    </r>
    <r>
      <rPr>
        <sz val="12"/>
        <rFont val="Times New Roman"/>
        <family val="1"/>
      </rPr>
      <t xml:space="preserve">   </t>
    </r>
    <r>
      <rPr>
        <sz val="12"/>
        <rFont val="宋体"/>
        <family val="3"/>
        <charset val="134"/>
      </rPr>
      <t>测？</t>
    </r>
  </si>
  <si>
    <r>
      <rPr>
        <sz val="12"/>
        <rFont val="Times New Roman"/>
        <family val="1"/>
      </rPr>
      <t>W</t>
    </r>
    <r>
      <rPr>
        <sz val="10"/>
        <rFont val="Times New Roman"/>
        <family val="1"/>
      </rPr>
      <t xml:space="preserve">k+1 </t>
    </r>
    <r>
      <rPr>
        <sz val="12"/>
        <rFont val="宋体"/>
        <family val="3"/>
        <charset val="134"/>
      </rPr>
      <t>是</t>
    </r>
    <r>
      <rPr>
        <sz val="12"/>
        <rFont val="Times New Roman"/>
        <family val="1"/>
      </rPr>
      <t xml:space="preserve">  </t>
    </r>
    <r>
      <rPr>
        <sz val="12"/>
        <rFont val="宋体"/>
        <family val="3"/>
        <charset val="134"/>
      </rPr>
      <t>否</t>
    </r>
    <r>
      <rPr>
        <sz val="12"/>
        <rFont val="Times New Roman"/>
        <family val="1"/>
      </rPr>
      <t xml:space="preserve">   </t>
    </r>
    <r>
      <rPr>
        <sz val="12"/>
        <rFont val="宋体"/>
        <family val="3"/>
        <charset val="134"/>
      </rPr>
      <t>测？</t>
    </r>
  </si>
  <si>
    <r>
      <rPr>
        <sz val="12"/>
        <rFont val="宋体"/>
        <family val="3"/>
        <charset val="134"/>
      </rPr>
      <t>固</t>
    </r>
    <r>
      <rPr>
        <sz val="12"/>
        <rFont val="Times New Roman"/>
        <family val="1"/>
      </rPr>
      <t xml:space="preserve"> </t>
    </r>
    <r>
      <rPr>
        <sz val="12"/>
        <rFont val="宋体"/>
        <family val="3"/>
        <charset val="134"/>
      </rPr>
      <t>定</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厚</t>
    </r>
  </si>
  <si>
    <r>
      <rPr>
        <sz val="12"/>
        <rFont val="宋体"/>
        <family val="3"/>
        <charset val="134"/>
      </rPr>
      <t>固</t>
    </r>
    <r>
      <rPr>
        <sz val="12"/>
        <rFont val="Times New Roman"/>
        <family val="1"/>
      </rPr>
      <t xml:space="preserve"> </t>
    </r>
    <r>
      <rPr>
        <sz val="12"/>
        <rFont val="宋体"/>
        <family val="3"/>
        <charset val="134"/>
      </rPr>
      <t>定</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</si>
  <si>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厚</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</si>
  <si>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</si>
  <si>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r>
      <rPr>
        <sz val="12"/>
        <rFont val="Times New Roman"/>
        <family val="1"/>
      </rPr>
      <t>INV</t>
    </r>
    <r>
      <rPr>
        <sz val="12"/>
        <rFont val="宋体"/>
        <family val="3"/>
        <charset val="134"/>
      </rPr>
      <t>α</t>
    </r>
    <r>
      <rPr>
        <sz val="10"/>
        <rFont val="宋体"/>
        <family val="3"/>
        <charset val="134"/>
      </rPr>
      <t>M</t>
    </r>
    <r>
      <rPr>
        <sz val="10"/>
        <rFont val="Times New Roman"/>
        <family val="1"/>
      </rPr>
      <t>t1</t>
    </r>
  </si>
  <si>
    <r>
      <rPr>
        <sz val="10"/>
        <rFont val="宋体"/>
        <family val="3"/>
        <charset val="134"/>
      </rPr>
      <t>圆棒或球</t>
    </r>
    <r>
      <rPr>
        <sz val="10"/>
        <rFont val="宋体"/>
        <family val="3"/>
        <charset val="134"/>
      </rPr>
      <t>至基准面距离</t>
    </r>
  </si>
  <si>
    <r>
      <rPr>
        <sz val="12"/>
        <rFont val="宋体"/>
        <family val="3"/>
        <charset val="134"/>
      </rPr>
      <t>测</t>
    </r>
    <r>
      <rPr>
        <sz val="12"/>
        <rFont val="Times New Roman"/>
        <family val="1"/>
      </rPr>
      <t xml:space="preserve"> </t>
    </r>
    <r>
      <rPr>
        <sz val="12"/>
        <rFont val="宋体"/>
        <family val="3"/>
        <charset val="134"/>
      </rPr>
      <t>量</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</si>
  <si>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t>齿条测点至基准面距离</t>
  </si>
  <si>
    <r>
      <rPr>
        <sz val="12"/>
        <rFont val="宋体"/>
        <family val="3"/>
        <charset val="134"/>
      </rPr>
      <t>起始点</t>
    </r>
    <r>
      <rPr>
        <sz val="12"/>
        <rFont val="Times New Roman"/>
        <family val="1"/>
      </rPr>
      <t>(</t>
    </r>
    <r>
      <rPr>
        <sz val="12"/>
        <rFont val="宋体"/>
        <family val="3"/>
        <charset val="134"/>
      </rPr>
      <t>齿根</t>
    </r>
    <r>
      <rPr>
        <sz val="12"/>
        <rFont val="Times New Roman"/>
        <family val="1"/>
      </rPr>
      <t xml:space="preserve">) </t>
    </r>
  </si>
  <si>
    <r>
      <rPr>
        <sz val="12"/>
        <rFont val="宋体"/>
        <family val="3"/>
        <charset val="134"/>
      </rPr>
      <t>终止点</t>
    </r>
    <r>
      <rPr>
        <sz val="12"/>
        <rFont val="Times New Roman"/>
        <family val="1"/>
      </rPr>
      <t>(</t>
    </r>
    <r>
      <rPr>
        <sz val="12"/>
        <rFont val="宋体"/>
        <family val="3"/>
        <charset val="134"/>
      </rPr>
      <t>齿顶</t>
    </r>
    <r>
      <rPr>
        <sz val="12"/>
        <rFont val="Times New Roman"/>
        <family val="1"/>
      </rPr>
      <t xml:space="preserve">) </t>
    </r>
  </si>
  <si>
    <r>
      <rPr>
        <sz val="12"/>
        <rFont val="宋体"/>
        <family val="3"/>
        <charset val="134"/>
      </rPr>
      <t>齿</t>
    </r>
    <r>
      <rPr>
        <sz val="12"/>
        <rFont val="Times New Roman"/>
        <family val="1"/>
      </rPr>
      <t xml:space="preserve">  </t>
    </r>
    <r>
      <rPr>
        <sz val="12"/>
        <rFont val="宋体"/>
        <family val="3"/>
        <charset val="134"/>
      </rPr>
      <t>条</t>
    </r>
    <r>
      <rPr>
        <sz val="12"/>
        <rFont val="Times New Roman"/>
        <family val="1"/>
      </rPr>
      <t xml:space="preserve">  </t>
    </r>
    <r>
      <rPr>
        <sz val="12"/>
        <rFont val="宋体"/>
        <family val="3"/>
        <charset val="134"/>
      </rPr>
      <t>长</t>
    </r>
    <r>
      <rPr>
        <sz val="12"/>
        <rFont val="Times New Roman"/>
        <family val="1"/>
      </rPr>
      <t xml:space="preserve">  </t>
    </r>
    <r>
      <rPr>
        <sz val="12"/>
        <rFont val="宋体"/>
        <family val="3"/>
        <charset val="134"/>
      </rPr>
      <t>度</t>
    </r>
  </si>
  <si>
    <t>齿槽跳动公差</t>
  </si>
  <si>
    <r>
      <rPr>
        <sz val="12"/>
        <rFont val="Times New Roman"/>
        <family val="1"/>
      </rPr>
      <t>±</t>
    </r>
    <r>
      <rPr>
        <sz val="12"/>
        <rFont val="宋体"/>
        <family val="3"/>
        <charset val="134"/>
      </rPr>
      <t>f</t>
    </r>
    <r>
      <rPr>
        <sz val="8"/>
        <rFont val="Times New Roman"/>
        <family val="1"/>
      </rPr>
      <t>pt1</t>
    </r>
  </si>
  <si>
    <r>
      <rPr>
        <sz val="12"/>
        <rFont val="Times New Roman"/>
        <family val="1"/>
      </rPr>
      <t>±</t>
    </r>
    <r>
      <rPr>
        <sz val="12"/>
        <rFont val="宋体"/>
        <family val="3"/>
        <charset val="134"/>
      </rPr>
      <t>f</t>
    </r>
    <r>
      <rPr>
        <sz val="8"/>
        <rFont val="Times New Roman"/>
        <family val="1"/>
      </rPr>
      <t>pb1</t>
    </r>
  </si>
  <si>
    <r>
      <rPr>
        <sz val="12"/>
        <rFont val="宋体"/>
        <family val="3"/>
        <charset val="134"/>
      </rPr>
      <t>齿</t>
    </r>
    <r>
      <rPr>
        <sz val="12"/>
        <rFont val="Times New Roman"/>
        <family val="1"/>
      </rPr>
      <t xml:space="preserve">   </t>
    </r>
    <r>
      <rPr>
        <sz val="12"/>
        <rFont val="宋体"/>
        <family val="3"/>
        <charset val="134"/>
      </rPr>
      <t>形</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</si>
  <si>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齿</t>
    </r>
    <r>
      <rPr>
        <sz val="12"/>
        <rFont val="Times New Roman"/>
        <family val="1"/>
      </rPr>
      <t xml:space="preserve">   </t>
    </r>
    <r>
      <rPr>
        <sz val="12"/>
        <rFont val="宋体"/>
        <family val="3"/>
        <charset val="134"/>
      </rPr>
      <t>向</t>
    </r>
    <r>
      <rPr>
        <sz val="12"/>
        <rFont val="Times New Roman"/>
        <family val="1"/>
      </rPr>
      <t xml:space="preserve">   公   差</t>
    </r>
  </si>
  <si>
    <r>
      <rPr>
        <sz val="12"/>
        <rFont val="宋体"/>
        <family val="3"/>
        <charset val="134"/>
      </rPr>
      <t>齿</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接</t>
    </r>
    <r>
      <rPr>
        <sz val="12"/>
        <rFont val="Times New Roman"/>
        <family val="1"/>
      </rPr>
      <t xml:space="preserve"> </t>
    </r>
    <r>
      <rPr>
        <sz val="12"/>
        <rFont val="宋体"/>
        <family val="3"/>
        <charset val="134"/>
      </rPr>
      <t>触</t>
    </r>
    <r>
      <rPr>
        <sz val="12"/>
        <rFont val="Times New Roman"/>
        <family val="1"/>
      </rPr>
      <t xml:space="preserve"> </t>
    </r>
    <r>
      <rPr>
        <sz val="12"/>
        <rFont val="宋体"/>
        <family val="3"/>
        <charset val="134"/>
      </rPr>
      <t>斑</t>
    </r>
    <r>
      <rPr>
        <sz val="12"/>
        <rFont val="Times New Roman"/>
        <family val="1"/>
      </rPr>
      <t xml:space="preserve"> </t>
    </r>
    <r>
      <rPr>
        <sz val="12"/>
        <rFont val="宋体"/>
        <family val="3"/>
        <charset val="134"/>
      </rPr>
      <t>点</t>
    </r>
  </si>
  <si>
    <r>
      <rPr>
        <sz val="12"/>
        <rFont val="宋体"/>
        <family val="3"/>
        <charset val="134"/>
      </rPr>
      <t>切</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综</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</si>
  <si>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齿</t>
    </r>
    <r>
      <rPr>
        <sz val="12"/>
        <rFont val="Times New Roman"/>
        <family val="1"/>
      </rPr>
      <t xml:space="preserve">  </t>
    </r>
    <r>
      <rPr>
        <sz val="12"/>
        <rFont val="宋体"/>
        <family val="3"/>
        <charset val="134"/>
      </rPr>
      <t>厚</t>
    </r>
    <r>
      <rPr>
        <sz val="12"/>
        <rFont val="Times New Roman"/>
        <family val="1"/>
      </rPr>
      <t xml:space="preserve">  </t>
    </r>
    <r>
      <rPr>
        <sz val="12"/>
        <rFont val="宋体"/>
        <family val="3"/>
        <charset val="134"/>
      </rPr>
      <t>上</t>
    </r>
    <r>
      <rPr>
        <sz val="12"/>
        <rFont val="Times New Roman"/>
        <family val="1"/>
      </rPr>
      <t xml:space="preserve">  </t>
    </r>
    <r>
      <rPr>
        <sz val="12"/>
        <rFont val="宋体"/>
        <family val="3"/>
        <charset val="134"/>
      </rPr>
      <t>偏</t>
    </r>
    <r>
      <rPr>
        <sz val="12"/>
        <rFont val="Times New Roman"/>
        <family val="1"/>
      </rPr>
      <t xml:space="preserve">  </t>
    </r>
    <r>
      <rPr>
        <sz val="12"/>
        <rFont val="宋体"/>
        <family val="3"/>
        <charset val="134"/>
      </rPr>
      <t>差</t>
    </r>
  </si>
  <si>
    <r>
      <rPr>
        <sz val="12"/>
        <rFont val="宋体"/>
        <family val="3"/>
        <charset val="134"/>
      </rPr>
      <t>齿</t>
    </r>
    <r>
      <rPr>
        <sz val="12"/>
        <rFont val="Times New Roman"/>
        <family val="1"/>
      </rPr>
      <t xml:space="preserve">  </t>
    </r>
    <r>
      <rPr>
        <sz val="12"/>
        <rFont val="宋体"/>
        <family val="3"/>
        <charset val="134"/>
      </rPr>
      <t>厚</t>
    </r>
    <r>
      <rPr>
        <sz val="12"/>
        <rFont val="Times New Roman"/>
        <family val="1"/>
      </rPr>
      <t xml:space="preserve">  </t>
    </r>
    <r>
      <rPr>
        <sz val="12"/>
        <rFont val="宋体"/>
        <family val="3"/>
        <charset val="134"/>
      </rPr>
      <t>下</t>
    </r>
    <r>
      <rPr>
        <sz val="12"/>
        <rFont val="Times New Roman"/>
        <family val="1"/>
      </rPr>
      <t xml:space="preserve">  </t>
    </r>
    <r>
      <rPr>
        <sz val="12"/>
        <rFont val="宋体"/>
        <family val="3"/>
        <charset val="134"/>
      </rPr>
      <t>偏</t>
    </r>
    <r>
      <rPr>
        <sz val="12"/>
        <rFont val="Times New Roman"/>
        <family val="1"/>
      </rPr>
      <t xml:space="preserve">  </t>
    </r>
    <r>
      <rPr>
        <sz val="12"/>
        <rFont val="宋体"/>
        <family val="3"/>
        <charset val="134"/>
      </rPr>
      <t>差</t>
    </r>
  </si>
  <si>
    <t>齿   厚   公   差</t>
  </si>
  <si>
    <r>
      <rPr>
        <sz val="11"/>
        <rFont val="Times New Roman"/>
        <family val="1"/>
      </rPr>
      <t>X</t>
    </r>
    <r>
      <rPr>
        <sz val="11"/>
        <rFont val="宋体"/>
        <family val="3"/>
        <charset val="134"/>
      </rPr>
      <t>方向轴线平行度公差</t>
    </r>
  </si>
  <si>
    <t>安装距极限偏差</t>
  </si>
  <si>
    <r>
      <rPr>
        <sz val="12"/>
        <rFont val="Times New Roman"/>
        <family val="1"/>
      </rPr>
      <t>±</t>
    </r>
    <r>
      <rPr>
        <sz val="12"/>
        <rFont val="宋体"/>
        <family val="3"/>
        <charset val="134"/>
      </rPr>
      <t>f</t>
    </r>
    <r>
      <rPr>
        <sz val="10"/>
        <rFont val="宋体"/>
        <family val="3"/>
        <charset val="134"/>
      </rPr>
      <t>a</t>
    </r>
  </si>
  <si>
    <r>
      <rPr>
        <sz val="11"/>
        <rFont val="Times New Roman"/>
        <family val="1"/>
      </rPr>
      <t>3</t>
    </r>
    <r>
      <rPr>
        <sz val="11"/>
        <rFont val="宋体"/>
        <family val="3"/>
        <charset val="134"/>
      </rPr>
      <t>公差组最高精度等级</t>
    </r>
  </si>
  <si>
    <r>
      <rPr>
        <sz val="12"/>
        <rFont val="Times New Roman"/>
        <family val="1"/>
      </rPr>
      <t>IT11</t>
    </r>
    <r>
      <rPr>
        <sz val="12"/>
        <rFont val="宋体"/>
        <family val="3"/>
        <charset val="134"/>
      </rPr>
      <t>，</t>
    </r>
    <r>
      <rPr>
        <sz val="12"/>
        <rFont val="Times New Roman"/>
        <family val="1"/>
      </rPr>
      <t xml:space="preserve"> </t>
    </r>
    <r>
      <rPr>
        <sz val="12"/>
        <rFont val="宋体"/>
        <family val="3"/>
        <charset val="134"/>
      </rPr>
      <t>但不大于</t>
    </r>
  </si>
  <si>
    <r>
      <rPr>
        <sz val="10"/>
        <color indexed="10"/>
        <rFont val="宋体"/>
        <family val="3"/>
        <charset val="134"/>
      </rPr>
      <t>以下是输出数据，请打印：</t>
    </r>
    <r>
      <rPr>
        <sz val="10"/>
        <color indexed="10"/>
        <rFont val="Times New Roman"/>
        <family val="1"/>
      </rPr>
      <t>***************************************************************************</t>
    </r>
  </si>
  <si>
    <t xml:space="preserve">   齿轮齿条传动设计计算              </t>
  </si>
  <si>
    <r>
      <rPr>
        <sz val="12"/>
        <rFont val="宋体"/>
        <family val="3"/>
        <charset val="134"/>
      </rPr>
      <t>齿</t>
    </r>
    <r>
      <rPr>
        <sz val="12"/>
        <rFont val="Times New Roman"/>
        <family val="1"/>
      </rPr>
      <t xml:space="preserve">                    </t>
    </r>
    <r>
      <rPr>
        <sz val="12"/>
        <rFont val="宋体"/>
        <family val="3"/>
        <charset val="134"/>
      </rPr>
      <t>数</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</si>
  <si>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模</t>
    </r>
    <r>
      <rPr>
        <sz val="12"/>
        <rFont val="Times New Roman"/>
        <family val="1"/>
      </rPr>
      <t xml:space="preserve">    </t>
    </r>
    <r>
      <rPr>
        <sz val="12"/>
        <rFont val="宋体"/>
        <family val="3"/>
        <charset val="134"/>
      </rPr>
      <t>数</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</si>
  <si>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压</t>
    </r>
    <r>
      <rPr>
        <sz val="12"/>
        <rFont val="Times New Roman"/>
        <family val="1"/>
      </rPr>
      <t xml:space="preserve">  </t>
    </r>
    <r>
      <rPr>
        <sz val="12"/>
        <rFont val="宋体"/>
        <family val="3"/>
        <charset val="134"/>
      </rPr>
      <t>力</t>
    </r>
    <r>
      <rPr>
        <sz val="12"/>
        <rFont val="Times New Roman"/>
        <family val="1"/>
      </rPr>
      <t xml:space="preserve">  </t>
    </r>
    <r>
      <rPr>
        <sz val="12"/>
        <rFont val="宋体"/>
        <family val="3"/>
        <charset val="134"/>
      </rPr>
      <t>角</t>
    </r>
  </si>
  <si>
    <r>
      <rPr>
        <sz val="12"/>
        <rFont val="宋体"/>
        <family val="3"/>
        <charset val="134"/>
      </rPr>
      <t>螺</t>
    </r>
    <r>
      <rPr>
        <sz val="12"/>
        <rFont val="Times New Roman"/>
        <family val="1"/>
      </rPr>
      <t xml:space="preserve">       </t>
    </r>
    <r>
      <rPr>
        <sz val="12"/>
        <rFont val="宋体"/>
        <family val="3"/>
        <charset val="134"/>
      </rPr>
      <t>旋</t>
    </r>
    <r>
      <rPr>
        <sz val="12"/>
        <rFont val="Times New Roman"/>
        <family val="1"/>
      </rPr>
      <t xml:space="preserve">       </t>
    </r>
    <r>
      <rPr>
        <sz val="12"/>
        <rFont val="宋体"/>
        <family val="3"/>
        <charset val="134"/>
      </rPr>
      <t>角</t>
    </r>
  </si>
  <si>
    <r>
      <rPr>
        <sz val="12"/>
        <rFont val="宋体"/>
        <family val="3"/>
        <charset val="134"/>
      </rPr>
      <t>有</t>
    </r>
    <r>
      <rPr>
        <sz val="12"/>
        <rFont val="Times New Roman"/>
        <family val="1"/>
      </rPr>
      <t xml:space="preserve">    </t>
    </r>
    <r>
      <rPr>
        <sz val="12"/>
        <rFont val="宋体"/>
        <family val="3"/>
        <charset val="134"/>
      </rPr>
      <t>效</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宽</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</si>
  <si>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</si>
  <si>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倒</t>
    </r>
    <r>
      <rPr>
        <sz val="12"/>
        <rFont val="Times New Roman"/>
        <family val="1"/>
      </rPr>
      <t xml:space="preserve"> </t>
    </r>
    <r>
      <rPr>
        <sz val="12"/>
        <rFont val="宋体"/>
        <family val="3"/>
        <charset val="134"/>
      </rPr>
      <t>棱</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</si>
  <si>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</si>
  <si>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安</t>
    </r>
    <r>
      <rPr>
        <sz val="12"/>
        <rFont val="Times New Roman"/>
        <family val="1"/>
      </rPr>
      <t xml:space="preserve">       </t>
    </r>
    <r>
      <rPr>
        <sz val="12"/>
        <rFont val="宋体"/>
        <family val="3"/>
        <charset val="134"/>
      </rPr>
      <t>装</t>
    </r>
    <r>
      <rPr>
        <sz val="12"/>
        <rFont val="Times New Roman"/>
        <family val="1"/>
      </rPr>
      <t xml:space="preserve">       </t>
    </r>
    <r>
      <rPr>
        <sz val="12"/>
        <rFont val="宋体"/>
        <family val="3"/>
        <charset val="134"/>
      </rPr>
      <t>距</t>
    </r>
  </si>
  <si>
    <t>毫米（齿轮轴线至齿条基准面）</t>
  </si>
  <si>
    <r>
      <rPr>
        <sz val="12"/>
        <rFont val="宋体"/>
        <family val="3"/>
        <charset val="134"/>
      </rPr>
      <t>径</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变</t>
    </r>
    <r>
      <rPr>
        <sz val="12"/>
        <rFont val="Times New Roman"/>
        <family val="1"/>
      </rPr>
      <t xml:space="preserve"> </t>
    </r>
    <r>
      <rPr>
        <sz val="12"/>
        <rFont val="宋体"/>
        <family val="3"/>
        <charset val="134"/>
      </rPr>
      <t>位</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</si>
  <si>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变</t>
    </r>
    <r>
      <rPr>
        <sz val="12"/>
        <rFont val="Times New Roman"/>
        <family val="1"/>
      </rPr>
      <t xml:space="preserve"> </t>
    </r>
    <r>
      <rPr>
        <sz val="12"/>
        <rFont val="宋体"/>
        <family val="3"/>
        <charset val="134"/>
      </rPr>
      <t>位</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</si>
  <si>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分</t>
    </r>
    <r>
      <rPr>
        <sz val="12"/>
        <rFont val="Times New Roman"/>
        <family val="1"/>
      </rPr>
      <t xml:space="preserve">  </t>
    </r>
    <r>
      <rPr>
        <sz val="12"/>
        <rFont val="宋体"/>
        <family val="3"/>
        <charset val="134"/>
      </rPr>
      <t>度</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</si>
  <si>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基</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</si>
  <si>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顶</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</si>
  <si>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根</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</si>
  <si>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</si>
  <si>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高</t>
    </r>
  </si>
  <si>
    <r>
      <rPr>
        <sz val="12"/>
        <rFont val="宋体"/>
        <family val="3"/>
        <charset val="134"/>
      </rPr>
      <t>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</si>
  <si>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t>弧        齿        厚</t>
  </si>
  <si>
    <r>
      <rPr>
        <sz val="12"/>
        <rFont val="宋体"/>
        <family val="3"/>
        <charset val="134"/>
      </rPr>
      <t>公</t>
    </r>
    <r>
      <rPr>
        <sz val="12"/>
        <rFont val="Times New Roman"/>
        <family val="1"/>
      </rPr>
      <t xml:space="preserve">  </t>
    </r>
    <r>
      <rPr>
        <sz val="12"/>
        <rFont val="宋体"/>
        <family val="3"/>
        <charset val="134"/>
      </rPr>
      <t>法</t>
    </r>
    <r>
      <rPr>
        <sz val="12"/>
        <rFont val="Times New Roman"/>
        <family val="1"/>
      </rPr>
      <t xml:space="preserve">  </t>
    </r>
    <r>
      <rPr>
        <sz val="12"/>
        <rFont val="宋体"/>
        <family val="3"/>
        <charset val="134"/>
      </rPr>
      <t>线</t>
    </r>
    <r>
      <rPr>
        <sz val="12"/>
        <rFont val="Times New Roman"/>
        <family val="1"/>
      </rPr>
      <t xml:space="preserve">  </t>
    </r>
    <r>
      <rPr>
        <sz val="12"/>
        <rFont val="宋体"/>
        <family val="3"/>
        <charset val="134"/>
      </rPr>
      <t>长</t>
    </r>
    <r>
      <rPr>
        <sz val="12"/>
        <rFont val="Times New Roman"/>
        <family val="1"/>
      </rPr>
      <t xml:space="preserve">  </t>
    </r>
    <r>
      <rPr>
        <sz val="12"/>
        <rFont val="宋体"/>
        <family val="3"/>
        <charset val="134"/>
      </rPr>
      <t>度</t>
    </r>
  </si>
  <si>
    <r>
      <rPr>
        <sz val="12"/>
        <rFont val="宋体"/>
        <family val="3"/>
        <charset val="134"/>
      </rPr>
      <t>卡</t>
    </r>
    <r>
      <rPr>
        <sz val="12"/>
        <rFont val="Times New Roman"/>
        <family val="1"/>
      </rPr>
      <t xml:space="preserve">    </t>
    </r>
    <r>
      <rPr>
        <sz val="12"/>
        <rFont val="宋体"/>
        <family val="3"/>
        <charset val="134"/>
      </rPr>
      <t>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数</t>
    </r>
  </si>
  <si>
    <r>
      <rPr>
        <sz val="12"/>
        <rFont val="Times New Roman"/>
        <family val="1"/>
      </rPr>
      <t>W</t>
    </r>
    <r>
      <rPr>
        <sz val="10"/>
        <rFont val="Times New Roman"/>
        <family val="1"/>
      </rPr>
      <t xml:space="preserve">k </t>
    </r>
    <r>
      <rPr>
        <sz val="12"/>
        <rFont val="宋体"/>
        <family val="3"/>
        <charset val="134"/>
      </rPr>
      <t>是</t>
    </r>
    <r>
      <rPr>
        <sz val="12"/>
        <rFont val="宋体"/>
        <family val="3"/>
        <charset val="134"/>
      </rPr>
      <t>否</t>
    </r>
    <r>
      <rPr>
        <sz val="12"/>
        <rFont val="宋体"/>
        <family val="3"/>
        <charset val="134"/>
      </rPr>
      <t>可</t>
    </r>
    <r>
      <rPr>
        <sz val="12"/>
        <rFont val="宋体"/>
        <family val="3"/>
        <charset val="134"/>
      </rPr>
      <t>以</t>
    </r>
    <r>
      <rPr>
        <sz val="12"/>
        <rFont val="宋体"/>
        <family val="3"/>
        <charset val="134"/>
      </rPr>
      <t>测</t>
    </r>
    <r>
      <rPr>
        <sz val="12"/>
        <rFont val="宋体"/>
        <family val="3"/>
        <charset val="134"/>
      </rPr>
      <t>量</t>
    </r>
  </si>
  <si>
    <r>
      <rPr>
        <sz val="12"/>
        <rFont val="宋体"/>
        <family val="3"/>
        <charset val="134"/>
      </rPr>
      <t>固</t>
    </r>
    <r>
      <rPr>
        <sz val="12"/>
        <rFont val="Times New Roman"/>
        <family val="1"/>
      </rPr>
      <t xml:space="preserve">  </t>
    </r>
    <r>
      <rPr>
        <sz val="12"/>
        <rFont val="宋体"/>
        <family val="3"/>
        <charset val="134"/>
      </rPr>
      <t>定</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厚</t>
    </r>
  </si>
  <si>
    <r>
      <rPr>
        <sz val="12"/>
        <rFont val="宋体"/>
        <family val="3"/>
        <charset val="134"/>
      </rPr>
      <t>固</t>
    </r>
    <r>
      <rPr>
        <sz val="12"/>
        <rFont val="Times New Roman"/>
        <family val="1"/>
      </rPr>
      <t xml:space="preserve">  </t>
    </r>
    <r>
      <rPr>
        <sz val="12"/>
        <rFont val="宋体"/>
        <family val="3"/>
        <charset val="134"/>
      </rPr>
      <t>定</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</si>
  <si>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厚</t>
    </r>
  </si>
  <si>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弦</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</si>
  <si>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r>
      <rPr>
        <sz val="12"/>
        <rFont val="宋体"/>
        <family val="3"/>
        <charset val="134"/>
      </rPr>
      <t>测</t>
    </r>
    <r>
      <rPr>
        <sz val="12"/>
        <rFont val="Times New Roman"/>
        <family val="1"/>
      </rPr>
      <t xml:space="preserve">  </t>
    </r>
    <r>
      <rPr>
        <sz val="12"/>
        <rFont val="宋体"/>
        <family val="3"/>
        <charset val="134"/>
      </rPr>
      <t>量</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</si>
  <si>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宋体"/>
        <family val="3"/>
        <charset val="134"/>
      </rPr>
      <t>起</t>
    </r>
    <r>
      <rPr>
        <sz val="12"/>
        <rFont val="Times New Roman"/>
        <family val="1"/>
      </rPr>
      <t xml:space="preserve">   </t>
    </r>
    <r>
      <rPr>
        <sz val="12"/>
        <rFont val="宋体"/>
        <family val="3"/>
        <charset val="134"/>
      </rPr>
      <t>始</t>
    </r>
    <r>
      <rPr>
        <sz val="12"/>
        <rFont val="Times New Roman"/>
        <family val="1"/>
      </rPr>
      <t xml:space="preserve">   </t>
    </r>
    <r>
      <rPr>
        <sz val="12"/>
        <rFont val="宋体"/>
        <family val="3"/>
        <charset val="134"/>
      </rPr>
      <t>点</t>
    </r>
    <r>
      <rPr>
        <sz val="12"/>
        <rFont val="Times New Roman"/>
        <family val="1"/>
      </rPr>
      <t>(</t>
    </r>
    <r>
      <rPr>
        <sz val="12"/>
        <rFont val="宋体"/>
        <family val="3"/>
        <charset val="134"/>
      </rPr>
      <t>齿根</t>
    </r>
    <r>
      <rPr>
        <sz val="12"/>
        <rFont val="Times New Roman"/>
        <family val="1"/>
      </rPr>
      <t xml:space="preserve">) </t>
    </r>
  </si>
  <si>
    <r>
      <rPr>
        <sz val="12"/>
        <rFont val="宋体"/>
        <family val="3"/>
        <charset val="134"/>
      </rPr>
      <t>终</t>
    </r>
    <r>
      <rPr>
        <sz val="12"/>
        <rFont val="Times New Roman"/>
        <family val="1"/>
      </rPr>
      <t xml:space="preserve">   </t>
    </r>
    <r>
      <rPr>
        <sz val="12"/>
        <rFont val="宋体"/>
        <family val="3"/>
        <charset val="134"/>
      </rPr>
      <t>止</t>
    </r>
    <r>
      <rPr>
        <sz val="12"/>
        <rFont val="Times New Roman"/>
        <family val="1"/>
      </rPr>
      <t xml:space="preserve">   </t>
    </r>
    <r>
      <rPr>
        <sz val="12"/>
        <rFont val="宋体"/>
        <family val="3"/>
        <charset val="134"/>
      </rPr>
      <t>点</t>
    </r>
    <r>
      <rPr>
        <sz val="12"/>
        <rFont val="Times New Roman"/>
        <family val="1"/>
      </rPr>
      <t>(</t>
    </r>
    <r>
      <rPr>
        <sz val="12"/>
        <rFont val="宋体"/>
        <family val="3"/>
        <charset val="134"/>
      </rPr>
      <t>齿顶</t>
    </r>
    <r>
      <rPr>
        <sz val="12"/>
        <rFont val="Times New Roman"/>
        <family val="1"/>
      </rPr>
      <t xml:space="preserve">) </t>
    </r>
  </si>
  <si>
    <r>
      <rPr>
        <sz val="12"/>
        <rFont val="宋体"/>
        <family val="3"/>
        <charset val="134"/>
      </rPr>
      <t>中</t>
    </r>
    <r>
      <rPr>
        <sz val="12"/>
        <rFont val="Times New Roman"/>
        <family val="1"/>
      </rPr>
      <t xml:space="preserve">  </t>
    </r>
    <r>
      <rPr>
        <sz val="12"/>
        <rFont val="宋体"/>
        <family val="3"/>
        <charset val="134"/>
      </rPr>
      <t>凸</t>
    </r>
    <r>
      <rPr>
        <sz val="12"/>
        <rFont val="Times New Roman"/>
        <family val="1"/>
      </rPr>
      <t xml:space="preserve">  </t>
    </r>
    <r>
      <rPr>
        <sz val="12"/>
        <rFont val="宋体"/>
        <family val="3"/>
        <charset val="134"/>
      </rPr>
      <t>点</t>
    </r>
    <r>
      <rPr>
        <sz val="12"/>
        <rFont val="Times New Roman"/>
        <family val="1"/>
      </rPr>
      <t xml:space="preserve">  </t>
    </r>
    <r>
      <rPr>
        <sz val="12"/>
        <rFont val="宋体"/>
        <family val="3"/>
        <charset val="134"/>
      </rPr>
      <t>范</t>
    </r>
    <r>
      <rPr>
        <sz val="12"/>
        <rFont val="Times New Roman"/>
        <family val="1"/>
      </rPr>
      <t xml:space="preserve">  </t>
    </r>
    <r>
      <rPr>
        <sz val="12"/>
        <rFont val="宋体"/>
        <family val="3"/>
        <charset val="134"/>
      </rPr>
      <t>围</t>
    </r>
  </si>
  <si>
    <r>
      <rPr>
        <sz val="12"/>
        <rFont val="宋体"/>
        <family val="3"/>
        <charset val="134"/>
      </rPr>
      <t>θ</t>
    </r>
    <r>
      <rPr>
        <sz val="10"/>
        <rFont val="Times New Roman"/>
        <family val="1"/>
      </rPr>
      <t>min</t>
    </r>
  </si>
  <si>
    <r>
      <rPr>
        <sz val="12"/>
        <rFont val="宋体"/>
        <family val="3"/>
        <charset val="134"/>
      </rPr>
      <t>θ</t>
    </r>
    <r>
      <rPr>
        <sz val="10"/>
        <rFont val="Times New Roman"/>
        <family val="1"/>
      </rPr>
      <t>max</t>
    </r>
  </si>
  <si>
    <r>
      <rPr>
        <sz val="12"/>
        <rFont val="宋体"/>
        <family val="3"/>
        <charset val="134"/>
      </rPr>
      <t>重</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度</t>
    </r>
  </si>
  <si>
    <r>
      <rPr>
        <sz val="12"/>
        <rFont val="宋体"/>
        <family val="3"/>
        <charset val="134"/>
      </rPr>
      <t>根</t>
    </r>
    <r>
      <rPr>
        <sz val="12"/>
        <rFont val="Times New Roman"/>
        <family val="1"/>
      </rPr>
      <t xml:space="preserve">                    </t>
    </r>
    <r>
      <rPr>
        <sz val="12"/>
        <rFont val="宋体"/>
        <family val="3"/>
        <charset val="134"/>
      </rPr>
      <t>切</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</si>
  <si>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变</t>
    </r>
    <r>
      <rPr>
        <sz val="12"/>
        <rFont val="Times New Roman"/>
        <family val="1"/>
      </rPr>
      <t xml:space="preserve">    </t>
    </r>
    <r>
      <rPr>
        <sz val="12"/>
        <rFont val="宋体"/>
        <family val="3"/>
        <charset val="134"/>
      </rPr>
      <t>尖</t>
    </r>
  </si>
  <si>
    <r>
      <rPr>
        <sz val="12"/>
        <rFont val="宋体"/>
        <family val="3"/>
        <charset val="134"/>
      </rPr>
      <t>精</t>
    </r>
    <r>
      <rPr>
        <sz val="12"/>
        <rFont val="Times New Roman"/>
        <family val="1"/>
      </rPr>
      <t xml:space="preserve">    </t>
    </r>
    <r>
      <rPr>
        <sz val="12"/>
        <rFont val="宋体"/>
        <family val="3"/>
        <charset val="134"/>
      </rPr>
      <t>度</t>
    </r>
    <r>
      <rPr>
        <sz val="12"/>
        <rFont val="Times New Roman"/>
        <family val="1"/>
      </rPr>
      <t xml:space="preserve">    </t>
    </r>
    <r>
      <rPr>
        <sz val="12"/>
        <rFont val="宋体"/>
        <family val="3"/>
        <charset val="134"/>
      </rPr>
      <t>等</t>
    </r>
    <r>
      <rPr>
        <sz val="12"/>
        <rFont val="Times New Roman"/>
        <family val="1"/>
      </rPr>
      <t xml:space="preserve">    </t>
    </r>
    <r>
      <rPr>
        <sz val="12"/>
        <rFont val="宋体"/>
        <family val="3"/>
        <charset val="134"/>
      </rPr>
      <t xml:space="preserve">级 </t>
    </r>
  </si>
  <si>
    <r>
      <rPr>
        <sz val="12"/>
        <rFont val="宋体"/>
        <family val="3"/>
        <charset val="134"/>
      </rPr>
      <t>齿</t>
    </r>
    <r>
      <rPr>
        <sz val="12"/>
        <rFont val="Times New Roman"/>
        <family val="1"/>
      </rPr>
      <t xml:space="preserve">    </t>
    </r>
    <r>
      <rPr>
        <sz val="12"/>
        <rFont val="宋体"/>
        <family val="3"/>
        <charset val="134"/>
      </rPr>
      <t>厚</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</si>
  <si>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最</t>
    </r>
    <r>
      <rPr>
        <sz val="12"/>
        <rFont val="Times New Roman"/>
        <family val="1"/>
      </rPr>
      <t xml:space="preserve"> </t>
    </r>
    <r>
      <rPr>
        <sz val="12"/>
        <rFont val="宋体"/>
        <family val="3"/>
        <charset val="134"/>
      </rPr>
      <t>小</t>
    </r>
    <r>
      <rPr>
        <sz val="12"/>
        <rFont val="Times New Roman"/>
        <family val="1"/>
      </rPr>
      <t xml:space="preserve"> </t>
    </r>
    <r>
      <rPr>
        <sz val="12"/>
        <rFont val="宋体"/>
        <family val="3"/>
        <charset val="134"/>
      </rPr>
      <t>法</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侧</t>
    </r>
    <r>
      <rPr>
        <sz val="12"/>
        <rFont val="Times New Roman"/>
        <family val="1"/>
      </rPr>
      <t xml:space="preserve"> </t>
    </r>
    <r>
      <rPr>
        <sz val="12"/>
        <rFont val="宋体"/>
        <family val="3"/>
        <charset val="134"/>
      </rPr>
      <t>隙</t>
    </r>
  </si>
  <si>
    <t>最 大 法 向 侧 隙</t>
  </si>
  <si>
    <r>
      <rPr>
        <sz val="12"/>
        <rFont val="宋体"/>
        <family val="3"/>
        <charset val="134"/>
      </rPr>
      <t>齿</t>
    </r>
    <r>
      <rPr>
        <sz val="12"/>
        <rFont val="Times New Roman"/>
        <family val="1"/>
      </rPr>
      <t xml:space="preserve"> </t>
    </r>
    <r>
      <rPr>
        <sz val="12"/>
        <rFont val="宋体"/>
        <family val="3"/>
        <charset val="134"/>
      </rPr>
      <t>距</t>
    </r>
    <r>
      <rPr>
        <sz val="12"/>
        <rFont val="Times New Roman"/>
        <family val="1"/>
      </rPr>
      <t xml:space="preserve"> </t>
    </r>
    <r>
      <rPr>
        <sz val="12"/>
        <rFont val="宋体"/>
        <family val="3"/>
        <charset val="134"/>
      </rPr>
      <t>累</t>
    </r>
    <r>
      <rPr>
        <sz val="12"/>
        <rFont val="Times New Roman"/>
        <family val="1"/>
      </rPr>
      <t xml:space="preserve"> </t>
    </r>
    <r>
      <rPr>
        <sz val="12"/>
        <rFont val="宋体"/>
        <family val="3"/>
        <charset val="134"/>
      </rPr>
      <t>积</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</si>
  <si>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齿</t>
    </r>
    <r>
      <rPr>
        <sz val="12"/>
        <rFont val="Times New Roman"/>
        <family val="1"/>
      </rPr>
      <t xml:space="preserve"> </t>
    </r>
    <r>
      <rPr>
        <sz val="12"/>
        <rFont val="宋体"/>
        <family val="3"/>
        <charset val="134"/>
      </rPr>
      <t>距</t>
    </r>
    <r>
      <rPr>
        <sz val="12"/>
        <rFont val="Times New Roman"/>
        <family val="1"/>
      </rPr>
      <t xml:space="preserve"> </t>
    </r>
    <r>
      <rPr>
        <sz val="12"/>
        <rFont val="宋体"/>
        <family val="3"/>
        <charset val="134"/>
      </rPr>
      <t>极</t>
    </r>
    <r>
      <rPr>
        <sz val="12"/>
        <rFont val="Times New Roman"/>
        <family val="1"/>
      </rPr>
      <t xml:space="preserve"> </t>
    </r>
    <r>
      <rPr>
        <sz val="12"/>
        <rFont val="宋体"/>
        <family val="3"/>
        <charset val="134"/>
      </rPr>
      <t>限</t>
    </r>
    <r>
      <rPr>
        <sz val="12"/>
        <rFont val="Times New Roman"/>
        <family val="1"/>
      </rPr>
      <t xml:space="preserve"> </t>
    </r>
    <r>
      <rPr>
        <sz val="12"/>
        <rFont val="宋体"/>
        <family val="3"/>
        <charset val="134"/>
      </rPr>
      <t>偏</t>
    </r>
    <r>
      <rPr>
        <sz val="12"/>
        <rFont val="Times New Roman"/>
        <family val="1"/>
      </rPr>
      <t xml:space="preserve"> </t>
    </r>
    <r>
      <rPr>
        <sz val="12"/>
        <rFont val="宋体"/>
        <family val="3"/>
        <charset val="134"/>
      </rPr>
      <t>差</t>
    </r>
  </si>
  <si>
    <r>
      <rPr>
        <sz val="12"/>
        <rFont val="宋体"/>
        <family val="3"/>
        <charset val="134"/>
      </rPr>
      <t>基</t>
    </r>
    <r>
      <rPr>
        <sz val="12"/>
        <rFont val="Times New Roman"/>
        <family val="1"/>
      </rPr>
      <t xml:space="preserve"> </t>
    </r>
    <r>
      <rPr>
        <sz val="12"/>
        <rFont val="宋体"/>
        <family val="3"/>
        <charset val="134"/>
      </rPr>
      <t>节</t>
    </r>
    <r>
      <rPr>
        <sz val="12"/>
        <rFont val="Times New Roman"/>
        <family val="1"/>
      </rPr>
      <t xml:space="preserve"> </t>
    </r>
    <r>
      <rPr>
        <sz val="12"/>
        <rFont val="宋体"/>
        <family val="3"/>
        <charset val="134"/>
      </rPr>
      <t>极</t>
    </r>
    <r>
      <rPr>
        <sz val="12"/>
        <rFont val="Times New Roman"/>
        <family val="1"/>
      </rPr>
      <t xml:space="preserve"> </t>
    </r>
    <r>
      <rPr>
        <sz val="12"/>
        <rFont val="宋体"/>
        <family val="3"/>
        <charset val="134"/>
      </rPr>
      <t>限</t>
    </r>
    <r>
      <rPr>
        <sz val="12"/>
        <rFont val="Times New Roman"/>
        <family val="1"/>
      </rPr>
      <t xml:space="preserve"> </t>
    </r>
    <r>
      <rPr>
        <sz val="12"/>
        <rFont val="宋体"/>
        <family val="3"/>
        <charset val="134"/>
      </rPr>
      <t>偏</t>
    </r>
    <r>
      <rPr>
        <sz val="12"/>
        <rFont val="Times New Roman"/>
        <family val="1"/>
      </rPr>
      <t xml:space="preserve"> </t>
    </r>
    <r>
      <rPr>
        <sz val="12"/>
        <rFont val="宋体"/>
        <family val="3"/>
        <charset val="134"/>
      </rPr>
      <t>差</t>
    </r>
  </si>
  <si>
    <r>
      <rPr>
        <sz val="12"/>
        <rFont val="Times New Roman"/>
        <family val="1"/>
      </rPr>
      <t>±</t>
    </r>
    <r>
      <rPr>
        <sz val="12"/>
        <rFont val="宋体"/>
        <family val="3"/>
        <charset val="134"/>
      </rPr>
      <t>f</t>
    </r>
    <r>
      <rPr>
        <sz val="8"/>
        <rFont val="Times New Roman"/>
        <family val="1"/>
      </rPr>
      <t>pb</t>
    </r>
  </si>
  <si>
    <r>
      <rPr>
        <sz val="12"/>
        <rFont val="宋体"/>
        <family val="3"/>
        <charset val="134"/>
      </rPr>
      <t>齿</t>
    </r>
    <r>
      <rPr>
        <sz val="12"/>
        <rFont val="Times New Roman"/>
        <family val="1"/>
      </rPr>
      <t xml:space="preserve">    </t>
    </r>
    <r>
      <rPr>
        <sz val="12"/>
        <rFont val="宋体"/>
        <family val="3"/>
        <charset val="134"/>
      </rPr>
      <t xml:space="preserve">形 </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</si>
  <si>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齿</t>
    </r>
    <r>
      <rPr>
        <sz val="12"/>
        <rFont val="Times New Roman"/>
        <family val="1"/>
      </rPr>
      <t xml:space="preserve">    </t>
    </r>
    <r>
      <rPr>
        <sz val="12"/>
        <rFont val="宋体"/>
        <family val="3"/>
        <charset val="134"/>
      </rPr>
      <t xml:space="preserve">向 </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</si>
  <si>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宋体"/>
        <family val="3"/>
        <charset val="134"/>
      </rPr>
      <t>顶圆尺寸公差</t>
    </r>
    <r>
      <rPr>
        <sz val="10"/>
        <rFont val="宋体"/>
        <family val="3"/>
        <charset val="134"/>
      </rPr>
      <t>（用作基准）</t>
    </r>
  </si>
  <si>
    <r>
      <rPr>
        <sz val="10"/>
        <rFont val="Times New Roman"/>
        <family val="1"/>
      </rPr>
      <t xml:space="preserve">                              </t>
    </r>
    <r>
      <rPr>
        <sz val="10"/>
        <rFont val="宋体"/>
        <family val="3"/>
        <charset val="134"/>
      </rPr>
      <t>（不用作基准）</t>
    </r>
  </si>
  <si>
    <r>
      <rPr>
        <b/>
        <sz val="12"/>
        <rFont val="宋体"/>
        <family val="3"/>
        <charset val="134"/>
      </rPr>
      <t>图样标注</t>
    </r>
    <r>
      <rPr>
        <b/>
        <sz val="12"/>
        <rFont val="Times New Roman"/>
        <family val="1"/>
      </rPr>
      <t xml:space="preserve">: </t>
    </r>
    <r>
      <rPr>
        <b/>
        <sz val="14"/>
        <rFont val="Times New Roman"/>
        <family val="1"/>
      </rPr>
      <t xml:space="preserve"> </t>
    </r>
    <r>
      <rPr>
        <sz val="12"/>
        <rFont val="宋体"/>
        <family val="3"/>
        <charset val="134"/>
      </rPr>
      <t>齿轮</t>
    </r>
    <r>
      <rPr>
        <sz val="12"/>
        <rFont val="Times New Roman"/>
        <family val="1"/>
      </rPr>
      <t>1</t>
    </r>
  </si>
  <si>
    <r>
      <rPr>
        <sz val="12"/>
        <rFont val="宋体"/>
        <family val="3"/>
        <charset val="134"/>
      </rPr>
      <t xml:space="preserve"> </t>
    </r>
    <r>
      <rPr>
        <sz val="12"/>
        <rFont val="宋体"/>
        <family val="3"/>
        <charset val="134"/>
      </rPr>
      <t xml:space="preserve">         </t>
    </r>
    <r>
      <rPr>
        <sz val="12"/>
        <rFont val="宋体"/>
        <family val="3"/>
        <charset val="134"/>
      </rPr>
      <t>齿轮2</t>
    </r>
  </si>
  <si>
    <r>
      <rPr>
        <sz val="10"/>
        <color indexed="10"/>
        <rFont val="宋体"/>
        <family val="3"/>
        <charset val="134"/>
      </rPr>
      <t>打印终止</t>
    </r>
    <r>
      <rPr>
        <sz val="10"/>
        <color indexed="10"/>
        <rFont val="Times New Roman"/>
        <family val="1"/>
      </rPr>
      <t>*******************************************************************************************</t>
    </r>
  </si>
  <si>
    <t>分割器摇摆运动选型计算</t>
  </si>
  <si>
    <t>参数输入区</t>
  </si>
  <si>
    <r>
      <rPr>
        <sz val="12"/>
        <rFont val="新宋体"/>
        <family val="3"/>
        <charset val="134"/>
      </rPr>
      <t>输出轴摇摆角</t>
    </r>
    <r>
      <rPr>
        <sz val="12"/>
        <rFont val="新宋体"/>
        <family val="3"/>
        <charset val="134"/>
      </rPr>
      <t>……………(Q)</t>
    </r>
  </si>
  <si>
    <r>
      <rPr>
        <sz val="12"/>
        <rFont val="新宋体"/>
        <family val="3"/>
        <charset val="134"/>
      </rPr>
      <t>输入轴驱动角</t>
    </r>
    <r>
      <rPr>
        <sz val="12"/>
        <rFont val="新宋体"/>
        <family val="3"/>
        <charset val="134"/>
      </rPr>
      <t>……………(Qh)</t>
    </r>
  </si>
  <si>
    <r>
      <rPr>
        <sz val="12"/>
        <color indexed="12"/>
        <rFont val="新宋体"/>
        <family val="3"/>
        <charset val="134"/>
      </rPr>
      <t>(</t>
    </r>
    <r>
      <rPr>
        <sz val="12"/>
        <color indexed="12"/>
        <rFont val="新宋体"/>
        <family val="3"/>
        <charset val="134"/>
      </rPr>
      <t>此栏请键入</t>
    </r>
    <r>
      <rPr>
        <sz val="12"/>
        <color indexed="12"/>
        <rFont val="新宋体"/>
        <family val="3"/>
        <charset val="134"/>
      </rPr>
      <t>,</t>
    </r>
    <r>
      <rPr>
        <sz val="12"/>
        <color indexed="12"/>
        <rFont val="新宋体"/>
        <family val="3"/>
        <charset val="134"/>
      </rPr>
      <t>输入轴之最小驱动角</t>
    </r>
    <r>
      <rPr>
        <sz val="12"/>
        <color indexed="12"/>
        <rFont val="新宋体"/>
        <family val="3"/>
        <charset val="134"/>
      </rPr>
      <t>)</t>
    </r>
  </si>
  <si>
    <r>
      <rPr>
        <sz val="12"/>
        <rFont val="新宋体"/>
        <family val="3"/>
        <charset val="134"/>
      </rPr>
      <t>输出轴行程长度</t>
    </r>
    <r>
      <rPr>
        <sz val="12"/>
        <rFont val="新宋体"/>
        <family val="3"/>
        <charset val="134"/>
      </rPr>
      <t>…………(P)</t>
    </r>
  </si>
  <si>
    <t>(此栏为夹具直线运动行程)</t>
  </si>
  <si>
    <r>
      <rPr>
        <sz val="12"/>
        <rFont val="新宋体"/>
        <family val="3"/>
        <charset val="134"/>
      </rPr>
      <t>输出轴摆臂长度</t>
    </r>
    <r>
      <rPr>
        <sz val="12"/>
        <rFont val="新宋体"/>
        <family val="3"/>
        <charset val="134"/>
      </rPr>
      <t>…………(L)</t>
    </r>
  </si>
  <si>
    <r>
      <rPr>
        <sz val="12"/>
        <rFont val="新宋体"/>
        <family val="3"/>
        <charset val="134"/>
      </rPr>
      <t>每分割定位时间</t>
    </r>
    <r>
      <rPr>
        <sz val="12"/>
        <rFont val="新宋体"/>
        <family val="3"/>
        <charset val="134"/>
      </rPr>
      <t>…</t>
    </r>
    <r>
      <rPr>
        <sz val="12"/>
        <rFont val="新宋体"/>
        <family val="3"/>
        <charset val="134"/>
      </rPr>
      <t>...</t>
    </r>
    <r>
      <rPr>
        <sz val="12"/>
        <rFont val="新宋体"/>
        <family val="3"/>
        <charset val="134"/>
      </rPr>
      <t>……(t1)</t>
    </r>
  </si>
  <si>
    <t>sec</t>
  </si>
  <si>
    <r>
      <rPr>
        <sz val="12"/>
        <color indexed="12"/>
        <rFont val="新宋体"/>
        <family val="3"/>
        <charset val="134"/>
      </rPr>
      <t>(</t>
    </r>
    <r>
      <rPr>
        <sz val="12"/>
        <color indexed="12"/>
        <rFont val="新宋体"/>
        <family val="3"/>
        <charset val="134"/>
      </rPr>
      <t>若已知输入轴驱动角</t>
    </r>
    <r>
      <rPr>
        <sz val="12"/>
        <color indexed="12"/>
        <rFont val="新宋体"/>
        <family val="3"/>
        <charset val="134"/>
      </rPr>
      <t>,</t>
    </r>
    <r>
      <rPr>
        <sz val="12"/>
        <color indexed="12"/>
        <rFont val="新宋体"/>
        <family val="3"/>
        <charset val="134"/>
      </rPr>
      <t>此栏将不列为计算值</t>
    </r>
    <r>
      <rPr>
        <sz val="12"/>
        <color indexed="12"/>
        <rFont val="新宋体"/>
        <family val="3"/>
        <charset val="134"/>
      </rPr>
      <t>,</t>
    </r>
    <r>
      <rPr>
        <sz val="12"/>
        <color indexed="12"/>
        <rFont val="新宋体"/>
        <family val="3"/>
        <charset val="134"/>
      </rPr>
      <t>不需重键</t>
    </r>
    <r>
      <rPr>
        <sz val="12"/>
        <color indexed="12"/>
        <rFont val="新宋体"/>
        <family val="3"/>
        <charset val="134"/>
      </rPr>
      <t>)</t>
    </r>
  </si>
  <si>
    <r>
      <rPr>
        <sz val="12"/>
        <rFont val="新宋体"/>
        <family val="3"/>
        <charset val="134"/>
      </rPr>
      <t>每分割回转时间</t>
    </r>
    <r>
      <rPr>
        <sz val="12"/>
        <rFont val="新宋体"/>
        <family val="3"/>
        <charset val="134"/>
      </rPr>
      <t>…</t>
    </r>
    <r>
      <rPr>
        <sz val="12"/>
        <rFont val="新宋体"/>
        <family val="3"/>
        <charset val="134"/>
      </rPr>
      <t>...</t>
    </r>
    <r>
      <rPr>
        <sz val="12"/>
        <rFont val="新宋体"/>
        <family val="3"/>
        <charset val="134"/>
      </rPr>
      <t>……(t2)</t>
    </r>
  </si>
  <si>
    <r>
      <rPr>
        <sz val="12"/>
        <rFont val="新宋体"/>
        <family val="3"/>
        <charset val="134"/>
      </rPr>
      <t>前进时间</t>
    </r>
    <r>
      <rPr>
        <sz val="12"/>
        <rFont val="新宋体"/>
        <family val="3"/>
        <charset val="134"/>
      </rPr>
      <t>………………...(t3)</t>
    </r>
  </si>
  <si>
    <r>
      <rPr>
        <sz val="12"/>
        <rFont val="新宋体"/>
        <family val="3"/>
        <charset val="134"/>
      </rPr>
      <t>复归时间</t>
    </r>
    <r>
      <rPr>
        <sz val="12"/>
        <rFont val="新宋体"/>
        <family val="3"/>
        <charset val="134"/>
      </rPr>
      <t>…………...……(t4)</t>
    </r>
  </si>
  <si>
    <r>
      <rPr>
        <sz val="12"/>
        <rFont val="新宋体"/>
        <family val="3"/>
        <charset val="134"/>
      </rPr>
      <t>入力轴回转数</t>
    </r>
    <r>
      <rPr>
        <sz val="12"/>
        <rFont val="新宋体"/>
        <family val="3"/>
        <charset val="134"/>
      </rPr>
      <t>……</t>
    </r>
    <r>
      <rPr>
        <sz val="12"/>
        <rFont val="新宋体"/>
        <family val="3"/>
        <charset val="134"/>
      </rPr>
      <t>...</t>
    </r>
    <r>
      <rPr>
        <sz val="12"/>
        <rFont val="新宋体"/>
        <family val="3"/>
        <charset val="134"/>
      </rPr>
      <t>……(n )</t>
    </r>
  </si>
  <si>
    <r>
      <rPr>
        <sz val="12"/>
        <rFont val="新宋体"/>
        <family val="3"/>
        <charset val="134"/>
      </rPr>
      <t>工件重量</t>
    </r>
    <r>
      <rPr>
        <sz val="12"/>
        <rFont val="新宋体"/>
        <family val="3"/>
        <charset val="134"/>
      </rPr>
      <t>…………….…..(W)</t>
    </r>
  </si>
  <si>
    <t xml:space="preserve">kg  </t>
  </si>
  <si>
    <t>摆臂参数</t>
  </si>
  <si>
    <r>
      <rPr>
        <sz val="12"/>
        <rFont val="新宋体"/>
        <family val="3"/>
        <charset val="134"/>
      </rPr>
      <t>摆臂宽度</t>
    </r>
    <r>
      <rPr>
        <sz val="12"/>
        <rFont val="新宋体"/>
        <family val="3"/>
        <charset val="134"/>
      </rPr>
      <t>……………...…(M1)</t>
    </r>
  </si>
  <si>
    <r>
      <rPr>
        <sz val="12"/>
        <rFont val="新宋体"/>
        <family val="3"/>
        <charset val="134"/>
      </rPr>
      <t>摆臂高度</t>
    </r>
    <r>
      <rPr>
        <sz val="12"/>
        <rFont val="新宋体"/>
        <family val="3"/>
        <charset val="134"/>
      </rPr>
      <t>………………...(M2)</t>
    </r>
  </si>
  <si>
    <r>
      <rPr>
        <sz val="12"/>
        <rFont val="新宋体"/>
        <family val="3"/>
        <charset val="134"/>
      </rPr>
      <t>摆臂长度</t>
    </r>
    <r>
      <rPr>
        <sz val="12"/>
        <rFont val="新宋体"/>
        <family val="3"/>
        <charset val="134"/>
      </rPr>
      <t>…………...……(M3)</t>
    </r>
  </si>
  <si>
    <t>摆臂重量(W2)</t>
  </si>
  <si>
    <t>分割数(N)</t>
  </si>
  <si>
    <r>
      <rPr>
        <sz val="12"/>
        <color indexed="10"/>
        <rFont val="新宋体"/>
        <family val="3"/>
        <charset val="134"/>
      </rPr>
      <t>(</t>
    </r>
    <r>
      <rPr>
        <sz val="12"/>
        <color indexed="10"/>
        <rFont val="新宋体"/>
        <family val="3"/>
        <charset val="134"/>
      </rPr>
      <t>此栏为自动运算值</t>
    </r>
    <r>
      <rPr>
        <sz val="12"/>
        <color indexed="10"/>
        <rFont val="新宋体"/>
        <family val="3"/>
        <charset val="134"/>
      </rPr>
      <t>,</t>
    </r>
    <r>
      <rPr>
        <sz val="12"/>
        <color indexed="10"/>
        <rFont val="新宋体"/>
        <family val="3"/>
        <charset val="134"/>
      </rPr>
      <t>不可键值</t>
    </r>
    <r>
      <rPr>
        <sz val="12"/>
        <color indexed="10"/>
        <rFont val="新宋体"/>
        <family val="3"/>
        <charset val="134"/>
      </rPr>
      <t>)</t>
    </r>
  </si>
  <si>
    <t>凸轮曲线系修正正弦曲线</t>
  </si>
  <si>
    <r>
      <rPr>
        <sz val="12"/>
        <color indexed="8"/>
        <rFont val="新宋体"/>
        <family val="3"/>
        <charset val="134"/>
      </rPr>
      <t>(M.S.),</t>
    </r>
    <r>
      <rPr>
        <sz val="12"/>
        <color indexed="8"/>
        <rFont val="新宋体"/>
        <family val="3"/>
        <charset val="134"/>
      </rPr>
      <t>因此</t>
    </r>
    <r>
      <rPr>
        <sz val="12"/>
        <color indexed="8"/>
        <rFont val="新宋体"/>
        <family val="3"/>
        <charset val="134"/>
      </rPr>
      <t>:</t>
    </r>
  </si>
  <si>
    <r>
      <rPr>
        <sz val="12"/>
        <rFont val="新宋体"/>
        <family val="3"/>
        <charset val="134"/>
      </rPr>
      <t>最大非向性速度</t>
    </r>
    <r>
      <rPr>
        <sz val="12"/>
        <rFont val="新宋体"/>
        <family val="3"/>
        <charset val="134"/>
      </rPr>
      <t>……</t>
    </r>
    <r>
      <rPr>
        <sz val="12"/>
        <rFont val="新宋体"/>
        <family val="3"/>
        <charset val="134"/>
      </rPr>
      <t>...</t>
    </r>
    <r>
      <rPr>
        <sz val="12"/>
        <rFont val="新宋体"/>
        <family val="3"/>
        <charset val="134"/>
      </rPr>
      <t>.(Vm)</t>
    </r>
  </si>
  <si>
    <r>
      <rPr>
        <sz val="12"/>
        <rFont val="新宋体"/>
        <family val="3"/>
        <charset val="134"/>
      </rPr>
      <t>最大非向性加速度</t>
    </r>
    <r>
      <rPr>
        <sz val="12"/>
        <rFont val="新宋体"/>
        <family val="3"/>
        <charset val="134"/>
      </rPr>
      <t>…</t>
    </r>
    <r>
      <rPr>
        <sz val="12"/>
        <rFont val="新宋体"/>
        <family val="3"/>
        <charset val="134"/>
      </rPr>
      <t>..</t>
    </r>
    <r>
      <rPr>
        <sz val="12"/>
        <rFont val="新宋体"/>
        <family val="3"/>
        <charset val="134"/>
      </rPr>
      <t>..(Am)</t>
    </r>
  </si>
  <si>
    <r>
      <rPr>
        <sz val="12"/>
        <rFont val="新宋体"/>
        <family val="3"/>
        <charset val="134"/>
      </rPr>
      <t>凸轮最大扭力系数</t>
    </r>
    <r>
      <rPr>
        <sz val="12"/>
        <rFont val="新宋体"/>
        <family val="3"/>
        <charset val="134"/>
      </rPr>
      <t>…....(Qm)</t>
    </r>
  </si>
  <si>
    <r>
      <rPr>
        <b/>
        <sz val="12"/>
        <color indexed="10"/>
        <rFont val="新宋体"/>
        <family val="3"/>
        <charset val="134"/>
      </rPr>
      <t>(</t>
    </r>
    <r>
      <rPr>
        <b/>
        <sz val="12"/>
        <color indexed="10"/>
        <rFont val="新宋体"/>
        <family val="3"/>
        <charset val="134"/>
      </rPr>
      <t>一</t>
    </r>
    <r>
      <rPr>
        <b/>
        <sz val="12"/>
        <color indexed="10"/>
        <rFont val="新宋体"/>
        <family val="3"/>
        <charset val="134"/>
      </rPr>
      <t>).</t>
    </r>
    <r>
      <rPr>
        <b/>
        <sz val="12"/>
        <color indexed="10"/>
        <rFont val="新宋体"/>
        <family val="3"/>
        <charset val="134"/>
      </rPr>
      <t>负荷</t>
    </r>
    <r>
      <rPr>
        <b/>
        <sz val="12"/>
        <color indexed="10"/>
        <rFont val="新宋体"/>
        <family val="3"/>
        <charset val="134"/>
      </rPr>
      <t>………...(GD^2):</t>
    </r>
  </si>
  <si>
    <r>
      <rPr>
        <b/>
        <sz val="12"/>
        <rFont val="新宋体"/>
        <family val="3"/>
        <charset val="134"/>
      </rPr>
      <t>(1).</t>
    </r>
    <r>
      <rPr>
        <b/>
        <sz val="12"/>
        <rFont val="新宋体"/>
        <family val="3"/>
        <charset val="134"/>
      </rPr>
      <t>工件往复直进运动</t>
    </r>
    <r>
      <rPr>
        <b/>
        <sz val="12"/>
        <rFont val="新宋体"/>
        <family val="3"/>
        <charset val="134"/>
      </rPr>
      <t>….GD^2</t>
    </r>
    <r>
      <rPr>
        <sz val="12"/>
        <rFont val="新宋体"/>
        <family val="3"/>
        <charset val="134"/>
      </rPr>
      <t>(1)</t>
    </r>
  </si>
  <si>
    <t>4*W*{(N*P)/(2*3.14159)}^2</t>
  </si>
  <si>
    <t>kgf.m^2</t>
  </si>
  <si>
    <r>
      <rPr>
        <b/>
        <sz val="12"/>
        <rFont val="新宋体"/>
        <family val="3"/>
        <charset val="134"/>
      </rPr>
      <t>(2).</t>
    </r>
    <r>
      <rPr>
        <b/>
        <sz val="12"/>
        <rFont val="新宋体"/>
        <family val="3"/>
        <charset val="134"/>
      </rPr>
      <t>摆臂往复运动</t>
    </r>
    <r>
      <rPr>
        <b/>
        <sz val="12"/>
        <rFont val="新宋体"/>
        <family val="3"/>
        <charset val="134"/>
      </rPr>
      <t>………..GD^2</t>
    </r>
    <r>
      <rPr>
        <sz val="12"/>
        <rFont val="新宋体"/>
        <family val="3"/>
        <charset val="134"/>
      </rPr>
      <t>(2)</t>
    </r>
  </si>
  <si>
    <t>2*{(((M3^2)+(M2^2))/3)+(P^2)}</t>
  </si>
  <si>
    <r>
      <rPr>
        <b/>
        <sz val="12"/>
        <color indexed="10"/>
        <rFont val="新宋体"/>
        <family val="3"/>
        <charset val="134"/>
      </rPr>
      <t>(</t>
    </r>
    <r>
      <rPr>
        <b/>
        <sz val="12"/>
        <color indexed="10"/>
        <rFont val="新宋体"/>
        <family val="3"/>
        <charset val="134"/>
      </rPr>
      <t>二</t>
    </r>
    <r>
      <rPr>
        <b/>
        <sz val="12"/>
        <color indexed="10"/>
        <rFont val="新宋体"/>
        <family val="3"/>
        <charset val="134"/>
      </rPr>
      <t>).</t>
    </r>
    <r>
      <rPr>
        <b/>
        <sz val="12"/>
        <color indexed="10"/>
        <rFont val="新宋体"/>
        <family val="3"/>
        <charset val="134"/>
      </rPr>
      <t>惯性扭矩</t>
    </r>
    <r>
      <rPr>
        <b/>
        <sz val="12"/>
        <color indexed="10"/>
        <rFont val="新宋体"/>
        <family val="3"/>
        <charset val="134"/>
      </rPr>
      <t>…..(Ti)</t>
    </r>
  </si>
  <si>
    <r>
      <rPr>
        <b/>
        <sz val="12"/>
        <rFont val="新宋体"/>
        <family val="3"/>
        <charset val="134"/>
      </rPr>
      <t>(1).</t>
    </r>
    <r>
      <rPr>
        <b/>
        <sz val="12"/>
        <rFont val="新宋体"/>
        <family val="3"/>
        <charset val="134"/>
      </rPr>
      <t>工件直进运动惯性扭矩</t>
    </r>
    <r>
      <rPr>
        <b/>
        <sz val="12"/>
        <rFont val="新宋体"/>
        <family val="3"/>
        <charset val="134"/>
      </rPr>
      <t>…..Ti</t>
    </r>
    <r>
      <rPr>
        <sz val="12"/>
        <rFont val="新宋体"/>
        <family val="3"/>
        <charset val="134"/>
      </rPr>
      <t>1</t>
    </r>
  </si>
  <si>
    <t>0.585*Am*{(W*N*(P^2)*(n^2))/(Qh^2)}</t>
  </si>
  <si>
    <t>kgf.m</t>
  </si>
  <si>
    <r>
      <rPr>
        <b/>
        <sz val="12"/>
        <color indexed="8"/>
        <rFont val="新宋体"/>
        <family val="3"/>
        <charset val="134"/>
      </rPr>
      <t>(</t>
    </r>
    <r>
      <rPr>
        <b/>
        <u/>
        <sz val="12"/>
        <color indexed="8"/>
        <rFont val="新宋体"/>
        <family val="3"/>
        <charset val="134"/>
      </rPr>
      <t>2</t>
    </r>
    <r>
      <rPr>
        <b/>
        <sz val="12"/>
        <color indexed="8"/>
        <rFont val="新宋体"/>
        <family val="3"/>
        <charset val="134"/>
      </rPr>
      <t>).</t>
    </r>
    <r>
      <rPr>
        <b/>
        <sz val="12"/>
        <color indexed="8"/>
        <rFont val="新宋体"/>
        <family val="3"/>
        <charset val="134"/>
      </rPr>
      <t>摆臂往复运动惯性扭矩</t>
    </r>
    <r>
      <rPr>
        <b/>
        <sz val="12"/>
        <color indexed="8"/>
        <rFont val="新宋体"/>
        <family val="3"/>
        <charset val="134"/>
      </rPr>
      <t>…..Ti</t>
    </r>
    <r>
      <rPr>
        <sz val="12"/>
        <color indexed="8"/>
        <rFont val="新宋体"/>
        <family val="3"/>
        <charset val="134"/>
      </rPr>
      <t>2</t>
    </r>
  </si>
  <si>
    <r>
      <rPr>
        <b/>
        <sz val="12"/>
        <rFont val="新宋体"/>
        <family val="3"/>
        <charset val="134"/>
      </rPr>
      <t>5.77*Am*{(GD^2</t>
    </r>
    <r>
      <rPr>
        <sz val="12"/>
        <rFont val="新宋体"/>
        <family val="3"/>
        <charset val="134"/>
      </rPr>
      <t>(2)</t>
    </r>
    <r>
      <rPr>
        <b/>
        <sz val="12"/>
        <rFont val="新宋体"/>
        <family val="3"/>
        <charset val="134"/>
      </rPr>
      <t>*(n^2))/(N*(Qh^2))}</t>
    </r>
  </si>
  <si>
    <t>Ti</t>
  </si>
  <si>
    <t>Ti1+Ti2</t>
  </si>
  <si>
    <r>
      <rPr>
        <b/>
        <sz val="12"/>
        <color indexed="10"/>
        <rFont val="新宋体"/>
        <family val="3"/>
        <charset val="134"/>
      </rPr>
      <t>(</t>
    </r>
    <r>
      <rPr>
        <b/>
        <sz val="12"/>
        <color indexed="10"/>
        <rFont val="新宋体"/>
        <family val="3"/>
        <charset val="134"/>
      </rPr>
      <t>三</t>
    </r>
    <r>
      <rPr>
        <b/>
        <sz val="12"/>
        <color indexed="10"/>
        <rFont val="新宋体"/>
        <family val="3"/>
        <charset val="134"/>
      </rPr>
      <t>).</t>
    </r>
    <r>
      <rPr>
        <b/>
        <sz val="12"/>
        <color indexed="10"/>
        <rFont val="新宋体"/>
        <family val="3"/>
        <charset val="134"/>
      </rPr>
      <t>摩插扭矩</t>
    </r>
    <r>
      <rPr>
        <b/>
        <sz val="12"/>
        <color indexed="10"/>
        <rFont val="新宋体"/>
        <family val="3"/>
        <charset val="134"/>
      </rPr>
      <t>…..(Tf)</t>
    </r>
  </si>
  <si>
    <r>
      <rPr>
        <sz val="12"/>
        <color indexed="14"/>
        <rFont val="新宋体"/>
        <family val="3"/>
        <charset val="134"/>
      </rPr>
      <t xml:space="preserve">        (</t>
    </r>
    <r>
      <rPr>
        <sz val="12"/>
        <color indexed="14"/>
        <rFont val="新宋体"/>
        <family val="3"/>
        <charset val="134"/>
      </rPr>
      <t>摩擦系数</t>
    </r>
    <r>
      <rPr>
        <sz val="12"/>
        <color indexed="14"/>
        <rFont val="新宋体"/>
        <family val="3"/>
        <charset val="134"/>
      </rPr>
      <t xml:space="preserve">.u = 0.05)                    </t>
    </r>
  </si>
  <si>
    <t>{(W*u*N*P)/(2*3.14159)}</t>
  </si>
  <si>
    <r>
      <rPr>
        <b/>
        <sz val="12"/>
        <color indexed="10"/>
        <rFont val="新宋体"/>
        <family val="3"/>
        <charset val="134"/>
      </rPr>
      <t>(</t>
    </r>
    <r>
      <rPr>
        <b/>
        <sz val="12"/>
        <color indexed="10"/>
        <rFont val="新宋体"/>
        <family val="3"/>
        <charset val="134"/>
      </rPr>
      <t>四</t>
    </r>
    <r>
      <rPr>
        <b/>
        <sz val="12"/>
        <color indexed="10"/>
        <rFont val="新宋体"/>
        <family val="3"/>
        <charset val="134"/>
      </rPr>
      <t>).</t>
    </r>
    <r>
      <rPr>
        <b/>
        <sz val="12"/>
        <color indexed="10"/>
        <rFont val="新宋体"/>
        <family val="3"/>
        <charset val="134"/>
      </rPr>
      <t>以上总负载扭矩</t>
    </r>
    <r>
      <rPr>
        <b/>
        <sz val="12"/>
        <color indexed="10"/>
        <rFont val="新宋体"/>
        <family val="3"/>
        <charset val="134"/>
      </rPr>
      <t>………....(Tt)</t>
    </r>
  </si>
  <si>
    <t xml:space="preserve">Ti + Tf </t>
  </si>
  <si>
    <t>kgf . m</t>
  </si>
  <si>
    <r>
      <rPr>
        <b/>
        <sz val="12"/>
        <color indexed="10"/>
        <rFont val="新宋体"/>
        <family val="3"/>
        <charset val="134"/>
      </rPr>
      <t>(</t>
    </r>
    <r>
      <rPr>
        <b/>
        <sz val="12"/>
        <color indexed="10"/>
        <rFont val="新宋体"/>
        <family val="3"/>
        <charset val="134"/>
      </rPr>
      <t>五</t>
    </r>
    <r>
      <rPr>
        <b/>
        <sz val="12"/>
        <color indexed="10"/>
        <rFont val="新宋体"/>
        <family val="3"/>
        <charset val="134"/>
      </rPr>
      <t>).</t>
    </r>
    <r>
      <rPr>
        <b/>
        <sz val="12"/>
        <color indexed="10"/>
        <rFont val="新宋体"/>
        <family val="3"/>
        <charset val="134"/>
      </rPr>
      <t>实际负载扭矩</t>
    </r>
    <r>
      <rPr>
        <b/>
        <sz val="12"/>
        <color indexed="10"/>
        <rFont val="新宋体"/>
        <family val="3"/>
        <charset val="134"/>
      </rPr>
      <t>…...(Te)</t>
    </r>
  </si>
  <si>
    <t>Tt * fc</t>
  </si>
  <si>
    <r>
      <rPr>
        <sz val="12"/>
        <color indexed="14"/>
        <rFont val="新宋体"/>
        <family val="3"/>
        <charset val="134"/>
      </rPr>
      <t xml:space="preserve">        (</t>
    </r>
    <r>
      <rPr>
        <sz val="12"/>
        <color indexed="14"/>
        <rFont val="新宋体"/>
        <family val="3"/>
        <charset val="134"/>
      </rPr>
      <t>安全负载之因数</t>
    </r>
    <r>
      <rPr>
        <sz val="12"/>
        <color indexed="14"/>
        <rFont val="新宋体"/>
        <family val="3"/>
        <charset val="134"/>
      </rPr>
      <t>. fc =1.5)</t>
    </r>
  </si>
  <si>
    <t>kgf . M</t>
  </si>
  <si>
    <r>
      <rPr>
        <b/>
        <sz val="12"/>
        <color indexed="10"/>
        <rFont val="新宋体"/>
        <family val="3"/>
        <charset val="134"/>
      </rPr>
      <t>(</t>
    </r>
    <r>
      <rPr>
        <b/>
        <sz val="12"/>
        <color indexed="10"/>
        <rFont val="新宋体"/>
        <family val="3"/>
        <charset val="134"/>
      </rPr>
      <t>三</t>
    </r>
    <r>
      <rPr>
        <b/>
        <sz val="12"/>
        <color indexed="10"/>
        <rFont val="新宋体"/>
        <family val="3"/>
        <charset val="134"/>
      </rPr>
      <t>).</t>
    </r>
    <r>
      <rPr>
        <b/>
        <sz val="12"/>
        <color indexed="10"/>
        <rFont val="新宋体"/>
        <family val="3"/>
        <charset val="134"/>
      </rPr>
      <t>入力轴扭矩</t>
    </r>
    <r>
      <rPr>
        <b/>
        <sz val="12"/>
        <color indexed="10"/>
        <rFont val="新宋体"/>
        <family val="3"/>
        <charset val="134"/>
      </rPr>
      <t xml:space="preserve">(Tc)   </t>
    </r>
    <r>
      <rPr>
        <b/>
        <sz val="12"/>
        <color indexed="10"/>
        <rFont val="新宋体"/>
        <family val="3"/>
        <charset val="134"/>
      </rPr>
      <t>注</t>
    </r>
    <r>
      <rPr>
        <b/>
        <sz val="12"/>
        <color indexed="10"/>
        <rFont val="新宋体"/>
        <family val="3"/>
        <charset val="134"/>
      </rPr>
      <t>:</t>
    </r>
    <r>
      <rPr>
        <b/>
        <sz val="12"/>
        <color indexed="10"/>
        <rFont val="新宋体"/>
        <family val="3"/>
        <charset val="134"/>
      </rPr>
      <t>入力轴起动负载扭矩视为</t>
    </r>
    <r>
      <rPr>
        <b/>
        <sz val="12"/>
        <color indexed="10"/>
        <rFont val="新宋体"/>
        <family val="3"/>
        <charset val="134"/>
      </rPr>
      <t xml:space="preserve">0 , </t>
    </r>
    <r>
      <rPr>
        <b/>
        <sz val="12"/>
        <color indexed="10"/>
        <rFont val="新宋体"/>
        <family val="3"/>
        <charset val="134"/>
      </rPr>
      <t>因此</t>
    </r>
    <r>
      <rPr>
        <b/>
        <sz val="12"/>
        <color indexed="10"/>
        <rFont val="新宋体"/>
        <family val="3"/>
        <charset val="134"/>
      </rPr>
      <t xml:space="preserve"> Tca =0</t>
    </r>
  </si>
  <si>
    <t xml:space="preserve">                                         Tc</t>
  </si>
  <si>
    <t>[360 / (Qh * N)] * Qm * (Te + Tca)</t>
  </si>
  <si>
    <t>(kg . m)</t>
  </si>
  <si>
    <r>
      <rPr>
        <b/>
        <sz val="12"/>
        <color indexed="10"/>
        <rFont val="新宋体"/>
        <family val="3"/>
        <charset val="134"/>
      </rPr>
      <t>(</t>
    </r>
    <r>
      <rPr>
        <b/>
        <sz val="12"/>
        <color indexed="10"/>
        <rFont val="新宋体"/>
        <family val="3"/>
        <charset val="134"/>
      </rPr>
      <t>四</t>
    </r>
    <r>
      <rPr>
        <b/>
        <sz val="12"/>
        <color indexed="10"/>
        <rFont val="新宋体"/>
        <family val="3"/>
        <charset val="134"/>
      </rPr>
      <t>).</t>
    </r>
    <r>
      <rPr>
        <b/>
        <sz val="12"/>
        <color indexed="10"/>
        <rFont val="新宋体"/>
        <family val="3"/>
        <charset val="134"/>
      </rPr>
      <t>计算所须之马力</t>
    </r>
    <r>
      <rPr>
        <b/>
        <sz val="12"/>
        <color indexed="10"/>
        <rFont val="新宋体"/>
        <family val="3"/>
        <charset val="134"/>
      </rPr>
      <t>….(P)</t>
    </r>
  </si>
  <si>
    <t>( Tc * n ) / (716 * Z)</t>
  </si>
  <si>
    <r>
      <rPr>
        <sz val="12"/>
        <color indexed="14"/>
        <rFont val="新宋体"/>
        <family val="3"/>
        <charset val="134"/>
      </rPr>
      <t xml:space="preserve">       </t>
    </r>
    <r>
      <rPr>
        <sz val="12"/>
        <color indexed="14"/>
        <rFont val="新宋体"/>
        <family val="3"/>
        <charset val="134"/>
      </rPr>
      <t>假设效率</t>
    </r>
    <r>
      <rPr>
        <sz val="12"/>
        <color indexed="14"/>
        <rFont val="新宋体"/>
        <family val="3"/>
        <charset val="134"/>
      </rPr>
      <t xml:space="preserve">  Z = 0.6</t>
    </r>
  </si>
  <si>
    <t>(HP)</t>
  </si>
  <si>
    <r>
      <rPr>
        <sz val="12"/>
        <rFont val="新宋体"/>
        <family val="3"/>
        <charset val="134"/>
      </rPr>
      <t xml:space="preserve">                                  </t>
    </r>
    <r>
      <rPr>
        <sz val="12"/>
        <rFont val="新宋体"/>
        <family val="3"/>
        <charset val="134"/>
      </rPr>
      <t>或</t>
    </r>
    <r>
      <rPr>
        <sz val="12"/>
        <rFont val="新宋体"/>
        <family val="3"/>
        <charset val="134"/>
      </rPr>
      <t xml:space="preserve">   (P)</t>
    </r>
  </si>
  <si>
    <t>( Tc * n ) / (975 * Z)</t>
  </si>
  <si>
    <t>(kw)</t>
  </si>
  <si>
    <r>
      <rPr>
        <sz val="16"/>
        <rFont val="新宋体"/>
        <family val="3"/>
        <charset val="134"/>
      </rPr>
      <t>当</t>
    </r>
    <r>
      <rPr>
        <sz val="16"/>
        <color indexed="10"/>
        <rFont val="新宋体"/>
        <family val="3"/>
        <charset val="134"/>
      </rPr>
      <t>Ti</t>
    </r>
    <r>
      <rPr>
        <sz val="16"/>
        <color indexed="10"/>
        <rFont val="新宋体"/>
        <family val="3"/>
        <charset val="134"/>
      </rPr>
      <t>的值</t>
    </r>
    <r>
      <rPr>
        <sz val="16"/>
        <rFont val="新宋体"/>
        <family val="3"/>
        <charset val="134"/>
      </rPr>
      <t xml:space="preserve"> &gt; </t>
    </r>
    <r>
      <rPr>
        <sz val="16"/>
        <color indexed="10"/>
        <rFont val="新宋体"/>
        <family val="3"/>
        <charset val="134"/>
      </rPr>
      <t>Tf</t>
    </r>
    <r>
      <rPr>
        <sz val="16"/>
        <color indexed="10"/>
        <rFont val="新宋体"/>
        <family val="3"/>
        <charset val="134"/>
      </rPr>
      <t>的值</t>
    </r>
    <r>
      <rPr>
        <sz val="16"/>
        <rFont val="新宋体"/>
        <family val="3"/>
        <charset val="134"/>
      </rPr>
      <t>,</t>
    </r>
    <r>
      <rPr>
        <sz val="16"/>
        <rFont val="新宋体"/>
        <family val="3"/>
        <charset val="134"/>
      </rPr>
      <t>则平均负荷所需动力既为实际计算马力的</t>
    </r>
    <r>
      <rPr>
        <sz val="16"/>
        <color indexed="10"/>
        <rFont val="新宋体"/>
        <family val="3"/>
        <charset val="134"/>
      </rPr>
      <t>一半</t>
    </r>
    <r>
      <rPr>
        <sz val="16"/>
        <rFont val="新宋体"/>
        <family val="3"/>
        <charset val="134"/>
      </rPr>
      <t>.</t>
    </r>
  </si>
  <si>
    <t>凸轮分割器之输送带式传动</t>
  </si>
  <si>
    <t>注意：绿色的框内请根据工况修改，粉红色的框内为建议值，可改可不改。橘色的为自动计算值，不得更改！</t>
  </si>
  <si>
    <t>工况</t>
  </si>
  <si>
    <t>间歇分割等份</t>
  </si>
  <si>
    <t>直接结果</t>
  </si>
  <si>
    <t>选择的实际负载Te要大于</t>
  </si>
  <si>
    <t>kg. m</t>
  </si>
  <si>
    <t>主动齿轮节圆直径</t>
  </si>
  <si>
    <t xml:space="preserve">  </t>
  </si>
  <si>
    <t>主动齿轮重量</t>
  </si>
  <si>
    <t>W1</t>
  </si>
  <si>
    <t>需要电机功率要大于</t>
  </si>
  <si>
    <t>从动齿轮节圆直径</t>
  </si>
  <si>
    <t>从动齿轮重量</t>
  </si>
  <si>
    <t>W2</t>
  </si>
  <si>
    <t>摩擦扭矩</t>
  </si>
  <si>
    <t>传动轴重量</t>
  </si>
  <si>
    <t>W3</t>
  </si>
  <si>
    <t>静扭矩(惯性扭矩)</t>
  </si>
  <si>
    <t>传动轴数量</t>
  </si>
  <si>
    <t>A3</t>
  </si>
  <si>
    <t>链轮节圆直径</t>
  </si>
  <si>
    <t>链轮重量</t>
  </si>
  <si>
    <t>W4</t>
  </si>
  <si>
    <t>kg(每组)</t>
  </si>
  <si>
    <t>链轮组数</t>
  </si>
  <si>
    <t>A4</t>
  </si>
  <si>
    <t>kg(每条)</t>
  </si>
  <si>
    <t>链条数量</t>
  </si>
  <si>
    <t>条</t>
  </si>
  <si>
    <t>夹具重量</t>
  </si>
  <si>
    <t>W6</t>
  </si>
  <si>
    <t>夹具组数</t>
  </si>
  <si>
    <t>A6</t>
  </si>
  <si>
    <t>工件重量</t>
  </si>
  <si>
    <t>W7</t>
  </si>
  <si>
    <t>A7</t>
  </si>
  <si>
    <t>输送带输送间距</t>
  </si>
  <si>
    <t>Pc</t>
  </si>
  <si>
    <t>凸轮转位角度</t>
  </si>
  <si>
    <t>Qh</t>
  </si>
  <si>
    <t>入力轴回转数</t>
  </si>
  <si>
    <t xml:space="preserve">n </t>
  </si>
  <si>
    <t>速度比</t>
  </si>
  <si>
    <t>凸轮曲线系修正正弦曲线(M.S.),因此:</t>
  </si>
  <si>
    <t>最大非向性速度</t>
  </si>
  <si>
    <t>最大非向性加速度</t>
  </si>
  <si>
    <t>凸轮最大扭力系数</t>
  </si>
  <si>
    <t>fe</t>
  </si>
  <si>
    <t>马达效率</t>
  </si>
  <si>
    <t>以下为自动计算过程（请勿修改）：</t>
  </si>
  <si>
    <r>
      <rPr>
        <b/>
        <sz val="12"/>
        <color indexed="10"/>
        <rFont val="新宋体"/>
        <family val="3"/>
        <charset val="134"/>
      </rPr>
      <t>(</t>
    </r>
    <r>
      <rPr>
        <b/>
        <sz val="12"/>
        <color indexed="8"/>
        <rFont val="新宋体"/>
        <family val="3"/>
        <charset val="134"/>
      </rPr>
      <t>一).负载扭矩(Tt):</t>
    </r>
  </si>
  <si>
    <r>
      <rPr>
        <b/>
        <sz val="12"/>
        <rFont val="新宋体"/>
        <family val="3"/>
        <charset val="134"/>
      </rPr>
      <t>(1).</t>
    </r>
    <r>
      <rPr>
        <b/>
        <sz val="12"/>
        <color indexed="8"/>
        <rFont val="新宋体"/>
        <family val="3"/>
        <charset val="134"/>
      </rPr>
      <t>惯性扭矩(Ti):</t>
    </r>
  </si>
  <si>
    <r>
      <rPr>
        <sz val="12"/>
        <rFont val="宋体"/>
        <family val="3"/>
        <charset val="134"/>
      </rPr>
      <t>(a).</t>
    </r>
    <r>
      <rPr>
        <sz val="12"/>
        <color indexed="8"/>
        <rFont val="新宋体"/>
        <family val="3"/>
        <charset val="134"/>
      </rPr>
      <t>主动齿轮惯性扭矩IA</t>
    </r>
  </si>
  <si>
    <t>((W1*R1^2)/2G)</t>
  </si>
  <si>
    <r>
      <rPr>
        <sz val="12"/>
        <rFont val="宋体"/>
        <family val="3"/>
        <charset val="134"/>
      </rPr>
      <t>(kg.m.S</t>
    </r>
    <r>
      <rPr>
        <vertAlign val="superscript"/>
        <sz val="12"/>
        <rFont val="新宋体"/>
        <family val="3"/>
        <charset val="134"/>
      </rPr>
      <t>2</t>
    </r>
    <r>
      <rPr>
        <sz val="12"/>
        <rFont val="新宋体"/>
        <family val="3"/>
        <charset val="134"/>
      </rPr>
      <t>)</t>
    </r>
  </si>
  <si>
    <r>
      <rPr>
        <sz val="12"/>
        <rFont val="宋体"/>
        <family val="3"/>
        <charset val="134"/>
      </rPr>
      <t>(b.)</t>
    </r>
    <r>
      <rPr>
        <sz val="12"/>
        <color indexed="8"/>
        <rFont val="新宋体"/>
        <family val="3"/>
        <charset val="134"/>
      </rPr>
      <t>输送带之总惯性矩……..(IB)</t>
    </r>
  </si>
  <si>
    <r>
      <rPr>
        <sz val="12"/>
        <rFont val="宋体"/>
        <family val="3"/>
        <charset val="134"/>
      </rPr>
      <t xml:space="preserve">     (1).</t>
    </r>
    <r>
      <rPr>
        <sz val="12"/>
        <color indexed="8"/>
        <rFont val="新宋体"/>
        <family val="3"/>
        <charset val="134"/>
      </rPr>
      <t>从动齿轮惯性矩(I2)</t>
    </r>
  </si>
  <si>
    <t>((W2*((R2^2)+(R3^2)))/(2*G))</t>
  </si>
  <si>
    <r>
      <rPr>
        <sz val="12"/>
        <rFont val="宋体"/>
        <family val="3"/>
        <charset val="134"/>
      </rPr>
      <t xml:space="preserve">    (2).</t>
    </r>
    <r>
      <rPr>
        <sz val="12"/>
        <color indexed="8"/>
        <rFont val="新宋体"/>
        <family val="3"/>
        <charset val="134"/>
      </rPr>
      <t>传动轴之惯性矩(I3)</t>
    </r>
  </si>
  <si>
    <t>((W3*(R3^2))/(2*G))*A3</t>
  </si>
  <si>
    <r>
      <rPr>
        <sz val="12"/>
        <rFont val="宋体"/>
        <family val="3"/>
        <charset val="134"/>
      </rPr>
      <t xml:space="preserve">    (3).</t>
    </r>
    <r>
      <rPr>
        <sz val="12"/>
        <color indexed="8"/>
        <rFont val="新宋体"/>
        <family val="3"/>
        <charset val="134"/>
      </rPr>
      <t>链轮之惯性矩(I4)</t>
    </r>
  </si>
  <si>
    <t>((W4*((R4^2)+(R3^2)))/(2*G))*A4</t>
  </si>
  <si>
    <r>
      <rPr>
        <sz val="12"/>
        <rFont val="宋体"/>
        <family val="3"/>
        <charset val="134"/>
      </rPr>
      <t xml:space="preserve">    (4).</t>
    </r>
    <r>
      <rPr>
        <sz val="12"/>
        <color indexed="8"/>
        <rFont val="新宋体"/>
        <family val="3"/>
        <charset val="134"/>
      </rPr>
      <t>链条之惯性矩(I5)</t>
    </r>
  </si>
  <si>
    <t>((W5*(R4^2))/G)*A5</t>
  </si>
  <si>
    <r>
      <rPr>
        <sz val="12"/>
        <rFont val="宋体"/>
        <family val="3"/>
        <charset val="134"/>
      </rPr>
      <t xml:space="preserve">    (5).</t>
    </r>
    <r>
      <rPr>
        <sz val="12"/>
        <color indexed="8"/>
        <rFont val="新宋体"/>
        <family val="3"/>
        <charset val="134"/>
      </rPr>
      <t>夹具之惯性矩(I6)</t>
    </r>
  </si>
  <si>
    <t>((W6*(R4^2))/G)*A6</t>
  </si>
  <si>
    <r>
      <rPr>
        <sz val="12"/>
        <rFont val="宋体"/>
        <family val="3"/>
        <charset val="134"/>
      </rPr>
      <t xml:space="preserve">    (6).</t>
    </r>
    <r>
      <rPr>
        <sz val="12"/>
        <color indexed="8"/>
        <rFont val="新宋体"/>
        <family val="3"/>
        <charset val="134"/>
      </rPr>
      <t>工件之惯性矩(I7)</t>
    </r>
  </si>
  <si>
    <t>((W7*(R4^2))/G)*A7</t>
  </si>
  <si>
    <r>
      <rPr>
        <sz val="12"/>
        <rFont val="宋体"/>
        <family val="3"/>
        <charset val="134"/>
      </rPr>
      <t>(b.)</t>
    </r>
    <r>
      <rPr>
        <sz val="12"/>
        <color indexed="8"/>
        <rFont val="新宋体"/>
        <family val="3"/>
        <charset val="134"/>
      </rPr>
      <t>输送带之总惯性矩(IB)</t>
    </r>
  </si>
  <si>
    <t>I2+I3+I4+I5+I6+I7</t>
  </si>
  <si>
    <r>
      <rPr>
        <sz val="12"/>
        <rFont val="宋体"/>
        <family val="3"/>
        <charset val="134"/>
      </rPr>
      <t>(c.)</t>
    </r>
    <r>
      <rPr>
        <sz val="12"/>
        <color indexed="8"/>
        <rFont val="新宋体"/>
        <family val="3"/>
        <charset val="134"/>
      </rPr>
      <t>输送带之有效总惯性矩.(IC)</t>
    </r>
  </si>
  <si>
    <t>(IB*((D1/D2)^2))</t>
  </si>
  <si>
    <r>
      <rPr>
        <sz val="12"/>
        <rFont val="宋体"/>
        <family val="3"/>
        <charset val="134"/>
      </rPr>
      <t>(d.)</t>
    </r>
    <r>
      <rPr>
        <sz val="12"/>
        <color indexed="8"/>
        <rFont val="新宋体"/>
        <family val="3"/>
        <charset val="134"/>
      </rPr>
      <t>总惯性矩为(a)+(b)之和I</t>
    </r>
  </si>
  <si>
    <t>IA+IC</t>
  </si>
  <si>
    <r>
      <rPr>
        <sz val="12"/>
        <rFont val="宋体"/>
        <family val="3"/>
        <charset val="134"/>
      </rPr>
      <t>(e.)</t>
    </r>
    <r>
      <rPr>
        <sz val="12"/>
        <color indexed="8"/>
        <rFont val="新宋体"/>
        <family val="3"/>
        <charset val="134"/>
      </rPr>
      <t>出力轴最大角加速度(O)</t>
    </r>
  </si>
  <si>
    <t>Am*(2π/N)*(（(360/Qh)*(（n/2）/60)）^2)</t>
  </si>
  <si>
    <t>(rad .S^2)</t>
  </si>
  <si>
    <r>
      <rPr>
        <sz val="12"/>
        <rFont val="宋体"/>
        <family val="3"/>
        <charset val="134"/>
      </rPr>
      <t>(f.)</t>
    </r>
    <r>
      <rPr>
        <sz val="12"/>
        <color indexed="8"/>
        <rFont val="新宋体"/>
        <family val="3"/>
        <charset val="134"/>
      </rPr>
      <t>静扭矩(惯性扭矩)(Ti)</t>
    </r>
  </si>
  <si>
    <t>I*O</t>
  </si>
  <si>
    <t>(kg . cm)</t>
  </si>
  <si>
    <r>
      <rPr>
        <b/>
        <sz val="12"/>
        <color indexed="8"/>
        <rFont val="新宋体"/>
        <family val="3"/>
        <charset val="134"/>
      </rPr>
      <t>(</t>
    </r>
    <r>
      <rPr>
        <b/>
        <u/>
        <sz val="12"/>
        <color indexed="8"/>
        <rFont val="新宋体"/>
        <family val="3"/>
        <charset val="134"/>
      </rPr>
      <t>2</t>
    </r>
    <r>
      <rPr>
        <b/>
        <sz val="12"/>
        <color indexed="8"/>
        <rFont val="新宋体"/>
        <family val="3"/>
        <charset val="134"/>
      </rPr>
      <t xml:space="preserve">).摩擦扭矩 </t>
    </r>
  </si>
  <si>
    <r>
      <rPr>
        <sz val="12"/>
        <rFont val="宋体"/>
        <family val="3"/>
        <charset val="134"/>
      </rPr>
      <t xml:space="preserve">     (</t>
    </r>
    <r>
      <rPr>
        <sz val="12"/>
        <color indexed="8"/>
        <rFont val="新宋体"/>
        <family val="3"/>
        <charset val="134"/>
      </rPr>
      <t>a.)输送带上之摩擦扭矩.(Tf)</t>
    </r>
  </si>
  <si>
    <t>u * w * R</t>
  </si>
  <si>
    <r>
      <rPr>
        <sz val="12"/>
        <color indexed="10"/>
        <rFont val="新宋体"/>
        <family val="3"/>
        <charset val="134"/>
      </rPr>
      <t xml:space="preserve">          </t>
    </r>
    <r>
      <rPr>
        <sz val="12"/>
        <color indexed="8"/>
        <rFont val="新宋体"/>
        <family val="3"/>
        <charset val="134"/>
      </rPr>
      <t>摩擦负荷应等于滑动面上链条和夹具的一半重量和工件全部重量所造成之摩擦力</t>
    </r>
  </si>
  <si>
    <r>
      <rPr>
        <sz val="12"/>
        <rFont val="宋体"/>
        <family val="3"/>
        <charset val="134"/>
      </rPr>
      <t>(b.)</t>
    </r>
    <r>
      <rPr>
        <sz val="12"/>
        <color indexed="8"/>
        <rFont val="新宋体"/>
        <family val="3"/>
        <charset val="134"/>
      </rPr>
      <t>输送带之有效摩擦扭矩(Tfe)</t>
    </r>
  </si>
  <si>
    <t>Tf*(D1/D2)</t>
  </si>
  <si>
    <t>(3).作功扭矩(Tw)   在间歇分割时没有作功,因此 Tw = 0</t>
  </si>
  <si>
    <t>(4).以上总负载扭矩……...(Tt)</t>
  </si>
  <si>
    <t>Ti + Tf + Tw</t>
  </si>
  <si>
    <r>
      <rPr>
        <sz val="12"/>
        <rFont val="宋体"/>
        <family val="3"/>
        <charset val="134"/>
      </rPr>
      <t>(</t>
    </r>
    <r>
      <rPr>
        <b/>
        <sz val="12"/>
        <color indexed="8"/>
        <rFont val="新宋体"/>
        <family val="3"/>
        <charset val="134"/>
      </rPr>
      <t>二).实际负载扭矩…...(Te)</t>
    </r>
  </si>
  <si>
    <r>
      <rPr>
        <sz val="12"/>
        <rFont val="宋体"/>
        <family val="3"/>
        <charset val="134"/>
      </rPr>
      <t>(</t>
    </r>
    <r>
      <rPr>
        <b/>
        <sz val="12"/>
        <color indexed="8"/>
        <rFont val="新宋体"/>
        <family val="3"/>
        <charset val="134"/>
      </rPr>
      <t>三).入力轴扭矩(Tc)   注:入力轴起动负载扭矩视为0 , 因此 Tca =0</t>
    </r>
  </si>
  <si>
    <r>
      <rPr>
        <sz val="12"/>
        <rFont val="宋体"/>
        <family val="3"/>
        <charset val="134"/>
      </rPr>
      <t>(</t>
    </r>
    <r>
      <rPr>
        <b/>
        <sz val="12"/>
        <color indexed="8"/>
        <rFont val="新宋体"/>
        <family val="3"/>
        <charset val="134"/>
      </rPr>
      <t>四).计算所须之马力….(P)</t>
    </r>
  </si>
  <si>
    <r>
      <rPr>
        <sz val="12"/>
        <rFont val="新宋体"/>
        <family val="3"/>
        <charset val="134"/>
      </rPr>
      <t xml:space="preserve">                                  </t>
    </r>
    <r>
      <rPr>
        <sz val="12"/>
        <color indexed="8"/>
        <rFont val="新宋体"/>
        <family val="3"/>
        <charset val="134"/>
      </rPr>
      <t>或   (P)</t>
    </r>
  </si>
  <si>
    <t>选型案例1（正名分割器）</t>
  </si>
  <si>
    <t>凸轮分割器--齿轮分割驱动计算</t>
  </si>
  <si>
    <t>须知：修改草绿色范围内数值，粉红色的为建议尺寸，可以不用修改；黄色为自动计算尺寸，不得修改；</t>
  </si>
  <si>
    <t>间歇分割定位等份(N)</t>
  </si>
  <si>
    <t>每分割驱动时间(t1)</t>
  </si>
  <si>
    <t>每分割定位时间(t2)</t>
  </si>
  <si>
    <t>入力轴回转数(N)</t>
  </si>
  <si>
    <t>大齿轮直径(D2)</t>
  </si>
  <si>
    <t>大齿轮重量(W2)</t>
  </si>
  <si>
    <t>小齿轮直径(D1)</t>
  </si>
  <si>
    <t>(kg. m)</t>
  </si>
  <si>
    <t>小齿轮重量(W1)</t>
  </si>
  <si>
    <t xml:space="preserve">kg </t>
  </si>
  <si>
    <t>夹具重量m1</t>
  </si>
  <si>
    <t>kg/组</t>
  </si>
  <si>
    <t>工件重量m2</t>
  </si>
  <si>
    <t>夹具数量(N1)</t>
  </si>
  <si>
    <t xml:space="preserve">Pcs </t>
  </si>
  <si>
    <t>夹具固定的节圆半径Re（PCD/2）</t>
  </si>
  <si>
    <t>转盘底部,支撑有效半径(Rf)</t>
  </si>
  <si>
    <r>
      <rPr>
        <sz val="15"/>
        <rFont val="新宋体"/>
        <family val="3"/>
        <charset val="134"/>
      </rPr>
      <t>凸轮转位角度</t>
    </r>
    <r>
      <rPr>
        <sz val="20"/>
        <rFont val="新宋体"/>
        <family val="3"/>
        <charset val="134"/>
      </rPr>
      <t>θ</t>
    </r>
  </si>
  <si>
    <t>回转盘直径D</t>
  </si>
  <si>
    <t>CM</t>
  </si>
  <si>
    <t>回转盘厚度Dh</t>
  </si>
  <si>
    <t>安全系数fe</t>
  </si>
  <si>
    <t>摩擦系数u</t>
  </si>
  <si>
    <t>假设马达效率Z</t>
  </si>
  <si>
    <t>凸轮曲线系修正正弦曲线（m.s）</t>
  </si>
  <si>
    <t>最大非向性速度(Vm)</t>
  </si>
  <si>
    <t>最大非向性加速度(Am)</t>
  </si>
  <si>
    <t>凸轮最大扭力系数(Qm)</t>
  </si>
  <si>
    <t>以下为计算过程：</t>
  </si>
  <si>
    <t>零件质量</t>
  </si>
  <si>
    <t xml:space="preserve"> 回转盘重量( 钢件)W3</t>
  </si>
  <si>
    <t>D2²π/4*Dt*ρ*1/1000</t>
  </si>
  <si>
    <t>夹具总重量(W4)</t>
  </si>
  <si>
    <t>m1×N1</t>
  </si>
  <si>
    <t>工件总重量W5</t>
  </si>
  <si>
    <t>m2×N1</t>
  </si>
  <si>
    <t>圆盘惯性矩</t>
  </si>
  <si>
    <t xml:space="preserve">     小齿轮惯性矩(I1) </t>
  </si>
  <si>
    <t>( W1×R1^2 )/(2*G )</t>
  </si>
  <si>
    <t>(kg.m.S^2)</t>
  </si>
  <si>
    <t xml:space="preserve">大齿轮惯性矩(I2) </t>
  </si>
  <si>
    <t>(W2×R2^2)/(2*G)</t>
  </si>
  <si>
    <t>回转盘惯性矩(I3)</t>
  </si>
  <si>
    <t>W3×R2²/2G</t>
  </si>
  <si>
    <t>(kg . m . S^2)</t>
  </si>
  <si>
    <t>夹具惯性矩(I4)</t>
  </si>
  <si>
    <t xml:space="preserve">( W4×Re^2)/G </t>
  </si>
  <si>
    <t>工件惯性矩(I5)</t>
  </si>
  <si>
    <t>W5*Re²2²/G</t>
  </si>
  <si>
    <t xml:space="preserve">出力轴最大角加速度(α1) </t>
  </si>
  <si>
    <t>72×π×Am×N²/(S×(θ/m)²)</t>
  </si>
  <si>
    <t>(rad / S^2)</t>
  </si>
  <si>
    <t>惯性扭矩Ti</t>
  </si>
  <si>
    <t>静扭矩(惯性扭矩)(Ti)</t>
  </si>
  <si>
    <t>(kg / m)</t>
  </si>
  <si>
    <t>工作圆盘惯性扭矩Ti2</t>
  </si>
  <si>
    <t>(I2+ I3+I4+I5)*(N/N1)^2*α2*(N1/N)</t>
  </si>
  <si>
    <t>小齿轮惯性扭矩Ti1</t>
  </si>
  <si>
    <r>
      <rPr>
        <b/>
        <sz val="16"/>
        <rFont val="新宋体"/>
        <family val="3"/>
        <charset val="134"/>
      </rPr>
      <t>I</t>
    </r>
    <r>
      <rPr>
        <b/>
        <sz val="14"/>
        <rFont val="新宋体"/>
        <family val="3"/>
        <charset val="134"/>
      </rPr>
      <t>1</t>
    </r>
    <r>
      <rPr>
        <b/>
        <sz val="16"/>
        <rFont val="新宋体"/>
        <family val="3"/>
        <charset val="134"/>
      </rPr>
      <t>*α1</t>
    </r>
  </si>
  <si>
    <t>摩擦扭矩(Tf)</t>
  </si>
  <si>
    <t>u * w * R * (N / N1)</t>
  </si>
  <si>
    <t>作功扭矩(Tw)   在间歇分割时没有作功,因此 Tw = 0</t>
  </si>
  <si>
    <t>以上总负载扭矩(Tt)</t>
  </si>
  <si>
    <t>实际负载扭矩…(Te)</t>
  </si>
  <si>
    <t>Tt*fc</t>
  </si>
  <si>
    <t>入力轴扭矩(Tc)</t>
  </si>
  <si>
    <t>360/(S*θ)*Qm*Te</t>
  </si>
  <si>
    <t xml:space="preserve"> 注:入力轴起动负载扭矩视为0 , 因此 Tca =0</t>
  </si>
  <si>
    <t>计算所须之马力(P)</t>
  </si>
  <si>
    <t>(Tc*n)/(975*Z)</t>
  </si>
  <si>
    <t>选型案例（兆奕分割器）</t>
  </si>
  <si>
    <r>
      <rPr>
        <sz val="12"/>
        <color indexed="10"/>
        <rFont val="Times New Roman"/>
        <family val="1"/>
      </rPr>
      <t>CONTACT</t>
    </r>
    <r>
      <rPr>
        <sz val="12"/>
        <color indexed="10"/>
        <rFont val="新細明體"/>
        <charset val="134"/>
      </rPr>
      <t>棘輪</t>
    </r>
  </si>
  <si>
    <t>參數值</t>
  </si>
  <si>
    <r>
      <rPr>
        <sz val="12"/>
        <rFont val="新細明體"/>
        <charset val="134"/>
      </rPr>
      <t>料帶</t>
    </r>
    <r>
      <rPr>
        <sz val="12"/>
        <rFont val="Times New Roman"/>
        <family val="1"/>
      </rPr>
      <t>PITCH</t>
    </r>
    <r>
      <rPr>
        <sz val="12"/>
        <rFont val="新細明體"/>
        <charset val="134"/>
      </rPr>
      <t>孔距</t>
    </r>
    <r>
      <rPr>
        <sz val="12"/>
        <rFont val="Times New Roman"/>
        <family val="1"/>
      </rPr>
      <t>(P)</t>
    </r>
  </si>
  <si>
    <r>
      <rPr>
        <sz val="12"/>
        <rFont val="新細明體"/>
        <charset val="134"/>
      </rPr>
      <t>料厚</t>
    </r>
    <r>
      <rPr>
        <sz val="12"/>
        <rFont val="Times New Roman"/>
        <family val="1"/>
      </rPr>
      <t>T</t>
    </r>
  </si>
  <si>
    <r>
      <rPr>
        <sz val="12"/>
        <rFont val="Times New Roman"/>
        <family val="1"/>
      </rPr>
      <t>PITCH</t>
    </r>
    <r>
      <rPr>
        <sz val="12"/>
        <rFont val="新細明體"/>
        <charset val="134"/>
      </rPr>
      <t>孔徑</t>
    </r>
    <r>
      <rPr>
        <sz val="12"/>
        <rFont val="Times New Roman"/>
        <family val="1"/>
      </rPr>
      <t>D</t>
    </r>
  </si>
  <si>
    <r>
      <rPr>
        <sz val="12"/>
        <rFont val="新細明體"/>
        <charset val="134"/>
      </rPr>
      <t>理論周長</t>
    </r>
    <r>
      <rPr>
        <sz val="12"/>
        <rFont val="Times New Roman"/>
        <family val="1"/>
      </rPr>
      <t>S</t>
    </r>
  </si>
  <si>
    <t>S=P*N</t>
  </si>
  <si>
    <r>
      <rPr>
        <sz val="12"/>
        <rFont val="新細明體"/>
        <charset val="134"/>
      </rPr>
      <t>理論直徑</t>
    </r>
    <r>
      <rPr>
        <sz val="12"/>
        <rFont val="Times New Roman"/>
        <family val="1"/>
      </rPr>
      <t>D1</t>
    </r>
  </si>
  <si>
    <t>D1=S/PI</t>
  </si>
  <si>
    <r>
      <rPr>
        <sz val="12"/>
        <rFont val="新細明體"/>
        <charset val="134"/>
      </rPr>
      <t>理論半徑</t>
    </r>
    <r>
      <rPr>
        <sz val="12"/>
        <rFont val="Times New Roman"/>
        <family val="1"/>
      </rPr>
      <t>R1</t>
    </r>
  </si>
  <si>
    <r>
      <rPr>
        <sz val="12"/>
        <rFont val="新細明體"/>
        <charset val="134"/>
      </rPr>
      <t>實際直徑</t>
    </r>
    <r>
      <rPr>
        <sz val="12"/>
        <rFont val="Times New Roman"/>
        <family val="1"/>
      </rPr>
      <t>D2</t>
    </r>
  </si>
  <si>
    <t>D2=D1-2T</t>
  </si>
  <si>
    <r>
      <rPr>
        <sz val="12"/>
        <rFont val="新細明體"/>
        <charset val="134"/>
      </rPr>
      <t>實際半徑</t>
    </r>
    <r>
      <rPr>
        <sz val="12"/>
        <rFont val="Times New Roman"/>
        <family val="1"/>
      </rPr>
      <t>R2</t>
    </r>
  </si>
  <si>
    <r>
      <rPr>
        <sz val="12"/>
        <rFont val="新細明體"/>
        <charset val="134"/>
      </rPr>
      <t>腰高</t>
    </r>
    <r>
      <rPr>
        <sz val="12"/>
        <rFont val="Times New Roman"/>
        <family val="1"/>
      </rPr>
      <t>D3</t>
    </r>
  </si>
  <si>
    <t>D3=2~2.5T</t>
  </si>
  <si>
    <r>
      <rPr>
        <sz val="12"/>
        <rFont val="細明體"/>
        <charset val="134"/>
      </rPr>
      <t>棘輪齒底</t>
    </r>
    <r>
      <rPr>
        <sz val="12"/>
        <rFont val="Times New Roman"/>
        <family val="1"/>
      </rPr>
      <t>D5</t>
    </r>
  </si>
  <si>
    <r>
      <rPr>
        <sz val="12"/>
        <rFont val="Times New Roman"/>
        <family val="1"/>
      </rPr>
      <t>D5=D-0.3(</t>
    </r>
    <r>
      <rPr>
        <sz val="12"/>
        <rFont val="細明體"/>
        <charset val="134"/>
      </rPr>
      <t>公差</t>
    </r>
    <r>
      <rPr>
        <sz val="12"/>
        <rFont val="Times New Roman"/>
        <family val="1"/>
      </rPr>
      <t>0~-0.02)</t>
    </r>
  </si>
  <si>
    <t>ID</t>
  </si>
  <si>
    <t>OD</t>
  </si>
  <si>
    <r>
      <rPr>
        <sz val="12"/>
        <rFont val="Times New Roman"/>
        <family val="1"/>
      </rPr>
      <t>B</t>
    </r>
    <r>
      <rPr>
        <sz val="12"/>
        <rFont val="細明體"/>
        <charset val="134"/>
      </rPr>
      <t>導齒小徑</t>
    </r>
  </si>
  <si>
    <r>
      <rPr>
        <sz val="12"/>
        <rFont val="Times New Roman"/>
        <family val="1"/>
      </rPr>
      <t>R</t>
    </r>
    <r>
      <rPr>
        <sz val="12"/>
        <rFont val="細明體"/>
        <charset val="134"/>
      </rPr>
      <t>導齒R角</t>
    </r>
  </si>
  <si>
    <r>
      <rPr>
        <sz val="12"/>
        <rFont val="Times New Roman"/>
        <family val="1"/>
      </rPr>
      <t>A</t>
    </r>
    <r>
      <rPr>
        <sz val="12"/>
        <rFont val="細明體"/>
        <charset val="134"/>
      </rPr>
      <t>導齒直徑</t>
    </r>
  </si>
  <si>
    <r>
      <rPr>
        <b/>
        <sz val="11"/>
        <rFont val="楷体_GB2312"/>
        <charset val="134"/>
      </rPr>
      <t>序号</t>
    </r>
  </si>
  <si>
    <r>
      <rPr>
        <b/>
        <sz val="11"/>
        <rFont val="楷体_GB2312"/>
        <charset val="134"/>
      </rPr>
      <t>代号</t>
    </r>
  </si>
  <si>
    <r>
      <rPr>
        <b/>
        <sz val="11"/>
        <rFont val="楷体_GB2312"/>
        <charset val="134"/>
      </rPr>
      <t>定义</t>
    </r>
  </si>
  <si>
    <r>
      <rPr>
        <b/>
        <sz val="11"/>
        <rFont val="楷体_GB2312"/>
        <charset val="134"/>
      </rPr>
      <t>公式</t>
    </r>
    <r>
      <rPr>
        <b/>
        <sz val="11"/>
        <rFont val="Arial"/>
        <family val="2"/>
      </rPr>
      <t>/</t>
    </r>
    <r>
      <rPr>
        <b/>
        <sz val="11"/>
        <rFont val="楷体_GB2312"/>
        <charset val="134"/>
      </rPr>
      <t>出处</t>
    </r>
  </si>
  <si>
    <r>
      <rPr>
        <b/>
        <sz val="11"/>
        <rFont val="楷体_GB2312"/>
        <charset val="134"/>
      </rPr>
      <t>结果</t>
    </r>
  </si>
  <si>
    <r>
      <rPr>
        <b/>
        <sz val="11"/>
        <rFont val="楷体_GB2312"/>
        <charset val="134"/>
      </rPr>
      <t>单位</t>
    </r>
  </si>
  <si>
    <r>
      <rPr>
        <b/>
        <sz val="11"/>
        <rFont val="楷体_GB2312"/>
        <charset val="134"/>
      </rPr>
      <t>一</t>
    </r>
  </si>
  <si>
    <r>
      <rPr>
        <b/>
        <sz val="11"/>
        <rFont val="楷体_GB2312"/>
        <charset val="134"/>
      </rPr>
      <t>已知</t>
    </r>
  </si>
  <si>
    <r>
      <rPr>
        <sz val="11"/>
        <color indexed="8"/>
        <rFont val="Arial"/>
        <family val="2"/>
      </rPr>
      <t>P</t>
    </r>
    <r>
      <rPr>
        <vertAlign val="subscript"/>
        <sz val="11"/>
        <color indexed="8"/>
        <rFont val="Arial"/>
        <family val="2"/>
      </rPr>
      <t>1</t>
    </r>
  </si>
  <si>
    <r>
      <rPr>
        <sz val="11"/>
        <color indexed="8"/>
        <rFont val="楷体_GB2312"/>
        <charset val="134"/>
      </rPr>
      <t>最小工作载荷</t>
    </r>
  </si>
  <si>
    <r>
      <rPr>
        <sz val="12"/>
        <rFont val="Arial"/>
        <family val="2"/>
      </rPr>
      <t>P</t>
    </r>
    <r>
      <rPr>
        <vertAlign val="subscript"/>
        <sz val="12"/>
        <rFont val="Arial"/>
        <family val="2"/>
      </rPr>
      <t>n</t>
    </r>
  </si>
  <si>
    <r>
      <rPr>
        <sz val="11"/>
        <color indexed="8"/>
        <rFont val="楷体_GB2312"/>
        <charset val="134"/>
      </rPr>
      <t>最大工作载荷</t>
    </r>
  </si>
  <si>
    <r>
      <rPr>
        <sz val="11"/>
        <color indexed="8"/>
        <rFont val="楷体_GB2312"/>
        <charset val="134"/>
      </rPr>
      <t>工作行程</t>
    </r>
  </si>
  <si>
    <r>
      <rPr>
        <sz val="11"/>
        <color indexed="8"/>
        <rFont val="楷体_GB2312"/>
        <charset val="134"/>
      </rPr>
      <t>弹簧中径</t>
    </r>
  </si>
  <si>
    <r>
      <rPr>
        <sz val="11"/>
        <color indexed="8"/>
        <rFont val="楷体_GB2312"/>
        <charset val="134"/>
      </rPr>
      <t>弹簧类别（寿命）</t>
    </r>
  </si>
  <si>
    <r>
      <rPr>
        <sz val="12"/>
        <rFont val="Arial"/>
        <family val="2"/>
      </rPr>
      <t>10</t>
    </r>
    <r>
      <rPr>
        <vertAlign val="superscript"/>
        <sz val="12"/>
        <rFont val="Arial"/>
        <family val="2"/>
      </rPr>
      <t>3</t>
    </r>
    <r>
      <rPr>
        <sz val="12"/>
        <rFont val="宋体"/>
        <family val="3"/>
        <charset val="134"/>
      </rPr>
      <t>～</t>
    </r>
    <r>
      <rPr>
        <sz val="12"/>
        <rFont val="Arial"/>
        <family val="2"/>
      </rPr>
      <t>10</t>
    </r>
    <r>
      <rPr>
        <vertAlign val="superscript"/>
        <sz val="12"/>
        <rFont val="Arial"/>
        <family val="2"/>
      </rPr>
      <t>6</t>
    </r>
    <r>
      <rPr>
        <sz val="12"/>
        <rFont val="楷体_GB2312"/>
        <charset val="134"/>
      </rPr>
      <t>，Ⅲ类载荷</t>
    </r>
  </si>
  <si>
    <r>
      <rPr>
        <sz val="11"/>
        <color indexed="8"/>
        <rFont val="楷体_GB2312"/>
        <charset val="134"/>
      </rPr>
      <t>次</t>
    </r>
  </si>
  <si>
    <r>
      <rPr>
        <sz val="11"/>
        <color indexed="8"/>
        <rFont val="楷体_GB2312"/>
        <charset val="134"/>
      </rPr>
      <t>弹簧结构</t>
    </r>
  </si>
  <si>
    <r>
      <rPr>
        <sz val="12"/>
        <rFont val="楷体_GB2312"/>
        <charset val="134"/>
      </rPr>
      <t>端部并紧，磨平，支撑圈为</t>
    </r>
    <r>
      <rPr>
        <sz val="12"/>
        <rFont val="Arial"/>
        <family val="2"/>
      </rPr>
      <t>1</t>
    </r>
    <r>
      <rPr>
        <sz val="12"/>
        <rFont val="楷体_GB2312"/>
        <charset val="134"/>
      </rPr>
      <t>圈</t>
    </r>
  </si>
  <si>
    <r>
      <rPr>
        <sz val="11"/>
        <color indexed="8"/>
        <rFont val="楷体_GB2312"/>
        <charset val="134"/>
      </rPr>
      <t>弹簧材料</t>
    </r>
  </si>
  <si>
    <r>
      <rPr>
        <sz val="12"/>
        <rFont val="楷体_GB2312"/>
        <charset val="134"/>
      </rPr>
      <t>碳素弹簧钢丝</t>
    </r>
    <r>
      <rPr>
        <sz val="12"/>
        <rFont val="Arial"/>
        <family val="2"/>
      </rPr>
      <t>C</t>
    </r>
    <r>
      <rPr>
        <sz val="12"/>
        <rFont val="楷体_GB2312"/>
        <charset val="134"/>
      </rPr>
      <t>级</t>
    </r>
  </si>
  <si>
    <r>
      <rPr>
        <sz val="11"/>
        <color indexed="8"/>
        <rFont val="楷体_GB2312"/>
        <charset val="134"/>
      </rPr>
      <t>切变模量</t>
    </r>
  </si>
  <si>
    <r>
      <rPr>
        <sz val="11"/>
        <color indexed="8"/>
        <rFont val="楷体_GB2312"/>
        <charset val="134"/>
      </rPr>
      <t>弹性模量</t>
    </r>
  </si>
  <si>
    <r>
      <rPr>
        <b/>
        <sz val="11"/>
        <rFont val="楷体_GB2312"/>
        <charset val="134"/>
      </rPr>
      <t>二</t>
    </r>
  </si>
  <si>
    <r>
      <rPr>
        <b/>
        <sz val="11"/>
        <rFont val="楷体_GB2312"/>
        <charset val="134"/>
      </rPr>
      <t>计算</t>
    </r>
  </si>
  <si>
    <r>
      <rPr>
        <sz val="11"/>
        <color indexed="8"/>
        <rFont val="Arial"/>
        <family val="2"/>
      </rPr>
      <t>σ</t>
    </r>
    <r>
      <rPr>
        <vertAlign val="subscript"/>
        <sz val="11"/>
        <color indexed="8"/>
        <rFont val="Arial"/>
        <family val="2"/>
      </rPr>
      <t>b</t>
    </r>
  </si>
  <si>
    <r>
      <rPr>
        <sz val="11"/>
        <color indexed="8"/>
        <rFont val="楷体_GB2312"/>
        <charset val="134"/>
      </rPr>
      <t>抗拉极限强度</t>
    </r>
  </si>
  <si>
    <r>
      <rPr>
        <sz val="12"/>
        <rFont val="楷体_GB2312"/>
        <charset val="134"/>
      </rPr>
      <t>查表</t>
    </r>
    <r>
      <rPr>
        <sz val="12"/>
        <rFont val="Arial"/>
        <family val="2"/>
      </rPr>
      <t>11-2-3</t>
    </r>
    <r>
      <rPr>
        <sz val="12"/>
        <rFont val="楷体_GB2312"/>
        <charset val="134"/>
      </rPr>
      <t>初选（钢丝</t>
    </r>
    <r>
      <rPr>
        <sz val="12"/>
        <rFont val="Arial"/>
        <family val="2"/>
      </rPr>
      <t>Φ8</t>
    </r>
    <r>
      <rPr>
        <sz val="12"/>
        <rFont val="楷体_GB2312"/>
        <charset val="134"/>
      </rPr>
      <t>）</t>
    </r>
  </si>
  <si>
    <r>
      <rPr>
        <sz val="12"/>
        <rFont val="Arial"/>
        <family val="2"/>
      </rPr>
      <t>τ</t>
    </r>
    <r>
      <rPr>
        <vertAlign val="subscript"/>
        <sz val="12"/>
        <rFont val="Arial"/>
        <family val="2"/>
      </rPr>
      <t>p</t>
    </r>
  </si>
  <si>
    <r>
      <rPr>
        <sz val="11"/>
        <color indexed="8"/>
        <rFont val="楷体_GB2312"/>
        <charset val="134"/>
      </rPr>
      <t>许用应力</t>
    </r>
  </si>
  <si>
    <r>
      <rPr>
        <sz val="12"/>
        <rFont val="Arial"/>
        <family val="2"/>
      </rPr>
      <t>0.5σ</t>
    </r>
    <r>
      <rPr>
        <vertAlign val="subscript"/>
        <sz val="12"/>
        <rFont val="Arial"/>
        <family val="2"/>
      </rPr>
      <t>b</t>
    </r>
  </si>
  <si>
    <t>C'</t>
  </si>
  <si>
    <r>
      <rPr>
        <sz val="11"/>
        <color indexed="8"/>
        <rFont val="楷体_GB2312"/>
        <charset val="134"/>
      </rPr>
      <t>初选旋绕比</t>
    </r>
  </si>
  <si>
    <r>
      <rPr>
        <sz val="12"/>
        <rFont val="Arial"/>
        <family val="2"/>
      </rPr>
      <t>8/π*KC</t>
    </r>
    <r>
      <rPr>
        <vertAlign val="superscript"/>
        <sz val="12"/>
        <rFont val="Arial"/>
        <family val="2"/>
      </rPr>
      <t>3</t>
    </r>
    <r>
      <rPr>
        <sz val="12"/>
        <rFont val="Arial"/>
        <family val="2"/>
      </rPr>
      <t>=τ</t>
    </r>
    <r>
      <rPr>
        <vertAlign val="subscript"/>
        <sz val="12"/>
        <rFont val="Arial"/>
        <family val="2"/>
      </rPr>
      <t>p</t>
    </r>
    <r>
      <rPr>
        <sz val="12"/>
        <rFont val="Arial"/>
        <family val="2"/>
      </rPr>
      <t>D</t>
    </r>
    <r>
      <rPr>
        <vertAlign val="superscript"/>
        <sz val="12"/>
        <rFont val="Arial"/>
        <family val="2"/>
      </rPr>
      <t>2</t>
    </r>
    <r>
      <rPr>
        <sz val="12"/>
        <rFont val="Arial"/>
        <family val="2"/>
      </rPr>
      <t>/P</t>
    </r>
    <r>
      <rPr>
        <vertAlign val="subscript"/>
        <sz val="12"/>
        <rFont val="Arial"/>
        <family val="2"/>
      </rPr>
      <t>n</t>
    </r>
  </si>
  <si>
    <t>K'</t>
  </si>
  <si>
    <r>
      <rPr>
        <sz val="11"/>
        <color indexed="8"/>
        <rFont val="楷体_GB2312"/>
        <charset val="134"/>
      </rPr>
      <t>初选曲度系数</t>
    </r>
  </si>
  <si>
    <r>
      <rPr>
        <sz val="12"/>
        <rFont val="楷体_GB2312"/>
        <charset val="134"/>
      </rPr>
      <t>查表</t>
    </r>
    <r>
      <rPr>
        <sz val="12"/>
        <rFont val="Arial"/>
        <family val="2"/>
      </rPr>
      <t>11-2-20</t>
    </r>
  </si>
  <si>
    <t>C"</t>
  </si>
  <si>
    <r>
      <rPr>
        <sz val="11"/>
        <color indexed="8"/>
        <rFont val="楷体_GB2312"/>
        <charset val="134"/>
      </rPr>
      <t>旋绕比</t>
    </r>
  </si>
  <si>
    <t>K"</t>
  </si>
  <si>
    <r>
      <rPr>
        <sz val="11"/>
        <color indexed="8"/>
        <rFont val="楷体_GB2312"/>
        <charset val="134"/>
      </rPr>
      <t>曲度系数</t>
    </r>
  </si>
  <si>
    <r>
      <rPr>
        <sz val="11"/>
        <color indexed="8"/>
        <rFont val="楷体_GB2312"/>
        <charset val="134"/>
      </rPr>
      <t>钢丝直径</t>
    </r>
  </si>
  <si>
    <t>d=D/C</t>
  </si>
  <si>
    <r>
      <rPr>
        <sz val="12"/>
        <rFont val="楷体_GB2312"/>
        <charset val="134"/>
      </rPr>
      <t>选取</t>
    </r>
  </si>
  <si>
    <r>
      <rPr>
        <sz val="11"/>
        <color indexed="8"/>
        <rFont val="楷体_GB2312"/>
        <charset val="134"/>
      </rPr>
      <t>实际旋绕比</t>
    </r>
  </si>
  <si>
    <t>C=D/d</t>
  </si>
  <si>
    <r>
      <rPr>
        <sz val="11"/>
        <color indexed="8"/>
        <rFont val="楷体_GB2312"/>
        <charset val="134"/>
      </rPr>
      <t>实际曲度系数</t>
    </r>
  </si>
  <si>
    <r>
      <rPr>
        <sz val="12"/>
        <rFont val="Arial"/>
        <family val="2"/>
      </rPr>
      <t>K=</t>
    </r>
    <r>
      <rPr>
        <sz val="12"/>
        <rFont val="楷体_GB2312"/>
        <charset val="134"/>
      </rPr>
      <t>（</t>
    </r>
    <r>
      <rPr>
        <sz val="12"/>
        <rFont val="Arial"/>
        <family val="2"/>
      </rPr>
      <t>4C-1</t>
    </r>
    <r>
      <rPr>
        <sz val="12"/>
        <rFont val="楷体_GB2312"/>
        <charset val="134"/>
      </rPr>
      <t>）</t>
    </r>
    <r>
      <rPr>
        <sz val="12"/>
        <rFont val="Arial"/>
        <family val="2"/>
      </rPr>
      <t>/</t>
    </r>
    <r>
      <rPr>
        <sz val="12"/>
        <rFont val="楷体_GB2312"/>
        <charset val="134"/>
      </rPr>
      <t>（</t>
    </r>
    <r>
      <rPr>
        <sz val="12"/>
        <rFont val="Arial"/>
        <family val="2"/>
      </rPr>
      <t>4C-4</t>
    </r>
    <r>
      <rPr>
        <sz val="12"/>
        <rFont val="楷体_GB2312"/>
        <charset val="134"/>
      </rPr>
      <t>）</t>
    </r>
    <r>
      <rPr>
        <sz val="12"/>
        <rFont val="Arial"/>
        <family val="2"/>
      </rPr>
      <t xml:space="preserve">+0.615/C              </t>
    </r>
    <r>
      <rPr>
        <sz val="12"/>
        <rFont val="楷体_GB2312"/>
        <charset val="134"/>
      </rPr>
      <t>或查表</t>
    </r>
    <r>
      <rPr>
        <sz val="12"/>
        <rFont val="Arial"/>
        <family val="2"/>
      </rPr>
      <t>11-2-20</t>
    </r>
  </si>
  <si>
    <t>P'</t>
  </si>
  <si>
    <r>
      <rPr>
        <sz val="11"/>
        <color indexed="8"/>
        <rFont val="楷体_GB2312"/>
        <charset val="134"/>
      </rPr>
      <t>初算弹簧刚度</t>
    </r>
  </si>
  <si>
    <t>P'=(Pn-P1)/h</t>
  </si>
  <si>
    <r>
      <rPr>
        <sz val="12"/>
        <rFont val="Arial"/>
        <family val="2"/>
      </rPr>
      <t>F</t>
    </r>
    <r>
      <rPr>
        <vertAlign val="subscript"/>
        <sz val="12"/>
        <rFont val="Arial"/>
        <family val="2"/>
      </rPr>
      <t>1</t>
    </r>
  </si>
  <si>
    <r>
      <rPr>
        <sz val="11"/>
        <color indexed="8"/>
        <rFont val="楷体_GB2312"/>
        <charset val="134"/>
      </rPr>
      <t>最小载荷下变形量</t>
    </r>
  </si>
  <si>
    <r>
      <rPr>
        <sz val="12"/>
        <rFont val="Arial"/>
        <family val="2"/>
      </rPr>
      <t>F</t>
    </r>
    <r>
      <rPr>
        <vertAlign val="subscript"/>
        <sz val="12"/>
        <rFont val="Arial"/>
        <family val="2"/>
      </rPr>
      <t>1</t>
    </r>
    <r>
      <rPr>
        <sz val="12"/>
        <rFont val="Arial"/>
        <family val="2"/>
      </rPr>
      <t>=P</t>
    </r>
    <r>
      <rPr>
        <vertAlign val="subscript"/>
        <sz val="12"/>
        <rFont val="Arial"/>
        <family val="2"/>
      </rPr>
      <t xml:space="preserve">1 </t>
    </r>
    <r>
      <rPr>
        <sz val="12"/>
        <rFont val="Arial"/>
        <family val="2"/>
      </rPr>
      <t>/ P'</t>
    </r>
  </si>
  <si>
    <r>
      <rPr>
        <sz val="12"/>
        <rFont val="Arial"/>
        <family val="2"/>
      </rPr>
      <t>F</t>
    </r>
    <r>
      <rPr>
        <vertAlign val="subscript"/>
        <sz val="12"/>
        <rFont val="Arial"/>
        <family val="2"/>
      </rPr>
      <t>n</t>
    </r>
  </si>
  <si>
    <r>
      <rPr>
        <sz val="11"/>
        <color indexed="8"/>
        <rFont val="楷体_GB2312"/>
        <charset val="134"/>
      </rPr>
      <t>最大载荷下变形量</t>
    </r>
  </si>
  <si>
    <r>
      <rPr>
        <sz val="12"/>
        <rFont val="Arial"/>
        <family val="2"/>
      </rPr>
      <t>F</t>
    </r>
    <r>
      <rPr>
        <vertAlign val="subscript"/>
        <sz val="12"/>
        <rFont val="Arial"/>
        <family val="2"/>
      </rPr>
      <t>n</t>
    </r>
    <r>
      <rPr>
        <sz val="12"/>
        <rFont val="Arial"/>
        <family val="2"/>
      </rPr>
      <t>=P</t>
    </r>
    <r>
      <rPr>
        <vertAlign val="subscript"/>
        <sz val="12"/>
        <rFont val="Arial"/>
        <family val="2"/>
      </rPr>
      <t xml:space="preserve">n </t>
    </r>
    <r>
      <rPr>
        <sz val="12"/>
        <rFont val="Arial"/>
        <family val="2"/>
      </rPr>
      <t>/ P</t>
    </r>
    <r>
      <rPr>
        <vertAlign val="subscript"/>
        <sz val="12"/>
        <rFont val="Arial"/>
        <family val="2"/>
      </rPr>
      <t>'</t>
    </r>
  </si>
  <si>
    <r>
      <rPr>
        <sz val="12"/>
        <rFont val="Arial"/>
        <family val="2"/>
      </rPr>
      <t>F</t>
    </r>
    <r>
      <rPr>
        <vertAlign val="subscript"/>
        <sz val="12"/>
        <rFont val="Arial"/>
        <family val="2"/>
      </rPr>
      <t>b</t>
    </r>
  </si>
  <si>
    <r>
      <rPr>
        <sz val="11"/>
        <color indexed="8"/>
        <rFont val="楷体_GB2312"/>
        <charset val="134"/>
      </rPr>
      <t>压并时变形量</t>
    </r>
  </si>
  <si>
    <r>
      <rPr>
        <sz val="12"/>
        <rFont val="Arial"/>
        <family val="2"/>
      </rPr>
      <t>F</t>
    </r>
    <r>
      <rPr>
        <vertAlign val="subscript"/>
        <sz val="12"/>
        <rFont val="Arial"/>
        <family val="2"/>
      </rPr>
      <t>b</t>
    </r>
    <r>
      <rPr>
        <sz val="12"/>
        <rFont val="Arial"/>
        <family val="2"/>
      </rPr>
      <t>=F</t>
    </r>
    <r>
      <rPr>
        <vertAlign val="subscript"/>
        <sz val="12"/>
        <rFont val="Arial"/>
        <family val="2"/>
      </rPr>
      <t xml:space="preserve">n </t>
    </r>
    <r>
      <rPr>
        <sz val="12"/>
        <rFont val="Arial"/>
        <family val="2"/>
      </rPr>
      <t>/ 0.65</t>
    </r>
  </si>
  <si>
    <r>
      <rPr>
        <sz val="12"/>
        <rFont val="Arial"/>
        <family val="2"/>
      </rPr>
      <t>P</t>
    </r>
    <r>
      <rPr>
        <vertAlign val="subscript"/>
        <sz val="12"/>
        <rFont val="Arial"/>
        <family val="2"/>
      </rPr>
      <t>b</t>
    </r>
  </si>
  <si>
    <r>
      <rPr>
        <sz val="11"/>
        <color indexed="8"/>
        <rFont val="楷体_GB2312"/>
        <charset val="134"/>
      </rPr>
      <t>压并载荷</t>
    </r>
  </si>
  <si>
    <r>
      <rPr>
        <sz val="12"/>
        <rFont val="Arial"/>
        <family val="2"/>
      </rPr>
      <t>P</t>
    </r>
    <r>
      <rPr>
        <vertAlign val="subscript"/>
        <sz val="12"/>
        <rFont val="Arial"/>
        <family val="2"/>
      </rPr>
      <t>b</t>
    </r>
    <r>
      <rPr>
        <sz val="12"/>
        <rFont val="Arial"/>
        <family val="2"/>
      </rPr>
      <t>=P</t>
    </r>
    <r>
      <rPr>
        <vertAlign val="subscript"/>
        <sz val="12"/>
        <rFont val="Arial"/>
        <family val="2"/>
      </rPr>
      <t xml:space="preserve">n </t>
    </r>
    <r>
      <rPr>
        <sz val="12"/>
        <rFont val="Arial"/>
        <family val="2"/>
      </rPr>
      <t>/ 0.65</t>
    </r>
  </si>
  <si>
    <r>
      <rPr>
        <sz val="12"/>
        <rFont val="楷体_GB2312"/>
        <charset val="134"/>
      </rPr>
      <t>有效圈数</t>
    </r>
  </si>
  <si>
    <r>
      <rPr>
        <sz val="12"/>
        <rFont val="Arial"/>
        <family val="2"/>
      </rPr>
      <t>n=Gd</t>
    </r>
    <r>
      <rPr>
        <vertAlign val="superscript"/>
        <sz val="12"/>
        <rFont val="Arial"/>
        <family val="2"/>
      </rPr>
      <t>4</t>
    </r>
    <r>
      <rPr>
        <sz val="12"/>
        <rFont val="Arial"/>
        <family val="2"/>
      </rPr>
      <t>F</t>
    </r>
    <r>
      <rPr>
        <vertAlign val="subscript"/>
        <sz val="12"/>
        <rFont val="Arial"/>
        <family val="2"/>
      </rPr>
      <t xml:space="preserve">n </t>
    </r>
    <r>
      <rPr>
        <sz val="12"/>
        <rFont val="Arial"/>
        <family val="2"/>
      </rPr>
      <t>/ 8P</t>
    </r>
    <r>
      <rPr>
        <vertAlign val="subscript"/>
        <sz val="12"/>
        <rFont val="Arial"/>
        <family val="2"/>
      </rPr>
      <t>n</t>
    </r>
    <r>
      <rPr>
        <sz val="12"/>
        <rFont val="Arial"/>
        <family val="2"/>
      </rPr>
      <t>D</t>
    </r>
    <r>
      <rPr>
        <vertAlign val="superscript"/>
        <sz val="12"/>
        <rFont val="Arial"/>
        <family val="2"/>
      </rPr>
      <t>3</t>
    </r>
  </si>
  <si>
    <r>
      <rPr>
        <sz val="12"/>
        <rFont val="Arial"/>
        <family val="2"/>
      </rPr>
      <t>n</t>
    </r>
    <r>
      <rPr>
        <vertAlign val="subscript"/>
        <sz val="12"/>
        <rFont val="Arial"/>
        <family val="2"/>
      </rPr>
      <t>1</t>
    </r>
  </si>
  <si>
    <r>
      <rPr>
        <sz val="12"/>
        <rFont val="楷体_GB2312"/>
        <charset val="134"/>
      </rPr>
      <t>总圈数</t>
    </r>
  </si>
  <si>
    <r>
      <rPr>
        <sz val="12"/>
        <rFont val="楷体_GB2312"/>
        <charset val="134"/>
      </rPr>
      <t>查表</t>
    </r>
    <r>
      <rPr>
        <sz val="12"/>
        <rFont val="Arial"/>
        <family val="2"/>
      </rPr>
      <t>11-2-14    n1=n+2</t>
    </r>
  </si>
  <si>
    <r>
      <rPr>
        <sz val="12"/>
        <rFont val="Arial"/>
        <family val="2"/>
      </rPr>
      <t>H</t>
    </r>
    <r>
      <rPr>
        <vertAlign val="subscript"/>
        <sz val="12"/>
        <rFont val="Arial"/>
        <family val="2"/>
      </rPr>
      <t>b</t>
    </r>
  </si>
  <si>
    <r>
      <rPr>
        <sz val="11"/>
        <color indexed="8"/>
        <rFont val="楷体_GB2312"/>
        <charset val="134"/>
      </rPr>
      <t>压并高度</t>
    </r>
  </si>
  <si>
    <r>
      <rPr>
        <sz val="12"/>
        <rFont val="Arial"/>
        <family val="2"/>
      </rPr>
      <t>H</t>
    </r>
    <r>
      <rPr>
        <vertAlign val="subscript"/>
        <sz val="12"/>
        <rFont val="Arial"/>
        <family val="2"/>
      </rPr>
      <t>b</t>
    </r>
    <r>
      <rPr>
        <sz val="12"/>
        <rFont val="Arial"/>
        <family val="2"/>
      </rPr>
      <t>=(n+1.5)d</t>
    </r>
  </si>
  <si>
    <r>
      <rPr>
        <sz val="12"/>
        <rFont val="Arial"/>
        <family val="2"/>
      </rPr>
      <t>H</t>
    </r>
    <r>
      <rPr>
        <vertAlign val="subscript"/>
        <sz val="12"/>
        <rFont val="Arial"/>
        <family val="2"/>
      </rPr>
      <t>o</t>
    </r>
  </si>
  <si>
    <r>
      <rPr>
        <sz val="11"/>
        <color indexed="8"/>
        <rFont val="楷体_GB2312"/>
        <charset val="134"/>
      </rPr>
      <t>自由高度</t>
    </r>
  </si>
  <si>
    <r>
      <rPr>
        <sz val="12"/>
        <rFont val="Arial"/>
        <family val="2"/>
      </rPr>
      <t>H</t>
    </r>
    <r>
      <rPr>
        <vertAlign val="subscript"/>
        <sz val="12"/>
        <rFont val="Arial"/>
        <family val="2"/>
      </rPr>
      <t>o</t>
    </r>
    <r>
      <rPr>
        <sz val="12"/>
        <rFont val="Arial"/>
        <family val="2"/>
      </rPr>
      <t>=H</t>
    </r>
    <r>
      <rPr>
        <vertAlign val="subscript"/>
        <sz val="12"/>
        <rFont val="Arial"/>
        <family val="2"/>
      </rPr>
      <t>b</t>
    </r>
    <r>
      <rPr>
        <sz val="12"/>
        <rFont val="Arial"/>
        <family val="2"/>
      </rPr>
      <t>+F</t>
    </r>
    <r>
      <rPr>
        <vertAlign val="subscript"/>
        <sz val="12"/>
        <rFont val="Arial"/>
        <family val="2"/>
      </rPr>
      <t>b</t>
    </r>
  </si>
  <si>
    <r>
      <rPr>
        <sz val="12"/>
        <rFont val="楷体_GB2312"/>
        <charset val="134"/>
      </rPr>
      <t>节距</t>
    </r>
  </si>
  <si>
    <r>
      <rPr>
        <sz val="12"/>
        <rFont val="Arial"/>
        <family val="2"/>
      </rPr>
      <t>t=(H</t>
    </r>
    <r>
      <rPr>
        <vertAlign val="subscript"/>
        <sz val="12"/>
        <rFont val="Arial"/>
        <family val="2"/>
      </rPr>
      <t>o</t>
    </r>
    <r>
      <rPr>
        <sz val="12"/>
        <rFont val="Arial"/>
        <family val="2"/>
      </rPr>
      <t>-1.5d) / n</t>
    </r>
  </si>
  <si>
    <r>
      <rPr>
        <sz val="12"/>
        <rFont val="楷体_GB2312"/>
        <charset val="134"/>
      </rPr>
      <t>螺旋角</t>
    </r>
  </si>
  <si>
    <t>α=arc(t / π*D)</t>
  </si>
  <si>
    <t>°</t>
  </si>
  <si>
    <r>
      <rPr>
        <sz val="12"/>
        <rFont val="楷体_GB2312"/>
        <charset val="134"/>
      </rPr>
      <t>展开长度</t>
    </r>
  </si>
  <si>
    <t>L= π*Dn1/COSα</t>
  </si>
  <si>
    <t>三</t>
  </si>
  <si>
    <t>结论(验算)</t>
  </si>
  <si>
    <r>
      <rPr>
        <b/>
        <sz val="12"/>
        <rFont val="楷体_GB2312"/>
        <charset val="134"/>
      </rPr>
      <t>稳定性</t>
    </r>
  </si>
  <si>
    <t>31</t>
  </si>
  <si>
    <r>
      <rPr>
        <sz val="12"/>
        <rFont val="楷体_GB2312"/>
        <charset val="134"/>
      </rPr>
      <t>高径比</t>
    </r>
  </si>
  <si>
    <r>
      <rPr>
        <sz val="12"/>
        <rFont val="Arial"/>
        <family val="2"/>
      </rPr>
      <t>b=H</t>
    </r>
    <r>
      <rPr>
        <vertAlign val="subscript"/>
        <sz val="12"/>
        <rFont val="Arial"/>
        <family val="2"/>
      </rPr>
      <t>O</t>
    </r>
    <r>
      <rPr>
        <sz val="12"/>
        <rFont val="Arial"/>
        <family val="2"/>
      </rPr>
      <t>/D</t>
    </r>
  </si>
  <si>
    <r>
      <rPr>
        <sz val="12"/>
        <rFont val="楷体_GB2312"/>
        <charset val="134"/>
      </rPr>
      <t>两端固定</t>
    </r>
    <r>
      <rPr>
        <sz val="12"/>
        <rFont val="Arial"/>
        <family val="2"/>
      </rPr>
      <t xml:space="preserve"> b＜5.3</t>
    </r>
  </si>
  <si>
    <r>
      <rPr>
        <sz val="12"/>
        <rFont val="楷体_GB2312"/>
        <charset val="134"/>
      </rPr>
      <t>满足要求</t>
    </r>
  </si>
  <si>
    <r>
      <rPr>
        <b/>
        <sz val="12"/>
        <rFont val="楷体_GB2312"/>
        <charset val="134"/>
      </rPr>
      <t>强度</t>
    </r>
  </si>
  <si>
    <r>
      <rPr>
        <sz val="12"/>
        <rFont val="Arial"/>
        <family val="2"/>
      </rPr>
      <t>τ</t>
    </r>
    <r>
      <rPr>
        <vertAlign val="subscript"/>
        <sz val="12"/>
        <rFont val="Arial"/>
        <family val="2"/>
      </rPr>
      <t>max</t>
    </r>
  </si>
  <si>
    <r>
      <rPr>
        <sz val="11"/>
        <color indexed="8"/>
        <rFont val="楷体_GB2312"/>
        <charset val="134"/>
      </rPr>
      <t>最大切应力</t>
    </r>
  </si>
  <si>
    <r>
      <rPr>
        <sz val="12"/>
        <rFont val="Arial"/>
        <family val="2"/>
      </rPr>
      <t>τ</t>
    </r>
    <r>
      <rPr>
        <vertAlign val="subscript"/>
        <sz val="12"/>
        <rFont val="Arial"/>
        <family val="2"/>
      </rPr>
      <t>max</t>
    </r>
    <r>
      <rPr>
        <sz val="12"/>
        <rFont val="Arial"/>
        <family val="2"/>
      </rPr>
      <t>=8KDP</t>
    </r>
    <r>
      <rPr>
        <vertAlign val="subscript"/>
        <sz val="12"/>
        <rFont val="Arial"/>
        <family val="2"/>
      </rPr>
      <t>n</t>
    </r>
    <r>
      <rPr>
        <sz val="12"/>
        <rFont val="Arial"/>
        <family val="2"/>
      </rPr>
      <t>/ πd</t>
    </r>
    <r>
      <rPr>
        <vertAlign val="superscript"/>
        <sz val="12"/>
        <rFont val="Arial"/>
        <family val="2"/>
      </rPr>
      <t>3</t>
    </r>
  </si>
  <si>
    <r>
      <rPr>
        <sz val="12"/>
        <rFont val="Arial"/>
        <family val="2"/>
      </rPr>
      <t>τ</t>
    </r>
    <r>
      <rPr>
        <vertAlign val="subscript"/>
        <sz val="12"/>
        <rFont val="Arial"/>
        <family val="2"/>
      </rPr>
      <t>s</t>
    </r>
  </si>
  <si>
    <r>
      <rPr>
        <sz val="11"/>
        <color indexed="8"/>
        <rFont val="楷体_GB2312"/>
        <charset val="134"/>
      </rPr>
      <t>屈服极限</t>
    </r>
  </si>
  <si>
    <r>
      <rPr>
        <sz val="11"/>
        <color indexed="8"/>
        <rFont val="楷体_GB2312"/>
        <charset val="134"/>
      </rPr>
      <t>静载荷，</t>
    </r>
    <r>
      <rPr>
        <sz val="11"/>
        <color indexed="8"/>
        <rFont val="Arial"/>
        <family val="2"/>
      </rPr>
      <t>80</t>
    </r>
    <r>
      <rPr>
        <sz val="11"/>
        <color indexed="8"/>
        <rFont val="楷体_GB2312"/>
        <charset val="134"/>
      </rPr>
      <t>钢</t>
    </r>
  </si>
  <si>
    <r>
      <rPr>
        <sz val="12"/>
        <rFont val="楷体_GB2312"/>
        <charset val="134"/>
      </rPr>
      <t>疲劳安全系数</t>
    </r>
  </si>
  <si>
    <r>
      <rPr>
        <sz val="12"/>
        <rFont val="Arial"/>
        <family val="2"/>
      </rPr>
      <t>S=τ</t>
    </r>
    <r>
      <rPr>
        <vertAlign val="subscript"/>
        <sz val="12"/>
        <rFont val="Arial"/>
        <family val="2"/>
      </rPr>
      <t xml:space="preserve">p </t>
    </r>
    <r>
      <rPr>
        <sz val="12"/>
        <rFont val="Arial"/>
        <family val="2"/>
      </rPr>
      <t>/ τ</t>
    </r>
    <r>
      <rPr>
        <vertAlign val="subscript"/>
        <sz val="12"/>
        <rFont val="Arial"/>
        <family val="2"/>
      </rPr>
      <t>max</t>
    </r>
  </si>
  <si>
    <r>
      <rPr>
        <sz val="12"/>
        <rFont val="Arial"/>
        <family val="2"/>
      </rPr>
      <t>S</t>
    </r>
    <r>
      <rPr>
        <vertAlign val="subscript"/>
        <sz val="12"/>
        <rFont val="Arial"/>
        <family val="2"/>
      </rPr>
      <t>p</t>
    </r>
  </si>
  <si>
    <r>
      <rPr>
        <sz val="12"/>
        <rFont val="Arial"/>
        <family val="2"/>
      </rPr>
      <t>1.3</t>
    </r>
    <r>
      <rPr>
        <sz val="12"/>
        <rFont val="宋体"/>
        <family val="3"/>
        <charset val="134"/>
      </rPr>
      <t>～</t>
    </r>
    <r>
      <rPr>
        <sz val="12"/>
        <rFont val="Arial"/>
        <family val="2"/>
      </rPr>
      <t>1.7</t>
    </r>
  </si>
  <si>
    <r>
      <rPr>
        <sz val="12"/>
        <rFont val="Arial"/>
        <family val="2"/>
      </rPr>
      <t>S</t>
    </r>
    <r>
      <rPr>
        <sz val="12"/>
        <rFont val="楷体_GB2312"/>
        <charset val="134"/>
      </rPr>
      <t>＞</t>
    </r>
    <r>
      <rPr>
        <sz val="12"/>
        <rFont val="Arial"/>
        <family val="2"/>
      </rPr>
      <t>S</t>
    </r>
    <r>
      <rPr>
        <vertAlign val="subscript"/>
        <sz val="12"/>
        <rFont val="Arial"/>
        <family val="2"/>
      </rPr>
      <t>p</t>
    </r>
    <r>
      <rPr>
        <sz val="12"/>
        <rFont val="Arial"/>
        <family val="2"/>
      </rPr>
      <t>,</t>
    </r>
    <r>
      <rPr>
        <sz val="12"/>
        <rFont val="楷体_GB2312"/>
        <charset val="134"/>
      </rPr>
      <t>强度满足要求</t>
    </r>
  </si>
  <si>
    <r>
      <rPr>
        <sz val="12"/>
        <rFont val="楷体_GB2312"/>
        <charset val="134"/>
      </rPr>
      <t>理论转矩</t>
    </r>
  </si>
  <si>
    <t>N·m</t>
  </si>
  <si>
    <r>
      <rPr>
        <sz val="12"/>
        <rFont val="Arial"/>
        <family val="2"/>
      </rPr>
      <t>P</t>
    </r>
    <r>
      <rPr>
        <vertAlign val="subscript"/>
        <sz val="12"/>
        <rFont val="Arial"/>
        <family val="2"/>
      </rPr>
      <t>w</t>
    </r>
  </si>
  <si>
    <r>
      <rPr>
        <sz val="12"/>
        <rFont val="楷体_GB2312"/>
        <charset val="134"/>
      </rPr>
      <t>驱动功率</t>
    </r>
  </si>
  <si>
    <r>
      <rPr>
        <sz val="12"/>
        <rFont val="楷体_GB2312"/>
        <charset val="134"/>
      </rPr>
      <t>工作转速</t>
    </r>
  </si>
  <si>
    <r>
      <rPr>
        <sz val="12"/>
        <rFont val="Arial"/>
        <family val="2"/>
      </rPr>
      <t>K</t>
    </r>
    <r>
      <rPr>
        <vertAlign val="subscript"/>
        <sz val="12"/>
        <rFont val="Arial"/>
        <family val="2"/>
      </rPr>
      <t>w</t>
    </r>
  </si>
  <si>
    <r>
      <rPr>
        <sz val="12"/>
        <rFont val="楷体_GB2312"/>
        <charset val="134"/>
      </rPr>
      <t>动力机系数</t>
    </r>
  </si>
  <si>
    <r>
      <rPr>
        <sz val="12"/>
        <rFont val="楷体_GB2312"/>
        <charset val="134"/>
      </rPr>
      <t>机械Ⅱ</t>
    </r>
    <r>
      <rPr>
        <sz val="12"/>
        <rFont val="Arial"/>
        <family val="2"/>
      </rPr>
      <t>6-54</t>
    </r>
    <r>
      <rPr>
        <sz val="12"/>
        <rFont val="楷体_GB2312"/>
        <charset val="134"/>
      </rPr>
      <t>页</t>
    </r>
  </si>
  <si>
    <r>
      <rPr>
        <sz val="12"/>
        <rFont val="楷体_GB2312"/>
        <charset val="134"/>
      </rPr>
      <t>工况系数</t>
    </r>
  </si>
  <si>
    <r>
      <rPr>
        <sz val="12"/>
        <rFont val="楷体_GB2312"/>
        <charset val="134"/>
      </rPr>
      <t>机械Ⅱ</t>
    </r>
    <r>
      <rPr>
        <sz val="12"/>
        <rFont val="Arial"/>
        <family val="2"/>
      </rPr>
      <t>6-54</t>
    </r>
    <r>
      <rPr>
        <sz val="12"/>
        <rFont val="楷体_GB2312"/>
        <charset val="134"/>
      </rPr>
      <t>页表</t>
    </r>
    <r>
      <rPr>
        <sz val="12"/>
        <rFont val="Arial"/>
        <family val="2"/>
      </rPr>
      <t>6-2-2</t>
    </r>
  </si>
  <si>
    <r>
      <rPr>
        <sz val="12"/>
        <rFont val="Arial"/>
        <family val="2"/>
      </rPr>
      <t>K</t>
    </r>
    <r>
      <rPr>
        <vertAlign val="subscript"/>
        <sz val="12"/>
        <rFont val="Arial"/>
        <family val="2"/>
      </rPr>
      <t>t</t>
    </r>
  </si>
  <si>
    <t>温度系数</t>
  </si>
  <si>
    <r>
      <rPr>
        <sz val="12"/>
        <rFont val="Arial"/>
        <family val="2"/>
      </rPr>
      <t>K</t>
    </r>
    <r>
      <rPr>
        <vertAlign val="subscript"/>
        <sz val="12"/>
        <rFont val="Arial"/>
        <family val="2"/>
      </rPr>
      <t>z</t>
    </r>
  </si>
  <si>
    <r>
      <rPr>
        <sz val="12"/>
        <rFont val="楷体_GB2312"/>
        <charset val="134"/>
      </rPr>
      <t>启动系数</t>
    </r>
  </si>
  <si>
    <r>
      <rPr>
        <sz val="12"/>
        <rFont val="楷体_GB2312"/>
        <charset val="134"/>
      </rPr>
      <t>机械Ⅱ</t>
    </r>
    <r>
      <rPr>
        <sz val="12"/>
        <rFont val="Arial"/>
        <family val="2"/>
      </rPr>
      <t>6-56</t>
    </r>
    <r>
      <rPr>
        <sz val="12"/>
        <rFont val="楷体_GB2312"/>
        <charset val="134"/>
      </rPr>
      <t>页表</t>
    </r>
    <r>
      <rPr>
        <sz val="12"/>
        <rFont val="Arial"/>
        <family val="2"/>
      </rPr>
      <t>6-2-3</t>
    </r>
  </si>
  <si>
    <t>参考外方图纸选取</t>
  </si>
  <si>
    <t>制动盘直径</t>
  </si>
  <si>
    <r>
      <rPr>
        <sz val="12"/>
        <rFont val="Arial"/>
        <family val="2"/>
      </rPr>
      <t>T</t>
    </r>
    <r>
      <rPr>
        <vertAlign val="subscript"/>
        <sz val="12"/>
        <rFont val="Arial"/>
        <family val="2"/>
      </rPr>
      <t>n</t>
    </r>
  </si>
  <si>
    <r>
      <rPr>
        <sz val="12"/>
        <rFont val="楷体_GB2312"/>
        <charset val="134"/>
      </rPr>
      <t>公称转矩</t>
    </r>
  </si>
  <si>
    <t>WGP7</t>
  </si>
  <si>
    <r>
      <rPr>
        <sz val="12"/>
        <rFont val="Arial"/>
        <family val="2"/>
      </rPr>
      <t>T</t>
    </r>
    <r>
      <rPr>
        <vertAlign val="subscript"/>
        <sz val="12"/>
        <rFont val="Arial"/>
        <family val="2"/>
      </rPr>
      <t>c</t>
    </r>
  </si>
  <si>
    <r>
      <rPr>
        <sz val="12"/>
        <rFont val="楷体_GB2312"/>
        <charset val="134"/>
      </rPr>
      <t>联轴器计算转矩</t>
    </r>
  </si>
  <si>
    <r>
      <rPr>
        <sz val="12"/>
        <rFont val="楷体_GB2312"/>
        <charset val="134"/>
      </rPr>
      <t>T</t>
    </r>
    <r>
      <rPr>
        <vertAlign val="subscript"/>
        <sz val="12"/>
        <rFont val="Arial"/>
        <family val="2"/>
      </rPr>
      <t>c</t>
    </r>
    <r>
      <rPr>
        <sz val="12"/>
        <rFont val="Arial"/>
        <family val="2"/>
      </rPr>
      <t>=TK</t>
    </r>
    <r>
      <rPr>
        <vertAlign val="subscript"/>
        <sz val="12"/>
        <rFont val="Arial"/>
        <family val="2"/>
      </rPr>
      <t>w</t>
    </r>
    <r>
      <rPr>
        <sz val="12"/>
        <rFont val="Arial"/>
        <family val="2"/>
      </rPr>
      <t>KK</t>
    </r>
    <r>
      <rPr>
        <vertAlign val="subscript"/>
        <sz val="12"/>
        <rFont val="Arial"/>
        <family val="2"/>
      </rPr>
      <t>z</t>
    </r>
    <r>
      <rPr>
        <sz val="12"/>
        <rFont val="Arial"/>
        <family val="2"/>
      </rPr>
      <t>K</t>
    </r>
    <r>
      <rPr>
        <vertAlign val="subscript"/>
        <sz val="12"/>
        <rFont val="Arial"/>
        <family val="2"/>
      </rPr>
      <t>t</t>
    </r>
  </si>
  <si>
    <r>
      <rPr>
        <sz val="12"/>
        <rFont val="Arial"/>
        <family val="2"/>
      </rPr>
      <t>Tc</t>
    </r>
    <r>
      <rPr>
        <sz val="12"/>
        <rFont val="宋体"/>
        <family val="3"/>
        <charset val="134"/>
      </rPr>
      <t>＜</t>
    </r>
    <r>
      <rPr>
        <sz val="12"/>
        <rFont val="Arial"/>
        <family val="2"/>
      </rPr>
      <t>Tn</t>
    </r>
  </si>
  <si>
    <t>满足要求</t>
  </si>
  <si>
    <r>
      <rPr>
        <sz val="12"/>
        <rFont val="楷体_GB2312"/>
        <charset val="134"/>
      </rPr>
      <t>传动功率</t>
    </r>
  </si>
  <si>
    <r>
      <rPr>
        <sz val="12"/>
        <rFont val="楷体_GB2312"/>
        <charset val="134"/>
      </rPr>
      <t>转速</t>
    </r>
  </si>
  <si>
    <t>T=9550*P/n</t>
  </si>
  <si>
    <t>kN·m</t>
  </si>
  <si>
    <t>工况系数</t>
  </si>
  <si>
    <r>
      <rPr>
        <sz val="12"/>
        <rFont val="楷体_GB2312"/>
        <charset val="134"/>
      </rPr>
      <t>机械手册Ⅱ</t>
    </r>
    <r>
      <rPr>
        <sz val="12"/>
        <rFont val="Arial"/>
        <family val="2"/>
      </rPr>
      <t>6-89</t>
    </r>
    <r>
      <rPr>
        <sz val="12"/>
        <rFont val="楷体_GB2312"/>
        <charset val="134"/>
      </rPr>
      <t>页表</t>
    </r>
    <r>
      <rPr>
        <sz val="12"/>
        <rFont val="Arial"/>
        <family val="2"/>
      </rPr>
      <t>6-2-22</t>
    </r>
  </si>
  <si>
    <r>
      <rPr>
        <sz val="12"/>
        <rFont val="楷体_GB2312"/>
        <charset val="134"/>
      </rPr>
      <t>计算转矩</t>
    </r>
  </si>
  <si>
    <r>
      <rPr>
        <sz val="12"/>
        <rFont val="Arial"/>
        <family val="2"/>
      </rPr>
      <t>T</t>
    </r>
    <r>
      <rPr>
        <vertAlign val="subscript"/>
        <sz val="12"/>
        <rFont val="Arial"/>
        <family val="2"/>
      </rPr>
      <t>c</t>
    </r>
    <r>
      <rPr>
        <sz val="12"/>
        <rFont val="Arial"/>
        <family val="2"/>
      </rPr>
      <t>=TK</t>
    </r>
  </si>
  <si>
    <r>
      <rPr>
        <sz val="12"/>
        <rFont val="Arial"/>
        <family val="2"/>
      </rPr>
      <t>β</t>
    </r>
    <r>
      <rPr>
        <vertAlign val="subscript"/>
        <sz val="12"/>
        <rFont val="Arial"/>
        <family val="2"/>
      </rPr>
      <t>1</t>
    </r>
  </si>
  <si>
    <r>
      <rPr>
        <sz val="12"/>
        <rFont val="Arial"/>
        <family val="2"/>
      </rPr>
      <t>β</t>
    </r>
    <r>
      <rPr>
        <vertAlign val="subscript"/>
        <sz val="12"/>
        <rFont val="Arial"/>
        <family val="2"/>
      </rPr>
      <t>2</t>
    </r>
  </si>
  <si>
    <t>tanβ</t>
  </si>
  <si>
    <t>tanβ=（tan2β1＋tan2β2）1/2</t>
  </si>
  <si>
    <t>β</t>
  </si>
  <si>
    <r>
      <rPr>
        <sz val="12"/>
        <rFont val="楷体_GB2312"/>
        <charset val="134"/>
      </rPr>
      <t>选用</t>
    </r>
    <r>
      <rPr>
        <sz val="12"/>
        <rFont val="Arial"/>
        <family val="2"/>
      </rPr>
      <t>SWC 180 BH1 1420</t>
    </r>
  </si>
  <si>
    <t>公称转矩</t>
  </si>
  <si>
    <r>
      <rPr>
        <sz val="12"/>
        <rFont val="Arial"/>
        <family val="2"/>
      </rPr>
      <t>T</t>
    </r>
    <r>
      <rPr>
        <vertAlign val="subscript"/>
        <sz val="12"/>
        <rFont val="Arial"/>
        <family val="2"/>
      </rPr>
      <t>f</t>
    </r>
  </si>
  <si>
    <t>疲劳转矩</t>
  </si>
  <si>
    <r>
      <rPr>
        <sz val="12"/>
        <rFont val="Arial"/>
        <family val="2"/>
      </rPr>
      <t>T</t>
    </r>
    <r>
      <rPr>
        <vertAlign val="subscript"/>
        <sz val="12"/>
        <rFont val="Arial"/>
        <family val="2"/>
      </rPr>
      <t>n</t>
    </r>
    <r>
      <rPr>
        <sz val="11"/>
        <color indexed="8"/>
        <rFont val="楷体_GB2312"/>
        <charset val="134"/>
      </rPr>
      <t>≥</t>
    </r>
    <r>
      <rPr>
        <sz val="12"/>
        <rFont val="Arial"/>
        <family val="2"/>
      </rPr>
      <t>T</t>
    </r>
    <r>
      <rPr>
        <vertAlign val="subscript"/>
        <sz val="12"/>
        <rFont val="Arial"/>
        <family val="2"/>
      </rPr>
      <t xml:space="preserve">c   </t>
    </r>
    <r>
      <rPr>
        <sz val="12"/>
        <rFont val="Arial"/>
        <family val="2"/>
      </rPr>
      <t>T</t>
    </r>
    <r>
      <rPr>
        <vertAlign val="subscript"/>
        <sz val="12"/>
        <rFont val="Arial"/>
        <family val="2"/>
      </rPr>
      <t>f≥Tc</t>
    </r>
  </si>
  <si>
    <r>
      <rPr>
        <sz val="12"/>
        <rFont val="Arial"/>
        <family val="2"/>
      </rPr>
      <t>d</t>
    </r>
    <r>
      <rPr>
        <vertAlign val="subscript"/>
        <sz val="12"/>
        <rFont val="Arial"/>
        <family val="2"/>
      </rPr>
      <t>a</t>
    </r>
  </si>
  <si>
    <r>
      <rPr>
        <sz val="12"/>
        <rFont val="楷体_GB2312"/>
        <charset val="134"/>
      </rPr>
      <t>包容件外径</t>
    </r>
  </si>
  <si>
    <r>
      <rPr>
        <sz val="12"/>
        <rFont val="Arial"/>
        <family val="2"/>
      </rPr>
      <t>d</t>
    </r>
    <r>
      <rPr>
        <vertAlign val="subscript"/>
        <sz val="12"/>
        <rFont val="Arial"/>
        <family val="2"/>
      </rPr>
      <t>f</t>
    </r>
  </si>
  <si>
    <r>
      <rPr>
        <sz val="12"/>
        <rFont val="楷体_GB2312"/>
        <charset val="134"/>
      </rPr>
      <t>结合直径</t>
    </r>
  </si>
  <si>
    <r>
      <rPr>
        <sz val="12"/>
        <rFont val="Arial"/>
        <family val="2"/>
      </rPr>
      <t>d</t>
    </r>
    <r>
      <rPr>
        <vertAlign val="subscript"/>
        <sz val="12"/>
        <rFont val="Arial"/>
        <family val="2"/>
      </rPr>
      <t>i</t>
    </r>
  </si>
  <si>
    <r>
      <rPr>
        <sz val="12"/>
        <rFont val="楷体_GB2312"/>
        <charset val="134"/>
      </rPr>
      <t>被包容件内径</t>
    </r>
  </si>
  <si>
    <r>
      <rPr>
        <sz val="12"/>
        <rFont val="Arial"/>
        <family val="2"/>
      </rPr>
      <t>l</t>
    </r>
    <r>
      <rPr>
        <vertAlign val="subscript"/>
        <sz val="12"/>
        <rFont val="Arial"/>
        <family val="2"/>
      </rPr>
      <t>f</t>
    </r>
  </si>
  <si>
    <r>
      <rPr>
        <sz val="12"/>
        <rFont val="楷体_GB2312"/>
        <charset val="134"/>
      </rPr>
      <t>结合长度</t>
    </r>
  </si>
  <si>
    <r>
      <rPr>
        <sz val="12"/>
        <rFont val="楷体_GB2312"/>
        <charset val="134"/>
      </rPr>
      <t>摩擦因数</t>
    </r>
  </si>
  <si>
    <r>
      <rPr>
        <sz val="12"/>
        <rFont val="楷体_GB2312"/>
        <charset val="134"/>
      </rPr>
      <t>机械手册Ⅱ表</t>
    </r>
    <r>
      <rPr>
        <sz val="12"/>
        <rFont val="Arial"/>
        <family val="2"/>
      </rPr>
      <t>5-4-4(</t>
    </r>
    <r>
      <rPr>
        <sz val="12"/>
        <rFont val="楷体_GB2312"/>
        <charset val="134"/>
      </rPr>
      <t>钢</t>
    </r>
    <r>
      <rPr>
        <sz val="12"/>
        <rFont val="Arial"/>
        <family val="2"/>
      </rPr>
      <t>-</t>
    </r>
    <r>
      <rPr>
        <sz val="12"/>
        <rFont val="楷体_GB2312"/>
        <charset val="134"/>
      </rPr>
      <t>钢</t>
    </r>
    <r>
      <rPr>
        <sz val="12"/>
        <rFont val="Arial"/>
        <family val="2"/>
      </rPr>
      <t>)</t>
    </r>
  </si>
  <si>
    <r>
      <rPr>
        <sz val="12"/>
        <rFont val="Arial"/>
        <family val="2"/>
      </rPr>
      <t>E</t>
    </r>
    <r>
      <rPr>
        <vertAlign val="subscript"/>
        <sz val="12"/>
        <rFont val="Arial"/>
        <family val="2"/>
      </rPr>
      <t>a</t>
    </r>
  </si>
  <si>
    <r>
      <rPr>
        <sz val="12"/>
        <rFont val="楷体_GB2312"/>
        <charset val="134"/>
      </rPr>
      <t>包容件弹性模量</t>
    </r>
  </si>
  <si>
    <r>
      <rPr>
        <sz val="12"/>
        <rFont val="Arial"/>
        <family val="2"/>
      </rPr>
      <t>E</t>
    </r>
    <r>
      <rPr>
        <vertAlign val="subscript"/>
        <sz val="12"/>
        <rFont val="Arial"/>
        <family val="2"/>
      </rPr>
      <t>i</t>
    </r>
  </si>
  <si>
    <r>
      <rPr>
        <sz val="12"/>
        <rFont val="楷体_GB2312"/>
        <charset val="134"/>
      </rPr>
      <t>被包容件弹性模量</t>
    </r>
  </si>
  <si>
    <r>
      <rPr>
        <sz val="12"/>
        <rFont val="Arial"/>
        <family val="2"/>
      </rPr>
      <t>ν</t>
    </r>
    <r>
      <rPr>
        <vertAlign val="subscript"/>
        <sz val="12"/>
        <rFont val="Arial"/>
        <family val="2"/>
      </rPr>
      <t>a</t>
    </r>
  </si>
  <si>
    <r>
      <rPr>
        <sz val="12"/>
        <rFont val="楷体_GB2312"/>
        <charset val="134"/>
      </rPr>
      <t>包容件泊松比</t>
    </r>
  </si>
  <si>
    <r>
      <rPr>
        <sz val="12"/>
        <rFont val="Arial"/>
        <family val="2"/>
      </rPr>
      <t>ν</t>
    </r>
    <r>
      <rPr>
        <vertAlign val="subscript"/>
        <sz val="12"/>
        <rFont val="Arial"/>
        <family val="2"/>
      </rPr>
      <t>i</t>
    </r>
  </si>
  <si>
    <r>
      <rPr>
        <sz val="12"/>
        <rFont val="楷体_GB2312"/>
        <charset val="134"/>
      </rPr>
      <t>被包容件泊松比</t>
    </r>
  </si>
  <si>
    <r>
      <rPr>
        <sz val="12"/>
        <rFont val="Arial"/>
        <family val="2"/>
      </rPr>
      <t>σ</t>
    </r>
    <r>
      <rPr>
        <vertAlign val="subscript"/>
        <sz val="12"/>
        <rFont val="Arial"/>
        <family val="2"/>
      </rPr>
      <t>sa</t>
    </r>
  </si>
  <si>
    <r>
      <rPr>
        <sz val="12"/>
        <rFont val="楷体_GB2312"/>
        <charset val="134"/>
      </rPr>
      <t>包容件屈服强度</t>
    </r>
  </si>
  <si>
    <r>
      <rPr>
        <sz val="12"/>
        <rFont val="Arial"/>
        <family val="2"/>
      </rPr>
      <t>σ</t>
    </r>
    <r>
      <rPr>
        <vertAlign val="subscript"/>
        <sz val="12"/>
        <rFont val="Arial"/>
        <family val="2"/>
      </rPr>
      <t>si</t>
    </r>
  </si>
  <si>
    <r>
      <rPr>
        <sz val="12"/>
        <rFont val="楷体_GB2312"/>
        <charset val="134"/>
      </rPr>
      <t>被包容件屈服强度</t>
    </r>
  </si>
  <si>
    <r>
      <rPr>
        <sz val="12"/>
        <rFont val="楷体_GB2312"/>
        <charset val="134"/>
      </rPr>
      <t>功率</t>
    </r>
  </si>
  <si>
    <r>
      <rPr>
        <sz val="12"/>
        <rFont val="Arial"/>
        <family val="2"/>
      </rPr>
      <t>k</t>
    </r>
    <r>
      <rPr>
        <vertAlign val="subscript"/>
        <sz val="12"/>
        <rFont val="楷体_GB2312"/>
        <charset val="134"/>
      </rPr>
      <t>过载</t>
    </r>
  </si>
  <si>
    <r>
      <rPr>
        <sz val="12"/>
        <rFont val="楷体_GB2312"/>
        <charset val="134"/>
      </rPr>
      <t>电机过载系数</t>
    </r>
  </si>
  <si>
    <r>
      <rPr>
        <sz val="12"/>
        <rFont val="楷体_GB2312"/>
        <charset val="134"/>
      </rPr>
      <t>传递扭矩</t>
    </r>
  </si>
  <si>
    <r>
      <rPr>
        <sz val="12"/>
        <rFont val="Arial"/>
        <family val="2"/>
      </rPr>
      <t>T=9550k</t>
    </r>
    <r>
      <rPr>
        <vertAlign val="subscript"/>
        <sz val="12"/>
        <rFont val="楷体_GB2312"/>
        <charset val="134"/>
      </rPr>
      <t>过载</t>
    </r>
    <r>
      <rPr>
        <sz val="12"/>
        <rFont val="Arial"/>
        <family val="2"/>
      </rPr>
      <t>N/n</t>
    </r>
  </si>
  <si>
    <r>
      <rPr>
        <sz val="12"/>
        <rFont val="Arial"/>
        <family val="2"/>
      </rPr>
      <t>P</t>
    </r>
    <r>
      <rPr>
        <vertAlign val="subscript"/>
        <sz val="12"/>
        <rFont val="Arial"/>
        <family val="2"/>
      </rPr>
      <t>fmin</t>
    </r>
  </si>
  <si>
    <r>
      <rPr>
        <sz val="12"/>
        <rFont val="楷体_GB2312"/>
        <charset val="134"/>
      </rPr>
      <t>传递载荷所需最小压强</t>
    </r>
  </si>
  <si>
    <r>
      <rPr>
        <sz val="12"/>
        <rFont val="Arial"/>
        <family val="2"/>
      </rPr>
      <t>P</t>
    </r>
    <r>
      <rPr>
        <vertAlign val="subscript"/>
        <sz val="12"/>
        <rFont val="Arial"/>
        <family val="2"/>
      </rPr>
      <t>fmin</t>
    </r>
    <r>
      <rPr>
        <sz val="12"/>
        <rFont val="Arial"/>
        <family val="2"/>
      </rPr>
      <t>=2T/πd</t>
    </r>
    <r>
      <rPr>
        <vertAlign val="subscript"/>
        <sz val="12"/>
        <rFont val="Arial"/>
        <family val="2"/>
      </rPr>
      <t>f</t>
    </r>
    <r>
      <rPr>
        <vertAlign val="superscript"/>
        <sz val="12"/>
        <rFont val="Arial"/>
        <family val="2"/>
      </rPr>
      <t>2</t>
    </r>
    <r>
      <rPr>
        <sz val="12"/>
        <rFont val="Arial"/>
        <family val="2"/>
      </rPr>
      <t>l</t>
    </r>
    <r>
      <rPr>
        <vertAlign val="subscript"/>
        <sz val="12"/>
        <rFont val="Arial"/>
        <family val="2"/>
      </rPr>
      <t>f</t>
    </r>
    <r>
      <rPr>
        <sz val="12"/>
        <rFont val="Arial"/>
        <family val="2"/>
      </rPr>
      <t>μ</t>
    </r>
  </si>
  <si>
    <r>
      <rPr>
        <sz val="12"/>
        <rFont val="Arial"/>
        <family val="2"/>
      </rPr>
      <t>q</t>
    </r>
    <r>
      <rPr>
        <vertAlign val="subscript"/>
        <sz val="12"/>
        <rFont val="Arial"/>
        <family val="2"/>
      </rPr>
      <t>a</t>
    </r>
  </si>
  <si>
    <r>
      <rPr>
        <sz val="12"/>
        <rFont val="楷体_GB2312"/>
        <charset val="134"/>
      </rPr>
      <t>包容件直径比</t>
    </r>
  </si>
  <si>
    <r>
      <rPr>
        <sz val="12"/>
        <rFont val="Arial"/>
        <family val="2"/>
      </rPr>
      <t>q</t>
    </r>
    <r>
      <rPr>
        <vertAlign val="subscript"/>
        <sz val="12"/>
        <rFont val="Arial"/>
        <family val="2"/>
      </rPr>
      <t>a</t>
    </r>
    <r>
      <rPr>
        <sz val="12"/>
        <rFont val="Arial"/>
        <family val="2"/>
      </rPr>
      <t>=d</t>
    </r>
    <r>
      <rPr>
        <vertAlign val="subscript"/>
        <sz val="12"/>
        <rFont val="Arial"/>
        <family val="2"/>
      </rPr>
      <t>f</t>
    </r>
    <r>
      <rPr>
        <sz val="12"/>
        <rFont val="Arial"/>
        <family val="2"/>
      </rPr>
      <t>/d</t>
    </r>
    <r>
      <rPr>
        <vertAlign val="subscript"/>
        <sz val="12"/>
        <rFont val="Arial"/>
        <family val="2"/>
      </rPr>
      <t>a</t>
    </r>
  </si>
  <si>
    <r>
      <rPr>
        <sz val="12"/>
        <rFont val="Arial"/>
        <family val="2"/>
      </rPr>
      <t>q</t>
    </r>
    <r>
      <rPr>
        <vertAlign val="subscript"/>
        <sz val="12"/>
        <rFont val="Arial"/>
        <family val="2"/>
      </rPr>
      <t>i</t>
    </r>
  </si>
  <si>
    <r>
      <rPr>
        <sz val="12"/>
        <rFont val="楷体_GB2312"/>
        <charset val="134"/>
      </rPr>
      <t>被包容件直径比</t>
    </r>
  </si>
  <si>
    <r>
      <rPr>
        <sz val="12"/>
        <rFont val="Arial"/>
        <family val="2"/>
      </rPr>
      <t>q</t>
    </r>
    <r>
      <rPr>
        <vertAlign val="subscript"/>
        <sz val="12"/>
        <rFont val="Arial"/>
        <family val="2"/>
      </rPr>
      <t>i</t>
    </r>
    <r>
      <rPr>
        <sz val="12"/>
        <rFont val="Arial"/>
        <family val="2"/>
      </rPr>
      <t>=d</t>
    </r>
    <r>
      <rPr>
        <vertAlign val="subscript"/>
        <sz val="12"/>
        <rFont val="Arial"/>
        <family val="2"/>
      </rPr>
      <t>i</t>
    </r>
    <r>
      <rPr>
        <sz val="12"/>
        <rFont val="Arial"/>
        <family val="2"/>
      </rPr>
      <t>/d</t>
    </r>
    <r>
      <rPr>
        <vertAlign val="subscript"/>
        <sz val="12"/>
        <rFont val="Arial"/>
        <family val="2"/>
      </rPr>
      <t>f</t>
    </r>
  </si>
  <si>
    <r>
      <rPr>
        <sz val="12"/>
        <rFont val="Arial"/>
        <family val="2"/>
      </rPr>
      <t>C</t>
    </r>
    <r>
      <rPr>
        <vertAlign val="subscript"/>
        <sz val="12"/>
        <rFont val="Arial"/>
        <family val="2"/>
      </rPr>
      <t>a</t>
    </r>
  </si>
  <si>
    <r>
      <rPr>
        <sz val="12"/>
        <rFont val="楷体_GB2312"/>
        <charset val="134"/>
      </rPr>
      <t>系数</t>
    </r>
  </si>
  <si>
    <r>
      <rPr>
        <sz val="12"/>
        <rFont val="楷体_GB2312"/>
        <charset val="134"/>
      </rPr>
      <t>机械手册Ⅱ表</t>
    </r>
    <r>
      <rPr>
        <sz val="12"/>
        <rFont val="Arial"/>
        <family val="2"/>
      </rPr>
      <t>5-4-5</t>
    </r>
  </si>
  <si>
    <r>
      <rPr>
        <sz val="12"/>
        <rFont val="Arial"/>
        <family val="2"/>
      </rPr>
      <t>C</t>
    </r>
    <r>
      <rPr>
        <vertAlign val="subscript"/>
        <sz val="12"/>
        <rFont val="Arial"/>
        <family val="2"/>
      </rPr>
      <t>i</t>
    </r>
  </si>
  <si>
    <r>
      <rPr>
        <sz val="12"/>
        <rFont val="Arial"/>
        <family val="2"/>
      </rPr>
      <t>e</t>
    </r>
    <r>
      <rPr>
        <vertAlign val="subscript"/>
        <sz val="12"/>
        <rFont val="Arial"/>
        <family val="2"/>
      </rPr>
      <t>amin</t>
    </r>
  </si>
  <si>
    <r>
      <rPr>
        <sz val="12"/>
        <rFont val="楷体_GB2312"/>
        <charset val="134"/>
      </rPr>
      <t>传递载荷所需的最小变化量</t>
    </r>
    <r>
      <rPr>
        <sz val="12"/>
        <rFont val="Arial"/>
        <family val="2"/>
      </rPr>
      <t>(</t>
    </r>
    <r>
      <rPr>
        <sz val="12"/>
        <rFont val="楷体_GB2312"/>
        <charset val="134"/>
      </rPr>
      <t>包容件</t>
    </r>
    <r>
      <rPr>
        <sz val="12"/>
        <rFont val="Arial"/>
        <family val="2"/>
      </rPr>
      <t>)</t>
    </r>
  </si>
  <si>
    <t>eamin=Pfmin*df*Ca/Ea</t>
  </si>
  <si>
    <r>
      <rPr>
        <sz val="12"/>
        <rFont val="Arial"/>
        <family val="2"/>
      </rPr>
      <t>e</t>
    </r>
    <r>
      <rPr>
        <vertAlign val="subscript"/>
        <sz val="12"/>
        <rFont val="Arial"/>
        <family val="2"/>
      </rPr>
      <t>imin</t>
    </r>
  </si>
  <si>
    <r>
      <rPr>
        <sz val="12"/>
        <rFont val="楷体_GB2312"/>
        <charset val="134"/>
      </rPr>
      <t>传递载荷所需的最小变化量</t>
    </r>
    <r>
      <rPr>
        <sz val="12"/>
        <rFont val="Arial"/>
        <family val="2"/>
      </rPr>
      <t>(</t>
    </r>
    <r>
      <rPr>
        <sz val="12"/>
        <rFont val="楷体_GB2312"/>
        <charset val="134"/>
      </rPr>
      <t>被包容件</t>
    </r>
    <r>
      <rPr>
        <sz val="12"/>
        <rFont val="Arial"/>
        <family val="2"/>
      </rPr>
      <t>)</t>
    </r>
  </si>
  <si>
    <r>
      <rPr>
        <sz val="12"/>
        <rFont val="Arial"/>
        <family val="2"/>
      </rPr>
      <t>e</t>
    </r>
    <r>
      <rPr>
        <vertAlign val="subscript"/>
        <sz val="12"/>
        <rFont val="Arial"/>
        <family val="2"/>
      </rPr>
      <t>imin</t>
    </r>
    <r>
      <rPr>
        <sz val="12"/>
        <rFont val="Arial"/>
        <family val="2"/>
      </rPr>
      <t>=P</t>
    </r>
    <r>
      <rPr>
        <vertAlign val="subscript"/>
        <sz val="12"/>
        <rFont val="Arial"/>
        <family val="2"/>
      </rPr>
      <t>fmin</t>
    </r>
    <r>
      <rPr>
        <sz val="12"/>
        <rFont val="Arial"/>
        <family val="2"/>
      </rPr>
      <t>*d</t>
    </r>
    <r>
      <rPr>
        <vertAlign val="subscript"/>
        <sz val="12"/>
        <rFont val="Arial"/>
        <family val="2"/>
      </rPr>
      <t>f*</t>
    </r>
    <r>
      <rPr>
        <sz val="12"/>
        <rFont val="Arial"/>
        <family val="2"/>
      </rPr>
      <t>C</t>
    </r>
    <r>
      <rPr>
        <vertAlign val="subscript"/>
        <sz val="12"/>
        <rFont val="Arial"/>
        <family val="2"/>
      </rPr>
      <t>i</t>
    </r>
    <r>
      <rPr>
        <sz val="12"/>
        <rFont val="Arial"/>
        <family val="2"/>
      </rPr>
      <t>/E</t>
    </r>
    <r>
      <rPr>
        <vertAlign val="subscript"/>
        <sz val="12"/>
        <rFont val="Arial"/>
        <family val="2"/>
      </rPr>
      <t>i</t>
    </r>
  </si>
  <si>
    <r>
      <rPr>
        <sz val="12"/>
        <rFont val="Arial"/>
        <family val="2"/>
      </rPr>
      <t>δ</t>
    </r>
    <r>
      <rPr>
        <vertAlign val="subscript"/>
        <sz val="12"/>
        <rFont val="Arial"/>
        <family val="2"/>
      </rPr>
      <t>emin</t>
    </r>
  </si>
  <si>
    <r>
      <rPr>
        <sz val="12"/>
        <rFont val="楷体_GB2312"/>
        <charset val="134"/>
      </rPr>
      <t>传递载荷所需的最小有效过盈量</t>
    </r>
  </si>
  <si>
    <r>
      <rPr>
        <sz val="12"/>
        <rFont val="Arial"/>
        <family val="2"/>
      </rPr>
      <t>δ</t>
    </r>
    <r>
      <rPr>
        <vertAlign val="subscript"/>
        <sz val="12"/>
        <rFont val="Arial"/>
        <family val="2"/>
      </rPr>
      <t>emin</t>
    </r>
    <r>
      <rPr>
        <sz val="12"/>
        <rFont val="Arial"/>
        <family val="2"/>
      </rPr>
      <t>=e</t>
    </r>
    <r>
      <rPr>
        <vertAlign val="subscript"/>
        <sz val="12"/>
        <rFont val="Arial"/>
        <family val="2"/>
      </rPr>
      <t>amin</t>
    </r>
    <r>
      <rPr>
        <sz val="12"/>
        <rFont val="Arial"/>
        <family val="2"/>
      </rPr>
      <t>+e</t>
    </r>
    <r>
      <rPr>
        <vertAlign val="subscript"/>
        <sz val="12"/>
        <rFont val="Arial"/>
        <family val="2"/>
      </rPr>
      <t>imin</t>
    </r>
  </si>
  <si>
    <r>
      <rPr>
        <sz val="12"/>
        <rFont val="Arial"/>
        <family val="2"/>
      </rPr>
      <t>δ</t>
    </r>
    <r>
      <rPr>
        <vertAlign val="subscript"/>
        <sz val="12"/>
        <rFont val="Arial"/>
        <family val="2"/>
      </rPr>
      <t>min</t>
    </r>
  </si>
  <si>
    <r>
      <rPr>
        <sz val="12"/>
        <rFont val="楷体_GB2312"/>
        <charset val="134"/>
      </rPr>
      <t>考虑压平后的最小过盈量</t>
    </r>
  </si>
  <si>
    <r>
      <rPr>
        <sz val="12"/>
        <rFont val="Arial"/>
        <family val="2"/>
      </rPr>
      <t>δ</t>
    </r>
    <r>
      <rPr>
        <vertAlign val="subscript"/>
        <sz val="12"/>
        <rFont val="Arial"/>
        <family val="2"/>
      </rPr>
      <t>min</t>
    </r>
    <r>
      <rPr>
        <sz val="12"/>
        <rFont val="Arial"/>
        <family val="2"/>
      </rPr>
      <t>=δ</t>
    </r>
    <r>
      <rPr>
        <vertAlign val="subscript"/>
        <sz val="12"/>
        <rFont val="Arial"/>
        <family val="2"/>
      </rPr>
      <t>emin</t>
    </r>
  </si>
  <si>
    <r>
      <rPr>
        <sz val="12"/>
        <rFont val="楷体_GB2312"/>
        <charset val="134"/>
      </rPr>
      <t>机械手册Ⅱ图</t>
    </r>
    <r>
      <rPr>
        <sz val="12"/>
        <rFont val="Arial"/>
        <family val="2"/>
      </rPr>
      <t>5-4-8</t>
    </r>
  </si>
  <si>
    <r>
      <rPr>
        <sz val="12"/>
        <rFont val="Arial"/>
        <family val="2"/>
      </rPr>
      <t>P</t>
    </r>
    <r>
      <rPr>
        <vertAlign val="subscript"/>
        <sz val="12"/>
        <rFont val="Arial"/>
        <family val="2"/>
      </rPr>
      <t>famax</t>
    </r>
  </si>
  <si>
    <r>
      <rPr>
        <sz val="12"/>
        <rFont val="楷体_GB2312"/>
        <charset val="134"/>
      </rPr>
      <t>不产生塑性变形所允许的最大压强</t>
    </r>
  </si>
  <si>
    <r>
      <rPr>
        <sz val="12"/>
        <rFont val="楷体_GB2312"/>
        <charset val="134"/>
      </rPr>
      <t>包容件</t>
    </r>
    <r>
      <rPr>
        <sz val="12"/>
        <rFont val="Arial"/>
        <family val="2"/>
      </rPr>
      <t>:P</t>
    </r>
    <r>
      <rPr>
        <vertAlign val="subscript"/>
        <sz val="12"/>
        <rFont val="Arial"/>
        <family val="2"/>
      </rPr>
      <t>famax</t>
    </r>
    <r>
      <rPr>
        <sz val="12"/>
        <rFont val="Arial"/>
        <family val="2"/>
      </rPr>
      <t>=a*σ</t>
    </r>
    <r>
      <rPr>
        <vertAlign val="subscript"/>
        <sz val="12"/>
        <rFont val="Arial"/>
        <family val="2"/>
      </rPr>
      <t>sa</t>
    </r>
  </si>
  <si>
    <r>
      <rPr>
        <sz val="12"/>
        <rFont val="Arial"/>
        <family val="2"/>
      </rPr>
      <t>P</t>
    </r>
    <r>
      <rPr>
        <vertAlign val="subscript"/>
        <sz val="12"/>
        <rFont val="Arial"/>
        <family val="2"/>
      </rPr>
      <t>fimax</t>
    </r>
  </si>
  <si>
    <r>
      <rPr>
        <sz val="12"/>
        <rFont val="楷体_GB2312"/>
        <charset val="134"/>
      </rPr>
      <t>被包容件</t>
    </r>
    <r>
      <rPr>
        <sz val="12"/>
        <rFont val="Arial"/>
        <family val="2"/>
      </rPr>
      <t>:P</t>
    </r>
    <r>
      <rPr>
        <vertAlign val="subscript"/>
        <sz val="12"/>
        <rFont val="Arial"/>
        <family val="2"/>
      </rPr>
      <t>fimax</t>
    </r>
    <r>
      <rPr>
        <sz val="12"/>
        <rFont val="Arial"/>
        <family val="2"/>
      </rPr>
      <t>=c*σ</t>
    </r>
    <r>
      <rPr>
        <vertAlign val="subscript"/>
        <sz val="12"/>
        <rFont val="Arial"/>
        <family val="2"/>
      </rPr>
      <t>si</t>
    </r>
  </si>
  <si>
    <r>
      <rPr>
        <sz val="12"/>
        <rFont val="Arial"/>
        <family val="2"/>
      </rPr>
      <t>P</t>
    </r>
    <r>
      <rPr>
        <vertAlign val="subscript"/>
        <sz val="12"/>
        <rFont val="Arial"/>
        <family val="2"/>
      </rPr>
      <t>fmax</t>
    </r>
  </si>
  <si>
    <r>
      <rPr>
        <sz val="12"/>
        <rFont val="楷体_GB2312"/>
        <charset val="134"/>
      </rPr>
      <t>被联结件</t>
    </r>
    <r>
      <rPr>
        <sz val="12"/>
        <rFont val="Arial"/>
        <family val="2"/>
      </rPr>
      <t>:</t>
    </r>
    <r>
      <rPr>
        <sz val="12"/>
        <rFont val="楷体_GB2312"/>
        <charset val="134"/>
      </rPr>
      <t>取</t>
    </r>
    <r>
      <rPr>
        <sz val="12"/>
        <rFont val="Arial"/>
        <family val="2"/>
      </rPr>
      <t>P</t>
    </r>
    <r>
      <rPr>
        <vertAlign val="subscript"/>
        <sz val="12"/>
        <rFont val="Arial"/>
        <family val="2"/>
      </rPr>
      <t>famax</t>
    </r>
    <r>
      <rPr>
        <sz val="12"/>
        <rFont val="楷体_GB2312"/>
        <charset val="134"/>
      </rPr>
      <t>和</t>
    </r>
    <r>
      <rPr>
        <sz val="12"/>
        <rFont val="Arial"/>
        <family val="2"/>
      </rPr>
      <t>P</t>
    </r>
    <r>
      <rPr>
        <vertAlign val="subscript"/>
        <sz val="12"/>
        <rFont val="Arial"/>
        <family val="2"/>
      </rPr>
      <t>fimax</t>
    </r>
    <r>
      <rPr>
        <sz val="12"/>
        <rFont val="楷体_GB2312"/>
        <charset val="134"/>
      </rPr>
      <t>较小的值</t>
    </r>
  </si>
  <si>
    <r>
      <rPr>
        <sz val="12"/>
        <rFont val="Arial"/>
        <family val="2"/>
      </rPr>
      <t>F</t>
    </r>
    <r>
      <rPr>
        <vertAlign val="subscript"/>
        <sz val="12"/>
        <rFont val="Arial"/>
        <family val="2"/>
      </rPr>
      <t>t</t>
    </r>
  </si>
  <si>
    <r>
      <rPr>
        <sz val="12"/>
        <rFont val="楷体_GB2312"/>
        <charset val="134"/>
      </rPr>
      <t>不产生塑性变形所允许的最大传递力</t>
    </r>
  </si>
  <si>
    <r>
      <rPr>
        <sz val="12"/>
        <rFont val="Arial"/>
        <family val="2"/>
      </rPr>
      <t>F</t>
    </r>
    <r>
      <rPr>
        <vertAlign val="subscript"/>
        <sz val="12"/>
        <rFont val="Arial"/>
        <family val="2"/>
      </rPr>
      <t>t</t>
    </r>
    <r>
      <rPr>
        <sz val="12"/>
        <rFont val="Arial"/>
        <family val="2"/>
      </rPr>
      <t>=P</t>
    </r>
    <r>
      <rPr>
        <vertAlign val="subscript"/>
        <sz val="12"/>
        <rFont val="Arial"/>
        <family val="2"/>
      </rPr>
      <t>fmax</t>
    </r>
    <r>
      <rPr>
        <sz val="12"/>
        <rFont val="Arial"/>
        <family val="2"/>
      </rPr>
      <t>πd</t>
    </r>
    <r>
      <rPr>
        <vertAlign val="subscript"/>
        <sz val="12"/>
        <rFont val="Arial"/>
        <family val="2"/>
      </rPr>
      <t>f</t>
    </r>
    <r>
      <rPr>
        <sz val="12"/>
        <rFont val="Arial"/>
        <family val="2"/>
      </rPr>
      <t>l</t>
    </r>
    <r>
      <rPr>
        <vertAlign val="subscript"/>
        <sz val="12"/>
        <rFont val="Arial"/>
        <family val="2"/>
      </rPr>
      <t>f</t>
    </r>
    <r>
      <rPr>
        <sz val="12"/>
        <rFont val="Arial"/>
        <family val="2"/>
      </rPr>
      <t>μ</t>
    </r>
  </si>
  <si>
    <r>
      <rPr>
        <sz val="12"/>
        <rFont val="Arial"/>
        <family val="2"/>
      </rPr>
      <t>e</t>
    </r>
    <r>
      <rPr>
        <vertAlign val="subscript"/>
        <sz val="12"/>
        <rFont val="Arial"/>
        <family val="2"/>
      </rPr>
      <t>amax</t>
    </r>
  </si>
  <si>
    <r>
      <rPr>
        <sz val="12"/>
        <rFont val="楷体_GB2312"/>
        <charset val="134"/>
      </rPr>
      <t>不产生塑性变形允许的最大直径变化量</t>
    </r>
    <r>
      <rPr>
        <sz val="12"/>
        <rFont val="Arial"/>
        <family val="2"/>
      </rPr>
      <t>(</t>
    </r>
    <r>
      <rPr>
        <sz val="12"/>
        <rFont val="楷体_GB2312"/>
        <charset val="134"/>
      </rPr>
      <t>包容件</t>
    </r>
    <r>
      <rPr>
        <sz val="12"/>
        <rFont val="Arial"/>
        <family val="2"/>
      </rPr>
      <t>)</t>
    </r>
  </si>
  <si>
    <r>
      <rPr>
        <sz val="12"/>
        <rFont val="Arial"/>
        <family val="2"/>
      </rPr>
      <t>e</t>
    </r>
    <r>
      <rPr>
        <vertAlign val="subscript"/>
        <sz val="12"/>
        <rFont val="Arial"/>
        <family val="2"/>
      </rPr>
      <t>amax</t>
    </r>
    <r>
      <rPr>
        <sz val="12"/>
        <rFont val="Arial"/>
        <family val="2"/>
      </rPr>
      <t>=P</t>
    </r>
    <r>
      <rPr>
        <vertAlign val="subscript"/>
        <sz val="12"/>
        <rFont val="Arial"/>
        <family val="2"/>
      </rPr>
      <t>fmax</t>
    </r>
    <r>
      <rPr>
        <sz val="12"/>
        <rFont val="Arial"/>
        <family val="2"/>
      </rPr>
      <t>dfC</t>
    </r>
    <r>
      <rPr>
        <vertAlign val="subscript"/>
        <sz val="12"/>
        <rFont val="Arial"/>
        <family val="2"/>
      </rPr>
      <t>a</t>
    </r>
    <r>
      <rPr>
        <sz val="12"/>
        <rFont val="Arial"/>
        <family val="2"/>
      </rPr>
      <t>/E</t>
    </r>
    <r>
      <rPr>
        <vertAlign val="subscript"/>
        <sz val="12"/>
        <rFont val="Arial"/>
        <family val="2"/>
      </rPr>
      <t>a</t>
    </r>
  </si>
  <si>
    <r>
      <rPr>
        <sz val="12"/>
        <rFont val="Arial"/>
        <family val="2"/>
      </rPr>
      <t>e</t>
    </r>
    <r>
      <rPr>
        <vertAlign val="subscript"/>
        <sz val="12"/>
        <rFont val="Arial"/>
        <family val="2"/>
      </rPr>
      <t>imax</t>
    </r>
  </si>
  <si>
    <r>
      <rPr>
        <sz val="12"/>
        <rFont val="楷体_GB2312"/>
        <charset val="134"/>
      </rPr>
      <t>不产生塑性变形允许的最大直径变化量</t>
    </r>
    <r>
      <rPr>
        <sz val="12"/>
        <rFont val="Arial"/>
        <family val="2"/>
      </rPr>
      <t>(</t>
    </r>
    <r>
      <rPr>
        <sz val="12"/>
        <rFont val="楷体_GB2312"/>
        <charset val="134"/>
      </rPr>
      <t>被包容件</t>
    </r>
    <r>
      <rPr>
        <sz val="12"/>
        <rFont val="Arial"/>
        <family val="2"/>
      </rPr>
      <t>)</t>
    </r>
  </si>
  <si>
    <r>
      <rPr>
        <sz val="12"/>
        <rFont val="Arial"/>
        <family val="2"/>
      </rPr>
      <t>e</t>
    </r>
    <r>
      <rPr>
        <vertAlign val="subscript"/>
        <sz val="12"/>
        <rFont val="Arial"/>
        <family val="2"/>
      </rPr>
      <t>imax</t>
    </r>
    <r>
      <rPr>
        <sz val="12"/>
        <rFont val="Arial"/>
        <family val="2"/>
      </rPr>
      <t>=P</t>
    </r>
    <r>
      <rPr>
        <vertAlign val="subscript"/>
        <sz val="12"/>
        <rFont val="Arial"/>
        <family val="2"/>
      </rPr>
      <t>fmax</t>
    </r>
    <r>
      <rPr>
        <sz val="12"/>
        <rFont val="Arial"/>
        <family val="2"/>
      </rPr>
      <t>dfC</t>
    </r>
    <r>
      <rPr>
        <vertAlign val="subscript"/>
        <sz val="12"/>
        <rFont val="Arial"/>
        <family val="2"/>
      </rPr>
      <t>i</t>
    </r>
    <r>
      <rPr>
        <sz val="12"/>
        <rFont val="Arial"/>
        <family val="2"/>
      </rPr>
      <t>/E</t>
    </r>
    <r>
      <rPr>
        <vertAlign val="subscript"/>
        <sz val="12"/>
        <rFont val="Arial"/>
        <family val="2"/>
      </rPr>
      <t>i</t>
    </r>
  </si>
  <si>
    <r>
      <rPr>
        <sz val="12"/>
        <rFont val="Arial"/>
        <family val="2"/>
      </rPr>
      <t>δ</t>
    </r>
    <r>
      <rPr>
        <vertAlign val="subscript"/>
        <sz val="12"/>
        <rFont val="Arial"/>
        <family val="2"/>
      </rPr>
      <t>emax</t>
    </r>
  </si>
  <si>
    <r>
      <rPr>
        <sz val="12"/>
        <rFont val="楷体_GB2312"/>
        <charset val="134"/>
      </rPr>
      <t>被联结件不产生塑性变形允许的最大有效过盈量</t>
    </r>
  </si>
  <si>
    <r>
      <rPr>
        <sz val="12"/>
        <rFont val="Arial"/>
        <family val="2"/>
      </rPr>
      <t>δ</t>
    </r>
    <r>
      <rPr>
        <vertAlign val="subscript"/>
        <sz val="12"/>
        <rFont val="Arial"/>
        <family val="2"/>
      </rPr>
      <t>emax</t>
    </r>
    <r>
      <rPr>
        <sz val="12"/>
        <rFont val="Arial"/>
        <family val="2"/>
      </rPr>
      <t>=e</t>
    </r>
    <r>
      <rPr>
        <vertAlign val="subscript"/>
        <sz val="12"/>
        <rFont val="Arial"/>
        <family val="2"/>
      </rPr>
      <t>amax</t>
    </r>
    <r>
      <rPr>
        <sz val="12"/>
        <rFont val="Arial"/>
        <family val="2"/>
      </rPr>
      <t>+e</t>
    </r>
    <r>
      <rPr>
        <vertAlign val="subscript"/>
        <sz val="12"/>
        <rFont val="Arial"/>
        <family val="2"/>
      </rPr>
      <t>imax</t>
    </r>
  </si>
  <si>
    <r>
      <rPr>
        <sz val="12"/>
        <rFont val="Arial"/>
        <family val="2"/>
      </rPr>
      <t>[δ</t>
    </r>
    <r>
      <rPr>
        <vertAlign val="subscript"/>
        <sz val="12"/>
        <rFont val="Arial"/>
        <family val="2"/>
      </rPr>
      <t>min</t>
    </r>
    <r>
      <rPr>
        <sz val="12"/>
        <rFont val="Arial"/>
        <family val="2"/>
      </rPr>
      <t>]</t>
    </r>
  </si>
  <si>
    <r>
      <rPr>
        <sz val="12"/>
        <rFont val="楷体_GB2312"/>
        <charset val="134"/>
      </rPr>
      <t>选择配合的要求</t>
    </r>
  </si>
  <si>
    <r>
      <rPr>
        <sz val="12"/>
        <rFont val="Arial"/>
        <family val="2"/>
      </rPr>
      <t>[δ</t>
    </r>
    <r>
      <rPr>
        <vertAlign val="subscript"/>
        <sz val="12"/>
        <rFont val="Arial"/>
        <family val="2"/>
      </rPr>
      <t>min</t>
    </r>
    <r>
      <rPr>
        <sz val="12"/>
        <rFont val="Arial"/>
        <family val="2"/>
      </rPr>
      <t>]</t>
    </r>
    <r>
      <rPr>
        <sz val="12"/>
        <rFont val="楷体_GB2312"/>
        <charset val="134"/>
      </rPr>
      <t>＞</t>
    </r>
    <r>
      <rPr>
        <sz val="12"/>
        <rFont val="Arial"/>
        <family val="2"/>
      </rPr>
      <t>δ</t>
    </r>
    <r>
      <rPr>
        <vertAlign val="subscript"/>
        <sz val="12"/>
        <rFont val="Arial"/>
        <family val="2"/>
      </rPr>
      <t>emin</t>
    </r>
  </si>
  <si>
    <r>
      <rPr>
        <sz val="12"/>
        <rFont val="Arial"/>
        <family val="2"/>
      </rPr>
      <t>[δ</t>
    </r>
    <r>
      <rPr>
        <vertAlign val="subscript"/>
        <sz val="12"/>
        <rFont val="Arial"/>
        <family val="2"/>
      </rPr>
      <t>max</t>
    </r>
    <r>
      <rPr>
        <sz val="12"/>
        <rFont val="Arial"/>
        <family val="2"/>
      </rPr>
      <t>]</t>
    </r>
  </si>
  <si>
    <r>
      <rPr>
        <sz val="12"/>
        <rFont val="Arial"/>
        <family val="2"/>
      </rPr>
      <t>[δ</t>
    </r>
    <r>
      <rPr>
        <vertAlign val="subscript"/>
        <sz val="12"/>
        <rFont val="Arial"/>
        <family val="2"/>
      </rPr>
      <t>max</t>
    </r>
    <r>
      <rPr>
        <sz val="12"/>
        <rFont val="Arial"/>
        <family val="2"/>
      </rPr>
      <t>]</t>
    </r>
    <r>
      <rPr>
        <sz val="12"/>
        <rFont val="楷体_GB2312"/>
        <charset val="134"/>
      </rPr>
      <t>≤</t>
    </r>
    <r>
      <rPr>
        <sz val="12"/>
        <rFont val="Arial"/>
        <family val="2"/>
      </rPr>
      <t>δ</t>
    </r>
    <r>
      <rPr>
        <vertAlign val="subscript"/>
        <sz val="12"/>
        <rFont val="Arial"/>
        <family val="2"/>
      </rPr>
      <t>emax</t>
    </r>
  </si>
  <si>
    <r>
      <rPr>
        <sz val="12"/>
        <rFont val="Arial"/>
        <family val="2"/>
      </rPr>
      <t>δ</t>
    </r>
    <r>
      <rPr>
        <vertAlign val="subscript"/>
        <sz val="12"/>
        <rFont val="Arial"/>
        <family val="2"/>
      </rPr>
      <t>b</t>
    </r>
  </si>
  <si>
    <r>
      <rPr>
        <sz val="12"/>
        <rFont val="楷体_GB2312"/>
        <charset val="134"/>
      </rPr>
      <t>初选基本过盈量</t>
    </r>
  </si>
  <si>
    <r>
      <rPr>
        <sz val="12"/>
        <rFont val="Arial"/>
        <family val="2"/>
      </rPr>
      <t>δ</t>
    </r>
    <r>
      <rPr>
        <vertAlign val="subscript"/>
        <sz val="12"/>
        <rFont val="Arial"/>
        <family val="2"/>
      </rPr>
      <t>b</t>
    </r>
    <r>
      <rPr>
        <sz val="12"/>
        <rFont val="Arial"/>
        <family val="2"/>
      </rPr>
      <t>=(δ</t>
    </r>
    <r>
      <rPr>
        <vertAlign val="subscript"/>
        <sz val="12"/>
        <rFont val="Arial"/>
        <family val="2"/>
      </rPr>
      <t>emin</t>
    </r>
    <r>
      <rPr>
        <sz val="12"/>
        <rFont val="Arial"/>
        <family val="2"/>
      </rPr>
      <t>+δ</t>
    </r>
    <r>
      <rPr>
        <vertAlign val="subscript"/>
        <sz val="12"/>
        <rFont val="Arial"/>
        <family val="2"/>
      </rPr>
      <t>emin</t>
    </r>
    <r>
      <rPr>
        <sz val="12"/>
        <rFont val="Arial"/>
        <family val="2"/>
      </rPr>
      <t>)/2</t>
    </r>
  </si>
  <si>
    <r>
      <rPr>
        <sz val="12"/>
        <rFont val="楷体_GB2312"/>
        <charset val="134"/>
      </rPr>
      <t>初选基本偏差代号</t>
    </r>
  </si>
  <si>
    <r>
      <rPr>
        <sz val="12"/>
        <rFont val="楷体_GB2312"/>
        <charset val="134"/>
      </rPr>
      <t>机械手册Ⅱ图</t>
    </r>
    <r>
      <rPr>
        <sz val="12"/>
        <rFont val="Arial"/>
        <family val="2"/>
      </rPr>
      <t>5-4-7</t>
    </r>
  </si>
  <si>
    <r>
      <rPr>
        <sz val="12"/>
        <rFont val="楷体_GB2312"/>
        <charset val="134"/>
      </rPr>
      <t>确定公差等级</t>
    </r>
  </si>
  <si>
    <r>
      <rPr>
        <sz val="12"/>
        <rFont val="楷体_GB2312"/>
        <charset val="134"/>
      </rPr>
      <t>孔</t>
    </r>
    <r>
      <rPr>
        <sz val="12"/>
        <rFont val="Arial"/>
        <family val="2"/>
      </rPr>
      <t>:IT7,</t>
    </r>
    <r>
      <rPr>
        <sz val="12"/>
        <rFont val="楷体_GB2312"/>
        <charset val="134"/>
      </rPr>
      <t>轴</t>
    </r>
    <r>
      <rPr>
        <sz val="12"/>
        <rFont val="Arial"/>
        <family val="2"/>
      </rPr>
      <t>:IT6</t>
    </r>
  </si>
  <si>
    <r>
      <rPr>
        <sz val="12"/>
        <rFont val="楷体_GB2312"/>
        <charset val="134"/>
      </rPr>
      <t>要求较多的联结强度储备</t>
    </r>
  </si>
  <si>
    <r>
      <rPr>
        <sz val="12"/>
        <rFont val="Arial"/>
        <family val="2"/>
      </rPr>
      <t>(δ</t>
    </r>
    <r>
      <rPr>
        <vertAlign val="subscript"/>
        <sz val="12"/>
        <rFont val="Arial"/>
        <family val="2"/>
      </rPr>
      <t>emin</t>
    </r>
    <r>
      <rPr>
        <sz val="12"/>
        <rFont val="Arial"/>
        <family val="2"/>
      </rPr>
      <t>+δ</t>
    </r>
    <r>
      <rPr>
        <vertAlign val="subscript"/>
        <sz val="12"/>
        <rFont val="Arial"/>
        <family val="2"/>
      </rPr>
      <t>emin</t>
    </r>
    <r>
      <rPr>
        <sz val="12"/>
        <rFont val="Arial"/>
        <family val="2"/>
      </rPr>
      <t>)/2</t>
    </r>
    <r>
      <rPr>
        <sz val="12"/>
        <rFont val="楷体_GB2312"/>
        <charset val="134"/>
      </rPr>
      <t>＜</t>
    </r>
    <r>
      <rPr>
        <sz val="12"/>
        <rFont val="Arial"/>
        <family val="2"/>
      </rPr>
      <t>δ</t>
    </r>
    <r>
      <rPr>
        <vertAlign val="subscript"/>
        <sz val="12"/>
        <rFont val="Arial"/>
        <family val="2"/>
      </rPr>
      <t>b</t>
    </r>
    <r>
      <rPr>
        <sz val="12"/>
        <rFont val="楷体_GB2312"/>
        <charset val="134"/>
      </rPr>
      <t>＜</t>
    </r>
    <r>
      <rPr>
        <sz val="12"/>
        <rFont val="Arial"/>
        <family val="2"/>
      </rPr>
      <t>δ</t>
    </r>
    <r>
      <rPr>
        <vertAlign val="subscript"/>
        <sz val="12"/>
        <rFont val="Arial"/>
        <family val="2"/>
      </rPr>
      <t>emax</t>
    </r>
  </si>
  <si>
    <r>
      <rPr>
        <sz val="12"/>
        <rFont val="楷体_GB2312"/>
        <charset val="134"/>
      </rPr>
      <t>选用基本偏差代号</t>
    </r>
    <r>
      <rPr>
        <sz val="12"/>
        <rFont val="Arial"/>
        <family val="2"/>
      </rPr>
      <t>:"u"</t>
    </r>
  </si>
  <si>
    <r>
      <rPr>
        <sz val="12"/>
        <rFont val="Arial"/>
        <family val="2"/>
      </rPr>
      <t>u</t>
    </r>
    <r>
      <rPr>
        <sz val="12"/>
        <rFont val="楷体_GB2312"/>
        <charset val="134"/>
      </rPr>
      <t>的基本偏差</t>
    </r>
  </si>
  <si>
    <r>
      <rPr>
        <sz val="12"/>
        <rFont val="楷体_GB2312"/>
        <charset val="134"/>
      </rPr>
      <t>机械手册Ⅰ表</t>
    </r>
    <r>
      <rPr>
        <sz val="12"/>
        <rFont val="Arial"/>
        <family val="2"/>
      </rPr>
      <t>2-2-39</t>
    </r>
  </si>
  <si>
    <r>
      <rPr>
        <sz val="12"/>
        <rFont val="Arial"/>
        <family val="2"/>
      </rPr>
      <t>[δ</t>
    </r>
    <r>
      <rPr>
        <vertAlign val="subscript"/>
        <sz val="12"/>
        <rFont val="Arial"/>
        <family val="2"/>
      </rPr>
      <t>min</t>
    </r>
    <r>
      <rPr>
        <sz val="12"/>
        <rFont val="Arial"/>
        <family val="2"/>
      </rPr>
      <t>]=ω-IT7</t>
    </r>
    <r>
      <rPr>
        <sz val="12"/>
        <rFont val="楷体_GB2312"/>
        <charset val="134"/>
      </rPr>
      <t>＞δemin</t>
    </r>
  </si>
  <si>
    <r>
      <rPr>
        <sz val="12"/>
        <rFont val="楷体_GB2312"/>
        <charset val="134"/>
      </rPr>
      <t>＞</t>
    </r>
    <r>
      <rPr>
        <sz val="12"/>
        <rFont val="Arial"/>
        <family val="2"/>
      </rPr>
      <t>0.0171</t>
    </r>
  </si>
  <si>
    <r>
      <rPr>
        <sz val="12"/>
        <rFont val="Arial"/>
        <family val="2"/>
      </rPr>
      <t>[δ</t>
    </r>
    <r>
      <rPr>
        <vertAlign val="subscript"/>
        <sz val="12"/>
        <rFont val="Arial"/>
        <family val="2"/>
      </rPr>
      <t>max</t>
    </r>
    <r>
      <rPr>
        <sz val="12"/>
        <rFont val="Arial"/>
        <family val="2"/>
      </rPr>
      <t>]=ω+IT6</t>
    </r>
    <r>
      <rPr>
        <sz val="12"/>
        <rFont val="楷体_GB2312"/>
        <charset val="134"/>
      </rPr>
      <t>≤</t>
    </r>
    <r>
      <rPr>
        <sz val="12"/>
        <rFont val="Arial"/>
        <family val="2"/>
      </rPr>
      <t>δ</t>
    </r>
    <r>
      <rPr>
        <vertAlign val="subscript"/>
        <sz val="12"/>
        <rFont val="Arial"/>
        <family val="2"/>
      </rPr>
      <t>emax</t>
    </r>
  </si>
  <si>
    <r>
      <rPr>
        <sz val="12"/>
        <rFont val="楷体_GB2312"/>
        <charset val="134"/>
      </rPr>
      <t>＜</t>
    </r>
    <r>
      <rPr>
        <sz val="12"/>
        <rFont val="Arial"/>
        <family val="2"/>
      </rPr>
      <t>0.157</t>
    </r>
  </si>
  <si>
    <t>选用配合:H7/u6</t>
  </si>
  <si>
    <r>
      <rPr>
        <sz val="11"/>
        <color indexed="8"/>
        <rFont val="Arial"/>
        <family val="2"/>
      </rPr>
      <t>K</t>
    </r>
    <r>
      <rPr>
        <vertAlign val="subscript"/>
        <sz val="11"/>
        <color indexed="8"/>
        <rFont val="Arial"/>
        <family val="2"/>
      </rPr>
      <t>A</t>
    </r>
  </si>
  <si>
    <r>
      <rPr>
        <sz val="11"/>
        <color indexed="8"/>
        <rFont val="Arial"/>
        <family val="2"/>
      </rPr>
      <t>K</t>
    </r>
    <r>
      <rPr>
        <vertAlign val="subscript"/>
        <sz val="11"/>
        <color indexed="8"/>
        <rFont val="Arial"/>
        <family val="2"/>
      </rPr>
      <t>S</t>
    </r>
  </si>
  <si>
    <t>输入功率</t>
  </si>
  <si>
    <t>kW</t>
  </si>
  <si>
    <t>输入转速</t>
  </si>
  <si>
    <r>
      <rPr>
        <sz val="11"/>
        <color indexed="8"/>
        <rFont val="Arial"/>
        <family val="2"/>
      </rPr>
      <t>r</t>
    </r>
    <r>
      <rPr>
        <sz val="11"/>
        <color indexed="8"/>
        <rFont val="Arial"/>
        <family val="2"/>
      </rPr>
      <t>/min</t>
    </r>
  </si>
  <si>
    <r>
      <rPr>
        <sz val="11"/>
        <color indexed="8"/>
        <rFont val="Arial"/>
        <family val="2"/>
      </rPr>
      <t>P</t>
    </r>
    <r>
      <rPr>
        <vertAlign val="subscript"/>
        <sz val="11"/>
        <color indexed="8"/>
        <rFont val="Arial"/>
        <family val="2"/>
      </rPr>
      <t>2m</t>
    </r>
  </si>
  <si>
    <t>计算功率</t>
  </si>
  <si>
    <r>
      <rPr>
        <sz val="11"/>
        <color indexed="8"/>
        <rFont val="Arial"/>
        <family val="2"/>
      </rPr>
      <t>P</t>
    </r>
    <r>
      <rPr>
        <vertAlign val="subscript"/>
        <sz val="11"/>
        <color indexed="8"/>
        <rFont val="Arial"/>
        <family val="2"/>
      </rPr>
      <t>2m</t>
    </r>
    <r>
      <rPr>
        <sz val="11"/>
        <color indexed="8"/>
        <rFont val="Arial"/>
        <family val="2"/>
      </rPr>
      <t>=P×K</t>
    </r>
    <r>
      <rPr>
        <vertAlign val="subscript"/>
        <sz val="11"/>
        <color indexed="8"/>
        <rFont val="Arial"/>
        <family val="2"/>
      </rPr>
      <t>A</t>
    </r>
    <r>
      <rPr>
        <sz val="11"/>
        <color indexed="8"/>
        <rFont val="Arial"/>
        <family val="2"/>
      </rPr>
      <t>×K</t>
    </r>
    <r>
      <rPr>
        <vertAlign val="subscript"/>
        <sz val="11"/>
        <color indexed="8"/>
        <rFont val="Arial"/>
        <family val="2"/>
      </rPr>
      <t>S</t>
    </r>
  </si>
  <si>
    <t>i=N/n</t>
  </si>
  <si>
    <t>公称输入功率</t>
  </si>
  <si>
    <r>
      <rPr>
        <sz val="11"/>
        <color indexed="8"/>
        <rFont val="Arial"/>
        <family val="2"/>
      </rPr>
      <t>P</t>
    </r>
    <r>
      <rPr>
        <vertAlign val="subscript"/>
        <sz val="11"/>
        <color indexed="8"/>
        <rFont val="Arial"/>
        <family val="2"/>
      </rPr>
      <t>2m</t>
    </r>
    <r>
      <rPr>
        <sz val="11"/>
        <color indexed="8"/>
        <rFont val="宋体"/>
        <family val="3"/>
        <charset val="134"/>
      </rPr>
      <t>＜</t>
    </r>
    <r>
      <rPr>
        <sz val="11"/>
        <color indexed="8"/>
        <rFont val="Arial"/>
        <family val="2"/>
      </rPr>
      <t>P</t>
    </r>
    <r>
      <rPr>
        <vertAlign val="subscript"/>
        <sz val="11"/>
        <color indexed="8"/>
        <rFont val="Arial"/>
        <family val="2"/>
      </rPr>
      <t>1</t>
    </r>
  </si>
  <si>
    <r>
      <rPr>
        <sz val="11"/>
        <color indexed="8"/>
        <rFont val="楷体_GB2312"/>
        <charset val="134"/>
      </rPr>
      <t>查表得</t>
    </r>
    <r>
      <rPr>
        <sz val="11"/>
        <color indexed="8"/>
        <rFont val="Arial"/>
        <family val="2"/>
      </rPr>
      <t>ZSY500</t>
    </r>
  </si>
  <si>
    <r>
      <rPr>
        <sz val="11"/>
        <color indexed="8"/>
        <rFont val="Arial"/>
        <family val="2"/>
      </rPr>
      <t>N</t>
    </r>
    <r>
      <rPr>
        <sz val="11"/>
        <color indexed="8"/>
        <rFont val="Arial"/>
        <family val="2"/>
      </rPr>
      <t>m</t>
    </r>
  </si>
  <si>
    <t>公式/出处</t>
  </si>
  <si>
    <t>结果</t>
  </si>
  <si>
    <t>一</t>
  </si>
  <si>
    <t>已知</t>
  </si>
  <si>
    <r>
      <rPr>
        <sz val="12"/>
        <rFont val="Arial"/>
        <family val="2"/>
      </rPr>
      <t>n</t>
    </r>
    <r>
      <rPr>
        <sz val="8"/>
        <rFont val="Arial"/>
        <family val="2"/>
      </rPr>
      <t>1</t>
    </r>
  </si>
  <si>
    <r>
      <rPr>
        <sz val="12"/>
        <rFont val="楷体_GB2312"/>
        <charset val="134"/>
      </rPr>
      <t>链轮</t>
    </r>
    <r>
      <rPr>
        <sz val="12"/>
        <rFont val="Arial"/>
        <family val="2"/>
      </rPr>
      <t>1</t>
    </r>
    <r>
      <rPr>
        <sz val="12"/>
        <rFont val="楷体_GB2312"/>
        <charset val="134"/>
      </rPr>
      <t>转速</t>
    </r>
  </si>
  <si>
    <r>
      <rPr>
        <sz val="12"/>
        <rFont val="Arial"/>
        <family val="2"/>
      </rPr>
      <t>n</t>
    </r>
    <r>
      <rPr>
        <sz val="8"/>
        <rFont val="Arial"/>
        <family val="2"/>
      </rPr>
      <t>2</t>
    </r>
  </si>
  <si>
    <r>
      <rPr>
        <sz val="12"/>
        <rFont val="楷体_GB2312"/>
        <charset val="134"/>
      </rPr>
      <t>链轮</t>
    </r>
    <r>
      <rPr>
        <sz val="12"/>
        <rFont val="Arial"/>
        <family val="2"/>
      </rPr>
      <t>2</t>
    </r>
    <r>
      <rPr>
        <sz val="12"/>
        <rFont val="楷体_GB2312"/>
        <charset val="134"/>
      </rPr>
      <t>转速</t>
    </r>
  </si>
  <si>
    <r>
      <rPr>
        <sz val="12"/>
        <rFont val="楷体_GB2312"/>
        <charset val="134"/>
      </rPr>
      <t>传动比</t>
    </r>
  </si>
  <si>
    <r>
      <rPr>
        <sz val="12"/>
        <rFont val="Arial"/>
        <family val="2"/>
      </rPr>
      <t>i=n</t>
    </r>
    <r>
      <rPr>
        <sz val="8"/>
        <rFont val="Arial"/>
        <family val="2"/>
      </rPr>
      <t>1</t>
    </r>
    <r>
      <rPr>
        <sz val="12"/>
        <rFont val="Arial"/>
        <family val="2"/>
      </rPr>
      <t>/n</t>
    </r>
    <r>
      <rPr>
        <sz val="8"/>
        <rFont val="Arial"/>
        <family val="2"/>
      </rPr>
      <t>2</t>
    </r>
  </si>
  <si>
    <r>
      <rPr>
        <sz val="12"/>
        <rFont val="Arial"/>
        <family val="2"/>
      </rPr>
      <t>z</t>
    </r>
    <r>
      <rPr>
        <sz val="8"/>
        <rFont val="Arial"/>
        <family val="2"/>
      </rPr>
      <t>1</t>
    </r>
  </si>
  <si>
    <r>
      <rPr>
        <sz val="12"/>
        <rFont val="楷体_GB2312"/>
        <charset val="134"/>
      </rPr>
      <t>链轮</t>
    </r>
    <r>
      <rPr>
        <sz val="12"/>
        <rFont val="Arial"/>
        <family val="2"/>
      </rPr>
      <t>1</t>
    </r>
    <r>
      <rPr>
        <sz val="12"/>
        <rFont val="楷体_GB2312"/>
        <charset val="134"/>
      </rPr>
      <t>齿数</t>
    </r>
  </si>
  <si>
    <r>
      <rPr>
        <sz val="12"/>
        <rFont val="Arial"/>
        <family val="2"/>
      </rPr>
      <t>z</t>
    </r>
    <r>
      <rPr>
        <sz val="8"/>
        <rFont val="Arial"/>
        <family val="2"/>
      </rPr>
      <t>2</t>
    </r>
  </si>
  <si>
    <r>
      <rPr>
        <sz val="12"/>
        <rFont val="楷体_GB2312"/>
        <charset val="134"/>
      </rPr>
      <t>链轮</t>
    </r>
    <r>
      <rPr>
        <sz val="12"/>
        <rFont val="Arial"/>
        <family val="2"/>
      </rPr>
      <t>2</t>
    </r>
    <r>
      <rPr>
        <sz val="12"/>
        <rFont val="楷体_GB2312"/>
        <charset val="134"/>
      </rPr>
      <t>齿数</t>
    </r>
  </si>
  <si>
    <r>
      <rPr>
        <sz val="12"/>
        <rFont val="Arial"/>
        <family val="2"/>
      </rPr>
      <t>z</t>
    </r>
    <r>
      <rPr>
        <sz val="8"/>
        <rFont val="Arial"/>
        <family val="2"/>
      </rPr>
      <t>2</t>
    </r>
    <r>
      <rPr>
        <sz val="12"/>
        <rFont val="Arial"/>
        <family val="2"/>
      </rPr>
      <t>=i*z</t>
    </r>
    <r>
      <rPr>
        <sz val="8"/>
        <rFont val="Arial"/>
        <family val="2"/>
      </rPr>
      <t>1</t>
    </r>
  </si>
  <si>
    <r>
      <rPr>
        <sz val="12"/>
        <rFont val="楷体_GB2312"/>
        <charset val="134"/>
      </rPr>
      <t>传递功率</t>
    </r>
  </si>
  <si>
    <r>
      <rPr>
        <sz val="12"/>
        <rFont val="Arial"/>
        <family val="2"/>
      </rPr>
      <t>K</t>
    </r>
    <r>
      <rPr>
        <vertAlign val="subscript"/>
        <sz val="12"/>
        <rFont val="Arial"/>
        <family val="2"/>
      </rPr>
      <t>A</t>
    </r>
  </si>
  <si>
    <r>
      <rPr>
        <sz val="12"/>
        <rFont val="楷体_GB2312"/>
        <charset val="134"/>
      </rPr>
      <t>共况系数</t>
    </r>
  </si>
  <si>
    <r>
      <rPr>
        <sz val="12"/>
        <rFont val="楷体_GB2312"/>
        <charset val="134"/>
      </rPr>
      <t>机械Ⅲ表</t>
    </r>
    <r>
      <rPr>
        <sz val="12"/>
        <rFont val="Arial"/>
        <family val="2"/>
      </rPr>
      <t>13-2-3</t>
    </r>
  </si>
  <si>
    <r>
      <rPr>
        <sz val="12"/>
        <rFont val="Arial"/>
        <family val="2"/>
      </rPr>
      <t>P</t>
    </r>
    <r>
      <rPr>
        <sz val="8"/>
        <rFont val="Arial"/>
        <family val="2"/>
      </rPr>
      <t>d</t>
    </r>
  </si>
  <si>
    <r>
      <rPr>
        <sz val="12"/>
        <rFont val="楷体_GB2312"/>
        <charset val="134"/>
      </rPr>
      <t>设计功率</t>
    </r>
  </si>
  <si>
    <r>
      <rPr>
        <sz val="12"/>
        <rFont val="Arial"/>
        <family val="2"/>
      </rPr>
      <t>P</t>
    </r>
    <r>
      <rPr>
        <sz val="8"/>
        <rFont val="Arial"/>
        <family val="2"/>
      </rPr>
      <t>d</t>
    </r>
    <r>
      <rPr>
        <sz val="12"/>
        <rFont val="Arial"/>
        <family val="2"/>
      </rPr>
      <t>=K</t>
    </r>
    <r>
      <rPr>
        <vertAlign val="subscript"/>
        <sz val="12"/>
        <rFont val="Arial"/>
        <family val="2"/>
      </rPr>
      <t>A*</t>
    </r>
    <r>
      <rPr>
        <sz val="12"/>
        <rFont val="Arial"/>
        <family val="2"/>
      </rPr>
      <t>P</t>
    </r>
  </si>
  <si>
    <r>
      <rPr>
        <sz val="12"/>
        <rFont val="Arial"/>
        <family val="2"/>
      </rPr>
      <t>K</t>
    </r>
    <r>
      <rPr>
        <sz val="8"/>
        <rFont val="Arial"/>
        <family val="2"/>
      </rPr>
      <t>z'</t>
    </r>
  </si>
  <si>
    <r>
      <rPr>
        <sz val="12"/>
        <rFont val="楷体_GB2312"/>
        <charset val="134"/>
      </rPr>
      <t>链轮齿数系数</t>
    </r>
  </si>
  <si>
    <r>
      <rPr>
        <sz val="12"/>
        <rFont val="楷体_GB2312"/>
        <charset val="134"/>
      </rPr>
      <t>机械Ⅲ表</t>
    </r>
    <r>
      <rPr>
        <sz val="12"/>
        <rFont val="Arial"/>
        <family val="2"/>
      </rPr>
      <t>13-2-4</t>
    </r>
  </si>
  <si>
    <r>
      <rPr>
        <sz val="12"/>
        <rFont val="Arial"/>
        <family val="2"/>
      </rPr>
      <t>K</t>
    </r>
    <r>
      <rPr>
        <sz val="8"/>
        <rFont val="Arial"/>
        <family val="2"/>
      </rPr>
      <t>p</t>
    </r>
  </si>
  <si>
    <r>
      <rPr>
        <sz val="12"/>
        <rFont val="楷体_GB2312"/>
        <charset val="134"/>
      </rPr>
      <t>排数系数</t>
    </r>
  </si>
  <si>
    <r>
      <rPr>
        <sz val="12"/>
        <rFont val="楷体_GB2312"/>
        <charset val="134"/>
      </rPr>
      <t>机械Ⅲ表</t>
    </r>
    <r>
      <rPr>
        <sz val="12"/>
        <rFont val="Arial"/>
        <family val="2"/>
      </rPr>
      <t>13-2-5</t>
    </r>
  </si>
  <si>
    <t>二</t>
  </si>
  <si>
    <r>
      <rPr>
        <sz val="12"/>
        <rFont val="Arial"/>
        <family val="2"/>
      </rPr>
      <t>P</t>
    </r>
    <r>
      <rPr>
        <sz val="8"/>
        <rFont val="Arial"/>
        <family val="2"/>
      </rPr>
      <t>o</t>
    </r>
  </si>
  <si>
    <r>
      <rPr>
        <sz val="12"/>
        <rFont val="楷体_GB2312"/>
        <charset val="134"/>
      </rPr>
      <t>单排链功率</t>
    </r>
  </si>
  <si>
    <r>
      <rPr>
        <sz val="12"/>
        <rFont val="Arial"/>
        <family val="2"/>
      </rPr>
      <t>P</t>
    </r>
    <r>
      <rPr>
        <sz val="8"/>
        <rFont val="Arial"/>
        <family val="2"/>
      </rPr>
      <t>o</t>
    </r>
    <r>
      <rPr>
        <sz val="12"/>
        <rFont val="Arial"/>
        <family val="2"/>
      </rPr>
      <t>=P</t>
    </r>
    <r>
      <rPr>
        <sz val="8"/>
        <rFont val="Arial"/>
        <family val="2"/>
      </rPr>
      <t>d</t>
    </r>
    <r>
      <rPr>
        <sz val="12"/>
        <rFont val="Arial"/>
        <family val="2"/>
      </rPr>
      <t>/</t>
    </r>
    <r>
      <rPr>
        <sz val="12"/>
        <rFont val="楷体_GB2312"/>
        <charset val="134"/>
      </rPr>
      <t>（</t>
    </r>
    <r>
      <rPr>
        <sz val="12"/>
        <rFont val="Arial"/>
        <family val="2"/>
      </rPr>
      <t>K</t>
    </r>
    <r>
      <rPr>
        <sz val="8"/>
        <rFont val="Arial"/>
        <family val="2"/>
      </rPr>
      <t>z</t>
    </r>
    <r>
      <rPr>
        <sz val="12"/>
        <rFont val="Arial"/>
        <family val="2"/>
      </rPr>
      <t>*K</t>
    </r>
    <r>
      <rPr>
        <sz val="8"/>
        <rFont val="Arial"/>
        <family val="2"/>
      </rPr>
      <t>p</t>
    </r>
    <r>
      <rPr>
        <sz val="12"/>
        <rFont val="楷体_GB2312"/>
        <charset val="134"/>
      </rPr>
      <t>）</t>
    </r>
  </si>
  <si>
    <r>
      <rPr>
        <sz val="12"/>
        <rFont val="楷体_GB2312"/>
        <charset val="134"/>
      </rPr>
      <t>链条节距</t>
    </r>
  </si>
  <si>
    <r>
      <rPr>
        <sz val="12"/>
        <rFont val="楷体_GB2312"/>
        <charset val="134"/>
      </rPr>
      <t>机械Ⅲ图</t>
    </r>
    <r>
      <rPr>
        <sz val="12"/>
        <rFont val="Arial"/>
        <family val="2"/>
      </rPr>
      <t>13-2-2</t>
    </r>
  </si>
  <si>
    <r>
      <rPr>
        <sz val="12"/>
        <rFont val="Arial"/>
        <family val="2"/>
      </rPr>
      <t>d</t>
    </r>
    <r>
      <rPr>
        <vertAlign val="subscript"/>
        <sz val="12"/>
        <rFont val="Arial"/>
        <family val="2"/>
      </rPr>
      <t>kmax</t>
    </r>
  </si>
  <si>
    <r>
      <rPr>
        <sz val="12"/>
        <rFont val="楷体_GB2312"/>
        <charset val="134"/>
      </rPr>
      <t>链轮轴孔最大许用直径</t>
    </r>
  </si>
  <si>
    <r>
      <rPr>
        <sz val="12"/>
        <rFont val="楷体_GB2312"/>
        <charset val="134"/>
      </rPr>
      <t>机械Ⅲ表</t>
    </r>
    <r>
      <rPr>
        <sz val="12"/>
        <rFont val="Arial"/>
        <family val="2"/>
      </rPr>
      <t>13-2-6</t>
    </r>
  </si>
  <si>
    <r>
      <rPr>
        <sz val="11"/>
        <rFont val="楷体_GB2312"/>
        <charset val="134"/>
      </rPr>
      <t>因不满足结构需要，增大节距和齿数，</t>
    </r>
    <r>
      <rPr>
        <sz val="11"/>
        <rFont val="Arial"/>
        <family val="2"/>
      </rPr>
      <t>p=25.4</t>
    </r>
    <r>
      <rPr>
        <sz val="11"/>
        <rFont val="宋体"/>
        <family val="3"/>
        <charset val="134"/>
      </rPr>
      <t>，</t>
    </r>
    <r>
      <rPr>
        <sz val="11"/>
        <rFont val="Arial"/>
        <family val="2"/>
      </rPr>
      <t>Z1=z2=29</t>
    </r>
    <r>
      <rPr>
        <sz val="11"/>
        <rFont val="宋体"/>
        <family val="3"/>
        <charset val="134"/>
      </rPr>
      <t>，</t>
    </r>
    <r>
      <rPr>
        <sz val="11"/>
        <rFont val="Arial"/>
        <family val="2"/>
      </rPr>
      <t>dkmax=120mm</t>
    </r>
  </si>
  <si>
    <t>dk</t>
  </si>
  <si>
    <r>
      <rPr>
        <sz val="12"/>
        <rFont val="Arial"/>
        <family val="2"/>
      </rPr>
      <t>dk</t>
    </r>
    <r>
      <rPr>
        <sz val="11"/>
        <color indexed="8"/>
        <rFont val="楷体_GB2312"/>
        <charset val="134"/>
      </rPr>
      <t>≤</t>
    </r>
    <r>
      <rPr>
        <sz val="12"/>
        <rFont val="Arial"/>
        <family val="2"/>
      </rPr>
      <t>dkmax=120</t>
    </r>
  </si>
  <si>
    <r>
      <rPr>
        <sz val="12"/>
        <rFont val="Arial"/>
        <family val="2"/>
      </rPr>
      <t>a</t>
    </r>
    <r>
      <rPr>
        <vertAlign val="subscript"/>
        <sz val="12"/>
        <rFont val="Arial"/>
        <family val="2"/>
      </rPr>
      <t>0</t>
    </r>
  </si>
  <si>
    <t>初定中心距</t>
  </si>
  <si>
    <r>
      <rPr>
        <sz val="12"/>
        <rFont val="Arial"/>
        <family val="2"/>
      </rPr>
      <t>a</t>
    </r>
    <r>
      <rPr>
        <vertAlign val="subscript"/>
        <sz val="12"/>
        <rFont val="Arial"/>
        <family val="2"/>
      </rPr>
      <t>0min=</t>
    </r>
    <r>
      <rPr>
        <sz val="12"/>
        <rFont val="Arial"/>
        <family val="2"/>
      </rPr>
      <t>0.2z</t>
    </r>
    <r>
      <rPr>
        <sz val="8"/>
        <color indexed="8"/>
        <rFont val="Arial"/>
        <family val="2"/>
      </rPr>
      <t>1</t>
    </r>
    <r>
      <rPr>
        <sz val="11"/>
        <color indexed="8"/>
        <rFont val="楷体_GB2312"/>
        <charset val="134"/>
      </rPr>
      <t>（</t>
    </r>
    <r>
      <rPr>
        <sz val="11"/>
        <color indexed="8"/>
        <rFont val="Arial"/>
        <family val="2"/>
      </rPr>
      <t>i+1</t>
    </r>
    <r>
      <rPr>
        <sz val="11"/>
        <color indexed="8"/>
        <rFont val="楷体_GB2312"/>
        <charset val="134"/>
      </rPr>
      <t>）</t>
    </r>
    <r>
      <rPr>
        <sz val="11"/>
        <color indexed="8"/>
        <rFont val="Arial"/>
        <family val="2"/>
      </rPr>
      <t>p</t>
    </r>
  </si>
  <si>
    <r>
      <rPr>
        <sz val="11"/>
        <rFont val="楷体_GB2312"/>
        <charset val="134"/>
      </rPr>
      <t>有张紧装置</t>
    </r>
    <r>
      <rPr>
        <sz val="11"/>
        <rFont val="宋体"/>
        <family val="3"/>
        <charset val="134"/>
      </rPr>
      <t>，</t>
    </r>
    <r>
      <rPr>
        <sz val="11"/>
        <rFont val="Arial"/>
        <family val="2"/>
      </rPr>
      <t>a</t>
    </r>
    <r>
      <rPr>
        <sz val="8"/>
        <rFont val="Arial"/>
        <family val="2"/>
      </rPr>
      <t>0</t>
    </r>
    <r>
      <rPr>
        <sz val="11"/>
        <rFont val="Arial"/>
        <family val="2"/>
      </rPr>
      <t xml:space="preserve">max </t>
    </r>
    <r>
      <rPr>
        <sz val="11"/>
        <rFont val="宋体"/>
        <family val="3"/>
        <charset val="134"/>
      </rPr>
      <t>＞</t>
    </r>
    <r>
      <rPr>
        <sz val="11"/>
        <rFont val="Arial"/>
        <family val="2"/>
      </rPr>
      <t>80p</t>
    </r>
  </si>
  <si>
    <r>
      <rPr>
        <sz val="12"/>
        <rFont val="楷体_GB2312"/>
        <charset val="134"/>
      </rPr>
      <t>选</t>
    </r>
    <r>
      <rPr>
        <sz val="12"/>
        <rFont val="Arial"/>
        <family val="2"/>
      </rPr>
      <t>a</t>
    </r>
    <r>
      <rPr>
        <vertAlign val="subscript"/>
        <sz val="12"/>
        <rFont val="Arial"/>
        <family val="2"/>
      </rPr>
      <t>0</t>
    </r>
  </si>
  <si>
    <r>
      <rPr>
        <sz val="12"/>
        <rFont val="Arial"/>
        <family val="2"/>
      </rPr>
      <t>a</t>
    </r>
    <r>
      <rPr>
        <vertAlign val="subscript"/>
        <sz val="12"/>
        <rFont val="Arial"/>
        <family val="2"/>
      </rPr>
      <t>0p</t>
    </r>
  </si>
  <si>
    <r>
      <rPr>
        <sz val="12"/>
        <rFont val="楷体_GB2312"/>
        <charset val="134"/>
      </rPr>
      <t>以节距计的初定中心距</t>
    </r>
  </si>
  <si>
    <r>
      <rPr>
        <sz val="12"/>
        <rFont val="Arial"/>
        <family val="2"/>
      </rPr>
      <t>a</t>
    </r>
    <r>
      <rPr>
        <vertAlign val="subscript"/>
        <sz val="12"/>
        <rFont val="Arial"/>
        <family val="2"/>
      </rPr>
      <t>0p=</t>
    </r>
    <r>
      <rPr>
        <sz val="12"/>
        <rFont val="Arial"/>
        <family val="2"/>
      </rPr>
      <t>a</t>
    </r>
    <r>
      <rPr>
        <vertAlign val="subscript"/>
        <sz val="12"/>
        <rFont val="Arial"/>
        <family val="2"/>
      </rPr>
      <t>0/</t>
    </r>
    <r>
      <rPr>
        <sz val="12"/>
        <rFont val="Arial"/>
        <family val="2"/>
      </rPr>
      <t>p</t>
    </r>
  </si>
  <si>
    <r>
      <rPr>
        <sz val="12"/>
        <rFont val="楷体_GB2312"/>
        <charset val="134"/>
      </rPr>
      <t>机械Ⅲ表</t>
    </r>
    <r>
      <rPr>
        <sz val="12"/>
        <rFont val="Arial"/>
        <family val="2"/>
      </rPr>
      <t>13-2-7</t>
    </r>
  </si>
  <si>
    <r>
      <rPr>
        <sz val="12"/>
        <rFont val="Arial"/>
        <family val="2"/>
      </rPr>
      <t>L</t>
    </r>
    <r>
      <rPr>
        <vertAlign val="subscript"/>
        <sz val="12"/>
        <rFont val="Arial"/>
        <family val="2"/>
      </rPr>
      <t>p</t>
    </r>
  </si>
  <si>
    <r>
      <rPr>
        <sz val="12"/>
        <rFont val="楷体_GB2312"/>
        <charset val="134"/>
      </rPr>
      <t>链条节数</t>
    </r>
  </si>
  <si>
    <r>
      <rPr>
        <sz val="12"/>
        <rFont val="Arial"/>
        <family val="2"/>
      </rPr>
      <t>L</t>
    </r>
    <r>
      <rPr>
        <vertAlign val="subscript"/>
        <sz val="12"/>
        <rFont val="Arial"/>
        <family val="2"/>
      </rPr>
      <t>p</t>
    </r>
    <r>
      <rPr>
        <sz val="11"/>
        <color indexed="8"/>
        <rFont val="Arial"/>
        <family val="2"/>
      </rPr>
      <t>=</t>
    </r>
    <r>
      <rPr>
        <sz val="11"/>
        <color indexed="8"/>
        <rFont val="楷体_GB2312"/>
        <charset val="134"/>
      </rPr>
      <t>（</t>
    </r>
    <r>
      <rPr>
        <sz val="11"/>
        <color indexed="8"/>
        <rFont val="Arial"/>
        <family val="2"/>
      </rPr>
      <t>z1+z2</t>
    </r>
    <r>
      <rPr>
        <sz val="11"/>
        <color indexed="8"/>
        <rFont val="楷体_GB2312"/>
        <charset val="134"/>
      </rPr>
      <t>）</t>
    </r>
    <r>
      <rPr>
        <sz val="11"/>
        <color indexed="8"/>
        <rFont val="Arial"/>
        <family val="2"/>
      </rPr>
      <t>/2+2a</t>
    </r>
    <r>
      <rPr>
        <vertAlign val="subscript"/>
        <sz val="12"/>
        <rFont val="Arial"/>
        <family val="2"/>
      </rPr>
      <t>0p</t>
    </r>
    <r>
      <rPr>
        <sz val="11"/>
        <color indexed="8"/>
        <rFont val="Arial"/>
        <family val="2"/>
      </rPr>
      <t>+k/a0p</t>
    </r>
  </si>
  <si>
    <r>
      <rPr>
        <sz val="12"/>
        <rFont val="楷体_GB2312"/>
        <charset val="134"/>
      </rPr>
      <t>节</t>
    </r>
  </si>
  <si>
    <r>
      <rPr>
        <sz val="12"/>
        <rFont val="楷体_GB2312"/>
        <charset val="134"/>
      </rPr>
      <t>链条长度</t>
    </r>
  </si>
  <si>
    <r>
      <rPr>
        <sz val="12"/>
        <rFont val="Arial"/>
        <family val="2"/>
      </rPr>
      <t>L=L</t>
    </r>
    <r>
      <rPr>
        <vertAlign val="subscript"/>
        <sz val="12"/>
        <rFont val="Arial"/>
        <family val="2"/>
      </rPr>
      <t>p</t>
    </r>
    <r>
      <rPr>
        <sz val="11"/>
        <color indexed="8"/>
        <rFont val="Arial"/>
        <family val="2"/>
      </rPr>
      <t>*p/1000</t>
    </r>
  </si>
  <si>
    <r>
      <rPr>
        <sz val="12"/>
        <rFont val="Arial"/>
        <family val="2"/>
      </rPr>
      <t>k</t>
    </r>
    <r>
      <rPr>
        <vertAlign val="subscript"/>
        <sz val="12"/>
        <rFont val="Arial"/>
        <family val="2"/>
      </rPr>
      <t>a</t>
    </r>
  </si>
  <si>
    <r>
      <rPr>
        <sz val="12"/>
        <rFont val="楷体_GB2312"/>
        <charset val="134"/>
      </rPr>
      <t>机械Ⅲ表</t>
    </r>
    <r>
      <rPr>
        <sz val="12"/>
        <rFont val="Arial"/>
        <family val="2"/>
      </rPr>
      <t>13-2-8</t>
    </r>
  </si>
  <si>
    <r>
      <rPr>
        <sz val="12"/>
        <rFont val="Arial"/>
        <family val="2"/>
      </rPr>
      <t>a</t>
    </r>
    <r>
      <rPr>
        <vertAlign val="subscript"/>
        <sz val="12"/>
        <rFont val="Arial"/>
        <family val="2"/>
      </rPr>
      <t>c</t>
    </r>
  </si>
  <si>
    <r>
      <rPr>
        <sz val="12"/>
        <rFont val="楷体_GB2312"/>
        <charset val="134"/>
      </rPr>
      <t>计算中心距</t>
    </r>
  </si>
  <si>
    <r>
      <rPr>
        <sz val="12"/>
        <rFont val="Arial"/>
        <family val="2"/>
      </rPr>
      <t>a</t>
    </r>
    <r>
      <rPr>
        <vertAlign val="subscript"/>
        <sz val="12"/>
        <rFont val="Arial"/>
        <family val="2"/>
      </rPr>
      <t>c</t>
    </r>
    <r>
      <rPr>
        <sz val="12"/>
        <rFont val="Arial"/>
        <family val="2"/>
      </rPr>
      <t>=</t>
    </r>
    <r>
      <rPr>
        <sz val="11"/>
        <color indexed="8"/>
        <rFont val="Arial"/>
        <family val="2"/>
      </rPr>
      <t>p</t>
    </r>
    <r>
      <rPr>
        <sz val="11"/>
        <color indexed="8"/>
        <rFont val="楷体_GB2312"/>
        <charset val="134"/>
      </rPr>
      <t>（</t>
    </r>
    <r>
      <rPr>
        <sz val="11"/>
        <color indexed="8"/>
        <rFont val="Arial"/>
        <family val="2"/>
      </rPr>
      <t>2L</t>
    </r>
    <r>
      <rPr>
        <vertAlign val="subscript"/>
        <sz val="12"/>
        <rFont val="Arial"/>
        <family val="2"/>
      </rPr>
      <t>p</t>
    </r>
    <r>
      <rPr>
        <sz val="12"/>
        <rFont val="Arial"/>
        <family val="2"/>
      </rPr>
      <t>-</t>
    </r>
    <r>
      <rPr>
        <sz val="11"/>
        <color indexed="8"/>
        <rFont val="Arial"/>
        <family val="2"/>
      </rPr>
      <t>z1-z2</t>
    </r>
    <r>
      <rPr>
        <sz val="11"/>
        <color indexed="8"/>
        <rFont val="楷体_GB2312"/>
        <charset val="134"/>
      </rPr>
      <t>）</t>
    </r>
    <r>
      <rPr>
        <sz val="11"/>
        <color indexed="8"/>
        <rFont val="Arial"/>
        <family val="2"/>
      </rPr>
      <t>*k</t>
    </r>
    <r>
      <rPr>
        <vertAlign val="subscript"/>
        <sz val="12"/>
        <rFont val="Arial"/>
        <family val="2"/>
      </rPr>
      <t>a</t>
    </r>
  </si>
  <si>
    <r>
      <rPr>
        <sz val="12"/>
        <rFont val="楷体_GB2312"/>
        <charset val="134"/>
      </rPr>
      <t>△</t>
    </r>
    <r>
      <rPr>
        <sz val="12"/>
        <rFont val="Arial"/>
        <family val="2"/>
      </rPr>
      <t>a</t>
    </r>
  </si>
  <si>
    <r>
      <rPr>
        <sz val="12"/>
        <rFont val="Arial"/>
        <family val="2"/>
      </rPr>
      <t>0.002*a</t>
    </r>
    <r>
      <rPr>
        <vertAlign val="subscript"/>
        <sz val="12"/>
        <rFont val="Arial"/>
        <family val="2"/>
      </rPr>
      <t>c</t>
    </r>
  </si>
  <si>
    <r>
      <rPr>
        <sz val="12"/>
        <rFont val="楷体_GB2312"/>
        <charset val="134"/>
      </rPr>
      <t>实际中心距</t>
    </r>
  </si>
  <si>
    <r>
      <rPr>
        <sz val="12"/>
        <rFont val="Arial"/>
        <family val="2"/>
      </rPr>
      <t>a=a</t>
    </r>
    <r>
      <rPr>
        <vertAlign val="subscript"/>
        <sz val="12"/>
        <rFont val="Arial"/>
        <family val="2"/>
      </rPr>
      <t>c-</t>
    </r>
    <r>
      <rPr>
        <sz val="12"/>
        <rFont val="楷体_GB2312"/>
        <charset val="134"/>
      </rPr>
      <t>△</t>
    </r>
    <r>
      <rPr>
        <sz val="12"/>
        <rFont val="Arial"/>
        <family val="2"/>
      </rPr>
      <t>a</t>
    </r>
  </si>
  <si>
    <r>
      <rPr>
        <sz val="12"/>
        <rFont val="楷体_GB2312"/>
        <charset val="134"/>
      </rPr>
      <t>链条速度</t>
    </r>
  </si>
  <si>
    <t>v=z1n1p/60*1000</t>
  </si>
  <si>
    <t>Ft</t>
  </si>
  <si>
    <r>
      <rPr>
        <sz val="12"/>
        <rFont val="楷体_GB2312"/>
        <charset val="134"/>
      </rPr>
      <t>有效圆周力</t>
    </r>
  </si>
  <si>
    <t>Ft=1000P/v</t>
  </si>
  <si>
    <r>
      <rPr>
        <sz val="12"/>
        <rFont val="楷体_GB2312"/>
        <charset val="134"/>
      </rPr>
      <t>序号</t>
    </r>
  </si>
  <si>
    <r>
      <rPr>
        <sz val="12"/>
        <rFont val="楷体_GB2312"/>
        <charset val="134"/>
      </rPr>
      <t>代号</t>
    </r>
  </si>
  <si>
    <r>
      <rPr>
        <sz val="12"/>
        <rFont val="楷体_GB2312"/>
        <charset val="134"/>
      </rPr>
      <t>定义</t>
    </r>
  </si>
  <si>
    <r>
      <rPr>
        <sz val="12"/>
        <rFont val="楷体_GB2312"/>
        <charset val="134"/>
      </rPr>
      <t>备注</t>
    </r>
  </si>
  <si>
    <r>
      <rPr>
        <sz val="12"/>
        <rFont val="楷体_GB2312"/>
        <charset val="134"/>
      </rPr>
      <t>结果</t>
    </r>
  </si>
  <si>
    <r>
      <rPr>
        <sz val="12"/>
        <rFont val="楷体_GB2312"/>
        <charset val="134"/>
      </rPr>
      <t>单位</t>
    </r>
  </si>
  <si>
    <r>
      <rPr>
        <b/>
        <sz val="12"/>
        <rFont val="楷体_GB2312"/>
        <charset val="134"/>
      </rPr>
      <t>一</t>
    </r>
  </si>
  <si>
    <r>
      <rPr>
        <b/>
        <sz val="12"/>
        <rFont val="楷体_GB2312"/>
        <charset val="134"/>
      </rPr>
      <t>焊缝计算</t>
    </r>
    <r>
      <rPr>
        <b/>
        <sz val="12"/>
        <rFont val="Arial"/>
        <family val="2"/>
      </rPr>
      <t>(</t>
    </r>
    <r>
      <rPr>
        <b/>
        <sz val="12"/>
        <rFont val="楷体_GB2312"/>
        <charset val="134"/>
      </rPr>
      <t>已知条件</t>
    </r>
    <r>
      <rPr>
        <b/>
        <sz val="12"/>
        <rFont val="Arial"/>
        <family val="2"/>
      </rPr>
      <t>)</t>
    </r>
  </si>
  <si>
    <r>
      <rPr>
        <sz val="12"/>
        <rFont val="楷体_GB2312"/>
        <charset val="134"/>
      </rPr>
      <t>扭矩</t>
    </r>
  </si>
  <si>
    <r>
      <rPr>
        <sz val="12"/>
        <rFont val="楷体_GB2312"/>
        <charset val="134"/>
      </rPr>
      <t>轴径</t>
    </r>
  </si>
  <si>
    <r>
      <rPr>
        <sz val="12"/>
        <rFont val="楷体_GB2312"/>
        <charset val="134"/>
      </rPr>
      <t>焊缝高度</t>
    </r>
  </si>
  <si>
    <t>a=0.7k</t>
  </si>
  <si>
    <r>
      <rPr>
        <b/>
        <sz val="12"/>
        <rFont val="楷体_GB2312"/>
        <charset val="134"/>
      </rPr>
      <t>计算受力</t>
    </r>
  </si>
  <si>
    <r>
      <rPr>
        <sz val="12"/>
        <rFont val="楷体_GB2312"/>
        <charset val="134"/>
      </rPr>
      <t>剪切力</t>
    </r>
    <r>
      <rPr>
        <sz val="12"/>
        <rFont val="Arial"/>
        <family val="2"/>
      </rPr>
      <t>(</t>
    </r>
    <r>
      <rPr>
        <sz val="12"/>
        <rFont val="楷体_GB2312"/>
        <charset val="134"/>
      </rPr>
      <t>双面焊缝</t>
    </r>
    <r>
      <rPr>
        <sz val="12"/>
        <rFont val="Arial"/>
        <family val="2"/>
      </rPr>
      <t>)</t>
    </r>
  </si>
  <si>
    <t>τ=2*M*(R+a)/2π((R+a)4-R4))</t>
  </si>
  <si>
    <t>τp</t>
  </si>
  <si>
    <r>
      <rPr>
        <sz val="12"/>
        <rFont val="Arial"/>
        <family val="2"/>
      </rPr>
      <t>τ</t>
    </r>
    <r>
      <rPr>
        <sz val="12"/>
        <rFont val="楷体_GB2312"/>
        <charset val="134"/>
      </rPr>
      <t>＜</t>
    </r>
    <r>
      <rPr>
        <sz val="12"/>
        <rFont val="Arial"/>
        <family val="2"/>
      </rPr>
      <t>τp,</t>
    </r>
    <r>
      <rPr>
        <sz val="12"/>
        <rFont val="楷体_GB2312"/>
        <charset val="134"/>
      </rPr>
      <t>强度满足要求</t>
    </r>
  </si>
  <si>
    <r>
      <rPr>
        <b/>
        <sz val="12"/>
        <rFont val="楷体_GB2312"/>
        <charset val="134"/>
      </rPr>
      <t>二</t>
    </r>
  </si>
  <si>
    <r>
      <rPr>
        <b/>
        <sz val="12"/>
        <rFont val="楷体_GB2312"/>
        <charset val="134"/>
      </rPr>
      <t>键计算</t>
    </r>
    <r>
      <rPr>
        <b/>
        <sz val="12"/>
        <rFont val="Arial"/>
        <family val="2"/>
      </rPr>
      <t>(</t>
    </r>
    <r>
      <rPr>
        <b/>
        <sz val="12"/>
        <rFont val="楷体_GB2312"/>
        <charset val="134"/>
      </rPr>
      <t>已知条件</t>
    </r>
    <r>
      <rPr>
        <b/>
        <sz val="12"/>
        <rFont val="Arial"/>
        <family val="2"/>
      </rPr>
      <t>)</t>
    </r>
  </si>
  <si>
    <r>
      <rPr>
        <sz val="12"/>
        <rFont val="楷体_GB2312"/>
        <charset val="134"/>
      </rPr>
      <t>键宽</t>
    </r>
  </si>
  <si>
    <r>
      <rPr>
        <sz val="12"/>
        <rFont val="楷体_GB2312"/>
        <charset val="134"/>
      </rPr>
      <t>键长</t>
    </r>
  </si>
  <si>
    <r>
      <rPr>
        <sz val="12"/>
        <rFont val="楷体_GB2312"/>
        <charset val="134"/>
      </rPr>
      <t>剪切力</t>
    </r>
  </si>
  <si>
    <t>τ=2*T/DbL</t>
  </si>
  <si>
    <r>
      <rPr>
        <sz val="12"/>
        <rFont val="楷体_GB2312"/>
        <charset val="134"/>
      </rPr>
      <t>三</t>
    </r>
  </si>
  <si>
    <r>
      <rPr>
        <b/>
        <sz val="12"/>
        <rFont val="楷体_GB2312"/>
        <charset val="134"/>
      </rPr>
      <t>结论</t>
    </r>
  </si>
  <si>
    <r>
      <rPr>
        <sz val="12"/>
        <rFont val="楷体_GB2312"/>
        <charset val="134"/>
      </rPr>
      <t>轴头采用焊缝联结和键联结均能满足要求</t>
    </r>
    <r>
      <rPr>
        <sz val="12"/>
        <rFont val="Arial"/>
        <family val="2"/>
      </rPr>
      <t>,</t>
    </r>
    <r>
      <rPr>
        <sz val="12"/>
        <rFont val="楷体_GB2312"/>
        <charset val="134"/>
      </rPr>
      <t>但根据计算数据</t>
    </r>
    <r>
      <rPr>
        <sz val="12"/>
        <rFont val="Arial"/>
        <family val="2"/>
      </rPr>
      <t>,</t>
    </r>
    <r>
      <rPr>
        <sz val="12"/>
        <rFont val="楷体_GB2312"/>
        <charset val="134"/>
      </rPr>
      <t>通过比较</t>
    </r>
    <r>
      <rPr>
        <sz val="12"/>
        <rFont val="Arial"/>
        <family val="2"/>
      </rPr>
      <t>,</t>
    </r>
    <r>
      <rPr>
        <sz val="12"/>
        <rFont val="楷体_GB2312"/>
        <charset val="134"/>
      </rPr>
      <t>焊缝联结更为可靠</t>
    </r>
    <r>
      <rPr>
        <sz val="12"/>
        <rFont val="Arial"/>
        <family val="2"/>
      </rPr>
      <t>.</t>
    </r>
  </si>
  <si>
    <r>
      <rPr>
        <b/>
        <sz val="12"/>
        <rFont val="楷体_GB2312"/>
        <charset val="134"/>
      </rPr>
      <t>序号</t>
    </r>
  </si>
  <si>
    <r>
      <rPr>
        <b/>
        <sz val="12"/>
        <rFont val="楷体_GB2312"/>
        <charset val="134"/>
      </rPr>
      <t>代号</t>
    </r>
  </si>
  <si>
    <r>
      <rPr>
        <b/>
        <sz val="12"/>
        <rFont val="楷体_GB2312"/>
        <charset val="134"/>
      </rPr>
      <t>定义</t>
    </r>
  </si>
  <si>
    <t>圆柱销（平面）</t>
  </si>
  <si>
    <r>
      <rPr>
        <sz val="12"/>
        <rFont val="楷体_GB2312"/>
        <charset val="134"/>
      </rPr>
      <t>机械Ⅱ表</t>
    </r>
    <r>
      <rPr>
        <sz val="12"/>
        <rFont val="Arial"/>
        <family val="2"/>
      </rPr>
      <t>5-3-2</t>
    </r>
    <r>
      <rPr>
        <sz val="12"/>
        <rFont val="楷体_GB2312"/>
        <charset val="134"/>
      </rPr>
      <t>（第一种）</t>
    </r>
  </si>
  <si>
    <t>横向力</t>
  </si>
  <si>
    <t>销的直径</t>
  </si>
  <si>
    <t>销的数量</t>
  </si>
  <si>
    <t>个</t>
  </si>
  <si>
    <t>剪切力</t>
  </si>
  <si>
    <r>
      <rPr>
        <sz val="12"/>
        <rFont val="Arial"/>
        <family val="2"/>
      </rPr>
      <t>τ=4F/πd</t>
    </r>
    <r>
      <rPr>
        <vertAlign val="superscript"/>
        <sz val="12"/>
        <rFont val="Arial"/>
        <family val="2"/>
      </rPr>
      <t>2</t>
    </r>
    <r>
      <rPr>
        <sz val="12"/>
        <rFont val="Arial"/>
        <family val="2"/>
      </rPr>
      <t>Z</t>
    </r>
  </si>
  <si>
    <r>
      <rPr>
        <sz val="12"/>
        <rFont val="Arial"/>
        <family val="2"/>
      </rPr>
      <t>Τ</t>
    </r>
    <r>
      <rPr>
        <sz val="8"/>
        <rFont val="Arial"/>
        <family val="2"/>
      </rPr>
      <t>p</t>
    </r>
  </si>
  <si>
    <t>许用剪切力</t>
  </si>
  <si>
    <r>
      <rPr>
        <sz val="12"/>
        <rFont val="楷体_GB2312"/>
        <charset val="134"/>
      </rPr>
      <t xml:space="preserve">根据销的材料查表对于销的常用材料可取 </t>
    </r>
    <r>
      <rPr>
        <sz val="12"/>
        <rFont val="Arial"/>
        <family val="2"/>
      </rPr>
      <t>Τp=80MPa</t>
    </r>
  </si>
  <si>
    <t>结论</t>
  </si>
  <si>
    <r>
      <rPr>
        <sz val="12"/>
        <rFont val="Arial"/>
        <family val="2"/>
      </rPr>
      <t>Τ</t>
    </r>
    <r>
      <rPr>
        <sz val="12"/>
        <rFont val="宋体"/>
        <family val="3"/>
        <charset val="134"/>
      </rPr>
      <t>＜</t>
    </r>
    <r>
      <rPr>
        <sz val="12"/>
        <rFont val="Arial"/>
        <family val="2"/>
      </rPr>
      <t>Τ</t>
    </r>
    <r>
      <rPr>
        <sz val="8"/>
        <rFont val="Arial"/>
        <family val="2"/>
      </rPr>
      <t>p</t>
    </r>
  </si>
  <si>
    <t>圆柱销（圆周）</t>
  </si>
  <si>
    <r>
      <rPr>
        <sz val="12"/>
        <rFont val="楷体_GB2312"/>
        <charset val="134"/>
      </rPr>
      <t>机械Ⅱ表</t>
    </r>
    <r>
      <rPr>
        <sz val="12"/>
        <rFont val="Arial"/>
        <family val="2"/>
      </rPr>
      <t>5-3-2</t>
    </r>
    <r>
      <rPr>
        <sz val="12"/>
        <rFont val="楷体_GB2312"/>
        <charset val="134"/>
      </rPr>
      <t>（第二种）</t>
    </r>
  </si>
  <si>
    <t>转矩</t>
  </si>
  <si>
    <t>N·mm</t>
  </si>
  <si>
    <t>轴的直径</t>
  </si>
  <si>
    <t>销的长度</t>
  </si>
  <si>
    <r>
      <rPr>
        <sz val="12"/>
        <rFont val="Arial"/>
        <family val="2"/>
      </rPr>
      <t>σ</t>
    </r>
    <r>
      <rPr>
        <sz val="8"/>
        <rFont val="Arial"/>
        <family val="2"/>
      </rPr>
      <t>p</t>
    </r>
  </si>
  <si>
    <t>挤压力</t>
  </si>
  <si>
    <r>
      <rPr>
        <sz val="12"/>
        <rFont val="Arial"/>
        <family val="2"/>
      </rPr>
      <t>σ</t>
    </r>
    <r>
      <rPr>
        <sz val="8"/>
        <rFont val="Arial"/>
        <family val="2"/>
      </rPr>
      <t>p</t>
    </r>
    <r>
      <rPr>
        <sz val="12"/>
        <rFont val="Arial"/>
        <family val="2"/>
      </rPr>
      <t>=4T/DdL</t>
    </r>
  </si>
  <si>
    <r>
      <rPr>
        <sz val="12"/>
        <rFont val="Arial"/>
        <family val="2"/>
      </rPr>
      <t>σ</t>
    </r>
    <r>
      <rPr>
        <sz val="8"/>
        <rFont val="Arial"/>
        <family val="2"/>
      </rPr>
      <t>pp</t>
    </r>
  </si>
  <si>
    <t>许用挤压力</t>
  </si>
  <si>
    <r>
      <rPr>
        <sz val="12"/>
        <rFont val="楷体_GB2312"/>
        <charset val="134"/>
      </rPr>
      <t>机械Ⅱ表</t>
    </r>
    <r>
      <rPr>
        <sz val="12"/>
        <rFont val="Arial"/>
        <family val="2"/>
      </rPr>
      <t>5-3-17</t>
    </r>
  </si>
  <si>
    <t>τ=2T/DdL</t>
  </si>
  <si>
    <r>
      <rPr>
        <sz val="12"/>
        <rFont val="Arial"/>
        <family val="2"/>
      </rPr>
      <t>σ</t>
    </r>
    <r>
      <rPr>
        <sz val="8"/>
        <rFont val="Arial"/>
        <family val="2"/>
      </rPr>
      <t>p</t>
    </r>
    <r>
      <rPr>
        <sz val="12"/>
        <rFont val="宋体"/>
        <family val="3"/>
        <charset val="134"/>
      </rPr>
      <t>＜</t>
    </r>
    <r>
      <rPr>
        <sz val="12"/>
        <rFont val="Arial"/>
        <family val="2"/>
      </rPr>
      <t>σ</t>
    </r>
    <r>
      <rPr>
        <sz val="8"/>
        <rFont val="Arial"/>
        <family val="2"/>
      </rPr>
      <t>pp</t>
    </r>
  </si>
  <si>
    <r>
      <rPr>
        <sz val="12"/>
        <rFont val="楷体_GB2312"/>
        <charset val="134"/>
      </rPr>
      <t>转矩</t>
    </r>
  </si>
  <si>
    <r>
      <rPr>
        <sz val="12"/>
        <rFont val="楷体_GB2312"/>
        <charset val="134"/>
      </rPr>
      <t>键的长度</t>
    </r>
  </si>
  <si>
    <r>
      <rPr>
        <sz val="12"/>
        <rFont val="楷体_GB2312"/>
        <charset val="134"/>
      </rPr>
      <t>键的宽度</t>
    </r>
  </si>
  <si>
    <r>
      <rPr>
        <sz val="12"/>
        <rFont val="楷体_GB2312"/>
        <charset val="134"/>
      </rPr>
      <t>键的工作长度</t>
    </r>
  </si>
  <si>
    <t>l=L-b</t>
  </si>
  <si>
    <r>
      <rPr>
        <sz val="12"/>
        <rFont val="楷体_GB2312"/>
        <charset val="134"/>
      </rPr>
      <t>轴的直径</t>
    </r>
  </si>
  <si>
    <r>
      <rPr>
        <sz val="12"/>
        <rFont val="楷体_GB2312"/>
        <charset val="134"/>
      </rPr>
      <t>键的高度</t>
    </r>
  </si>
  <si>
    <r>
      <rPr>
        <sz val="12"/>
        <rFont val="楷体_GB2312"/>
        <charset val="134"/>
      </rPr>
      <t>键与轮毂的接触高度</t>
    </r>
  </si>
  <si>
    <t>k=h/2</t>
  </si>
  <si>
    <r>
      <rPr>
        <sz val="12"/>
        <rFont val="Arial"/>
        <family val="2"/>
      </rPr>
      <t>P</t>
    </r>
    <r>
      <rPr>
        <vertAlign val="subscript"/>
        <sz val="12"/>
        <rFont val="Arial"/>
        <family val="2"/>
      </rPr>
      <t>pp</t>
    </r>
  </si>
  <si>
    <r>
      <rPr>
        <sz val="12"/>
        <rFont val="楷体_GB2312"/>
        <charset val="134"/>
      </rPr>
      <t>键连接的许用挤压压强</t>
    </r>
  </si>
  <si>
    <r>
      <rPr>
        <sz val="12"/>
        <rFont val="楷体_GB2312"/>
        <charset val="134"/>
      </rPr>
      <t>键连接的许用剪切应力</t>
    </r>
  </si>
  <si>
    <r>
      <rPr>
        <sz val="12"/>
        <rFont val="楷体_GB2312"/>
        <charset val="134"/>
      </rPr>
      <t>工作面的挤压</t>
    </r>
  </si>
  <si>
    <t>P=2T/Dkl</t>
  </si>
  <si>
    <r>
      <rPr>
        <sz val="12"/>
        <rFont val="楷体_GB2312"/>
        <charset val="134"/>
      </rPr>
      <t>键的剪切应力</t>
    </r>
  </si>
  <si>
    <t>τ=2T/Dbl</t>
  </si>
  <si>
    <r>
      <rPr>
        <sz val="12"/>
        <rFont val="Arial"/>
        <family val="2"/>
      </rPr>
      <t>P</t>
    </r>
    <r>
      <rPr>
        <sz val="12"/>
        <color indexed="8"/>
        <rFont val="楷体_GB2312"/>
        <charset val="134"/>
      </rPr>
      <t>＜</t>
    </r>
    <r>
      <rPr>
        <sz val="12"/>
        <rFont val="Arial"/>
        <family val="2"/>
      </rPr>
      <t>P</t>
    </r>
    <r>
      <rPr>
        <vertAlign val="subscript"/>
        <sz val="12"/>
        <rFont val="Arial"/>
        <family val="2"/>
      </rPr>
      <t>pp</t>
    </r>
  </si>
  <si>
    <r>
      <rPr>
        <sz val="12"/>
        <rFont val="Arial"/>
        <family val="2"/>
      </rPr>
      <t>τ</t>
    </r>
    <r>
      <rPr>
        <sz val="12"/>
        <rFont val="楷体_GB2312"/>
        <charset val="134"/>
      </rPr>
      <t>＜</t>
    </r>
    <r>
      <rPr>
        <sz val="12"/>
        <rFont val="Arial"/>
        <family val="2"/>
      </rPr>
      <t>τp</t>
    </r>
  </si>
  <si>
    <t>同步带节线长计算</t>
  </si>
  <si>
    <t>节距(mm)</t>
  </si>
  <si>
    <t>主动轮齿数</t>
  </si>
  <si>
    <t>从动轮齿数</t>
  </si>
  <si>
    <t>设计中心距(mm)</t>
  </si>
  <si>
    <t>节线长计算结果(mm)</t>
  </si>
  <si>
    <t>计算齿数</t>
  </si>
  <si>
    <t>实际齿数</t>
  </si>
  <si>
    <t>建议中心距(mm)</t>
  </si>
  <si>
    <t>参考齿数</t>
  </si>
  <si>
    <t>同步带轮参数</t>
  </si>
  <si>
    <t>节径d</t>
  </si>
  <si>
    <t>外径do</t>
  </si>
  <si>
    <t>-3M</t>
  </si>
  <si>
    <t>-5M</t>
  </si>
  <si>
    <t>-8M</t>
  </si>
  <si>
    <t>同步带参数</t>
  </si>
  <si>
    <t>齿型代号</t>
  </si>
  <si>
    <t>节线长(mm)</t>
  </si>
  <si>
    <t>齿高(mm)</t>
  </si>
  <si>
    <t>带厚(mm)</t>
  </si>
  <si>
    <t>角度β°</t>
  </si>
  <si>
    <t>只需要更改红色的数字即可得出您想要的结果</t>
  </si>
  <si>
    <t>分割器选型计算（适用于间歇回转转盘运动）</t>
  </si>
  <si>
    <t>每分割定位时间(t1)</t>
  </si>
  <si>
    <t>每分割驱动时间(t2)</t>
  </si>
  <si>
    <t>入力轴回转数(n )</t>
  </si>
  <si>
    <t>回转盘直径(D)</t>
  </si>
  <si>
    <t>回转盘厚度(T)</t>
  </si>
  <si>
    <t>材质比重(M)</t>
  </si>
  <si>
    <t>kg / m^3</t>
  </si>
  <si>
    <t>工件重量(M1)</t>
  </si>
  <si>
    <t xml:space="preserve">kg/组  </t>
  </si>
  <si>
    <t>夹具重量(M2)</t>
  </si>
  <si>
    <t>转盘底部加支撑时，接触点到转盘中心的有效半径( r )</t>
  </si>
  <si>
    <t>电机效率z</t>
  </si>
  <si>
    <t xml:space="preserve">安全系数fe </t>
  </si>
  <si>
    <t>要求高精度时，可修改为2~3；</t>
  </si>
  <si>
    <t>凸轮转位角度【驱动角】(Qh)</t>
  </si>
  <si>
    <t>驱动角=360°×（驱动时间）/（驱动时间+定位时间）</t>
  </si>
  <si>
    <t>(M.S.),因此:</t>
  </si>
  <si>
    <t>最大非向性速度……....(Vm)</t>
  </si>
  <si>
    <t>最大非向性加速度…....(Am)</t>
  </si>
  <si>
    <t>凸轮最大扭力系数…....(Qm)</t>
  </si>
  <si>
    <t>以下为自动计算过程：</t>
  </si>
  <si>
    <t>质量计算</t>
  </si>
  <si>
    <t>圆盘重量(W1)</t>
  </si>
  <si>
    <t>( 3.14159 / 4 ) * D^2 * T * M * 0.1^3</t>
  </si>
  <si>
    <t>工件重量(W2)</t>
  </si>
  <si>
    <r>
      <rPr>
        <b/>
        <sz val="12"/>
        <rFont val="宋体"/>
        <family val="3"/>
        <charset val="134"/>
      </rPr>
      <t>工件重量M1*分割等份</t>
    </r>
    <r>
      <rPr>
        <b/>
        <sz val="12"/>
        <rFont val="宋体"/>
        <family val="3"/>
        <charset val="134"/>
      </rPr>
      <t>(N)</t>
    </r>
  </si>
  <si>
    <t xml:space="preserve">              夹具重量(W3)</t>
  </si>
  <si>
    <t>M2 * N</t>
  </si>
  <si>
    <t>零部件惯性矩</t>
  </si>
  <si>
    <t xml:space="preserve">回转盘惯性矩(I1) </t>
  </si>
  <si>
    <t>( W1 * R^2 ) / (2 * G)</t>
  </si>
  <si>
    <t xml:space="preserve">          工件惯性矩(I2) </t>
  </si>
  <si>
    <t xml:space="preserve">( W2 * Re^2 ) / G </t>
  </si>
  <si>
    <t xml:space="preserve">          夹具惯性矩(I3) </t>
  </si>
  <si>
    <t xml:space="preserve">( W3 * Re^2 ) / G </t>
  </si>
  <si>
    <t xml:space="preserve">总惯性矩( I ) </t>
  </si>
  <si>
    <t>I1 + I2 + I3</t>
  </si>
  <si>
    <t xml:space="preserve">出力轴最大角加速度.(O) </t>
  </si>
  <si>
    <t>Am ((2 * 3.1416) / N) * [(360 / Qh) * ( n / 60)]^2</t>
  </si>
  <si>
    <t>I * O</t>
  </si>
  <si>
    <t>实际负载扭矩(Te)</t>
  </si>
  <si>
    <t>Tt*fe</t>
  </si>
  <si>
    <r>
      <rPr>
        <b/>
        <sz val="20"/>
        <rFont val="宋体"/>
        <family val="3"/>
        <charset val="134"/>
      </rPr>
      <t xml:space="preserve">                          </t>
    </r>
    <r>
      <rPr>
        <b/>
        <sz val="20"/>
        <rFont val="宋体"/>
        <family val="3"/>
        <charset val="134"/>
      </rPr>
      <t>入力轴扭矩</t>
    </r>
    <r>
      <rPr>
        <b/>
        <sz val="20"/>
        <rFont val="宋体"/>
        <family val="3"/>
        <charset val="134"/>
      </rPr>
      <t>Tc</t>
    </r>
  </si>
  <si>
    <t>入力轴扭矩(Tc)   注:入力轴起动负载扭矩视为0 , 因此 Tca =0</t>
  </si>
  <si>
    <t>所须要的电机参数(P)</t>
  </si>
  <si>
    <r>
      <rPr>
        <sz val="12"/>
        <rFont val="宋体"/>
        <family val="3"/>
        <charset val="134"/>
      </rPr>
      <t xml:space="preserve">                                  </t>
    </r>
    <r>
      <rPr>
        <sz val="12"/>
        <rFont val="宋体"/>
        <family val="3"/>
        <charset val="134"/>
      </rPr>
      <t>或</t>
    </r>
    <r>
      <rPr>
        <sz val="12"/>
        <rFont val="宋体"/>
        <family val="3"/>
        <charset val="134"/>
      </rPr>
      <t xml:space="preserve">   (P)</t>
    </r>
  </si>
  <si>
    <t>选型案例（兆奕分割器）：</t>
  </si>
  <si>
    <t>单  位  换  算</t>
  </si>
  <si>
    <t>不可修改</t>
  </si>
  <si>
    <r>
      <rPr>
        <b/>
        <sz val="12"/>
        <rFont val="宋体"/>
        <family val="3"/>
        <charset val="134"/>
      </rPr>
      <t>压力</t>
    </r>
    <r>
      <rPr>
        <b/>
        <sz val="12"/>
        <rFont val="Times New Roman"/>
        <family val="1"/>
      </rPr>
      <t>Pressure</t>
    </r>
  </si>
  <si>
    <t>mbar</t>
  </si>
  <si>
    <t>atm</t>
  </si>
  <si>
    <r>
      <rPr>
        <sz val="12"/>
        <rFont val="Times New Roman"/>
        <family val="1"/>
      </rPr>
      <t>lb/in</t>
    </r>
    <r>
      <rPr>
        <vertAlign val="superscript"/>
        <sz val="12"/>
        <rFont val="Times New Roman"/>
        <family val="1"/>
      </rPr>
      <t>2</t>
    </r>
  </si>
  <si>
    <r>
      <rPr>
        <sz val="12"/>
        <rFont val="Times New Roman"/>
        <family val="1"/>
      </rPr>
      <t>kg/cm</t>
    </r>
    <r>
      <rPr>
        <vertAlign val="superscript"/>
        <sz val="12"/>
        <rFont val="Times New Roman"/>
        <family val="1"/>
      </rPr>
      <t>2</t>
    </r>
  </si>
  <si>
    <t>inHg</t>
  </si>
  <si>
    <t>mmHg</t>
  </si>
  <si>
    <r>
      <rPr>
        <sz val="12"/>
        <rFont val="Times New Roman"/>
        <family val="1"/>
      </rPr>
      <t>mmAq(kgf/m</t>
    </r>
    <r>
      <rPr>
        <vertAlign val="superscript"/>
        <sz val="12"/>
        <rFont val="Times New Roman"/>
        <family val="1"/>
      </rPr>
      <t>2</t>
    </r>
    <r>
      <rPr>
        <sz val="12"/>
        <rFont val="Times New Roman"/>
        <family val="1"/>
      </rPr>
      <t>)</t>
    </r>
  </si>
  <si>
    <r>
      <rPr>
        <b/>
        <sz val="12"/>
        <rFont val="宋体"/>
        <family val="3"/>
        <charset val="134"/>
      </rPr>
      <t>风量</t>
    </r>
    <r>
      <rPr>
        <b/>
        <sz val="12"/>
        <rFont val="Times New Roman"/>
        <family val="1"/>
      </rPr>
      <t>Capacity</t>
    </r>
  </si>
  <si>
    <r>
      <rPr>
        <sz val="12"/>
        <rFont val="Times New Roman"/>
        <family val="1"/>
      </rPr>
      <t>m</t>
    </r>
    <r>
      <rPr>
        <vertAlign val="superscript"/>
        <sz val="12"/>
        <rFont val="Times New Roman"/>
        <family val="1"/>
      </rPr>
      <t>3</t>
    </r>
    <r>
      <rPr>
        <sz val="12"/>
        <rFont val="Times New Roman"/>
        <family val="1"/>
      </rPr>
      <t>/min</t>
    </r>
  </si>
  <si>
    <r>
      <rPr>
        <sz val="12"/>
        <rFont val="Times New Roman"/>
        <family val="1"/>
      </rPr>
      <t>m</t>
    </r>
    <r>
      <rPr>
        <vertAlign val="superscript"/>
        <sz val="12"/>
        <rFont val="Times New Roman"/>
        <family val="1"/>
      </rPr>
      <t>3</t>
    </r>
    <r>
      <rPr>
        <sz val="12"/>
        <rFont val="Times New Roman"/>
        <family val="1"/>
      </rPr>
      <t>/hr</t>
    </r>
  </si>
  <si>
    <t>l/min</t>
  </si>
  <si>
    <r>
      <rPr>
        <sz val="12"/>
        <rFont val="Times New Roman"/>
        <family val="1"/>
      </rPr>
      <t>ft</t>
    </r>
    <r>
      <rPr>
        <vertAlign val="superscript"/>
        <sz val="12"/>
        <rFont val="Times New Roman"/>
        <family val="1"/>
      </rPr>
      <t>3</t>
    </r>
    <r>
      <rPr>
        <sz val="12"/>
        <rFont val="Times New Roman"/>
        <family val="1"/>
      </rPr>
      <t>/min(cfm)</t>
    </r>
  </si>
  <si>
    <t>能量</t>
  </si>
  <si>
    <t>Cal</t>
  </si>
  <si>
    <t>Kwh</t>
  </si>
  <si>
    <t>BTU</t>
  </si>
  <si>
    <r>
      <rPr>
        <b/>
        <sz val="12"/>
        <rFont val="宋体"/>
        <family val="3"/>
        <charset val="134"/>
      </rPr>
      <t>功率</t>
    </r>
    <r>
      <rPr>
        <b/>
        <sz val="12"/>
        <rFont val="Times New Roman"/>
        <family val="1"/>
      </rPr>
      <t>Power</t>
    </r>
  </si>
  <si>
    <t>kg-m/sec</t>
  </si>
  <si>
    <t>冷量</t>
  </si>
  <si>
    <t>kcal/h</t>
  </si>
  <si>
    <t>USRT</t>
  </si>
  <si>
    <t>速度</t>
  </si>
  <si>
    <t>m/hr</t>
  </si>
  <si>
    <t>ft/min(fpm)</t>
  </si>
  <si>
    <t>ft/s(fps)</t>
  </si>
  <si>
    <r>
      <rPr>
        <b/>
        <sz val="12"/>
        <rFont val="宋体"/>
        <family val="3"/>
        <charset val="134"/>
      </rPr>
      <t>长度</t>
    </r>
    <r>
      <rPr>
        <b/>
        <sz val="12"/>
        <rFont val="Times New Roman"/>
        <family val="1"/>
      </rPr>
      <t>L</t>
    </r>
  </si>
  <si>
    <r>
      <rPr>
        <sz val="12"/>
        <rFont val="宋体"/>
        <family val="3"/>
        <charset val="134"/>
      </rPr>
      <t>英寸</t>
    </r>
    <r>
      <rPr>
        <sz val="12"/>
        <rFont val="Times New Roman"/>
        <family val="1"/>
      </rPr>
      <t>(in)</t>
    </r>
  </si>
  <si>
    <r>
      <rPr>
        <sz val="12"/>
        <rFont val="宋体"/>
        <family val="3"/>
        <charset val="134"/>
      </rPr>
      <t>英尺</t>
    </r>
    <r>
      <rPr>
        <sz val="12"/>
        <rFont val="Times New Roman"/>
        <family val="1"/>
      </rPr>
      <t>(ft )</t>
    </r>
  </si>
  <si>
    <t>公尺</t>
  </si>
  <si>
    <r>
      <rPr>
        <sz val="12"/>
        <rFont val="宋体"/>
        <family val="3"/>
        <charset val="134"/>
      </rPr>
      <t>微米</t>
    </r>
    <r>
      <rPr>
        <sz val="12"/>
        <rFont val="Times New Roman"/>
        <family val="1"/>
      </rPr>
      <t>(</t>
    </r>
    <r>
      <rPr>
        <sz val="12"/>
        <rFont val="宋体"/>
        <family val="3"/>
        <charset val="134"/>
      </rPr>
      <t>μ</t>
    </r>
    <r>
      <rPr>
        <sz val="12"/>
        <rFont val="Times New Roman"/>
        <family val="1"/>
      </rPr>
      <t>m)</t>
    </r>
  </si>
  <si>
    <t xml:space="preserve">cm </t>
  </si>
  <si>
    <r>
      <rPr>
        <b/>
        <sz val="12"/>
        <rFont val="宋体"/>
        <family val="3"/>
        <charset val="134"/>
      </rPr>
      <t>面积</t>
    </r>
    <r>
      <rPr>
        <b/>
        <sz val="12"/>
        <rFont val="Times New Roman"/>
        <family val="1"/>
      </rPr>
      <t>A</t>
    </r>
  </si>
  <si>
    <r>
      <rPr>
        <sz val="12"/>
        <rFont val="Times New Roman"/>
        <family val="1"/>
      </rPr>
      <t>m</t>
    </r>
    <r>
      <rPr>
        <vertAlign val="superscript"/>
        <sz val="12"/>
        <rFont val="Times New Roman"/>
        <family val="1"/>
      </rPr>
      <t>2</t>
    </r>
  </si>
  <si>
    <r>
      <rPr>
        <sz val="12"/>
        <rFont val="Times New Roman"/>
        <family val="1"/>
      </rPr>
      <t>cm</t>
    </r>
    <r>
      <rPr>
        <vertAlign val="superscript"/>
        <sz val="12"/>
        <rFont val="Times New Roman"/>
        <family val="1"/>
      </rPr>
      <t>2</t>
    </r>
  </si>
  <si>
    <r>
      <rPr>
        <sz val="12"/>
        <rFont val="Times New Roman"/>
        <family val="1"/>
      </rPr>
      <t>in</t>
    </r>
    <r>
      <rPr>
        <vertAlign val="superscript"/>
        <sz val="12"/>
        <rFont val="Times New Roman"/>
        <family val="1"/>
      </rPr>
      <t>2</t>
    </r>
  </si>
  <si>
    <r>
      <rPr>
        <sz val="12"/>
        <rFont val="Times New Roman"/>
        <family val="1"/>
      </rPr>
      <t>ft</t>
    </r>
    <r>
      <rPr>
        <vertAlign val="superscript"/>
        <sz val="12"/>
        <rFont val="Times New Roman"/>
        <family val="1"/>
      </rPr>
      <t>2</t>
    </r>
  </si>
  <si>
    <t>亩</t>
  </si>
  <si>
    <t>坪</t>
  </si>
  <si>
    <t>体积</t>
  </si>
  <si>
    <r>
      <rPr>
        <sz val="12"/>
        <rFont val="Times New Roman"/>
        <family val="1"/>
      </rPr>
      <t>m</t>
    </r>
    <r>
      <rPr>
        <vertAlign val="superscript"/>
        <sz val="12"/>
        <rFont val="Times New Roman"/>
        <family val="1"/>
      </rPr>
      <t>3</t>
    </r>
    <r>
      <rPr>
        <sz val="12"/>
        <rFont val="Times New Roman"/>
        <family val="1"/>
      </rPr>
      <t>(KL)</t>
    </r>
  </si>
  <si>
    <r>
      <rPr>
        <sz val="12"/>
        <rFont val="Times New Roman"/>
        <family val="1"/>
      </rPr>
      <t>L(dm</t>
    </r>
    <r>
      <rPr>
        <vertAlign val="superscript"/>
        <sz val="12"/>
        <rFont val="Times New Roman"/>
        <family val="1"/>
      </rPr>
      <t>3</t>
    </r>
    <r>
      <rPr>
        <sz val="12"/>
        <rFont val="Times New Roman"/>
        <family val="1"/>
      </rPr>
      <t>)</t>
    </r>
  </si>
  <si>
    <r>
      <rPr>
        <sz val="12"/>
        <rFont val="Times New Roman"/>
        <family val="1"/>
      </rPr>
      <t>ft</t>
    </r>
    <r>
      <rPr>
        <vertAlign val="superscript"/>
        <sz val="12"/>
        <rFont val="Times New Roman"/>
        <family val="1"/>
      </rPr>
      <t>3</t>
    </r>
  </si>
  <si>
    <r>
      <rPr>
        <sz val="12"/>
        <rFont val="Times New Roman"/>
        <family val="1"/>
      </rPr>
      <t>gal(</t>
    </r>
    <r>
      <rPr>
        <sz val="12"/>
        <rFont val="宋体"/>
        <family val="3"/>
        <charset val="134"/>
      </rPr>
      <t>美加仑）</t>
    </r>
  </si>
  <si>
    <r>
      <rPr>
        <sz val="12"/>
        <rFont val="Times New Roman"/>
        <family val="1"/>
      </rPr>
      <t>m</t>
    </r>
    <r>
      <rPr>
        <vertAlign val="superscript"/>
        <sz val="12"/>
        <rFont val="Times New Roman"/>
        <family val="1"/>
      </rPr>
      <t>3</t>
    </r>
  </si>
  <si>
    <r>
      <rPr>
        <sz val="12"/>
        <rFont val="Times New Roman"/>
        <family val="1"/>
      </rPr>
      <t>gal(</t>
    </r>
    <r>
      <rPr>
        <sz val="12"/>
        <rFont val="宋体"/>
        <family val="3"/>
        <charset val="134"/>
      </rPr>
      <t>加仑）</t>
    </r>
  </si>
  <si>
    <t>质量及力</t>
  </si>
  <si>
    <t>lb</t>
  </si>
  <si>
    <r>
      <rPr>
        <sz val="12"/>
        <rFont val="Times New Roman"/>
        <family val="1"/>
      </rPr>
      <t>Ton</t>
    </r>
    <r>
      <rPr>
        <sz val="12"/>
        <rFont val="宋体"/>
        <family val="3"/>
        <charset val="134"/>
      </rPr>
      <t>（吨）</t>
    </r>
  </si>
  <si>
    <r>
      <rPr>
        <sz val="12"/>
        <rFont val="Times New Roman"/>
        <family val="1"/>
      </rPr>
      <t>N(</t>
    </r>
    <r>
      <rPr>
        <sz val="12"/>
        <rFont val="宋体"/>
        <family val="3"/>
        <charset val="134"/>
      </rPr>
      <t>牛</t>
    </r>
    <r>
      <rPr>
        <sz val="12"/>
        <rFont val="Times New Roman"/>
        <family val="1"/>
      </rPr>
      <t>)</t>
    </r>
  </si>
  <si>
    <t>浓度</t>
  </si>
  <si>
    <r>
      <rPr>
        <sz val="12"/>
        <rFont val="Times New Roman"/>
        <family val="1"/>
      </rPr>
      <t>g/cc(g/cm</t>
    </r>
    <r>
      <rPr>
        <vertAlign val="superscript"/>
        <sz val="12"/>
        <rFont val="Times New Roman"/>
        <family val="1"/>
      </rPr>
      <t>3</t>
    </r>
    <r>
      <rPr>
        <sz val="12"/>
        <rFont val="Times New Roman"/>
        <family val="1"/>
      </rPr>
      <t>)</t>
    </r>
  </si>
  <si>
    <r>
      <rPr>
        <sz val="12"/>
        <rFont val="Times New Roman"/>
        <family val="1"/>
      </rPr>
      <t>kg/m</t>
    </r>
    <r>
      <rPr>
        <vertAlign val="superscript"/>
        <sz val="12"/>
        <rFont val="Times New Roman"/>
        <family val="1"/>
      </rPr>
      <t>3</t>
    </r>
  </si>
  <si>
    <r>
      <rPr>
        <sz val="12"/>
        <rFont val="Times New Roman"/>
        <family val="1"/>
      </rPr>
      <t>lb/ft</t>
    </r>
    <r>
      <rPr>
        <vertAlign val="superscript"/>
        <sz val="12"/>
        <rFont val="Times New Roman"/>
        <family val="1"/>
      </rPr>
      <t>3</t>
    </r>
  </si>
  <si>
    <t>lb/u.s.gal</t>
  </si>
  <si>
    <r>
      <rPr>
        <sz val="12"/>
        <rFont val="Times New Roman"/>
        <family val="1"/>
      </rPr>
      <t>g/m</t>
    </r>
    <r>
      <rPr>
        <vertAlign val="superscript"/>
        <sz val="12"/>
        <rFont val="Times New Roman"/>
        <family val="1"/>
      </rPr>
      <t>3</t>
    </r>
  </si>
  <si>
    <r>
      <rPr>
        <sz val="12"/>
        <rFont val="Times New Roman"/>
        <family val="1"/>
      </rPr>
      <t>grain/ft</t>
    </r>
    <r>
      <rPr>
        <vertAlign val="superscript"/>
        <sz val="12"/>
        <rFont val="Times New Roman"/>
        <family val="1"/>
      </rPr>
      <t>3</t>
    </r>
  </si>
  <si>
    <t>黏度</t>
  </si>
  <si>
    <t>poise(g/cm-sec)</t>
  </si>
  <si>
    <r>
      <rPr>
        <sz val="12"/>
        <rFont val="Times New Roman"/>
        <family val="1"/>
      </rPr>
      <t>cp(</t>
    </r>
    <r>
      <rPr>
        <sz val="12"/>
        <rFont val="宋体"/>
        <family val="3"/>
        <charset val="134"/>
      </rPr>
      <t>百分泊</t>
    </r>
    <r>
      <rPr>
        <sz val="12"/>
        <rFont val="Times New Roman"/>
        <family val="1"/>
      </rPr>
      <t>)</t>
    </r>
  </si>
  <si>
    <t>kg/m-sec</t>
  </si>
  <si>
    <t>kg/m-hr</t>
  </si>
  <si>
    <t>lb/ft-sec</t>
  </si>
  <si>
    <t>温度</t>
  </si>
  <si>
    <t>热力学温度K</t>
  </si>
  <si>
    <r>
      <rPr>
        <sz val="12"/>
        <rFont val="宋体"/>
        <family val="3"/>
        <charset val="134"/>
      </rPr>
      <t>摄氏度</t>
    </r>
    <r>
      <rPr>
        <sz val="12"/>
        <rFont val="Times New Roman"/>
        <family val="1"/>
      </rPr>
      <t xml:space="preserve">   </t>
    </r>
    <r>
      <rPr>
        <vertAlign val="superscript"/>
        <sz val="12"/>
        <rFont val="Times New Roman"/>
        <family val="1"/>
      </rPr>
      <t>0</t>
    </r>
    <r>
      <rPr>
        <sz val="12"/>
        <rFont val="Times New Roman"/>
        <family val="1"/>
      </rPr>
      <t>C</t>
    </r>
  </si>
  <si>
    <r>
      <rPr>
        <sz val="12"/>
        <rFont val="宋体"/>
        <family val="3"/>
        <charset val="134"/>
      </rPr>
      <t>华氏</t>
    </r>
    <r>
      <rPr>
        <sz val="12"/>
        <rFont val="Times New Roman"/>
        <family val="1"/>
      </rPr>
      <t xml:space="preserve">   </t>
    </r>
    <r>
      <rPr>
        <vertAlign val="superscript"/>
        <sz val="12"/>
        <rFont val="Times New Roman"/>
        <family val="1"/>
      </rPr>
      <t>0</t>
    </r>
    <r>
      <rPr>
        <sz val="12"/>
        <rFont val="Times New Roman"/>
        <family val="1"/>
      </rPr>
      <t xml:space="preserve"> F</t>
    </r>
  </si>
  <si>
    <t>同步电动机转数公式</t>
  </si>
  <si>
    <t>HZ</t>
  </si>
  <si>
    <t>极</t>
  </si>
  <si>
    <t>2P</t>
  </si>
  <si>
    <t>6P</t>
  </si>
  <si>
    <t>8P</t>
  </si>
  <si>
    <t>表面积及体积计算　</t>
  </si>
  <si>
    <r>
      <rPr>
        <sz val="12"/>
        <rFont val="宋体"/>
        <family val="3"/>
        <charset val="134"/>
      </rPr>
      <t>直径</t>
    </r>
    <r>
      <rPr>
        <sz val="12"/>
        <rFont val="Times New Roman"/>
        <family val="1"/>
      </rPr>
      <t>d(m)</t>
    </r>
  </si>
  <si>
    <r>
      <rPr>
        <sz val="12"/>
        <rFont val="宋体"/>
        <family val="3"/>
        <charset val="134"/>
      </rPr>
      <t>高度</t>
    </r>
    <r>
      <rPr>
        <sz val="12"/>
        <rFont val="Times New Roman"/>
        <family val="1"/>
      </rPr>
      <t>h(m)</t>
    </r>
  </si>
  <si>
    <r>
      <rPr>
        <sz val="12"/>
        <rFont val="宋体"/>
        <family val="3"/>
        <charset val="134"/>
      </rPr>
      <t>边长</t>
    </r>
    <r>
      <rPr>
        <sz val="12"/>
        <rFont val="Times New Roman"/>
        <family val="1"/>
      </rPr>
      <t>a(m)</t>
    </r>
  </si>
  <si>
    <t>圆柱</t>
  </si>
  <si>
    <r>
      <rPr>
        <sz val="12"/>
        <rFont val="宋体"/>
        <family val="3"/>
        <charset val="134"/>
      </rPr>
      <t>表面积</t>
    </r>
    <r>
      <rPr>
        <sz val="12"/>
        <rFont val="Times New Roman"/>
        <family val="1"/>
      </rPr>
      <t>S</t>
    </r>
  </si>
  <si>
    <r>
      <rPr>
        <sz val="12"/>
        <rFont val="宋体"/>
        <family val="3"/>
        <charset val="134"/>
      </rPr>
      <t>体积</t>
    </r>
    <r>
      <rPr>
        <sz val="12"/>
        <rFont val="Times New Roman"/>
        <family val="1"/>
      </rPr>
      <t>V</t>
    </r>
  </si>
  <si>
    <t>圆锥</t>
  </si>
  <si>
    <t>球体</t>
  </si>
  <si>
    <t>六角柱</t>
  </si>
  <si>
    <t>注明：修改红色字体数字后即可换算出所需单位的数值</t>
  </si>
  <si>
    <r>
      <rPr>
        <sz val="11"/>
        <color indexed="8"/>
        <rFont val="TimesNewRomanPSMT"/>
        <family val="1"/>
      </rPr>
      <t xml:space="preserve">           </t>
    </r>
    <r>
      <rPr>
        <sz val="11"/>
        <color indexed="8"/>
        <rFont val="宋体"/>
        <family val="3"/>
        <charset val="134"/>
      </rPr>
      <t>真空发生器的最大吸入流量为</t>
    </r>
  </si>
  <si>
    <t>最大耗气量计算(自由空气)</t>
  </si>
  <si>
    <t>缸径直径</t>
  </si>
  <si>
    <t>D=</t>
  </si>
  <si>
    <t>最大速度</t>
  </si>
  <si>
    <r>
      <rPr>
        <sz val="11"/>
        <color indexed="8"/>
        <rFont val="宋体"/>
        <family val="3"/>
        <charset val="134"/>
      </rPr>
      <t>V</t>
    </r>
    <r>
      <rPr>
        <vertAlign val="subscript"/>
        <sz val="11"/>
        <color indexed="8"/>
        <rFont val="宋体"/>
        <family val="3"/>
        <charset val="134"/>
      </rPr>
      <t>max</t>
    </r>
    <r>
      <rPr>
        <sz val="11"/>
        <color indexed="8"/>
        <rFont val="宋体"/>
        <family val="3"/>
        <charset val="134"/>
      </rPr>
      <t>=</t>
    </r>
  </si>
  <si>
    <t>mm/s</t>
  </si>
  <si>
    <t>使用压力</t>
  </si>
  <si>
    <t>最大耗气量</t>
  </si>
  <si>
    <t>Q=</t>
  </si>
  <si>
    <t>流通能力</t>
  </si>
  <si>
    <r>
      <rPr>
        <sz val="11"/>
        <color indexed="8"/>
        <rFont val="宋体"/>
        <family val="3"/>
        <charset val="134"/>
      </rPr>
      <t>C</t>
    </r>
    <r>
      <rPr>
        <sz val="11"/>
        <color indexed="8"/>
        <rFont val="宋体"/>
        <family val="3"/>
        <charset val="134"/>
      </rPr>
      <t>v=</t>
    </r>
  </si>
  <si>
    <t>Q=984Cv</t>
  </si>
  <si>
    <t>有效流通面积</t>
  </si>
  <si>
    <r>
      <rPr>
        <sz val="12"/>
        <color indexed="10"/>
        <rFont val="宋体"/>
        <family val="3"/>
        <charset val="134"/>
      </rPr>
      <t>★：查看样册电磁阀的（C</t>
    </r>
    <r>
      <rPr>
        <vertAlign val="subscript"/>
        <sz val="12"/>
        <color indexed="10"/>
        <rFont val="宋体"/>
        <family val="3"/>
        <charset val="134"/>
      </rPr>
      <t>V</t>
    </r>
    <r>
      <rPr>
        <sz val="12"/>
        <color indexed="10"/>
        <rFont val="宋体"/>
        <family val="3"/>
        <charset val="134"/>
      </rPr>
      <t>值或流通面积）≥（计算后的C</t>
    </r>
    <r>
      <rPr>
        <vertAlign val="subscript"/>
        <sz val="12"/>
        <color indexed="10"/>
        <rFont val="宋体"/>
        <family val="3"/>
        <charset val="134"/>
      </rPr>
      <t>V</t>
    </r>
    <r>
      <rPr>
        <sz val="12"/>
        <color indexed="10"/>
        <rFont val="宋体"/>
        <family val="3"/>
        <charset val="134"/>
      </rPr>
      <t>值或流通面积）选择相应的电磁阀</t>
    </r>
  </si>
  <si>
    <t>平均耗气量计算</t>
  </si>
  <si>
    <t>气缸工作频度</t>
  </si>
  <si>
    <t>N=</t>
  </si>
  <si>
    <t>周/min</t>
  </si>
  <si>
    <t>（每分钟内气缸的往复周数，一个往复为一周）</t>
  </si>
  <si>
    <t>气缸的行程</t>
  </si>
  <si>
    <t>配管的内径</t>
  </si>
  <si>
    <t>d=</t>
  </si>
  <si>
    <t>换向阀与气缸之间的配管的内径</t>
  </si>
  <si>
    <t>配管的长度</t>
  </si>
  <si>
    <r>
      <rPr>
        <sz val="11"/>
        <color indexed="8"/>
        <rFont val="宋体"/>
        <family val="3"/>
        <charset val="134"/>
      </rPr>
      <t>L</t>
    </r>
    <r>
      <rPr>
        <vertAlign val="subscript"/>
        <sz val="11"/>
        <color indexed="8"/>
        <rFont val="宋体"/>
        <family val="3"/>
        <charset val="134"/>
      </rPr>
      <t>d</t>
    </r>
    <r>
      <rPr>
        <sz val="11"/>
        <color indexed="8"/>
        <rFont val="宋体"/>
        <family val="3"/>
        <charset val="134"/>
      </rPr>
      <t>=</t>
    </r>
  </si>
  <si>
    <t>平均耗气量</t>
  </si>
  <si>
    <t>Qca=</t>
  </si>
  <si>
    <t>L/min(ANR)</t>
  </si>
  <si>
    <t>平均耗气量用于选用空压机、计算运转成本。最大耗气量用于选定空气处理原件、控制阀及配管尺寸等。最大耗气量与平均耗气量之差用于选定气罐的容积。</t>
  </si>
  <si>
    <t>三角皮带轮参数及适用直径</t>
  </si>
  <si>
    <t>选定三角皮带型之一般标准</t>
  </si>
  <si>
    <t>型式</t>
  </si>
  <si>
    <t>α°</t>
  </si>
  <si>
    <t>L0</t>
  </si>
  <si>
    <t>k0</t>
  </si>
  <si>
    <t>r1</t>
  </si>
  <si>
    <t>r2</t>
  </si>
  <si>
    <t>r3</t>
  </si>
  <si>
    <t>三角皮带厚度</t>
  </si>
  <si>
    <t>输出马力HP</t>
  </si>
  <si>
    <t>圆周速度 M/SCC</t>
  </si>
  <si>
    <t>51～70</t>
  </si>
  <si>
    <t>0.2～0.5</t>
  </si>
  <si>
    <t>0.5～1.0</t>
  </si>
  <si>
    <t>1～2</t>
  </si>
  <si>
    <t>＜2</t>
  </si>
  <si>
    <t>71～90</t>
  </si>
  <si>
    <t>2～5</t>
  </si>
  <si>
    <t>A或B</t>
  </si>
  <si>
    <t>&gt;90</t>
  </si>
  <si>
    <t>5～10</t>
  </si>
  <si>
    <t>B或C</t>
  </si>
  <si>
    <t>71～100</t>
  </si>
  <si>
    <t>10～25</t>
  </si>
  <si>
    <t>101～125</t>
  </si>
  <si>
    <t>25～50</t>
  </si>
  <si>
    <t>C或D</t>
  </si>
  <si>
    <t>&gt;125</t>
  </si>
  <si>
    <t>50～100</t>
  </si>
  <si>
    <t>125～160</t>
  </si>
  <si>
    <t>100～150</t>
  </si>
  <si>
    <t>160～200</t>
  </si>
  <si>
    <r>
      <rPr>
        <sz val="14"/>
        <rFont val="宋体"/>
        <family val="3"/>
        <charset val="134"/>
      </rPr>
      <t>&gt;</t>
    </r>
    <r>
      <rPr>
        <sz val="14"/>
        <rFont val="楷体_GB2312"/>
        <charset val="134"/>
      </rPr>
      <t>150</t>
    </r>
  </si>
  <si>
    <t>&gt;200</t>
  </si>
  <si>
    <t>200～250</t>
  </si>
  <si>
    <t>1.0～1.6</t>
  </si>
  <si>
    <t>250～315</t>
  </si>
  <si>
    <t>&gt;315</t>
  </si>
  <si>
    <t>355～450</t>
  </si>
  <si>
    <t>1.6～2.0</t>
  </si>
  <si>
    <t>3～4</t>
  </si>
  <si>
    <t>&gt;450</t>
  </si>
  <si>
    <t>500～630</t>
  </si>
  <si>
    <t>4～5</t>
  </si>
  <si>
    <t>&gt;630</t>
  </si>
  <si>
    <t>气 缸 理 论 出 力 表 及 气 缸 内 径 确 定</t>
  </si>
  <si>
    <t>气缸内径(mm)</t>
  </si>
  <si>
    <t>输出力P(N)</t>
  </si>
  <si>
    <r>
      <rPr>
        <sz val="12"/>
        <rFont val="宋体"/>
        <family val="3"/>
        <charset val="134"/>
      </rPr>
      <t>受压面积(cm</t>
    </r>
    <r>
      <rPr>
        <vertAlign val="superscript"/>
        <sz val="12"/>
        <rFont val="宋体"/>
        <family val="3"/>
        <charset val="134"/>
      </rPr>
      <t>2</t>
    </r>
    <r>
      <rPr>
        <sz val="12"/>
        <rFont val="宋体"/>
        <family val="3"/>
        <charset val="134"/>
      </rPr>
      <t>)</t>
    </r>
  </si>
  <si>
    <t>工作压力MPa</t>
  </si>
  <si>
    <t>推力</t>
  </si>
  <si>
    <t>拉力</t>
  </si>
  <si>
    <t>16.76.0</t>
  </si>
  <si>
    <t xml:space="preserve">注：上述出力换算表是指气缸运动速度在50-500mm/s内的理论出力。 </t>
  </si>
  <si>
    <t>气缸内径的确定</t>
  </si>
  <si>
    <t>1.由负载性质及气缸运动速度选定负载率β值</t>
  </si>
  <si>
    <t>负载率 β=F/P×100% 式中F-气缸活塞杆上所受的实际负载(N) P-气缸理论出力(N)</t>
  </si>
  <si>
    <t>理论输出力P(N) 推力P1=π/4×D2×p 式中D-气缸内径(cm) p-气缸工作压力(MPa)</t>
  </si>
  <si>
    <t>拉力P2=π/4×(D2-d2)×p 式中d-气缸活塞直径(cm)</t>
  </si>
  <si>
    <t>负载性质 阻性负载 β=80% 惯性负载 一般场合 β=50% V&lt;0.2m/s β=65% 高速运动 β=30%</t>
  </si>
  <si>
    <t>2.由实际负载F及负载率β值，即将求出所需的气缸理论输出力P(P1或P2） P=F/β</t>
  </si>
  <si>
    <t>3.由气缸的工作压力P及所需的理论输出力P(P1或P2）即可计算气缸缸径D，再按缸径系列尺寸圆整。</t>
  </si>
  <si>
    <t>已知：实际负载F，负载率β值，气缸工作压力，求气缸缸径大小。
方法：在紫色方格内输入数据，就可以计算出所需气缸缸径。</t>
  </si>
  <si>
    <t>序列</t>
  </si>
  <si>
    <t>实际负载F=</t>
  </si>
  <si>
    <t>气缸的工作压力P=</t>
  </si>
  <si>
    <t>输入负载工作速度情况属于1，或2</t>
  </si>
  <si>
    <t>1、V&lt;0.2m/s β=65%
2、高速运动 β=30%</t>
  </si>
  <si>
    <t>输入负载性质选项：1或2</t>
  </si>
  <si>
    <t xml:space="preserve">1 阻性负载， β=80% 
2、惯性负载 一般场合 β=50% </t>
  </si>
  <si>
    <t>由负载性质及气缸运动速度选定负载率β值</t>
  </si>
  <si>
    <t>负载率β=</t>
  </si>
  <si>
    <t>根据负载速度选择负载率</t>
  </si>
  <si>
    <t>根据负载性质选择负载率</t>
  </si>
  <si>
    <t>取小的负载率</t>
  </si>
  <si>
    <t>计算气缸理论出力</t>
  </si>
  <si>
    <t>气缸理论出力P=F/β</t>
  </si>
  <si>
    <t>计算所需气缸缸径D=</t>
  </si>
  <si>
    <t>P1=π/4×D2×p</t>
  </si>
  <si>
    <t>选择气缸缸径D=</t>
  </si>
  <si>
    <t>根据计算所需缸径大小选择缸径</t>
  </si>
  <si>
    <t>①机械系统的决定</t>
  </si>
  <si>
    <t>负载质量M（kg）</t>
  </si>
  <si>
    <t>·滚珠丝杠节距P（mm）</t>
  </si>
  <si>
    <t>·滚珠丝杠直径D（mm）</t>
  </si>
  <si>
    <t>·滚珠丝杠质量MB（kg）</t>
  </si>
  <si>
    <t>·滚珠丝杠摩擦系数μ</t>
  </si>
  <si>
    <t>·因无减速器，所以G=1、η=1</t>
  </si>
  <si>
    <t>②动作模式的决定</t>
  </si>
  <si>
    <t>速度(mm/s)</t>
  </si>
  <si>
    <t>单一变化</t>
  </si>
  <si>
    <t>·负载移动速度V（mm/s）</t>
  </si>
  <si>
    <t>·行程L（mm）</t>
  </si>
  <si>
    <t>·行程时间tS（s）</t>
  </si>
  <si>
    <t>·加减速时间tA（s）</t>
  </si>
  <si>
    <t>·定位精度AP（mm）</t>
  </si>
  <si>
    <t>时间(s)</t>
  </si>
  <si>
    <t>③换算到电机轴负载惯量的计算</t>
  </si>
  <si>
    <t>滚珠丝杠的惯量JB=</t>
  </si>
  <si>
    <t>kg.m2</t>
  </si>
  <si>
    <t>负载的惯量JW=</t>
  </si>
  <si>
    <t>换算到电机轴负载惯量JL=JW</t>
  </si>
  <si>
    <r>
      <rPr>
        <sz val="12"/>
        <rFont val="宋体"/>
        <family val="3"/>
        <charset val="134"/>
      </rPr>
      <t>J</t>
    </r>
    <r>
      <rPr>
        <vertAlign val="subscript"/>
        <sz val="12"/>
        <rFont val="宋体"/>
        <family val="3"/>
        <charset val="134"/>
      </rPr>
      <t>L</t>
    </r>
    <r>
      <rPr>
        <sz val="12"/>
        <rFont val="宋体"/>
        <family val="3"/>
        <charset val="134"/>
      </rPr>
      <t>=G</t>
    </r>
    <r>
      <rPr>
        <vertAlign val="superscript"/>
        <sz val="12"/>
        <rFont val="宋体"/>
        <family val="3"/>
        <charset val="134"/>
      </rPr>
      <t>2</t>
    </r>
    <r>
      <rPr>
        <sz val="12"/>
        <rFont val="宋体"/>
        <family val="3"/>
        <charset val="134"/>
      </rPr>
      <t>x(J</t>
    </r>
    <r>
      <rPr>
        <vertAlign val="subscript"/>
        <sz val="12"/>
        <rFont val="宋体"/>
        <family val="3"/>
        <charset val="134"/>
      </rPr>
      <t>W</t>
    </r>
    <r>
      <rPr>
        <sz val="12"/>
        <rFont val="宋体"/>
        <family val="3"/>
        <charset val="134"/>
      </rPr>
      <t>+J</t>
    </r>
    <r>
      <rPr>
        <vertAlign val="subscript"/>
        <sz val="12"/>
        <rFont val="宋体"/>
        <family val="3"/>
        <charset val="134"/>
      </rPr>
      <t>2</t>
    </r>
    <r>
      <rPr>
        <sz val="12"/>
        <rFont val="宋体"/>
        <family val="3"/>
        <charset val="134"/>
      </rPr>
      <t>)+J1</t>
    </r>
  </si>
  <si>
    <t>④负载转矩的计算</t>
  </si>
  <si>
    <t>对摩擦力的转矩Tw</t>
  </si>
  <si>
    <t>换算到电机轴负载转矩TL=Tw</t>
  </si>
  <si>
    <t>⑤旋转数的计算</t>
  </si>
  <si>
    <t>转数N</t>
  </si>
  <si>
    <t>N=60V/P.G</t>
  </si>
  <si>
    <t>⑥电机的初步选定[选自OMNUC U系列的初步选定举例]</t>
  </si>
  <si>
    <t>选定电机的转子·惯量为负载的1/30*以上的电机</t>
  </si>
  <si>
    <r>
      <rPr>
        <sz val="12"/>
        <rFont val="宋体"/>
        <family val="3"/>
        <charset val="134"/>
      </rPr>
      <t>JM≥J</t>
    </r>
    <r>
      <rPr>
        <vertAlign val="subscript"/>
        <sz val="12"/>
        <rFont val="宋体"/>
        <family val="3"/>
        <charset val="134"/>
      </rPr>
      <t>L</t>
    </r>
    <r>
      <rPr>
        <sz val="12"/>
        <rFont val="宋体"/>
        <family val="3"/>
        <charset val="134"/>
      </rPr>
      <t>/30</t>
    </r>
  </si>
  <si>
    <r>
      <rPr>
        <sz val="12"/>
        <rFont val="宋体"/>
        <family val="3"/>
        <charset val="134"/>
      </rPr>
      <t>kg.m</t>
    </r>
    <r>
      <rPr>
        <vertAlign val="superscript"/>
        <sz val="12"/>
        <rFont val="宋体"/>
        <family val="3"/>
        <charset val="134"/>
      </rPr>
      <t>2</t>
    </r>
  </si>
  <si>
    <t>初步选择定R88M-U20030(Jm=</t>
  </si>
  <si>
    <t>选定电机的额定转矩×0.8
比换算到电机轴负载转矩
大的电机N.m</t>
  </si>
  <si>
    <r>
      <rPr>
        <sz val="12"/>
        <rFont val="宋体"/>
        <family val="3"/>
        <charset val="134"/>
      </rPr>
      <t>TMx0.8＞T</t>
    </r>
    <r>
      <rPr>
        <vertAlign val="subscript"/>
        <sz val="12"/>
        <rFont val="宋体"/>
        <family val="3"/>
        <charset val="134"/>
      </rPr>
      <t>L</t>
    </r>
  </si>
  <si>
    <t>＞</t>
  </si>
  <si>
    <t>根据R88M-U20030的额定转矩Tm=</t>
  </si>
  <si>
    <t>(N.m)</t>
  </si>
  <si>
    <t>＊ 此值因各系列而异，请加以注意。</t>
  </si>
  <si>
    <t>⑦加减速转矩的计算</t>
  </si>
  <si>
    <t>加减速转矩TA</t>
  </si>
  <si>
    <t>⑧瞬时最大转矩、有效转矩的计算</t>
  </si>
  <si>
    <t>必要的瞬时最大转矩为T1</t>
  </si>
  <si>
    <t>T1=TA+TL</t>
  </si>
  <si>
    <t>T2=TL</t>
  </si>
  <si>
    <t>T3=TL-TA</t>
  </si>
  <si>
    <t>有效转矩Trms为</t>
  </si>
  <si>
    <t>⑨讨论</t>
  </si>
  <si>
    <t>负载惯量JL</t>
  </si>
  <si>
    <t>≦[电机的转子惯量JM</t>
  </si>
  <si>
    <t>×[适用的惯量比=30]</t>
  </si>
  <si>
    <t>条件满足</t>
  </si>
  <si>
    <t>有效转矩Trms</t>
  </si>
  <si>
    <t>﹤[电机的额定转矩</t>
  </si>
  <si>
    <t>瞬时最大转矩T1</t>
  </si>
  <si>
    <t>﹤[电机的瞬时最大转矩</t>
  </si>
  <si>
    <t>必要的最大转数N</t>
  </si>
  <si>
    <t>≦[电机的额定转数</t>
  </si>
  <si>
    <t>编码器分辨率R=P.G/AP.S</t>
  </si>
  <si>
    <t>(脉冲/转)</t>
  </si>
  <si>
    <t>U系列的编码器规格为2048（脉冲/转），经编码器分频比设定至1000（脉冲/转）的情况下使用。</t>
  </si>
  <si>
    <t>材料计算表</t>
  </si>
  <si>
    <t>45#</t>
  </si>
  <si>
    <t>选择材料</t>
  </si>
  <si>
    <t>长（mm）</t>
  </si>
  <si>
    <t>宽（mm）</t>
  </si>
  <si>
    <t>高（mm）</t>
  </si>
  <si>
    <t>单价（kg/元）</t>
  </si>
  <si>
    <t>密度（g/cm3)</t>
  </si>
  <si>
    <t>数量（件）</t>
  </si>
  <si>
    <t>总和（元）</t>
  </si>
  <si>
    <t>光板</t>
  </si>
  <si>
    <t>电木</t>
  </si>
  <si>
    <t>光扁</t>
  </si>
  <si>
    <t>镀铬棒</t>
  </si>
  <si>
    <t>铝管</t>
  </si>
  <si>
    <t>注意：密度值可参照本文档中的常用材料密度表，材料单价自己咨询供应商。</t>
  </si>
  <si>
    <t>纤维板</t>
  </si>
  <si>
    <t>过盈配合压入力计算</t>
  </si>
  <si>
    <t>常用材料弹性模量、泊松系数和线性膨胀系数</t>
  </si>
  <si>
    <r>
      <rPr>
        <sz val="12"/>
        <rFont val="宋体"/>
        <family val="3"/>
        <charset val="134"/>
      </rPr>
      <t>弹性模量</t>
    </r>
    <r>
      <rPr>
        <sz val="12"/>
        <rFont val="Times New Roman"/>
        <family val="1"/>
      </rPr>
      <t>E     *10</t>
    </r>
    <r>
      <rPr>
        <vertAlign val="superscript"/>
        <sz val="12"/>
        <rFont val="Times New Roman"/>
        <family val="1"/>
      </rPr>
      <t>3</t>
    </r>
    <r>
      <rPr>
        <sz val="12"/>
        <rFont val="Times New Roman"/>
        <family val="1"/>
      </rPr>
      <t>(N/mm²)</t>
    </r>
  </si>
  <si>
    <t>泊松系数</t>
  </si>
  <si>
    <r>
      <rPr>
        <sz val="12"/>
        <rFont val="宋体"/>
        <family val="3"/>
        <charset val="134"/>
      </rPr>
      <t>线膨胀系数</t>
    </r>
    <r>
      <rPr>
        <sz val="12"/>
        <rFont val="Times New Roman"/>
        <family val="1"/>
      </rPr>
      <t>a</t>
    </r>
  </si>
  <si>
    <r>
      <rPr>
        <sz val="12"/>
        <rFont val="宋体"/>
        <family val="3"/>
        <charset val="134"/>
      </rPr>
      <t>结合直径（</t>
    </r>
    <r>
      <rPr>
        <sz val="12"/>
        <rFont val="Times New Roman"/>
        <family val="1"/>
      </rPr>
      <t>mm</t>
    </r>
    <r>
      <rPr>
        <sz val="12"/>
        <rFont val="宋体"/>
        <family val="3"/>
        <charset val="134"/>
      </rPr>
      <t>）</t>
    </r>
  </si>
  <si>
    <r>
      <rPr>
        <sz val="12"/>
        <rFont val="Times New Roman"/>
        <family val="1"/>
      </rPr>
      <t>d</t>
    </r>
    <r>
      <rPr>
        <vertAlign val="subscript"/>
        <sz val="10"/>
        <rFont val="Times New Roman"/>
        <family val="1"/>
      </rPr>
      <t>f</t>
    </r>
  </si>
  <si>
    <t>加热</t>
  </si>
  <si>
    <t>冷却</t>
  </si>
  <si>
    <r>
      <rPr>
        <sz val="12"/>
        <rFont val="宋体"/>
        <family val="3"/>
        <charset val="134"/>
      </rPr>
      <t>结合长度（</t>
    </r>
    <r>
      <rPr>
        <sz val="12"/>
        <rFont val="Times New Roman"/>
        <family val="1"/>
      </rPr>
      <t>mm)</t>
    </r>
  </si>
  <si>
    <r>
      <rPr>
        <sz val="12"/>
        <rFont val="Times New Roman"/>
        <family val="1"/>
      </rPr>
      <t>L</t>
    </r>
    <r>
      <rPr>
        <vertAlign val="subscript"/>
        <sz val="10"/>
        <rFont val="Times New Roman"/>
        <family val="1"/>
      </rPr>
      <t>f</t>
    </r>
  </si>
  <si>
    <t>碳钢、低合金钢、合金结构钢</t>
  </si>
  <si>
    <t>200~235</t>
  </si>
  <si>
    <t>0.30~0.31</t>
  </si>
  <si>
    <r>
      <rPr>
        <sz val="12"/>
        <rFont val="宋体"/>
        <family val="3"/>
        <charset val="134"/>
      </rPr>
      <t>最大过盈量</t>
    </r>
    <r>
      <rPr>
        <sz val="12"/>
        <rFont val="Times New Roman"/>
        <family val="1"/>
      </rPr>
      <t>(mm)</t>
    </r>
  </si>
  <si>
    <r>
      <rPr>
        <sz val="12"/>
        <rFont val="宋体"/>
        <family val="3"/>
        <charset val="134"/>
      </rPr>
      <t>δ</t>
    </r>
    <r>
      <rPr>
        <vertAlign val="subscript"/>
        <sz val="12"/>
        <rFont val="Times New Roman"/>
        <family val="1"/>
      </rPr>
      <t>max</t>
    </r>
  </si>
  <si>
    <r>
      <rPr>
        <sz val="12"/>
        <rFont val="宋体"/>
        <family val="3"/>
        <charset val="134"/>
      </rPr>
      <t>灰铸铁</t>
    </r>
    <r>
      <rPr>
        <sz val="12"/>
        <rFont val="Times New Roman"/>
        <family val="1"/>
      </rPr>
      <t>HT150</t>
    </r>
    <r>
      <rPr>
        <sz val="12"/>
        <rFont val="宋体"/>
        <family val="3"/>
        <charset val="134"/>
      </rPr>
      <t>、</t>
    </r>
    <r>
      <rPr>
        <sz val="12"/>
        <rFont val="Times New Roman"/>
        <family val="1"/>
      </rPr>
      <t>HT200</t>
    </r>
  </si>
  <si>
    <t>70~80</t>
  </si>
  <si>
    <t>0.24~0.25</t>
  </si>
  <si>
    <r>
      <rPr>
        <sz val="12"/>
        <rFont val="宋体"/>
        <family val="3"/>
        <charset val="134"/>
      </rPr>
      <t>包容件弹性模量</t>
    </r>
    <r>
      <rPr>
        <sz val="12"/>
        <rFont val="Times New Roman"/>
        <family val="1"/>
      </rPr>
      <t>(N/mm²)</t>
    </r>
  </si>
  <si>
    <r>
      <rPr>
        <sz val="12"/>
        <rFont val="Times New Roman"/>
        <family val="1"/>
      </rPr>
      <t>E</t>
    </r>
    <r>
      <rPr>
        <vertAlign val="subscript"/>
        <sz val="12"/>
        <rFont val="Times New Roman"/>
        <family val="1"/>
      </rPr>
      <t>a</t>
    </r>
  </si>
  <si>
    <r>
      <rPr>
        <sz val="12"/>
        <rFont val="宋体"/>
        <family val="3"/>
        <charset val="134"/>
      </rPr>
      <t>灰铸铁</t>
    </r>
    <r>
      <rPr>
        <sz val="12"/>
        <rFont val="Times New Roman"/>
        <family val="1"/>
      </rPr>
      <t>HT250</t>
    </r>
    <r>
      <rPr>
        <sz val="12"/>
        <rFont val="宋体"/>
        <family val="3"/>
        <charset val="134"/>
      </rPr>
      <t>、</t>
    </r>
    <r>
      <rPr>
        <sz val="12"/>
        <rFont val="Times New Roman"/>
        <family val="1"/>
      </rPr>
      <t>HT300</t>
    </r>
  </si>
  <si>
    <t>105~130</t>
  </si>
  <si>
    <t>0.24~0.26</t>
  </si>
  <si>
    <r>
      <rPr>
        <sz val="12"/>
        <rFont val="宋体"/>
        <family val="3"/>
        <charset val="134"/>
      </rPr>
      <t>被包容件弹性模量</t>
    </r>
    <r>
      <rPr>
        <sz val="12"/>
        <rFont val="Times New Roman"/>
        <family val="1"/>
      </rPr>
      <t>(N/mm</t>
    </r>
    <r>
      <rPr>
        <sz val="12"/>
        <rFont val="宋体"/>
        <family val="3"/>
        <charset val="134"/>
      </rPr>
      <t>²</t>
    </r>
    <r>
      <rPr>
        <sz val="12"/>
        <rFont val="Times New Roman"/>
        <family val="1"/>
      </rPr>
      <t>)</t>
    </r>
  </si>
  <si>
    <r>
      <rPr>
        <sz val="12"/>
        <rFont val="Times New Roman"/>
        <family val="1"/>
      </rPr>
      <t>E</t>
    </r>
    <r>
      <rPr>
        <vertAlign val="subscript"/>
        <sz val="12"/>
        <rFont val="Times New Roman"/>
        <family val="1"/>
      </rPr>
      <t>i</t>
    </r>
  </si>
  <si>
    <t>90~100</t>
  </si>
  <si>
    <r>
      <rPr>
        <sz val="12"/>
        <rFont val="宋体"/>
        <family val="3"/>
        <charset val="134"/>
      </rPr>
      <t>包容件外径</t>
    </r>
    <r>
      <rPr>
        <sz val="12"/>
        <rFont val="Times New Roman"/>
        <family val="1"/>
      </rPr>
      <t>(mm)</t>
    </r>
  </si>
  <si>
    <r>
      <rPr>
        <sz val="12"/>
        <rFont val="Times New Roman"/>
        <family val="1"/>
      </rPr>
      <t>d</t>
    </r>
    <r>
      <rPr>
        <vertAlign val="subscript"/>
        <sz val="12"/>
        <rFont val="Times New Roman"/>
        <family val="1"/>
      </rPr>
      <t>a</t>
    </r>
  </si>
  <si>
    <t>非合金球墨铸铁</t>
  </si>
  <si>
    <t>160~180</t>
  </si>
  <si>
    <t>0.28~0.29</t>
  </si>
  <si>
    <r>
      <rPr>
        <sz val="12"/>
        <rFont val="宋体"/>
        <family val="3"/>
        <charset val="134"/>
      </rPr>
      <t>被包容件内径</t>
    </r>
    <r>
      <rPr>
        <sz val="12"/>
        <rFont val="Times New Roman"/>
        <family val="1"/>
      </rPr>
      <t>(mm)</t>
    </r>
  </si>
  <si>
    <r>
      <rPr>
        <sz val="12"/>
        <rFont val="Times New Roman"/>
        <family val="1"/>
      </rPr>
      <t>d</t>
    </r>
    <r>
      <rPr>
        <vertAlign val="subscript"/>
        <sz val="12"/>
        <rFont val="Times New Roman"/>
        <family val="1"/>
      </rPr>
      <t>i</t>
    </r>
  </si>
  <si>
    <t>青铜</t>
  </si>
  <si>
    <r>
      <rPr>
        <sz val="12"/>
        <rFont val="宋体"/>
        <family val="3"/>
        <charset val="134"/>
      </rPr>
      <t>系数</t>
    </r>
    <r>
      <rPr>
        <sz val="12"/>
        <rFont val="Times New Roman"/>
        <family val="1"/>
      </rPr>
      <t>C</t>
    </r>
    <r>
      <rPr>
        <vertAlign val="subscript"/>
        <sz val="12"/>
        <rFont val="Times New Roman"/>
        <family val="1"/>
      </rPr>
      <t>a</t>
    </r>
  </si>
  <si>
    <r>
      <rPr>
        <sz val="12"/>
        <rFont val="Times New Roman"/>
        <family val="1"/>
      </rPr>
      <t>C</t>
    </r>
    <r>
      <rPr>
        <vertAlign val="subscript"/>
        <sz val="12"/>
        <rFont val="Times New Roman"/>
        <family val="1"/>
      </rPr>
      <t>a</t>
    </r>
  </si>
  <si>
    <r>
      <rPr>
        <sz val="12"/>
        <rFont val="宋体"/>
        <family val="3"/>
        <charset val="134"/>
      </rPr>
      <t>钢</t>
    </r>
    <r>
      <rPr>
        <sz val="12"/>
        <rFont val="Times New Roman"/>
        <family val="1"/>
      </rPr>
      <t>-</t>
    </r>
    <r>
      <rPr>
        <sz val="12"/>
        <rFont val="宋体"/>
        <family val="3"/>
        <charset val="134"/>
      </rPr>
      <t>钢</t>
    </r>
  </si>
  <si>
    <t>0.07~0.16</t>
  </si>
  <si>
    <t>0.05~0.13</t>
  </si>
  <si>
    <r>
      <rPr>
        <sz val="12"/>
        <rFont val="宋体"/>
        <family val="3"/>
        <charset val="134"/>
      </rPr>
      <t>系数</t>
    </r>
    <r>
      <rPr>
        <sz val="12"/>
        <rFont val="Times New Roman"/>
        <family val="1"/>
      </rPr>
      <t>C</t>
    </r>
    <r>
      <rPr>
        <vertAlign val="subscript"/>
        <sz val="12"/>
        <rFont val="Times New Roman"/>
        <family val="1"/>
      </rPr>
      <t>i</t>
    </r>
  </si>
  <si>
    <r>
      <rPr>
        <sz val="12"/>
        <rFont val="Times New Roman"/>
        <family val="1"/>
      </rPr>
      <t>C</t>
    </r>
    <r>
      <rPr>
        <vertAlign val="subscript"/>
        <sz val="12"/>
        <rFont val="Times New Roman"/>
        <family val="1"/>
      </rPr>
      <t>i</t>
    </r>
  </si>
  <si>
    <r>
      <rPr>
        <sz val="12"/>
        <rFont val="宋体"/>
        <family val="3"/>
        <charset val="134"/>
      </rPr>
      <t>钢</t>
    </r>
    <r>
      <rPr>
        <sz val="12"/>
        <rFont val="Times New Roman"/>
        <family val="1"/>
      </rPr>
      <t>-</t>
    </r>
    <r>
      <rPr>
        <sz val="12"/>
        <rFont val="宋体"/>
        <family val="3"/>
        <charset val="134"/>
      </rPr>
      <t>铸钢</t>
    </r>
  </si>
  <si>
    <r>
      <rPr>
        <sz val="12"/>
        <rFont val="宋体"/>
        <family val="3"/>
        <charset val="134"/>
      </rPr>
      <t>结合面最大单位压力</t>
    </r>
    <r>
      <rPr>
        <sz val="12"/>
        <rFont val="Times New Roman"/>
        <family val="1"/>
      </rPr>
      <t>(N/mm</t>
    </r>
    <r>
      <rPr>
        <vertAlign val="superscript"/>
        <sz val="12"/>
        <rFont val="Times New Roman"/>
        <family val="1"/>
      </rPr>
      <t>2</t>
    </r>
    <r>
      <rPr>
        <sz val="12"/>
        <rFont val="Times New Roman"/>
        <family val="1"/>
      </rPr>
      <t>)</t>
    </r>
  </si>
  <si>
    <r>
      <rPr>
        <sz val="12"/>
        <rFont val="Times New Roman"/>
        <family val="1"/>
      </rPr>
      <t>P</t>
    </r>
    <r>
      <rPr>
        <vertAlign val="subscript"/>
        <sz val="12"/>
        <rFont val="Times New Roman"/>
        <family val="1"/>
      </rPr>
      <t>fmax</t>
    </r>
  </si>
  <si>
    <r>
      <rPr>
        <sz val="12"/>
        <rFont val="宋体"/>
        <family val="3"/>
        <charset val="134"/>
      </rPr>
      <t>钢</t>
    </r>
    <r>
      <rPr>
        <sz val="12"/>
        <rFont val="Times New Roman"/>
        <family val="1"/>
      </rPr>
      <t>-</t>
    </r>
    <r>
      <rPr>
        <sz val="12"/>
        <rFont val="宋体"/>
        <family val="3"/>
        <charset val="134"/>
      </rPr>
      <t>结构钢</t>
    </r>
  </si>
  <si>
    <r>
      <rPr>
        <sz val="12"/>
        <rFont val="宋体"/>
        <family val="3"/>
        <charset val="134"/>
      </rPr>
      <t>钢</t>
    </r>
    <r>
      <rPr>
        <sz val="12"/>
        <rFont val="Times New Roman"/>
        <family val="1"/>
      </rPr>
      <t>-</t>
    </r>
    <r>
      <rPr>
        <sz val="12"/>
        <rFont val="宋体"/>
        <family val="3"/>
        <charset val="134"/>
      </rPr>
      <t>优质结构钢</t>
    </r>
  </si>
  <si>
    <r>
      <rPr>
        <b/>
        <sz val="22"/>
        <color indexed="14"/>
        <rFont val="宋体"/>
        <family val="3"/>
        <charset val="134"/>
      </rPr>
      <t>压入力</t>
    </r>
    <r>
      <rPr>
        <b/>
        <sz val="22"/>
        <color indexed="14"/>
        <rFont val="Times New Roman"/>
        <family val="1"/>
      </rPr>
      <t>(kg)</t>
    </r>
  </si>
  <si>
    <r>
      <rPr>
        <sz val="12"/>
        <rFont val="宋体"/>
        <family val="3"/>
        <charset val="134"/>
      </rPr>
      <t>钢</t>
    </r>
    <r>
      <rPr>
        <sz val="12"/>
        <rFont val="Times New Roman"/>
        <family val="1"/>
      </rPr>
      <t>-</t>
    </r>
    <r>
      <rPr>
        <sz val="12"/>
        <rFont val="宋体"/>
        <family val="3"/>
        <charset val="134"/>
      </rPr>
      <t>青铜</t>
    </r>
  </si>
  <si>
    <t>0.15~0.20</t>
  </si>
  <si>
    <t>0.03~0.06</t>
  </si>
  <si>
    <r>
      <rPr>
        <sz val="12"/>
        <rFont val="宋体"/>
        <family val="3"/>
        <charset val="134"/>
      </rPr>
      <t>注：</t>
    </r>
    <r>
      <rPr>
        <sz val="12"/>
        <rFont val="Times New Roman"/>
        <family val="1"/>
      </rPr>
      <t>1</t>
    </r>
    <r>
      <rPr>
        <sz val="12"/>
        <rFont val="宋体"/>
        <family val="3"/>
        <charset val="134"/>
      </rPr>
      <t>、仅需填写（</t>
    </r>
    <r>
      <rPr>
        <sz val="12"/>
        <rFont val="Times New Roman"/>
        <family val="1"/>
      </rPr>
      <t>1</t>
    </r>
    <r>
      <rPr>
        <sz val="12"/>
        <rFont val="宋体"/>
        <family val="3"/>
        <charset val="134"/>
      </rPr>
      <t>－</t>
    </r>
    <r>
      <rPr>
        <sz val="12"/>
        <rFont val="Times New Roman"/>
        <family val="1"/>
      </rPr>
      <t>9</t>
    </r>
    <r>
      <rPr>
        <sz val="12"/>
        <rFont val="宋体"/>
        <family val="3"/>
        <charset val="134"/>
      </rPr>
      <t>）项即红色部分即可；</t>
    </r>
  </si>
  <si>
    <r>
      <rPr>
        <sz val="12"/>
        <rFont val="宋体"/>
        <family val="3"/>
        <charset val="134"/>
      </rPr>
      <t>钢</t>
    </r>
    <r>
      <rPr>
        <sz val="12"/>
        <rFont val="Times New Roman"/>
        <family val="1"/>
      </rPr>
      <t>-</t>
    </r>
    <r>
      <rPr>
        <sz val="12"/>
        <rFont val="宋体"/>
        <family val="3"/>
        <charset val="134"/>
      </rPr>
      <t>铸铁</t>
    </r>
  </si>
  <si>
    <t>0.12~0.15</t>
  </si>
  <si>
    <t>0.05~0.10</t>
  </si>
  <si>
    <r>
      <rPr>
        <sz val="12"/>
        <rFont val="Times New Roman"/>
        <family val="1"/>
      </rPr>
      <t xml:space="preserve">        2</t>
    </r>
    <r>
      <rPr>
        <sz val="12"/>
        <rFont val="宋体"/>
        <family val="3"/>
        <charset val="134"/>
      </rPr>
      <t>、被包容件为实心轴时</t>
    </r>
    <r>
      <rPr>
        <sz val="12"/>
        <rFont val="Times New Roman"/>
        <family val="1"/>
      </rPr>
      <t>di=0</t>
    </r>
    <r>
      <rPr>
        <sz val="12"/>
        <rFont val="宋体"/>
        <family val="3"/>
        <charset val="134"/>
      </rPr>
      <t>；</t>
    </r>
  </si>
  <si>
    <r>
      <rPr>
        <sz val="12"/>
        <rFont val="宋体"/>
        <family val="3"/>
        <charset val="134"/>
      </rPr>
      <t>铸铁</t>
    </r>
    <r>
      <rPr>
        <sz val="12"/>
        <rFont val="Times New Roman"/>
        <family val="1"/>
      </rPr>
      <t>-</t>
    </r>
    <r>
      <rPr>
        <sz val="12"/>
        <rFont val="宋体"/>
        <family val="3"/>
        <charset val="134"/>
      </rPr>
      <t>铸铁</t>
    </r>
  </si>
  <si>
    <t>0.15~0.25</t>
  </si>
  <si>
    <r>
      <rPr>
        <sz val="12"/>
        <rFont val="Times New Roman"/>
        <family val="1"/>
      </rPr>
      <t xml:space="preserve">        3</t>
    </r>
    <r>
      <rPr>
        <sz val="12"/>
        <rFont val="宋体"/>
        <family val="3"/>
        <charset val="134"/>
      </rPr>
      <t>、压装机所需的压力一般为压入力的</t>
    </r>
    <r>
      <rPr>
        <sz val="12"/>
        <rFont val="Times New Roman"/>
        <family val="1"/>
      </rPr>
      <t>3</t>
    </r>
    <r>
      <rPr>
        <sz val="12"/>
        <rFont val="宋体"/>
        <family val="3"/>
        <charset val="134"/>
      </rPr>
      <t>～</t>
    </r>
    <r>
      <rPr>
        <sz val="12"/>
        <rFont val="Times New Roman"/>
        <family val="1"/>
      </rPr>
      <t>3.6</t>
    </r>
    <r>
      <rPr>
        <sz val="12"/>
        <rFont val="宋体"/>
        <family val="3"/>
        <charset val="134"/>
      </rPr>
      <t>倍</t>
    </r>
  </si>
  <si>
    <t>电机功率确定程序（公众号：曼仑）</t>
  </si>
  <si>
    <r>
      <rPr>
        <sz val="12"/>
        <rFont val="Times New Roman"/>
        <family val="1"/>
      </rPr>
      <t>1</t>
    </r>
    <r>
      <rPr>
        <sz val="12"/>
        <rFont val="宋体"/>
        <family val="3"/>
        <charset val="134"/>
      </rPr>
      <t>、已知工作机的线速度</t>
    </r>
    <r>
      <rPr>
        <sz val="12"/>
        <rFont val="Times New Roman"/>
        <family val="1"/>
      </rPr>
      <t>v</t>
    </r>
    <r>
      <rPr>
        <sz val="12"/>
        <rFont val="宋体"/>
        <family val="3"/>
        <charset val="134"/>
      </rPr>
      <t>及最大工作阻力</t>
    </r>
    <r>
      <rPr>
        <sz val="12"/>
        <rFont val="Times New Roman"/>
        <family val="1"/>
      </rPr>
      <t>F,</t>
    </r>
    <r>
      <rPr>
        <sz val="12"/>
        <rFont val="宋体"/>
        <family val="3"/>
        <charset val="134"/>
      </rPr>
      <t>求工作机所需输入功率</t>
    </r>
    <r>
      <rPr>
        <sz val="12"/>
        <rFont val="Times New Roman"/>
        <family val="1"/>
      </rPr>
      <t>Pw</t>
    </r>
  </si>
  <si>
    <t>工作机最大线速度Vw</t>
  </si>
  <si>
    <t>工作机有效工作阻力F</t>
  </si>
  <si>
    <t>工作机效率ηw</t>
  </si>
  <si>
    <r>
      <rPr>
        <sz val="12"/>
        <rFont val="宋体"/>
        <family val="3"/>
        <charset val="134"/>
      </rPr>
      <t>计算结果P</t>
    </r>
    <r>
      <rPr>
        <sz val="12"/>
        <rFont val="Times New Roman"/>
        <family val="1"/>
      </rPr>
      <t>w(Kw)</t>
    </r>
  </si>
  <si>
    <r>
      <rPr>
        <sz val="12"/>
        <rFont val="Times New Roman"/>
        <family val="1"/>
      </rPr>
      <t>2</t>
    </r>
    <r>
      <rPr>
        <sz val="12"/>
        <rFont val="宋体"/>
        <family val="3"/>
        <charset val="134"/>
      </rPr>
      <t>、已知工作机的阻力矩</t>
    </r>
    <r>
      <rPr>
        <sz val="12"/>
        <rFont val="Times New Roman"/>
        <family val="1"/>
      </rPr>
      <t>Mw</t>
    </r>
    <r>
      <rPr>
        <sz val="12"/>
        <rFont val="宋体"/>
        <family val="3"/>
        <charset val="134"/>
      </rPr>
      <t>及转速</t>
    </r>
    <r>
      <rPr>
        <sz val="12"/>
        <rFont val="Times New Roman"/>
        <family val="1"/>
      </rPr>
      <t>nw,</t>
    </r>
    <r>
      <rPr>
        <sz val="12"/>
        <rFont val="宋体"/>
        <family val="3"/>
        <charset val="134"/>
      </rPr>
      <t>求工作机所需输入功率</t>
    </r>
    <r>
      <rPr>
        <sz val="12"/>
        <rFont val="Times New Roman"/>
        <family val="1"/>
      </rPr>
      <t>Pw</t>
    </r>
  </si>
  <si>
    <t>工作机的阻力矩Mw</t>
  </si>
  <si>
    <t>工作机的转速nw</t>
  </si>
  <si>
    <t>3、求一定功率的电机在一定转速下所能产生的最大转矩</t>
  </si>
  <si>
    <t>电机额定功率Pd</t>
  </si>
  <si>
    <t>电机转速nd</t>
  </si>
  <si>
    <t>电机到减速器之间的传动效率ηd</t>
  </si>
  <si>
    <r>
      <rPr>
        <sz val="12"/>
        <rFont val="宋体"/>
        <family val="3"/>
        <charset val="134"/>
      </rPr>
      <t>计算结果</t>
    </r>
    <r>
      <rPr>
        <sz val="12"/>
        <rFont val="Times New Roman"/>
        <family val="1"/>
      </rPr>
      <t>Md(N.M)</t>
    </r>
  </si>
  <si>
    <r>
      <rPr>
        <sz val="12"/>
        <rFont val="宋体"/>
        <family val="3"/>
        <charset val="134"/>
      </rPr>
      <t>计算结果</t>
    </r>
    <r>
      <rPr>
        <sz val="12"/>
        <rFont val="Times New Roman"/>
        <family val="1"/>
      </rPr>
      <t>Md(Kgf.M)</t>
    </r>
  </si>
  <si>
    <t>已知条件:Z1,Z2,m(mf),β,A</t>
  </si>
  <si>
    <t>直齿轮</t>
  </si>
  <si>
    <t>斜齿轮</t>
  </si>
  <si>
    <t>人字齿轮</t>
  </si>
  <si>
    <t>小齿轮</t>
  </si>
  <si>
    <t>大齿轮</t>
  </si>
  <si>
    <t>mf（法向模数)</t>
  </si>
  <si>
    <t>mdu（端向模数)</t>
  </si>
  <si>
    <t>未变位的中心距</t>
  </si>
  <si>
    <t>A0</t>
  </si>
  <si>
    <t>啮合角</t>
  </si>
  <si>
    <t>α＇</t>
  </si>
  <si>
    <t>总变位系数</t>
  </si>
  <si>
    <t>ξ∑</t>
  </si>
  <si>
    <t>变位系数</t>
  </si>
  <si>
    <t>ξ1</t>
  </si>
  <si>
    <t>ξ2</t>
  </si>
  <si>
    <t>齿高变动系数</t>
  </si>
  <si>
    <t>△y</t>
  </si>
  <si>
    <t>△yf</t>
  </si>
  <si>
    <t>小轮分度圆直径</t>
  </si>
  <si>
    <t>Dfe1</t>
  </si>
  <si>
    <t>大轮分度圆直径</t>
  </si>
  <si>
    <t>Dfe2</t>
  </si>
  <si>
    <t>hdi</t>
  </si>
  <si>
    <t>Df1</t>
  </si>
  <si>
    <t>Df2</t>
  </si>
  <si>
    <t>Dg</t>
  </si>
  <si>
    <t>齿轮齿条传动几何尺寸计算</t>
  </si>
  <si>
    <t>直齿</t>
  </si>
  <si>
    <r>
      <rPr>
        <sz val="12"/>
        <rFont val="宋体"/>
        <family val="3"/>
        <charset val="134"/>
      </rPr>
      <t>Z</t>
    </r>
    <r>
      <rPr>
        <sz val="12"/>
        <rFont val="宋体"/>
        <family val="3"/>
        <charset val="134"/>
      </rPr>
      <t>1</t>
    </r>
  </si>
  <si>
    <t>齿顶高系数</t>
  </si>
  <si>
    <r>
      <rPr>
        <sz val="12"/>
        <rFont val="宋体"/>
        <family val="3"/>
        <charset val="134"/>
      </rPr>
      <t>h</t>
    </r>
    <r>
      <rPr>
        <sz val="12"/>
        <rFont val="宋体"/>
        <family val="3"/>
        <charset val="134"/>
      </rPr>
      <t>a*</t>
    </r>
  </si>
  <si>
    <r>
      <rPr>
        <sz val="12"/>
        <rFont val="宋体"/>
        <family val="3"/>
        <charset val="134"/>
      </rPr>
      <t>ha*</t>
    </r>
    <r>
      <rPr>
        <sz val="12"/>
        <rFont val="宋体"/>
        <family val="3"/>
        <charset val="134"/>
      </rPr>
      <t>=1</t>
    </r>
  </si>
  <si>
    <t>顶隙系数</t>
  </si>
  <si>
    <r>
      <rPr>
        <sz val="12"/>
        <rFont val="宋体"/>
        <family val="3"/>
        <charset val="134"/>
      </rPr>
      <t>c</t>
    </r>
    <r>
      <rPr>
        <sz val="12"/>
        <rFont val="宋体"/>
        <family val="3"/>
        <charset val="134"/>
      </rPr>
      <t>*</t>
    </r>
  </si>
  <si>
    <r>
      <rPr>
        <sz val="12"/>
        <rFont val="宋体"/>
        <family val="3"/>
        <charset val="134"/>
      </rPr>
      <t>c</t>
    </r>
    <r>
      <rPr>
        <sz val="12"/>
        <rFont val="宋体"/>
        <family val="3"/>
        <charset val="134"/>
      </rPr>
      <t>*=0.25</t>
    </r>
  </si>
  <si>
    <r>
      <rPr>
        <sz val="12"/>
        <rFont val="宋体"/>
        <family val="3"/>
        <charset val="134"/>
      </rPr>
      <t>α=</t>
    </r>
    <r>
      <rPr>
        <sz val="12"/>
        <rFont val="宋体"/>
        <family val="3"/>
        <charset val="134"/>
      </rPr>
      <t>20</t>
    </r>
    <r>
      <rPr>
        <sz val="12"/>
        <rFont val="楷体_GB2312"/>
        <charset val="134"/>
      </rPr>
      <t>°</t>
    </r>
  </si>
  <si>
    <t>变全系数</t>
  </si>
  <si>
    <r>
      <rPr>
        <sz val="12"/>
        <rFont val="宋体"/>
        <family val="3"/>
        <charset val="134"/>
      </rPr>
      <t>齿条运动速度(</t>
    </r>
    <r>
      <rPr>
        <sz val="12"/>
        <rFont val="宋体"/>
        <family val="3"/>
        <charset val="134"/>
      </rPr>
      <t>mm/s)</t>
    </r>
  </si>
  <si>
    <r>
      <rPr>
        <sz val="12"/>
        <rFont val="宋体"/>
        <family val="3"/>
        <charset val="134"/>
      </rPr>
      <t>V=</t>
    </r>
    <r>
      <rPr>
        <sz val="12"/>
        <rFont val="楷体_GB2312"/>
        <charset val="134"/>
      </rPr>
      <t>π</t>
    </r>
    <r>
      <rPr>
        <sz val="12"/>
        <rFont val="宋体"/>
        <family val="3"/>
        <charset val="134"/>
      </rPr>
      <t>d1n1/60</t>
    </r>
  </si>
  <si>
    <r>
      <rPr>
        <sz val="12"/>
        <rFont val="宋体"/>
        <family val="3"/>
        <charset val="134"/>
      </rPr>
      <t>齿轮转速(</t>
    </r>
    <r>
      <rPr>
        <sz val="12"/>
        <rFont val="宋体"/>
        <family val="3"/>
        <charset val="134"/>
      </rPr>
      <t>RPM)</t>
    </r>
  </si>
  <si>
    <r>
      <rPr>
        <sz val="12"/>
        <rFont val="宋体"/>
        <family val="3"/>
        <charset val="134"/>
      </rPr>
      <t>n</t>
    </r>
    <r>
      <rPr>
        <sz val="12"/>
        <rFont val="宋体"/>
        <family val="3"/>
        <charset val="134"/>
      </rPr>
      <t>1</t>
    </r>
  </si>
  <si>
    <r>
      <rPr>
        <sz val="12"/>
        <rFont val="宋体"/>
        <family val="3"/>
        <charset val="134"/>
      </rPr>
      <t>分度圆直径(</t>
    </r>
    <r>
      <rPr>
        <sz val="12"/>
        <rFont val="宋体"/>
        <family val="3"/>
        <charset val="134"/>
      </rPr>
      <t>mm)</t>
    </r>
  </si>
  <si>
    <r>
      <rPr>
        <sz val="12"/>
        <rFont val="宋体"/>
        <family val="3"/>
        <charset val="134"/>
      </rPr>
      <t>d</t>
    </r>
    <r>
      <rPr>
        <sz val="12"/>
        <rFont val="宋体"/>
        <family val="3"/>
        <charset val="134"/>
      </rPr>
      <t>1=MZ1</t>
    </r>
  </si>
  <si>
    <t>齿顶高(mm)</t>
  </si>
  <si>
    <r>
      <rPr>
        <sz val="12"/>
        <rFont val="宋体"/>
        <family val="3"/>
        <charset val="134"/>
      </rPr>
      <t>h</t>
    </r>
    <r>
      <rPr>
        <sz val="12"/>
        <rFont val="宋体"/>
        <family val="3"/>
        <charset val="134"/>
      </rPr>
      <t>a</t>
    </r>
  </si>
  <si>
    <r>
      <rPr>
        <sz val="12"/>
        <rFont val="宋体"/>
        <family val="3"/>
        <charset val="134"/>
      </rPr>
      <t>h</t>
    </r>
    <r>
      <rPr>
        <sz val="12"/>
        <rFont val="宋体"/>
        <family val="3"/>
        <charset val="134"/>
      </rPr>
      <t>a1=(ha*+X1)M</t>
    </r>
  </si>
  <si>
    <r>
      <rPr>
        <sz val="12"/>
        <rFont val="宋体"/>
        <family val="3"/>
        <charset val="134"/>
      </rPr>
      <t>h</t>
    </r>
    <r>
      <rPr>
        <sz val="12"/>
        <rFont val="宋体"/>
        <family val="3"/>
        <charset val="134"/>
      </rPr>
      <t>a2=ha*M</t>
    </r>
  </si>
  <si>
    <t>齿根高(mm)</t>
  </si>
  <si>
    <r>
      <rPr>
        <sz val="12"/>
        <rFont val="宋体"/>
        <family val="3"/>
        <charset val="134"/>
      </rPr>
      <t>h</t>
    </r>
    <r>
      <rPr>
        <sz val="12"/>
        <rFont val="宋体"/>
        <family val="3"/>
        <charset val="134"/>
      </rPr>
      <t>f</t>
    </r>
  </si>
  <si>
    <r>
      <rPr>
        <sz val="12"/>
        <rFont val="宋体"/>
        <family val="3"/>
        <charset val="134"/>
      </rPr>
      <t>h</t>
    </r>
    <r>
      <rPr>
        <sz val="12"/>
        <rFont val="宋体"/>
        <family val="3"/>
        <charset val="134"/>
      </rPr>
      <t>f1=(ha*+c*-X1)M</t>
    </r>
  </si>
  <si>
    <r>
      <rPr>
        <sz val="12"/>
        <rFont val="宋体"/>
        <family val="3"/>
        <charset val="134"/>
      </rPr>
      <t>h</t>
    </r>
    <r>
      <rPr>
        <sz val="12"/>
        <rFont val="宋体"/>
        <family val="3"/>
        <charset val="134"/>
      </rPr>
      <t>f2=(ha*+c*)M</t>
    </r>
  </si>
  <si>
    <r>
      <rPr>
        <sz val="12"/>
        <rFont val="宋体"/>
        <family val="3"/>
        <charset val="134"/>
      </rPr>
      <t>h</t>
    </r>
    <r>
      <rPr>
        <sz val="12"/>
        <rFont val="宋体"/>
        <family val="3"/>
        <charset val="134"/>
      </rPr>
      <t>1=ha1+hf1</t>
    </r>
  </si>
  <si>
    <r>
      <rPr>
        <sz val="12"/>
        <rFont val="宋体"/>
        <family val="3"/>
        <charset val="134"/>
      </rPr>
      <t>h</t>
    </r>
    <r>
      <rPr>
        <sz val="12"/>
        <rFont val="宋体"/>
        <family val="3"/>
        <charset val="134"/>
      </rPr>
      <t>2=ha2+hf2</t>
    </r>
  </si>
  <si>
    <t>齿顶圆直径(mm)</t>
  </si>
  <si>
    <r>
      <rPr>
        <sz val="12"/>
        <rFont val="宋体"/>
        <family val="3"/>
        <charset val="134"/>
      </rPr>
      <t>d</t>
    </r>
    <r>
      <rPr>
        <sz val="12"/>
        <rFont val="宋体"/>
        <family val="3"/>
        <charset val="134"/>
      </rPr>
      <t>a</t>
    </r>
  </si>
  <si>
    <r>
      <rPr>
        <sz val="12"/>
        <rFont val="宋体"/>
        <family val="3"/>
        <charset val="134"/>
      </rPr>
      <t>d</t>
    </r>
    <r>
      <rPr>
        <sz val="12"/>
        <rFont val="宋体"/>
        <family val="3"/>
        <charset val="134"/>
      </rPr>
      <t>a1=d1+2ha1</t>
    </r>
  </si>
  <si>
    <t>齿根圆直径(mm)</t>
  </si>
  <si>
    <r>
      <rPr>
        <sz val="12"/>
        <rFont val="宋体"/>
        <family val="3"/>
        <charset val="134"/>
      </rPr>
      <t>d</t>
    </r>
    <r>
      <rPr>
        <sz val="12"/>
        <rFont val="宋体"/>
        <family val="3"/>
        <charset val="134"/>
      </rPr>
      <t>f</t>
    </r>
  </si>
  <si>
    <r>
      <rPr>
        <sz val="12"/>
        <rFont val="宋体"/>
        <family val="3"/>
        <charset val="134"/>
      </rPr>
      <t>d</t>
    </r>
    <r>
      <rPr>
        <sz val="12"/>
        <rFont val="宋体"/>
        <family val="3"/>
        <charset val="134"/>
      </rPr>
      <t>f1=d1-2hf1</t>
    </r>
  </si>
  <si>
    <r>
      <rPr>
        <sz val="12"/>
        <rFont val="宋体"/>
        <family val="3"/>
        <charset val="134"/>
      </rPr>
      <t>齿距(</t>
    </r>
    <r>
      <rPr>
        <sz val="12"/>
        <rFont val="宋体"/>
        <family val="3"/>
        <charset val="134"/>
      </rPr>
      <t>mm)</t>
    </r>
  </si>
  <si>
    <r>
      <rPr>
        <sz val="12"/>
        <rFont val="宋体"/>
        <family val="3"/>
        <charset val="134"/>
      </rPr>
      <t>P</t>
    </r>
    <r>
      <rPr>
        <sz val="12"/>
        <rFont val="宋体"/>
        <family val="3"/>
        <charset val="134"/>
      </rPr>
      <t>=</t>
    </r>
    <r>
      <rPr>
        <sz val="12"/>
        <rFont val="楷体_GB2312"/>
        <charset val="134"/>
      </rPr>
      <t>π</t>
    </r>
    <r>
      <rPr>
        <sz val="12"/>
        <rFont val="宋体"/>
        <family val="3"/>
        <charset val="134"/>
      </rPr>
      <t>M</t>
    </r>
  </si>
  <si>
    <t>齿轮中心到齿条基准线距离</t>
  </si>
  <si>
    <r>
      <rPr>
        <sz val="12"/>
        <rFont val="宋体"/>
        <family val="3"/>
        <charset val="134"/>
      </rPr>
      <t>H</t>
    </r>
    <r>
      <rPr>
        <sz val="12"/>
        <rFont val="宋体"/>
        <family val="3"/>
        <charset val="134"/>
      </rPr>
      <t>=d1/2+XM</t>
    </r>
  </si>
  <si>
    <r>
      <rPr>
        <sz val="12"/>
        <rFont val="宋体"/>
        <family val="3"/>
        <charset val="134"/>
      </rPr>
      <t>基圆直径(</t>
    </r>
    <r>
      <rPr>
        <sz val="12"/>
        <rFont val="宋体"/>
        <family val="3"/>
        <charset val="134"/>
      </rPr>
      <t>mm)</t>
    </r>
  </si>
  <si>
    <r>
      <rPr>
        <sz val="12"/>
        <rFont val="宋体"/>
        <family val="3"/>
        <charset val="134"/>
      </rPr>
      <t>d</t>
    </r>
    <r>
      <rPr>
        <sz val="12"/>
        <rFont val="宋体"/>
        <family val="3"/>
        <charset val="134"/>
      </rPr>
      <t>b</t>
    </r>
  </si>
  <si>
    <r>
      <rPr>
        <sz val="12"/>
        <rFont val="宋体"/>
        <family val="3"/>
        <charset val="134"/>
      </rPr>
      <t>d</t>
    </r>
    <r>
      <rPr>
        <sz val="12"/>
        <rFont val="宋体"/>
        <family val="3"/>
        <charset val="134"/>
      </rPr>
      <t>b1=d1cos</t>
    </r>
    <r>
      <rPr>
        <sz val="12"/>
        <rFont val="楷体_GB2312"/>
        <charset val="134"/>
      </rPr>
      <t>α</t>
    </r>
  </si>
  <si>
    <r>
      <rPr>
        <sz val="12"/>
        <rFont val="宋体"/>
        <family val="3"/>
        <charset val="134"/>
      </rPr>
      <t>齿顶圆压力角(</t>
    </r>
    <r>
      <rPr>
        <sz val="12"/>
        <rFont val="楷体_GB2312"/>
        <charset val="134"/>
      </rPr>
      <t>°</t>
    </r>
    <r>
      <rPr>
        <sz val="12"/>
        <rFont val="宋体"/>
        <family val="3"/>
        <charset val="134"/>
      </rPr>
      <t>)</t>
    </r>
  </si>
  <si>
    <r>
      <rPr>
        <sz val="14"/>
        <rFont val="楷体_GB2312"/>
        <charset val="134"/>
      </rPr>
      <t>α</t>
    </r>
    <r>
      <rPr>
        <sz val="12"/>
        <rFont val="宋体"/>
        <family val="3"/>
        <charset val="134"/>
      </rPr>
      <t>a</t>
    </r>
  </si>
  <si>
    <r>
      <rPr>
        <sz val="14"/>
        <rFont val="楷体_GB2312"/>
        <charset val="134"/>
      </rPr>
      <t>α</t>
    </r>
    <r>
      <rPr>
        <sz val="12"/>
        <rFont val="宋体"/>
        <family val="3"/>
        <charset val="134"/>
      </rPr>
      <t>a</t>
    </r>
    <r>
      <rPr>
        <sz val="12"/>
        <rFont val="宋体"/>
        <family val="3"/>
        <charset val="134"/>
      </rPr>
      <t>1=arccosdb1/da1</t>
    </r>
  </si>
  <si>
    <t>重合度</t>
  </si>
  <si>
    <t>计算法</t>
  </si>
  <si>
    <t>查图法</t>
  </si>
  <si>
    <t>材料牌号</t>
  </si>
  <si>
    <t>热处理种类</t>
  </si>
  <si>
    <t>截面尺寸</t>
  </si>
  <si>
    <t>硬度</t>
  </si>
  <si>
    <t>直径D，mm</t>
  </si>
  <si>
    <t>壁厚S，mm</t>
  </si>
  <si>
    <t>σb，N/mm2</t>
  </si>
  <si>
    <t>σs，N/mm2</t>
  </si>
  <si>
    <t>HB</t>
  </si>
  <si>
    <t>HRC</t>
  </si>
  <si>
    <t>调质钢</t>
  </si>
  <si>
    <t>正火</t>
  </si>
  <si>
    <t>≤100</t>
  </si>
  <si>
    <t>≤50</t>
  </si>
  <si>
    <t>169～217</t>
  </si>
  <si>
    <t>101～300</t>
  </si>
  <si>
    <t>51～150</t>
  </si>
  <si>
    <t>162～217</t>
  </si>
  <si>
    <t>301～500</t>
  </si>
  <si>
    <t>151～250</t>
  </si>
  <si>
    <t>501～800</t>
  </si>
  <si>
    <t>251～400</t>
  </si>
  <si>
    <t>156～217</t>
  </si>
  <si>
    <t>调    质</t>
  </si>
  <si>
    <t>229～286</t>
  </si>
  <si>
    <t>217～255</t>
  </si>
  <si>
    <t>197～255</t>
  </si>
  <si>
    <t>表面淬火</t>
  </si>
  <si>
    <t>40～50</t>
  </si>
  <si>
    <t>217～269</t>
  </si>
  <si>
    <t>301～400</t>
  </si>
  <si>
    <t>151～200</t>
  </si>
  <si>
    <t>401～500</t>
  </si>
  <si>
    <t>201～250</t>
  </si>
  <si>
    <t>196～255</t>
  </si>
  <si>
    <t>45～55</t>
  </si>
  <si>
    <t>101～200</t>
  </si>
  <si>
    <t>51～100</t>
  </si>
  <si>
    <t>201～300</t>
  </si>
  <si>
    <t>101～150</t>
  </si>
  <si>
    <t>50SiMn</t>
  </si>
  <si>
    <t>207～255</t>
  </si>
  <si>
    <t>45～50</t>
  </si>
  <si>
    <t>≤200</t>
  </si>
  <si>
    <t>241～286</t>
  </si>
  <si>
    <t>38SiMnMo</t>
  </si>
  <si>
    <t>196～241</t>
  </si>
  <si>
    <t>187～241</t>
  </si>
  <si>
    <t>37SiMnMoV</t>
  </si>
  <si>
    <t>调质</t>
  </si>
  <si>
    <t>269～302</t>
  </si>
  <si>
    <t>201～400</t>
  </si>
  <si>
    <t>401～600</t>
  </si>
  <si>
    <t>241～269</t>
  </si>
  <si>
    <t>50～55</t>
  </si>
  <si>
    <t>&gt;100～300</t>
  </si>
  <si>
    <t>&gt;50～150</t>
  </si>
  <si>
    <t>&gt;300～500</t>
  </si>
  <si>
    <t>&gt;150～250</t>
  </si>
  <si>
    <t>229～269</t>
  </si>
  <si>
    <t>&gt;500～800</t>
  </si>
  <si>
    <t>&gt;250～400</t>
  </si>
  <si>
    <t>48～55</t>
  </si>
  <si>
    <t>207～269</t>
  </si>
  <si>
    <t>40～45</t>
  </si>
  <si>
    <t>渗碳钢、氮化钢</t>
  </si>
  <si>
    <t>渗碳、淬火、回火</t>
  </si>
  <si>
    <t>≤60</t>
  </si>
  <si>
    <t>56～62</t>
  </si>
  <si>
    <t>氮     化</t>
  </si>
  <si>
    <t>53～60</t>
  </si>
  <si>
    <t>20CrMnTi</t>
  </si>
  <si>
    <t>57～63</t>
  </si>
  <si>
    <t>20CrMnMo</t>
  </si>
  <si>
    <t>38CrMoA1A</t>
  </si>
  <si>
    <t>调质氮化</t>
  </si>
  <si>
    <t>HV&gt;850</t>
  </si>
  <si>
    <t>20MnVB</t>
  </si>
  <si>
    <t>铸钢、合金铸钢</t>
  </si>
  <si>
    <t>ZG 310-570</t>
  </si>
  <si>
    <t>正    火</t>
  </si>
  <si>
    <t>163～197</t>
  </si>
  <si>
    <t>ZG 340-640</t>
  </si>
  <si>
    <t>179～207</t>
  </si>
  <si>
    <t>ZG 40Mn2</t>
  </si>
  <si>
    <t>正火、回火</t>
  </si>
  <si>
    <t>≥197</t>
  </si>
  <si>
    <t>ZG 35SiMn</t>
  </si>
  <si>
    <t>163～217</t>
  </si>
  <si>
    <t>197～248</t>
  </si>
  <si>
    <t>ZG 42SiMn</t>
  </si>
  <si>
    <t>ZG 50SiMn</t>
  </si>
  <si>
    <t>ZG 40Cr</t>
  </si>
  <si>
    <t>≤212</t>
  </si>
  <si>
    <t>228～321</t>
  </si>
  <si>
    <t>ZG 35CrMo</t>
  </si>
  <si>
    <t>179～241</t>
  </si>
  <si>
    <t>ZG 35CrMnSi</t>
  </si>
  <si>
    <t>197～269</t>
  </si>
  <si>
    <t>灰铸铁、球墨铸铁</t>
  </si>
  <si>
    <t>HT250</t>
  </si>
  <si>
    <t>&gt;4.0～10</t>
  </si>
  <si>
    <t>175～263</t>
  </si>
  <si>
    <t>&gt;10～20</t>
  </si>
  <si>
    <t>164～247</t>
  </si>
  <si>
    <t>&gt;20～30</t>
  </si>
  <si>
    <t>157～236</t>
  </si>
  <si>
    <t>&gt;30～50</t>
  </si>
  <si>
    <t>150～225</t>
  </si>
  <si>
    <t>HT300</t>
  </si>
  <si>
    <t>182～273</t>
  </si>
  <si>
    <t>169～255</t>
  </si>
  <si>
    <t>160～241</t>
  </si>
  <si>
    <t>HT350</t>
  </si>
  <si>
    <t>197～298</t>
  </si>
  <si>
    <t>171～257</t>
  </si>
  <si>
    <t>QT500-7</t>
  </si>
  <si>
    <t>170～230</t>
  </si>
  <si>
    <t>QT600-3</t>
  </si>
  <si>
    <t>190～270</t>
  </si>
  <si>
    <t>QT700-2</t>
  </si>
  <si>
    <t>225～305</t>
  </si>
  <si>
    <t>QT800-2</t>
  </si>
  <si>
    <t>245～335</t>
  </si>
  <si>
    <t>QT900-2</t>
  </si>
  <si>
    <t>280～360</t>
  </si>
  <si>
    <t>计算项目</t>
  </si>
  <si>
    <t>代   号</t>
  </si>
  <si>
    <t>公   式</t>
  </si>
  <si>
    <r>
      <rPr>
        <sz val="14"/>
        <rFont val="宋体"/>
        <family val="3"/>
        <charset val="134"/>
      </rPr>
      <t>A</t>
    </r>
    <r>
      <rPr>
        <sz val="18"/>
        <rFont val="宋体"/>
        <family val="3"/>
        <charset val="134"/>
      </rPr>
      <t>=</t>
    </r>
    <r>
      <rPr>
        <sz val="14"/>
        <rFont val="宋体"/>
        <family val="3"/>
        <charset val="134"/>
      </rPr>
      <t>0.5Mdu(Z2+q+2ξ)</t>
    </r>
  </si>
  <si>
    <r>
      <rPr>
        <sz val="14"/>
        <rFont val="宋体"/>
        <family val="3"/>
        <charset val="134"/>
      </rPr>
      <t>M</t>
    </r>
    <r>
      <rPr>
        <vertAlign val="subscript"/>
        <sz val="14"/>
        <rFont val="宋体"/>
        <family val="3"/>
        <charset val="134"/>
      </rPr>
      <t>du</t>
    </r>
  </si>
  <si>
    <r>
      <rPr>
        <sz val="14"/>
        <rFont val="宋体"/>
        <family val="3"/>
        <charset val="134"/>
      </rPr>
      <t>Mdu</t>
    </r>
    <r>
      <rPr>
        <sz val="18"/>
        <rFont val="宋体"/>
        <family val="3"/>
        <charset val="134"/>
      </rPr>
      <t>=</t>
    </r>
    <r>
      <rPr>
        <sz val="14"/>
        <rFont val="宋体"/>
        <family val="3"/>
        <charset val="134"/>
      </rPr>
      <t>2A/(Z2+q+2ξ)</t>
    </r>
  </si>
  <si>
    <t>轴截面齿形角</t>
  </si>
  <si>
    <r>
      <rPr>
        <sz val="14"/>
        <rFont val="宋体"/>
        <family val="3"/>
        <charset val="134"/>
      </rPr>
      <t>α</t>
    </r>
    <r>
      <rPr>
        <sz val="18"/>
        <rFont val="宋体"/>
        <family val="3"/>
        <charset val="134"/>
      </rPr>
      <t>=</t>
    </r>
    <r>
      <rPr>
        <sz val="14"/>
        <rFont val="宋体"/>
        <family val="3"/>
        <charset val="134"/>
      </rPr>
      <t>20°</t>
    </r>
  </si>
  <si>
    <r>
      <rPr>
        <sz val="14"/>
        <rFont val="宋体"/>
        <family val="3"/>
        <charset val="134"/>
      </rPr>
      <t>i</t>
    </r>
    <r>
      <rPr>
        <sz val="18"/>
        <rFont val="宋体"/>
        <family val="3"/>
        <charset val="134"/>
      </rPr>
      <t>=</t>
    </r>
    <r>
      <rPr>
        <sz val="14"/>
        <rFont val="宋体"/>
        <family val="3"/>
        <charset val="134"/>
      </rPr>
      <t>Z2/Z1</t>
    </r>
    <r>
      <rPr>
        <sz val="18"/>
        <rFont val="宋体"/>
        <family val="3"/>
        <charset val="134"/>
      </rPr>
      <t>=</t>
    </r>
    <r>
      <rPr>
        <sz val="14"/>
        <rFont val="宋体"/>
        <family val="3"/>
        <charset val="134"/>
      </rPr>
      <t>n1/n2</t>
    </r>
  </si>
  <si>
    <t>ξ</t>
  </si>
  <si>
    <r>
      <rPr>
        <sz val="14"/>
        <rFont val="宋体"/>
        <family val="3"/>
        <charset val="134"/>
      </rPr>
      <t>ξ</t>
    </r>
    <r>
      <rPr>
        <sz val="18"/>
        <rFont val="宋体"/>
        <family val="3"/>
        <charset val="134"/>
      </rPr>
      <t>=</t>
    </r>
    <r>
      <rPr>
        <sz val="14"/>
        <rFont val="宋体"/>
        <family val="3"/>
        <charset val="134"/>
      </rPr>
      <t>(A/Mdu)-0.5(q+z2)</t>
    </r>
  </si>
  <si>
    <t>径向间隙</t>
  </si>
  <si>
    <r>
      <rPr>
        <sz val="18"/>
        <rFont val="宋体"/>
        <family val="3"/>
        <charset val="134"/>
      </rPr>
      <t>C=</t>
    </r>
    <r>
      <rPr>
        <sz val="14"/>
        <rFont val="宋体"/>
        <family val="3"/>
        <charset val="134"/>
      </rPr>
      <t>0.25Mdu</t>
    </r>
  </si>
  <si>
    <t>蜗        杆</t>
  </si>
  <si>
    <t>头数</t>
  </si>
  <si>
    <r>
      <rPr>
        <sz val="14"/>
        <rFont val="宋体"/>
        <family val="3"/>
        <charset val="134"/>
      </rPr>
      <t>Z1</t>
    </r>
    <r>
      <rPr>
        <sz val="18"/>
        <rFont val="宋体"/>
        <family val="3"/>
        <charset val="134"/>
      </rPr>
      <t>=</t>
    </r>
    <r>
      <rPr>
        <sz val="14"/>
        <rFont val="宋体"/>
        <family val="3"/>
        <charset val="134"/>
      </rPr>
      <t>1,2,4</t>
    </r>
  </si>
  <si>
    <t>特性系数</t>
  </si>
  <si>
    <r>
      <rPr>
        <sz val="14"/>
        <rFont val="宋体"/>
        <family val="3"/>
        <charset val="134"/>
      </rPr>
      <t>q</t>
    </r>
    <r>
      <rPr>
        <sz val="18"/>
        <rFont val="宋体"/>
        <family val="3"/>
        <charset val="134"/>
      </rPr>
      <t>=</t>
    </r>
    <r>
      <rPr>
        <sz val="14"/>
        <rFont val="宋体"/>
        <family val="3"/>
        <charset val="134"/>
      </rPr>
      <t>Dfe1/Mdu</t>
    </r>
  </si>
  <si>
    <r>
      <rPr>
        <sz val="14"/>
        <rFont val="宋体"/>
        <family val="3"/>
        <charset val="134"/>
      </rPr>
      <t>h</t>
    </r>
    <r>
      <rPr>
        <vertAlign val="subscript"/>
        <sz val="14"/>
        <rFont val="宋体"/>
        <family val="3"/>
        <charset val="134"/>
      </rPr>
      <t>di</t>
    </r>
  </si>
  <si>
    <r>
      <rPr>
        <sz val="14"/>
        <rFont val="宋体"/>
        <family val="3"/>
        <charset val="134"/>
      </rPr>
      <t>hdi</t>
    </r>
    <r>
      <rPr>
        <sz val="18"/>
        <rFont val="宋体"/>
        <family val="3"/>
        <charset val="134"/>
      </rPr>
      <t>=</t>
    </r>
    <r>
      <rPr>
        <sz val="14"/>
        <rFont val="宋体"/>
        <family val="3"/>
        <charset val="134"/>
      </rPr>
      <t>Mdu</t>
    </r>
  </si>
  <si>
    <r>
      <rPr>
        <sz val="14"/>
        <rFont val="宋体"/>
        <family val="3"/>
        <charset val="134"/>
      </rPr>
      <t>hg</t>
    </r>
    <r>
      <rPr>
        <sz val="18"/>
        <rFont val="宋体"/>
        <family val="3"/>
        <charset val="134"/>
      </rPr>
      <t>=</t>
    </r>
    <r>
      <rPr>
        <sz val="14"/>
        <rFont val="宋体"/>
        <family val="3"/>
        <charset val="134"/>
      </rPr>
      <t>1.25Mdu</t>
    </r>
  </si>
  <si>
    <r>
      <rPr>
        <sz val="14"/>
        <rFont val="宋体"/>
        <family val="3"/>
        <charset val="134"/>
      </rPr>
      <t>D</t>
    </r>
    <r>
      <rPr>
        <vertAlign val="subscript"/>
        <sz val="14"/>
        <rFont val="宋体"/>
        <family val="3"/>
        <charset val="134"/>
      </rPr>
      <t>fe1</t>
    </r>
  </si>
  <si>
    <r>
      <rPr>
        <sz val="14"/>
        <rFont val="宋体"/>
        <family val="3"/>
        <charset val="134"/>
      </rPr>
      <t>Dfe1</t>
    </r>
    <r>
      <rPr>
        <sz val="18"/>
        <rFont val="宋体"/>
        <family val="3"/>
        <charset val="134"/>
      </rPr>
      <t>=</t>
    </r>
    <r>
      <rPr>
        <sz val="14"/>
        <rFont val="宋体"/>
        <family val="3"/>
        <charset val="134"/>
      </rPr>
      <t>qMdu</t>
    </r>
  </si>
  <si>
    <r>
      <rPr>
        <sz val="14"/>
        <rFont val="宋体"/>
        <family val="3"/>
        <charset val="134"/>
      </rPr>
      <t>D</t>
    </r>
    <r>
      <rPr>
        <vertAlign val="subscript"/>
        <sz val="14"/>
        <rFont val="宋体"/>
        <family val="3"/>
        <charset val="134"/>
      </rPr>
      <t>je1</t>
    </r>
  </si>
  <si>
    <r>
      <rPr>
        <sz val="14"/>
        <rFont val="宋体"/>
        <family val="3"/>
        <charset val="134"/>
      </rPr>
      <t>Dje1</t>
    </r>
    <r>
      <rPr>
        <sz val="18"/>
        <rFont val="宋体"/>
        <family val="3"/>
        <charset val="134"/>
      </rPr>
      <t>=</t>
    </r>
    <r>
      <rPr>
        <sz val="14"/>
        <rFont val="宋体"/>
        <family val="3"/>
        <charset val="134"/>
      </rPr>
      <t>Dfe1+2Mduξ=Mdu(q+2ξ)</t>
    </r>
  </si>
  <si>
    <r>
      <rPr>
        <sz val="14"/>
        <rFont val="宋体"/>
        <family val="3"/>
        <charset val="134"/>
      </rPr>
      <t>D</t>
    </r>
    <r>
      <rPr>
        <vertAlign val="subscript"/>
        <sz val="14"/>
        <rFont val="宋体"/>
        <family val="3"/>
        <charset val="134"/>
      </rPr>
      <t>di1</t>
    </r>
  </si>
  <si>
    <r>
      <rPr>
        <sz val="14"/>
        <rFont val="宋体"/>
        <family val="3"/>
        <charset val="134"/>
      </rPr>
      <t>Ddi1</t>
    </r>
    <r>
      <rPr>
        <sz val="18"/>
        <rFont val="宋体"/>
        <family val="3"/>
        <charset val="134"/>
      </rPr>
      <t>=</t>
    </r>
    <r>
      <rPr>
        <sz val="14"/>
        <rFont val="宋体"/>
        <family val="3"/>
        <charset val="134"/>
      </rPr>
      <t>Mdu(q+2)</t>
    </r>
  </si>
  <si>
    <r>
      <rPr>
        <sz val="14"/>
        <rFont val="宋体"/>
        <family val="3"/>
        <charset val="134"/>
      </rPr>
      <t>D</t>
    </r>
    <r>
      <rPr>
        <vertAlign val="subscript"/>
        <sz val="14"/>
        <rFont val="宋体"/>
        <family val="3"/>
        <charset val="134"/>
      </rPr>
      <t>g1</t>
    </r>
  </si>
  <si>
    <r>
      <rPr>
        <sz val="14"/>
        <rFont val="宋体"/>
        <family val="3"/>
        <charset val="134"/>
      </rPr>
      <t>Dg1</t>
    </r>
    <r>
      <rPr>
        <sz val="18"/>
        <rFont val="宋体"/>
        <family val="3"/>
        <charset val="134"/>
      </rPr>
      <t>=</t>
    </r>
    <r>
      <rPr>
        <sz val="14"/>
        <rFont val="宋体"/>
        <family val="3"/>
        <charset val="134"/>
      </rPr>
      <t>Mdu(q-2.5)</t>
    </r>
  </si>
  <si>
    <t>分度圆螺旋导角</t>
  </si>
  <si>
    <t>λ</t>
  </si>
  <si>
    <r>
      <rPr>
        <sz val="14"/>
        <rFont val="宋体"/>
        <family val="3"/>
        <charset val="134"/>
      </rPr>
      <t>λ</t>
    </r>
    <r>
      <rPr>
        <sz val="18"/>
        <rFont val="宋体"/>
        <family val="3"/>
        <charset val="134"/>
      </rPr>
      <t>=</t>
    </r>
    <r>
      <rPr>
        <sz val="14"/>
        <rFont val="宋体"/>
        <family val="3"/>
        <charset val="134"/>
      </rPr>
      <t>arctgZ1/q</t>
    </r>
  </si>
  <si>
    <t>法向模数</t>
  </si>
  <si>
    <r>
      <rPr>
        <sz val="14"/>
        <rFont val="宋体"/>
        <family val="3"/>
        <charset val="134"/>
      </rPr>
      <t>m</t>
    </r>
    <r>
      <rPr>
        <vertAlign val="subscript"/>
        <sz val="14"/>
        <rFont val="宋体"/>
        <family val="3"/>
        <charset val="134"/>
      </rPr>
      <t>f</t>
    </r>
  </si>
  <si>
    <r>
      <rPr>
        <sz val="14"/>
        <rFont val="宋体"/>
        <family val="3"/>
        <charset val="134"/>
      </rPr>
      <t>mf</t>
    </r>
    <r>
      <rPr>
        <sz val="18"/>
        <rFont val="宋体"/>
        <family val="3"/>
        <charset val="134"/>
      </rPr>
      <t>=</t>
    </r>
    <r>
      <rPr>
        <sz val="14"/>
        <rFont val="宋体"/>
        <family val="3"/>
        <charset val="134"/>
      </rPr>
      <t>Mducosλ</t>
    </r>
  </si>
  <si>
    <t>螺旋长度</t>
  </si>
  <si>
    <t>L☆</t>
  </si>
  <si>
    <r>
      <rPr>
        <sz val="14"/>
        <rFont val="宋体"/>
        <family val="3"/>
        <charset val="134"/>
      </rPr>
      <t>L</t>
    </r>
    <r>
      <rPr>
        <sz val="18"/>
        <rFont val="宋体"/>
        <family val="3"/>
        <charset val="134"/>
      </rPr>
      <t>=</t>
    </r>
    <r>
      <rPr>
        <sz val="14"/>
        <rFont val="宋体"/>
        <family val="3"/>
        <charset val="134"/>
      </rPr>
      <t>(12+0.1z2)Mdu</t>
    </r>
  </si>
  <si>
    <r>
      <rPr>
        <sz val="14"/>
        <rFont val="宋体"/>
        <family val="3"/>
        <charset val="134"/>
      </rPr>
      <t>Z1</t>
    </r>
    <r>
      <rPr>
        <sz val="18"/>
        <rFont val="宋体"/>
        <family val="3"/>
        <charset val="134"/>
      </rPr>
      <t>=</t>
    </r>
    <r>
      <rPr>
        <sz val="14"/>
        <rFont val="宋体"/>
        <family val="3"/>
        <charset val="134"/>
      </rPr>
      <t>1,2</t>
    </r>
  </si>
  <si>
    <r>
      <rPr>
        <sz val="14"/>
        <rFont val="宋体"/>
        <family val="3"/>
        <charset val="134"/>
      </rPr>
      <t>L</t>
    </r>
    <r>
      <rPr>
        <sz val="18"/>
        <rFont val="宋体"/>
        <family val="3"/>
        <charset val="134"/>
      </rPr>
      <t>=</t>
    </r>
    <r>
      <rPr>
        <sz val="14"/>
        <rFont val="宋体"/>
        <family val="3"/>
        <charset val="134"/>
      </rPr>
      <t>(13+0.1z2)Mdu</t>
    </r>
  </si>
  <si>
    <r>
      <rPr>
        <sz val="14"/>
        <rFont val="宋体"/>
        <family val="3"/>
        <charset val="134"/>
      </rPr>
      <t>Z1</t>
    </r>
    <r>
      <rPr>
        <sz val="18"/>
        <rFont val="宋体"/>
        <family val="3"/>
        <charset val="134"/>
      </rPr>
      <t>=</t>
    </r>
    <r>
      <rPr>
        <sz val="14"/>
        <rFont val="宋体"/>
        <family val="3"/>
        <charset val="134"/>
      </rPr>
      <t>4</t>
    </r>
  </si>
  <si>
    <t>轴截面齿距</t>
  </si>
  <si>
    <r>
      <rPr>
        <sz val="14"/>
        <rFont val="宋体"/>
        <family val="3"/>
        <charset val="134"/>
      </rPr>
      <t>P</t>
    </r>
    <r>
      <rPr>
        <sz val="18"/>
        <rFont val="宋体"/>
        <family val="3"/>
        <charset val="134"/>
      </rPr>
      <t>=</t>
    </r>
    <r>
      <rPr>
        <sz val="14"/>
        <rFont val="宋体"/>
        <family val="3"/>
        <charset val="134"/>
      </rPr>
      <t>πMdu</t>
    </r>
  </si>
  <si>
    <t>螺旋导程</t>
  </si>
  <si>
    <r>
      <rPr>
        <sz val="14"/>
        <rFont val="宋体"/>
        <family val="3"/>
        <charset val="134"/>
      </rPr>
      <t>P</t>
    </r>
    <r>
      <rPr>
        <vertAlign val="subscript"/>
        <sz val="14"/>
        <rFont val="宋体"/>
        <family val="3"/>
        <charset val="134"/>
      </rPr>
      <t>Z</t>
    </r>
  </si>
  <si>
    <r>
      <rPr>
        <sz val="14"/>
        <rFont val="宋体"/>
        <family val="3"/>
        <charset val="134"/>
      </rPr>
      <t>PZ</t>
    </r>
    <r>
      <rPr>
        <sz val="18"/>
        <rFont val="宋体"/>
        <family val="3"/>
        <charset val="134"/>
      </rPr>
      <t>=</t>
    </r>
    <r>
      <rPr>
        <sz val="14"/>
        <rFont val="宋体"/>
        <family val="3"/>
        <charset val="134"/>
      </rPr>
      <t>πMduZ1</t>
    </r>
  </si>
  <si>
    <t>螺牙沿分度圆柱上的轴向齿厚</t>
  </si>
  <si>
    <r>
      <rPr>
        <sz val="14"/>
        <rFont val="宋体"/>
        <family val="3"/>
        <charset val="134"/>
      </rPr>
      <t>S</t>
    </r>
    <r>
      <rPr>
        <vertAlign val="subscript"/>
        <sz val="14"/>
        <rFont val="宋体"/>
        <family val="3"/>
        <charset val="134"/>
      </rPr>
      <t>z1</t>
    </r>
  </si>
  <si>
    <r>
      <rPr>
        <sz val="14"/>
        <rFont val="宋体"/>
        <family val="3"/>
        <charset val="134"/>
      </rPr>
      <t>Sz1</t>
    </r>
    <r>
      <rPr>
        <sz val="18"/>
        <rFont val="宋体"/>
        <family val="3"/>
        <charset val="134"/>
      </rPr>
      <t>=</t>
    </r>
    <r>
      <rPr>
        <sz val="14"/>
        <rFont val="宋体"/>
        <family val="3"/>
        <charset val="134"/>
      </rPr>
      <t>0.45πMdu</t>
    </r>
  </si>
  <si>
    <t>螺牙沿分度圆柱上的法向齿厚</t>
  </si>
  <si>
    <r>
      <rPr>
        <sz val="14"/>
        <rFont val="宋体"/>
        <family val="3"/>
        <charset val="134"/>
      </rPr>
      <t>S</t>
    </r>
    <r>
      <rPr>
        <vertAlign val="subscript"/>
        <sz val="14"/>
        <rFont val="宋体"/>
        <family val="3"/>
        <charset val="134"/>
      </rPr>
      <t>f1</t>
    </r>
  </si>
  <si>
    <r>
      <rPr>
        <sz val="14"/>
        <rFont val="宋体"/>
        <family val="3"/>
        <charset val="134"/>
      </rPr>
      <t>Sf1</t>
    </r>
    <r>
      <rPr>
        <sz val="18"/>
        <rFont val="宋体"/>
        <family val="3"/>
        <charset val="134"/>
      </rPr>
      <t>=Sz1cosλ</t>
    </r>
  </si>
  <si>
    <t>齿厚测量高度</t>
  </si>
  <si>
    <t>h~</t>
  </si>
  <si>
    <r>
      <rPr>
        <sz val="14"/>
        <rFont val="宋体"/>
        <family val="3"/>
        <charset val="134"/>
      </rPr>
      <t>h~</t>
    </r>
    <r>
      <rPr>
        <sz val="18"/>
        <rFont val="宋体"/>
        <family val="3"/>
        <charset val="134"/>
      </rPr>
      <t>=</t>
    </r>
    <r>
      <rPr>
        <sz val="14"/>
        <rFont val="宋体"/>
        <family val="3"/>
        <charset val="134"/>
      </rPr>
      <t>Mdu</t>
    </r>
  </si>
  <si>
    <t>蜗   轮</t>
  </si>
  <si>
    <r>
      <rPr>
        <sz val="14"/>
        <rFont val="宋体"/>
        <family val="3"/>
        <charset val="134"/>
      </rPr>
      <t>Z</t>
    </r>
    <r>
      <rPr>
        <vertAlign val="subscript"/>
        <sz val="14"/>
        <rFont val="宋体"/>
        <family val="3"/>
        <charset val="134"/>
      </rPr>
      <t>2</t>
    </r>
  </si>
  <si>
    <r>
      <rPr>
        <sz val="14"/>
        <rFont val="宋体"/>
        <family val="3"/>
        <charset val="134"/>
      </rPr>
      <t>Z2</t>
    </r>
    <r>
      <rPr>
        <sz val="18"/>
        <rFont val="宋体"/>
        <family val="3"/>
        <charset val="134"/>
      </rPr>
      <t>=</t>
    </r>
    <r>
      <rPr>
        <sz val="14"/>
        <rFont val="宋体"/>
        <family val="3"/>
        <charset val="134"/>
      </rPr>
      <t>iZ1</t>
    </r>
  </si>
  <si>
    <r>
      <rPr>
        <sz val="14"/>
        <rFont val="宋体"/>
        <family val="3"/>
        <charset val="134"/>
      </rPr>
      <t>D</t>
    </r>
    <r>
      <rPr>
        <vertAlign val="subscript"/>
        <sz val="14"/>
        <rFont val="宋体"/>
        <family val="3"/>
        <charset val="134"/>
      </rPr>
      <t>fe2</t>
    </r>
  </si>
  <si>
    <r>
      <rPr>
        <sz val="14"/>
        <rFont val="宋体"/>
        <family val="3"/>
        <charset val="134"/>
      </rPr>
      <t>Dfe2</t>
    </r>
    <r>
      <rPr>
        <sz val="18"/>
        <rFont val="宋体"/>
        <family val="3"/>
        <charset val="134"/>
      </rPr>
      <t>=</t>
    </r>
    <r>
      <rPr>
        <sz val="14"/>
        <rFont val="宋体"/>
        <family val="3"/>
        <charset val="134"/>
      </rPr>
      <t>MduZ2</t>
    </r>
  </si>
  <si>
    <r>
      <rPr>
        <sz val="14"/>
        <rFont val="宋体"/>
        <family val="3"/>
        <charset val="134"/>
      </rPr>
      <t>D</t>
    </r>
    <r>
      <rPr>
        <vertAlign val="subscript"/>
        <sz val="14"/>
        <rFont val="宋体"/>
        <family val="3"/>
        <charset val="134"/>
      </rPr>
      <t>je2</t>
    </r>
  </si>
  <si>
    <r>
      <rPr>
        <sz val="14"/>
        <rFont val="宋体"/>
        <family val="3"/>
        <charset val="134"/>
      </rPr>
      <t>Dje2</t>
    </r>
    <r>
      <rPr>
        <sz val="18"/>
        <rFont val="宋体"/>
        <family val="3"/>
        <charset val="134"/>
      </rPr>
      <t>=</t>
    </r>
    <r>
      <rPr>
        <sz val="14"/>
        <rFont val="宋体"/>
        <family val="3"/>
        <charset val="134"/>
      </rPr>
      <t>Dfe2</t>
    </r>
    <r>
      <rPr>
        <sz val="18"/>
        <rFont val="宋体"/>
        <family val="3"/>
        <charset val="134"/>
      </rPr>
      <t>=</t>
    </r>
    <r>
      <rPr>
        <sz val="14"/>
        <rFont val="宋体"/>
        <family val="3"/>
        <charset val="134"/>
      </rPr>
      <t>MduZ2</t>
    </r>
  </si>
  <si>
    <r>
      <rPr>
        <sz val="14"/>
        <rFont val="宋体"/>
        <family val="3"/>
        <charset val="134"/>
      </rPr>
      <t>D</t>
    </r>
    <r>
      <rPr>
        <vertAlign val="subscript"/>
        <sz val="14"/>
        <rFont val="宋体"/>
        <family val="3"/>
        <charset val="134"/>
      </rPr>
      <t>g2</t>
    </r>
  </si>
  <si>
    <r>
      <rPr>
        <sz val="14"/>
        <rFont val="宋体"/>
        <family val="3"/>
        <charset val="134"/>
      </rPr>
      <t>Dg2</t>
    </r>
    <r>
      <rPr>
        <sz val="18"/>
        <rFont val="宋体"/>
        <family val="3"/>
        <charset val="134"/>
      </rPr>
      <t>=</t>
    </r>
    <r>
      <rPr>
        <sz val="14"/>
        <rFont val="宋体"/>
        <family val="3"/>
        <charset val="134"/>
      </rPr>
      <t>2(A-0.5Ddi1-0.25Mdu)</t>
    </r>
  </si>
  <si>
    <r>
      <rPr>
        <sz val="14"/>
        <rFont val="宋体"/>
        <family val="3"/>
        <charset val="134"/>
      </rPr>
      <t>D</t>
    </r>
    <r>
      <rPr>
        <vertAlign val="subscript"/>
        <sz val="14"/>
        <rFont val="宋体"/>
        <family val="3"/>
        <charset val="134"/>
      </rPr>
      <t>di2</t>
    </r>
  </si>
  <si>
    <r>
      <rPr>
        <sz val="14"/>
        <rFont val="宋体"/>
        <family val="3"/>
        <charset val="134"/>
      </rPr>
      <t>Ddi2</t>
    </r>
    <r>
      <rPr>
        <sz val="18"/>
        <rFont val="宋体"/>
        <family val="3"/>
        <charset val="134"/>
      </rPr>
      <t>=</t>
    </r>
    <r>
      <rPr>
        <sz val="14"/>
        <rFont val="宋体"/>
        <family val="3"/>
        <charset val="134"/>
      </rPr>
      <t>2(A-0.5Dfe1+Mdu)</t>
    </r>
  </si>
  <si>
    <t>最大外圆直径</t>
  </si>
  <si>
    <r>
      <rPr>
        <sz val="14"/>
        <rFont val="宋体"/>
        <family val="3"/>
        <charset val="134"/>
      </rPr>
      <t>Dw</t>
    </r>
    <r>
      <rPr>
        <vertAlign val="subscript"/>
        <sz val="14"/>
        <rFont val="宋体"/>
        <family val="3"/>
        <charset val="134"/>
      </rPr>
      <t>2</t>
    </r>
  </si>
  <si>
    <r>
      <rPr>
        <sz val="14"/>
        <rFont val="宋体"/>
        <family val="3"/>
        <charset val="134"/>
      </rPr>
      <t>Dw2</t>
    </r>
    <r>
      <rPr>
        <sz val="18"/>
        <rFont val="宋体"/>
        <family val="3"/>
        <charset val="134"/>
      </rPr>
      <t>=</t>
    </r>
    <r>
      <rPr>
        <sz val="14"/>
        <rFont val="宋体"/>
        <family val="3"/>
        <charset val="134"/>
      </rPr>
      <t>Ddi2+Mdu</t>
    </r>
  </si>
  <si>
    <t>轮缘宽度</t>
  </si>
  <si>
    <r>
      <rPr>
        <sz val="14"/>
        <rFont val="宋体"/>
        <family val="3"/>
        <charset val="134"/>
      </rPr>
      <t>b</t>
    </r>
    <r>
      <rPr>
        <sz val="18"/>
        <rFont val="宋体"/>
        <family val="3"/>
        <charset val="134"/>
      </rPr>
      <t>=</t>
    </r>
    <r>
      <rPr>
        <sz val="14"/>
        <rFont val="宋体"/>
        <family val="3"/>
        <charset val="134"/>
      </rPr>
      <t>0.65Ddi1</t>
    </r>
  </si>
  <si>
    <t>齿顶圆弧半径</t>
  </si>
  <si>
    <r>
      <rPr>
        <sz val="14"/>
        <rFont val="宋体"/>
        <family val="3"/>
        <charset val="134"/>
      </rPr>
      <t>R</t>
    </r>
    <r>
      <rPr>
        <vertAlign val="subscript"/>
        <sz val="14"/>
        <rFont val="宋体"/>
        <family val="3"/>
        <charset val="134"/>
      </rPr>
      <t>1</t>
    </r>
  </si>
  <si>
    <r>
      <rPr>
        <sz val="14"/>
        <rFont val="宋体"/>
        <family val="3"/>
        <charset val="134"/>
      </rPr>
      <t>R1</t>
    </r>
    <r>
      <rPr>
        <sz val="18"/>
        <rFont val="宋体"/>
        <family val="3"/>
        <charset val="134"/>
      </rPr>
      <t>=</t>
    </r>
    <r>
      <rPr>
        <sz val="14"/>
        <rFont val="宋体"/>
        <family val="3"/>
        <charset val="134"/>
      </rPr>
      <t>0.5Dfe1-Mdu</t>
    </r>
  </si>
  <si>
    <t>齿根圆弧半径</t>
  </si>
  <si>
    <r>
      <rPr>
        <sz val="14"/>
        <rFont val="宋体"/>
        <family val="3"/>
        <charset val="134"/>
      </rPr>
      <t>R</t>
    </r>
    <r>
      <rPr>
        <vertAlign val="subscript"/>
        <sz val="14"/>
        <rFont val="宋体"/>
        <family val="3"/>
        <charset val="134"/>
      </rPr>
      <t>2</t>
    </r>
  </si>
  <si>
    <r>
      <rPr>
        <sz val="14"/>
        <rFont val="宋体"/>
        <family val="3"/>
        <charset val="134"/>
      </rPr>
      <t>R1</t>
    </r>
    <r>
      <rPr>
        <sz val="18"/>
        <rFont val="宋体"/>
        <family val="3"/>
        <charset val="134"/>
      </rPr>
      <t>=</t>
    </r>
    <r>
      <rPr>
        <sz val="14"/>
        <rFont val="宋体"/>
        <family val="3"/>
        <charset val="134"/>
      </rPr>
      <t>0.5Ddi1+0.25Mdu</t>
    </r>
  </si>
  <si>
    <t>注:☆磨削蜗杆需加长:Mdu≤10时,加长25MM;10≤Mdu≤16时,加长35MM;Mdu&gt;16时,加长40-50MM</t>
  </si>
  <si>
    <t>蜗杆头数Z1</t>
  </si>
  <si>
    <t>传动比i</t>
  </si>
  <si>
    <t>中          心          距</t>
  </si>
  <si>
    <t>Mdu</t>
  </si>
  <si>
    <t>皮 带  长 度 自 动 计 算</t>
  </si>
  <si>
    <t>1、皮带长度求取</t>
  </si>
  <si>
    <t>两圆间距</t>
  </si>
  <si>
    <t>大带轮节径</t>
  </si>
  <si>
    <t>小带轮节径</t>
  </si>
  <si>
    <t>皮带长【节径】</t>
  </si>
  <si>
    <t>Lfm</t>
  </si>
  <si>
    <t>Df</t>
  </si>
  <si>
    <t>dm</t>
  </si>
  <si>
    <t>Lb</t>
  </si>
  <si>
    <t>【备注：请修改绿色区域内的数值即可，黄色区域为计算结果，供参考】</t>
  </si>
  <si>
    <t>参考资料</t>
  </si>
  <si>
    <t>皮带长度计算公式:</t>
  </si>
  <si>
    <r>
      <rPr>
        <sz val="9"/>
        <color rgb="FF333333"/>
        <rFont val="Verdana"/>
        <family val="2"/>
      </rPr>
      <t>lb = ((df + dm) 1.5708 ) + (2 lfm)
lb =</t>
    </r>
    <r>
      <rPr>
        <sz val="9"/>
        <color rgb="FF333333"/>
        <rFont val="宋体"/>
        <family val="3"/>
        <charset val="134"/>
      </rPr>
      <t>皮带长度</t>
    </r>
    <r>
      <rPr>
        <sz val="9"/>
        <color rgb="FF333333"/>
        <rFont val="Verdana"/>
        <family val="2"/>
      </rPr>
      <t xml:space="preserve">
df = </t>
    </r>
    <r>
      <rPr>
        <sz val="9"/>
        <color rgb="FF333333"/>
        <rFont val="宋体"/>
        <family val="3"/>
        <charset val="134"/>
      </rPr>
      <t>大皮带轮直径</t>
    </r>
    <r>
      <rPr>
        <sz val="9"/>
        <color rgb="FF333333"/>
        <rFont val="Verdana"/>
        <family val="2"/>
      </rPr>
      <t xml:space="preserve">
dm = </t>
    </r>
    <r>
      <rPr>
        <sz val="9"/>
        <color rgb="FF333333"/>
        <rFont val="宋体"/>
        <family val="3"/>
        <charset val="134"/>
      </rPr>
      <t>小皮带轮直径</t>
    </r>
    <r>
      <rPr>
        <sz val="9"/>
        <color rgb="FF333333"/>
        <rFont val="Verdana"/>
        <family val="2"/>
      </rPr>
      <t xml:space="preserve">
lfm = </t>
    </r>
    <r>
      <rPr>
        <sz val="9"/>
        <color rgb="FF333333"/>
        <rFont val="宋体"/>
        <family val="3"/>
        <charset val="134"/>
      </rPr>
      <t>大皮带轮中心与小皮带轮中心距离</t>
    </r>
  </si>
  <si>
    <t>2、根据节径选择皮带</t>
  </si>
  <si>
    <t>【点击链接】A型三角带规格</t>
  </si>
  <si>
    <t>【点击链接】B型三角带规格</t>
  </si>
  <si>
    <t>【点击链接】C型三角带规格</t>
  </si>
  <si>
    <t>螺丝攻牙钻孔径和滚造径对照表</t>
  </si>
  <si>
    <t>公制粗螺纹</t>
  </si>
  <si>
    <t>美制粗螺纹</t>
  </si>
  <si>
    <t>公制细螺纹</t>
  </si>
  <si>
    <t>美制细螺纹</t>
  </si>
  <si>
    <t>标准径</t>
  </si>
  <si>
    <t>2级牙钻孔径</t>
  </si>
  <si>
    <t>规格（UNC）</t>
  </si>
  <si>
    <t>M1.0×0.25</t>
  </si>
  <si>
    <t>NO.1-64(1.854)</t>
  </si>
  <si>
    <t>M1.0×0.2</t>
  </si>
  <si>
    <t>NO.0-80(1.524)</t>
  </si>
  <si>
    <t>M1.1×0.25</t>
  </si>
  <si>
    <t>NO.2-56(2.184)</t>
  </si>
  <si>
    <t>M1.1×0.2</t>
  </si>
  <si>
    <t>NO.1-72(1.854)</t>
  </si>
  <si>
    <t>M1.2×0.25</t>
  </si>
  <si>
    <t>NO.3-48(2.515)</t>
  </si>
  <si>
    <t>M1.2×0.2</t>
  </si>
  <si>
    <t>NO.2-64(2.184)</t>
  </si>
  <si>
    <t>M1.4×0.3</t>
  </si>
  <si>
    <t>NO.4-40(2.845)</t>
  </si>
  <si>
    <t>M1.4×0.2</t>
  </si>
  <si>
    <t>NO.3-56(2.515)</t>
  </si>
  <si>
    <t>M1.6×0.35</t>
  </si>
  <si>
    <t>NO.5-40(3.175)</t>
  </si>
  <si>
    <t>M1.6×0.2</t>
  </si>
  <si>
    <t>NO.4-48(2.845)</t>
  </si>
  <si>
    <t>M1.7×0.35</t>
  </si>
  <si>
    <t>NO.6-32(3.505)</t>
  </si>
  <si>
    <t>M1.7×0.2</t>
  </si>
  <si>
    <t>NO.5-44(3.175)</t>
  </si>
  <si>
    <t>M1.8×0.35</t>
  </si>
  <si>
    <t>NO8-32(4.166)</t>
  </si>
  <si>
    <t>M1.8×0.2</t>
  </si>
  <si>
    <t>NO.6-40(3.505)</t>
  </si>
  <si>
    <t>M2.0×0.4</t>
  </si>
  <si>
    <t>NO.10-24(4.826)</t>
  </si>
  <si>
    <t>M2.0×0.25</t>
  </si>
  <si>
    <t>NO.8-36(4.166)</t>
  </si>
  <si>
    <t>M2.2×0.45</t>
  </si>
  <si>
    <t>NO.12-24(5.486)</t>
  </si>
  <si>
    <t>M2.2×0.25</t>
  </si>
  <si>
    <t>NO.10-32(4.826)</t>
  </si>
  <si>
    <t>M2.3×0.4</t>
  </si>
  <si>
    <t>1/4-20</t>
  </si>
  <si>
    <t>M2.3×0.25</t>
  </si>
  <si>
    <t>NO.12-28(5.846)</t>
  </si>
  <si>
    <t>M2.5×0.45</t>
  </si>
  <si>
    <t>5/16-18</t>
  </si>
  <si>
    <t>M2.5×0.35</t>
  </si>
  <si>
    <t>1/4-28</t>
  </si>
  <si>
    <t>M2.6×0.45</t>
  </si>
  <si>
    <t>3/8-16</t>
  </si>
  <si>
    <t>M2.6×0.35</t>
  </si>
  <si>
    <t>5/16-24</t>
  </si>
  <si>
    <t>M3.0×0.5</t>
  </si>
  <si>
    <t>7/16-14</t>
  </si>
  <si>
    <t>M3.0×0.35</t>
  </si>
  <si>
    <t>3/8-24</t>
  </si>
  <si>
    <t>M3.0×0.6</t>
  </si>
  <si>
    <t>1/2-13</t>
  </si>
  <si>
    <t>M3.5×0.35</t>
  </si>
  <si>
    <t>7/16-20</t>
  </si>
  <si>
    <t>M3.5×0.6</t>
  </si>
  <si>
    <t>9/16-12</t>
  </si>
  <si>
    <t>M4.0×0.5</t>
  </si>
  <si>
    <t>1/2-20</t>
  </si>
  <si>
    <t>M4.0×0.7</t>
  </si>
  <si>
    <t>5/8-11</t>
  </si>
  <si>
    <t>M4.5×0.5</t>
  </si>
  <si>
    <t>9/16-18</t>
  </si>
  <si>
    <t>M4.0×0.75</t>
  </si>
  <si>
    <t>3/4-10</t>
  </si>
  <si>
    <t>M5.0×0.5</t>
  </si>
  <si>
    <t>5/8-18</t>
  </si>
  <si>
    <t>M4.5×0.75</t>
  </si>
  <si>
    <t>7/8-9</t>
  </si>
  <si>
    <t>M5.5×0.5</t>
  </si>
  <si>
    <t>3/4-16</t>
  </si>
  <si>
    <t>M5.0×0.8</t>
  </si>
  <si>
    <t>M6.0×0.75</t>
  </si>
  <si>
    <t>7/8-14</t>
  </si>
  <si>
    <t>M5.0×0.9</t>
  </si>
  <si>
    <t>1-1/8-7</t>
  </si>
  <si>
    <t>M6.0×0.5</t>
  </si>
  <si>
    <t>1-12</t>
  </si>
  <si>
    <t>M6.0×1.0</t>
  </si>
  <si>
    <t>1-1/4-7</t>
  </si>
  <si>
    <t>M7.0×0.75</t>
  </si>
  <si>
    <t>1-1/8-12</t>
  </si>
  <si>
    <t>M7.0×1.0</t>
  </si>
  <si>
    <t>1-3/8-6</t>
  </si>
  <si>
    <t>M7.0×0.5</t>
  </si>
  <si>
    <t>1-1/4-12</t>
  </si>
  <si>
    <t>M8.0×1.25</t>
  </si>
  <si>
    <t>1-1/2-6</t>
  </si>
  <si>
    <t>M9.0×1.25</t>
  </si>
  <si>
    <t>1-3/4-5</t>
  </si>
  <si>
    <t>M10×1.5</t>
  </si>
  <si>
    <t>2-4-1/2</t>
  </si>
  <si>
    <t>M11×1.5</t>
  </si>
  <si>
    <t>M12×1.75</t>
  </si>
  <si>
    <t>M8.0×1.0</t>
  </si>
  <si>
    <t>1-3/8-12</t>
  </si>
  <si>
    <t>M14×2.0</t>
  </si>
  <si>
    <t>M8.0×0.75</t>
  </si>
  <si>
    <t>1-1/2-12</t>
  </si>
  <si>
    <t>M16×2.0</t>
  </si>
  <si>
    <t>M8.0×0.5</t>
  </si>
  <si>
    <t>M18×2.5</t>
  </si>
  <si>
    <t>M9.0×1.0</t>
  </si>
  <si>
    <t>M20×2.5</t>
  </si>
  <si>
    <t>M9.0×0.75</t>
  </si>
  <si>
    <t>M22×2.5</t>
  </si>
  <si>
    <t>M10×1.25</t>
  </si>
  <si>
    <t>M24×3.0</t>
  </si>
  <si>
    <t>M10×1.0</t>
  </si>
  <si>
    <t>M27×3.0</t>
  </si>
  <si>
    <t>M10×0.75</t>
  </si>
  <si>
    <t>M30×3.5</t>
  </si>
  <si>
    <t>M10×0.5</t>
  </si>
  <si>
    <t>M11×1.0</t>
  </si>
  <si>
    <t>M11×0.75</t>
  </si>
  <si>
    <t>M12×1.5</t>
  </si>
  <si>
    <t>M12×1.25</t>
  </si>
  <si>
    <t>M12×1.0</t>
  </si>
  <si>
    <t>M12×0.5</t>
  </si>
  <si>
    <t>M14×1.5</t>
  </si>
  <si>
    <t>M14×1.0</t>
  </si>
  <si>
    <t>M15×1.5</t>
  </si>
  <si>
    <t>M15×1.0</t>
  </si>
  <si>
    <t>M16×1.5</t>
  </si>
  <si>
    <t>M16×1.0</t>
  </si>
  <si>
    <t>M17×1.5</t>
  </si>
  <si>
    <t>M17×1.0</t>
  </si>
  <si>
    <t>M18×2.0</t>
  </si>
  <si>
    <t>M18×1.5</t>
  </si>
  <si>
    <t>M18×1.0</t>
  </si>
  <si>
    <t>M20×2.0</t>
  </si>
  <si>
    <t>M20×1.5</t>
  </si>
  <si>
    <t>M20×1.0</t>
  </si>
  <si>
    <t>M22×2.0</t>
  </si>
  <si>
    <t>M22×1.5</t>
  </si>
  <si>
    <t>M22×1.0</t>
  </si>
  <si>
    <t>M24×2.0</t>
  </si>
  <si>
    <t>M24×1.5</t>
  </si>
  <si>
    <t>M24×1.0</t>
  </si>
  <si>
    <t>M25×2.0</t>
  </si>
  <si>
    <t>M25×1.5</t>
  </si>
  <si>
    <t>M25×1.0</t>
  </si>
  <si>
    <t>M26×1.5</t>
  </si>
  <si>
    <t>M27×2.0</t>
  </si>
  <si>
    <t>M27×1.5</t>
  </si>
  <si>
    <t>M27×1.0</t>
  </si>
  <si>
    <t>M28×2.0</t>
  </si>
  <si>
    <t>M28×1.5</t>
  </si>
  <si>
    <t>M28×1.0</t>
  </si>
  <si>
    <t>M30×3.0</t>
  </si>
  <si>
    <t>M30×2.0</t>
  </si>
  <si>
    <t>M30×1.5</t>
  </si>
  <si>
    <t>M30×1.0</t>
  </si>
  <si>
    <t>M32×2.0</t>
  </si>
  <si>
    <t>M32×1.5</t>
  </si>
  <si>
    <t>M33×3.0</t>
  </si>
  <si>
    <t>M33×2.0</t>
  </si>
  <si>
    <t>M33×1.5</t>
  </si>
  <si>
    <t>M35×1.5</t>
  </si>
  <si>
    <t>M36×3.0</t>
  </si>
  <si>
    <t>M36×2.0</t>
  </si>
  <si>
    <t>M36×1.5</t>
  </si>
  <si>
    <t>美制特细螺纹</t>
  </si>
  <si>
    <t>英制电器螺纹</t>
  </si>
  <si>
    <r>
      <rPr>
        <sz val="14"/>
        <rFont val="宋体"/>
        <family val="3"/>
        <charset val="134"/>
      </rPr>
      <t>规格</t>
    </r>
    <r>
      <rPr>
        <sz val="14"/>
        <rFont val="Times New Roman"/>
        <family val="1"/>
      </rPr>
      <t>(UNEF)</t>
    </r>
  </si>
  <si>
    <t>NO.12-32</t>
  </si>
  <si>
    <t>2BA</t>
  </si>
  <si>
    <t>4.0-4.2</t>
  </si>
  <si>
    <t>1/4     -32</t>
  </si>
  <si>
    <t>3BA</t>
  </si>
  <si>
    <t>5/16   -32</t>
  </si>
  <si>
    <t>4BA</t>
  </si>
  <si>
    <t>3.0-3.2</t>
  </si>
  <si>
    <t>3/8    -32</t>
  </si>
  <si>
    <t>5BA</t>
  </si>
  <si>
    <t>2.7-2.8</t>
  </si>
  <si>
    <t>7/16   -28</t>
  </si>
  <si>
    <t>6BA</t>
  </si>
  <si>
    <t>2.4-2.5</t>
  </si>
  <si>
    <t>1/2     -28</t>
  </si>
  <si>
    <t>9/16    -24</t>
  </si>
  <si>
    <t>5/8    -24</t>
  </si>
  <si>
    <t>3/4    -20</t>
  </si>
  <si>
    <t>7/8    -20</t>
  </si>
  <si>
    <t>1      -20</t>
  </si>
  <si>
    <t>英制管螺纹</t>
  </si>
  <si>
    <t>美制管螺纹</t>
  </si>
  <si>
    <t>有交牙部之长度（最小）中之毋螺牙内径</t>
  </si>
  <si>
    <t>标准长度（最小）中之毋螺牙内径</t>
  </si>
  <si>
    <t>使用纹刀时</t>
  </si>
  <si>
    <t>不用纹刀时</t>
  </si>
  <si>
    <t>NPT</t>
  </si>
  <si>
    <t>NPS</t>
  </si>
  <si>
    <t>使用绞刀时</t>
  </si>
  <si>
    <t>不用绞刀时</t>
  </si>
  <si>
    <t>PS 1/16 - 28</t>
  </si>
  <si>
    <t>PT 1/16 - 28</t>
  </si>
  <si>
    <t>1/16 - 27</t>
  </si>
  <si>
    <t>PS 1/8 - 28</t>
  </si>
  <si>
    <t>PT 1/8 - 28</t>
  </si>
  <si>
    <t>1/8 - 27</t>
  </si>
  <si>
    <t>PS 1/4 - 19</t>
  </si>
  <si>
    <t>PT 1/4 - 19</t>
  </si>
  <si>
    <t>1/4 - 18</t>
  </si>
  <si>
    <t>PS 3/8 - 19</t>
  </si>
  <si>
    <t>PT 3/8 - 19</t>
  </si>
  <si>
    <t>3/8 - 18</t>
  </si>
  <si>
    <t>PS 1/2 - 14</t>
  </si>
  <si>
    <t>PT 1/2 - 14</t>
  </si>
  <si>
    <t>1/2 - 14</t>
  </si>
  <si>
    <t>PS 3/4 -14</t>
  </si>
  <si>
    <t>PT 3/4 - 14</t>
  </si>
  <si>
    <t>3/4 - 14</t>
  </si>
  <si>
    <t>PS 1 - 11</t>
  </si>
  <si>
    <t>PT 1- 11</t>
  </si>
  <si>
    <t>1 - 11-1/2</t>
  </si>
  <si>
    <t>PS 1-1/4 - 11</t>
  </si>
  <si>
    <t>PT 1-1/4 - 11</t>
  </si>
  <si>
    <t>1-1/4-11-1/2</t>
  </si>
  <si>
    <t>PS 1-1/2 - 11</t>
  </si>
  <si>
    <t>PT 1-1/2 - 11</t>
  </si>
  <si>
    <t>1-1/2-11-1/2</t>
  </si>
  <si>
    <t>PS 2 - 11</t>
  </si>
  <si>
    <t>PT 2 - 11</t>
  </si>
  <si>
    <t>2 - 11 - 1/2</t>
  </si>
  <si>
    <t>公制螺纹</t>
  </si>
  <si>
    <t>针车用螺纹</t>
  </si>
  <si>
    <t>滚造径</t>
  </si>
  <si>
    <t>W 1/8 - 40</t>
  </si>
  <si>
    <t>M3×0.5</t>
  </si>
  <si>
    <t>2.63-2.60</t>
  </si>
  <si>
    <t>SM1/8-40</t>
  </si>
  <si>
    <t>2.735-2.688</t>
  </si>
  <si>
    <t>W 5/32 - 32</t>
  </si>
  <si>
    <t>2.56-2.53</t>
  </si>
  <si>
    <t>SM1/8-44</t>
  </si>
  <si>
    <t>2.769-2.722</t>
  </si>
  <si>
    <t>W 3/16  - 24</t>
  </si>
  <si>
    <t>3.06-3.03</t>
  </si>
  <si>
    <t>SM9/64-40</t>
  </si>
  <si>
    <t>3.128-3.083</t>
  </si>
  <si>
    <t>W 1/4 - 20</t>
  </si>
  <si>
    <t>3.49-3.45</t>
  </si>
  <si>
    <t>SM11/64-40</t>
  </si>
  <si>
    <t>3.855-3.805</t>
  </si>
  <si>
    <t>W 5/16 - 18</t>
  </si>
  <si>
    <t>3.45-3.41</t>
  </si>
  <si>
    <t>SM3/16-32</t>
  </si>
  <si>
    <t>4.205-4.155</t>
  </si>
  <si>
    <t>W 3/8 - 16</t>
  </si>
  <si>
    <t>3.96-3.92</t>
  </si>
  <si>
    <t>SM3/16-28</t>
  </si>
  <si>
    <t>4.143-4.093</t>
  </si>
  <si>
    <t>W 7/16 - 14</t>
  </si>
  <si>
    <t>4.43-4.38</t>
  </si>
  <si>
    <t>SM7/32-32</t>
  </si>
  <si>
    <t>5.003-4.955</t>
  </si>
  <si>
    <t>W 1/2 - 12</t>
  </si>
  <si>
    <t>4.36-4.31</t>
  </si>
  <si>
    <t>SM15/64-28</t>
  </si>
  <si>
    <t>5.325-5.570</t>
  </si>
  <si>
    <t>W 9/16 - 12</t>
  </si>
  <si>
    <t>5.30-5.25</t>
  </si>
  <si>
    <t>SM1/4-40</t>
  </si>
  <si>
    <t>5.890-5.735</t>
  </si>
  <si>
    <t>W 5/8 - 11</t>
  </si>
  <si>
    <t>6.30-6.25</t>
  </si>
  <si>
    <t>SM1/4-28</t>
  </si>
  <si>
    <t>5.721-5.366</t>
  </si>
  <si>
    <t>W 3/4 - 10</t>
  </si>
  <si>
    <t>7.28-7.23</t>
  </si>
  <si>
    <t>SM9/32-28</t>
  </si>
  <si>
    <t>6.508-6.648</t>
  </si>
  <si>
    <t>W 7/8 - 9</t>
  </si>
  <si>
    <t>7.12-7.07</t>
  </si>
  <si>
    <t>SM11/32-28</t>
  </si>
  <si>
    <t>8.092-8.432</t>
  </si>
  <si>
    <t>W1 - 8</t>
  </si>
  <si>
    <t>SM3/8-28</t>
  </si>
  <si>
    <t>8.880-8.015</t>
  </si>
  <si>
    <t>W 1-1/8 - 7</t>
  </si>
  <si>
    <t>SM7/16-28</t>
  </si>
  <si>
    <t>10.466-10.401</t>
  </si>
  <si>
    <t>W 1 - 1/4 - 7</t>
  </si>
  <si>
    <t>SM7/16-16</t>
  </si>
  <si>
    <t>10.037-9.967</t>
  </si>
  <si>
    <t>SM1/2-20</t>
  </si>
  <si>
    <t>11.819-11.749</t>
  </si>
  <si>
    <t>SM9/26-20</t>
  </si>
  <si>
    <t>13.400-13.425</t>
  </si>
  <si>
    <t>轴心受压柱的稳定性计算</t>
  </si>
  <si>
    <t>&lt;[σ]</t>
  </si>
  <si>
    <t>λ=</t>
  </si>
  <si>
    <r>
      <rPr>
        <b/>
        <sz val="16"/>
        <color indexed="10"/>
        <rFont val="楷体_GB2312"/>
        <charset val="134"/>
      </rPr>
      <t>L</t>
    </r>
    <r>
      <rPr>
        <b/>
        <vertAlign val="subscript"/>
        <sz val="16"/>
        <color indexed="10"/>
        <rFont val="楷体_GB2312"/>
        <charset val="134"/>
      </rPr>
      <t>C</t>
    </r>
  </si>
  <si>
    <t>≤[λ]</t>
  </si>
  <si>
    <t>φA</t>
  </si>
  <si>
    <t>σ---所选材料的屈服强度,kgf/cm2</t>
  </si>
  <si>
    <r>
      <rPr>
        <sz val="14"/>
        <rFont val="楷体_GB2312"/>
        <charset val="134"/>
      </rPr>
      <t>A---构件毛截面面积，cm</t>
    </r>
    <r>
      <rPr>
        <vertAlign val="superscript"/>
        <sz val="14"/>
        <rFont val="楷体_GB2312"/>
        <charset val="134"/>
      </rPr>
      <t>2</t>
    </r>
  </si>
  <si>
    <r>
      <rPr>
        <b/>
        <sz val="16"/>
        <color indexed="10"/>
        <rFont val="楷体_GB2312"/>
        <charset val="134"/>
      </rPr>
      <t>L</t>
    </r>
    <r>
      <rPr>
        <b/>
        <vertAlign val="subscript"/>
        <sz val="16"/>
        <color indexed="10"/>
        <rFont val="楷体_GB2312"/>
        <charset val="134"/>
      </rPr>
      <t>C</t>
    </r>
    <r>
      <rPr>
        <b/>
        <sz val="16"/>
        <color indexed="10"/>
        <rFont val="楷体_GB2312"/>
        <charset val="134"/>
      </rPr>
      <t>=</t>
    </r>
  </si>
  <si>
    <r>
      <rPr>
        <b/>
        <sz val="16"/>
        <color indexed="10"/>
        <rFont val="楷体_GB2312"/>
        <charset val="134"/>
      </rPr>
      <t>μ</t>
    </r>
    <r>
      <rPr>
        <b/>
        <vertAlign val="subscript"/>
        <sz val="16"/>
        <color indexed="10"/>
        <rFont val="楷体_GB2312"/>
        <charset val="134"/>
      </rPr>
      <t>1</t>
    </r>
    <r>
      <rPr>
        <b/>
        <sz val="16"/>
        <color indexed="10"/>
        <rFont val="楷体_GB2312"/>
        <charset val="134"/>
      </rPr>
      <t>*L</t>
    </r>
  </si>
  <si>
    <t>r=√I/A</t>
  </si>
  <si>
    <t>N---计算轴向压力，kgf</t>
  </si>
  <si>
    <r>
      <rPr>
        <sz val="14"/>
        <rFont val="楷体_GB2312"/>
        <charset val="134"/>
      </rPr>
      <t>L---构件的实际长度,cm（L</t>
    </r>
    <r>
      <rPr>
        <vertAlign val="subscript"/>
        <sz val="14"/>
        <rFont val="楷体_GB2312"/>
        <charset val="134"/>
      </rPr>
      <t>C</t>
    </r>
    <r>
      <rPr>
        <sz val="14"/>
        <rFont val="楷体_GB2312"/>
        <charset val="134"/>
      </rPr>
      <t>为计算长度）</t>
    </r>
  </si>
  <si>
    <r>
      <rPr>
        <sz val="14"/>
        <rFont val="楷体_GB2312"/>
        <charset val="134"/>
      </rPr>
      <t>φ---轴心受压构件稳定性系数（</t>
    </r>
    <r>
      <rPr>
        <sz val="14"/>
        <color indexed="12"/>
        <rFont val="楷体_GB2312"/>
        <charset val="134"/>
      </rPr>
      <t>见《稳定性系数》</t>
    </r>
    <r>
      <rPr>
        <sz val="14"/>
        <rFont val="楷体_GB2312"/>
        <charset val="134"/>
      </rPr>
      <t>）</t>
    </r>
  </si>
  <si>
    <r>
      <rPr>
        <sz val="14"/>
        <rFont val="楷体_GB2312"/>
        <charset val="134"/>
      </rPr>
      <t>μ</t>
    </r>
    <r>
      <rPr>
        <vertAlign val="subscript"/>
        <sz val="14"/>
        <rFont val="楷体_GB2312"/>
        <charset val="134"/>
      </rPr>
      <t>1</t>
    </r>
    <r>
      <rPr>
        <sz val="14"/>
        <rFont val="楷体_GB2312"/>
        <charset val="134"/>
      </rPr>
      <t>---与支承有关的长度系数，（</t>
    </r>
    <r>
      <rPr>
        <sz val="14"/>
        <color indexed="12"/>
        <rFont val="楷体_GB2312"/>
        <charset val="134"/>
      </rPr>
      <t>见《长度细系》</t>
    </r>
    <r>
      <rPr>
        <sz val="14"/>
        <rFont val="楷体_GB2312"/>
        <charset val="134"/>
      </rPr>
      <t>）</t>
    </r>
  </si>
  <si>
    <r>
      <rPr>
        <sz val="14"/>
        <rFont val="楷体_GB2312"/>
        <charset val="134"/>
      </rPr>
      <t>I---截面惯性矩，cm</t>
    </r>
    <r>
      <rPr>
        <vertAlign val="superscript"/>
        <sz val="14"/>
        <rFont val="楷体_GB2312"/>
        <charset val="134"/>
      </rPr>
      <t>4</t>
    </r>
    <r>
      <rPr>
        <sz val="14"/>
        <rFont val="楷体_GB2312"/>
        <charset val="134"/>
      </rPr>
      <t xml:space="preserve">   [λ]---许用长细比(</t>
    </r>
    <r>
      <rPr>
        <sz val="14"/>
        <color indexed="12"/>
        <rFont val="楷体_GB2312"/>
        <charset val="134"/>
      </rPr>
      <t>见《长细比》</t>
    </r>
    <r>
      <rPr>
        <sz val="14"/>
        <rFont val="楷体_GB2312"/>
        <charset val="134"/>
      </rPr>
      <t>）</t>
    </r>
  </si>
  <si>
    <t>r---毛截面积对某轴的回转半径，cm</t>
  </si>
  <si>
    <t>计算表：</t>
  </si>
  <si>
    <t>φ</t>
  </si>
  <si>
    <t>I</t>
  </si>
  <si>
    <r>
      <rPr>
        <sz val="14"/>
        <rFont val="楷体_GB2312"/>
        <charset val="134"/>
      </rPr>
      <t>μ</t>
    </r>
    <r>
      <rPr>
        <vertAlign val="subscript"/>
        <sz val="14"/>
        <rFont val="楷体_GB2312"/>
        <charset val="134"/>
      </rPr>
      <t>1</t>
    </r>
  </si>
  <si>
    <r>
      <rPr>
        <sz val="14"/>
        <rFont val="楷体_GB2312"/>
        <charset val="134"/>
      </rPr>
      <t>L</t>
    </r>
    <r>
      <rPr>
        <vertAlign val="subscript"/>
        <sz val="14"/>
        <rFont val="楷体_GB2312"/>
        <charset val="134"/>
      </rPr>
      <t>C</t>
    </r>
  </si>
  <si>
    <t>[λ]</t>
  </si>
  <si>
    <t>[σ]</t>
  </si>
  <si>
    <t>cm2</t>
  </si>
  <si>
    <t>无</t>
  </si>
  <si>
    <t>cm4</t>
  </si>
  <si>
    <t>kgf/cm2</t>
  </si>
  <si>
    <r>
      <rPr>
        <sz val="18"/>
        <color indexed="10"/>
        <rFont val="楷体_GB2312"/>
        <charset val="134"/>
      </rPr>
      <t>轴心受压构件的稳定性系数</t>
    </r>
    <r>
      <rPr>
        <b/>
        <sz val="24"/>
        <color indexed="10"/>
        <rFont val="楷体_GB2312"/>
        <charset val="134"/>
      </rPr>
      <t>φ</t>
    </r>
    <r>
      <rPr>
        <sz val="18"/>
        <color indexed="10"/>
        <rFont val="楷体_GB2312"/>
        <charset val="134"/>
      </rPr>
      <t>值</t>
    </r>
  </si>
  <si>
    <t>16Mn</t>
  </si>
  <si>
    <r>
      <rPr>
        <sz val="10"/>
        <color indexed="23"/>
        <rFont val="Times New Roman"/>
        <family val="1"/>
      </rPr>
      <t xml:space="preserve">               </t>
    </r>
    <r>
      <rPr>
        <sz val="10"/>
        <color indexed="23"/>
        <rFont val="宋体"/>
        <family val="3"/>
        <charset val="134"/>
      </rPr>
      <t xml:space="preserve">本程序适用于轴交角为 </t>
    </r>
    <r>
      <rPr>
        <sz val="10"/>
        <color indexed="23"/>
        <rFont val="Times New Roman"/>
        <family val="1"/>
      </rPr>
      <t xml:space="preserve">0 </t>
    </r>
    <r>
      <rPr>
        <sz val="10"/>
        <color indexed="23"/>
        <rFont val="宋体"/>
        <family val="3"/>
        <charset val="134"/>
      </rPr>
      <t>度的变位和非变位直齿、斜齿渐开线圆柱齿轮与齿条传动的设计计算。公差数值</t>
    </r>
  </si>
  <si>
    <r>
      <rPr>
        <sz val="12"/>
        <rFont val="宋体"/>
        <family val="3"/>
        <charset val="134"/>
      </rPr>
      <t>基</t>
    </r>
    <r>
      <rPr>
        <sz val="12"/>
        <rFont val="Times New Roman"/>
        <family val="1"/>
      </rPr>
      <t xml:space="preserve">    </t>
    </r>
    <r>
      <rPr>
        <sz val="12"/>
        <rFont val="宋体"/>
        <family val="3"/>
        <charset val="134"/>
      </rPr>
      <t>圆    直    径</t>
    </r>
  </si>
  <si>
    <r>
      <rPr>
        <sz val="12"/>
        <rFont val="宋体"/>
        <family val="3"/>
        <charset val="134"/>
      </rPr>
      <t>齿</t>
    </r>
    <r>
      <rPr>
        <sz val="12"/>
        <rFont val="Times New Roman"/>
        <family val="1"/>
      </rPr>
      <t xml:space="preserve"> </t>
    </r>
    <r>
      <rPr>
        <sz val="12"/>
        <rFont val="宋体"/>
        <family val="3"/>
        <charset val="134"/>
      </rPr>
      <t>距</t>
    </r>
    <r>
      <rPr>
        <sz val="12"/>
        <rFont val="Times New Roman"/>
        <family val="1"/>
      </rPr>
      <t xml:space="preserve"> </t>
    </r>
    <r>
      <rPr>
        <sz val="12"/>
        <rFont val="宋体"/>
        <family val="3"/>
        <charset val="134"/>
      </rPr>
      <t>极</t>
    </r>
    <r>
      <rPr>
        <sz val="12"/>
        <rFont val="Times New Roman"/>
        <family val="1"/>
      </rPr>
      <t xml:space="preserve"> </t>
    </r>
    <r>
      <rPr>
        <sz val="12"/>
        <rFont val="宋体"/>
        <family val="3"/>
        <charset val="134"/>
      </rPr>
      <t>限</t>
    </r>
    <r>
      <rPr>
        <sz val="12"/>
        <rFont val="Times New Roman"/>
        <family val="1"/>
      </rPr>
      <t xml:space="preserve"> </t>
    </r>
    <r>
      <rPr>
        <sz val="12"/>
        <rFont val="宋体"/>
        <family val="3"/>
        <charset val="134"/>
      </rPr>
      <t>偏 差</t>
    </r>
  </si>
  <si>
    <t>蜗轮传动计算</t>
  </si>
  <si>
    <t>蜗杆</t>
  </si>
  <si>
    <t>蜗轮</t>
  </si>
  <si>
    <t>输入数据</t>
  </si>
  <si>
    <t>输出数据</t>
  </si>
  <si>
    <t>d'</t>
  </si>
  <si>
    <t>蜗杆螺旋线升角</t>
  </si>
  <si>
    <r>
      <rPr>
        <sz val="12"/>
        <rFont val="宋体"/>
        <family val="3"/>
        <charset val="134"/>
      </rPr>
      <t>λ</t>
    </r>
    <r>
      <rPr>
        <sz val="12"/>
        <rFont val="Times New Roman"/>
        <family val="1"/>
      </rPr>
      <t>=</t>
    </r>
    <r>
      <rPr>
        <sz val="12"/>
        <rFont val="宋体"/>
        <family val="3"/>
        <charset val="134"/>
      </rPr>
      <t>β</t>
    </r>
  </si>
  <si>
    <t>周节</t>
  </si>
  <si>
    <t>蜗轮外径</t>
  </si>
  <si>
    <t>dg2</t>
  </si>
  <si>
    <r>
      <rPr>
        <sz val="12"/>
        <rFont val="Times New Roman"/>
        <family val="1"/>
      </rPr>
      <t>Z=1</t>
    </r>
    <r>
      <rPr>
        <sz val="12"/>
        <rFont val="宋体"/>
        <family val="3"/>
        <charset val="134"/>
      </rPr>
      <t>时</t>
    </r>
  </si>
  <si>
    <t>蜗轮齿顶圆弧半径</t>
  </si>
  <si>
    <t>蜗轮齿根圆弧半径</t>
  </si>
  <si>
    <t>蜗轮宽度</t>
  </si>
  <si>
    <r>
      <rPr>
        <sz val="12"/>
        <rFont val="Times New Roman"/>
        <family val="1"/>
      </rPr>
      <t>Z</t>
    </r>
    <r>
      <rPr>
        <sz val="12"/>
        <rFont val="宋体"/>
        <family val="3"/>
        <charset val="134"/>
      </rPr>
      <t>≤</t>
    </r>
    <r>
      <rPr>
        <sz val="12"/>
        <rFont val="Times New Roman"/>
        <family val="1"/>
      </rPr>
      <t>3</t>
    </r>
    <r>
      <rPr>
        <sz val="12"/>
        <rFont val="宋体"/>
        <family val="3"/>
        <charset val="134"/>
      </rPr>
      <t>时</t>
    </r>
  </si>
  <si>
    <t>蜗轮包角</t>
  </si>
  <si>
    <r>
      <rPr>
        <sz val="12"/>
        <rFont val="Times New Roman"/>
        <family val="1"/>
      </rPr>
      <t>2</t>
    </r>
    <r>
      <rPr>
        <sz val="12"/>
        <rFont val="宋体"/>
        <family val="3"/>
        <charset val="134"/>
      </rPr>
      <t>γ</t>
    </r>
  </si>
  <si>
    <t>70°-90°</t>
  </si>
  <si>
    <t>a'</t>
  </si>
  <si>
    <t>外啮合高变位斜齿轮公法线长度计算</t>
  </si>
  <si>
    <t>外啮合变位斜齿轮跨棒（球）距计算</t>
  </si>
  <si>
    <t>内啮合变位斜齿轮跨棒（球）距计算</t>
  </si>
  <si>
    <r>
      <rPr>
        <b/>
        <sz val="12"/>
        <rFont val="Times New Roman"/>
        <family val="1"/>
      </rPr>
      <t>k</t>
    </r>
    <r>
      <rPr>
        <b/>
        <sz val="12"/>
        <rFont val="宋体"/>
        <family val="3"/>
        <charset val="134"/>
      </rPr>
      <t>≈（α</t>
    </r>
    <r>
      <rPr>
        <b/>
        <sz val="12"/>
        <rFont val="Times New Roman"/>
        <family val="1"/>
      </rPr>
      <t>n/180</t>
    </r>
    <r>
      <rPr>
        <b/>
        <sz val="12"/>
        <rFont val="宋体"/>
        <family val="3"/>
        <charset val="134"/>
      </rPr>
      <t>）</t>
    </r>
    <r>
      <rPr>
        <b/>
        <sz val="12"/>
        <rFont val="Times New Roman"/>
        <family val="1"/>
      </rPr>
      <t>*Z'+0.5+</t>
    </r>
    <r>
      <rPr>
        <b/>
        <sz val="12"/>
        <rFont val="宋体"/>
        <family val="3"/>
        <charset val="134"/>
      </rPr>
      <t>（</t>
    </r>
    <r>
      <rPr>
        <b/>
        <sz val="12"/>
        <rFont val="Times New Roman"/>
        <family val="1"/>
      </rPr>
      <t>2xnctg</t>
    </r>
    <r>
      <rPr>
        <b/>
        <sz val="12"/>
        <rFont val="宋体"/>
        <family val="3"/>
        <charset val="134"/>
      </rPr>
      <t>α</t>
    </r>
    <r>
      <rPr>
        <b/>
        <sz val="12"/>
        <rFont val="Times New Roman"/>
        <family val="1"/>
      </rPr>
      <t>n</t>
    </r>
    <r>
      <rPr>
        <b/>
        <sz val="12"/>
        <rFont val="宋体"/>
        <family val="3"/>
        <charset val="134"/>
      </rPr>
      <t>）</t>
    </r>
    <r>
      <rPr>
        <b/>
        <sz val="12"/>
        <rFont val="Times New Roman"/>
        <family val="1"/>
      </rPr>
      <t>/</t>
    </r>
    <r>
      <rPr>
        <b/>
        <sz val="12"/>
        <rFont val="宋体"/>
        <family val="3"/>
        <charset val="134"/>
      </rPr>
      <t>π</t>
    </r>
  </si>
  <si>
    <r>
      <rPr>
        <sz val="12"/>
        <rFont val="Times New Roman"/>
        <family val="1"/>
      </rPr>
      <t>dp</t>
    </r>
    <r>
      <rPr>
        <sz val="12"/>
        <rFont val="宋体"/>
        <family val="3"/>
        <charset val="134"/>
      </rPr>
      <t>＝（</t>
    </r>
    <r>
      <rPr>
        <sz val="12"/>
        <rFont val="Times New Roman"/>
        <family val="1"/>
      </rPr>
      <t>1.6-1.9</t>
    </r>
    <r>
      <rPr>
        <sz val="12"/>
        <rFont val="宋体"/>
        <family val="3"/>
        <charset val="134"/>
      </rPr>
      <t>）</t>
    </r>
    <r>
      <rPr>
        <sz val="12"/>
        <rFont val="Times New Roman"/>
        <family val="1"/>
      </rPr>
      <t>Mn,</t>
    </r>
    <r>
      <rPr>
        <sz val="12"/>
        <rFont val="宋体"/>
        <family val="3"/>
        <charset val="134"/>
      </rPr>
      <t>常用</t>
    </r>
    <r>
      <rPr>
        <sz val="12"/>
        <rFont val="Times New Roman"/>
        <family val="1"/>
      </rPr>
      <t>dp=1.68Mn</t>
    </r>
  </si>
  <si>
    <r>
      <rPr>
        <b/>
        <sz val="12"/>
        <rFont val="Times New Roman"/>
        <family val="1"/>
      </rPr>
      <t>W</t>
    </r>
    <r>
      <rPr>
        <b/>
        <sz val="8"/>
        <rFont val="Times New Roman"/>
        <family val="1"/>
      </rPr>
      <t>k</t>
    </r>
    <r>
      <rPr>
        <b/>
        <sz val="12"/>
        <rFont val="Times New Roman"/>
        <family val="1"/>
      </rPr>
      <t>=</t>
    </r>
    <r>
      <rPr>
        <b/>
        <sz val="14"/>
        <rFont val="Times New Roman"/>
        <family val="1"/>
      </rPr>
      <t>m</t>
    </r>
    <r>
      <rPr>
        <b/>
        <sz val="12"/>
        <rFont val="Times New Roman"/>
        <family val="1"/>
      </rPr>
      <t>ncos</t>
    </r>
    <r>
      <rPr>
        <b/>
        <sz val="12"/>
        <rFont val="宋体"/>
        <family val="3"/>
        <charset val="134"/>
      </rPr>
      <t>α</t>
    </r>
    <r>
      <rPr>
        <b/>
        <sz val="12"/>
        <rFont val="Times New Roman"/>
        <family val="1"/>
      </rPr>
      <t>n</t>
    </r>
    <r>
      <rPr>
        <b/>
        <sz val="20"/>
        <rFont val="Times New Roman"/>
        <family val="1"/>
      </rPr>
      <t>[</t>
    </r>
    <r>
      <rPr>
        <b/>
        <sz val="12"/>
        <rFont val="宋体"/>
        <family val="3"/>
        <charset val="134"/>
      </rPr>
      <t>π（</t>
    </r>
    <r>
      <rPr>
        <b/>
        <sz val="12"/>
        <rFont val="Times New Roman"/>
        <family val="1"/>
      </rPr>
      <t>k-0.5</t>
    </r>
    <r>
      <rPr>
        <b/>
        <sz val="12"/>
        <rFont val="宋体"/>
        <family val="3"/>
        <charset val="134"/>
      </rPr>
      <t>）</t>
    </r>
    <r>
      <rPr>
        <b/>
        <sz val="12"/>
        <rFont val="Times New Roman"/>
        <family val="1"/>
      </rPr>
      <t>+Z'inv</t>
    </r>
    <r>
      <rPr>
        <b/>
        <sz val="12"/>
        <rFont val="宋体"/>
        <family val="3"/>
        <charset val="134"/>
      </rPr>
      <t>α</t>
    </r>
    <r>
      <rPr>
        <b/>
        <sz val="12"/>
        <rFont val="Times New Roman"/>
        <family val="1"/>
      </rPr>
      <t>n+2xntg</t>
    </r>
    <r>
      <rPr>
        <b/>
        <sz val="12"/>
        <rFont val="宋体"/>
        <family val="3"/>
        <charset val="134"/>
      </rPr>
      <t>α</t>
    </r>
    <r>
      <rPr>
        <b/>
        <sz val="12"/>
        <rFont val="Times New Roman"/>
        <family val="1"/>
      </rPr>
      <t>n</t>
    </r>
    <r>
      <rPr>
        <b/>
        <sz val="20"/>
        <rFont val="Times New Roman"/>
        <family val="1"/>
      </rPr>
      <t>]</t>
    </r>
  </si>
  <si>
    <r>
      <rPr>
        <sz val="12"/>
        <rFont val="宋体"/>
        <family val="3"/>
        <charset val="134"/>
      </rPr>
      <t>invα</t>
    </r>
    <r>
      <rPr>
        <sz val="12"/>
        <rFont val="Times New Roman"/>
        <family val="1"/>
      </rPr>
      <t>M=inv</t>
    </r>
    <r>
      <rPr>
        <sz val="12"/>
        <rFont val="宋体"/>
        <family val="3"/>
        <charset val="134"/>
      </rPr>
      <t>α</t>
    </r>
    <r>
      <rPr>
        <sz val="12"/>
        <rFont val="Times New Roman"/>
        <family val="1"/>
      </rPr>
      <t>t+dp/(d*cos</t>
    </r>
    <r>
      <rPr>
        <sz val="12"/>
        <rFont val="宋体"/>
        <family val="3"/>
        <charset val="134"/>
      </rPr>
      <t>α</t>
    </r>
    <r>
      <rPr>
        <sz val="12"/>
        <rFont val="Times New Roman"/>
        <family val="1"/>
      </rPr>
      <t>t)+2*xn*tg</t>
    </r>
    <r>
      <rPr>
        <sz val="12"/>
        <rFont val="宋体"/>
        <family val="3"/>
        <charset val="134"/>
      </rPr>
      <t>α</t>
    </r>
    <r>
      <rPr>
        <sz val="12"/>
        <rFont val="Times New Roman"/>
        <family val="1"/>
      </rPr>
      <t>n/z-</t>
    </r>
    <r>
      <rPr>
        <sz val="12"/>
        <rFont val="宋体"/>
        <family val="3"/>
        <charset val="134"/>
      </rPr>
      <t>π</t>
    </r>
    <r>
      <rPr>
        <sz val="12"/>
        <rFont val="Times New Roman"/>
        <family val="1"/>
      </rPr>
      <t>/</t>
    </r>
    <r>
      <rPr>
        <sz val="12"/>
        <rFont val="宋体"/>
        <family val="3"/>
        <charset val="134"/>
      </rPr>
      <t>（</t>
    </r>
    <r>
      <rPr>
        <sz val="12"/>
        <rFont val="Times New Roman"/>
        <family val="1"/>
      </rPr>
      <t>2*z)</t>
    </r>
  </si>
  <si>
    <t>跨齿数</t>
  </si>
  <si>
    <r>
      <rPr>
        <b/>
        <sz val="12"/>
        <rFont val="Times New Roman"/>
        <family val="1"/>
      </rPr>
      <t>Z'=inv</t>
    </r>
    <r>
      <rPr>
        <b/>
        <sz val="12"/>
        <rFont val="宋体"/>
        <family val="3"/>
        <charset val="134"/>
      </rPr>
      <t>α</t>
    </r>
    <r>
      <rPr>
        <b/>
        <sz val="12"/>
        <rFont val="Times New Roman"/>
        <family val="1"/>
      </rPr>
      <t>t/inv</t>
    </r>
    <r>
      <rPr>
        <b/>
        <sz val="12"/>
        <rFont val="宋体"/>
        <family val="3"/>
        <charset val="134"/>
      </rPr>
      <t>α</t>
    </r>
    <r>
      <rPr>
        <b/>
        <sz val="12"/>
        <rFont val="Times New Roman"/>
        <family val="1"/>
      </rPr>
      <t>n</t>
    </r>
  </si>
  <si>
    <t>棒（球）直径</t>
  </si>
  <si>
    <t>反渐开线函数</t>
  </si>
  <si>
    <t>渐开线函数</t>
  </si>
  <si>
    <r>
      <rPr>
        <sz val="12"/>
        <rFont val="宋体"/>
        <family val="3"/>
        <charset val="134"/>
      </rPr>
      <t>α</t>
    </r>
    <r>
      <rPr>
        <b/>
        <sz val="12"/>
        <rFont val="Times New Roman"/>
        <family val="1"/>
      </rPr>
      <t>n</t>
    </r>
  </si>
  <si>
    <r>
      <rPr>
        <sz val="12"/>
        <rFont val="Times New Roman"/>
        <family val="1"/>
      </rPr>
      <t>inv</t>
    </r>
    <r>
      <rPr>
        <sz val="12"/>
        <rFont val="宋体"/>
        <family val="3"/>
        <charset val="134"/>
      </rPr>
      <t>α</t>
    </r>
    <r>
      <rPr>
        <sz val="12"/>
        <rFont val="Times New Roman"/>
        <family val="1"/>
      </rPr>
      <t>M</t>
    </r>
  </si>
  <si>
    <r>
      <rPr>
        <b/>
        <sz val="12"/>
        <rFont val="宋体"/>
        <family val="3"/>
        <charset val="134"/>
      </rPr>
      <t>α</t>
    </r>
    <r>
      <rPr>
        <b/>
        <sz val="12"/>
        <rFont val="Times New Roman"/>
        <family val="1"/>
      </rPr>
      <t>n(</t>
    </r>
    <r>
      <rPr>
        <b/>
        <sz val="12"/>
        <rFont val="宋体"/>
        <family val="3"/>
        <charset val="134"/>
      </rPr>
      <t>弧度）</t>
    </r>
  </si>
  <si>
    <r>
      <rPr>
        <sz val="12"/>
        <rFont val="宋体"/>
        <family val="3"/>
        <charset val="134"/>
      </rPr>
      <t>压力角</t>
    </r>
    <r>
      <rPr>
        <b/>
        <sz val="12"/>
        <rFont val="Times New Roman"/>
        <family val="1"/>
      </rPr>
      <t>(</t>
    </r>
    <r>
      <rPr>
        <sz val="12"/>
        <rFont val="宋体"/>
        <family val="3"/>
        <charset val="134"/>
      </rPr>
      <t>弧度</t>
    </r>
    <r>
      <rPr>
        <b/>
        <sz val="12"/>
        <rFont val="宋体"/>
        <family val="3"/>
        <charset val="134"/>
      </rPr>
      <t>）</t>
    </r>
  </si>
  <si>
    <t>（αn/180）*Z'</t>
  </si>
  <si>
    <r>
      <rPr>
        <sz val="12"/>
        <rFont val="宋体"/>
        <family val="3"/>
        <charset val="134"/>
      </rPr>
      <t>inv</t>
    </r>
    <r>
      <rPr>
        <b/>
        <sz val="12"/>
        <rFont val="宋体"/>
        <family val="3"/>
        <charset val="134"/>
      </rPr>
      <t>α</t>
    </r>
    <r>
      <rPr>
        <b/>
        <sz val="12"/>
        <rFont val="Times New Roman"/>
        <family val="1"/>
      </rPr>
      <t>n</t>
    </r>
  </si>
  <si>
    <t>压力角渐开线函数</t>
  </si>
  <si>
    <r>
      <rPr>
        <sz val="12"/>
        <rFont val="Times New Roman"/>
        <family val="1"/>
      </rPr>
      <t>2xnctg</t>
    </r>
    <r>
      <rPr>
        <sz val="12"/>
        <rFont val="宋体"/>
        <family val="3"/>
        <charset val="134"/>
      </rPr>
      <t>α</t>
    </r>
    <r>
      <rPr>
        <sz val="12"/>
        <rFont val="Times New Roman"/>
        <family val="1"/>
      </rPr>
      <t>n/</t>
    </r>
    <r>
      <rPr>
        <sz val="12"/>
        <rFont val="宋体"/>
        <family val="3"/>
        <charset val="134"/>
      </rPr>
      <t>π</t>
    </r>
  </si>
  <si>
    <r>
      <rPr>
        <sz val="12"/>
        <rFont val="Times New Roman"/>
        <family val="1"/>
      </rPr>
      <t>tg</t>
    </r>
    <r>
      <rPr>
        <sz val="12"/>
        <rFont val="宋体"/>
        <family val="3"/>
        <charset val="134"/>
      </rPr>
      <t>α</t>
    </r>
    <r>
      <rPr>
        <sz val="12"/>
        <rFont val="Times New Roman"/>
        <family val="1"/>
      </rPr>
      <t>n</t>
    </r>
  </si>
  <si>
    <t>压力角正切值</t>
  </si>
  <si>
    <r>
      <rPr>
        <b/>
        <sz val="12"/>
        <rFont val="宋体"/>
        <family val="3"/>
        <charset val="134"/>
      </rPr>
      <t>β</t>
    </r>
    <r>
      <rPr>
        <b/>
        <sz val="12"/>
        <rFont val="Times New Roman"/>
        <family val="1"/>
      </rPr>
      <t>(</t>
    </r>
    <r>
      <rPr>
        <b/>
        <sz val="12"/>
        <rFont val="宋体"/>
        <family val="3"/>
        <charset val="134"/>
      </rPr>
      <t>弧度）</t>
    </r>
  </si>
  <si>
    <t>螺旋角弧度</t>
  </si>
  <si>
    <t>公法线长度</t>
  </si>
  <si>
    <t>Wk</t>
  </si>
  <si>
    <r>
      <rPr>
        <sz val="12"/>
        <rFont val="Times New Roman"/>
        <family val="1"/>
      </rPr>
      <t>cos</t>
    </r>
    <r>
      <rPr>
        <sz val="12"/>
        <rFont val="宋体"/>
        <family val="3"/>
        <charset val="134"/>
      </rPr>
      <t>β</t>
    </r>
  </si>
  <si>
    <t>螺旋角余弦值</t>
  </si>
  <si>
    <t>圆棒（球）中心圆压力角</t>
  </si>
  <si>
    <r>
      <rPr>
        <sz val="12"/>
        <rFont val="宋体"/>
        <family val="3"/>
        <charset val="134"/>
      </rPr>
      <t>α</t>
    </r>
    <r>
      <rPr>
        <sz val="12"/>
        <rFont val="Times New Roman"/>
        <family val="1"/>
      </rPr>
      <t>M</t>
    </r>
  </si>
  <si>
    <t>端面模数</t>
  </si>
  <si>
    <t>mt</t>
  </si>
  <si>
    <r>
      <rPr>
        <b/>
        <sz val="12"/>
        <rFont val="宋体"/>
        <family val="3"/>
        <charset val="134"/>
      </rPr>
      <t>α</t>
    </r>
    <r>
      <rPr>
        <b/>
        <sz val="12"/>
        <rFont val="Times New Roman"/>
        <family val="1"/>
      </rPr>
      <t>t(</t>
    </r>
    <r>
      <rPr>
        <b/>
        <sz val="12"/>
        <rFont val="宋体"/>
        <family val="3"/>
        <charset val="134"/>
      </rPr>
      <t>弧度）</t>
    </r>
  </si>
  <si>
    <r>
      <rPr>
        <sz val="12"/>
        <rFont val="Times New Roman"/>
        <family val="1"/>
      </rPr>
      <t>tg</t>
    </r>
    <r>
      <rPr>
        <sz val="12"/>
        <rFont val="宋体"/>
        <family val="3"/>
        <charset val="134"/>
      </rPr>
      <t>α</t>
    </r>
    <r>
      <rPr>
        <sz val="12"/>
        <rFont val="Times New Roman"/>
        <family val="1"/>
      </rPr>
      <t>n/cos</t>
    </r>
    <r>
      <rPr>
        <sz val="12"/>
        <rFont val="宋体"/>
        <family val="3"/>
        <charset val="134"/>
      </rPr>
      <t>β反余切值</t>
    </r>
  </si>
  <si>
    <r>
      <rPr>
        <sz val="12"/>
        <rFont val="宋体"/>
        <family val="3"/>
        <charset val="134"/>
      </rPr>
      <t>inv</t>
    </r>
    <r>
      <rPr>
        <b/>
        <sz val="12"/>
        <rFont val="宋体"/>
        <family val="3"/>
        <charset val="134"/>
      </rPr>
      <t>αt</t>
    </r>
  </si>
  <si>
    <t>端面压力角渐开线函数</t>
  </si>
  <si>
    <r>
      <rPr>
        <sz val="12"/>
        <rFont val="Times New Roman"/>
        <family val="1"/>
      </rPr>
      <t>M</t>
    </r>
    <r>
      <rPr>
        <sz val="12"/>
        <rFont val="宋体"/>
        <family val="3"/>
        <charset val="134"/>
      </rPr>
      <t>（偶）</t>
    </r>
    <r>
      <rPr>
        <sz val="12"/>
        <rFont val="Times New Roman"/>
        <family val="1"/>
      </rPr>
      <t>=d*cos</t>
    </r>
    <r>
      <rPr>
        <sz val="12"/>
        <rFont val="宋体"/>
        <family val="3"/>
        <charset val="134"/>
      </rPr>
      <t>α</t>
    </r>
    <r>
      <rPr>
        <sz val="12"/>
        <rFont val="Times New Roman"/>
        <family val="1"/>
      </rPr>
      <t>/cosαM+dp</t>
    </r>
  </si>
  <si>
    <r>
      <rPr>
        <sz val="12"/>
        <rFont val="Times New Roman"/>
        <family val="1"/>
      </rPr>
      <t>M</t>
    </r>
    <r>
      <rPr>
        <sz val="12"/>
        <rFont val="宋体"/>
        <family val="3"/>
        <charset val="134"/>
      </rPr>
      <t>（偶）</t>
    </r>
    <r>
      <rPr>
        <sz val="12"/>
        <rFont val="Times New Roman"/>
        <family val="1"/>
      </rPr>
      <t>=m</t>
    </r>
    <r>
      <rPr>
        <sz val="8"/>
        <rFont val="Times New Roman"/>
        <family val="1"/>
      </rPr>
      <t>t</t>
    </r>
    <r>
      <rPr>
        <sz val="12"/>
        <rFont val="Times New Roman"/>
        <family val="1"/>
      </rPr>
      <t>*z*cos</t>
    </r>
    <r>
      <rPr>
        <sz val="12"/>
        <rFont val="宋体"/>
        <family val="3"/>
        <charset val="134"/>
      </rPr>
      <t>α</t>
    </r>
    <r>
      <rPr>
        <sz val="12"/>
        <rFont val="Times New Roman"/>
        <family val="1"/>
      </rPr>
      <t>t/cos</t>
    </r>
    <r>
      <rPr>
        <sz val="12"/>
        <rFont val="宋体"/>
        <family val="3"/>
        <charset val="134"/>
      </rPr>
      <t>α</t>
    </r>
    <r>
      <rPr>
        <sz val="12"/>
        <rFont val="Times New Roman"/>
        <family val="1"/>
      </rPr>
      <t>Mt-dp</t>
    </r>
  </si>
  <si>
    <r>
      <rPr>
        <sz val="12"/>
        <rFont val="Times New Roman"/>
        <family val="1"/>
      </rPr>
      <t>tg</t>
    </r>
    <r>
      <rPr>
        <sz val="12"/>
        <rFont val="宋体"/>
        <family val="3"/>
        <charset val="134"/>
      </rPr>
      <t>α</t>
    </r>
    <r>
      <rPr>
        <sz val="12"/>
        <rFont val="Times New Roman"/>
        <family val="1"/>
      </rPr>
      <t>n/cos</t>
    </r>
    <r>
      <rPr>
        <sz val="12"/>
        <rFont val="宋体"/>
        <family val="3"/>
        <charset val="134"/>
      </rPr>
      <t>β</t>
    </r>
  </si>
  <si>
    <t>跨棒（球）距（偶数齿）</t>
  </si>
  <si>
    <r>
      <rPr>
        <sz val="12"/>
        <rFont val="宋体"/>
        <family val="3"/>
        <charset val="134"/>
      </rPr>
      <t>M</t>
    </r>
    <r>
      <rPr>
        <sz val="12"/>
        <rFont val="宋体"/>
        <family val="3"/>
        <charset val="134"/>
      </rPr>
      <t>（偶）</t>
    </r>
  </si>
  <si>
    <r>
      <rPr>
        <sz val="12"/>
        <rFont val="宋体"/>
        <family val="3"/>
        <charset val="134"/>
      </rPr>
      <t>α</t>
    </r>
    <r>
      <rPr>
        <sz val="12"/>
        <rFont val="Times New Roman"/>
        <family val="1"/>
      </rPr>
      <t>t</t>
    </r>
  </si>
  <si>
    <t>分度圆端面压力角</t>
  </si>
  <si>
    <r>
      <rPr>
        <sz val="12"/>
        <rFont val="Times New Roman"/>
        <family val="1"/>
      </rPr>
      <t>M</t>
    </r>
    <r>
      <rPr>
        <sz val="12"/>
        <rFont val="宋体"/>
        <family val="3"/>
        <charset val="134"/>
      </rPr>
      <t>（奇）</t>
    </r>
    <r>
      <rPr>
        <sz val="12"/>
        <rFont val="Times New Roman"/>
        <family val="1"/>
      </rPr>
      <t>=d*cos</t>
    </r>
    <r>
      <rPr>
        <sz val="12"/>
        <rFont val="宋体"/>
        <family val="3"/>
        <charset val="134"/>
      </rPr>
      <t>α</t>
    </r>
    <r>
      <rPr>
        <sz val="12"/>
        <rFont val="Times New Roman"/>
        <family val="1"/>
      </rPr>
      <t>/cos</t>
    </r>
    <r>
      <rPr>
        <sz val="12"/>
        <rFont val="宋体"/>
        <family val="3"/>
        <charset val="134"/>
      </rPr>
      <t>α</t>
    </r>
    <r>
      <rPr>
        <sz val="12"/>
        <rFont val="Times New Roman"/>
        <family val="1"/>
      </rPr>
      <t>M*cos(90/Z)+dp</t>
    </r>
  </si>
  <si>
    <r>
      <rPr>
        <sz val="12"/>
        <rFont val="Times New Roman"/>
        <family val="1"/>
      </rPr>
      <t>M</t>
    </r>
    <r>
      <rPr>
        <sz val="12"/>
        <rFont val="宋体"/>
        <family val="3"/>
        <charset val="134"/>
      </rPr>
      <t>（奇）</t>
    </r>
    <r>
      <rPr>
        <sz val="12"/>
        <rFont val="Times New Roman"/>
        <family val="1"/>
      </rPr>
      <t>=mt*z*cos</t>
    </r>
    <r>
      <rPr>
        <sz val="12"/>
        <rFont val="宋体"/>
        <family val="3"/>
        <charset val="134"/>
      </rPr>
      <t>α</t>
    </r>
    <r>
      <rPr>
        <sz val="12"/>
        <rFont val="Times New Roman"/>
        <family val="1"/>
      </rPr>
      <t>t/cos</t>
    </r>
    <r>
      <rPr>
        <sz val="12"/>
        <rFont val="宋体"/>
        <family val="3"/>
        <charset val="134"/>
      </rPr>
      <t>α</t>
    </r>
    <r>
      <rPr>
        <sz val="12"/>
        <rFont val="Times New Roman"/>
        <family val="1"/>
      </rPr>
      <t>Mt*cos90/z-dp</t>
    </r>
  </si>
  <si>
    <t>Z'</t>
  </si>
  <si>
    <t>假想齿</t>
  </si>
  <si>
    <t>跨棒（球）距（奇数齿）</t>
  </si>
  <si>
    <r>
      <rPr>
        <sz val="12"/>
        <rFont val="宋体"/>
        <family val="3"/>
        <charset val="134"/>
      </rPr>
      <t>M</t>
    </r>
    <r>
      <rPr>
        <sz val="12"/>
        <rFont val="宋体"/>
        <family val="3"/>
        <charset val="134"/>
      </rPr>
      <t>（奇）</t>
    </r>
  </si>
  <si>
    <r>
      <rPr>
        <sz val="12"/>
        <rFont val="宋体"/>
        <family val="3"/>
        <charset val="134"/>
      </rPr>
      <t>π（</t>
    </r>
    <r>
      <rPr>
        <sz val="12"/>
        <rFont val="Times New Roman"/>
        <family val="1"/>
      </rPr>
      <t>k-0.5</t>
    </r>
    <r>
      <rPr>
        <sz val="12"/>
        <rFont val="宋体"/>
        <family val="3"/>
        <charset val="134"/>
      </rPr>
      <t>）</t>
    </r>
  </si>
  <si>
    <r>
      <rPr>
        <sz val="12"/>
        <rFont val="Times New Roman"/>
        <family val="1"/>
      </rPr>
      <t>Y3180E/YM3180E</t>
    </r>
    <r>
      <rPr>
        <sz val="12"/>
        <rFont val="宋体"/>
        <family val="3"/>
        <charset val="134"/>
      </rPr>
      <t>滚齿机差动挂轮调整公式</t>
    </r>
  </si>
  <si>
    <r>
      <rPr>
        <sz val="12"/>
        <rFont val="Times New Roman"/>
        <family val="1"/>
      </rPr>
      <t>Z'inv</t>
    </r>
    <r>
      <rPr>
        <sz val="12"/>
        <rFont val="宋体"/>
        <family val="3"/>
        <charset val="134"/>
      </rPr>
      <t>α</t>
    </r>
    <r>
      <rPr>
        <sz val="12"/>
        <rFont val="Times New Roman"/>
        <family val="1"/>
      </rPr>
      <t>n</t>
    </r>
  </si>
  <si>
    <t>a*c/b*d＝±9*[sinβ/（Mn*k)]</t>
  </si>
  <si>
    <r>
      <rPr>
        <sz val="12"/>
        <color indexed="53"/>
        <rFont val="Times New Roman"/>
        <family val="1"/>
      </rPr>
      <t>X</t>
    </r>
    <r>
      <rPr>
        <sz val="12"/>
        <color indexed="53"/>
        <rFont val="宋体"/>
        <family val="3"/>
        <charset val="134"/>
      </rPr>
      <t>∑</t>
    </r>
  </si>
  <si>
    <r>
      <rPr>
        <sz val="12"/>
        <rFont val="Times New Roman"/>
        <family val="1"/>
      </rPr>
      <t>2xntg</t>
    </r>
    <r>
      <rPr>
        <sz val="12"/>
        <rFont val="宋体"/>
        <family val="3"/>
        <charset val="134"/>
      </rPr>
      <t>α</t>
    </r>
    <r>
      <rPr>
        <sz val="12"/>
        <rFont val="Times New Roman"/>
        <family val="1"/>
      </rPr>
      <t>n</t>
    </r>
  </si>
  <si>
    <t>Mn</t>
  </si>
  <si>
    <t>检验是否有足够齿宽测量公法线</t>
  </si>
  <si>
    <r>
      <rPr>
        <sz val="12"/>
        <rFont val="Times New Roman"/>
        <family val="1"/>
      </rPr>
      <t>mncos</t>
    </r>
    <r>
      <rPr>
        <sz val="12"/>
        <rFont val="宋体"/>
        <family val="3"/>
        <charset val="134"/>
      </rPr>
      <t>α</t>
    </r>
    <r>
      <rPr>
        <sz val="12"/>
        <rFont val="Times New Roman"/>
        <family val="1"/>
      </rPr>
      <t>n</t>
    </r>
  </si>
  <si>
    <t>滚刀头数</t>
  </si>
  <si>
    <r>
      <rPr>
        <sz val="12"/>
        <rFont val="宋体"/>
        <family val="3"/>
        <charset val="134"/>
      </rPr>
      <t>齿宽</t>
    </r>
    <r>
      <rPr>
        <sz val="12"/>
        <rFont val="Times New Roman"/>
        <family val="1"/>
      </rPr>
      <t>b</t>
    </r>
    <r>
      <rPr>
        <sz val="12"/>
        <rFont val="宋体"/>
        <family val="3"/>
        <charset val="134"/>
      </rPr>
      <t>≥</t>
    </r>
    <r>
      <rPr>
        <sz val="12"/>
        <rFont val="Times New Roman"/>
        <family val="1"/>
      </rPr>
      <t>Lsin</t>
    </r>
    <r>
      <rPr>
        <sz val="12"/>
        <rFont val="宋体"/>
        <family val="3"/>
        <charset val="134"/>
      </rPr>
      <t>β</t>
    </r>
  </si>
  <si>
    <t>Lsinβ</t>
  </si>
  <si>
    <t>β（弧）</t>
  </si>
  <si>
    <t>sinβ</t>
  </si>
  <si>
    <t>差动</t>
  </si>
  <si>
    <t>a*c/b*d</t>
  </si>
  <si>
    <t>公法线长度最小偏差△mL及公差δL（微米）</t>
  </si>
  <si>
    <t>精度等级</t>
  </si>
  <si>
    <t>结合形式</t>
  </si>
  <si>
    <r>
      <rPr>
        <sz val="12"/>
        <rFont val="宋体"/>
        <family val="3"/>
        <charset val="134"/>
      </rPr>
      <t>代</t>
    </r>
    <r>
      <rPr>
        <sz val="12"/>
        <rFont val="Times New Roman"/>
        <family val="1"/>
      </rPr>
      <t xml:space="preserve">  </t>
    </r>
    <r>
      <rPr>
        <sz val="12"/>
        <rFont val="宋体"/>
        <family val="3"/>
        <charset val="134"/>
      </rPr>
      <t>号</t>
    </r>
  </si>
  <si>
    <t>法面模数</t>
  </si>
  <si>
    <r>
      <rPr>
        <sz val="12"/>
        <rFont val="宋体"/>
        <family val="3"/>
        <charset val="134"/>
      </rPr>
      <t>齿</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r>
      <rPr>
        <sz val="12"/>
        <rFont val="Times New Roman"/>
        <family val="1"/>
      </rPr>
      <t xml:space="preserve">     </t>
    </r>
    <r>
      <rPr>
        <sz val="12"/>
        <rFont val="宋体"/>
        <family val="3"/>
        <charset val="134"/>
      </rPr>
      <t>（毫米）</t>
    </r>
  </si>
  <si>
    <r>
      <rPr>
        <sz val="16"/>
        <rFont val="Times New Roman"/>
        <family val="1"/>
      </rPr>
      <t>m</t>
    </r>
    <r>
      <rPr>
        <sz val="8"/>
        <rFont val="宋体"/>
        <family val="3"/>
        <charset val="134"/>
      </rPr>
      <t>法</t>
    </r>
  </si>
  <si>
    <r>
      <rPr>
        <sz val="12"/>
        <rFont val="宋体"/>
        <family val="3"/>
        <charset val="134"/>
      </rPr>
      <t>≤</t>
    </r>
    <r>
      <rPr>
        <sz val="12"/>
        <rFont val="Times New Roman"/>
        <family val="1"/>
      </rPr>
      <t>50</t>
    </r>
  </si>
  <si>
    <r>
      <rPr>
        <sz val="12"/>
        <rFont val="宋体"/>
        <family val="3"/>
        <charset val="134"/>
      </rPr>
      <t>＞</t>
    </r>
    <r>
      <rPr>
        <sz val="12"/>
        <rFont val="Times New Roman"/>
        <family val="1"/>
      </rPr>
      <t>50</t>
    </r>
    <r>
      <rPr>
        <sz val="12"/>
        <rFont val="宋体"/>
        <family val="3"/>
        <charset val="134"/>
      </rPr>
      <t>～</t>
    </r>
    <r>
      <rPr>
        <sz val="12"/>
        <rFont val="Times New Roman"/>
        <family val="1"/>
      </rPr>
      <t>80</t>
    </r>
  </si>
  <si>
    <r>
      <rPr>
        <sz val="12"/>
        <rFont val="宋体"/>
        <family val="3"/>
        <charset val="134"/>
      </rPr>
      <t>＞</t>
    </r>
    <r>
      <rPr>
        <sz val="12"/>
        <rFont val="Times New Roman"/>
        <family val="1"/>
      </rPr>
      <t>80</t>
    </r>
    <r>
      <rPr>
        <sz val="12"/>
        <rFont val="宋体"/>
        <family val="3"/>
        <charset val="134"/>
      </rPr>
      <t>～</t>
    </r>
    <r>
      <rPr>
        <sz val="12"/>
        <rFont val="Times New Roman"/>
        <family val="1"/>
      </rPr>
      <t>120</t>
    </r>
  </si>
  <si>
    <r>
      <rPr>
        <sz val="12"/>
        <rFont val="宋体"/>
        <family val="3"/>
        <charset val="134"/>
      </rPr>
      <t>＞</t>
    </r>
    <r>
      <rPr>
        <sz val="12"/>
        <rFont val="Times New Roman"/>
        <family val="1"/>
      </rPr>
      <t>120</t>
    </r>
    <r>
      <rPr>
        <sz val="12"/>
        <rFont val="宋体"/>
        <family val="3"/>
        <charset val="134"/>
      </rPr>
      <t>～</t>
    </r>
    <r>
      <rPr>
        <sz val="12"/>
        <rFont val="Times New Roman"/>
        <family val="1"/>
      </rPr>
      <t>200</t>
    </r>
  </si>
  <si>
    <r>
      <rPr>
        <sz val="12"/>
        <rFont val="宋体"/>
        <family val="3"/>
        <charset val="134"/>
      </rPr>
      <t>＞</t>
    </r>
    <r>
      <rPr>
        <sz val="12"/>
        <rFont val="Times New Roman"/>
        <family val="1"/>
      </rPr>
      <t>200</t>
    </r>
    <r>
      <rPr>
        <sz val="12"/>
        <rFont val="宋体"/>
        <family val="3"/>
        <charset val="134"/>
      </rPr>
      <t>～</t>
    </r>
    <r>
      <rPr>
        <sz val="12"/>
        <rFont val="Times New Roman"/>
        <family val="1"/>
      </rPr>
      <t>320</t>
    </r>
  </si>
  <si>
    <r>
      <rPr>
        <sz val="12"/>
        <rFont val="宋体"/>
        <family val="3"/>
        <charset val="134"/>
      </rPr>
      <t>＞</t>
    </r>
    <r>
      <rPr>
        <sz val="12"/>
        <rFont val="Times New Roman"/>
        <family val="1"/>
      </rPr>
      <t>320</t>
    </r>
    <r>
      <rPr>
        <sz val="12"/>
        <rFont val="宋体"/>
        <family val="3"/>
        <charset val="134"/>
      </rPr>
      <t>～</t>
    </r>
    <r>
      <rPr>
        <sz val="12"/>
        <rFont val="Times New Roman"/>
        <family val="1"/>
      </rPr>
      <t>500</t>
    </r>
  </si>
  <si>
    <t>（毫米）</t>
  </si>
  <si>
    <t>Dc</t>
  </si>
  <si>
    <t>△mL</t>
  </si>
  <si>
    <r>
      <rPr>
        <sz val="12"/>
        <rFont val="宋体"/>
        <family val="3"/>
        <charset val="134"/>
      </rPr>
      <t>＞</t>
    </r>
    <r>
      <rPr>
        <sz val="12"/>
        <rFont val="Times New Roman"/>
        <family val="1"/>
      </rPr>
      <t>1</t>
    </r>
    <r>
      <rPr>
        <sz val="12"/>
        <rFont val="宋体"/>
        <family val="3"/>
        <charset val="134"/>
      </rPr>
      <t>～2.5</t>
    </r>
  </si>
  <si>
    <r>
      <rPr>
        <sz val="12"/>
        <rFont val="宋体"/>
        <family val="3"/>
        <charset val="134"/>
      </rPr>
      <t>＞</t>
    </r>
    <r>
      <rPr>
        <sz val="12"/>
        <rFont val="Times New Roman"/>
        <family val="1"/>
      </rPr>
      <t>2.5</t>
    </r>
    <r>
      <rPr>
        <sz val="12"/>
        <rFont val="宋体"/>
        <family val="3"/>
        <charset val="134"/>
      </rPr>
      <t>～</t>
    </r>
    <r>
      <rPr>
        <sz val="12"/>
        <rFont val="Times New Roman"/>
        <family val="1"/>
      </rPr>
      <t>6</t>
    </r>
  </si>
  <si>
    <r>
      <rPr>
        <sz val="12"/>
        <rFont val="宋体"/>
        <family val="3"/>
        <charset val="134"/>
      </rPr>
      <t>＞</t>
    </r>
    <r>
      <rPr>
        <sz val="12"/>
        <rFont val="Times New Roman"/>
        <family val="1"/>
      </rPr>
      <t>6</t>
    </r>
    <r>
      <rPr>
        <sz val="12"/>
        <rFont val="宋体"/>
        <family val="3"/>
        <charset val="134"/>
      </rPr>
      <t>～</t>
    </r>
    <r>
      <rPr>
        <sz val="12"/>
        <rFont val="Times New Roman"/>
        <family val="1"/>
      </rPr>
      <t>10</t>
    </r>
  </si>
  <si>
    <r>
      <rPr>
        <sz val="12"/>
        <rFont val="宋体"/>
        <family val="3"/>
        <charset val="134"/>
      </rPr>
      <t>＞</t>
    </r>
    <r>
      <rPr>
        <sz val="12"/>
        <rFont val="Times New Roman"/>
        <family val="1"/>
      </rPr>
      <t>10</t>
    </r>
    <r>
      <rPr>
        <sz val="12"/>
        <rFont val="宋体"/>
        <family val="3"/>
        <charset val="134"/>
      </rPr>
      <t>～</t>
    </r>
    <r>
      <rPr>
        <sz val="12"/>
        <rFont val="Times New Roman"/>
        <family val="1"/>
      </rPr>
      <t>16</t>
    </r>
  </si>
  <si>
    <t>δL</t>
  </si>
  <si>
    <r>
      <rPr>
        <sz val="12"/>
        <rFont val="宋体"/>
        <family val="3"/>
        <charset val="134"/>
      </rPr>
      <t>＞</t>
    </r>
    <r>
      <rPr>
        <sz val="12"/>
        <rFont val="Times New Roman"/>
        <family val="1"/>
      </rPr>
      <t>1</t>
    </r>
    <r>
      <rPr>
        <sz val="12"/>
        <rFont val="宋体"/>
        <family val="3"/>
        <charset val="134"/>
      </rPr>
      <t>～</t>
    </r>
    <r>
      <rPr>
        <sz val="12"/>
        <rFont val="Times New Roman"/>
        <family val="1"/>
      </rPr>
      <t>16</t>
    </r>
  </si>
  <si>
    <r>
      <rPr>
        <sz val="12"/>
        <rFont val="宋体"/>
        <family val="3"/>
        <charset val="134"/>
      </rPr>
      <t>＞</t>
    </r>
    <r>
      <rPr>
        <sz val="12"/>
        <rFont val="Times New Roman"/>
        <family val="1"/>
      </rPr>
      <t>2.5</t>
    </r>
    <r>
      <rPr>
        <sz val="12"/>
        <rFont val="宋体"/>
        <family val="3"/>
        <charset val="134"/>
      </rPr>
      <t>～</t>
    </r>
    <r>
      <rPr>
        <sz val="12"/>
        <rFont val="Times New Roman"/>
        <family val="1"/>
      </rPr>
      <t>16</t>
    </r>
  </si>
  <si>
    <r>
      <rPr>
        <sz val="12"/>
        <rFont val="宋体"/>
        <family val="3"/>
        <charset val="134"/>
      </rPr>
      <t>外花键偶数齿</t>
    </r>
    <r>
      <rPr>
        <sz val="12"/>
        <rFont val="Times New Roman"/>
        <family val="1"/>
      </rPr>
      <t>M</t>
    </r>
  </si>
  <si>
    <t>外花键偶数齿厚S</t>
  </si>
  <si>
    <r>
      <rPr>
        <sz val="12"/>
        <rFont val="宋体"/>
        <family val="3"/>
        <charset val="134"/>
      </rPr>
      <t>外花键奇数齿</t>
    </r>
    <r>
      <rPr>
        <sz val="12"/>
        <rFont val="Times New Roman"/>
        <family val="1"/>
      </rPr>
      <t>M</t>
    </r>
  </si>
  <si>
    <t>外花键奇数齿厚S</t>
  </si>
  <si>
    <t>公法线计算齿厚</t>
  </si>
  <si>
    <t>Smax</t>
  </si>
  <si>
    <t>Smin</t>
  </si>
  <si>
    <t>齿厚</t>
  </si>
  <si>
    <t>αi</t>
  </si>
  <si>
    <t>Mmax</t>
  </si>
  <si>
    <t>Mmin</t>
  </si>
  <si>
    <t>内花键偶数齿</t>
  </si>
  <si>
    <t>内花键偶数齿齿厚E</t>
  </si>
  <si>
    <t>内花键奇数齿</t>
  </si>
  <si>
    <t>内花键奇数齿齿厚E</t>
  </si>
  <si>
    <t>Emax</t>
  </si>
  <si>
    <t>Emin</t>
  </si>
  <si>
    <r>
      <rPr>
        <sz val="12"/>
        <rFont val="宋体"/>
        <family val="3"/>
        <charset val="134"/>
      </rPr>
      <t>α</t>
    </r>
    <r>
      <rPr>
        <sz val="12"/>
        <rFont val="Times New Roman"/>
        <family val="1"/>
      </rPr>
      <t>i</t>
    </r>
  </si>
  <si>
    <t>外啮合变位斜齿轮公法线长度计算</t>
  </si>
  <si>
    <r>
      <rPr>
        <sz val="12"/>
        <rFont val="宋体"/>
        <family val="3"/>
        <charset val="134"/>
      </rPr>
      <t>k</t>
    </r>
    <r>
      <rPr>
        <b/>
        <sz val="12"/>
        <rFont val="宋体"/>
        <family val="3"/>
        <charset val="134"/>
      </rPr>
      <t>≈（α</t>
    </r>
    <r>
      <rPr>
        <b/>
        <sz val="12"/>
        <rFont val="Times New Roman"/>
        <family val="1"/>
      </rPr>
      <t>n/180</t>
    </r>
    <r>
      <rPr>
        <b/>
        <sz val="12"/>
        <rFont val="宋体"/>
        <family val="3"/>
        <charset val="134"/>
      </rPr>
      <t>）</t>
    </r>
    <r>
      <rPr>
        <b/>
        <sz val="12"/>
        <rFont val="Times New Roman"/>
        <family val="1"/>
      </rPr>
      <t>*Z'+0.5+</t>
    </r>
    <r>
      <rPr>
        <b/>
        <sz val="12"/>
        <rFont val="宋体"/>
        <family val="3"/>
        <charset val="134"/>
      </rPr>
      <t>（</t>
    </r>
    <r>
      <rPr>
        <b/>
        <sz val="12"/>
        <rFont val="Times New Roman"/>
        <family val="1"/>
      </rPr>
      <t>2xnctg</t>
    </r>
    <r>
      <rPr>
        <b/>
        <sz val="12"/>
        <rFont val="宋体"/>
        <family val="3"/>
        <charset val="134"/>
      </rPr>
      <t>α</t>
    </r>
    <r>
      <rPr>
        <b/>
        <sz val="12"/>
        <rFont val="Times New Roman"/>
        <family val="1"/>
      </rPr>
      <t>n</t>
    </r>
    <r>
      <rPr>
        <b/>
        <sz val="12"/>
        <rFont val="宋体"/>
        <family val="3"/>
        <charset val="134"/>
      </rPr>
      <t>）</t>
    </r>
    <r>
      <rPr>
        <b/>
        <sz val="12"/>
        <rFont val="Times New Roman"/>
        <family val="1"/>
      </rPr>
      <t>/</t>
    </r>
    <r>
      <rPr>
        <b/>
        <sz val="12"/>
        <rFont val="宋体"/>
        <family val="3"/>
        <charset val="134"/>
      </rPr>
      <t>π</t>
    </r>
  </si>
  <si>
    <t>、</t>
  </si>
  <si>
    <t>端面压力角</t>
  </si>
  <si>
    <t>齿宽</t>
  </si>
  <si>
    <t>b≥Lsinβ</t>
  </si>
  <si>
    <t>齿轮各个等级的公差</t>
  </si>
  <si>
    <t>公差组</t>
  </si>
  <si>
    <t>公差与极限偏差项目</t>
  </si>
  <si>
    <t>误差特牲</t>
  </si>
  <si>
    <t>对传动性能的主要影响</t>
  </si>
  <si>
    <t>Ⅰ</t>
  </si>
  <si>
    <r>
      <rPr>
        <sz val="12"/>
        <rFont val="Arial"/>
        <family val="2"/>
      </rPr>
      <t>F'I</t>
    </r>
    <r>
      <rPr>
        <sz val="12"/>
        <rFont val="宋体"/>
        <family val="3"/>
        <charset val="134"/>
      </rPr>
      <t>、</t>
    </r>
    <r>
      <rPr>
        <sz val="12"/>
        <rFont val="Arial"/>
        <family val="2"/>
      </rPr>
      <t>F"I</t>
    </r>
    <r>
      <rPr>
        <sz val="12"/>
        <rFont val="宋体"/>
        <family val="3"/>
        <charset val="134"/>
      </rPr>
      <t>、</t>
    </r>
    <r>
      <rPr>
        <sz val="12"/>
        <rFont val="Arial"/>
        <family val="2"/>
      </rPr>
      <t>Fp</t>
    </r>
    <r>
      <rPr>
        <sz val="12"/>
        <rFont val="宋体"/>
        <family val="3"/>
        <charset val="134"/>
      </rPr>
      <t>、</t>
    </r>
    <r>
      <rPr>
        <sz val="12"/>
        <rFont val="Arial"/>
        <family val="2"/>
      </rPr>
      <t>Fr</t>
    </r>
    <r>
      <rPr>
        <sz val="12"/>
        <rFont val="宋体"/>
        <family val="3"/>
        <charset val="134"/>
      </rPr>
      <t>、</t>
    </r>
    <r>
      <rPr>
        <sz val="12"/>
        <rFont val="Arial"/>
        <family val="2"/>
      </rPr>
      <t>Fw</t>
    </r>
  </si>
  <si>
    <t>以齿轮一转为周期的误差</t>
  </si>
  <si>
    <t>传递运动的准确性</t>
  </si>
  <si>
    <t>Ⅱ</t>
  </si>
  <si>
    <r>
      <rPr>
        <sz val="12"/>
        <rFont val="Times New Roman"/>
        <family val="1"/>
      </rPr>
      <t>f'I</t>
    </r>
    <r>
      <rPr>
        <sz val="12"/>
        <rFont val="宋体"/>
        <family val="3"/>
        <charset val="134"/>
      </rPr>
      <t>、</t>
    </r>
    <r>
      <rPr>
        <sz val="12"/>
        <rFont val="Times New Roman"/>
        <family val="1"/>
      </rPr>
      <t>f"I</t>
    </r>
    <r>
      <rPr>
        <sz val="12"/>
        <rFont val="宋体"/>
        <family val="3"/>
        <charset val="134"/>
      </rPr>
      <t>、</t>
    </r>
    <r>
      <rPr>
        <sz val="12"/>
        <rFont val="Times New Roman"/>
        <family val="1"/>
      </rPr>
      <t>ff</t>
    </r>
    <r>
      <rPr>
        <sz val="12"/>
        <rFont val="宋体"/>
        <family val="3"/>
        <charset val="134"/>
      </rPr>
      <t>、</t>
    </r>
    <r>
      <rPr>
        <sz val="12"/>
        <rFont val="Times New Roman"/>
        <family val="1"/>
      </rPr>
      <t>fpt</t>
    </r>
    <r>
      <rPr>
        <sz val="12"/>
        <rFont val="宋体"/>
        <family val="3"/>
        <charset val="134"/>
      </rPr>
      <t>、</t>
    </r>
    <r>
      <rPr>
        <sz val="12"/>
        <rFont val="Times New Roman"/>
        <family val="1"/>
      </rPr>
      <t>fpb</t>
    </r>
    <r>
      <rPr>
        <sz val="12"/>
        <rFont val="宋体"/>
        <family val="3"/>
        <charset val="134"/>
      </rPr>
      <t>、</t>
    </r>
    <r>
      <rPr>
        <sz val="12"/>
        <rFont val="Times New Roman"/>
        <family val="1"/>
      </rPr>
      <t>ff</t>
    </r>
    <r>
      <rPr>
        <sz val="12"/>
        <rFont val="宋体"/>
        <family val="3"/>
        <charset val="134"/>
      </rPr>
      <t>β</t>
    </r>
  </si>
  <si>
    <t>在齿轮一转内，多次周期性地重复出现的误差</t>
  </si>
  <si>
    <t>传动的平稳性</t>
  </si>
  <si>
    <t>Ⅲ</t>
  </si>
  <si>
    <r>
      <rPr>
        <sz val="12"/>
        <rFont val="宋体"/>
        <family val="3"/>
        <charset val="134"/>
      </rPr>
      <t>接触斑点、</t>
    </r>
    <r>
      <rPr>
        <sz val="12"/>
        <rFont val="Times New Roman"/>
        <family val="1"/>
      </rPr>
      <t>F</t>
    </r>
    <r>
      <rPr>
        <sz val="12"/>
        <rFont val="宋体"/>
        <family val="3"/>
        <charset val="134"/>
      </rPr>
      <t>β、</t>
    </r>
    <r>
      <rPr>
        <sz val="12"/>
        <rFont val="Times New Roman"/>
        <family val="1"/>
      </rPr>
      <t>Fpx</t>
    </r>
  </si>
  <si>
    <t>齿向线的误差</t>
  </si>
  <si>
    <t>载荷分布的均匀性</t>
  </si>
  <si>
    <t>功率    （kw）</t>
  </si>
  <si>
    <t>马力    （hp）</t>
  </si>
  <si>
    <t>额定电流（A）</t>
  </si>
  <si>
    <t>转速（r/min）</t>
  </si>
  <si>
    <t>效率  （%）</t>
  </si>
  <si>
    <t>功率因数（cosφ）</t>
  </si>
  <si>
    <t>重量（kg）</t>
  </si>
  <si>
    <t>输出
扭矩</t>
  </si>
  <si>
    <t>Y80M1-2</t>
  </si>
  <si>
    <t>Y80M2-2</t>
  </si>
  <si>
    <t>Y90S-2</t>
  </si>
  <si>
    <t>Y90L-2</t>
  </si>
  <si>
    <t>Y100L-2</t>
  </si>
  <si>
    <t>Y112M-2</t>
  </si>
  <si>
    <t>Y132S1-2</t>
  </si>
  <si>
    <t>Y132S2-2</t>
  </si>
  <si>
    <t>Y160M1-2</t>
  </si>
  <si>
    <t>Y160M2-2</t>
  </si>
  <si>
    <t>Y160L-2</t>
  </si>
  <si>
    <t>Y180M-2</t>
  </si>
  <si>
    <t>Y200L1-2</t>
  </si>
  <si>
    <t>Y200L2-2</t>
  </si>
  <si>
    <t>Y225M-2</t>
  </si>
  <si>
    <t>Y250M-2</t>
  </si>
  <si>
    <t>Y280S-2</t>
  </si>
  <si>
    <t>Y280M-2</t>
  </si>
  <si>
    <t>Y315S-2</t>
  </si>
  <si>
    <t>Y315M-2</t>
  </si>
  <si>
    <t>Y315L1-2</t>
  </si>
  <si>
    <t>Y315L2-2</t>
  </si>
  <si>
    <t>Y355M1-2</t>
  </si>
  <si>
    <t>Y355M2-2</t>
  </si>
  <si>
    <t>Y355L1-2</t>
  </si>
  <si>
    <t>Y355L2-2</t>
  </si>
  <si>
    <t>Y80M1-4</t>
  </si>
  <si>
    <t>Y80M2-4</t>
  </si>
  <si>
    <t>Y90S-4</t>
  </si>
  <si>
    <t>Y90L-4</t>
  </si>
  <si>
    <t>Y100L1-4</t>
  </si>
  <si>
    <t>Y100L2-4</t>
  </si>
  <si>
    <t>Y112M-4</t>
  </si>
  <si>
    <t>Y132S-4</t>
  </si>
  <si>
    <t>Y132M-4</t>
  </si>
  <si>
    <t>Y160M-4</t>
  </si>
  <si>
    <t>Y160L-4</t>
  </si>
  <si>
    <t>Y180M-4</t>
  </si>
  <si>
    <t>Y180L-4</t>
  </si>
  <si>
    <t>Y200L-4</t>
  </si>
  <si>
    <t>Y225S-4</t>
  </si>
  <si>
    <t>Y225M-4</t>
  </si>
  <si>
    <t>Y250M-4</t>
  </si>
  <si>
    <t>Y280S-4</t>
  </si>
  <si>
    <t>Y280M-4</t>
  </si>
  <si>
    <t xml:space="preserve">Y315S-4 </t>
  </si>
  <si>
    <t>Y315M-4</t>
  </si>
  <si>
    <t>Y315L1-4</t>
  </si>
  <si>
    <t>Y315L2-4</t>
  </si>
  <si>
    <t>Y355M1-4</t>
  </si>
  <si>
    <t>Y355M2-4</t>
  </si>
  <si>
    <t>Y355L1-4</t>
  </si>
  <si>
    <t>Y355L2-4</t>
  </si>
  <si>
    <t>Y90S-6</t>
  </si>
  <si>
    <t>Y90L-6</t>
  </si>
  <si>
    <t>Y100L-6</t>
  </si>
  <si>
    <t>Y112M-6</t>
  </si>
  <si>
    <t>Y132S-6</t>
  </si>
  <si>
    <t>Y132M1-6</t>
  </si>
  <si>
    <t>Y132M2-6</t>
  </si>
  <si>
    <t>Y160M-6</t>
  </si>
  <si>
    <t>Y160L-6</t>
  </si>
  <si>
    <t>Y180L-6</t>
  </si>
  <si>
    <t>Y200L1-6</t>
  </si>
  <si>
    <t>Y200L2-6</t>
  </si>
  <si>
    <t>Y225M-6</t>
  </si>
  <si>
    <t>Y250M-6</t>
  </si>
  <si>
    <t>Y280S-6</t>
  </si>
  <si>
    <t>Y280M-6</t>
  </si>
  <si>
    <t>Y315S-6</t>
  </si>
  <si>
    <t>Y315M-6</t>
  </si>
  <si>
    <t>Y315L1-6</t>
  </si>
  <si>
    <t>Y315L2-6</t>
  </si>
  <si>
    <t>Y355M1-6</t>
  </si>
  <si>
    <t>Y355M2-6</t>
  </si>
  <si>
    <t>Y355M3-6</t>
  </si>
  <si>
    <t>Y355L2-6</t>
  </si>
  <si>
    <t>Y355L1-6</t>
  </si>
  <si>
    <t>Y132S-8</t>
  </si>
  <si>
    <t>Y132M-8</t>
  </si>
  <si>
    <t>Y160M1-8</t>
  </si>
  <si>
    <t>Y160M2-8</t>
  </si>
  <si>
    <t>Y160L-8</t>
  </si>
  <si>
    <t>Y180L-8</t>
  </si>
  <si>
    <t>Y200L-8</t>
  </si>
  <si>
    <t>Y225S-8</t>
  </si>
  <si>
    <t>Y225M-8</t>
  </si>
  <si>
    <t>Y250M-8</t>
  </si>
  <si>
    <t>Y280S-8</t>
  </si>
  <si>
    <t>Y280M-8</t>
  </si>
  <si>
    <t>Y315S-8</t>
  </si>
  <si>
    <t>Y315M-8</t>
  </si>
  <si>
    <t>Y315L1-8</t>
  </si>
  <si>
    <t>Y315L2-8</t>
  </si>
  <si>
    <t>Y355M1-8</t>
  </si>
  <si>
    <t>Y355M2-8</t>
  </si>
  <si>
    <t>Y355L1-8</t>
  </si>
  <si>
    <t>Y355L2-8</t>
  </si>
  <si>
    <t>Y355M1-10</t>
  </si>
  <si>
    <t>Y355M2-10</t>
  </si>
  <si>
    <t>Y355L-10</t>
  </si>
  <si>
    <r>
      <rPr>
        <b/>
        <sz val="18"/>
        <rFont val="Times New Roman"/>
        <family val="1"/>
      </rPr>
      <t xml:space="preserve">          </t>
    </r>
    <r>
      <rPr>
        <b/>
        <sz val="18"/>
        <rFont val="宋体"/>
        <family val="3"/>
        <charset val="134"/>
      </rPr>
      <t xml:space="preserve">锥齿轮传动设计计算 </t>
    </r>
  </si>
  <si>
    <r>
      <rPr>
        <b/>
        <sz val="10"/>
        <color indexed="23"/>
        <rFont val="宋体"/>
        <family val="3"/>
        <charset val="134"/>
      </rPr>
      <t>说明：</t>
    </r>
    <r>
      <rPr>
        <sz val="10"/>
        <color indexed="23"/>
        <rFont val="宋体"/>
        <family val="3"/>
        <charset val="134"/>
      </rPr>
      <t xml:space="preserve">本程序适用于直齿锥齿轮及 </t>
    </r>
    <r>
      <rPr>
        <sz val="10"/>
        <color indexed="23"/>
        <rFont val="Times New Roman"/>
        <family val="1"/>
      </rPr>
      <t xml:space="preserve">GLEASON  </t>
    </r>
    <r>
      <rPr>
        <sz val="10"/>
        <color indexed="23"/>
        <rFont val="宋体"/>
        <family val="3"/>
        <charset val="134"/>
      </rPr>
      <t xml:space="preserve">齿制、小齿轮齿数大于或等于 </t>
    </r>
    <r>
      <rPr>
        <sz val="10"/>
        <color indexed="23"/>
        <rFont val="Times New Roman"/>
        <family val="1"/>
      </rPr>
      <t xml:space="preserve">12 </t>
    </r>
    <r>
      <rPr>
        <sz val="10"/>
        <color indexed="23"/>
        <rFont val="宋体"/>
        <family val="3"/>
        <charset val="134"/>
      </rPr>
      <t>的弧齿锥齿轮（包括零度锥齿轮）。</t>
    </r>
  </si>
  <si>
    <r>
      <rPr>
        <sz val="10"/>
        <color indexed="23"/>
        <rFont val="Times New Roman"/>
        <family val="1"/>
      </rPr>
      <t xml:space="preserve">              </t>
    </r>
    <r>
      <rPr>
        <sz val="10"/>
        <color indexed="23"/>
        <rFont val="宋体"/>
        <family val="3"/>
        <charset val="134"/>
      </rPr>
      <t>公差数值是按照中点法向模数 1</t>
    </r>
    <r>
      <rPr>
        <sz val="10"/>
        <color indexed="23"/>
        <rFont val="Times New Roman"/>
        <family val="1"/>
      </rPr>
      <t xml:space="preserve"> </t>
    </r>
    <r>
      <rPr>
        <sz val="10"/>
        <color indexed="23"/>
        <rFont val="宋体"/>
        <family val="3"/>
        <charset val="134"/>
      </rPr>
      <t>至</t>
    </r>
    <r>
      <rPr>
        <sz val="10"/>
        <color indexed="23"/>
        <rFont val="Times New Roman"/>
        <family val="1"/>
      </rPr>
      <t xml:space="preserve"> 10 </t>
    </r>
    <r>
      <rPr>
        <sz val="10"/>
        <color indexed="23"/>
        <rFont val="宋体"/>
        <family val="3"/>
        <charset val="134"/>
      </rPr>
      <t xml:space="preserve">毫米，中点分度圆直径 400 毫米以下，精度等级 5、6、7、8 级设定的。 </t>
    </r>
  </si>
  <si>
    <r>
      <rPr>
        <sz val="10"/>
        <color indexed="23"/>
        <rFont val="Times New Roman"/>
        <family val="1"/>
      </rPr>
      <t xml:space="preserve">              </t>
    </r>
    <r>
      <rPr>
        <sz val="10"/>
        <color indexed="23"/>
        <rFont val="宋体"/>
        <family val="3"/>
        <charset val="134"/>
      </rPr>
      <t>弧齿锥齿轮的刀盘直径设定为</t>
    </r>
    <r>
      <rPr>
        <sz val="10"/>
        <color indexed="23"/>
        <rFont val="Times New Roman"/>
        <family val="1"/>
      </rPr>
      <t>3.5</t>
    </r>
    <r>
      <rPr>
        <sz val="10"/>
        <color indexed="23"/>
        <rFont val="宋体"/>
        <family val="3"/>
        <charset val="134"/>
      </rPr>
      <t>、</t>
    </r>
    <r>
      <rPr>
        <sz val="10"/>
        <color indexed="23"/>
        <rFont val="Times New Roman"/>
        <family val="1"/>
      </rPr>
      <t>6</t>
    </r>
    <r>
      <rPr>
        <sz val="10"/>
        <color indexed="23"/>
        <rFont val="宋体"/>
        <family val="3"/>
        <charset val="134"/>
      </rPr>
      <t>、</t>
    </r>
    <r>
      <rPr>
        <sz val="10"/>
        <color indexed="23"/>
        <rFont val="Times New Roman"/>
        <family val="1"/>
      </rPr>
      <t>7.5</t>
    </r>
    <r>
      <rPr>
        <sz val="10"/>
        <color indexed="23"/>
        <rFont val="宋体"/>
        <family val="3"/>
        <charset val="134"/>
      </rPr>
      <t>、</t>
    </r>
    <r>
      <rPr>
        <sz val="10"/>
        <color indexed="23"/>
        <rFont val="Times New Roman"/>
        <family val="1"/>
      </rPr>
      <t>9</t>
    </r>
    <r>
      <rPr>
        <sz val="10"/>
        <color indexed="23"/>
        <rFont val="宋体"/>
        <family val="3"/>
        <charset val="134"/>
      </rPr>
      <t>、</t>
    </r>
    <r>
      <rPr>
        <sz val="10"/>
        <color indexed="23"/>
        <rFont val="Times New Roman"/>
        <family val="1"/>
      </rPr>
      <t>12</t>
    </r>
    <r>
      <rPr>
        <sz val="10"/>
        <color indexed="23"/>
        <rFont val="宋体"/>
        <family val="3"/>
        <charset val="134"/>
      </rPr>
      <t>、</t>
    </r>
    <r>
      <rPr>
        <sz val="10"/>
        <color indexed="23"/>
        <rFont val="Times New Roman"/>
        <family val="1"/>
      </rPr>
      <t xml:space="preserve">18 </t>
    </r>
    <r>
      <rPr>
        <sz val="10"/>
        <color indexed="23"/>
        <rFont val="宋体"/>
        <family val="3"/>
        <charset val="134"/>
      </rPr>
      <t>英寸。可进行几何参数计算和承载能力验算（工作条件原</t>
    </r>
  </si>
  <si>
    <r>
      <rPr>
        <sz val="10"/>
        <color indexed="23"/>
        <rFont val="Times New Roman"/>
        <family val="1"/>
      </rPr>
      <t xml:space="preserve">              </t>
    </r>
    <r>
      <rPr>
        <sz val="10"/>
        <color indexed="23"/>
        <rFont val="宋体"/>
        <family val="3"/>
        <charset val="134"/>
      </rPr>
      <t>动机均匀平稳，从动机中等振动），并可对弧齿锥齿轮加工的可行性（刀盘选择）进行判断。</t>
    </r>
  </si>
  <si>
    <r>
      <rPr>
        <b/>
        <sz val="10"/>
        <color indexed="23"/>
        <rFont val="宋体"/>
        <family val="3"/>
        <charset val="134"/>
      </rPr>
      <t>引用标准：</t>
    </r>
    <r>
      <rPr>
        <sz val="10"/>
        <color indexed="23"/>
        <rFont val="Times New Roman"/>
        <family val="1"/>
      </rPr>
      <t xml:space="preserve">GB11365--89   </t>
    </r>
    <r>
      <rPr>
        <sz val="10"/>
        <color indexed="23"/>
        <rFont val="宋体"/>
        <family val="3"/>
        <charset val="134"/>
      </rPr>
      <t>锥齿轮和准双曲面齿轮</t>
    </r>
    <r>
      <rPr>
        <sz val="10"/>
        <color indexed="23"/>
        <rFont val="Times New Roman"/>
        <family val="1"/>
      </rPr>
      <t xml:space="preserve">   </t>
    </r>
    <r>
      <rPr>
        <sz val="10"/>
        <color indexed="23"/>
        <rFont val="宋体"/>
        <family val="3"/>
        <charset val="134"/>
      </rPr>
      <t xml:space="preserve">精度，   </t>
    </r>
    <r>
      <rPr>
        <sz val="10"/>
        <color indexed="23"/>
        <rFont val="Times New Roman"/>
        <family val="1"/>
      </rPr>
      <t xml:space="preserve">GB10062--88   </t>
    </r>
    <r>
      <rPr>
        <sz val="10"/>
        <color indexed="23"/>
        <rFont val="宋体"/>
        <family val="3"/>
        <charset val="134"/>
      </rPr>
      <t>锥齿轮承载能力计算方法</t>
    </r>
  </si>
  <si>
    <r>
      <rPr>
        <b/>
        <sz val="10"/>
        <color indexed="23"/>
        <rFont val="宋体"/>
        <family val="3"/>
        <charset val="134"/>
      </rPr>
      <t>主要参考书目：</t>
    </r>
    <r>
      <rPr>
        <sz val="10"/>
        <color indexed="23"/>
        <rFont val="宋体"/>
        <family val="3"/>
        <charset val="134"/>
      </rPr>
      <t>《齿轮手册》</t>
    </r>
    <r>
      <rPr>
        <sz val="10"/>
        <color indexed="23"/>
        <rFont val="Times New Roman"/>
        <family val="1"/>
      </rPr>
      <t xml:space="preserve"> </t>
    </r>
    <r>
      <rPr>
        <sz val="10"/>
        <color indexed="23"/>
        <rFont val="宋体"/>
        <family val="3"/>
        <charset val="134"/>
      </rPr>
      <t>上、下册，</t>
    </r>
    <r>
      <rPr>
        <sz val="10"/>
        <color indexed="23"/>
        <rFont val="Times New Roman"/>
        <family val="1"/>
      </rPr>
      <t xml:space="preserve">      </t>
    </r>
    <r>
      <rPr>
        <sz val="10"/>
        <color indexed="23"/>
        <rFont val="宋体"/>
        <family val="3"/>
        <charset val="134"/>
      </rPr>
      <t>《机床设计手册》</t>
    </r>
    <r>
      <rPr>
        <sz val="10"/>
        <color indexed="23"/>
        <rFont val="Times New Roman"/>
        <family val="1"/>
      </rPr>
      <t xml:space="preserve"> 2  </t>
    </r>
    <r>
      <rPr>
        <sz val="10"/>
        <color indexed="23"/>
        <rFont val="宋体"/>
        <family val="3"/>
        <charset val="134"/>
      </rPr>
      <t>上册，</t>
    </r>
    <r>
      <rPr>
        <sz val="10"/>
        <color indexed="23"/>
        <rFont val="Times New Roman"/>
        <family val="1"/>
      </rPr>
      <t xml:space="preserve">         </t>
    </r>
    <r>
      <rPr>
        <sz val="10"/>
        <color indexed="23"/>
        <rFont val="宋体"/>
        <family val="3"/>
        <charset val="134"/>
      </rPr>
      <t>《复杂刀具设计手册》</t>
    </r>
    <r>
      <rPr>
        <sz val="10"/>
        <color indexed="23"/>
        <rFont val="Times New Roman"/>
        <family val="1"/>
      </rPr>
      <t xml:space="preserve"> </t>
    </r>
    <r>
      <rPr>
        <sz val="10"/>
        <color indexed="23"/>
        <rFont val="宋体"/>
        <family val="3"/>
        <charset val="134"/>
      </rPr>
      <t>下册</t>
    </r>
  </si>
  <si>
    <r>
      <rPr>
        <sz val="10"/>
        <color indexed="23"/>
        <rFont val="Times New Roman"/>
        <family val="1"/>
      </rPr>
      <t xml:space="preserve">                                   </t>
    </r>
    <r>
      <rPr>
        <sz val="10"/>
        <color indexed="23"/>
        <rFont val="宋体"/>
        <family val="3"/>
        <charset val="134"/>
      </rPr>
      <t>程序设计：</t>
    </r>
    <r>
      <rPr>
        <sz val="10"/>
        <color indexed="23"/>
        <rFont val="Times New Roman"/>
        <family val="1"/>
      </rPr>
      <t xml:space="preserve">    </t>
    </r>
    <r>
      <rPr>
        <sz val="10"/>
        <color indexed="23"/>
        <rFont val="宋体"/>
        <family val="3"/>
        <charset val="134"/>
      </rPr>
      <t>邓时俊   2001.05</t>
    </r>
  </si>
  <si>
    <r>
      <rPr>
        <b/>
        <sz val="10"/>
        <color indexed="12"/>
        <rFont val="宋体"/>
        <family val="3"/>
        <charset val="134"/>
      </rPr>
      <t>注意：</t>
    </r>
    <r>
      <rPr>
        <sz val="10"/>
        <color indexed="12"/>
        <rFont val="宋体"/>
        <family val="3"/>
        <charset val="134"/>
      </rPr>
      <t>本程序有“单变量求解”，应从</t>
    </r>
    <r>
      <rPr>
        <sz val="10"/>
        <color indexed="10"/>
        <rFont val="宋体"/>
        <family val="3"/>
        <charset val="134"/>
      </rPr>
      <t>工具</t>
    </r>
    <r>
      <rPr>
        <sz val="10"/>
        <color indexed="12"/>
        <rFont val="宋体"/>
        <family val="3"/>
        <charset val="134"/>
      </rPr>
      <t>--</t>
    </r>
    <r>
      <rPr>
        <sz val="10"/>
        <color indexed="10"/>
        <rFont val="宋体"/>
        <family val="3"/>
        <charset val="134"/>
      </rPr>
      <t>选项</t>
    </r>
    <r>
      <rPr>
        <sz val="10"/>
        <color indexed="12"/>
        <rFont val="宋体"/>
        <family val="3"/>
        <charset val="134"/>
      </rPr>
      <t>--</t>
    </r>
    <r>
      <rPr>
        <sz val="10"/>
        <color indexed="10"/>
        <rFont val="宋体"/>
        <family val="3"/>
        <charset val="134"/>
      </rPr>
      <t>重新计算</t>
    </r>
    <r>
      <rPr>
        <sz val="10"/>
        <color indexed="12"/>
        <rFont val="宋体"/>
        <family val="3"/>
        <charset val="134"/>
      </rPr>
      <t>中设置</t>
    </r>
    <r>
      <rPr>
        <sz val="10"/>
        <color indexed="10"/>
        <rFont val="宋体"/>
        <family val="3"/>
        <charset val="134"/>
      </rPr>
      <t>反复操作</t>
    </r>
    <r>
      <rPr>
        <sz val="10"/>
        <color indexed="12"/>
        <rFont val="宋体"/>
        <family val="3"/>
        <charset val="134"/>
      </rPr>
      <t>，最多迭代次数</t>
    </r>
    <r>
      <rPr>
        <sz val="10"/>
        <color indexed="10"/>
        <rFont val="宋体"/>
        <family val="3"/>
        <charset val="134"/>
      </rPr>
      <t>10000，最大误差0.0001。</t>
    </r>
  </si>
  <si>
    <r>
      <rPr>
        <b/>
        <sz val="10"/>
        <color indexed="10"/>
        <rFont val="宋体"/>
        <family val="3"/>
        <charset val="134"/>
      </rPr>
      <t>说明：</t>
    </r>
    <r>
      <rPr>
        <sz val="10"/>
        <color indexed="10"/>
        <rFont val="宋体"/>
        <family val="3"/>
        <charset val="134"/>
      </rPr>
      <t>请在兰色框中输入已定或初定数据（黄色框中为判断或参考数据）。输出数据在最后列表，可单独打印。</t>
    </r>
  </si>
  <si>
    <r>
      <rPr>
        <sz val="12"/>
        <rFont val="宋体"/>
        <family val="3"/>
        <charset val="134"/>
      </rPr>
      <t>齿</t>
    </r>
    <r>
      <rPr>
        <sz val="12"/>
        <rFont val="Times New Roman"/>
        <family val="1"/>
      </rPr>
      <t xml:space="preserve">               </t>
    </r>
    <r>
      <rPr>
        <sz val="12"/>
        <rFont val="宋体"/>
        <family val="3"/>
        <charset val="134"/>
      </rPr>
      <t>型</t>
    </r>
    <r>
      <rPr>
        <sz val="12"/>
        <rFont val="Times New Roman"/>
        <family val="1"/>
      </rPr>
      <t xml:space="preserve">   </t>
    </r>
  </si>
  <si>
    <r>
      <rPr>
        <sz val="10"/>
        <color indexed="12"/>
        <rFont val="宋体"/>
        <family val="3"/>
        <charset val="134"/>
      </rPr>
      <t xml:space="preserve">注：直齿输入 </t>
    </r>
    <r>
      <rPr>
        <b/>
        <sz val="10"/>
        <color indexed="10"/>
        <rFont val="宋体"/>
        <family val="3"/>
        <charset val="134"/>
      </rPr>
      <t>1</t>
    </r>
    <r>
      <rPr>
        <sz val="10"/>
        <color indexed="12"/>
        <rFont val="宋体"/>
        <family val="3"/>
        <charset val="134"/>
      </rPr>
      <t xml:space="preserve">， 弧齿输入 </t>
    </r>
    <r>
      <rPr>
        <b/>
        <sz val="10"/>
        <color indexed="10"/>
        <rFont val="宋体"/>
        <family val="3"/>
        <charset val="134"/>
      </rPr>
      <t>0</t>
    </r>
    <r>
      <rPr>
        <sz val="10"/>
        <color indexed="12"/>
        <rFont val="宋体"/>
        <family val="3"/>
        <charset val="134"/>
      </rPr>
      <t xml:space="preserve"> 或不输入。</t>
    </r>
  </si>
  <si>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数</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</si>
  <si>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数</t>
    </r>
  </si>
  <si>
    <r>
      <rPr>
        <sz val="12"/>
        <rFont val="宋体"/>
        <family val="3"/>
        <charset val="134"/>
      </rPr>
      <t>大</t>
    </r>
    <r>
      <rPr>
        <sz val="12"/>
        <rFont val="宋体"/>
        <family val="3"/>
        <charset val="134"/>
      </rPr>
      <t>端</t>
    </r>
    <r>
      <rPr>
        <sz val="12"/>
        <rFont val="宋体"/>
        <family val="3"/>
        <charset val="134"/>
      </rPr>
      <t>端</t>
    </r>
    <r>
      <rPr>
        <sz val="12"/>
        <rFont val="宋体"/>
        <family val="3"/>
        <charset val="134"/>
      </rPr>
      <t>面</t>
    </r>
    <r>
      <rPr>
        <sz val="12"/>
        <rFont val="宋体"/>
        <family val="3"/>
        <charset val="134"/>
      </rPr>
      <t>模</t>
    </r>
    <r>
      <rPr>
        <sz val="12"/>
        <rFont val="宋体"/>
        <family val="3"/>
        <charset val="134"/>
      </rPr>
      <t>数</t>
    </r>
  </si>
  <si>
    <r>
      <rPr>
        <sz val="12"/>
        <rFont val="宋体"/>
        <family val="3"/>
        <charset val="134"/>
      </rPr>
      <t>轴</t>
    </r>
    <r>
      <rPr>
        <sz val="12"/>
        <rFont val="Times New Roman"/>
        <family val="1"/>
      </rPr>
      <t xml:space="preserve">    </t>
    </r>
    <r>
      <rPr>
        <sz val="12"/>
        <rFont val="宋体"/>
        <family val="3"/>
        <charset val="134"/>
      </rPr>
      <t xml:space="preserve">交  </t>
    </r>
    <r>
      <rPr>
        <sz val="12"/>
        <rFont val="Times New Roman"/>
        <family val="1"/>
      </rPr>
      <t xml:space="preserve">  </t>
    </r>
    <r>
      <rPr>
        <sz val="12"/>
        <rFont val="宋体"/>
        <family val="3"/>
        <charset val="134"/>
      </rPr>
      <t>角</t>
    </r>
  </si>
  <si>
    <t>Σ</t>
  </si>
  <si>
    <r>
      <rPr>
        <sz val="12"/>
        <color indexed="44"/>
        <rFont val="宋体"/>
        <family val="3"/>
        <charset val="134"/>
      </rPr>
      <t>α</t>
    </r>
    <r>
      <rPr>
        <sz val="10"/>
        <color indexed="44"/>
        <rFont val="宋体"/>
        <family val="3"/>
        <charset val="134"/>
      </rPr>
      <t>n</t>
    </r>
  </si>
  <si>
    <r>
      <rPr>
        <sz val="12"/>
        <rFont val="Times New Roman"/>
        <family val="1"/>
      </rPr>
      <t>x</t>
    </r>
    <r>
      <rPr>
        <sz val="10"/>
        <rFont val="Times New Roman"/>
        <family val="1"/>
      </rPr>
      <t>s1</t>
    </r>
  </si>
  <si>
    <r>
      <rPr>
        <sz val="12"/>
        <color indexed="44"/>
        <rFont val="宋体"/>
        <family val="3"/>
        <charset val="134"/>
      </rPr>
      <t>β</t>
    </r>
    <r>
      <rPr>
        <sz val="10"/>
        <color indexed="44"/>
        <rFont val="宋体"/>
        <family val="3"/>
        <charset val="134"/>
      </rPr>
      <t>m</t>
    </r>
  </si>
  <si>
    <r>
      <rPr>
        <sz val="12"/>
        <rFont val="宋体"/>
        <family val="3"/>
        <charset val="134"/>
      </rPr>
      <t>齿</t>
    </r>
    <r>
      <rPr>
        <sz val="12"/>
        <rFont val="Times New Roman"/>
        <family val="1"/>
      </rPr>
      <t xml:space="preserve"> </t>
    </r>
    <r>
      <rPr>
        <sz val="12"/>
        <rFont val="宋体"/>
        <family val="3"/>
        <charset val="134"/>
      </rPr>
      <t>宽</t>
    </r>
    <r>
      <rPr>
        <sz val="12"/>
        <rFont val="Times New Roman"/>
        <family val="1"/>
      </rPr>
      <t xml:space="preserve"> </t>
    </r>
    <r>
      <rPr>
        <sz val="12"/>
        <rFont val="宋体"/>
        <family val="3"/>
        <charset val="134"/>
      </rPr>
      <t>参</t>
    </r>
    <r>
      <rPr>
        <sz val="12"/>
        <rFont val="Times New Roman"/>
        <family val="1"/>
      </rPr>
      <t xml:space="preserve"> </t>
    </r>
    <r>
      <rPr>
        <sz val="12"/>
        <rFont val="宋体"/>
        <family val="3"/>
        <charset val="134"/>
      </rPr>
      <t>考</t>
    </r>
    <r>
      <rPr>
        <sz val="12"/>
        <rFont val="Times New Roman"/>
        <family val="1"/>
      </rPr>
      <t xml:space="preserve"> </t>
    </r>
    <r>
      <rPr>
        <sz val="12"/>
        <rFont val="宋体"/>
        <family val="3"/>
        <charset val="134"/>
      </rPr>
      <t>值</t>
    </r>
  </si>
  <si>
    <t>高度变位系数</t>
  </si>
  <si>
    <r>
      <rPr>
        <sz val="12"/>
        <rFont val="Times New Roman"/>
        <family val="1"/>
      </rPr>
      <t>x</t>
    </r>
    <r>
      <rPr>
        <sz val="10"/>
        <rFont val="Times New Roman"/>
        <family val="1"/>
      </rPr>
      <t>h1</t>
    </r>
  </si>
  <si>
    <r>
      <rPr>
        <sz val="12"/>
        <rFont val="宋体"/>
        <family val="3"/>
        <charset val="134"/>
      </rPr>
      <t>齿</t>
    </r>
    <r>
      <rPr>
        <sz val="12"/>
        <rFont val="Times New Roman"/>
        <family val="1"/>
      </rPr>
      <t xml:space="preserve"> </t>
    </r>
    <r>
      <rPr>
        <sz val="12"/>
        <rFont val="宋体"/>
        <family val="3"/>
        <charset val="134"/>
      </rPr>
      <t>宽</t>
    </r>
    <r>
      <rPr>
        <sz val="12"/>
        <rFont val="Times New Roman"/>
        <family val="1"/>
      </rPr>
      <t xml:space="preserve"> </t>
    </r>
    <r>
      <rPr>
        <sz val="12"/>
        <rFont val="宋体"/>
        <family val="3"/>
        <charset val="134"/>
      </rPr>
      <t>实</t>
    </r>
    <r>
      <rPr>
        <sz val="12"/>
        <rFont val="Times New Roman"/>
        <family val="1"/>
      </rPr>
      <t xml:space="preserve"> </t>
    </r>
    <r>
      <rPr>
        <sz val="12"/>
        <rFont val="宋体"/>
        <family val="3"/>
        <charset val="134"/>
      </rPr>
      <t>际</t>
    </r>
    <r>
      <rPr>
        <sz val="12"/>
        <rFont val="Times New Roman"/>
        <family val="1"/>
      </rPr>
      <t xml:space="preserve"> </t>
    </r>
    <r>
      <rPr>
        <sz val="12"/>
        <rFont val="宋体"/>
        <family val="3"/>
        <charset val="134"/>
      </rPr>
      <t>值</t>
    </r>
  </si>
  <si>
    <r>
      <rPr>
        <sz val="12"/>
        <rFont val="宋体"/>
        <family val="3"/>
        <charset val="134"/>
      </rPr>
      <t>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</si>
  <si>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Times New Roman"/>
        <family val="1"/>
      </rPr>
      <t>x</t>
    </r>
    <r>
      <rPr>
        <sz val="8"/>
        <rFont val="Times New Roman"/>
        <family val="1"/>
      </rPr>
      <t>w</t>
    </r>
  </si>
  <si>
    <r>
      <rPr>
        <sz val="12"/>
        <rFont val="宋体"/>
        <family val="3"/>
        <charset val="134"/>
      </rPr>
      <t>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</si>
  <si>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t>最小法向侧隙种类</t>
  </si>
  <si>
    <r>
      <rPr>
        <sz val="12"/>
        <rFont val="宋体"/>
        <family val="3"/>
        <charset val="134"/>
      </rPr>
      <t>工</t>
    </r>
    <r>
      <rPr>
        <sz val="12"/>
        <rFont val="Times New Roman"/>
        <family val="1"/>
      </rPr>
      <t xml:space="preserve">  </t>
    </r>
    <r>
      <rPr>
        <sz val="12"/>
        <rFont val="宋体"/>
        <family val="3"/>
        <charset val="134"/>
      </rPr>
      <t>作</t>
    </r>
    <r>
      <rPr>
        <sz val="12"/>
        <rFont val="Times New Roman"/>
        <family val="1"/>
      </rPr>
      <t xml:space="preserve">  </t>
    </r>
    <r>
      <rPr>
        <sz val="12"/>
        <rFont val="宋体"/>
        <family val="3"/>
        <charset val="134"/>
      </rPr>
      <t>齿</t>
    </r>
    <r>
      <rPr>
        <sz val="12"/>
        <rFont val="Times New Roman"/>
        <family val="1"/>
      </rPr>
      <t xml:space="preserve">  高</t>
    </r>
  </si>
  <si>
    <t>hw</t>
  </si>
  <si>
    <t>法向侧隙公差种类</t>
  </si>
  <si>
    <r>
      <rPr>
        <sz val="12"/>
        <rFont val="宋体"/>
        <family val="3"/>
        <charset val="134"/>
      </rPr>
      <t>齿</t>
    </r>
    <r>
      <rPr>
        <sz val="12"/>
        <rFont val="Times New Roman"/>
        <family val="1"/>
      </rPr>
      <t xml:space="preserve">     </t>
    </r>
    <r>
      <rPr>
        <sz val="12"/>
        <rFont val="宋体"/>
        <family val="3"/>
        <charset val="134"/>
      </rPr>
      <t>数</t>
    </r>
    <r>
      <rPr>
        <sz val="12"/>
        <rFont val="Times New Roman"/>
        <family val="1"/>
      </rPr>
      <t xml:space="preserve">     </t>
    </r>
    <r>
      <rPr>
        <sz val="12"/>
        <rFont val="宋体"/>
        <family val="3"/>
        <charset val="134"/>
      </rPr>
      <t>比</t>
    </r>
  </si>
  <si>
    <t>小轮基准端面直径极限值</t>
  </si>
  <si>
    <t>小轮基准端面直径</t>
  </si>
  <si>
    <t>大轮基准端面直径极限值</t>
  </si>
  <si>
    <t>大轮基准端面直径</t>
  </si>
  <si>
    <t>注：如果侧隙不合适，可重新选择最小法向侧隙种类、法向侧隙公差种类</t>
  </si>
  <si>
    <r>
      <rPr>
        <sz val="12"/>
        <rFont val="宋体"/>
        <family val="3"/>
        <charset val="134"/>
      </rPr>
      <t>外</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距</t>
    </r>
  </si>
  <si>
    <t>Ra</t>
  </si>
  <si>
    <r>
      <rPr>
        <sz val="12"/>
        <rFont val="宋体"/>
        <family val="3"/>
        <charset val="134"/>
      </rPr>
      <t>重</t>
    </r>
    <r>
      <rPr>
        <sz val="12"/>
        <rFont val="Times New Roman"/>
        <family val="1"/>
      </rPr>
      <t xml:space="preserve">      </t>
    </r>
    <r>
      <rPr>
        <sz val="12"/>
        <rFont val="宋体"/>
        <family val="3"/>
        <charset val="134"/>
      </rPr>
      <t xml:space="preserve">合 </t>
    </r>
    <r>
      <rPr>
        <sz val="12"/>
        <rFont val="Times New Roman"/>
        <family val="1"/>
      </rPr>
      <t xml:space="preserve">     </t>
    </r>
    <r>
      <rPr>
        <sz val="12"/>
        <rFont val="宋体"/>
        <family val="3"/>
        <charset val="134"/>
      </rPr>
      <t>度</t>
    </r>
  </si>
  <si>
    <r>
      <rPr>
        <sz val="12"/>
        <rFont val="宋体"/>
        <family val="3"/>
        <charset val="134"/>
      </rPr>
      <t>材</t>
    </r>
    <r>
      <rPr>
        <sz val="12"/>
        <rFont val="Times New Roman"/>
        <family val="1"/>
      </rPr>
      <t xml:space="preserve">   </t>
    </r>
    <r>
      <rPr>
        <sz val="12"/>
        <rFont val="宋体"/>
        <family val="3"/>
        <charset val="134"/>
      </rPr>
      <t>质</t>
    </r>
    <r>
      <rPr>
        <sz val="12"/>
        <rFont val="Times New Roman"/>
        <family val="1"/>
      </rPr>
      <t xml:space="preserve">   </t>
    </r>
    <r>
      <rPr>
        <sz val="12"/>
        <rFont val="宋体"/>
        <family val="3"/>
        <charset val="134"/>
      </rPr>
      <t>代</t>
    </r>
    <r>
      <rPr>
        <sz val="12"/>
        <rFont val="Times New Roman"/>
        <family val="1"/>
      </rPr>
      <t xml:space="preserve">   </t>
    </r>
    <r>
      <rPr>
        <sz val="12"/>
        <rFont val="宋体"/>
        <family val="3"/>
        <charset val="134"/>
      </rPr>
      <t>码</t>
    </r>
  </si>
  <si>
    <r>
      <rPr>
        <sz val="10"/>
        <color indexed="12"/>
        <rFont val="宋体"/>
        <family val="3"/>
        <charset val="134"/>
      </rPr>
      <t>说明：</t>
    </r>
    <r>
      <rPr>
        <b/>
        <sz val="10"/>
        <color indexed="10"/>
        <rFont val="宋体"/>
        <family val="3"/>
        <charset val="134"/>
      </rPr>
      <t>0</t>
    </r>
    <r>
      <rPr>
        <sz val="10"/>
        <color indexed="12"/>
        <rFont val="宋体"/>
        <family val="3"/>
        <charset val="134"/>
      </rPr>
      <t xml:space="preserve">—不计算承载能力， </t>
    </r>
    <r>
      <rPr>
        <b/>
        <sz val="10"/>
        <color indexed="10"/>
        <rFont val="宋体"/>
        <family val="3"/>
        <charset val="134"/>
      </rPr>
      <t>1</t>
    </r>
    <r>
      <rPr>
        <sz val="10"/>
        <color indexed="12"/>
        <rFont val="宋体"/>
        <family val="3"/>
        <charset val="134"/>
      </rPr>
      <t xml:space="preserve">—合金钢渗碳淬火， </t>
    </r>
    <r>
      <rPr>
        <b/>
        <sz val="10"/>
        <color indexed="10"/>
        <rFont val="宋体"/>
        <family val="3"/>
        <charset val="134"/>
      </rPr>
      <t>2</t>
    </r>
    <r>
      <rPr>
        <sz val="10"/>
        <color indexed="12"/>
        <rFont val="宋体"/>
        <family val="3"/>
        <charset val="134"/>
      </rPr>
      <t xml:space="preserve">—调质钢感应淬火，  </t>
    </r>
  </si>
  <si>
    <r>
      <rPr>
        <sz val="10"/>
        <color indexed="12"/>
        <rFont val="Times New Roman"/>
        <family val="1"/>
      </rPr>
      <t xml:space="preserve">            </t>
    </r>
    <r>
      <rPr>
        <b/>
        <sz val="10"/>
        <color indexed="10"/>
        <rFont val="Times New Roman"/>
        <family val="1"/>
      </rPr>
      <t>3</t>
    </r>
    <r>
      <rPr>
        <b/>
        <sz val="10"/>
        <color indexed="12"/>
        <rFont val="Times New Roman"/>
        <family val="1"/>
      </rPr>
      <t>—</t>
    </r>
    <r>
      <rPr>
        <sz val="10"/>
        <color indexed="12"/>
        <rFont val="宋体"/>
        <family val="3"/>
        <charset val="134"/>
      </rPr>
      <t xml:space="preserve">合金钢调质，     </t>
    </r>
    <r>
      <rPr>
        <sz val="10"/>
        <color indexed="12"/>
        <rFont val="Times New Roman"/>
        <family val="1"/>
      </rPr>
      <t xml:space="preserve"> </t>
    </r>
    <r>
      <rPr>
        <b/>
        <sz val="10"/>
        <color indexed="10"/>
        <rFont val="Times New Roman"/>
        <family val="1"/>
      </rPr>
      <t>4</t>
    </r>
    <r>
      <rPr>
        <sz val="10"/>
        <color indexed="12"/>
        <rFont val="Times New Roman"/>
        <family val="1"/>
      </rPr>
      <t>—</t>
    </r>
    <r>
      <rPr>
        <sz val="10"/>
        <color indexed="12"/>
        <rFont val="宋体"/>
        <family val="3"/>
        <charset val="134"/>
      </rPr>
      <t>碳钢调质或正火，</t>
    </r>
    <r>
      <rPr>
        <sz val="10"/>
        <color indexed="12"/>
        <rFont val="Times New Roman"/>
        <family val="1"/>
      </rPr>
      <t xml:space="preserve">   </t>
    </r>
    <r>
      <rPr>
        <b/>
        <sz val="10"/>
        <color indexed="10"/>
        <rFont val="Times New Roman"/>
        <family val="1"/>
      </rPr>
      <t>5</t>
    </r>
    <r>
      <rPr>
        <sz val="10"/>
        <color indexed="12"/>
        <rFont val="Times New Roman"/>
        <family val="1"/>
      </rPr>
      <t>—</t>
    </r>
    <r>
      <rPr>
        <sz val="10"/>
        <color indexed="12"/>
        <rFont val="宋体"/>
        <family val="3"/>
        <charset val="134"/>
      </rPr>
      <t xml:space="preserve">氮化钢气体氮化， </t>
    </r>
  </si>
  <si>
    <r>
      <rPr>
        <sz val="10"/>
        <color indexed="12"/>
        <rFont val="Times New Roman"/>
        <family val="1"/>
      </rPr>
      <t xml:space="preserve">           </t>
    </r>
    <r>
      <rPr>
        <b/>
        <sz val="10"/>
        <color indexed="10"/>
        <rFont val="Times New Roman"/>
        <family val="1"/>
      </rPr>
      <t xml:space="preserve"> 6</t>
    </r>
    <r>
      <rPr>
        <sz val="10"/>
        <color indexed="12"/>
        <rFont val="Times New Roman"/>
        <family val="1"/>
      </rPr>
      <t>—</t>
    </r>
    <r>
      <rPr>
        <sz val="10"/>
        <color indexed="12"/>
        <rFont val="宋体"/>
        <family val="3"/>
        <charset val="134"/>
      </rPr>
      <t xml:space="preserve">调质钢与渗碳淬火钢气体氮化， </t>
    </r>
    <r>
      <rPr>
        <b/>
        <sz val="10"/>
        <color indexed="10"/>
        <rFont val="Times New Roman"/>
        <family val="1"/>
      </rPr>
      <t>7</t>
    </r>
    <r>
      <rPr>
        <sz val="10"/>
        <color indexed="12"/>
        <rFont val="Times New Roman"/>
        <family val="1"/>
      </rPr>
      <t>—</t>
    </r>
    <r>
      <rPr>
        <sz val="10"/>
        <color indexed="12"/>
        <rFont val="宋体"/>
        <family val="3"/>
        <charset val="134"/>
      </rPr>
      <t>调质钢与渗碳淬火钢软氮化</t>
    </r>
  </si>
  <si>
    <t>小轮名义功率</t>
  </si>
  <si>
    <r>
      <rPr>
        <sz val="12"/>
        <rFont val="Times New Roman"/>
        <family val="1"/>
      </rPr>
      <t>d</t>
    </r>
    <r>
      <rPr>
        <sz val="8"/>
        <rFont val="Times New Roman"/>
        <family val="1"/>
      </rPr>
      <t>1</t>
    </r>
  </si>
  <si>
    <r>
      <rPr>
        <sz val="12"/>
        <rFont val="Times New Roman"/>
        <family val="1"/>
      </rPr>
      <t>d</t>
    </r>
    <r>
      <rPr>
        <sz val="8"/>
        <rFont val="Times New Roman"/>
        <family val="1"/>
      </rPr>
      <t>2</t>
    </r>
  </si>
  <si>
    <r>
      <rPr>
        <sz val="12"/>
        <rFont val="宋体"/>
        <family val="3"/>
        <charset val="134"/>
      </rPr>
      <t>大</t>
    </r>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距</t>
    </r>
  </si>
  <si>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</si>
  <si>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</si>
  <si>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高</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</si>
  <si>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高</t>
    </r>
    <r>
      <rPr>
        <sz val="12"/>
        <rFont val="Times New Roman"/>
        <family val="1"/>
      </rPr>
      <t xml:space="preserve">  </t>
    </r>
  </si>
  <si>
    <r>
      <rPr>
        <sz val="12"/>
        <rFont val="Times New Roman"/>
        <family val="1"/>
      </rPr>
      <t>h</t>
    </r>
    <r>
      <rPr>
        <sz val="11"/>
        <rFont val="Times New Roman"/>
        <family val="1"/>
      </rPr>
      <t>f2</t>
    </r>
  </si>
  <si>
    <t>小轮分度圆锥角</t>
  </si>
  <si>
    <r>
      <rPr>
        <sz val="12"/>
        <rFont val="宋体"/>
        <family val="3"/>
        <charset val="134"/>
      </rPr>
      <t>δ</t>
    </r>
    <r>
      <rPr>
        <sz val="10"/>
        <rFont val="宋体"/>
        <family val="3"/>
        <charset val="134"/>
      </rPr>
      <t>1</t>
    </r>
  </si>
  <si>
    <r>
      <rPr>
        <sz val="10"/>
        <rFont val="宋体"/>
        <family val="3"/>
        <charset val="134"/>
      </rPr>
      <t>度</t>
    </r>
    <r>
      <rPr>
        <b/>
        <sz val="10"/>
        <rFont val="Times New Roman"/>
        <family val="1"/>
      </rPr>
      <t>.</t>
    </r>
    <r>
      <rPr>
        <sz val="10"/>
        <rFont val="宋体"/>
        <family val="3"/>
        <charset val="134"/>
      </rPr>
      <t>分秒</t>
    </r>
  </si>
  <si>
    <t>大轮分度圆锥角</t>
  </si>
  <si>
    <r>
      <rPr>
        <sz val="12"/>
        <rFont val="宋体"/>
        <family val="3"/>
        <charset val="134"/>
      </rPr>
      <t>δ</t>
    </r>
    <r>
      <rPr>
        <sz val="10"/>
        <rFont val="Times New Roman"/>
        <family val="1"/>
      </rPr>
      <t>2</t>
    </r>
  </si>
  <si>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角</t>
    </r>
  </si>
  <si>
    <r>
      <rPr>
        <sz val="12"/>
        <rFont val="宋体"/>
        <family val="3"/>
        <charset val="134"/>
      </rPr>
      <t>δ</t>
    </r>
    <r>
      <rPr>
        <sz val="10"/>
        <rFont val="Times New Roman"/>
        <family val="1"/>
      </rPr>
      <t>a1</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</si>
  <si>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角</t>
    </r>
  </si>
  <si>
    <r>
      <rPr>
        <sz val="12"/>
        <rFont val="宋体"/>
        <family val="3"/>
        <charset val="134"/>
      </rPr>
      <t>δ</t>
    </r>
    <r>
      <rPr>
        <sz val="10"/>
        <rFont val="Times New Roman"/>
        <family val="1"/>
      </rPr>
      <t>a2</t>
    </r>
  </si>
  <si>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角</t>
    </r>
  </si>
  <si>
    <r>
      <rPr>
        <sz val="12"/>
        <rFont val="宋体"/>
        <family val="3"/>
        <charset val="134"/>
      </rPr>
      <t>δ</t>
    </r>
    <r>
      <rPr>
        <sz val="10"/>
        <rFont val="Times New Roman"/>
        <family val="1"/>
      </rPr>
      <t>f1</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</si>
  <si>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角</t>
    </r>
  </si>
  <si>
    <r>
      <rPr>
        <sz val="12"/>
        <rFont val="宋体"/>
        <family val="3"/>
        <charset val="134"/>
      </rPr>
      <t>δ</t>
    </r>
    <r>
      <rPr>
        <sz val="10"/>
        <rFont val="Times New Roman"/>
        <family val="1"/>
      </rPr>
      <t>f2</t>
    </r>
  </si>
  <si>
    <t>小  轮  齿  根  角</t>
  </si>
  <si>
    <r>
      <rPr>
        <sz val="12"/>
        <rFont val="宋体"/>
        <family val="3"/>
        <charset val="134"/>
      </rPr>
      <t>γ</t>
    </r>
    <r>
      <rPr>
        <sz val="10"/>
        <rFont val="Times New Roman"/>
        <family val="1"/>
      </rPr>
      <t>1</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</si>
  <si>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角</t>
    </r>
  </si>
  <si>
    <r>
      <rPr>
        <sz val="12"/>
        <rFont val="宋体"/>
        <family val="3"/>
        <charset val="134"/>
      </rPr>
      <t>γ</t>
    </r>
    <r>
      <rPr>
        <sz val="10"/>
        <rFont val="Times New Roman"/>
        <family val="1"/>
      </rPr>
      <t>2</t>
    </r>
  </si>
  <si>
    <t>小轮分度圆理论弧齿厚</t>
  </si>
  <si>
    <t>大轮分度圆理论弧齿厚</t>
  </si>
  <si>
    <r>
      <rPr>
        <sz val="12"/>
        <rFont val="宋体"/>
        <family val="3"/>
        <charset val="134"/>
      </rPr>
      <t>小</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角</t>
    </r>
  </si>
  <si>
    <r>
      <rPr>
        <sz val="12"/>
        <rFont val="宋体"/>
        <family val="3"/>
        <charset val="134"/>
      </rPr>
      <t>δt</t>
    </r>
    <r>
      <rPr>
        <sz val="10"/>
        <rFont val="宋体"/>
        <family val="3"/>
        <charset val="134"/>
      </rPr>
      <t>1</t>
    </r>
  </si>
  <si>
    <r>
      <rPr>
        <sz val="12"/>
        <rFont val="宋体"/>
        <family val="3"/>
        <charset val="134"/>
      </rPr>
      <t>大</t>
    </r>
    <r>
      <rPr>
        <sz val="12"/>
        <rFont val="Times New Roman"/>
        <family val="1"/>
      </rPr>
      <t xml:space="preserve">   </t>
    </r>
    <r>
      <rPr>
        <sz val="12"/>
        <rFont val="宋体"/>
        <family val="3"/>
        <charset val="134"/>
      </rPr>
      <t>轮</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角</t>
    </r>
  </si>
  <si>
    <r>
      <rPr>
        <sz val="12"/>
        <rFont val="宋体"/>
        <family val="3"/>
        <charset val="134"/>
      </rPr>
      <t>δ</t>
    </r>
    <r>
      <rPr>
        <sz val="12"/>
        <rFont val="Times New Roman"/>
        <family val="1"/>
      </rPr>
      <t xml:space="preserve">t </t>
    </r>
    <r>
      <rPr>
        <sz val="10"/>
        <rFont val="Times New Roman"/>
        <family val="1"/>
      </rPr>
      <t>2</t>
    </r>
  </si>
  <si>
    <r>
      <rPr>
        <sz val="12"/>
        <rFont val="宋体"/>
        <family val="3"/>
        <charset val="134"/>
      </rPr>
      <t>γ</t>
    </r>
    <r>
      <rPr>
        <sz val="10"/>
        <rFont val="Times New Roman"/>
        <family val="1"/>
      </rPr>
      <t xml:space="preserve">1  </t>
    </r>
    <r>
      <rPr>
        <sz val="12"/>
        <rFont val="Times New Roman"/>
        <family val="1"/>
      </rPr>
      <t xml:space="preserve">+  </t>
    </r>
    <r>
      <rPr>
        <sz val="12"/>
        <rFont val="宋体"/>
        <family val="3"/>
        <charset val="134"/>
      </rPr>
      <t>γ</t>
    </r>
    <r>
      <rPr>
        <sz val="12"/>
        <rFont val="Times New Roman"/>
        <family val="1"/>
      </rPr>
      <t>2</t>
    </r>
  </si>
  <si>
    <r>
      <rPr>
        <sz val="12"/>
        <rFont val="宋体"/>
        <family val="3"/>
        <charset val="134"/>
      </rPr>
      <t>中</t>
    </r>
    <r>
      <rPr>
        <sz val="12"/>
        <rFont val="Times New Roman"/>
        <family val="1"/>
      </rPr>
      <t xml:space="preserve">    </t>
    </r>
    <r>
      <rPr>
        <sz val="12"/>
        <rFont val="宋体"/>
        <family val="3"/>
        <charset val="134"/>
      </rPr>
      <t>点</t>
    </r>
    <r>
      <rPr>
        <sz val="12"/>
        <rFont val="Times New Roman"/>
        <family val="1"/>
      </rPr>
      <t xml:space="preserve">    锥    距</t>
    </r>
  </si>
  <si>
    <t>Rm</t>
  </si>
  <si>
    <r>
      <rPr>
        <sz val="12"/>
        <rFont val="宋体"/>
        <family val="3"/>
        <charset val="134"/>
      </rPr>
      <t>内</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距</t>
    </r>
  </si>
  <si>
    <t>Ri</t>
  </si>
  <si>
    <r>
      <rPr>
        <sz val="12"/>
        <color indexed="17"/>
        <rFont val="宋体"/>
        <family val="3"/>
        <charset val="134"/>
      </rPr>
      <t>β</t>
    </r>
    <r>
      <rPr>
        <sz val="10"/>
        <color indexed="17"/>
        <rFont val="Times New Roman"/>
        <family val="1"/>
      </rPr>
      <t>a</t>
    </r>
  </si>
  <si>
    <r>
      <rPr>
        <sz val="12"/>
        <rFont val="Times New Roman"/>
        <family val="1"/>
      </rPr>
      <t>D</t>
    </r>
    <r>
      <rPr>
        <sz val="10"/>
        <rFont val="Times New Roman"/>
        <family val="1"/>
      </rPr>
      <t>c0</t>
    </r>
  </si>
  <si>
    <r>
      <rPr>
        <sz val="12"/>
        <rFont val="Times New Roman"/>
        <family val="1"/>
      </rPr>
      <t>K</t>
    </r>
    <r>
      <rPr>
        <sz val="10"/>
        <rFont val="Times New Roman"/>
        <family val="1"/>
      </rPr>
      <t>11</t>
    </r>
  </si>
  <si>
    <r>
      <rPr>
        <sz val="10"/>
        <color indexed="17"/>
        <rFont val="宋体"/>
        <family val="3"/>
        <charset val="134"/>
      </rPr>
      <t>度</t>
    </r>
    <r>
      <rPr>
        <b/>
        <sz val="10"/>
        <color indexed="17"/>
        <rFont val="Times New Roman"/>
        <family val="1"/>
      </rPr>
      <t>.</t>
    </r>
    <r>
      <rPr>
        <sz val="10"/>
        <color indexed="17"/>
        <rFont val="宋体"/>
        <family val="3"/>
        <charset val="134"/>
      </rPr>
      <t>分秒</t>
    </r>
  </si>
  <si>
    <r>
      <rPr>
        <sz val="12"/>
        <rFont val="Times New Roman"/>
        <family val="1"/>
      </rPr>
      <t>K</t>
    </r>
    <r>
      <rPr>
        <sz val="10"/>
        <rFont val="Times New Roman"/>
        <family val="1"/>
      </rPr>
      <t>12</t>
    </r>
  </si>
  <si>
    <r>
      <rPr>
        <sz val="12"/>
        <color indexed="17"/>
        <rFont val="宋体"/>
        <family val="3"/>
        <charset val="134"/>
      </rPr>
      <t>β</t>
    </r>
    <r>
      <rPr>
        <sz val="10"/>
        <color indexed="17"/>
        <rFont val="Times New Roman"/>
        <family val="1"/>
      </rPr>
      <t>i</t>
    </r>
  </si>
  <si>
    <r>
      <rPr>
        <sz val="12"/>
        <rFont val="Times New Roman"/>
        <family val="1"/>
      </rPr>
      <t>K</t>
    </r>
    <r>
      <rPr>
        <sz val="10"/>
        <rFont val="Times New Roman"/>
        <family val="1"/>
      </rPr>
      <t>13</t>
    </r>
  </si>
  <si>
    <r>
      <rPr>
        <sz val="12"/>
        <rFont val="Times New Roman"/>
        <family val="1"/>
      </rPr>
      <t>K</t>
    </r>
    <r>
      <rPr>
        <sz val="10"/>
        <rFont val="Times New Roman"/>
        <family val="1"/>
      </rPr>
      <t>i</t>
    </r>
  </si>
  <si>
    <t>重合度计算：</t>
  </si>
  <si>
    <r>
      <rPr>
        <sz val="12"/>
        <color indexed="17"/>
        <rFont val="宋体"/>
        <family val="3"/>
        <charset val="134"/>
      </rPr>
      <t>α</t>
    </r>
    <r>
      <rPr>
        <sz val="10"/>
        <color indexed="17"/>
        <rFont val="宋体"/>
        <family val="3"/>
        <charset val="134"/>
      </rPr>
      <t>tm</t>
    </r>
  </si>
  <si>
    <t>Zz1</t>
  </si>
  <si>
    <t>Zz2</t>
  </si>
  <si>
    <r>
      <rPr>
        <sz val="12"/>
        <color indexed="17"/>
        <rFont val="宋体"/>
        <family val="3"/>
        <charset val="134"/>
      </rPr>
      <t>ε</t>
    </r>
    <r>
      <rPr>
        <sz val="8"/>
        <color indexed="17"/>
        <rFont val="宋体"/>
        <family val="3"/>
        <charset val="134"/>
      </rPr>
      <t>端面</t>
    </r>
  </si>
  <si>
    <t>测量小轮齿厚处的锥距</t>
  </si>
  <si>
    <r>
      <rPr>
        <sz val="12"/>
        <rFont val="Times New Roman"/>
        <family val="1"/>
      </rPr>
      <t>L</t>
    </r>
    <r>
      <rPr>
        <sz val="8"/>
        <rFont val="Times New Roman"/>
        <family val="1"/>
      </rPr>
      <t>1L</t>
    </r>
  </si>
  <si>
    <t>测量大轮齿厚处的锥距</t>
  </si>
  <si>
    <r>
      <rPr>
        <sz val="12"/>
        <rFont val="Times New Roman"/>
        <family val="1"/>
      </rPr>
      <t>L</t>
    </r>
    <r>
      <rPr>
        <sz val="8"/>
        <rFont val="Times New Roman"/>
        <family val="1"/>
      </rPr>
      <t>2L</t>
    </r>
  </si>
  <si>
    <r>
      <rPr>
        <sz val="12"/>
        <color indexed="17"/>
        <rFont val="宋体"/>
        <family val="3"/>
        <charset val="134"/>
      </rPr>
      <t>ε</t>
    </r>
    <r>
      <rPr>
        <sz val="8"/>
        <color indexed="17"/>
        <rFont val="宋体"/>
        <family val="3"/>
        <charset val="134"/>
      </rPr>
      <t>纵向</t>
    </r>
  </si>
  <si>
    <t>小轮大端法向弦齿厚</t>
  </si>
  <si>
    <r>
      <rPr>
        <sz val="12"/>
        <color indexed="17"/>
        <rFont val="宋体"/>
        <family val="3"/>
        <charset val="134"/>
      </rPr>
      <t>ε</t>
    </r>
    <r>
      <rPr>
        <sz val="8"/>
        <color indexed="17"/>
        <rFont val="宋体"/>
        <family val="3"/>
        <charset val="134"/>
      </rPr>
      <t>总</t>
    </r>
  </si>
  <si>
    <t>大轮大端法向弦齿厚</t>
  </si>
  <si>
    <r>
      <rPr>
        <sz val="12"/>
        <rFont val="Times New Roman"/>
        <family val="1"/>
      </rPr>
      <t>S</t>
    </r>
    <r>
      <rPr>
        <sz val="10"/>
        <rFont val="Times New Roman"/>
        <family val="1"/>
      </rPr>
      <t>xn2</t>
    </r>
  </si>
  <si>
    <t>小轮大端法向弦齿高</t>
  </si>
  <si>
    <r>
      <rPr>
        <sz val="12"/>
        <rFont val="Times New Roman"/>
        <family val="1"/>
      </rPr>
      <t>H</t>
    </r>
    <r>
      <rPr>
        <sz val="10"/>
        <rFont val="Times New Roman"/>
        <family val="1"/>
      </rPr>
      <t>n1</t>
    </r>
  </si>
  <si>
    <t>大轮大端法向弦齿高</t>
  </si>
  <si>
    <r>
      <rPr>
        <sz val="12"/>
        <rFont val="Times New Roman"/>
        <family val="1"/>
      </rPr>
      <t>H</t>
    </r>
    <r>
      <rPr>
        <sz val="10"/>
        <rFont val="Times New Roman"/>
        <family val="1"/>
      </rPr>
      <t>n2</t>
    </r>
  </si>
  <si>
    <r>
      <rPr>
        <sz val="12"/>
        <rFont val="宋体"/>
        <family val="3"/>
        <charset val="134"/>
      </rPr>
      <t>中</t>
    </r>
    <r>
      <rPr>
        <sz val="12"/>
        <rFont val="Times New Roman"/>
        <family val="1"/>
      </rPr>
      <t xml:space="preserve"> </t>
    </r>
    <r>
      <rPr>
        <sz val="12"/>
        <rFont val="宋体"/>
        <family val="3"/>
        <charset val="134"/>
      </rPr>
      <t>点</t>
    </r>
    <r>
      <rPr>
        <sz val="12"/>
        <rFont val="Times New Roman"/>
        <family val="1"/>
      </rPr>
      <t xml:space="preserve"> </t>
    </r>
    <r>
      <rPr>
        <sz val="12"/>
        <rFont val="宋体"/>
        <family val="3"/>
        <charset val="134"/>
      </rPr>
      <t>法</t>
    </r>
    <r>
      <rPr>
        <sz val="12"/>
        <rFont val="Times New Roman"/>
        <family val="1"/>
      </rPr>
      <t xml:space="preserve"> 向 模 数 </t>
    </r>
  </si>
  <si>
    <r>
      <rPr>
        <sz val="12"/>
        <rFont val="Times New Roman"/>
        <family val="1"/>
      </rPr>
      <t>m</t>
    </r>
    <r>
      <rPr>
        <sz val="10"/>
        <rFont val="Times New Roman"/>
        <family val="1"/>
      </rPr>
      <t>mn</t>
    </r>
  </si>
  <si>
    <t>中点分度圆直径</t>
  </si>
  <si>
    <r>
      <rPr>
        <sz val="12"/>
        <rFont val="Times New Roman"/>
        <family val="1"/>
      </rPr>
      <t>d</t>
    </r>
    <r>
      <rPr>
        <sz val="10"/>
        <rFont val="Times New Roman"/>
        <family val="1"/>
      </rPr>
      <t>m1</t>
    </r>
  </si>
  <si>
    <r>
      <rPr>
        <sz val="12"/>
        <rFont val="Times New Roman"/>
        <family val="1"/>
      </rPr>
      <t>d</t>
    </r>
    <r>
      <rPr>
        <sz val="10"/>
        <rFont val="Times New Roman"/>
        <family val="1"/>
      </rPr>
      <t>m2</t>
    </r>
  </si>
  <si>
    <t>中点分度圆弧长之半</t>
  </si>
  <si>
    <r>
      <rPr>
        <sz val="12"/>
        <rFont val="Times New Roman"/>
        <family val="1"/>
      </rPr>
      <t>L</t>
    </r>
    <r>
      <rPr>
        <sz val="10"/>
        <rFont val="Times New Roman"/>
        <family val="1"/>
      </rPr>
      <t>m1</t>
    </r>
    <r>
      <rPr>
        <sz val="12"/>
        <rFont val="Times New Roman"/>
        <family val="1"/>
      </rPr>
      <t>/2</t>
    </r>
  </si>
  <si>
    <t>齿形相对误差的公差</t>
  </si>
  <si>
    <r>
      <rPr>
        <sz val="12"/>
        <rFont val="Times New Roman"/>
        <family val="1"/>
      </rPr>
      <t>f</t>
    </r>
    <r>
      <rPr>
        <sz val="8"/>
        <rFont val="Times New Roman"/>
        <family val="1"/>
      </rPr>
      <t>c1</t>
    </r>
  </si>
  <si>
    <r>
      <rPr>
        <sz val="12"/>
        <rFont val="Times New Roman"/>
        <family val="1"/>
      </rPr>
      <t>f</t>
    </r>
    <r>
      <rPr>
        <sz val="8"/>
        <rFont val="Times New Roman"/>
        <family val="1"/>
      </rPr>
      <t>c2</t>
    </r>
  </si>
  <si>
    <r>
      <rPr>
        <sz val="12"/>
        <rFont val="宋体"/>
        <family val="3"/>
        <charset val="134"/>
      </rPr>
      <t>齿</t>
    </r>
    <r>
      <rPr>
        <sz val="12"/>
        <rFont val="Times New Roman"/>
        <family val="1"/>
      </rPr>
      <t xml:space="preserve"> </t>
    </r>
    <r>
      <rPr>
        <sz val="12"/>
        <rFont val="宋体"/>
        <family val="3"/>
        <charset val="134"/>
      </rPr>
      <t>圈</t>
    </r>
    <r>
      <rPr>
        <sz val="12"/>
        <rFont val="Times New Roman"/>
        <family val="1"/>
      </rPr>
      <t xml:space="preserve"> 跳 动 公 差</t>
    </r>
  </si>
  <si>
    <r>
      <rPr>
        <sz val="12"/>
        <rFont val="Times New Roman"/>
        <family val="1"/>
      </rPr>
      <t>Fr</t>
    </r>
    <r>
      <rPr>
        <sz val="10"/>
        <rFont val="Times New Roman"/>
        <family val="1"/>
      </rPr>
      <t>1</t>
    </r>
  </si>
  <si>
    <r>
      <rPr>
        <sz val="12"/>
        <rFont val="Times New Roman"/>
        <family val="1"/>
      </rPr>
      <t>Fr</t>
    </r>
    <r>
      <rPr>
        <sz val="10"/>
        <rFont val="Times New Roman"/>
        <family val="1"/>
      </rPr>
      <t>2</t>
    </r>
  </si>
  <si>
    <r>
      <rPr>
        <sz val="12"/>
        <rFont val="宋体"/>
        <family val="3"/>
        <charset val="134"/>
      </rPr>
      <t>齿</t>
    </r>
    <r>
      <rPr>
        <sz val="12"/>
        <rFont val="Times New Roman"/>
        <family val="1"/>
      </rPr>
      <t xml:space="preserve">   </t>
    </r>
    <r>
      <rPr>
        <sz val="12"/>
        <rFont val="宋体"/>
        <family val="3"/>
        <charset val="134"/>
      </rPr>
      <t xml:space="preserve">厚 </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</si>
  <si>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r>
      <rPr>
        <sz val="12"/>
        <rFont val="Times New Roman"/>
        <family val="1"/>
      </rPr>
      <t>Ts</t>
    </r>
    <r>
      <rPr>
        <sz val="10"/>
        <rFont val="Times New Roman"/>
        <family val="1"/>
      </rPr>
      <t>1</t>
    </r>
  </si>
  <si>
    <r>
      <rPr>
        <sz val="12"/>
        <rFont val="Times New Roman"/>
        <family val="1"/>
      </rPr>
      <t>Ts</t>
    </r>
    <r>
      <rPr>
        <sz val="10"/>
        <rFont val="Times New Roman"/>
        <family val="1"/>
      </rPr>
      <t>2</t>
    </r>
  </si>
  <si>
    <t>齿厚上偏差系数</t>
  </si>
  <si>
    <t>xe</t>
  </si>
  <si>
    <r>
      <rPr>
        <sz val="12"/>
        <rFont val="Times New Roman"/>
        <family val="1"/>
      </rPr>
      <t>Ess</t>
    </r>
    <r>
      <rPr>
        <sz val="10"/>
        <rFont val="Times New Roman"/>
        <family val="1"/>
      </rPr>
      <t>10</t>
    </r>
  </si>
  <si>
    <r>
      <rPr>
        <sz val="12"/>
        <rFont val="Times New Roman"/>
        <family val="1"/>
      </rPr>
      <t>Ess</t>
    </r>
    <r>
      <rPr>
        <sz val="10"/>
        <rFont val="Times New Roman"/>
        <family val="1"/>
      </rPr>
      <t>20</t>
    </r>
  </si>
  <si>
    <r>
      <rPr>
        <sz val="12"/>
        <rFont val="宋体"/>
        <family val="3"/>
        <charset val="134"/>
      </rPr>
      <t>制</t>
    </r>
    <r>
      <rPr>
        <sz val="12"/>
        <rFont val="Times New Roman"/>
        <family val="1"/>
      </rPr>
      <t xml:space="preserve"> </t>
    </r>
    <r>
      <rPr>
        <sz val="12"/>
        <rFont val="宋体"/>
        <family val="3"/>
        <charset val="134"/>
      </rPr>
      <t>造</t>
    </r>
    <r>
      <rPr>
        <sz val="12"/>
        <rFont val="Times New Roman"/>
        <family val="1"/>
      </rPr>
      <t xml:space="preserve"> </t>
    </r>
    <r>
      <rPr>
        <sz val="12"/>
        <rFont val="宋体"/>
        <family val="3"/>
        <charset val="134"/>
      </rPr>
      <t>误</t>
    </r>
    <r>
      <rPr>
        <sz val="12"/>
        <rFont val="Times New Roman"/>
        <family val="1"/>
      </rPr>
      <t xml:space="preserve"> </t>
    </r>
    <r>
      <rPr>
        <sz val="12"/>
        <rFont val="宋体"/>
        <family val="3"/>
        <charset val="134"/>
      </rPr>
      <t>差</t>
    </r>
    <r>
      <rPr>
        <sz val="12"/>
        <rFont val="Times New Roman"/>
        <family val="1"/>
      </rPr>
      <t xml:space="preserve"> </t>
    </r>
    <r>
      <rPr>
        <sz val="12"/>
        <rFont val="宋体"/>
        <family val="3"/>
        <charset val="134"/>
      </rPr>
      <t>补</t>
    </r>
    <r>
      <rPr>
        <sz val="12"/>
        <rFont val="Times New Roman"/>
        <family val="1"/>
      </rPr>
      <t xml:space="preserve"> </t>
    </r>
    <r>
      <rPr>
        <sz val="12"/>
        <rFont val="宋体"/>
        <family val="3"/>
        <charset val="134"/>
      </rPr>
      <t>偿</t>
    </r>
  </si>
  <si>
    <t>EsΔ1</t>
  </si>
  <si>
    <r>
      <rPr>
        <sz val="12"/>
        <rFont val="Times New Roman"/>
        <family val="1"/>
      </rPr>
      <t>Es</t>
    </r>
    <r>
      <rPr>
        <sz val="9"/>
        <rFont val="宋体"/>
        <family val="3"/>
        <charset val="134"/>
      </rPr>
      <t>Δ</t>
    </r>
    <r>
      <rPr>
        <sz val="9"/>
        <rFont val="Times New Roman"/>
        <family val="1"/>
      </rPr>
      <t>2</t>
    </r>
  </si>
  <si>
    <r>
      <rPr>
        <sz val="12"/>
        <rFont val="宋体"/>
        <family val="3"/>
        <charset val="134"/>
      </rPr>
      <t>最</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精</t>
    </r>
    <r>
      <rPr>
        <sz val="12"/>
        <rFont val="Times New Roman"/>
        <family val="1"/>
      </rPr>
      <t xml:space="preserve"> </t>
    </r>
    <r>
      <rPr>
        <sz val="12"/>
        <rFont val="宋体"/>
        <family val="3"/>
        <charset val="134"/>
      </rPr>
      <t>度</t>
    </r>
    <r>
      <rPr>
        <sz val="12"/>
        <rFont val="Times New Roman"/>
        <family val="1"/>
      </rPr>
      <t xml:space="preserve"> 等 级</t>
    </r>
  </si>
  <si>
    <t>齿坯顶锥母线跳动公差</t>
  </si>
  <si>
    <t>齿坯基准端面跳动公差</t>
  </si>
  <si>
    <t>轴交角极限偏差</t>
  </si>
  <si>
    <r>
      <rPr>
        <sz val="12"/>
        <rFont val="Times New Roman"/>
        <family val="1"/>
      </rPr>
      <t>±E</t>
    </r>
    <r>
      <rPr>
        <sz val="9"/>
        <rFont val="宋体"/>
        <family val="3"/>
        <charset val="134"/>
      </rPr>
      <t>Σ</t>
    </r>
  </si>
  <si>
    <t>当量圆柱齿轮端面参数：</t>
  </si>
  <si>
    <r>
      <rPr>
        <sz val="12"/>
        <rFont val="宋体"/>
        <family val="3"/>
        <charset val="134"/>
      </rPr>
      <t>小</t>
    </r>
    <r>
      <rPr>
        <sz val="12"/>
        <rFont val="Times New Roman"/>
        <family val="1"/>
      </rPr>
      <t xml:space="preserve">       </t>
    </r>
    <r>
      <rPr>
        <sz val="12"/>
        <rFont val="宋体"/>
        <family val="3"/>
        <charset val="134"/>
      </rPr>
      <t>轮</t>
    </r>
  </si>
  <si>
    <r>
      <rPr>
        <sz val="12"/>
        <rFont val="宋体"/>
        <family val="3"/>
        <charset val="134"/>
      </rPr>
      <t>大</t>
    </r>
    <r>
      <rPr>
        <sz val="12"/>
        <rFont val="Times New Roman"/>
        <family val="1"/>
      </rPr>
      <t xml:space="preserve">       </t>
    </r>
    <r>
      <rPr>
        <sz val="12"/>
        <rFont val="宋体"/>
        <family val="3"/>
        <charset val="134"/>
      </rPr>
      <t>轮</t>
    </r>
  </si>
  <si>
    <r>
      <rPr>
        <sz val="12"/>
        <rFont val="宋体"/>
        <family val="3"/>
        <charset val="134"/>
      </rPr>
      <t>齿</t>
    </r>
    <r>
      <rPr>
        <sz val="12"/>
        <rFont val="Times New Roman"/>
        <family val="1"/>
      </rPr>
      <t xml:space="preserve">                </t>
    </r>
    <r>
      <rPr>
        <sz val="12"/>
        <rFont val="宋体"/>
        <family val="3"/>
        <charset val="134"/>
      </rPr>
      <t>数</t>
    </r>
  </si>
  <si>
    <r>
      <rPr>
        <sz val="12"/>
        <rFont val="Times New Roman"/>
        <family val="1"/>
      </rPr>
      <t>Zv</t>
    </r>
    <r>
      <rPr>
        <sz val="10"/>
        <rFont val="Times New Roman"/>
        <family val="1"/>
      </rPr>
      <t>1</t>
    </r>
  </si>
  <si>
    <r>
      <rPr>
        <sz val="12"/>
        <rFont val="Times New Roman"/>
        <family val="1"/>
      </rPr>
      <t>Zv</t>
    </r>
    <r>
      <rPr>
        <sz val="10"/>
        <rFont val="Times New Roman"/>
        <family val="1"/>
      </rPr>
      <t>2</t>
    </r>
  </si>
  <si>
    <r>
      <rPr>
        <sz val="12"/>
        <rFont val="宋体"/>
        <family val="3"/>
        <charset val="134"/>
      </rPr>
      <t>齿</t>
    </r>
    <r>
      <rPr>
        <sz val="12"/>
        <rFont val="Times New Roman"/>
        <family val="1"/>
      </rPr>
      <t xml:space="preserve">      </t>
    </r>
    <r>
      <rPr>
        <sz val="12"/>
        <rFont val="宋体"/>
        <family val="3"/>
        <charset val="134"/>
      </rPr>
      <t>数</t>
    </r>
    <r>
      <rPr>
        <sz val="12"/>
        <rFont val="Times New Roman"/>
        <family val="1"/>
      </rPr>
      <t xml:space="preserve">      </t>
    </r>
    <r>
      <rPr>
        <sz val="12"/>
        <rFont val="宋体"/>
        <family val="3"/>
        <charset val="134"/>
      </rPr>
      <t>比</t>
    </r>
  </si>
  <si>
    <r>
      <rPr>
        <sz val="12"/>
        <rFont val="Times New Roman"/>
        <family val="1"/>
      </rPr>
      <t>u</t>
    </r>
    <r>
      <rPr>
        <sz val="9"/>
        <rFont val="Times New Roman"/>
        <family val="1"/>
      </rPr>
      <t>v</t>
    </r>
  </si>
  <si>
    <r>
      <rPr>
        <sz val="12"/>
        <rFont val="Times New Roman"/>
        <family val="1"/>
      </rPr>
      <t>d</t>
    </r>
    <r>
      <rPr>
        <sz val="10"/>
        <rFont val="Times New Roman"/>
        <family val="1"/>
      </rPr>
      <t>v1</t>
    </r>
  </si>
  <si>
    <r>
      <rPr>
        <sz val="12"/>
        <rFont val="Times New Roman"/>
        <family val="1"/>
      </rPr>
      <t>d</t>
    </r>
    <r>
      <rPr>
        <sz val="10"/>
        <rFont val="Times New Roman"/>
        <family val="1"/>
      </rPr>
      <t>v2</t>
    </r>
  </si>
  <si>
    <t>当量圆柱齿轮中心距</t>
  </si>
  <si>
    <r>
      <rPr>
        <sz val="12"/>
        <rFont val="Times New Roman"/>
        <family val="1"/>
      </rPr>
      <t>a</t>
    </r>
    <r>
      <rPr>
        <sz val="10"/>
        <rFont val="Times New Roman"/>
        <family val="1"/>
      </rPr>
      <t>v</t>
    </r>
  </si>
  <si>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r>
      <rPr>
        <sz val="12"/>
        <rFont val="Times New Roman"/>
        <family val="1"/>
      </rPr>
      <t xml:space="preserve"> </t>
    </r>
  </si>
  <si>
    <r>
      <rPr>
        <sz val="12"/>
        <rFont val="Times New Roman"/>
        <family val="1"/>
      </rPr>
      <t>d</t>
    </r>
    <r>
      <rPr>
        <sz val="10"/>
        <rFont val="Times New Roman"/>
        <family val="1"/>
      </rPr>
      <t>va1</t>
    </r>
  </si>
  <si>
    <t>齿宽中点齿顶高</t>
  </si>
  <si>
    <r>
      <rPr>
        <sz val="12"/>
        <rFont val="Times New Roman"/>
        <family val="1"/>
      </rPr>
      <t>h</t>
    </r>
    <r>
      <rPr>
        <sz val="10"/>
        <rFont val="Times New Roman"/>
        <family val="1"/>
      </rPr>
      <t>am1</t>
    </r>
  </si>
  <si>
    <r>
      <rPr>
        <sz val="12"/>
        <rFont val="Times New Roman"/>
        <family val="1"/>
      </rPr>
      <t>h</t>
    </r>
    <r>
      <rPr>
        <sz val="10"/>
        <rFont val="Times New Roman"/>
        <family val="1"/>
      </rPr>
      <t>am2</t>
    </r>
  </si>
  <si>
    <t>半齿宽高度变位系数</t>
  </si>
  <si>
    <r>
      <rPr>
        <sz val="12"/>
        <rFont val="Times New Roman"/>
        <family val="1"/>
      </rPr>
      <t>x</t>
    </r>
    <r>
      <rPr>
        <sz val="10"/>
        <rFont val="Times New Roman"/>
        <family val="1"/>
      </rPr>
      <t>hm1</t>
    </r>
  </si>
  <si>
    <r>
      <rPr>
        <sz val="12"/>
        <rFont val="Times New Roman"/>
        <family val="1"/>
      </rPr>
      <t>x</t>
    </r>
    <r>
      <rPr>
        <sz val="10"/>
        <rFont val="Times New Roman"/>
        <family val="1"/>
      </rPr>
      <t>hm2</t>
    </r>
  </si>
  <si>
    <t>半齿宽切向变位系数</t>
  </si>
  <si>
    <r>
      <rPr>
        <sz val="12"/>
        <rFont val="Times New Roman"/>
        <family val="1"/>
      </rPr>
      <t>x</t>
    </r>
    <r>
      <rPr>
        <sz val="10"/>
        <rFont val="Times New Roman"/>
        <family val="1"/>
      </rPr>
      <t>sm1</t>
    </r>
  </si>
  <si>
    <r>
      <rPr>
        <sz val="12"/>
        <rFont val="Times New Roman"/>
        <family val="1"/>
      </rPr>
      <t>x</t>
    </r>
    <r>
      <rPr>
        <sz val="10"/>
        <rFont val="Times New Roman"/>
        <family val="1"/>
      </rPr>
      <t>sm2</t>
    </r>
  </si>
  <si>
    <r>
      <rPr>
        <sz val="12"/>
        <rFont val="Times New Roman"/>
        <family val="1"/>
      </rPr>
      <t>d</t>
    </r>
    <r>
      <rPr>
        <sz val="10"/>
        <rFont val="Times New Roman"/>
        <family val="1"/>
      </rPr>
      <t>vb1</t>
    </r>
  </si>
  <si>
    <r>
      <rPr>
        <sz val="12"/>
        <color indexed="44"/>
        <rFont val="宋体"/>
        <family val="3"/>
        <charset val="134"/>
      </rPr>
      <t>α</t>
    </r>
    <r>
      <rPr>
        <sz val="10"/>
        <color indexed="44"/>
        <rFont val="Times New Roman"/>
        <family val="1"/>
      </rPr>
      <t>vt</t>
    </r>
  </si>
  <si>
    <r>
      <rPr>
        <sz val="12"/>
        <rFont val="Times New Roman"/>
        <family val="1"/>
      </rPr>
      <t>d</t>
    </r>
    <r>
      <rPr>
        <sz val="10"/>
        <rFont val="Times New Roman"/>
        <family val="1"/>
      </rPr>
      <t>vb2</t>
    </r>
  </si>
  <si>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重</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度</t>
    </r>
  </si>
  <si>
    <r>
      <rPr>
        <sz val="12"/>
        <rFont val="宋体"/>
        <family val="3"/>
        <charset val="134"/>
      </rPr>
      <t>ε</t>
    </r>
    <r>
      <rPr>
        <sz val="10"/>
        <rFont val="宋体"/>
        <family val="3"/>
        <charset val="134"/>
      </rPr>
      <t>vα</t>
    </r>
  </si>
  <si>
    <r>
      <rPr>
        <sz val="12"/>
        <color indexed="44"/>
        <rFont val="Times New Roman"/>
        <family val="1"/>
      </rPr>
      <t>g</t>
    </r>
    <r>
      <rPr>
        <sz val="10"/>
        <color indexed="44"/>
        <rFont val="Times New Roman"/>
        <family val="1"/>
      </rPr>
      <t>v</t>
    </r>
    <r>
      <rPr>
        <sz val="10"/>
        <color indexed="44"/>
        <rFont val="宋体"/>
        <family val="3"/>
        <charset val="134"/>
      </rPr>
      <t>α</t>
    </r>
  </si>
  <si>
    <r>
      <rPr>
        <sz val="12"/>
        <rFont val="宋体"/>
        <family val="3"/>
        <charset val="134"/>
      </rPr>
      <t>纵</t>
    </r>
    <r>
      <rPr>
        <sz val="12"/>
        <rFont val="Times New Roman"/>
        <family val="1"/>
      </rPr>
      <t xml:space="preserve"> </t>
    </r>
    <r>
      <rPr>
        <sz val="12"/>
        <rFont val="宋体"/>
        <family val="3"/>
        <charset val="134"/>
      </rPr>
      <t>向</t>
    </r>
    <r>
      <rPr>
        <sz val="12"/>
        <rFont val="Times New Roman"/>
        <family val="1"/>
      </rPr>
      <t xml:space="preserve"> 重 合 度</t>
    </r>
  </si>
  <si>
    <r>
      <rPr>
        <sz val="12"/>
        <rFont val="宋体"/>
        <family val="3"/>
        <charset val="134"/>
      </rPr>
      <t>ε</t>
    </r>
    <r>
      <rPr>
        <sz val="10"/>
        <rFont val="宋体"/>
        <family val="3"/>
        <charset val="134"/>
      </rPr>
      <t>vβ</t>
    </r>
  </si>
  <si>
    <r>
      <rPr>
        <sz val="12"/>
        <rFont val="宋体"/>
        <family val="3"/>
        <charset val="134"/>
      </rPr>
      <t>总</t>
    </r>
    <r>
      <rPr>
        <sz val="12"/>
        <rFont val="Times New Roman"/>
        <family val="1"/>
      </rPr>
      <t xml:space="preserve">   </t>
    </r>
    <r>
      <rPr>
        <sz val="12"/>
        <rFont val="宋体"/>
        <family val="3"/>
        <charset val="134"/>
      </rPr>
      <t>重</t>
    </r>
    <r>
      <rPr>
        <sz val="12"/>
        <rFont val="Times New Roman"/>
        <family val="1"/>
      </rPr>
      <t xml:space="preserve">   </t>
    </r>
    <r>
      <rPr>
        <sz val="12"/>
        <rFont val="宋体"/>
        <family val="3"/>
        <charset val="134"/>
      </rPr>
      <t>合</t>
    </r>
    <r>
      <rPr>
        <sz val="12"/>
        <rFont val="Times New Roman"/>
        <family val="1"/>
      </rPr>
      <t xml:space="preserve">   </t>
    </r>
    <r>
      <rPr>
        <sz val="12"/>
        <rFont val="宋体"/>
        <family val="3"/>
        <charset val="134"/>
      </rPr>
      <t>度</t>
    </r>
  </si>
  <si>
    <r>
      <rPr>
        <sz val="12"/>
        <rFont val="宋体"/>
        <family val="3"/>
        <charset val="134"/>
      </rPr>
      <t>ε</t>
    </r>
    <r>
      <rPr>
        <sz val="10"/>
        <rFont val="宋体"/>
        <family val="3"/>
        <charset val="134"/>
      </rPr>
      <t>vγ</t>
    </r>
  </si>
  <si>
    <t>当量圆柱齿轮法向参数：</t>
  </si>
  <si>
    <r>
      <rPr>
        <sz val="12"/>
        <rFont val="宋体"/>
        <family val="3"/>
        <charset val="134"/>
      </rPr>
      <t>齿</t>
    </r>
    <r>
      <rPr>
        <sz val="12"/>
        <rFont val="Times New Roman"/>
        <family val="1"/>
      </rPr>
      <t xml:space="preserve">               </t>
    </r>
    <r>
      <rPr>
        <sz val="12"/>
        <rFont val="宋体"/>
        <family val="3"/>
        <charset val="134"/>
      </rPr>
      <t>数</t>
    </r>
  </si>
  <si>
    <r>
      <rPr>
        <sz val="12"/>
        <rFont val="Times New Roman"/>
        <family val="1"/>
      </rPr>
      <t>Zvn</t>
    </r>
    <r>
      <rPr>
        <sz val="10"/>
        <rFont val="Times New Roman"/>
        <family val="1"/>
      </rPr>
      <t>1</t>
    </r>
  </si>
  <si>
    <r>
      <rPr>
        <sz val="12"/>
        <color indexed="44"/>
        <rFont val="宋体"/>
        <family val="3"/>
        <charset val="134"/>
      </rPr>
      <t>β</t>
    </r>
    <r>
      <rPr>
        <sz val="10"/>
        <color indexed="44"/>
        <rFont val="Times New Roman"/>
        <family val="1"/>
      </rPr>
      <t>vb</t>
    </r>
  </si>
  <si>
    <r>
      <rPr>
        <sz val="12"/>
        <rFont val="Times New Roman"/>
        <family val="1"/>
      </rPr>
      <t>Zvn</t>
    </r>
    <r>
      <rPr>
        <sz val="10"/>
        <rFont val="Times New Roman"/>
        <family val="1"/>
      </rPr>
      <t>2</t>
    </r>
  </si>
  <si>
    <r>
      <rPr>
        <sz val="12"/>
        <rFont val="Times New Roman"/>
        <family val="1"/>
      </rPr>
      <t>d</t>
    </r>
    <r>
      <rPr>
        <sz val="10"/>
        <rFont val="Times New Roman"/>
        <family val="1"/>
      </rPr>
      <t>vn1</t>
    </r>
  </si>
  <si>
    <r>
      <rPr>
        <sz val="12"/>
        <rFont val="Times New Roman"/>
        <family val="1"/>
      </rPr>
      <t>d</t>
    </r>
    <r>
      <rPr>
        <sz val="10"/>
        <rFont val="Times New Roman"/>
        <family val="1"/>
      </rPr>
      <t>vn2</t>
    </r>
  </si>
  <si>
    <r>
      <rPr>
        <sz val="12"/>
        <rFont val="Times New Roman"/>
        <family val="1"/>
      </rPr>
      <t>d</t>
    </r>
    <r>
      <rPr>
        <sz val="10"/>
        <rFont val="Times New Roman"/>
        <family val="1"/>
      </rPr>
      <t>van1</t>
    </r>
  </si>
  <si>
    <r>
      <rPr>
        <sz val="12"/>
        <rFont val="Times New Roman"/>
        <family val="1"/>
      </rPr>
      <t>d</t>
    </r>
    <r>
      <rPr>
        <sz val="10"/>
        <rFont val="Times New Roman"/>
        <family val="1"/>
      </rPr>
      <t>van2</t>
    </r>
  </si>
  <si>
    <r>
      <rPr>
        <sz val="12"/>
        <rFont val="Times New Roman"/>
        <family val="1"/>
      </rPr>
      <t>d</t>
    </r>
    <r>
      <rPr>
        <sz val="10"/>
        <rFont val="Times New Roman"/>
        <family val="1"/>
      </rPr>
      <t>vbn1</t>
    </r>
  </si>
  <si>
    <r>
      <rPr>
        <sz val="12"/>
        <rFont val="Times New Roman"/>
        <family val="1"/>
      </rPr>
      <t>d</t>
    </r>
    <r>
      <rPr>
        <sz val="10"/>
        <rFont val="Times New Roman"/>
        <family val="1"/>
      </rPr>
      <t>vbn2</t>
    </r>
  </si>
  <si>
    <t>重      合      度</t>
  </si>
  <si>
    <r>
      <rPr>
        <sz val="12"/>
        <rFont val="宋体"/>
        <family val="3"/>
        <charset val="134"/>
      </rPr>
      <t>ε</t>
    </r>
    <r>
      <rPr>
        <sz val="10"/>
        <rFont val="宋体"/>
        <family val="3"/>
        <charset val="134"/>
      </rPr>
      <t>vαn</t>
    </r>
  </si>
  <si>
    <r>
      <rPr>
        <sz val="12"/>
        <rFont val="宋体"/>
        <family val="3"/>
        <charset val="134"/>
      </rPr>
      <t>刀</t>
    </r>
    <r>
      <rPr>
        <sz val="12"/>
        <rFont val="Times New Roman"/>
        <family val="1"/>
      </rPr>
      <t xml:space="preserve">  </t>
    </r>
    <r>
      <rPr>
        <sz val="12"/>
        <rFont val="宋体"/>
        <family val="3"/>
        <charset val="134"/>
      </rPr>
      <t>具</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高</t>
    </r>
  </si>
  <si>
    <r>
      <rPr>
        <sz val="12"/>
        <rFont val="Times New Roman"/>
        <family val="1"/>
      </rPr>
      <t>h</t>
    </r>
    <r>
      <rPr>
        <sz val="10"/>
        <rFont val="Times New Roman"/>
        <family val="1"/>
      </rPr>
      <t>a0</t>
    </r>
  </si>
  <si>
    <t>刀尖圆角半径</t>
  </si>
  <si>
    <r>
      <rPr>
        <sz val="12"/>
        <rFont val="宋体"/>
        <family val="3"/>
        <charset val="134"/>
      </rPr>
      <t>ρ</t>
    </r>
    <r>
      <rPr>
        <sz val="10"/>
        <rFont val="宋体"/>
        <family val="3"/>
        <charset val="134"/>
      </rPr>
      <t>a0</t>
    </r>
  </si>
  <si>
    <r>
      <rPr>
        <sz val="12"/>
        <rFont val="Times New Roman"/>
        <family val="1"/>
      </rPr>
      <t>Pr</t>
    </r>
    <r>
      <rPr>
        <sz val="8"/>
        <rFont val="Times New Roman"/>
        <family val="1"/>
      </rPr>
      <t>0</t>
    </r>
  </si>
  <si>
    <r>
      <rPr>
        <sz val="12"/>
        <rFont val="宋体"/>
        <family val="3"/>
        <charset val="134"/>
      </rPr>
      <t>名</t>
    </r>
    <r>
      <rPr>
        <sz val="12"/>
        <rFont val="Times New Roman"/>
        <family val="1"/>
      </rPr>
      <t xml:space="preserve">  </t>
    </r>
    <r>
      <rPr>
        <sz val="12"/>
        <rFont val="宋体"/>
        <family val="3"/>
        <charset val="134"/>
      </rPr>
      <t>义</t>
    </r>
    <r>
      <rPr>
        <sz val="12"/>
        <rFont val="Times New Roman"/>
        <family val="1"/>
      </rPr>
      <t xml:space="preserve">  </t>
    </r>
    <r>
      <rPr>
        <sz val="12"/>
        <rFont val="宋体"/>
        <family val="3"/>
        <charset val="134"/>
      </rPr>
      <t>切</t>
    </r>
    <r>
      <rPr>
        <sz val="12"/>
        <rFont val="Times New Roman"/>
        <family val="1"/>
      </rPr>
      <t xml:space="preserve">  </t>
    </r>
    <r>
      <rPr>
        <sz val="12"/>
        <rFont val="宋体"/>
        <family val="3"/>
        <charset val="134"/>
      </rPr>
      <t xml:space="preserve">向  力  </t>
    </r>
  </si>
  <si>
    <t>Fmt</t>
  </si>
  <si>
    <r>
      <rPr>
        <sz val="12"/>
        <rFont val="宋体"/>
        <family val="3"/>
        <charset val="134"/>
      </rPr>
      <t>使</t>
    </r>
    <r>
      <rPr>
        <sz val="12"/>
        <rFont val="Times New Roman"/>
        <family val="1"/>
      </rPr>
      <t xml:space="preserve">    </t>
    </r>
    <r>
      <rPr>
        <sz val="12"/>
        <rFont val="宋体"/>
        <family val="3"/>
        <charset val="134"/>
      </rPr>
      <t>用</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</si>
  <si>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Times New Roman"/>
        <family val="1"/>
      </rPr>
      <t>K</t>
    </r>
    <r>
      <rPr>
        <sz val="8"/>
        <rFont val="Times New Roman"/>
        <family val="1"/>
      </rPr>
      <t>A</t>
    </r>
  </si>
  <si>
    <t>（工作条件原动机均匀平稳，从动机中等振动）</t>
  </si>
  <si>
    <r>
      <rPr>
        <sz val="12"/>
        <rFont val="Times New Roman"/>
        <family val="1"/>
      </rPr>
      <t>m</t>
    </r>
    <r>
      <rPr>
        <sz val="10"/>
        <rFont val="Times New Roman"/>
        <family val="1"/>
      </rPr>
      <t>1</t>
    </r>
  </si>
  <si>
    <r>
      <rPr>
        <sz val="12"/>
        <rFont val="Times New Roman"/>
        <family val="1"/>
      </rPr>
      <t>m</t>
    </r>
    <r>
      <rPr>
        <sz val="10"/>
        <rFont val="Times New Roman"/>
        <family val="1"/>
      </rPr>
      <t>2</t>
    </r>
  </si>
  <si>
    <r>
      <rPr>
        <sz val="12"/>
        <rFont val="Times New Roman"/>
        <family val="1"/>
      </rPr>
      <t>m</t>
    </r>
    <r>
      <rPr>
        <sz val="10"/>
        <rFont val="Times New Roman"/>
        <family val="1"/>
      </rPr>
      <t>ed</t>
    </r>
  </si>
  <si>
    <r>
      <rPr>
        <sz val="12"/>
        <rFont val="Times New Roman"/>
        <family val="1"/>
      </rPr>
      <t xml:space="preserve">n </t>
    </r>
    <r>
      <rPr>
        <sz val="8"/>
        <rFont val="Times New Roman"/>
        <family val="1"/>
      </rPr>
      <t>E1</t>
    </r>
  </si>
  <si>
    <r>
      <rPr>
        <sz val="12"/>
        <rFont val="Times New Roman"/>
        <family val="1"/>
      </rPr>
      <t>cv</t>
    </r>
    <r>
      <rPr>
        <sz val="10"/>
        <rFont val="Times New Roman"/>
        <family val="1"/>
      </rPr>
      <t>1</t>
    </r>
  </si>
  <si>
    <r>
      <rPr>
        <sz val="12"/>
        <rFont val="Times New Roman"/>
        <family val="1"/>
      </rPr>
      <t>cv</t>
    </r>
    <r>
      <rPr>
        <sz val="10"/>
        <rFont val="Times New Roman"/>
        <family val="1"/>
      </rPr>
      <t>2</t>
    </r>
  </si>
  <si>
    <r>
      <rPr>
        <sz val="12"/>
        <rFont val="Times New Roman"/>
        <family val="1"/>
      </rPr>
      <t>cv</t>
    </r>
    <r>
      <rPr>
        <sz val="10"/>
        <rFont val="Times New Roman"/>
        <family val="1"/>
      </rPr>
      <t>3</t>
    </r>
  </si>
  <si>
    <r>
      <rPr>
        <sz val="12"/>
        <rFont val="Times New Roman"/>
        <family val="1"/>
      </rPr>
      <t>cv</t>
    </r>
    <r>
      <rPr>
        <sz val="10"/>
        <rFont val="Times New Roman"/>
        <family val="1"/>
      </rPr>
      <t>4</t>
    </r>
  </si>
  <si>
    <r>
      <rPr>
        <sz val="12"/>
        <rFont val="Times New Roman"/>
        <family val="1"/>
      </rPr>
      <t>cv</t>
    </r>
    <r>
      <rPr>
        <sz val="10"/>
        <rFont val="Times New Roman"/>
        <family val="1"/>
      </rPr>
      <t>5</t>
    </r>
  </si>
  <si>
    <r>
      <rPr>
        <sz val="12"/>
        <rFont val="Times New Roman"/>
        <family val="1"/>
      </rPr>
      <t>cv</t>
    </r>
    <r>
      <rPr>
        <sz val="10"/>
        <rFont val="Times New Roman"/>
        <family val="1"/>
      </rPr>
      <t>6</t>
    </r>
  </si>
  <si>
    <r>
      <rPr>
        <sz val="12"/>
        <rFont val="Times New Roman"/>
        <family val="1"/>
      </rPr>
      <t>cv</t>
    </r>
    <r>
      <rPr>
        <sz val="10"/>
        <rFont val="Times New Roman"/>
        <family val="1"/>
      </rPr>
      <t>7</t>
    </r>
  </si>
  <si>
    <r>
      <rPr>
        <sz val="12"/>
        <rFont val="宋体"/>
        <family val="3"/>
        <charset val="134"/>
      </rPr>
      <t>动</t>
    </r>
    <r>
      <rPr>
        <sz val="12"/>
        <rFont val="Times New Roman"/>
        <family val="1"/>
      </rPr>
      <t xml:space="preserve">    </t>
    </r>
    <r>
      <rPr>
        <sz val="12"/>
        <rFont val="宋体"/>
        <family val="3"/>
        <charset val="134"/>
      </rPr>
      <t>载</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</si>
  <si>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Times New Roman"/>
        <family val="1"/>
      </rPr>
      <t>K</t>
    </r>
    <r>
      <rPr>
        <sz val="8"/>
        <rFont val="Times New Roman"/>
        <family val="1"/>
      </rPr>
      <t>V</t>
    </r>
  </si>
  <si>
    <t>亚临界</t>
  </si>
  <si>
    <t>主共振</t>
  </si>
  <si>
    <t>过渡</t>
  </si>
  <si>
    <t>超临界</t>
  </si>
  <si>
    <r>
      <rPr>
        <sz val="12"/>
        <rFont val="宋体"/>
        <family val="3"/>
        <charset val="134"/>
      </rPr>
      <t>K</t>
    </r>
    <r>
      <rPr>
        <sz val="8"/>
        <rFont val="宋体"/>
        <family val="3"/>
        <charset val="134"/>
      </rPr>
      <t>Hβ</t>
    </r>
  </si>
  <si>
    <r>
      <rPr>
        <sz val="12"/>
        <rFont val="宋体"/>
        <family val="3"/>
        <charset val="134"/>
      </rPr>
      <t>K</t>
    </r>
    <r>
      <rPr>
        <sz val="8"/>
        <rFont val="宋体"/>
        <family val="3"/>
        <charset val="134"/>
      </rPr>
      <t>Fβ</t>
    </r>
  </si>
  <si>
    <r>
      <rPr>
        <sz val="12"/>
        <rFont val="Times New Roman"/>
        <family val="1"/>
      </rPr>
      <t>K</t>
    </r>
    <r>
      <rPr>
        <sz val="8"/>
        <rFont val="Times New Roman"/>
        <family val="1"/>
      </rPr>
      <t>H</t>
    </r>
    <r>
      <rPr>
        <sz val="9"/>
        <rFont val="宋体"/>
        <family val="3"/>
        <charset val="134"/>
      </rPr>
      <t>α</t>
    </r>
    <r>
      <rPr>
        <sz val="9"/>
        <rFont val="Times New Roman"/>
        <family val="1"/>
      </rPr>
      <t>0</t>
    </r>
  </si>
  <si>
    <r>
      <rPr>
        <sz val="12"/>
        <rFont val="Times New Roman"/>
        <family val="1"/>
      </rPr>
      <t>K</t>
    </r>
    <r>
      <rPr>
        <sz val="8"/>
        <rFont val="Times New Roman"/>
        <family val="1"/>
      </rPr>
      <t>F</t>
    </r>
    <r>
      <rPr>
        <sz val="9"/>
        <rFont val="宋体"/>
        <family val="3"/>
        <charset val="134"/>
      </rPr>
      <t>α</t>
    </r>
    <r>
      <rPr>
        <sz val="9"/>
        <rFont val="Times New Roman"/>
        <family val="1"/>
      </rPr>
      <t>0</t>
    </r>
  </si>
  <si>
    <r>
      <rPr>
        <sz val="12"/>
        <rFont val="Times New Roman"/>
        <family val="1"/>
      </rPr>
      <t>C</t>
    </r>
    <r>
      <rPr>
        <sz val="8"/>
        <rFont val="Times New Roman"/>
        <family val="1"/>
      </rPr>
      <t>ZR</t>
    </r>
  </si>
  <si>
    <t>齿间载荷分布系数</t>
  </si>
  <si>
    <r>
      <rPr>
        <sz val="12"/>
        <rFont val="Times New Roman"/>
        <family val="1"/>
      </rPr>
      <t>K</t>
    </r>
    <r>
      <rPr>
        <sz val="8"/>
        <rFont val="Times New Roman"/>
        <family val="1"/>
      </rPr>
      <t>H</t>
    </r>
    <r>
      <rPr>
        <sz val="9"/>
        <rFont val="宋体"/>
        <family val="3"/>
        <charset val="134"/>
      </rPr>
      <t>α</t>
    </r>
  </si>
  <si>
    <r>
      <rPr>
        <sz val="12"/>
        <rFont val="Times New Roman"/>
        <family val="1"/>
      </rPr>
      <t>K</t>
    </r>
    <r>
      <rPr>
        <sz val="8"/>
        <rFont val="Times New Roman"/>
        <family val="1"/>
      </rPr>
      <t>F</t>
    </r>
    <r>
      <rPr>
        <sz val="9"/>
        <rFont val="宋体"/>
        <family val="3"/>
        <charset val="134"/>
      </rPr>
      <t>α</t>
    </r>
  </si>
  <si>
    <r>
      <rPr>
        <sz val="12"/>
        <rFont val="Times New Roman"/>
        <family val="1"/>
      </rPr>
      <t>C</t>
    </r>
    <r>
      <rPr>
        <sz val="8"/>
        <rFont val="Times New Roman"/>
        <family val="1"/>
      </rPr>
      <t>ZL</t>
    </r>
  </si>
  <si>
    <r>
      <rPr>
        <sz val="12"/>
        <rFont val="Times New Roman"/>
        <family val="1"/>
      </rPr>
      <t>C</t>
    </r>
    <r>
      <rPr>
        <sz val="8"/>
        <rFont val="Times New Roman"/>
        <family val="1"/>
      </rPr>
      <t>ZV</t>
    </r>
  </si>
  <si>
    <r>
      <rPr>
        <sz val="12"/>
        <rFont val="宋体"/>
        <family val="3"/>
        <charset val="134"/>
      </rPr>
      <t>υ</t>
    </r>
    <r>
      <rPr>
        <sz val="10"/>
        <rFont val="Times New Roman"/>
        <family val="1"/>
      </rPr>
      <t>40</t>
    </r>
  </si>
  <si>
    <r>
      <rPr>
        <sz val="10"/>
        <color indexed="12"/>
        <rFont val="宋体"/>
        <family val="3"/>
        <charset val="134"/>
      </rPr>
      <t>（</t>
    </r>
    <r>
      <rPr>
        <sz val="10"/>
        <color indexed="12"/>
        <rFont val="Times New Roman"/>
        <family val="1"/>
      </rPr>
      <t>N32</t>
    </r>
    <r>
      <rPr>
        <sz val="10"/>
        <color indexed="12"/>
        <rFont val="宋体"/>
        <family val="3"/>
        <charset val="134"/>
      </rPr>
      <t>普通机械油）</t>
    </r>
  </si>
  <si>
    <r>
      <rPr>
        <sz val="12"/>
        <rFont val="Times New Roman"/>
        <family val="1"/>
      </rPr>
      <t>Z</t>
    </r>
    <r>
      <rPr>
        <sz val="8"/>
        <rFont val="Times New Roman"/>
        <family val="1"/>
      </rPr>
      <t>H</t>
    </r>
  </si>
  <si>
    <r>
      <rPr>
        <sz val="12"/>
        <rFont val="Times New Roman"/>
        <family val="1"/>
      </rPr>
      <t>Z</t>
    </r>
    <r>
      <rPr>
        <sz val="8"/>
        <rFont val="Times New Roman"/>
        <family val="1"/>
      </rPr>
      <t>B</t>
    </r>
  </si>
  <si>
    <r>
      <rPr>
        <sz val="12"/>
        <rFont val="Times New Roman"/>
        <family val="1"/>
      </rPr>
      <t>Z</t>
    </r>
    <r>
      <rPr>
        <sz val="8"/>
        <rFont val="Times New Roman"/>
        <family val="1"/>
      </rPr>
      <t>E</t>
    </r>
  </si>
  <si>
    <r>
      <rPr>
        <sz val="12"/>
        <rFont val="Times New Roman"/>
        <family val="1"/>
      </rPr>
      <t>Z</t>
    </r>
    <r>
      <rPr>
        <sz val="10"/>
        <rFont val="宋体"/>
        <family val="3"/>
        <charset val="134"/>
      </rPr>
      <t>ε</t>
    </r>
  </si>
  <si>
    <r>
      <rPr>
        <sz val="12"/>
        <rFont val="Times New Roman"/>
        <family val="1"/>
      </rPr>
      <t>Z</t>
    </r>
    <r>
      <rPr>
        <sz val="10"/>
        <rFont val="宋体"/>
        <family val="3"/>
        <charset val="134"/>
      </rPr>
      <t>β</t>
    </r>
  </si>
  <si>
    <r>
      <rPr>
        <sz val="12"/>
        <rFont val="Times New Roman"/>
        <family val="1"/>
      </rPr>
      <t>Z</t>
    </r>
    <r>
      <rPr>
        <sz val="8"/>
        <rFont val="Times New Roman"/>
        <family val="1"/>
      </rPr>
      <t>K</t>
    </r>
  </si>
  <si>
    <r>
      <rPr>
        <sz val="12"/>
        <rFont val="Times New Roman"/>
        <family val="1"/>
      </rPr>
      <t>Z</t>
    </r>
    <r>
      <rPr>
        <sz val="8"/>
        <rFont val="Times New Roman"/>
        <family val="1"/>
      </rPr>
      <t>L</t>
    </r>
  </si>
  <si>
    <r>
      <rPr>
        <sz val="12"/>
        <rFont val="Times New Roman"/>
        <family val="1"/>
      </rPr>
      <t>Z</t>
    </r>
    <r>
      <rPr>
        <sz val="8"/>
        <rFont val="Times New Roman"/>
        <family val="1"/>
      </rPr>
      <t>V</t>
    </r>
  </si>
  <si>
    <r>
      <rPr>
        <sz val="12"/>
        <rFont val="Times New Roman"/>
        <family val="1"/>
      </rPr>
      <t>Z</t>
    </r>
    <r>
      <rPr>
        <sz val="8"/>
        <rFont val="Times New Roman"/>
        <family val="1"/>
      </rPr>
      <t>R</t>
    </r>
  </si>
  <si>
    <r>
      <rPr>
        <sz val="12"/>
        <rFont val="Times New Roman"/>
        <family val="1"/>
      </rPr>
      <t>Z</t>
    </r>
    <r>
      <rPr>
        <sz val="8"/>
        <rFont val="Times New Roman"/>
        <family val="1"/>
      </rPr>
      <t>X</t>
    </r>
  </si>
  <si>
    <r>
      <rPr>
        <sz val="12"/>
        <rFont val="宋体"/>
        <family val="3"/>
        <charset val="134"/>
      </rPr>
      <t>σ</t>
    </r>
    <r>
      <rPr>
        <sz val="9"/>
        <rFont val="宋体"/>
        <family val="3"/>
        <charset val="134"/>
      </rPr>
      <t>Hmin</t>
    </r>
  </si>
  <si>
    <r>
      <rPr>
        <sz val="12"/>
        <rFont val="宋体"/>
        <family val="3"/>
        <charset val="134"/>
      </rPr>
      <t>S</t>
    </r>
    <r>
      <rPr>
        <sz val="9"/>
        <rFont val="宋体"/>
        <family val="3"/>
        <charset val="134"/>
      </rPr>
      <t>Hmin</t>
    </r>
  </si>
  <si>
    <r>
      <rPr>
        <sz val="12"/>
        <rFont val="宋体"/>
        <family val="3"/>
        <charset val="134"/>
      </rPr>
      <t>许</t>
    </r>
    <r>
      <rPr>
        <sz val="12"/>
        <rFont val="Times New Roman"/>
        <family val="1"/>
      </rPr>
      <t xml:space="preserve"> </t>
    </r>
    <r>
      <rPr>
        <sz val="12"/>
        <rFont val="宋体"/>
        <family val="3"/>
        <charset val="134"/>
      </rPr>
      <t>用</t>
    </r>
    <r>
      <rPr>
        <sz val="12"/>
        <rFont val="Times New Roman"/>
        <family val="1"/>
      </rPr>
      <t xml:space="preserve"> </t>
    </r>
    <r>
      <rPr>
        <sz val="12"/>
        <rFont val="宋体"/>
        <family val="3"/>
        <charset val="134"/>
      </rPr>
      <t>接</t>
    </r>
    <r>
      <rPr>
        <sz val="12"/>
        <rFont val="Times New Roman"/>
        <family val="1"/>
      </rPr>
      <t xml:space="preserve"> </t>
    </r>
    <r>
      <rPr>
        <sz val="12"/>
        <rFont val="宋体"/>
        <family val="3"/>
        <charset val="134"/>
      </rPr>
      <t>触</t>
    </r>
    <r>
      <rPr>
        <sz val="12"/>
        <rFont val="Times New Roman"/>
        <family val="1"/>
      </rPr>
      <t xml:space="preserve"> </t>
    </r>
    <r>
      <rPr>
        <sz val="12"/>
        <rFont val="宋体"/>
        <family val="3"/>
        <charset val="134"/>
      </rPr>
      <t>应</t>
    </r>
    <r>
      <rPr>
        <sz val="12"/>
        <rFont val="Times New Roman"/>
        <family val="1"/>
      </rPr>
      <t xml:space="preserve"> </t>
    </r>
    <r>
      <rPr>
        <sz val="12"/>
        <rFont val="宋体"/>
        <family val="3"/>
        <charset val="134"/>
      </rPr>
      <t>力</t>
    </r>
  </si>
  <si>
    <r>
      <rPr>
        <sz val="12"/>
        <rFont val="宋体"/>
        <family val="3"/>
        <charset val="134"/>
      </rPr>
      <t>σ</t>
    </r>
    <r>
      <rPr>
        <sz val="9"/>
        <rFont val="宋体"/>
        <family val="3"/>
        <charset val="134"/>
      </rPr>
      <t>HP</t>
    </r>
  </si>
  <si>
    <r>
      <rPr>
        <sz val="12"/>
        <rFont val="宋体"/>
        <family val="3"/>
        <charset val="134"/>
      </rPr>
      <t>σ</t>
    </r>
    <r>
      <rPr>
        <sz val="9"/>
        <rFont val="宋体"/>
        <family val="3"/>
        <charset val="134"/>
      </rPr>
      <t>H0</t>
    </r>
  </si>
  <si>
    <r>
      <rPr>
        <sz val="12"/>
        <rFont val="宋体"/>
        <family val="3"/>
        <charset val="134"/>
      </rPr>
      <t>计</t>
    </r>
    <r>
      <rPr>
        <sz val="12"/>
        <rFont val="Times New Roman"/>
        <family val="1"/>
      </rPr>
      <t xml:space="preserve"> </t>
    </r>
    <r>
      <rPr>
        <sz val="12"/>
        <rFont val="宋体"/>
        <family val="3"/>
        <charset val="134"/>
      </rPr>
      <t>算</t>
    </r>
    <r>
      <rPr>
        <sz val="12"/>
        <rFont val="Times New Roman"/>
        <family val="1"/>
      </rPr>
      <t xml:space="preserve"> </t>
    </r>
    <r>
      <rPr>
        <sz val="12"/>
        <rFont val="宋体"/>
        <family val="3"/>
        <charset val="134"/>
      </rPr>
      <t>接</t>
    </r>
    <r>
      <rPr>
        <sz val="12"/>
        <rFont val="Times New Roman"/>
        <family val="1"/>
      </rPr>
      <t xml:space="preserve"> </t>
    </r>
    <r>
      <rPr>
        <sz val="12"/>
        <rFont val="宋体"/>
        <family val="3"/>
        <charset val="134"/>
      </rPr>
      <t>触</t>
    </r>
    <r>
      <rPr>
        <sz val="12"/>
        <rFont val="Times New Roman"/>
        <family val="1"/>
      </rPr>
      <t xml:space="preserve"> </t>
    </r>
    <r>
      <rPr>
        <sz val="12"/>
        <rFont val="宋体"/>
        <family val="3"/>
        <charset val="134"/>
      </rPr>
      <t>应</t>
    </r>
    <r>
      <rPr>
        <sz val="12"/>
        <rFont val="Times New Roman"/>
        <family val="1"/>
      </rPr>
      <t xml:space="preserve"> </t>
    </r>
    <r>
      <rPr>
        <sz val="12"/>
        <rFont val="宋体"/>
        <family val="3"/>
        <charset val="134"/>
      </rPr>
      <t>力</t>
    </r>
  </si>
  <si>
    <r>
      <rPr>
        <sz val="12"/>
        <rFont val="宋体"/>
        <family val="3"/>
        <charset val="134"/>
      </rPr>
      <t>σ</t>
    </r>
    <r>
      <rPr>
        <sz val="9"/>
        <rFont val="宋体"/>
        <family val="3"/>
        <charset val="134"/>
      </rPr>
      <t>H</t>
    </r>
  </si>
  <si>
    <t>小齿轮：</t>
  </si>
  <si>
    <t>大齿轮：</t>
  </si>
  <si>
    <t>θ</t>
  </si>
  <si>
    <r>
      <rPr>
        <sz val="9"/>
        <rFont val="Times New Roman"/>
        <family val="1"/>
      </rPr>
      <t>S</t>
    </r>
    <r>
      <rPr>
        <sz val="8"/>
        <rFont val="Times New Roman"/>
        <family val="1"/>
      </rPr>
      <t>Fn</t>
    </r>
    <r>
      <rPr>
        <sz val="10"/>
        <rFont val="Times New Roman"/>
        <family val="1"/>
      </rPr>
      <t>/m</t>
    </r>
    <r>
      <rPr>
        <sz val="8"/>
        <rFont val="Times New Roman"/>
        <family val="1"/>
      </rPr>
      <t>mn</t>
    </r>
  </si>
  <si>
    <r>
      <rPr>
        <sz val="9"/>
        <rFont val="宋体"/>
        <family val="3"/>
        <charset val="134"/>
      </rPr>
      <t>ρf</t>
    </r>
    <r>
      <rPr>
        <sz val="10"/>
        <rFont val="Times New Roman"/>
        <family val="1"/>
      </rPr>
      <t>/m</t>
    </r>
    <r>
      <rPr>
        <sz val="8"/>
        <rFont val="Times New Roman"/>
        <family val="1"/>
      </rPr>
      <t>mn</t>
    </r>
  </si>
  <si>
    <r>
      <rPr>
        <sz val="12"/>
        <rFont val="宋体"/>
        <family val="3"/>
        <charset val="134"/>
      </rPr>
      <t>α</t>
    </r>
    <r>
      <rPr>
        <sz val="10"/>
        <rFont val="宋体"/>
        <family val="3"/>
        <charset val="134"/>
      </rPr>
      <t>an</t>
    </r>
  </si>
  <si>
    <r>
      <rPr>
        <sz val="12"/>
        <rFont val="宋体"/>
        <family val="3"/>
        <charset val="134"/>
      </rPr>
      <t>γ</t>
    </r>
    <r>
      <rPr>
        <sz val="10"/>
        <rFont val="Times New Roman"/>
        <family val="1"/>
      </rPr>
      <t>a</t>
    </r>
  </si>
  <si>
    <r>
      <rPr>
        <sz val="12"/>
        <rFont val="宋体"/>
        <family val="3"/>
        <charset val="134"/>
      </rPr>
      <t>α</t>
    </r>
    <r>
      <rPr>
        <sz val="8"/>
        <rFont val="宋体"/>
        <family val="3"/>
        <charset val="134"/>
      </rPr>
      <t>F</t>
    </r>
    <r>
      <rPr>
        <sz val="10"/>
        <rFont val="宋体"/>
        <family val="3"/>
        <charset val="134"/>
      </rPr>
      <t>an</t>
    </r>
  </si>
  <si>
    <r>
      <rPr>
        <sz val="12"/>
        <rFont val="Times New Roman"/>
        <family val="1"/>
      </rPr>
      <t>h</t>
    </r>
    <r>
      <rPr>
        <sz val="8"/>
        <rFont val="Times New Roman"/>
        <family val="1"/>
      </rPr>
      <t>Fa</t>
    </r>
    <r>
      <rPr>
        <sz val="10"/>
        <rFont val="Times New Roman"/>
        <family val="1"/>
      </rPr>
      <t>/m</t>
    </r>
    <r>
      <rPr>
        <sz val="8"/>
        <rFont val="Times New Roman"/>
        <family val="1"/>
      </rPr>
      <t>mn</t>
    </r>
  </si>
  <si>
    <t>X*</t>
  </si>
  <si>
    <r>
      <rPr>
        <sz val="12"/>
        <rFont val="宋体"/>
        <family val="3"/>
        <charset val="134"/>
      </rPr>
      <t>ρ</t>
    </r>
    <r>
      <rPr>
        <sz val="12"/>
        <rFont val="Times New Roman"/>
        <family val="1"/>
      </rPr>
      <t>'</t>
    </r>
  </si>
  <si>
    <r>
      <rPr>
        <sz val="12"/>
        <rFont val="宋体"/>
        <family val="3"/>
        <charset val="134"/>
      </rPr>
      <t>齿形系数</t>
    </r>
    <r>
      <rPr>
        <sz val="10"/>
        <rFont val="宋体"/>
        <family val="3"/>
        <charset val="134"/>
      </rPr>
      <t>（展成法）</t>
    </r>
  </si>
  <si>
    <r>
      <rPr>
        <sz val="12"/>
        <rFont val="Times New Roman"/>
        <family val="1"/>
      </rPr>
      <t>Y</t>
    </r>
    <r>
      <rPr>
        <sz val="10"/>
        <rFont val="Times New Roman"/>
        <family val="1"/>
      </rPr>
      <t>fa</t>
    </r>
  </si>
  <si>
    <r>
      <rPr>
        <sz val="12"/>
        <rFont val="Times New Roman"/>
        <family val="1"/>
      </rPr>
      <t>Y</t>
    </r>
    <r>
      <rPr>
        <sz val="10"/>
        <rFont val="Times New Roman"/>
        <family val="1"/>
      </rPr>
      <t>sa</t>
    </r>
  </si>
  <si>
    <r>
      <rPr>
        <sz val="12"/>
        <rFont val="Times New Roman"/>
        <family val="1"/>
      </rPr>
      <t>Y</t>
    </r>
    <r>
      <rPr>
        <sz val="10"/>
        <rFont val="宋体"/>
        <family val="3"/>
        <charset val="134"/>
      </rPr>
      <t>ε</t>
    </r>
  </si>
  <si>
    <r>
      <rPr>
        <sz val="12"/>
        <rFont val="Times New Roman"/>
        <family val="1"/>
      </rPr>
      <t>Y</t>
    </r>
    <r>
      <rPr>
        <sz val="9"/>
        <rFont val="宋体"/>
        <family val="3"/>
        <charset val="134"/>
      </rPr>
      <t>β</t>
    </r>
  </si>
  <si>
    <r>
      <rPr>
        <sz val="12"/>
        <rFont val="Times New Roman"/>
        <family val="1"/>
      </rPr>
      <t>Y</t>
    </r>
    <r>
      <rPr>
        <sz val="8"/>
        <rFont val="Times New Roman"/>
        <family val="1"/>
      </rPr>
      <t>K</t>
    </r>
  </si>
  <si>
    <r>
      <rPr>
        <sz val="12"/>
        <rFont val="宋体"/>
        <family val="3"/>
        <charset val="134"/>
      </rPr>
      <t>Y</t>
    </r>
    <r>
      <rPr>
        <sz val="8"/>
        <rFont val="宋体"/>
        <family val="3"/>
        <charset val="134"/>
      </rPr>
      <t>δ</t>
    </r>
    <r>
      <rPr>
        <sz val="9"/>
        <rFont val="宋体"/>
        <family val="3"/>
        <charset val="134"/>
      </rPr>
      <t>relT</t>
    </r>
  </si>
  <si>
    <r>
      <rPr>
        <sz val="12"/>
        <rFont val="宋体"/>
        <family val="3"/>
        <charset val="134"/>
      </rPr>
      <t>Y</t>
    </r>
    <r>
      <rPr>
        <sz val="8"/>
        <rFont val="宋体"/>
        <family val="3"/>
        <charset val="134"/>
      </rPr>
      <t>R</t>
    </r>
    <r>
      <rPr>
        <sz val="9"/>
        <rFont val="宋体"/>
        <family val="3"/>
        <charset val="134"/>
      </rPr>
      <t>relT</t>
    </r>
  </si>
  <si>
    <r>
      <rPr>
        <sz val="12"/>
        <rFont val="Times New Roman"/>
        <family val="1"/>
      </rPr>
      <t>Y</t>
    </r>
    <r>
      <rPr>
        <sz val="8"/>
        <rFont val="Times New Roman"/>
        <family val="1"/>
      </rPr>
      <t>X</t>
    </r>
  </si>
  <si>
    <r>
      <rPr>
        <sz val="12"/>
        <rFont val="宋体"/>
        <family val="3"/>
        <charset val="134"/>
      </rPr>
      <t>σ</t>
    </r>
    <r>
      <rPr>
        <sz val="9"/>
        <rFont val="宋体"/>
        <family val="3"/>
        <charset val="134"/>
      </rPr>
      <t>Fmin</t>
    </r>
  </si>
  <si>
    <r>
      <rPr>
        <sz val="12"/>
        <rFont val="宋体"/>
        <family val="3"/>
        <charset val="134"/>
      </rPr>
      <t>S</t>
    </r>
    <r>
      <rPr>
        <sz val="9"/>
        <rFont val="宋体"/>
        <family val="3"/>
        <charset val="134"/>
      </rPr>
      <t>Fmin</t>
    </r>
  </si>
  <si>
    <r>
      <rPr>
        <sz val="10"/>
        <color indexed="12"/>
        <rFont val="宋体"/>
        <family val="3"/>
        <charset val="134"/>
      </rPr>
      <t>注：按失效概率低于</t>
    </r>
    <r>
      <rPr>
        <sz val="10"/>
        <color indexed="12"/>
        <rFont val="Times New Roman"/>
        <family val="1"/>
      </rPr>
      <t xml:space="preserve"> 1/1000 </t>
    </r>
    <r>
      <rPr>
        <sz val="10"/>
        <color indexed="12"/>
        <rFont val="宋体"/>
        <family val="3"/>
        <charset val="134"/>
      </rPr>
      <t>考虑。</t>
    </r>
  </si>
  <si>
    <r>
      <rPr>
        <sz val="12"/>
        <rFont val="宋体"/>
        <family val="3"/>
        <charset val="134"/>
      </rPr>
      <t>许</t>
    </r>
    <r>
      <rPr>
        <sz val="12"/>
        <rFont val="Times New Roman"/>
        <family val="1"/>
      </rPr>
      <t xml:space="preserve"> </t>
    </r>
    <r>
      <rPr>
        <sz val="12"/>
        <rFont val="宋体"/>
        <family val="3"/>
        <charset val="134"/>
      </rPr>
      <t>用</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应</t>
    </r>
    <r>
      <rPr>
        <sz val="12"/>
        <rFont val="Times New Roman"/>
        <family val="1"/>
      </rPr>
      <t xml:space="preserve"> </t>
    </r>
    <r>
      <rPr>
        <sz val="12"/>
        <rFont val="宋体"/>
        <family val="3"/>
        <charset val="134"/>
      </rPr>
      <t>力</t>
    </r>
  </si>
  <si>
    <r>
      <rPr>
        <sz val="12"/>
        <rFont val="宋体"/>
        <family val="3"/>
        <charset val="134"/>
      </rPr>
      <t>σ</t>
    </r>
    <r>
      <rPr>
        <sz val="9"/>
        <rFont val="宋体"/>
        <family val="3"/>
        <charset val="134"/>
      </rPr>
      <t>FP</t>
    </r>
  </si>
  <si>
    <r>
      <rPr>
        <sz val="12"/>
        <rFont val="宋体"/>
        <family val="3"/>
        <charset val="134"/>
      </rPr>
      <t>σ</t>
    </r>
    <r>
      <rPr>
        <sz val="9"/>
        <rFont val="宋体"/>
        <family val="3"/>
        <charset val="134"/>
      </rPr>
      <t>F0</t>
    </r>
  </si>
  <si>
    <r>
      <rPr>
        <sz val="12"/>
        <rFont val="宋体"/>
        <family val="3"/>
        <charset val="134"/>
      </rPr>
      <t>计</t>
    </r>
    <r>
      <rPr>
        <sz val="12"/>
        <rFont val="Times New Roman"/>
        <family val="1"/>
      </rPr>
      <t xml:space="preserve"> </t>
    </r>
    <r>
      <rPr>
        <sz val="12"/>
        <rFont val="宋体"/>
        <family val="3"/>
        <charset val="134"/>
      </rPr>
      <t>算</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根</t>
    </r>
    <r>
      <rPr>
        <sz val="12"/>
        <rFont val="Times New Roman"/>
        <family val="1"/>
      </rPr>
      <t xml:space="preserve"> </t>
    </r>
    <r>
      <rPr>
        <sz val="12"/>
        <rFont val="宋体"/>
        <family val="3"/>
        <charset val="134"/>
      </rPr>
      <t>应</t>
    </r>
    <r>
      <rPr>
        <sz val="12"/>
        <rFont val="Times New Roman"/>
        <family val="1"/>
      </rPr>
      <t xml:space="preserve"> </t>
    </r>
    <r>
      <rPr>
        <sz val="12"/>
        <rFont val="宋体"/>
        <family val="3"/>
        <charset val="134"/>
      </rPr>
      <t>力</t>
    </r>
  </si>
  <si>
    <r>
      <rPr>
        <sz val="12"/>
        <rFont val="宋体"/>
        <family val="3"/>
        <charset val="134"/>
      </rPr>
      <t>σ</t>
    </r>
    <r>
      <rPr>
        <sz val="9"/>
        <rFont val="宋体"/>
        <family val="3"/>
        <charset val="134"/>
      </rPr>
      <t>F</t>
    </r>
  </si>
  <si>
    <r>
      <rPr>
        <sz val="10"/>
        <color indexed="10"/>
        <rFont val="宋体"/>
        <family val="3"/>
        <charset val="134"/>
      </rPr>
      <t>以下是输出数据，请打印：</t>
    </r>
    <r>
      <rPr>
        <sz val="10"/>
        <color indexed="10"/>
        <rFont val="Times New Roman"/>
        <family val="1"/>
      </rPr>
      <t>***************************************************************</t>
    </r>
  </si>
  <si>
    <r>
      <rPr>
        <b/>
        <sz val="18"/>
        <rFont val="Times New Roman"/>
        <family val="1"/>
      </rPr>
      <t xml:space="preserve">    </t>
    </r>
    <r>
      <rPr>
        <b/>
        <sz val="18"/>
        <rFont val="宋体"/>
        <family val="3"/>
        <charset val="134"/>
      </rPr>
      <t>锥齿轮传动计算卡</t>
    </r>
  </si>
  <si>
    <r>
      <rPr>
        <b/>
        <sz val="12"/>
        <rFont val="宋体"/>
        <family val="3"/>
        <charset val="134"/>
      </rPr>
      <t>小</t>
    </r>
    <r>
      <rPr>
        <b/>
        <sz val="12"/>
        <rFont val="Times New Roman"/>
        <family val="1"/>
      </rPr>
      <t xml:space="preserve">    </t>
    </r>
    <r>
      <rPr>
        <b/>
        <sz val="12"/>
        <rFont val="宋体"/>
        <family val="3"/>
        <charset val="134"/>
      </rPr>
      <t>轮</t>
    </r>
  </si>
  <si>
    <r>
      <rPr>
        <b/>
        <sz val="12"/>
        <rFont val="宋体"/>
        <family val="3"/>
        <charset val="134"/>
      </rPr>
      <t>大</t>
    </r>
    <r>
      <rPr>
        <b/>
        <sz val="12"/>
        <rFont val="Times New Roman"/>
        <family val="1"/>
      </rPr>
      <t xml:space="preserve">    </t>
    </r>
    <r>
      <rPr>
        <b/>
        <sz val="12"/>
        <rFont val="宋体"/>
        <family val="3"/>
        <charset val="134"/>
      </rPr>
      <t>轮</t>
    </r>
  </si>
  <si>
    <r>
      <rPr>
        <sz val="12"/>
        <rFont val="宋体"/>
        <family val="3"/>
        <charset val="134"/>
      </rPr>
      <t>大</t>
    </r>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面</t>
    </r>
    <r>
      <rPr>
        <sz val="12"/>
        <rFont val="Times New Roman"/>
        <family val="1"/>
      </rPr>
      <t xml:space="preserve"> </t>
    </r>
    <r>
      <rPr>
        <sz val="12"/>
        <rFont val="宋体"/>
        <family val="3"/>
        <charset val="134"/>
      </rPr>
      <t>模</t>
    </r>
    <r>
      <rPr>
        <sz val="12"/>
        <rFont val="Times New Roman"/>
        <family val="1"/>
      </rPr>
      <t xml:space="preserve"> </t>
    </r>
    <r>
      <rPr>
        <sz val="12"/>
        <rFont val="宋体"/>
        <family val="3"/>
        <charset val="134"/>
      </rPr>
      <t>数</t>
    </r>
  </si>
  <si>
    <r>
      <rPr>
        <sz val="12"/>
        <rFont val="宋体"/>
        <family val="3"/>
        <charset val="134"/>
      </rPr>
      <t>轴</t>
    </r>
    <r>
      <rPr>
        <sz val="12"/>
        <rFont val="Times New Roman"/>
        <family val="1"/>
      </rPr>
      <t xml:space="preserve">        </t>
    </r>
    <r>
      <rPr>
        <sz val="12"/>
        <rFont val="宋体"/>
        <family val="3"/>
        <charset val="134"/>
      </rPr>
      <t>交</t>
    </r>
    <r>
      <rPr>
        <sz val="12"/>
        <rFont val="Times New Roman"/>
        <family val="1"/>
      </rPr>
      <t xml:space="preserve">        </t>
    </r>
    <r>
      <rPr>
        <sz val="12"/>
        <rFont val="宋体"/>
        <family val="3"/>
        <charset val="134"/>
      </rPr>
      <t>角</t>
    </r>
  </si>
  <si>
    <r>
      <rPr>
        <sz val="12"/>
        <rFont val="宋体"/>
        <family val="3"/>
        <charset val="134"/>
      </rPr>
      <t>齿</t>
    </r>
    <r>
      <rPr>
        <sz val="12"/>
        <rFont val="Times New Roman"/>
        <family val="1"/>
      </rPr>
      <t xml:space="preserve">          </t>
    </r>
    <r>
      <rPr>
        <sz val="12"/>
        <rFont val="宋体"/>
        <family val="3"/>
        <charset val="134"/>
      </rPr>
      <t xml:space="preserve"> </t>
    </r>
    <r>
      <rPr>
        <sz val="12"/>
        <rFont val="Times New Roman"/>
        <family val="1"/>
      </rPr>
      <t xml:space="preserve">        </t>
    </r>
    <r>
      <rPr>
        <sz val="12"/>
        <rFont val="宋体"/>
        <family val="3"/>
        <charset val="134"/>
      </rPr>
      <t>宽</t>
    </r>
  </si>
  <si>
    <r>
      <rPr>
        <sz val="12"/>
        <rFont val="Times New Roman"/>
        <family val="1"/>
      </rPr>
      <t>x</t>
    </r>
    <r>
      <rPr>
        <sz val="10"/>
        <rFont val="Times New Roman"/>
        <family val="1"/>
      </rPr>
      <t>t</t>
    </r>
  </si>
  <si>
    <r>
      <rPr>
        <sz val="12"/>
        <rFont val="宋体"/>
        <family val="3"/>
        <charset val="134"/>
      </rPr>
      <t>工</t>
    </r>
    <r>
      <rPr>
        <sz val="12"/>
        <rFont val="Times New Roman"/>
        <family val="1"/>
      </rPr>
      <t xml:space="preserve"> </t>
    </r>
    <r>
      <rPr>
        <sz val="12"/>
        <rFont val="宋体"/>
        <family val="3"/>
        <charset val="134"/>
      </rPr>
      <t>作</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</si>
  <si>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顶</t>
    </r>
    <r>
      <rPr>
        <sz val="12"/>
        <rFont val="Times New Roman"/>
        <family val="1"/>
      </rPr>
      <t xml:space="preserve">    </t>
    </r>
    <r>
      <rPr>
        <sz val="12"/>
        <rFont val="宋体"/>
        <family val="3"/>
        <charset val="134"/>
      </rPr>
      <t xml:space="preserve">隙 </t>
    </r>
    <r>
      <rPr>
        <sz val="12"/>
        <rFont val="Times New Roman"/>
        <family val="1"/>
      </rPr>
      <t xml:space="preserve">   </t>
    </r>
    <r>
      <rPr>
        <sz val="12"/>
        <rFont val="宋体"/>
        <family val="3"/>
        <charset val="134"/>
      </rPr>
      <t xml:space="preserve">系 </t>
    </r>
    <r>
      <rPr>
        <sz val="12"/>
        <rFont val="Times New Roman"/>
        <family val="1"/>
      </rPr>
      <t xml:space="preserve">  </t>
    </r>
    <r>
      <rPr>
        <sz val="12"/>
        <rFont val="宋体"/>
        <family val="3"/>
        <charset val="134"/>
      </rPr>
      <t>数</t>
    </r>
  </si>
  <si>
    <r>
      <rPr>
        <sz val="12"/>
        <rFont val="宋体"/>
        <family val="3"/>
        <charset val="134"/>
      </rPr>
      <t>高</t>
    </r>
    <r>
      <rPr>
        <sz val="12"/>
        <rFont val="Times New Roman"/>
        <family val="1"/>
      </rPr>
      <t xml:space="preserve"> </t>
    </r>
    <r>
      <rPr>
        <sz val="12"/>
        <rFont val="宋体"/>
        <family val="3"/>
        <charset val="134"/>
      </rPr>
      <t>度</t>
    </r>
    <r>
      <rPr>
        <sz val="12"/>
        <rFont val="Times New Roman"/>
        <family val="1"/>
      </rPr>
      <t xml:space="preserve"> </t>
    </r>
    <r>
      <rPr>
        <sz val="12"/>
        <rFont val="宋体"/>
        <family val="3"/>
        <charset val="134"/>
      </rPr>
      <t>变</t>
    </r>
    <r>
      <rPr>
        <sz val="12"/>
        <rFont val="Times New Roman"/>
        <family val="1"/>
      </rPr>
      <t xml:space="preserve"> </t>
    </r>
    <r>
      <rPr>
        <sz val="12"/>
        <rFont val="宋体"/>
        <family val="3"/>
        <charset val="134"/>
      </rPr>
      <t>位</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</si>
  <si>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宋体"/>
        <family val="3"/>
        <charset val="134"/>
      </rPr>
      <t>切</t>
    </r>
    <r>
      <rPr>
        <sz val="12"/>
        <rFont val="Times New Roman"/>
        <family val="1"/>
      </rPr>
      <t xml:space="preserve"> </t>
    </r>
    <r>
      <rPr>
        <sz val="12"/>
        <rFont val="宋体"/>
        <family val="3"/>
        <charset val="134"/>
      </rPr>
      <t>向</t>
    </r>
    <r>
      <rPr>
        <sz val="12"/>
        <rFont val="Times New Roman"/>
        <family val="1"/>
      </rPr>
      <t xml:space="preserve"> </t>
    </r>
    <r>
      <rPr>
        <sz val="12"/>
        <rFont val="宋体"/>
        <family val="3"/>
        <charset val="134"/>
      </rPr>
      <t>变</t>
    </r>
    <r>
      <rPr>
        <sz val="12"/>
        <rFont val="Times New Roman"/>
        <family val="1"/>
      </rPr>
      <t xml:space="preserve"> </t>
    </r>
    <r>
      <rPr>
        <sz val="12"/>
        <rFont val="宋体"/>
        <family val="3"/>
        <charset val="134"/>
      </rPr>
      <t>位</t>
    </r>
    <r>
      <rPr>
        <sz val="12"/>
        <rFont val="Times New Roman"/>
        <family val="1"/>
      </rPr>
      <t xml:space="preserve"> </t>
    </r>
    <r>
      <rPr>
        <sz val="12"/>
        <rFont val="宋体"/>
        <family val="3"/>
        <charset val="134"/>
      </rPr>
      <t>系</t>
    </r>
    <r>
      <rPr>
        <sz val="12"/>
        <rFont val="Times New Roman"/>
        <family val="1"/>
      </rPr>
      <t xml:space="preserve"> </t>
    </r>
    <r>
      <rPr>
        <sz val="12"/>
        <rFont val="宋体"/>
        <family val="3"/>
        <charset val="134"/>
      </rPr>
      <t>数</t>
    </r>
  </si>
  <si>
    <r>
      <rPr>
        <sz val="12"/>
        <rFont val="Times New Roman"/>
        <family val="1"/>
      </rPr>
      <t>x</t>
    </r>
    <r>
      <rPr>
        <sz val="10"/>
        <rFont val="Times New Roman"/>
        <family val="1"/>
      </rPr>
      <t>s</t>
    </r>
  </si>
  <si>
    <r>
      <rPr>
        <sz val="12"/>
        <rFont val="宋体"/>
        <family val="3"/>
        <charset val="134"/>
      </rPr>
      <t>外</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距</t>
    </r>
  </si>
  <si>
    <r>
      <rPr>
        <sz val="12"/>
        <rFont val="宋体"/>
        <family val="3"/>
        <charset val="134"/>
      </rPr>
      <t>分</t>
    </r>
    <r>
      <rPr>
        <sz val="12"/>
        <rFont val="Times New Roman"/>
        <family val="1"/>
      </rPr>
      <t xml:space="preserve">  </t>
    </r>
    <r>
      <rPr>
        <sz val="12"/>
        <rFont val="宋体"/>
        <family val="3"/>
        <charset val="134"/>
      </rPr>
      <t>度</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锥</t>
    </r>
    <r>
      <rPr>
        <sz val="12"/>
        <rFont val="Times New Roman"/>
        <family val="1"/>
      </rPr>
      <t xml:space="preserve">  </t>
    </r>
    <r>
      <rPr>
        <sz val="12"/>
        <rFont val="宋体"/>
        <family val="3"/>
        <charset val="134"/>
      </rPr>
      <t>角</t>
    </r>
  </si>
  <si>
    <r>
      <rPr>
        <sz val="12"/>
        <rFont val="Times New Roman"/>
        <family val="1"/>
      </rPr>
      <t xml:space="preserve"> </t>
    </r>
    <r>
      <rPr>
        <sz val="12"/>
        <rFont val="宋体"/>
        <family val="3"/>
        <charset val="134"/>
      </rPr>
      <t>顶锥角</t>
    </r>
    <r>
      <rPr>
        <sz val="12"/>
        <rFont val="Times New Roman"/>
        <family val="1"/>
      </rPr>
      <t xml:space="preserve">  （等顶隙）</t>
    </r>
  </si>
  <si>
    <r>
      <rPr>
        <sz val="12"/>
        <rFont val="宋体"/>
        <family val="3"/>
        <charset val="134"/>
      </rPr>
      <t>δ</t>
    </r>
    <r>
      <rPr>
        <sz val="10"/>
        <rFont val="Times New Roman"/>
        <family val="1"/>
      </rPr>
      <t>a</t>
    </r>
  </si>
  <si>
    <r>
      <rPr>
        <sz val="12"/>
        <rFont val="宋体"/>
        <family val="3"/>
        <charset val="134"/>
      </rPr>
      <t>根</t>
    </r>
    <r>
      <rPr>
        <sz val="12"/>
        <rFont val="Times New Roman"/>
        <family val="1"/>
      </rPr>
      <t xml:space="preserve">        </t>
    </r>
    <r>
      <rPr>
        <sz val="12"/>
        <rFont val="宋体"/>
        <family val="3"/>
        <charset val="134"/>
      </rPr>
      <t>锥</t>
    </r>
    <r>
      <rPr>
        <sz val="12"/>
        <rFont val="Times New Roman"/>
        <family val="1"/>
      </rPr>
      <t xml:space="preserve">        角</t>
    </r>
  </si>
  <si>
    <r>
      <rPr>
        <sz val="12"/>
        <rFont val="宋体"/>
        <family val="3"/>
        <charset val="134"/>
      </rPr>
      <t>δ</t>
    </r>
    <r>
      <rPr>
        <sz val="10"/>
        <rFont val="Times New Roman"/>
        <family val="1"/>
      </rPr>
      <t>f</t>
    </r>
  </si>
  <si>
    <r>
      <rPr>
        <sz val="12"/>
        <rFont val="Times New Roman"/>
        <family val="1"/>
      </rPr>
      <t>h</t>
    </r>
    <r>
      <rPr>
        <sz val="10"/>
        <rFont val="Times New Roman"/>
        <family val="1"/>
      </rPr>
      <t>a</t>
    </r>
  </si>
  <si>
    <r>
      <rPr>
        <sz val="12"/>
        <rFont val="Times New Roman"/>
        <family val="1"/>
      </rPr>
      <t>h</t>
    </r>
    <r>
      <rPr>
        <sz val="10"/>
        <rFont val="Times New Roman"/>
        <family val="1"/>
      </rPr>
      <t>f</t>
    </r>
  </si>
  <si>
    <r>
      <rPr>
        <sz val="12"/>
        <rFont val="Times New Roman"/>
        <family val="1"/>
      </rPr>
      <t>h</t>
    </r>
    <r>
      <rPr>
        <sz val="8"/>
        <rFont val="Times New Roman"/>
        <family val="1"/>
      </rPr>
      <t>t</t>
    </r>
  </si>
  <si>
    <r>
      <rPr>
        <sz val="12"/>
        <rFont val="宋体"/>
        <family val="3"/>
        <charset val="134"/>
      </rPr>
      <t>工</t>
    </r>
    <r>
      <rPr>
        <sz val="12"/>
        <rFont val="Times New Roman"/>
        <family val="1"/>
      </rPr>
      <t xml:space="preserve">    </t>
    </r>
    <r>
      <rPr>
        <sz val="12"/>
        <rFont val="宋体"/>
        <family val="3"/>
        <charset val="134"/>
      </rPr>
      <t>作</t>
    </r>
    <r>
      <rPr>
        <sz val="12"/>
        <rFont val="Times New Roman"/>
        <family val="1"/>
      </rPr>
      <t xml:space="preserve">    </t>
    </r>
    <r>
      <rPr>
        <sz val="12"/>
        <rFont val="宋体"/>
        <family val="3"/>
        <charset val="134"/>
      </rPr>
      <t>齿</t>
    </r>
    <r>
      <rPr>
        <sz val="12"/>
        <rFont val="Times New Roman"/>
        <family val="1"/>
      </rPr>
      <t xml:space="preserve">    </t>
    </r>
    <r>
      <rPr>
        <sz val="12"/>
        <rFont val="宋体"/>
        <family val="3"/>
        <charset val="134"/>
      </rPr>
      <t>高</t>
    </r>
  </si>
  <si>
    <t>大端分度圆理论弧齿厚</t>
  </si>
  <si>
    <t>Sa</t>
  </si>
  <si>
    <r>
      <rPr>
        <sz val="12"/>
        <rFont val="宋体"/>
        <family val="3"/>
        <charset val="134"/>
      </rPr>
      <t>大</t>
    </r>
    <r>
      <rPr>
        <sz val="12"/>
        <rFont val="Times New Roman"/>
        <family val="1"/>
      </rPr>
      <t xml:space="preserve"> </t>
    </r>
    <r>
      <rPr>
        <sz val="12"/>
        <rFont val="宋体"/>
        <family val="3"/>
        <charset val="134"/>
      </rPr>
      <t>端</t>
    </r>
    <r>
      <rPr>
        <sz val="12"/>
        <rFont val="Times New Roman"/>
        <family val="1"/>
      </rPr>
      <t xml:space="preserve"> </t>
    </r>
    <r>
      <rPr>
        <sz val="12"/>
        <rFont val="宋体"/>
        <family val="3"/>
        <charset val="134"/>
      </rPr>
      <t>顶</t>
    </r>
    <r>
      <rPr>
        <sz val="12"/>
        <rFont val="Times New Roman"/>
        <family val="1"/>
      </rPr>
      <t xml:space="preserve"> </t>
    </r>
    <r>
      <rPr>
        <sz val="12"/>
        <rFont val="宋体"/>
        <family val="3"/>
        <charset val="134"/>
      </rPr>
      <t>圆</t>
    </r>
    <r>
      <rPr>
        <sz val="12"/>
        <rFont val="Times New Roman"/>
        <family val="1"/>
      </rPr>
      <t xml:space="preserve"> </t>
    </r>
    <r>
      <rPr>
        <sz val="12"/>
        <rFont val="宋体"/>
        <family val="3"/>
        <charset val="134"/>
      </rPr>
      <t>直</t>
    </r>
    <r>
      <rPr>
        <sz val="12"/>
        <rFont val="Times New Roman"/>
        <family val="1"/>
      </rPr>
      <t xml:space="preserve"> </t>
    </r>
    <r>
      <rPr>
        <sz val="12"/>
        <rFont val="宋体"/>
        <family val="3"/>
        <charset val="134"/>
      </rPr>
      <t>径</t>
    </r>
  </si>
  <si>
    <r>
      <rPr>
        <sz val="12"/>
        <rFont val="Times New Roman"/>
        <family val="1"/>
      </rPr>
      <t>d</t>
    </r>
    <r>
      <rPr>
        <sz val="10"/>
        <rFont val="Times New Roman"/>
        <family val="1"/>
      </rPr>
      <t>a</t>
    </r>
  </si>
  <si>
    <t>分锥顶点至轮冠距离</t>
  </si>
  <si>
    <r>
      <rPr>
        <sz val="12"/>
        <rFont val="Times New Roman"/>
        <family val="1"/>
      </rPr>
      <t>A</t>
    </r>
    <r>
      <rPr>
        <sz val="10"/>
        <rFont val="Times New Roman"/>
        <family val="1"/>
      </rPr>
      <t>k</t>
    </r>
  </si>
  <si>
    <t>大端法向弦齿厚</t>
  </si>
  <si>
    <t>大端法向弦齿高</t>
  </si>
  <si>
    <r>
      <rPr>
        <sz val="10"/>
        <rFont val="宋体"/>
        <family val="3"/>
        <charset val="134"/>
      </rPr>
      <t>（按</t>
    </r>
    <r>
      <rPr>
        <sz val="10"/>
        <rFont val="Times New Roman"/>
        <family val="1"/>
      </rPr>
      <t xml:space="preserve"> GB11365--89   </t>
    </r>
    <r>
      <rPr>
        <sz val="10"/>
        <rFont val="宋体"/>
        <family val="3"/>
        <charset val="134"/>
      </rPr>
      <t>锥齿轮和准双曲面齿轮</t>
    </r>
    <r>
      <rPr>
        <sz val="10"/>
        <rFont val="Times New Roman"/>
        <family val="1"/>
      </rPr>
      <t xml:space="preserve">  </t>
    </r>
    <r>
      <rPr>
        <sz val="10"/>
        <rFont val="宋体"/>
        <family val="3"/>
        <charset val="134"/>
      </rPr>
      <t>精度）</t>
    </r>
  </si>
  <si>
    <r>
      <rPr>
        <sz val="12"/>
        <rFont val="宋体"/>
        <family val="3"/>
        <charset val="134"/>
      </rPr>
      <t>Ⅰ</t>
    </r>
    <r>
      <rPr>
        <sz val="12"/>
        <rFont val="Times New Roman"/>
        <family val="1"/>
      </rPr>
      <t>:</t>
    </r>
  </si>
  <si>
    <r>
      <rPr>
        <sz val="12"/>
        <rFont val="宋体"/>
        <family val="3"/>
        <charset val="134"/>
      </rPr>
      <t>Ⅱ</t>
    </r>
    <r>
      <rPr>
        <sz val="12"/>
        <rFont val="Times New Roman"/>
        <family val="1"/>
      </rPr>
      <t>:</t>
    </r>
  </si>
  <si>
    <r>
      <rPr>
        <sz val="12"/>
        <rFont val="宋体"/>
        <family val="3"/>
        <charset val="134"/>
      </rPr>
      <t>Ⅲ</t>
    </r>
    <r>
      <rPr>
        <sz val="12"/>
        <rFont val="Times New Roman"/>
        <family val="1"/>
      </rPr>
      <t>:</t>
    </r>
  </si>
  <si>
    <r>
      <rPr>
        <sz val="11"/>
        <rFont val="宋体"/>
        <family val="3"/>
        <charset val="134"/>
      </rPr>
      <t>图</t>
    </r>
    <r>
      <rPr>
        <sz val="11"/>
        <rFont val="Times New Roman"/>
        <family val="1"/>
      </rPr>
      <t xml:space="preserve">    </t>
    </r>
    <r>
      <rPr>
        <sz val="11"/>
        <rFont val="宋体"/>
        <family val="3"/>
        <charset val="134"/>
      </rPr>
      <t>样</t>
    </r>
    <r>
      <rPr>
        <sz val="11"/>
        <rFont val="Times New Roman"/>
        <family val="1"/>
      </rPr>
      <t xml:space="preserve">    </t>
    </r>
    <r>
      <rPr>
        <sz val="11"/>
        <rFont val="宋体"/>
        <family val="3"/>
        <charset val="134"/>
      </rPr>
      <t xml:space="preserve">标 </t>
    </r>
    <r>
      <rPr>
        <sz val="11"/>
        <rFont val="Times New Roman"/>
        <family val="1"/>
      </rPr>
      <t xml:space="preserve">   注</t>
    </r>
  </si>
  <si>
    <t>GB 11365--89</t>
  </si>
  <si>
    <r>
      <rPr>
        <sz val="12"/>
        <rFont val="Times New Roman"/>
        <family val="1"/>
      </rPr>
      <t>f</t>
    </r>
    <r>
      <rPr>
        <sz val="8"/>
        <rFont val="Times New Roman"/>
        <family val="1"/>
      </rPr>
      <t>c</t>
    </r>
  </si>
  <si>
    <r>
      <rPr>
        <sz val="12"/>
        <rFont val="Times New Roman"/>
        <family val="1"/>
      </rPr>
      <t xml:space="preserve">  </t>
    </r>
    <r>
      <rPr>
        <sz val="12"/>
        <rFont val="宋体"/>
        <family val="3"/>
        <charset val="134"/>
      </rPr>
      <t>接触斑</t>
    </r>
    <r>
      <rPr>
        <sz val="12"/>
        <rFont val="Times New Roman"/>
        <family val="1"/>
      </rPr>
      <t xml:space="preserve">  </t>
    </r>
    <r>
      <rPr>
        <sz val="10"/>
        <rFont val="宋体"/>
        <family val="3"/>
        <charset val="134"/>
      </rPr>
      <t>（沿齿长）</t>
    </r>
  </si>
  <si>
    <r>
      <rPr>
        <sz val="12"/>
        <rFont val="Times New Roman"/>
        <family val="1"/>
      </rPr>
      <t xml:space="preserve">%        </t>
    </r>
    <r>
      <rPr>
        <sz val="10"/>
        <rFont val="宋体"/>
        <family val="3"/>
        <charset val="134"/>
      </rPr>
      <t>至</t>
    </r>
  </si>
  <si>
    <t>%</t>
  </si>
  <si>
    <r>
      <rPr>
        <sz val="10"/>
        <rFont val="Times New Roman"/>
        <family val="1"/>
      </rPr>
      <t xml:space="preserve">                     </t>
    </r>
    <r>
      <rPr>
        <sz val="10"/>
        <rFont val="宋体"/>
        <family val="3"/>
        <charset val="134"/>
      </rPr>
      <t>（沿齿高）</t>
    </r>
  </si>
  <si>
    <t>（齿宽中点处的线值）</t>
  </si>
  <si>
    <r>
      <rPr>
        <sz val="12"/>
        <rFont val="宋体"/>
        <family val="3"/>
        <charset val="134"/>
      </rPr>
      <t>基</t>
    </r>
    <r>
      <rPr>
        <sz val="12"/>
        <rFont val="宋体"/>
        <family val="3"/>
        <charset val="134"/>
      </rPr>
      <t>准</t>
    </r>
    <r>
      <rPr>
        <sz val="12"/>
        <rFont val="宋体"/>
        <family val="3"/>
        <charset val="134"/>
      </rPr>
      <t>端</t>
    </r>
    <r>
      <rPr>
        <sz val="12"/>
        <rFont val="宋体"/>
        <family val="3"/>
        <charset val="134"/>
      </rPr>
      <t>面</t>
    </r>
    <r>
      <rPr>
        <sz val="12"/>
        <rFont val="宋体"/>
        <family val="3"/>
        <charset val="134"/>
      </rPr>
      <t>直</t>
    </r>
    <r>
      <rPr>
        <sz val="12"/>
        <rFont val="宋体"/>
        <family val="3"/>
        <charset val="134"/>
      </rPr>
      <t>径</t>
    </r>
  </si>
  <si>
    <t>齿坯轮冠距极限偏差</t>
  </si>
  <si>
    <t>齿坯顶锥角极限偏差</t>
  </si>
  <si>
    <r>
      <rPr>
        <sz val="12"/>
        <rFont val="宋体"/>
        <family val="3"/>
        <charset val="134"/>
      </rPr>
      <t>齿</t>
    </r>
    <r>
      <rPr>
        <sz val="12"/>
        <rFont val="Times New Roman"/>
        <family val="1"/>
      </rPr>
      <t xml:space="preserve"> </t>
    </r>
    <r>
      <rPr>
        <sz val="12"/>
        <rFont val="宋体"/>
        <family val="3"/>
        <charset val="134"/>
      </rPr>
      <t>坯</t>
    </r>
    <r>
      <rPr>
        <sz val="12"/>
        <rFont val="Times New Roman"/>
        <family val="1"/>
      </rPr>
      <t xml:space="preserve"> </t>
    </r>
    <r>
      <rPr>
        <sz val="12"/>
        <rFont val="宋体"/>
        <family val="3"/>
        <charset val="134"/>
      </rPr>
      <t>尺</t>
    </r>
    <r>
      <rPr>
        <sz val="12"/>
        <rFont val="Times New Roman"/>
        <family val="1"/>
      </rPr>
      <t xml:space="preserve"> </t>
    </r>
    <r>
      <rPr>
        <sz val="12"/>
        <rFont val="宋体"/>
        <family val="3"/>
        <charset val="134"/>
      </rPr>
      <t>寸</t>
    </r>
    <r>
      <rPr>
        <sz val="12"/>
        <rFont val="Times New Roman"/>
        <family val="1"/>
      </rPr>
      <t xml:space="preserve"> </t>
    </r>
    <r>
      <rPr>
        <sz val="12"/>
        <rFont val="宋体"/>
        <family val="3"/>
        <charset val="134"/>
      </rPr>
      <t>公</t>
    </r>
    <r>
      <rPr>
        <sz val="12"/>
        <rFont val="Times New Roman"/>
        <family val="1"/>
      </rPr>
      <t xml:space="preserve"> </t>
    </r>
    <r>
      <rPr>
        <sz val="12"/>
        <rFont val="宋体"/>
        <family val="3"/>
        <charset val="134"/>
      </rPr>
      <t>差</t>
    </r>
  </si>
  <si>
    <t>轴径</t>
  </si>
  <si>
    <t>GB 1800--79</t>
  </si>
  <si>
    <t>孔径</t>
  </si>
  <si>
    <t>外径尺寸极限偏差</t>
  </si>
  <si>
    <r>
      <rPr>
        <sz val="12"/>
        <rFont val="宋体"/>
        <family val="3"/>
        <charset val="134"/>
      </rPr>
      <t>名</t>
    </r>
    <r>
      <rPr>
        <sz val="12"/>
        <rFont val="Times New Roman"/>
        <family val="1"/>
      </rPr>
      <t xml:space="preserve">  </t>
    </r>
    <r>
      <rPr>
        <sz val="12"/>
        <rFont val="宋体"/>
        <family val="3"/>
        <charset val="134"/>
      </rPr>
      <t>义</t>
    </r>
    <r>
      <rPr>
        <sz val="12"/>
        <rFont val="Times New Roman"/>
        <family val="1"/>
      </rPr>
      <t xml:space="preserve">  转  矩</t>
    </r>
  </si>
  <si>
    <t xml:space="preserve">T </t>
  </si>
  <si>
    <r>
      <rPr>
        <sz val="12"/>
        <rFont val="宋体"/>
        <family val="3"/>
        <charset val="134"/>
      </rPr>
      <t>名</t>
    </r>
    <r>
      <rPr>
        <sz val="12"/>
        <rFont val="Times New Roman"/>
        <family val="1"/>
      </rPr>
      <t xml:space="preserve">  </t>
    </r>
    <r>
      <rPr>
        <sz val="12"/>
        <rFont val="宋体"/>
        <family val="3"/>
        <charset val="134"/>
      </rPr>
      <t>义</t>
    </r>
    <r>
      <rPr>
        <sz val="12"/>
        <rFont val="Times New Roman"/>
        <family val="1"/>
      </rPr>
      <t xml:space="preserve">  </t>
    </r>
    <r>
      <rPr>
        <sz val="12"/>
        <rFont val="宋体"/>
        <family val="3"/>
        <charset val="134"/>
      </rPr>
      <t>功</t>
    </r>
    <r>
      <rPr>
        <sz val="12"/>
        <rFont val="Times New Roman"/>
        <family val="1"/>
      </rPr>
      <t xml:space="preserve">  </t>
    </r>
    <r>
      <rPr>
        <sz val="12"/>
        <rFont val="宋体"/>
        <family val="3"/>
        <charset val="134"/>
      </rPr>
      <t>率</t>
    </r>
  </si>
  <si>
    <t xml:space="preserve">P </t>
  </si>
  <si>
    <r>
      <rPr>
        <sz val="12"/>
        <rFont val="宋体"/>
        <family val="3"/>
        <charset val="134"/>
      </rPr>
      <t>小 轮</t>
    </r>
    <r>
      <rPr>
        <sz val="12"/>
        <rFont val="宋体"/>
        <family val="3"/>
        <charset val="134"/>
      </rPr>
      <t xml:space="preserve"> </t>
    </r>
    <r>
      <rPr>
        <sz val="12"/>
        <rFont val="宋体"/>
        <family val="3"/>
        <charset val="134"/>
      </rPr>
      <t>转</t>
    </r>
    <r>
      <rPr>
        <sz val="12"/>
        <rFont val="宋体"/>
        <family val="3"/>
        <charset val="134"/>
      </rPr>
      <t xml:space="preserve"> </t>
    </r>
    <r>
      <rPr>
        <sz val="12"/>
        <rFont val="宋体"/>
        <family val="3"/>
        <charset val="134"/>
      </rPr>
      <t>速</t>
    </r>
  </si>
  <si>
    <t>r / min</t>
  </si>
  <si>
    <r>
      <rPr>
        <sz val="12"/>
        <rFont val="宋体"/>
        <family val="3"/>
        <charset val="134"/>
      </rPr>
      <t>材</t>
    </r>
    <r>
      <rPr>
        <sz val="12"/>
        <rFont val="Times New Roman"/>
        <family val="1"/>
      </rPr>
      <t xml:space="preserve">              </t>
    </r>
    <r>
      <rPr>
        <sz val="12"/>
        <rFont val="宋体"/>
        <family val="3"/>
        <charset val="134"/>
      </rPr>
      <t>质</t>
    </r>
  </si>
  <si>
    <t>支 承 形 式</t>
  </si>
  <si>
    <r>
      <rPr>
        <sz val="12"/>
        <rFont val="宋体"/>
        <family val="3"/>
        <charset val="134"/>
      </rPr>
      <t>许</t>
    </r>
    <r>
      <rPr>
        <sz val="12"/>
        <rFont val="宋体"/>
        <family val="3"/>
        <charset val="134"/>
      </rPr>
      <t>用</t>
    </r>
    <r>
      <rPr>
        <sz val="12"/>
        <rFont val="宋体"/>
        <family val="3"/>
        <charset val="134"/>
      </rPr>
      <t>接</t>
    </r>
    <r>
      <rPr>
        <sz val="12"/>
        <rFont val="宋体"/>
        <family val="3"/>
        <charset val="134"/>
      </rPr>
      <t>触</t>
    </r>
    <r>
      <rPr>
        <sz val="12"/>
        <rFont val="宋体"/>
        <family val="3"/>
        <charset val="134"/>
      </rPr>
      <t>应</t>
    </r>
    <r>
      <rPr>
        <sz val="12"/>
        <rFont val="宋体"/>
        <family val="3"/>
        <charset val="134"/>
      </rPr>
      <t>力</t>
    </r>
  </si>
  <si>
    <r>
      <rPr>
        <sz val="12"/>
        <rFont val="宋体"/>
        <family val="3"/>
        <charset val="134"/>
      </rPr>
      <t>计</t>
    </r>
    <r>
      <rPr>
        <sz val="12"/>
        <rFont val="宋体"/>
        <family val="3"/>
        <charset val="134"/>
      </rPr>
      <t>算</t>
    </r>
    <r>
      <rPr>
        <sz val="12"/>
        <rFont val="宋体"/>
        <family val="3"/>
        <charset val="134"/>
      </rPr>
      <t>接</t>
    </r>
    <r>
      <rPr>
        <sz val="12"/>
        <rFont val="宋体"/>
        <family val="3"/>
        <charset val="134"/>
      </rPr>
      <t>触</t>
    </r>
    <r>
      <rPr>
        <sz val="12"/>
        <rFont val="宋体"/>
        <family val="3"/>
        <charset val="134"/>
      </rPr>
      <t>应</t>
    </r>
    <r>
      <rPr>
        <sz val="12"/>
        <rFont val="宋体"/>
        <family val="3"/>
        <charset val="134"/>
      </rPr>
      <t>力</t>
    </r>
  </si>
  <si>
    <r>
      <rPr>
        <sz val="12"/>
        <rFont val="宋体"/>
        <family val="3"/>
        <charset val="134"/>
      </rPr>
      <t>许</t>
    </r>
    <r>
      <rPr>
        <sz val="12"/>
        <rFont val="宋体"/>
        <family val="3"/>
        <charset val="134"/>
      </rPr>
      <t>用</t>
    </r>
    <r>
      <rPr>
        <sz val="12"/>
        <rFont val="宋体"/>
        <family val="3"/>
        <charset val="134"/>
      </rPr>
      <t>齿</t>
    </r>
    <r>
      <rPr>
        <sz val="12"/>
        <rFont val="宋体"/>
        <family val="3"/>
        <charset val="134"/>
      </rPr>
      <t>根</t>
    </r>
    <r>
      <rPr>
        <sz val="12"/>
        <rFont val="宋体"/>
        <family val="3"/>
        <charset val="134"/>
      </rPr>
      <t>应</t>
    </r>
    <r>
      <rPr>
        <sz val="12"/>
        <rFont val="宋体"/>
        <family val="3"/>
        <charset val="134"/>
      </rPr>
      <t>力</t>
    </r>
  </si>
  <si>
    <t>计算齿根应力</t>
  </si>
  <si>
    <r>
      <rPr>
        <b/>
        <sz val="10"/>
        <color indexed="12"/>
        <rFont val="Times New Roman"/>
        <family val="1"/>
      </rPr>
      <t xml:space="preserve">     </t>
    </r>
    <r>
      <rPr>
        <b/>
        <sz val="10"/>
        <color indexed="12"/>
        <rFont val="宋体"/>
        <family val="3"/>
        <charset val="134"/>
      </rPr>
      <t xml:space="preserve">   结论意见： </t>
    </r>
    <r>
      <rPr>
        <b/>
        <sz val="10"/>
        <color indexed="12"/>
        <rFont val="Times New Roman"/>
        <family val="1"/>
      </rPr>
      <t xml:space="preserve">·   </t>
    </r>
  </si>
  <si>
    <t xml:space="preserve">                              · </t>
  </si>
  <si>
    <r>
      <rPr>
        <sz val="10"/>
        <color indexed="10"/>
        <rFont val="宋体"/>
        <family val="3"/>
        <charset val="134"/>
      </rPr>
      <t>打印终止</t>
    </r>
    <r>
      <rPr>
        <sz val="10"/>
        <color indexed="10"/>
        <rFont val="Times New Roman"/>
        <family val="1"/>
      </rPr>
      <t>******************************************************************************</t>
    </r>
  </si>
  <si>
    <t>电机选型计算</t>
  </si>
  <si>
    <t>一.电机扭矩的计算</t>
  </si>
  <si>
    <t>电机扭矩的计算涉及到2部分：</t>
  </si>
  <si>
    <r>
      <rPr>
        <sz val="12"/>
        <rFont val="宋体"/>
        <family val="3"/>
        <charset val="134"/>
      </rPr>
      <t>1</t>
    </r>
    <r>
      <rPr>
        <sz val="12"/>
        <rFont val="宋体"/>
        <family val="3"/>
        <charset val="134"/>
      </rPr>
      <t>.</t>
    </r>
    <r>
      <rPr>
        <sz val="12"/>
        <rFont val="宋体"/>
        <family val="3"/>
        <charset val="134"/>
      </rPr>
      <t>克服驱动机构的摩擦转矩</t>
    </r>
    <r>
      <rPr>
        <vertAlign val="subscript"/>
        <sz val="12"/>
        <rFont val="宋体"/>
        <family val="3"/>
        <charset val="134"/>
      </rPr>
      <t>TL</t>
    </r>
  </si>
  <si>
    <r>
      <rPr>
        <sz val="12"/>
        <rFont val="宋体"/>
        <family val="3"/>
        <charset val="134"/>
      </rPr>
      <t>2</t>
    </r>
    <r>
      <rPr>
        <sz val="12"/>
        <rFont val="宋体"/>
        <family val="3"/>
        <charset val="134"/>
      </rPr>
      <t>.</t>
    </r>
    <r>
      <rPr>
        <sz val="12"/>
        <rFont val="宋体"/>
        <family val="3"/>
        <charset val="134"/>
      </rPr>
      <t>克服负载和电机转子惯量的启动转矩</t>
    </r>
    <r>
      <rPr>
        <sz val="12"/>
        <rFont val="宋体"/>
        <family val="3"/>
        <charset val="134"/>
      </rPr>
      <t>T</t>
    </r>
    <r>
      <rPr>
        <vertAlign val="subscript"/>
        <sz val="12"/>
        <rFont val="宋体"/>
        <family val="3"/>
        <charset val="134"/>
      </rPr>
      <t>S</t>
    </r>
  </si>
  <si>
    <r>
      <rPr>
        <sz val="12"/>
        <rFont val="宋体"/>
        <family val="3"/>
        <charset val="134"/>
      </rPr>
      <t>电机扭矩T=（T</t>
    </r>
    <r>
      <rPr>
        <vertAlign val="subscript"/>
        <sz val="12"/>
        <rFont val="宋体"/>
        <family val="3"/>
        <charset val="134"/>
      </rPr>
      <t>L</t>
    </r>
    <r>
      <rPr>
        <sz val="12"/>
        <rFont val="宋体"/>
        <family val="3"/>
        <charset val="134"/>
      </rPr>
      <t>+T</t>
    </r>
    <r>
      <rPr>
        <vertAlign val="subscript"/>
        <sz val="12"/>
        <rFont val="宋体"/>
        <family val="3"/>
        <charset val="134"/>
      </rPr>
      <t>S</t>
    </r>
    <r>
      <rPr>
        <sz val="12"/>
        <rFont val="宋体"/>
        <family val="3"/>
        <charset val="134"/>
      </rPr>
      <t>）*S</t>
    </r>
  </si>
  <si>
    <t>S：安全系数</t>
  </si>
  <si>
    <t>二.惯量匹配</t>
  </si>
  <si>
    <t>理论上负载折算到电机轴的惯量与电机转子惯量比 &lt; 5</t>
  </si>
  <si>
    <t xml:space="preserve">不同驱动机构下负载转矩计算 </t>
  </si>
  <si>
    <t>圆周率π</t>
  </si>
  <si>
    <t>g＝</t>
  </si>
  <si>
    <r>
      <rPr>
        <sz val="12"/>
        <rFont val="宋体"/>
        <family val="3"/>
        <charset val="134"/>
      </rPr>
      <t>重力加速度[m/s</t>
    </r>
    <r>
      <rPr>
        <vertAlign val="superscript"/>
        <sz val="12"/>
        <rFont val="宋体"/>
        <family val="3"/>
        <charset val="134"/>
      </rPr>
      <t>2</t>
    </r>
    <r>
      <rPr>
        <sz val="12"/>
        <rFont val="宋体"/>
        <family val="3"/>
        <charset val="134"/>
      </rPr>
      <t>](9.807)</t>
    </r>
  </si>
  <si>
    <t>F＝</t>
  </si>
  <si>
    <r>
      <rPr>
        <sz val="12"/>
        <rFont val="宋体"/>
        <family val="3"/>
        <charset val="134"/>
      </rPr>
      <t>轴方向负载（N</t>
    </r>
    <r>
      <rPr>
        <sz val="12"/>
        <rFont val="宋体"/>
        <family val="3"/>
        <charset val="134"/>
      </rPr>
      <t>)</t>
    </r>
  </si>
  <si>
    <r>
      <rPr>
        <sz val="10"/>
        <rFont val="宋体"/>
        <family val="3"/>
        <charset val="134"/>
      </rPr>
      <t>F</t>
    </r>
    <r>
      <rPr>
        <vertAlign val="subscript"/>
        <sz val="10"/>
        <rFont val="宋体"/>
        <family val="3"/>
        <charset val="134"/>
      </rPr>
      <t>0</t>
    </r>
    <r>
      <rPr>
        <sz val="10"/>
        <rFont val="宋体"/>
        <family val="3"/>
        <charset val="134"/>
      </rPr>
      <t>＝</t>
    </r>
  </si>
  <si>
    <r>
      <rPr>
        <sz val="12"/>
        <rFont val="宋体"/>
        <family val="3"/>
        <charset val="134"/>
      </rPr>
      <t>预负载（N</t>
    </r>
    <r>
      <rPr>
        <sz val="12"/>
        <rFont val="宋体"/>
        <family val="3"/>
        <charset val="134"/>
      </rPr>
      <t>)(≈1/3 F)</t>
    </r>
  </si>
  <si>
    <r>
      <rPr>
        <sz val="10"/>
        <rFont val="宋体"/>
        <family val="3"/>
        <charset val="134"/>
      </rPr>
      <t>μ</t>
    </r>
    <r>
      <rPr>
        <vertAlign val="subscript"/>
        <sz val="10"/>
        <rFont val="宋体"/>
        <family val="3"/>
        <charset val="134"/>
      </rPr>
      <t>0</t>
    </r>
    <r>
      <rPr>
        <sz val="10"/>
        <rFont val="宋体"/>
        <family val="3"/>
        <charset val="134"/>
      </rPr>
      <t>＝</t>
    </r>
  </si>
  <si>
    <t>预压螺帽的内部摩擦系数（0.1-0.3)</t>
  </si>
  <si>
    <t>η＝</t>
  </si>
  <si>
    <t>机械效率（0.85-0.95)</t>
  </si>
  <si>
    <t>i＝</t>
  </si>
  <si>
    <t>减速比（机构的减速比）</t>
  </si>
  <si>
    <r>
      <rPr>
        <sz val="10"/>
        <rFont val="宋体"/>
        <family val="3"/>
        <charset val="134"/>
      </rPr>
      <t>P</t>
    </r>
    <r>
      <rPr>
        <vertAlign val="subscript"/>
        <sz val="10"/>
        <rFont val="宋体"/>
        <family val="3"/>
        <charset val="134"/>
      </rPr>
      <t>B</t>
    </r>
    <r>
      <rPr>
        <sz val="10"/>
        <rFont val="宋体"/>
        <family val="3"/>
        <charset val="134"/>
      </rPr>
      <t>＝</t>
    </r>
  </si>
  <si>
    <t>滚珠螺杆螺距（m/rev)</t>
  </si>
  <si>
    <t>ρ＝</t>
  </si>
  <si>
    <r>
      <rPr>
        <sz val="12"/>
        <rFont val="宋体"/>
        <family val="3"/>
        <charset val="134"/>
      </rPr>
      <t>密度（kg/m</t>
    </r>
    <r>
      <rPr>
        <vertAlign val="superscript"/>
        <sz val="12"/>
        <rFont val="宋体"/>
        <family val="3"/>
        <charset val="134"/>
      </rPr>
      <t>3</t>
    </r>
    <r>
      <rPr>
        <sz val="12"/>
        <rFont val="宋体"/>
        <family val="3"/>
        <charset val="134"/>
      </rPr>
      <t>)</t>
    </r>
  </si>
  <si>
    <r>
      <rPr>
        <sz val="10"/>
        <rFont val="宋体"/>
        <family val="3"/>
        <charset val="134"/>
      </rPr>
      <t>F</t>
    </r>
    <r>
      <rPr>
        <vertAlign val="subscript"/>
        <sz val="10"/>
        <rFont val="宋体"/>
        <family val="3"/>
        <charset val="134"/>
      </rPr>
      <t>A</t>
    </r>
    <r>
      <rPr>
        <sz val="10"/>
        <rFont val="宋体"/>
        <family val="3"/>
        <charset val="134"/>
      </rPr>
      <t>＝</t>
    </r>
  </si>
  <si>
    <t>外力(N)</t>
  </si>
  <si>
    <t>铁</t>
  </si>
  <si>
    <r>
      <rPr>
        <sz val="12"/>
        <rFont val="宋体"/>
        <family val="3"/>
        <charset val="134"/>
      </rPr>
      <t>7.9x10</t>
    </r>
    <r>
      <rPr>
        <vertAlign val="superscript"/>
        <sz val="12"/>
        <rFont val="宋体"/>
        <family val="3"/>
        <charset val="134"/>
      </rPr>
      <t>3</t>
    </r>
    <r>
      <rPr>
        <sz val="12"/>
        <rFont val="宋体"/>
        <family val="3"/>
        <charset val="134"/>
      </rPr>
      <t>kg/m</t>
    </r>
    <r>
      <rPr>
        <vertAlign val="superscript"/>
        <sz val="12"/>
        <rFont val="宋体"/>
        <family val="3"/>
        <charset val="134"/>
      </rPr>
      <t>3</t>
    </r>
  </si>
  <si>
    <t>FB＝</t>
  </si>
  <si>
    <t>主轴开始运动时的力（N)</t>
  </si>
  <si>
    <r>
      <rPr>
        <sz val="12"/>
        <rFont val="宋体"/>
        <family val="3"/>
        <charset val="134"/>
      </rPr>
      <t>2.8x10</t>
    </r>
    <r>
      <rPr>
        <vertAlign val="superscript"/>
        <sz val="12"/>
        <rFont val="宋体"/>
        <family val="3"/>
        <charset val="134"/>
      </rPr>
      <t>3</t>
    </r>
    <r>
      <rPr>
        <sz val="12"/>
        <rFont val="宋体"/>
        <family val="3"/>
        <charset val="134"/>
      </rPr>
      <t>kg/m</t>
    </r>
    <r>
      <rPr>
        <vertAlign val="superscript"/>
        <sz val="12"/>
        <rFont val="宋体"/>
        <family val="3"/>
        <charset val="134"/>
      </rPr>
      <t>3</t>
    </r>
  </si>
  <si>
    <r>
      <rPr>
        <sz val="12"/>
        <rFont val="宋体"/>
        <family val="3"/>
        <charset val="134"/>
      </rPr>
      <t>(F</t>
    </r>
    <r>
      <rPr>
        <vertAlign val="subscript"/>
        <sz val="12"/>
        <rFont val="宋体"/>
        <family val="3"/>
        <charset val="134"/>
      </rPr>
      <t>B</t>
    </r>
    <r>
      <rPr>
        <sz val="12"/>
        <rFont val="宋体"/>
        <family val="3"/>
        <charset val="134"/>
      </rPr>
      <t>=弹簧秤值（kgxg [m/s2]))</t>
    </r>
  </si>
  <si>
    <r>
      <rPr>
        <sz val="12"/>
        <rFont val="宋体"/>
        <family val="3"/>
        <charset val="134"/>
      </rPr>
      <t>8.5x10</t>
    </r>
    <r>
      <rPr>
        <vertAlign val="superscript"/>
        <sz val="12"/>
        <rFont val="宋体"/>
        <family val="3"/>
        <charset val="134"/>
      </rPr>
      <t>3</t>
    </r>
    <r>
      <rPr>
        <sz val="12"/>
        <rFont val="宋体"/>
        <family val="3"/>
        <charset val="134"/>
      </rPr>
      <t>kg/m</t>
    </r>
    <r>
      <rPr>
        <vertAlign val="superscript"/>
        <sz val="12"/>
        <rFont val="宋体"/>
        <family val="3"/>
        <charset val="134"/>
      </rPr>
      <t>3</t>
    </r>
  </si>
  <si>
    <t>m＝</t>
  </si>
  <si>
    <t>工作物与工作台的总质量（kg）</t>
  </si>
  <si>
    <t>尼龙</t>
  </si>
  <si>
    <r>
      <rPr>
        <sz val="12"/>
        <rFont val="宋体"/>
        <family val="3"/>
        <charset val="134"/>
      </rPr>
      <t>1.1x10</t>
    </r>
    <r>
      <rPr>
        <vertAlign val="superscript"/>
        <sz val="12"/>
        <rFont val="宋体"/>
        <family val="3"/>
        <charset val="134"/>
      </rPr>
      <t>3</t>
    </r>
    <r>
      <rPr>
        <sz val="12"/>
        <rFont val="宋体"/>
        <family val="3"/>
        <charset val="134"/>
      </rPr>
      <t>kg/m</t>
    </r>
    <r>
      <rPr>
        <vertAlign val="superscript"/>
        <sz val="12"/>
        <rFont val="宋体"/>
        <family val="3"/>
        <charset val="134"/>
      </rPr>
      <t>3</t>
    </r>
  </si>
  <si>
    <t>μ＝</t>
  </si>
  <si>
    <t>滑动面的摩擦系数(0.05）</t>
  </si>
  <si>
    <t>a＝</t>
  </si>
  <si>
    <t>倾斜角度（°）</t>
  </si>
  <si>
    <t>D＝</t>
  </si>
  <si>
    <t>终段滑轮直径（m）</t>
  </si>
  <si>
    <t>滚珠螺杠驱动下负载转矩</t>
  </si>
  <si>
    <t>滑轮驱动下负载转矩</t>
  </si>
  <si>
    <t>5000N</t>
  </si>
  <si>
    <t>金属线、皮带  齿轮、齿条驱动下负载转矩</t>
  </si>
  <si>
    <t>实际测试计算方法</t>
  </si>
  <si>
    <t xml:space="preserve">不同形状物体惯量计算 </t>
  </si>
  <si>
    <t>J0 ＝</t>
  </si>
  <si>
    <r>
      <rPr>
        <sz val="12"/>
        <rFont val="宋体"/>
        <family val="3"/>
        <charset val="134"/>
      </rPr>
      <t>x</t>
    </r>
    <r>
      <rPr>
        <vertAlign val="subscript"/>
        <sz val="12"/>
        <rFont val="宋体"/>
        <family val="3"/>
        <charset val="134"/>
      </rPr>
      <t>0</t>
    </r>
    <r>
      <rPr>
        <sz val="12"/>
        <rFont val="宋体"/>
        <family val="3"/>
        <charset val="134"/>
      </rPr>
      <t>轴(通过重心的轴)的
惯性惯量 [kg·m</t>
    </r>
    <r>
      <rPr>
        <vertAlign val="superscript"/>
        <sz val="12"/>
        <rFont val="宋体"/>
        <family val="3"/>
        <charset val="134"/>
      </rPr>
      <t>2</t>
    </r>
    <r>
      <rPr>
        <sz val="12"/>
        <rFont val="宋体"/>
        <family val="3"/>
        <charset val="134"/>
      </rPr>
      <t>]</t>
    </r>
  </si>
  <si>
    <t>Jx ＝</t>
  </si>
  <si>
    <t>x轴的惯性惯量 [kg·m2]</t>
  </si>
  <si>
    <t>Jy ＝</t>
  </si>
  <si>
    <t>y轴的惯性惯量 [kg·m2]</t>
  </si>
  <si>
    <t>m ＝</t>
  </si>
  <si>
    <t>质量（kg）</t>
  </si>
  <si>
    <t>d0 ＝</t>
  </si>
  <si>
    <t>外径（m）</t>
  </si>
  <si>
    <t>d1 ＝</t>
  </si>
  <si>
    <t>l ＝</t>
  </si>
  <si>
    <t>长度（m）</t>
  </si>
  <si>
    <t>圆柱体惯量计算-圆柱体长度方向中心线和旋转中心线平行</t>
  </si>
  <si>
    <t>国际单位</t>
  </si>
  <si>
    <r>
      <rPr>
        <sz val="10"/>
        <rFont val="宋体"/>
        <family val="3"/>
        <charset val="134"/>
      </rPr>
      <t>外径d</t>
    </r>
    <r>
      <rPr>
        <vertAlign val="subscript"/>
        <sz val="10"/>
        <rFont val="宋体"/>
        <family val="3"/>
        <charset val="134"/>
      </rPr>
      <t>0</t>
    </r>
    <r>
      <rPr>
        <sz val="10"/>
        <rFont val="宋体"/>
        <family val="3"/>
        <charset val="134"/>
      </rPr>
      <t>（mm）</t>
    </r>
  </si>
  <si>
    <r>
      <rPr>
        <sz val="10"/>
        <rFont val="宋体"/>
        <family val="3"/>
        <charset val="134"/>
      </rPr>
      <t>内径d</t>
    </r>
    <r>
      <rPr>
        <vertAlign val="subscript"/>
        <sz val="10"/>
        <rFont val="宋体"/>
        <family val="3"/>
        <charset val="134"/>
      </rPr>
      <t>1</t>
    </r>
    <r>
      <rPr>
        <sz val="10"/>
        <rFont val="宋体"/>
        <family val="3"/>
        <charset val="134"/>
      </rPr>
      <t>（mm）</t>
    </r>
  </si>
  <si>
    <t>长度L（mm）</t>
  </si>
  <si>
    <t>密度ρ（kg/m3)</t>
  </si>
  <si>
    <t>重心线与旋转轴线距离e (mm)</t>
  </si>
  <si>
    <t>物体质量m（kg）</t>
  </si>
  <si>
    <t>自动计算</t>
  </si>
  <si>
    <r>
      <rPr>
        <sz val="10"/>
        <rFont val="宋体"/>
        <family val="3"/>
        <charset val="134"/>
      </rPr>
      <t>物体惯量（kg.cm</t>
    </r>
    <r>
      <rPr>
        <vertAlign val="superscript"/>
        <sz val="10"/>
        <rFont val="宋体"/>
        <family val="3"/>
        <charset val="134"/>
      </rPr>
      <t>2</t>
    </r>
    <r>
      <rPr>
        <sz val="10"/>
        <rFont val="宋体"/>
        <family val="3"/>
        <charset val="134"/>
      </rPr>
      <t>）</t>
    </r>
  </si>
  <si>
    <t>圆柱体惯量计算-圆柱体长度方向中心线和和旋转中心线垂直</t>
  </si>
  <si>
    <r>
      <rPr>
        <sz val="10"/>
        <rFont val="宋体"/>
        <family val="3"/>
        <charset val="134"/>
      </rPr>
      <t>外径d</t>
    </r>
    <r>
      <rPr>
        <vertAlign val="subscript"/>
        <sz val="10"/>
        <rFont val="宋体"/>
        <family val="3"/>
        <charset val="134"/>
      </rPr>
      <t>0</t>
    </r>
    <r>
      <rPr>
        <sz val="10"/>
        <rFont val="宋体"/>
        <family val="3"/>
        <charset val="134"/>
      </rPr>
      <t>（mm）：</t>
    </r>
  </si>
  <si>
    <r>
      <rPr>
        <sz val="10"/>
        <rFont val="宋体"/>
        <family val="3"/>
        <charset val="134"/>
      </rPr>
      <t>内径d</t>
    </r>
    <r>
      <rPr>
        <vertAlign val="subscript"/>
        <sz val="10"/>
        <rFont val="宋体"/>
        <family val="3"/>
        <charset val="134"/>
      </rPr>
      <t>1</t>
    </r>
    <r>
      <rPr>
        <sz val="10"/>
        <rFont val="宋体"/>
        <family val="3"/>
        <charset val="134"/>
      </rPr>
      <t>（mm）：</t>
    </r>
  </si>
  <si>
    <t>长度L（mm）：</t>
  </si>
  <si>
    <r>
      <rPr>
        <sz val="10"/>
        <rFont val="宋体"/>
        <family val="3"/>
        <charset val="134"/>
      </rPr>
      <t>密度ρ（kg/m</t>
    </r>
    <r>
      <rPr>
        <vertAlign val="superscript"/>
        <sz val="10"/>
        <rFont val="宋体"/>
        <family val="3"/>
        <charset val="134"/>
      </rPr>
      <t>3</t>
    </r>
    <r>
      <rPr>
        <sz val="10"/>
        <rFont val="宋体"/>
        <family val="3"/>
        <charset val="134"/>
      </rPr>
      <t>)：</t>
    </r>
  </si>
  <si>
    <t>方形物体惯量计算</t>
  </si>
  <si>
    <t>长度x（mm）：</t>
  </si>
  <si>
    <t>宽度y（mm）：</t>
  </si>
  <si>
    <t>高度z（mm）：</t>
  </si>
  <si>
    <t>重心线与旋转轴线距离e (m)</t>
  </si>
  <si>
    <t>饼状物体惯量计算</t>
  </si>
  <si>
    <t>直径d（mm）</t>
  </si>
  <si>
    <t>厚度h（mm）</t>
  </si>
  <si>
    <t>直线运动物体惯量计算</t>
  </si>
  <si>
    <t>电机每转1圈物体直线运动量A (m）</t>
  </si>
  <si>
    <t>球形惯量计算</t>
  </si>
  <si>
    <r>
      <rPr>
        <sz val="10"/>
        <rFont val="宋体"/>
        <family val="3"/>
        <charset val="134"/>
      </rPr>
      <t>惯量J</t>
    </r>
    <r>
      <rPr>
        <vertAlign val="subscript"/>
        <sz val="10"/>
        <rFont val="宋体"/>
        <family val="3"/>
        <charset val="134"/>
      </rPr>
      <t>0</t>
    </r>
    <r>
      <rPr>
        <sz val="10"/>
        <rFont val="宋体"/>
        <family val="3"/>
        <charset val="134"/>
      </rPr>
      <t>（kg.cm</t>
    </r>
    <r>
      <rPr>
        <vertAlign val="superscript"/>
        <sz val="10"/>
        <rFont val="宋体"/>
        <family val="3"/>
        <charset val="134"/>
      </rPr>
      <t>2</t>
    </r>
    <r>
      <rPr>
        <sz val="10"/>
        <rFont val="宋体"/>
        <family val="3"/>
        <charset val="134"/>
      </rPr>
      <t>）</t>
    </r>
  </si>
  <si>
    <t>质量m（kg）</t>
  </si>
  <si>
    <r>
      <rPr>
        <sz val="10"/>
        <rFont val="宋体"/>
        <family val="3"/>
        <charset val="134"/>
      </rPr>
      <t>质量m</t>
    </r>
    <r>
      <rPr>
        <vertAlign val="subscript"/>
        <sz val="10"/>
        <rFont val="宋体"/>
        <family val="3"/>
        <charset val="134"/>
      </rPr>
      <t>1</t>
    </r>
    <r>
      <rPr>
        <sz val="10"/>
        <rFont val="宋体"/>
        <family val="3"/>
        <charset val="134"/>
      </rPr>
      <t>（kg）</t>
    </r>
  </si>
  <si>
    <r>
      <rPr>
        <sz val="10"/>
        <rFont val="宋体"/>
        <family val="3"/>
        <charset val="134"/>
      </rPr>
      <t>惯量J</t>
    </r>
    <r>
      <rPr>
        <vertAlign val="subscript"/>
        <sz val="10"/>
        <rFont val="宋体"/>
        <family val="3"/>
        <charset val="134"/>
      </rPr>
      <t>1</t>
    </r>
    <r>
      <rPr>
        <sz val="10"/>
        <rFont val="宋体"/>
        <family val="3"/>
        <charset val="134"/>
      </rPr>
      <t>（kg.cm</t>
    </r>
    <r>
      <rPr>
        <vertAlign val="superscript"/>
        <sz val="10"/>
        <rFont val="宋体"/>
        <family val="3"/>
        <charset val="134"/>
      </rPr>
      <t>2</t>
    </r>
    <r>
      <rPr>
        <sz val="10"/>
        <rFont val="宋体"/>
        <family val="3"/>
        <charset val="134"/>
      </rPr>
      <t>）</t>
    </r>
  </si>
  <si>
    <t>皮带轮间歇运动计算（公众号：曼仑）</t>
  </si>
  <si>
    <t>机械结构参数</t>
  </si>
  <si>
    <t>皮带与工作物总质量</t>
  </si>
  <si>
    <r>
      <rPr>
        <sz val="12"/>
        <rFont val="Times New Roman"/>
        <family val="1"/>
      </rPr>
      <t>m</t>
    </r>
    <r>
      <rPr>
        <vertAlign val="subscript"/>
        <sz val="12"/>
        <rFont val="Times New Roman"/>
        <family val="1"/>
      </rPr>
      <t>L</t>
    </r>
    <r>
      <rPr>
        <sz val="12"/>
        <rFont val="Times New Roman"/>
        <family val="1"/>
      </rPr>
      <t>=</t>
    </r>
  </si>
  <si>
    <t>g=</t>
  </si>
  <si>
    <t>滑动面摩擦系数</t>
  </si>
  <si>
    <t>pi=</t>
  </si>
  <si>
    <t>滚筒直径</t>
  </si>
  <si>
    <t>滚筒质量</t>
  </si>
  <si>
    <r>
      <rPr>
        <sz val="12"/>
        <rFont val="Times New Roman"/>
        <family val="1"/>
      </rPr>
      <t>m</t>
    </r>
    <r>
      <rPr>
        <vertAlign val="subscript"/>
        <sz val="12"/>
        <rFont val="Times New Roman"/>
        <family val="1"/>
      </rPr>
      <t>2</t>
    </r>
    <r>
      <rPr>
        <sz val="12"/>
        <rFont val="Times New Roman"/>
        <family val="1"/>
      </rPr>
      <t>=</t>
    </r>
  </si>
  <si>
    <t>传送带和滚筒的机械效率</t>
  </si>
  <si>
    <t>η=</t>
  </si>
  <si>
    <t>减速机机械效率</t>
  </si>
  <si>
    <t>ηG=</t>
  </si>
  <si>
    <t>每次定位时间</t>
  </si>
  <si>
    <t>每次运动距离</t>
  </si>
  <si>
    <t>加减速时间比</t>
  </si>
  <si>
    <r>
      <rPr>
        <sz val="14"/>
        <rFont val="Times New Roman"/>
        <family val="1"/>
      </rPr>
      <t>F</t>
    </r>
    <r>
      <rPr>
        <vertAlign val="subscript"/>
        <sz val="14"/>
        <rFont val="Times New Roman"/>
        <family val="1"/>
      </rPr>
      <t>A</t>
    </r>
    <r>
      <rPr>
        <sz val="14"/>
        <rFont val="Times New Roman"/>
        <family val="1"/>
      </rPr>
      <t>=</t>
    </r>
  </si>
  <si>
    <t>移动方向与水平轴夹角</t>
  </si>
  <si>
    <t>a =</t>
  </si>
  <si>
    <t>1)速度曲线</t>
  </si>
  <si>
    <t>t0=</t>
  </si>
  <si>
    <t>t*A</t>
  </si>
  <si>
    <t>2)电机转速</t>
  </si>
  <si>
    <t>减速机输出轴角加速度</t>
  </si>
  <si>
    <t xml:space="preserve">             β=</t>
  </si>
  <si>
    <r>
      <rPr>
        <sz val="12"/>
        <rFont val="宋体"/>
        <family val="3"/>
        <charset val="134"/>
      </rPr>
      <t>rad/s</t>
    </r>
    <r>
      <rPr>
        <vertAlign val="superscript"/>
        <sz val="12"/>
        <rFont val="宋体"/>
        <family val="3"/>
        <charset val="134"/>
      </rPr>
      <t>2</t>
    </r>
  </si>
  <si>
    <t>减速机输出轴转速</t>
  </si>
  <si>
    <r>
      <rPr>
        <sz val="12"/>
        <rFont val="宋体"/>
        <family val="3"/>
        <charset val="134"/>
      </rPr>
      <t>N</t>
    </r>
    <r>
      <rPr>
        <sz val="12"/>
        <rFont val="宋体"/>
        <family val="3"/>
        <charset val="134"/>
      </rPr>
      <t>=</t>
    </r>
  </si>
  <si>
    <t>电机输出轴角加速度</t>
  </si>
  <si>
    <r>
      <rPr>
        <sz val="12"/>
        <rFont val="宋体"/>
        <family val="3"/>
        <charset val="134"/>
      </rPr>
      <t>β</t>
    </r>
    <r>
      <rPr>
        <vertAlign val="subscript"/>
        <sz val="12"/>
        <rFont val="宋体"/>
        <family val="3"/>
        <charset val="134"/>
      </rPr>
      <t>M</t>
    </r>
    <r>
      <rPr>
        <sz val="12"/>
        <rFont val="宋体"/>
        <family val="3"/>
        <charset val="134"/>
      </rPr>
      <t>=</t>
    </r>
  </si>
  <si>
    <t>i*β</t>
  </si>
  <si>
    <t>电机输出轴转速</t>
  </si>
  <si>
    <r>
      <rPr>
        <sz val="12"/>
        <rFont val="宋体"/>
        <family val="3"/>
        <charset val="134"/>
      </rPr>
      <t>N</t>
    </r>
    <r>
      <rPr>
        <vertAlign val="subscript"/>
        <sz val="12"/>
        <rFont val="宋体"/>
        <family val="3"/>
        <charset val="134"/>
      </rPr>
      <t>M</t>
    </r>
    <r>
      <rPr>
        <sz val="12"/>
        <rFont val="宋体"/>
        <family val="3"/>
        <charset val="134"/>
      </rPr>
      <t>=</t>
    </r>
  </si>
  <si>
    <t>N*i</t>
  </si>
  <si>
    <t>3)计算负载转矩</t>
  </si>
  <si>
    <t>减速机轴向负载</t>
  </si>
  <si>
    <t>减速机轴负载转矩</t>
  </si>
  <si>
    <r>
      <rPr>
        <sz val="12"/>
        <rFont val="宋体"/>
        <family val="3"/>
        <charset val="134"/>
      </rPr>
      <t>T</t>
    </r>
    <r>
      <rPr>
        <vertAlign val="subscript"/>
        <sz val="12"/>
        <rFont val="宋体"/>
        <family val="3"/>
        <charset val="134"/>
      </rPr>
      <t>L</t>
    </r>
    <r>
      <rPr>
        <sz val="12"/>
        <rFont val="宋体"/>
        <family val="3"/>
        <charset val="134"/>
      </rPr>
      <t>=</t>
    </r>
  </si>
  <si>
    <t>Nm</t>
  </si>
  <si>
    <t>电机轴负载转矩</t>
  </si>
  <si>
    <r>
      <rPr>
        <sz val="12"/>
        <rFont val="宋体"/>
        <family val="3"/>
        <charset val="134"/>
      </rPr>
      <t>T</t>
    </r>
    <r>
      <rPr>
        <vertAlign val="subscript"/>
        <sz val="12"/>
        <rFont val="宋体"/>
        <family val="3"/>
        <charset val="134"/>
      </rPr>
      <t>LM</t>
    </r>
    <r>
      <rPr>
        <sz val="12"/>
        <rFont val="宋体"/>
        <family val="3"/>
        <charset val="134"/>
      </rPr>
      <t>=</t>
    </r>
  </si>
  <si>
    <t>4)计算电机轴加速转矩（克服惯量）</t>
  </si>
  <si>
    <t>皮带和工作物的惯量</t>
  </si>
  <si>
    <r>
      <rPr>
        <sz val="12"/>
        <rFont val="宋体"/>
        <family val="3"/>
        <charset val="134"/>
      </rPr>
      <t>J</t>
    </r>
    <r>
      <rPr>
        <vertAlign val="subscript"/>
        <sz val="12"/>
        <rFont val="宋体"/>
        <family val="3"/>
        <charset val="134"/>
      </rPr>
      <t>M1</t>
    </r>
    <r>
      <rPr>
        <sz val="12"/>
        <rFont val="宋体"/>
        <family val="3"/>
        <charset val="134"/>
      </rPr>
      <t>=</t>
    </r>
  </si>
  <si>
    <r>
      <rPr>
        <sz val="12"/>
        <rFont val="宋体"/>
        <family val="3"/>
        <charset val="134"/>
      </rPr>
      <t>kgm</t>
    </r>
    <r>
      <rPr>
        <vertAlign val="superscript"/>
        <sz val="12"/>
        <rFont val="宋体"/>
        <family val="3"/>
        <charset val="134"/>
      </rPr>
      <t>2</t>
    </r>
  </si>
  <si>
    <t>滚筒的惯量</t>
  </si>
  <si>
    <r>
      <rPr>
        <sz val="12"/>
        <rFont val="宋体"/>
        <family val="3"/>
        <charset val="134"/>
      </rPr>
      <t>J</t>
    </r>
    <r>
      <rPr>
        <vertAlign val="subscript"/>
        <sz val="12"/>
        <rFont val="宋体"/>
        <family val="3"/>
        <charset val="134"/>
      </rPr>
      <t>M2</t>
    </r>
    <r>
      <rPr>
        <sz val="12"/>
        <rFont val="宋体"/>
        <family val="3"/>
        <charset val="134"/>
      </rPr>
      <t>=</t>
    </r>
  </si>
  <si>
    <r>
      <rPr>
        <sz val="12"/>
        <rFont val="宋体"/>
        <family val="3"/>
        <charset val="134"/>
      </rPr>
      <t>折算到减速机轴的负载惯量  J</t>
    </r>
    <r>
      <rPr>
        <vertAlign val="subscript"/>
        <sz val="12"/>
        <rFont val="宋体"/>
        <family val="3"/>
        <charset val="134"/>
      </rPr>
      <t>L</t>
    </r>
    <r>
      <rPr>
        <sz val="12"/>
        <rFont val="宋体"/>
        <family val="3"/>
        <charset val="134"/>
      </rPr>
      <t>=</t>
    </r>
  </si>
  <si>
    <r>
      <rPr>
        <sz val="12"/>
        <rFont val="宋体"/>
        <family val="3"/>
        <charset val="134"/>
      </rPr>
      <t>J</t>
    </r>
    <r>
      <rPr>
        <vertAlign val="subscript"/>
        <sz val="12"/>
        <rFont val="宋体"/>
        <family val="3"/>
        <charset val="134"/>
      </rPr>
      <t>M1</t>
    </r>
    <r>
      <rPr>
        <sz val="12"/>
        <rFont val="宋体"/>
        <family val="3"/>
        <charset val="134"/>
      </rPr>
      <t>+2J</t>
    </r>
    <r>
      <rPr>
        <vertAlign val="subscript"/>
        <sz val="12"/>
        <rFont val="宋体"/>
        <family val="3"/>
        <charset val="134"/>
      </rPr>
      <t>M2</t>
    </r>
  </si>
  <si>
    <t>电机惯量</t>
  </si>
  <si>
    <r>
      <rPr>
        <sz val="12"/>
        <rFont val="Times New Roman"/>
        <family val="1"/>
      </rPr>
      <t>J</t>
    </r>
    <r>
      <rPr>
        <vertAlign val="subscript"/>
        <sz val="12"/>
        <rFont val="Times New Roman"/>
        <family val="1"/>
      </rPr>
      <t>M</t>
    </r>
    <r>
      <rPr>
        <sz val="12"/>
        <rFont val="Times New Roman"/>
        <family val="1"/>
      </rPr>
      <t>=</t>
    </r>
  </si>
  <si>
    <t>全负载惯量</t>
  </si>
  <si>
    <t>J=</t>
  </si>
  <si>
    <t>电机轴加速转矩</t>
  </si>
  <si>
    <r>
      <rPr>
        <sz val="14"/>
        <rFont val="Times New Roman"/>
        <family val="1"/>
      </rPr>
      <t>T</t>
    </r>
    <r>
      <rPr>
        <vertAlign val="subscript"/>
        <sz val="14"/>
        <rFont val="Times New Roman"/>
        <family val="1"/>
      </rPr>
      <t>S</t>
    </r>
    <r>
      <rPr>
        <sz val="14"/>
        <rFont val="Times New Roman"/>
        <family val="1"/>
      </rPr>
      <t>=</t>
    </r>
  </si>
  <si>
    <t>5）必须转矩</t>
  </si>
  <si>
    <t>必须转矩</t>
  </si>
  <si>
    <r>
      <rPr>
        <sz val="12"/>
        <rFont val="Times New Roman"/>
        <family val="1"/>
      </rPr>
      <t>T</t>
    </r>
    <r>
      <rPr>
        <vertAlign val="subscript"/>
        <sz val="12"/>
        <rFont val="Times New Roman"/>
        <family val="1"/>
      </rPr>
      <t>M</t>
    </r>
    <r>
      <rPr>
        <sz val="12"/>
        <rFont val="Times New Roman"/>
        <family val="1"/>
      </rPr>
      <t>=</t>
    </r>
  </si>
  <si>
    <r>
      <rPr>
        <sz val="14"/>
        <color indexed="8"/>
        <rFont val="宋体"/>
        <family val="3"/>
        <charset val="134"/>
      </rPr>
      <t>(T</t>
    </r>
    <r>
      <rPr>
        <vertAlign val="subscript"/>
        <sz val="14"/>
        <color indexed="8"/>
        <rFont val="宋体"/>
        <family val="3"/>
        <charset val="134"/>
      </rPr>
      <t>LM</t>
    </r>
    <r>
      <rPr>
        <sz val="14"/>
        <color indexed="8"/>
        <rFont val="宋体"/>
        <family val="3"/>
        <charset val="134"/>
      </rPr>
      <t>+T</t>
    </r>
    <r>
      <rPr>
        <vertAlign val="subscript"/>
        <sz val="14"/>
        <color indexed="8"/>
        <rFont val="宋体"/>
        <family val="3"/>
        <charset val="134"/>
      </rPr>
      <t>S)*S</t>
    </r>
  </si>
  <si>
    <t>6)负荷与电机惯量比</t>
  </si>
  <si>
    <t>N1=</t>
  </si>
  <si>
    <t>说明：由于是连续运动，所以在计算牛矩时只需考虑负载牛矩，启动牛矩忽略，但必须考虑到惯量的匹配</t>
  </si>
  <si>
    <t>机械结构参数：</t>
  </si>
  <si>
    <t>皮带速度：</t>
  </si>
  <si>
    <t>其他常数</t>
  </si>
  <si>
    <t>m2=</t>
  </si>
  <si>
    <t>FA=</t>
  </si>
  <si>
    <t>1)电机转速</t>
  </si>
  <si>
    <t>2)计算负载转矩</t>
  </si>
  <si>
    <t>TLM=</t>
  </si>
  <si>
    <t>4)计算折算到电机轴的惯量</t>
  </si>
  <si>
    <r>
      <rPr>
        <sz val="14"/>
        <color indexed="8"/>
        <rFont val="宋体"/>
        <family val="3"/>
        <charset val="134"/>
      </rPr>
      <t>T</t>
    </r>
    <r>
      <rPr>
        <vertAlign val="subscript"/>
        <sz val="14"/>
        <color indexed="8"/>
        <rFont val="宋体"/>
        <family val="3"/>
        <charset val="134"/>
      </rPr>
      <t>LM</t>
    </r>
    <r>
      <rPr>
        <sz val="14"/>
        <color indexed="8"/>
        <rFont val="宋体"/>
        <family val="3"/>
        <charset val="134"/>
      </rPr>
      <t>*S</t>
    </r>
  </si>
  <si>
    <r>
      <rPr>
        <sz val="12"/>
        <rFont val="Times New Roman"/>
        <family val="1"/>
      </rPr>
      <t>6)</t>
    </r>
    <r>
      <rPr>
        <sz val="12"/>
        <rFont val="宋体"/>
        <family val="3"/>
        <charset val="134"/>
      </rPr>
      <t>负荷与电机惯量比</t>
    </r>
  </si>
  <si>
    <t>分度盘机构选型计算表格</t>
  </si>
  <si>
    <t>分度盘直径</t>
  </si>
  <si>
    <r>
      <rPr>
        <sz val="12"/>
        <rFont val="Times New Roman"/>
        <family val="1"/>
      </rPr>
      <t>D</t>
    </r>
    <r>
      <rPr>
        <vertAlign val="subscript"/>
        <sz val="12"/>
        <rFont val="Times New Roman"/>
        <family val="1"/>
      </rPr>
      <t>T</t>
    </r>
    <r>
      <rPr>
        <sz val="12"/>
        <rFont val="Times New Roman"/>
        <family val="1"/>
      </rPr>
      <t>=</t>
    </r>
  </si>
  <si>
    <t>分度盘厚度</t>
  </si>
  <si>
    <r>
      <rPr>
        <sz val="12"/>
        <rFont val="Times New Roman"/>
        <family val="1"/>
      </rPr>
      <t>L</t>
    </r>
    <r>
      <rPr>
        <vertAlign val="subscript"/>
        <sz val="12"/>
        <rFont val="Times New Roman"/>
        <family val="1"/>
      </rPr>
      <t>T</t>
    </r>
    <r>
      <rPr>
        <sz val="12"/>
        <rFont val="Times New Roman"/>
        <family val="1"/>
      </rPr>
      <t>=</t>
    </r>
  </si>
  <si>
    <t>工作物直径</t>
  </si>
  <si>
    <r>
      <rPr>
        <sz val="12"/>
        <rFont val="Times New Roman"/>
        <family val="1"/>
      </rPr>
      <t>D</t>
    </r>
    <r>
      <rPr>
        <vertAlign val="subscript"/>
        <sz val="12"/>
        <rFont val="Times New Roman"/>
        <family val="1"/>
      </rPr>
      <t>W</t>
    </r>
    <r>
      <rPr>
        <sz val="12"/>
        <rFont val="Times New Roman"/>
        <family val="1"/>
      </rPr>
      <t>=</t>
    </r>
  </si>
  <si>
    <t>工作物厚度</t>
  </si>
  <si>
    <r>
      <rPr>
        <sz val="12"/>
        <rFont val="Times New Roman"/>
        <family val="1"/>
      </rPr>
      <t>L</t>
    </r>
    <r>
      <rPr>
        <vertAlign val="subscript"/>
        <sz val="12"/>
        <rFont val="Times New Roman"/>
        <family val="1"/>
      </rPr>
      <t>W</t>
    </r>
    <r>
      <rPr>
        <sz val="12"/>
        <rFont val="Times New Roman"/>
        <family val="1"/>
      </rPr>
      <t>=</t>
    </r>
  </si>
  <si>
    <t>工作台材质密度</t>
  </si>
  <si>
    <t>ρ=</t>
  </si>
  <si>
    <t>工作物数量</t>
  </si>
  <si>
    <t>由分度盘中心至工作物中心的距离</t>
  </si>
  <si>
    <r>
      <rPr>
        <i/>
        <sz val="12"/>
        <rFont val="Times New Roman"/>
        <family val="1"/>
      </rPr>
      <t>l</t>
    </r>
    <r>
      <rPr>
        <sz val="12"/>
        <rFont val="Times New Roman"/>
        <family val="1"/>
      </rPr>
      <t>=</t>
    </r>
  </si>
  <si>
    <t>定位角度</t>
  </si>
  <si>
    <t>θ=</t>
  </si>
  <si>
    <r>
      <rPr>
        <sz val="14"/>
        <rFont val="Times New Roman"/>
        <family val="1"/>
      </rPr>
      <t>t</t>
    </r>
    <r>
      <rPr>
        <sz val="14"/>
        <rFont val="Times New Roman"/>
        <family val="1"/>
      </rPr>
      <t>=</t>
    </r>
  </si>
  <si>
    <t>减速机减速比</t>
  </si>
  <si>
    <t>减速机效率</t>
  </si>
  <si>
    <r>
      <rPr>
        <sz val="14"/>
        <rFont val="Times New Roman"/>
        <family val="1"/>
      </rPr>
      <t>η</t>
    </r>
    <r>
      <rPr>
        <vertAlign val="subscript"/>
        <sz val="14"/>
        <rFont val="Times New Roman"/>
        <family val="1"/>
      </rPr>
      <t>G</t>
    </r>
    <r>
      <rPr>
        <sz val="14"/>
        <rFont val="Times New Roman"/>
        <family val="1"/>
      </rPr>
      <t>=</t>
    </r>
  </si>
  <si>
    <t>1）决定加减速时间</t>
  </si>
  <si>
    <t>加减速时间仍然以定位时间的25%</t>
  </si>
  <si>
    <t>加减速时间</t>
  </si>
  <si>
    <r>
      <rPr>
        <sz val="14"/>
        <rFont val="Times New Roman"/>
        <family val="1"/>
      </rPr>
      <t>t</t>
    </r>
    <r>
      <rPr>
        <vertAlign val="subscript"/>
        <sz val="14"/>
        <rFont val="Times New Roman"/>
        <family val="1"/>
      </rPr>
      <t>0</t>
    </r>
    <r>
      <rPr>
        <sz val="14"/>
        <rFont val="Times New Roman"/>
        <family val="1"/>
      </rPr>
      <t>=</t>
    </r>
  </si>
  <si>
    <r>
      <rPr>
        <sz val="12"/>
        <rFont val="宋体"/>
        <family val="3"/>
        <charset val="134"/>
      </rPr>
      <t>β</t>
    </r>
    <r>
      <rPr>
        <vertAlign val="subscript"/>
        <sz val="12"/>
        <rFont val="宋体"/>
        <family val="3"/>
        <charset val="134"/>
      </rPr>
      <t>G</t>
    </r>
    <r>
      <rPr>
        <sz val="12"/>
        <rFont val="宋体"/>
        <family val="3"/>
        <charset val="134"/>
      </rPr>
      <t>=</t>
    </r>
  </si>
  <si>
    <t>减速机输出轴最大转速</t>
  </si>
  <si>
    <t>电机轴角加速度</t>
  </si>
  <si>
    <t>βm=</t>
  </si>
  <si>
    <r>
      <rPr>
        <sz val="12"/>
        <rFont val="宋体"/>
        <family val="3"/>
        <charset val="134"/>
      </rPr>
      <t>β</t>
    </r>
    <r>
      <rPr>
        <vertAlign val="subscript"/>
        <sz val="12"/>
        <rFont val="宋体"/>
        <family val="3"/>
        <charset val="134"/>
      </rPr>
      <t>G</t>
    </r>
    <r>
      <rPr>
        <sz val="12"/>
        <rFont val="宋体"/>
        <family val="3"/>
        <charset val="134"/>
      </rPr>
      <t>*i</t>
    </r>
  </si>
  <si>
    <t>因为摩擦负载及小，故忽略</t>
  </si>
  <si>
    <t>工作台的惯量</t>
  </si>
  <si>
    <t>JT=</t>
  </si>
  <si>
    <t>工作物的惯量</t>
  </si>
  <si>
    <r>
      <rPr>
        <sz val="12"/>
        <rFont val="宋体"/>
        <family val="3"/>
        <charset val="134"/>
      </rPr>
      <t>J</t>
    </r>
    <r>
      <rPr>
        <vertAlign val="subscript"/>
        <sz val="12"/>
        <rFont val="宋体"/>
        <family val="3"/>
        <charset val="134"/>
      </rPr>
      <t>W1</t>
    </r>
    <r>
      <rPr>
        <sz val="12"/>
        <rFont val="宋体"/>
        <family val="3"/>
        <charset val="134"/>
      </rPr>
      <t>=</t>
    </r>
  </si>
  <si>
    <t>（工作物同时绕工作物中心轴旋转,如果工作物没有自转，可以不考虑这部分惯量）</t>
  </si>
  <si>
    <t>工作物质量</t>
  </si>
  <si>
    <r>
      <rPr>
        <sz val="14"/>
        <rFont val="宋体"/>
        <family val="3"/>
        <charset val="134"/>
      </rPr>
      <t>m</t>
    </r>
    <r>
      <rPr>
        <vertAlign val="subscript"/>
        <sz val="12"/>
        <rFont val="宋体"/>
        <family val="3"/>
        <charset val="134"/>
      </rPr>
      <t>w</t>
    </r>
    <r>
      <rPr>
        <sz val="12"/>
        <rFont val="宋体"/>
        <family val="3"/>
        <charset val="134"/>
      </rPr>
      <t>=</t>
    </r>
  </si>
  <si>
    <r>
      <rPr>
        <sz val="12"/>
        <rFont val="宋体"/>
        <family val="3"/>
        <charset val="134"/>
      </rPr>
      <t>J</t>
    </r>
    <r>
      <rPr>
        <vertAlign val="subscript"/>
        <sz val="12"/>
        <rFont val="宋体"/>
        <family val="3"/>
        <charset val="134"/>
      </rPr>
      <t>W</t>
    </r>
    <r>
      <rPr>
        <sz val="12"/>
        <rFont val="宋体"/>
        <family val="3"/>
        <charset val="134"/>
      </rPr>
      <t>=</t>
    </r>
  </si>
  <si>
    <t>(按工作物体中心自转）</t>
  </si>
  <si>
    <r>
      <rPr>
        <sz val="12"/>
        <rFont val="宋体"/>
        <family val="3"/>
        <charset val="134"/>
      </rPr>
      <t>J</t>
    </r>
    <r>
      <rPr>
        <vertAlign val="subscript"/>
        <sz val="12"/>
        <rFont val="宋体"/>
        <family val="3"/>
        <charset val="134"/>
      </rPr>
      <t>L</t>
    </r>
    <r>
      <rPr>
        <sz val="12"/>
        <rFont val="宋体"/>
        <family val="3"/>
        <charset val="134"/>
      </rPr>
      <t>=</t>
    </r>
  </si>
  <si>
    <r>
      <rPr>
        <sz val="12"/>
        <rFont val="宋体"/>
        <family val="3"/>
        <charset val="134"/>
      </rPr>
      <t>J</t>
    </r>
    <r>
      <rPr>
        <vertAlign val="subscript"/>
        <sz val="12"/>
        <rFont val="宋体"/>
        <family val="3"/>
        <charset val="134"/>
      </rPr>
      <t>T</t>
    </r>
    <r>
      <rPr>
        <sz val="12"/>
        <rFont val="宋体"/>
        <family val="3"/>
        <charset val="134"/>
      </rPr>
      <t>+J</t>
    </r>
    <r>
      <rPr>
        <vertAlign val="subscript"/>
        <sz val="12"/>
        <rFont val="宋体"/>
        <family val="3"/>
        <charset val="134"/>
      </rPr>
      <t>W</t>
    </r>
  </si>
  <si>
    <t>5）加速转矩</t>
  </si>
  <si>
    <t>负载折算到电机轴上的惯量：</t>
  </si>
  <si>
    <r>
      <rPr>
        <sz val="12"/>
        <rFont val="宋体"/>
        <family val="3"/>
        <charset val="134"/>
      </rPr>
      <t>J</t>
    </r>
    <r>
      <rPr>
        <vertAlign val="subscript"/>
        <sz val="12"/>
        <rFont val="宋体"/>
        <family val="3"/>
        <charset val="134"/>
      </rPr>
      <t>LM</t>
    </r>
    <r>
      <rPr>
        <sz val="12"/>
        <rFont val="宋体"/>
        <family val="3"/>
        <charset val="134"/>
      </rPr>
      <t>=</t>
    </r>
  </si>
  <si>
    <r>
      <rPr>
        <sz val="12"/>
        <rFont val="宋体"/>
        <family val="3"/>
        <charset val="134"/>
      </rPr>
      <t>J</t>
    </r>
    <r>
      <rPr>
        <vertAlign val="subscript"/>
        <sz val="12"/>
        <rFont val="宋体"/>
        <family val="3"/>
        <charset val="134"/>
      </rPr>
      <t>L</t>
    </r>
    <r>
      <rPr>
        <sz val="12"/>
        <rFont val="宋体"/>
        <family val="3"/>
        <charset val="134"/>
      </rPr>
      <t>/i</t>
    </r>
    <r>
      <rPr>
        <vertAlign val="superscript"/>
        <sz val="12"/>
        <rFont val="宋体"/>
        <family val="3"/>
        <charset val="134"/>
      </rPr>
      <t>2</t>
    </r>
  </si>
  <si>
    <r>
      <rPr>
        <sz val="12"/>
        <rFont val="Times New Roman"/>
        <family val="1"/>
      </rPr>
      <t>T</t>
    </r>
    <r>
      <rPr>
        <vertAlign val="subscript"/>
        <sz val="12"/>
        <rFont val="Times New Roman"/>
        <family val="1"/>
      </rPr>
      <t>s</t>
    </r>
    <r>
      <rPr>
        <sz val="12"/>
        <rFont val="Times New Roman"/>
        <family val="1"/>
      </rPr>
      <t>=</t>
    </r>
  </si>
  <si>
    <t>6)必须转矩</t>
  </si>
  <si>
    <r>
      <rPr>
        <sz val="12"/>
        <rFont val="宋体"/>
        <family val="3"/>
        <charset val="134"/>
      </rPr>
      <t>（T</t>
    </r>
    <r>
      <rPr>
        <vertAlign val="subscript"/>
        <sz val="12"/>
        <rFont val="宋体"/>
        <family val="3"/>
        <charset val="134"/>
      </rPr>
      <t>S</t>
    </r>
    <r>
      <rPr>
        <sz val="12"/>
        <rFont val="宋体"/>
        <family val="3"/>
        <charset val="134"/>
      </rPr>
      <t>+T</t>
    </r>
    <r>
      <rPr>
        <vertAlign val="subscript"/>
        <sz val="12"/>
        <rFont val="宋体"/>
        <family val="3"/>
        <charset val="134"/>
      </rPr>
      <t>L</t>
    </r>
    <r>
      <rPr>
        <sz val="12"/>
        <rFont val="宋体"/>
        <family val="3"/>
        <charset val="134"/>
      </rPr>
      <t>）*S</t>
    </r>
  </si>
  <si>
    <t>其他</t>
  </si>
  <si>
    <t>一.根据运动要求计算最大转速和角加速度</t>
  </si>
  <si>
    <t>运动参数：</t>
  </si>
  <si>
    <t>每次运动角度</t>
  </si>
  <si>
    <t>负载惯量</t>
  </si>
  <si>
    <r>
      <rPr>
        <sz val="12"/>
        <rFont val="宋体"/>
        <family val="3"/>
        <charset val="134"/>
      </rPr>
      <t>Kg.m</t>
    </r>
    <r>
      <rPr>
        <vertAlign val="superscript"/>
        <sz val="12"/>
        <rFont val="宋体"/>
        <family val="3"/>
        <charset val="134"/>
      </rPr>
      <t>2</t>
    </r>
  </si>
  <si>
    <r>
      <rPr>
        <sz val="12"/>
        <rFont val="宋体"/>
        <family val="3"/>
        <charset val="134"/>
      </rPr>
      <t>N</t>
    </r>
    <r>
      <rPr>
        <sz val="12"/>
        <rFont val="宋体"/>
        <family val="3"/>
        <charset val="134"/>
      </rPr>
      <t>max</t>
    </r>
    <r>
      <rPr>
        <sz val="12"/>
        <rFont val="宋体"/>
        <family val="3"/>
        <charset val="134"/>
      </rPr>
      <t>=</t>
    </r>
  </si>
  <si>
    <t>Nmax*i</t>
  </si>
  <si>
    <t>电机输出扭据：</t>
  </si>
  <si>
    <t>Jβ</t>
  </si>
  <si>
    <t>Ts＝</t>
  </si>
  <si>
    <t>2×T</t>
  </si>
  <si>
    <t>常识</t>
  </si>
  <si>
    <t>一.电机温升</t>
  </si>
  <si>
    <t>电机温度是指电机各部分实际发热温度,它对电机的绝缘材影响很大,温度过高会使绝缘老化缩短电动机寿命,甚至导致绝缘破坏.</t>
  </si>
  <si>
    <t>为使绝缘不致老化和破坏,对电机绕组等各部分温度作了一定的限制,这个温度限制就是电机的允许温度.电机的各部温度的高低</t>
  </si>
  <si>
    <t>还与外界条件有关,温升就是电动机温度比周围环境温度高出的数值.</t>
  </si>
  <si>
    <t>θ＝T2-T1</t>
  </si>
  <si>
    <t>θ-------温升</t>
  </si>
  <si>
    <t>T1-------实际冷却状态下的绕组温度(即环境温度);</t>
  </si>
  <si>
    <t>T2-------发热状态下绕组温度</t>
  </si>
  <si>
    <t>二.电机功率</t>
  </si>
  <si>
    <t>1. 根据电源电压、使用条件、拖动对象选择电机.要求电源电压与电机额定电压相符.</t>
  </si>
  <si>
    <t>2. 根据安装地点和工作环境选择不同型式的电机.</t>
  </si>
  <si>
    <t>3. 根据容量、效率、功率因数、转数选择电机.如果容量选择过小,就会发生长期过载现象,影响电动机寿命甚至烧毁.</t>
  </si>
  <si>
    <t xml:space="preserve">   如果容量选择过大,电机的输出机械功率不能充分利用,功率因数也不高.因为电机的功率因数和效率是随着负载变化的.</t>
  </si>
  <si>
    <t>4. 电机在恒定负载运行下,功率计算公式如下:</t>
  </si>
  <si>
    <t>　　式中:</t>
  </si>
  <si>
    <t>　　　　 P-----电机的功率(KW);</t>
  </si>
  <si>
    <t>　　　 　P1----生产机械功率(KW);</t>
  </si>
  <si>
    <t>　  　　 η1----生产机械本身效率;</t>
  </si>
  <si>
    <r>
      <rPr>
        <sz val="12"/>
        <rFont val="宋体"/>
        <family val="3"/>
        <charset val="134"/>
      </rPr>
      <t>　　　　 η</t>
    </r>
    <r>
      <rPr>
        <vertAlign val="subscript"/>
        <sz val="12"/>
        <rFont val="宋体"/>
        <family val="3"/>
        <charset val="134"/>
      </rPr>
      <t>2</t>
    </r>
    <r>
      <rPr>
        <sz val="12"/>
        <rFont val="宋体"/>
        <family val="3"/>
        <charset val="134"/>
      </rPr>
      <t xml:space="preserve"> ----电机效率.</t>
    </r>
  </si>
  <si>
    <t>　　上式计算出的功率不一定与产品规格相同,所以选择电机的额定功率(P1)应等于或稍大于计算所得的功率</t>
  </si>
  <si>
    <t>圆盘选型计算表格</t>
  </si>
  <si>
    <t>分度盘半径</t>
  </si>
  <si>
    <t>π=</t>
  </si>
  <si>
    <t>工作台质量</t>
  </si>
  <si>
    <t>RPM</t>
  </si>
  <si>
    <r>
      <rPr>
        <sz val="16"/>
        <rFont val="Times New Roman"/>
        <family val="1"/>
      </rPr>
      <t>t</t>
    </r>
    <r>
      <rPr>
        <sz val="12"/>
        <rFont val="Times New Roman"/>
        <family val="1"/>
      </rPr>
      <t>=</t>
    </r>
  </si>
  <si>
    <r>
      <rPr>
        <sz val="12"/>
        <rFont val="宋体"/>
        <family val="3"/>
        <charset val="134"/>
      </rPr>
      <t>β</t>
    </r>
    <r>
      <rPr>
        <sz val="12"/>
        <rFont val="宋体"/>
        <family val="3"/>
        <charset val="134"/>
      </rPr>
      <t>=</t>
    </r>
  </si>
  <si>
    <t>(2*PI*V)/60*t0</t>
  </si>
  <si>
    <t>3)负载惯量</t>
  </si>
  <si>
    <t>根据惯量计算公司</t>
  </si>
  <si>
    <r>
      <rPr>
        <sz val="12"/>
        <rFont val="宋体"/>
        <family val="3"/>
        <charset val="134"/>
      </rPr>
      <t>J</t>
    </r>
    <r>
      <rPr>
        <sz val="6"/>
        <rFont val="宋体"/>
        <family val="3"/>
        <charset val="134"/>
      </rPr>
      <t>L</t>
    </r>
    <r>
      <rPr>
        <sz val="12"/>
        <rFont val="宋体"/>
        <family val="3"/>
        <charset val="134"/>
      </rPr>
      <t>=</t>
    </r>
  </si>
  <si>
    <t>0.5*M*R*R</t>
  </si>
  <si>
    <t>负载转矩</t>
  </si>
  <si>
    <r>
      <rPr>
        <sz val="12"/>
        <rFont val="宋体"/>
        <family val="3"/>
        <charset val="134"/>
      </rPr>
      <t>T</t>
    </r>
    <r>
      <rPr>
        <sz val="8"/>
        <rFont val="宋体"/>
        <family val="3"/>
        <charset val="134"/>
      </rPr>
      <t>S</t>
    </r>
    <r>
      <rPr>
        <sz val="12"/>
        <rFont val="宋体"/>
        <family val="3"/>
        <charset val="134"/>
      </rPr>
      <t>=</t>
    </r>
  </si>
  <si>
    <r>
      <rPr>
        <sz val="12"/>
        <rFont val="宋体"/>
        <family val="3"/>
        <charset val="134"/>
      </rPr>
      <t>(J</t>
    </r>
    <r>
      <rPr>
        <sz val="8"/>
        <rFont val="宋体"/>
        <family val="3"/>
        <charset val="134"/>
      </rPr>
      <t>L+</t>
    </r>
    <r>
      <rPr>
        <sz val="12"/>
        <rFont val="宋体"/>
        <family val="3"/>
        <charset val="134"/>
      </rPr>
      <t>J</t>
    </r>
    <r>
      <rPr>
        <sz val="8"/>
        <rFont val="宋体"/>
        <family val="3"/>
        <charset val="134"/>
      </rPr>
      <t>M)</t>
    </r>
    <r>
      <rPr>
        <sz val="12"/>
        <rFont val="宋体"/>
        <family val="3"/>
        <charset val="134"/>
      </rPr>
      <t>*β</t>
    </r>
  </si>
  <si>
    <r>
      <rPr>
        <sz val="12"/>
        <rFont val="宋体"/>
        <family val="3"/>
        <charset val="134"/>
      </rPr>
      <t>J</t>
    </r>
    <r>
      <rPr>
        <sz val="8"/>
        <rFont val="宋体"/>
        <family val="3"/>
        <charset val="134"/>
      </rPr>
      <t>L</t>
    </r>
    <r>
      <rPr>
        <sz val="12"/>
        <rFont val="宋体"/>
        <family val="3"/>
        <charset val="134"/>
      </rPr>
      <t>/J</t>
    </r>
    <r>
      <rPr>
        <sz val="8"/>
        <rFont val="宋体"/>
        <family val="3"/>
        <charset val="134"/>
      </rPr>
      <t>M</t>
    </r>
  </si>
  <si>
    <t>当负荷与电机惯量比&gt;5时，考虑采用减速装置，提高惯量匹配</t>
  </si>
  <si>
    <t>折算后的惯量比</t>
  </si>
  <si>
    <r>
      <rPr>
        <sz val="12"/>
        <rFont val="宋体"/>
        <family val="3"/>
        <charset val="134"/>
      </rPr>
      <t>I</t>
    </r>
    <r>
      <rPr>
        <vertAlign val="subscript"/>
        <sz val="12"/>
        <rFont val="宋体"/>
        <family val="3"/>
        <charset val="134"/>
      </rPr>
      <t>2</t>
    </r>
    <r>
      <rPr>
        <sz val="12"/>
        <rFont val="宋体"/>
        <family val="3"/>
        <charset val="134"/>
      </rPr>
      <t>=</t>
    </r>
  </si>
  <si>
    <t>表格换算表格只针对公制基孔或基轴制螺纹（公众号：曼仑）</t>
  </si>
  <si>
    <t>内螺纹</t>
  </si>
  <si>
    <t>小径公差带(单位mm)</t>
  </si>
  <si>
    <t>外螺纹</t>
  </si>
  <si>
    <t>大径公差带(mm)</t>
  </si>
  <si>
    <t>公称直径D</t>
  </si>
  <si>
    <t>螺距P</t>
  </si>
  <si>
    <t>公称直径d</t>
  </si>
  <si>
    <t>小径min</t>
  </si>
  <si>
    <t>小径max</t>
  </si>
  <si>
    <t>中径min</t>
  </si>
  <si>
    <t>中径max</t>
  </si>
  <si>
    <t>大径min</t>
  </si>
  <si>
    <t>大径max</t>
  </si>
  <si>
    <t>具体引用公式</t>
  </si>
  <si>
    <t>小径D1</t>
  </si>
  <si>
    <t>D1=D-1.0825*P</t>
  </si>
  <si>
    <t>小径d1</t>
  </si>
  <si>
    <t>d1=d-1.0825*P</t>
  </si>
  <si>
    <t>中径D2</t>
  </si>
  <si>
    <t>D2=D-0.6495*P</t>
  </si>
  <si>
    <t>中径d2</t>
  </si>
  <si>
    <t>d2=d-0.6495*P</t>
  </si>
  <si>
    <t>外螺纹大径dmin</t>
  </si>
  <si>
    <t>dmin=D-Td</t>
  </si>
  <si>
    <t>外螺纹小径d1min</t>
  </si>
  <si>
    <t>d1min=d1-2ac</t>
  </si>
  <si>
    <t>Td=k*(180*(P^2/3)-3.15(P*-1/2))</t>
  </si>
  <si>
    <t>外螺纹大径dmax</t>
  </si>
  <si>
    <t>dmax=d</t>
  </si>
  <si>
    <t>外螺纹小径d2max</t>
  </si>
  <si>
    <t>d1max=d1-2ac-Td1</t>
  </si>
  <si>
    <t>内螺纹大径Dmin</t>
  </si>
  <si>
    <t>Dmin=D+2ac(国标取消补偿2ac)</t>
  </si>
  <si>
    <t>外螺纹小径公差带Td1（h级es取0）</t>
  </si>
  <si>
    <r>
      <rPr>
        <sz val="11"/>
        <color indexed="8"/>
        <rFont val="宋体"/>
        <family val="3"/>
        <charset val="134"/>
      </rPr>
      <t>Td1=1.25Td2+</t>
    </r>
    <r>
      <rPr>
        <sz val="11"/>
        <color indexed="8"/>
        <rFont val="宋体"/>
        <family val="3"/>
        <charset val="134"/>
      </rPr>
      <t>∣</t>
    </r>
    <r>
      <rPr>
        <sz val="11"/>
        <color indexed="8"/>
        <rFont val="宋体"/>
        <family val="3"/>
        <charset val="134"/>
      </rPr>
      <t>es</t>
    </r>
    <r>
      <rPr>
        <sz val="11"/>
        <color indexed="8"/>
        <rFont val="宋体"/>
        <family val="3"/>
        <charset val="134"/>
      </rPr>
      <t>∣</t>
    </r>
  </si>
  <si>
    <t>内螺纹中径公差带TD2</t>
  </si>
  <si>
    <t>TD2=k*118*（P^0.4）*（D^0.1）</t>
  </si>
  <si>
    <t>外螺纹中径公差带Td2</t>
  </si>
  <si>
    <t>Td2=k*90*（P^0.4）*（d^0.1）</t>
  </si>
  <si>
    <t>K值选用</t>
  </si>
  <si>
    <t>内螺纹公差等级表格</t>
  </si>
  <si>
    <t>外螺纹公差等级表格</t>
  </si>
  <si>
    <t>参考书籍：机械设计手册（第五版）第一卷 第2篇 2-111页</t>
  </si>
  <si>
    <r>
      <rPr>
        <b/>
        <sz val="10.5"/>
        <color rgb="FF000000"/>
        <rFont val="宋体"/>
        <family val="3"/>
        <charset val="134"/>
      </rPr>
      <t>上偏差</t>
    </r>
    <r>
      <rPr>
        <b/>
        <sz val="10.5"/>
        <color rgb="FF000000"/>
        <rFont val="Times New Roman"/>
        <family val="1"/>
      </rPr>
      <t>es /μm</t>
    </r>
  </si>
  <si>
    <t>基本偏差数值</t>
  </si>
  <si>
    <r>
      <rPr>
        <b/>
        <sz val="10.5"/>
        <color rgb="FF000000"/>
        <rFont val="宋体"/>
        <family val="3"/>
        <charset val="134"/>
      </rPr>
      <t>下偏差</t>
    </r>
    <r>
      <rPr>
        <b/>
        <sz val="10.5"/>
        <color rgb="FF000000"/>
        <rFont val="Times New Roman"/>
        <family val="1"/>
      </rPr>
      <t>ei /μm</t>
    </r>
  </si>
  <si>
    <t>/mm</t>
  </si>
  <si>
    <t>所有标准公差等级</t>
  </si>
  <si>
    <t>≤</t>
  </si>
  <si>
    <t>和</t>
  </si>
  <si>
    <r>
      <rPr>
        <b/>
        <sz val="10.5"/>
        <color rgb="FF000000"/>
        <rFont val="宋体"/>
        <family val="3"/>
        <charset val="134"/>
      </rPr>
      <t>＞</t>
    </r>
    <r>
      <rPr>
        <b/>
        <sz val="10.5"/>
        <color rgb="FF000000"/>
        <rFont val="Times New Roman"/>
        <family val="1"/>
      </rPr>
      <t>IT7</t>
    </r>
  </si>
  <si>
    <t>cd</t>
  </si>
  <si>
    <t>ef</t>
  </si>
  <si>
    <t>fg</t>
  </si>
  <si>
    <t>j</t>
  </si>
  <si>
    <t>za</t>
  </si>
  <si>
    <t>zb</t>
  </si>
  <si>
    <t>zc</t>
  </si>
  <si>
    <t>+5Z</t>
  </si>
  <si>
    <r>
      <rPr>
        <sz val="10.5"/>
        <color theme="1"/>
        <rFont val="宋体"/>
        <family val="3"/>
        <charset val="134"/>
      </rPr>
      <t>注：</t>
    </r>
    <r>
      <rPr>
        <sz val="10.5"/>
        <color theme="1"/>
        <rFont val="Times New Roman"/>
        <family val="1"/>
      </rPr>
      <t>1</t>
    </r>
    <r>
      <rPr>
        <sz val="10.5"/>
        <color theme="1"/>
        <rFont val="黑体"/>
        <family val="3"/>
        <charset val="134"/>
      </rPr>
      <t>．</t>
    </r>
    <r>
      <rPr>
        <sz val="10.5"/>
        <color theme="1"/>
        <rFont val="宋体"/>
        <family val="3"/>
        <charset val="134"/>
      </rPr>
      <t>基本尺寸小于或等于</t>
    </r>
    <r>
      <rPr>
        <sz val="10.5"/>
        <color theme="1"/>
        <rFont val="Times New Roman"/>
        <family val="1"/>
      </rPr>
      <t>1mm</t>
    </r>
    <r>
      <rPr>
        <sz val="10.5"/>
        <color theme="1"/>
        <rFont val="宋体"/>
        <family val="3"/>
        <charset val="134"/>
      </rPr>
      <t>时，基本偏差</t>
    </r>
    <r>
      <rPr>
        <sz val="10.5"/>
        <color theme="1"/>
        <rFont val="Times New Roman"/>
        <family val="1"/>
      </rPr>
      <t>a</t>
    </r>
    <r>
      <rPr>
        <sz val="10.5"/>
        <color theme="1"/>
        <rFont val="宋体"/>
        <family val="3"/>
        <charset val="134"/>
      </rPr>
      <t>和</t>
    </r>
    <r>
      <rPr>
        <sz val="10.5"/>
        <color theme="1"/>
        <rFont val="Times New Roman"/>
        <family val="1"/>
      </rPr>
      <t>b</t>
    </r>
    <r>
      <rPr>
        <sz val="10.5"/>
        <color theme="1"/>
        <rFont val="宋体"/>
        <family val="3"/>
        <charset val="134"/>
      </rPr>
      <t>均不采用。</t>
    </r>
  </si>
  <si>
    <r>
      <rPr>
        <sz val="10.5"/>
        <color theme="1"/>
        <rFont val="Times New Roman"/>
        <family val="1"/>
      </rPr>
      <t>2</t>
    </r>
    <r>
      <rPr>
        <sz val="10.5"/>
        <color theme="1"/>
        <rFont val="黑体"/>
        <family val="3"/>
        <charset val="134"/>
      </rPr>
      <t>．</t>
    </r>
    <r>
      <rPr>
        <sz val="10.5"/>
        <color theme="1"/>
        <rFont val="宋体"/>
        <family val="3"/>
        <charset val="134"/>
      </rPr>
      <t>轴</t>
    </r>
    <r>
      <rPr>
        <sz val="10.5"/>
        <color theme="1"/>
        <rFont val="Times New Roman"/>
        <family val="1"/>
      </rPr>
      <t>js</t>
    </r>
    <r>
      <rPr>
        <sz val="10.5"/>
        <color theme="1"/>
        <rFont val="宋体"/>
        <family val="3"/>
        <charset val="134"/>
      </rPr>
      <t>偏差＝</t>
    </r>
    <r>
      <rPr>
        <sz val="10.5"/>
        <color theme="1"/>
        <rFont val="Times New Roman"/>
        <family val="1"/>
      </rPr>
      <t xml:space="preserve">            </t>
    </r>
    <r>
      <rPr>
        <sz val="10.5"/>
        <color theme="1"/>
        <rFont val="宋体"/>
        <family val="3"/>
        <charset val="134"/>
      </rPr>
      <t>。对于公差带</t>
    </r>
    <r>
      <rPr>
        <sz val="10.5"/>
        <color theme="1"/>
        <rFont val="Times New Roman"/>
        <family val="1"/>
      </rPr>
      <t>js7</t>
    </r>
    <r>
      <rPr>
        <sz val="10.5"/>
        <color theme="1"/>
        <rFont val="宋体"/>
        <family val="3"/>
        <charset val="134"/>
      </rPr>
      <t>至</t>
    </r>
    <r>
      <rPr>
        <sz val="10.5"/>
        <color theme="1"/>
        <rFont val="Times New Roman"/>
        <family val="1"/>
      </rPr>
      <t>js11</t>
    </r>
    <r>
      <rPr>
        <sz val="10.5"/>
        <color theme="1"/>
        <rFont val="宋体"/>
        <family val="3"/>
        <charset val="134"/>
      </rPr>
      <t>，若</t>
    </r>
    <r>
      <rPr>
        <sz val="10.5"/>
        <color theme="1"/>
        <rFont val="Times New Roman"/>
        <family val="1"/>
      </rPr>
      <t>ITn</t>
    </r>
    <r>
      <rPr>
        <sz val="10.5"/>
        <color theme="1"/>
        <rFont val="宋体"/>
        <family val="3"/>
        <charset val="134"/>
      </rPr>
      <t>值数是奇数，取偏差＝</t>
    </r>
  </si>
  <si>
    <r>
      <t>UCT带滑块轴承座规格表</t>
    </r>
    <r>
      <rPr>
        <b/>
        <sz val="14"/>
        <color theme="1"/>
        <rFont val="宋体"/>
        <family val="3"/>
        <charset val="134"/>
      </rPr>
      <t>（公众号：曼仑）</t>
    </r>
  </si>
  <si>
    <t>挤压丝锥公制螺纹底孔直径一览表</t>
  </si>
  <si>
    <t>螺纹公称尺寸MXP</t>
  </si>
  <si>
    <t>推荐钻头直径D</t>
  </si>
  <si>
    <t>最小直径</t>
  </si>
  <si>
    <t>最大直径</t>
  </si>
  <si>
    <r>
      <rPr>
        <sz val="12"/>
        <rFont val="宋体"/>
        <family val="3"/>
        <charset val="134"/>
        <scheme val="minor"/>
      </rPr>
      <t>M</t>
    </r>
    <r>
      <rPr>
        <sz val="12"/>
        <rFont val="宋体"/>
        <family val="3"/>
        <charset val="134"/>
        <scheme val="minor"/>
      </rPr>
      <t>2x0.4</t>
    </r>
  </si>
  <si>
    <r>
      <rPr>
        <sz val="12"/>
        <rFont val="宋体"/>
        <family val="3"/>
        <charset val="134"/>
        <scheme val="minor"/>
      </rPr>
      <t>M</t>
    </r>
    <r>
      <rPr>
        <sz val="12"/>
        <rFont val="宋体"/>
        <family val="3"/>
        <charset val="134"/>
        <scheme val="minor"/>
      </rPr>
      <t>2.2X0.45</t>
    </r>
  </si>
  <si>
    <t>M2.5X0.45</t>
  </si>
  <si>
    <t>M3X0.5</t>
  </si>
  <si>
    <t>M4X0.7</t>
  </si>
  <si>
    <t>M5X0.8</t>
  </si>
  <si>
    <t>M6X1</t>
  </si>
  <si>
    <t>M7X1</t>
  </si>
  <si>
    <t>M8X1.25</t>
  </si>
  <si>
    <t>M10X1.5</t>
  </si>
  <si>
    <t>M10X1.25</t>
  </si>
  <si>
    <t>M10X1</t>
  </si>
  <si>
    <t>M12X1.75</t>
  </si>
  <si>
    <t>M12X1.5</t>
  </si>
  <si>
    <t>M12X1.25</t>
  </si>
  <si>
    <t>M14X2</t>
  </si>
  <si>
    <t>M14X1.5</t>
  </si>
  <si>
    <t>M16X2</t>
  </si>
  <si>
    <t>M16X1.5</t>
  </si>
  <si>
    <t>M18X2.5</t>
  </si>
  <si>
    <t>M18X1.5</t>
  </si>
  <si>
    <t>M20X2.5</t>
  </si>
  <si>
    <t>M20X1</t>
  </si>
  <si>
    <t xml:space="preserve">非 标 设 计 最 强 自 动 计 算 </t>
    <phoneticPr fontId="2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</si>
</sst>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76" formatCode="0.000_ "/>
    <numFmt numFmtId="177" formatCode="0.000;[Red]0.000"/>
    <numFmt numFmtId="178" formatCode="0.00_ "/>
    <numFmt numFmtId="179" formatCode="0.00_);[Red]\(0.00\)"/>
    <numFmt numFmtId="180" formatCode="0.00;[Red]0.00"/>
    <numFmt numFmtId="181" formatCode="0.0000_ "/>
    <numFmt numFmtId="182" formatCode="0.0E+00"/>
    <numFmt numFmtId="183" formatCode="0_ "/>
    <numFmt numFmtId="184" formatCode="0.0;[Red]0.0"/>
    <numFmt numFmtId="185" formatCode="0.0"/>
    <numFmt numFmtId="186" formatCode="0.000"/>
    <numFmt numFmtId="187" formatCode="0.0000"/>
    <numFmt numFmtId="188" formatCode="0.000_);[Red]\(0.000\)"/>
    <numFmt numFmtId="189" formatCode="0.0000_);[Red]\(0.0000\)"/>
    <numFmt numFmtId="190" formatCode="0_);[Red]\(0\)"/>
    <numFmt numFmtId="191" formatCode="0.00000_);[Red]\(0.00000\)"/>
    <numFmt numFmtId="192" formatCode="0.000000_ "/>
    <numFmt numFmtId="193" formatCode="0_);\(0\)"/>
    <numFmt numFmtId="194" formatCode="0.0_);[Red]\(0.0\)"/>
    <numFmt numFmtId="195" formatCode="0.0_ "/>
    <numFmt numFmtId="196" formatCode="#,##0.0_ "/>
    <numFmt numFmtId="197" formatCode="0.0000_ ;[Red]\-0.0000\ "/>
    <numFmt numFmtId="198" formatCode="0.00000_ "/>
    <numFmt numFmtId="199" formatCode="\¥#,##0.00;\¥\-#,##0.00"/>
    <numFmt numFmtId="200" formatCode="&quot;  =&quot;0.00_ &quot;N&quot;"/>
    <numFmt numFmtId="201" formatCode="0;[Red]0"/>
    <numFmt numFmtId="202" formatCode="#,##0_ "/>
    <numFmt numFmtId="203" formatCode="#,##0.0000_ "/>
  </numFmts>
  <fonts count="516">
    <font>
      <sz val="12"/>
      <name val="宋体"/>
      <charset val="134"/>
      <scheme val="minor"/>
    </font>
    <font>
      <b/>
      <sz val="16"/>
      <name val="宋体"/>
      <family val="3"/>
      <charset val="134"/>
      <scheme val="minor"/>
    </font>
    <font>
      <sz val="12"/>
      <name val="宋体"/>
      <family val="3"/>
      <charset val="134"/>
      <scheme val="minor"/>
    </font>
    <font>
      <b/>
      <sz val="25"/>
      <color theme="1"/>
      <name val="宋体"/>
      <family val="3"/>
      <charset val="134"/>
    </font>
    <font>
      <b/>
      <sz val="25"/>
      <color theme="1"/>
      <name val="宋体"/>
      <family val="3"/>
      <charset val="134"/>
      <scheme val="minor"/>
    </font>
    <font>
      <sz val="11"/>
      <color theme="1"/>
      <name val="宋体"/>
      <family val="3"/>
      <charset val="134"/>
      <scheme val="minor"/>
    </font>
    <font>
      <sz val="20"/>
      <color theme="1"/>
      <name val="华文宋体"/>
      <family val="3"/>
      <charset val="134"/>
    </font>
    <font>
      <b/>
      <sz val="10.5"/>
      <color rgb="FF000000"/>
      <name val="宋体"/>
      <family val="3"/>
      <charset val="134"/>
    </font>
    <font>
      <b/>
      <sz val="10.5"/>
      <color rgb="FF000000"/>
      <name val="Times New Roman"/>
      <family val="1"/>
    </font>
    <font>
      <b/>
      <sz val="11"/>
      <color theme="1"/>
      <name val="宋体"/>
      <family val="3"/>
      <charset val="134"/>
      <scheme val="minor"/>
    </font>
    <font>
      <sz val="10.5"/>
      <color rgb="FF000000"/>
      <name val="宋体"/>
      <family val="3"/>
      <charset val="134"/>
    </font>
    <font>
      <sz val="10.5"/>
      <color theme="1"/>
      <name val="宋体"/>
      <family val="3"/>
      <charset val="134"/>
    </font>
    <font>
      <sz val="10.5"/>
      <color rgb="FF000000"/>
      <name val="Times New Roman"/>
      <family val="1"/>
    </font>
    <font>
      <sz val="10.5"/>
      <color theme="1"/>
      <name val="Times New Roman"/>
      <family val="1"/>
    </font>
    <font>
      <sz val="11"/>
      <color theme="1"/>
      <name val="微软雅黑"/>
      <family val="2"/>
      <charset val="134"/>
    </font>
    <font>
      <sz val="11"/>
      <color indexed="8"/>
      <name val="宋体"/>
      <family val="3"/>
      <charset val="134"/>
    </font>
    <font>
      <b/>
      <sz val="25"/>
      <name val="宋体"/>
      <family val="3"/>
      <charset val="134"/>
      <scheme val="minor"/>
    </font>
    <font>
      <sz val="25"/>
      <name val="宋体"/>
      <family val="3"/>
      <charset val="134"/>
      <scheme val="minor"/>
    </font>
    <font>
      <sz val="11"/>
      <color indexed="8"/>
      <name val="Arial"/>
      <family val="2"/>
    </font>
    <font>
      <sz val="20"/>
      <name val="宋体"/>
      <family val="3"/>
      <charset val="134"/>
    </font>
    <font>
      <sz val="12"/>
      <name val="Times New Roman"/>
      <family val="1"/>
    </font>
    <font>
      <sz val="14"/>
      <name val="Times New Roman"/>
      <family val="1"/>
    </font>
    <font>
      <sz val="16"/>
      <name val="Times New Roman"/>
      <family val="1"/>
    </font>
    <font>
      <sz val="14"/>
      <name val="宋体"/>
      <family val="3"/>
      <charset val="134"/>
    </font>
    <font>
      <i/>
      <sz val="12"/>
      <name val="Times New Roman"/>
      <family val="1"/>
    </font>
    <font>
      <sz val="10"/>
      <name val="宋体"/>
      <family val="3"/>
      <charset val="134"/>
    </font>
    <font>
      <sz val="14"/>
      <color indexed="8"/>
      <name val="宋体"/>
      <family val="3"/>
      <charset val="134"/>
    </font>
    <font>
      <b/>
      <sz val="12"/>
      <color indexed="10"/>
      <name val="宋体"/>
      <family val="3"/>
      <charset val="134"/>
    </font>
    <font>
      <b/>
      <sz val="15"/>
      <name val="宋体"/>
      <family val="3"/>
      <charset val="134"/>
      <scheme val="minor"/>
    </font>
    <font>
      <b/>
      <sz val="18"/>
      <name val="宋体"/>
      <family val="3"/>
      <charset val="134"/>
    </font>
    <font>
      <b/>
      <sz val="12"/>
      <name val="宋体"/>
      <family val="3"/>
      <charset val="134"/>
    </font>
    <font>
      <sz val="18"/>
      <name val="宋体"/>
      <family val="3"/>
      <charset val="134"/>
    </font>
    <font>
      <b/>
      <sz val="18"/>
      <name val="Times New Roman"/>
      <family val="1"/>
    </font>
    <font>
      <b/>
      <sz val="10"/>
      <color indexed="23"/>
      <name val="宋体"/>
      <family val="3"/>
      <charset val="134"/>
    </font>
    <font>
      <sz val="10"/>
      <color indexed="23"/>
      <name val="Times New Roman"/>
      <family val="1"/>
    </font>
    <font>
      <sz val="10"/>
      <color indexed="23"/>
      <name val="宋体"/>
      <family val="3"/>
      <charset val="134"/>
    </font>
    <font>
      <b/>
      <sz val="10"/>
      <color indexed="12"/>
      <name val="宋体"/>
      <family val="3"/>
      <charset val="134"/>
    </font>
    <font>
      <b/>
      <sz val="10"/>
      <color indexed="10"/>
      <name val="宋体"/>
      <family val="3"/>
      <charset val="134"/>
    </font>
    <font>
      <sz val="8"/>
      <name val="宋体"/>
      <family val="3"/>
      <charset val="134"/>
    </font>
    <font>
      <b/>
      <sz val="12"/>
      <name val="Times New Roman"/>
      <family val="1"/>
    </font>
    <font>
      <sz val="10"/>
      <color indexed="12"/>
      <name val="宋体"/>
      <family val="3"/>
      <charset val="134"/>
    </font>
    <font>
      <sz val="9"/>
      <color indexed="10"/>
      <name val="宋体"/>
      <family val="3"/>
      <charset val="134"/>
    </font>
    <font>
      <sz val="10"/>
      <color indexed="10"/>
      <name val="宋体"/>
      <family val="3"/>
      <charset val="134"/>
    </font>
    <font>
      <sz val="9"/>
      <color indexed="12"/>
      <name val="宋体"/>
      <family val="3"/>
      <charset val="134"/>
    </font>
    <font>
      <sz val="12"/>
      <color indexed="44"/>
      <name val="宋体"/>
      <family val="3"/>
      <charset val="134"/>
    </font>
    <font>
      <sz val="12"/>
      <color indexed="10"/>
      <name val="宋体"/>
      <family val="3"/>
      <charset val="134"/>
    </font>
    <font>
      <sz val="9"/>
      <color indexed="10"/>
      <name val="Times New Roman"/>
      <family val="1"/>
    </font>
    <font>
      <sz val="12"/>
      <color indexed="44"/>
      <name val="Times New Roman"/>
      <family val="1"/>
    </font>
    <font>
      <sz val="9"/>
      <color indexed="44"/>
      <name val="宋体"/>
      <family val="3"/>
      <charset val="134"/>
    </font>
    <font>
      <sz val="11"/>
      <name val="宋体"/>
      <family val="3"/>
      <charset val="134"/>
    </font>
    <font>
      <sz val="9"/>
      <name val="宋体"/>
      <family val="3"/>
      <charset val="134"/>
    </font>
    <font>
      <sz val="10"/>
      <color indexed="10"/>
      <name val="Times New Roman"/>
      <family val="1"/>
    </font>
    <font>
      <sz val="10"/>
      <name val="Times New Roman"/>
      <family val="1"/>
    </font>
    <font>
      <sz val="12"/>
      <color indexed="10"/>
      <name val="Times New Roman"/>
      <family val="1"/>
    </font>
    <font>
      <sz val="10"/>
      <color indexed="12"/>
      <name val="Times New Roman"/>
      <family val="1"/>
    </font>
    <font>
      <sz val="10"/>
      <color indexed="44"/>
      <name val="宋体"/>
      <family val="3"/>
      <charset val="134"/>
    </font>
    <font>
      <sz val="9"/>
      <color indexed="12"/>
      <name val="Times New Roman"/>
      <family val="1"/>
    </font>
    <font>
      <sz val="11"/>
      <color indexed="44"/>
      <name val="宋体"/>
      <family val="3"/>
      <charset val="134"/>
    </font>
    <font>
      <sz val="10"/>
      <color indexed="44"/>
      <name val="Times New Roman"/>
      <family val="1"/>
    </font>
    <font>
      <sz val="9"/>
      <name val="Times New Roman"/>
      <family val="1"/>
    </font>
    <font>
      <sz val="12"/>
      <color indexed="12"/>
      <name val="宋体"/>
      <family val="3"/>
      <charset val="134"/>
    </font>
    <font>
      <b/>
      <sz val="10"/>
      <color indexed="10"/>
      <name val="Times New Roman"/>
      <family val="1"/>
    </font>
    <font>
      <b/>
      <sz val="12"/>
      <color indexed="9"/>
      <name val="Times New Roman"/>
      <family val="1"/>
    </font>
    <font>
      <sz val="10"/>
      <color indexed="14"/>
      <name val="宋体"/>
      <family val="3"/>
      <charset val="134"/>
    </font>
    <font>
      <sz val="11"/>
      <color indexed="10"/>
      <name val="宋体"/>
      <family val="3"/>
      <charset val="134"/>
    </font>
    <font>
      <sz val="12"/>
      <color indexed="17"/>
      <name val="宋体"/>
      <family val="3"/>
      <charset val="134"/>
    </font>
    <font>
      <sz val="10"/>
      <color indexed="17"/>
      <name val="宋体"/>
      <family val="3"/>
      <charset val="134"/>
    </font>
    <font>
      <sz val="12"/>
      <color indexed="17"/>
      <name val="Times New Roman"/>
      <family val="1"/>
    </font>
    <font>
      <b/>
      <sz val="10"/>
      <color indexed="12"/>
      <name val="Times New Roman"/>
      <family val="1"/>
    </font>
    <font>
      <sz val="12"/>
      <name val="楷体_GB2312"/>
      <charset val="134"/>
    </font>
    <font>
      <sz val="18"/>
      <name val="楷体_GB2312"/>
      <charset val="134"/>
    </font>
    <font>
      <sz val="12"/>
      <color indexed="10"/>
      <name val="楷体_GB2312"/>
      <charset val="134"/>
    </font>
    <font>
      <sz val="12"/>
      <color indexed="33"/>
      <name val="宋体"/>
      <family val="3"/>
      <charset val="134"/>
    </font>
    <font>
      <sz val="12"/>
      <color indexed="14"/>
      <name val="宋体"/>
      <family val="3"/>
      <charset val="134"/>
    </font>
    <font>
      <sz val="12"/>
      <color indexed="16"/>
      <name val="宋体"/>
      <family val="3"/>
      <charset val="134"/>
    </font>
    <font>
      <sz val="12"/>
      <color indexed="53"/>
      <name val="宋体"/>
      <family val="3"/>
      <charset val="134"/>
    </font>
    <font>
      <sz val="12"/>
      <color indexed="53"/>
      <name val="Times New Roman"/>
      <family val="1"/>
    </font>
    <font>
      <sz val="12"/>
      <name val="Arial"/>
      <family val="2"/>
    </font>
    <font>
      <u/>
      <sz val="18"/>
      <name val="楷体_GB2312"/>
      <charset val="134"/>
    </font>
    <font>
      <b/>
      <sz val="12"/>
      <color indexed="10"/>
      <name val="楷体_GB2312"/>
      <charset val="134"/>
    </font>
    <font>
      <sz val="11"/>
      <name val="Times New Roman"/>
      <family val="1"/>
    </font>
    <font>
      <b/>
      <sz val="11"/>
      <name val="宋体"/>
      <family val="3"/>
      <charset val="134"/>
    </font>
    <font>
      <b/>
      <sz val="12"/>
      <color indexed="10"/>
      <name val="Times New Roman"/>
      <family val="1"/>
    </font>
    <font>
      <b/>
      <sz val="10"/>
      <name val="宋体"/>
      <family val="3"/>
      <charset val="134"/>
    </font>
    <font>
      <sz val="9"/>
      <color indexed="57"/>
      <name val="宋体"/>
      <family val="3"/>
      <charset val="134"/>
    </font>
    <font>
      <sz val="10"/>
      <color indexed="17"/>
      <name val="Times New Roman"/>
      <family val="1"/>
    </font>
    <font>
      <sz val="9"/>
      <color indexed="17"/>
      <name val="宋体"/>
      <family val="3"/>
      <charset val="134"/>
    </font>
    <font>
      <sz val="9"/>
      <color indexed="17"/>
      <name val="Times New Roman"/>
      <family val="1"/>
    </font>
    <font>
      <sz val="10"/>
      <color indexed="57"/>
      <name val="宋体"/>
      <family val="3"/>
      <charset val="134"/>
    </font>
    <font>
      <b/>
      <sz val="16"/>
      <name val="Times New Roman"/>
      <family val="1"/>
    </font>
    <font>
      <sz val="16"/>
      <name val="宋体"/>
      <family val="3"/>
      <charset val="134"/>
    </font>
    <font>
      <sz val="14"/>
      <name val="楷体_GB2312"/>
      <charset val="134"/>
    </font>
    <font>
      <sz val="18"/>
      <color indexed="10"/>
      <name val="楷体_GB2312"/>
      <charset val="134"/>
    </font>
    <font>
      <b/>
      <sz val="14"/>
      <name val="宋体"/>
      <family val="3"/>
      <charset val="134"/>
    </font>
    <font>
      <b/>
      <sz val="14"/>
      <name val="楷体_GB2312"/>
      <charset val="134"/>
    </font>
    <font>
      <b/>
      <sz val="18"/>
      <color indexed="10"/>
      <name val="楷体_GB2312"/>
      <charset val="134"/>
    </font>
    <font>
      <b/>
      <sz val="16"/>
      <color indexed="10"/>
      <name val="楷体_GB2312"/>
      <charset val="134"/>
    </font>
    <font>
      <sz val="16"/>
      <name val="楷体_GB2312"/>
      <charset val="134"/>
    </font>
    <font>
      <sz val="16"/>
      <color indexed="10"/>
      <name val="楷体_GB2312"/>
      <charset val="134"/>
    </font>
    <font>
      <sz val="14"/>
      <color indexed="10"/>
      <name val="楷体_GB2312"/>
      <charset val="134"/>
    </font>
    <font>
      <b/>
      <sz val="14"/>
      <color indexed="10"/>
      <name val="楷体_GB2312"/>
      <charset val="134"/>
    </font>
    <font>
      <b/>
      <sz val="24"/>
      <name val="隶书"/>
      <family val="3"/>
      <charset val="134"/>
    </font>
    <font>
      <sz val="20"/>
      <name val="隶书"/>
      <family val="3"/>
      <charset val="134"/>
    </font>
    <font>
      <b/>
      <sz val="22"/>
      <name val="宋体"/>
      <family val="3"/>
      <charset val="134"/>
    </font>
    <font>
      <sz val="24"/>
      <name val="隶书"/>
      <family val="3"/>
      <charset val="134"/>
    </font>
    <font>
      <b/>
      <sz val="25"/>
      <color theme="1" tint="0.14993743705557422"/>
      <name val="宋体"/>
      <family val="3"/>
      <charset val="134"/>
    </font>
    <font>
      <b/>
      <sz val="20"/>
      <color indexed="8"/>
      <name val="微软雅黑"/>
      <family val="2"/>
      <charset val="134"/>
    </font>
    <font>
      <sz val="15"/>
      <color indexed="8"/>
      <name val="华文楷体"/>
      <family val="3"/>
      <charset val="134"/>
    </font>
    <font>
      <sz val="20"/>
      <color indexed="8"/>
      <name val="华文楷体"/>
      <family val="3"/>
      <charset val="134"/>
    </font>
    <font>
      <sz val="15"/>
      <color indexed="63"/>
      <name val="宋体"/>
      <family val="3"/>
      <charset val="134"/>
    </font>
    <font>
      <sz val="9"/>
      <color rgb="FF333333"/>
      <name val="Verdana"/>
      <family val="2"/>
    </font>
    <font>
      <sz val="9"/>
      <color indexed="63"/>
      <name val="Verdana"/>
      <family val="2"/>
    </font>
    <font>
      <sz val="15"/>
      <color rgb="FF000000"/>
      <name val="宋体"/>
      <family val="3"/>
      <charset val="134"/>
    </font>
    <font>
      <u/>
      <sz val="15"/>
      <color rgb="FF800080"/>
      <name val="宋体"/>
      <family val="3"/>
      <charset val="134"/>
    </font>
    <font>
      <u/>
      <sz val="15"/>
      <color indexed="12"/>
      <name val="宋体"/>
      <family val="3"/>
      <charset val="134"/>
    </font>
    <font>
      <b/>
      <sz val="20"/>
      <color indexed="10"/>
      <name val="宋体"/>
      <family val="3"/>
      <charset val="134"/>
    </font>
    <font>
      <sz val="14"/>
      <color indexed="10"/>
      <name val="宋体"/>
      <family val="3"/>
      <charset val="134"/>
    </font>
    <font>
      <sz val="14"/>
      <color indexed="12"/>
      <name val="宋体"/>
      <family val="3"/>
      <charset val="134"/>
    </font>
    <font>
      <b/>
      <sz val="22"/>
      <color indexed="10"/>
      <name val="宋体"/>
      <family val="3"/>
      <charset val="134"/>
    </font>
    <font>
      <sz val="14"/>
      <color indexed="12"/>
      <name val="楷体_GB2312"/>
      <charset val="134"/>
    </font>
    <font>
      <sz val="22"/>
      <name val="宋体"/>
      <family val="3"/>
      <charset val="134"/>
    </font>
    <font>
      <b/>
      <sz val="26"/>
      <name val="宋体"/>
      <family val="3"/>
      <charset val="134"/>
    </font>
    <font>
      <b/>
      <sz val="20"/>
      <name val="宋体"/>
      <family val="3"/>
      <charset val="134"/>
    </font>
    <font>
      <b/>
      <i/>
      <sz val="12"/>
      <color indexed="9"/>
      <name val="宋体"/>
      <family val="3"/>
      <charset val="134"/>
    </font>
    <font>
      <b/>
      <sz val="22"/>
      <color indexed="14"/>
      <name val="宋体"/>
      <family val="3"/>
      <charset val="134"/>
    </font>
    <font>
      <b/>
      <sz val="22"/>
      <color indexed="14"/>
      <name val="Times New Roman"/>
      <family val="1"/>
    </font>
    <font>
      <b/>
      <i/>
      <sz val="22"/>
      <color indexed="14"/>
      <name val="宋体"/>
      <family val="3"/>
      <charset val="134"/>
    </font>
    <font>
      <b/>
      <sz val="20"/>
      <color indexed="9"/>
      <name val="微软雅黑"/>
      <family val="2"/>
      <charset val="134"/>
    </font>
    <font>
      <sz val="6"/>
      <name val="宋体"/>
      <family val="3"/>
      <charset val="134"/>
    </font>
    <font>
      <sz val="15"/>
      <color indexed="8"/>
      <name val="新宋体"/>
      <family val="3"/>
      <charset val="134"/>
    </font>
    <font>
      <b/>
      <sz val="12"/>
      <color indexed="12"/>
      <name val="宋体"/>
      <family val="3"/>
      <charset val="134"/>
    </font>
    <font>
      <sz val="12"/>
      <color indexed="48"/>
      <name val="宋体"/>
      <family val="3"/>
      <charset val="134"/>
    </font>
    <font>
      <b/>
      <sz val="16"/>
      <color indexed="10"/>
      <name val="宋体"/>
      <family val="3"/>
      <charset val="134"/>
    </font>
    <font>
      <b/>
      <sz val="20"/>
      <color indexed="9"/>
      <name val="黑体"/>
      <family val="3"/>
      <charset val="134"/>
    </font>
    <font>
      <sz val="22"/>
      <color indexed="8"/>
      <name val="宋体"/>
      <family val="3"/>
      <charset val="134"/>
    </font>
    <font>
      <b/>
      <sz val="14"/>
      <color indexed="8"/>
      <name val="宋体"/>
      <family val="3"/>
      <charset val="134"/>
    </font>
    <font>
      <b/>
      <sz val="20"/>
      <color indexed="8"/>
      <name val="宋体"/>
      <family val="3"/>
      <charset val="134"/>
    </font>
    <font>
      <sz val="16"/>
      <color indexed="8"/>
      <name val="宋体"/>
      <family val="3"/>
      <charset val="134"/>
    </font>
    <font>
      <b/>
      <sz val="16"/>
      <color indexed="8"/>
      <name val="宋体"/>
      <family val="3"/>
      <charset val="134"/>
    </font>
    <font>
      <sz val="11"/>
      <color indexed="8"/>
      <name val="SimSun"/>
      <charset val="134"/>
    </font>
    <font>
      <sz val="11"/>
      <color indexed="0"/>
      <name val="SimSun"/>
      <charset val="134"/>
    </font>
    <font>
      <sz val="11"/>
      <color indexed="0"/>
      <name val="TimesNewRomanPSMT"/>
      <family val="1"/>
    </font>
    <font>
      <sz val="11"/>
      <color indexed="8"/>
      <name val="TimesNewRomanPSMT"/>
      <family val="1"/>
    </font>
    <font>
      <sz val="11"/>
      <name val="SimSun"/>
      <charset val="134"/>
    </font>
    <font>
      <sz val="12"/>
      <color indexed="0"/>
      <name val="SimSun"/>
      <charset val="134"/>
    </font>
    <font>
      <b/>
      <sz val="28"/>
      <name val="华文宋体"/>
      <family val="3"/>
      <charset val="134"/>
    </font>
    <font>
      <b/>
      <sz val="22"/>
      <name val="华文宋体"/>
      <family val="3"/>
      <charset val="134"/>
    </font>
    <font>
      <b/>
      <sz val="22"/>
      <color indexed="9"/>
      <name val="楷体_GB2312"/>
      <charset val="134"/>
    </font>
    <font>
      <b/>
      <sz val="22"/>
      <name val="楷体_GB2312"/>
      <charset val="134"/>
    </font>
    <font>
      <b/>
      <sz val="30"/>
      <name val="宋体"/>
      <family val="3"/>
      <charset val="134"/>
    </font>
    <font>
      <b/>
      <sz val="15"/>
      <name val="宋体"/>
      <family val="3"/>
      <charset val="134"/>
    </font>
    <font>
      <sz val="12"/>
      <color indexed="62"/>
      <name val="宋体"/>
      <family val="3"/>
      <charset val="134"/>
    </font>
    <font>
      <sz val="12"/>
      <color indexed="8"/>
      <name val="宋体"/>
      <family val="3"/>
      <charset val="134"/>
    </font>
    <font>
      <b/>
      <sz val="25"/>
      <name val="宋体"/>
      <family val="3"/>
      <charset val="134"/>
    </font>
    <font>
      <sz val="12"/>
      <color indexed="22"/>
      <name val="宋体"/>
      <family val="3"/>
      <charset val="134"/>
    </font>
    <font>
      <sz val="15"/>
      <name val="宋体"/>
      <family val="3"/>
      <charset val="134"/>
    </font>
    <font>
      <b/>
      <sz val="12"/>
      <color indexed="8"/>
      <name val="宋体"/>
      <family val="3"/>
      <charset val="134"/>
    </font>
    <font>
      <b/>
      <sz val="18"/>
      <color indexed="8"/>
      <name val="宋体"/>
      <family val="3"/>
      <charset val="134"/>
    </font>
    <font>
      <sz val="25"/>
      <name val="宋体"/>
      <family val="3"/>
      <charset val="134"/>
    </font>
    <font>
      <sz val="24"/>
      <name val="宋体"/>
      <family val="3"/>
      <charset val="134"/>
    </font>
    <font>
      <sz val="16"/>
      <color indexed="10"/>
      <name val="宋体"/>
      <family val="3"/>
      <charset val="134"/>
    </font>
    <font>
      <sz val="24"/>
      <color indexed="10"/>
      <name val="宋体"/>
      <family val="3"/>
      <charset val="134"/>
    </font>
    <font>
      <sz val="16"/>
      <color indexed="12"/>
      <name val="宋体"/>
      <family val="3"/>
      <charset val="134"/>
    </font>
    <font>
      <sz val="12"/>
      <name val="宋体"/>
      <family val="3"/>
      <charset val="134"/>
    </font>
    <font>
      <b/>
      <sz val="12"/>
      <name val="Arial"/>
      <family val="2"/>
    </font>
    <font>
      <b/>
      <sz val="12"/>
      <name val="楷体_GB2312"/>
      <charset val="134"/>
    </font>
    <font>
      <sz val="11"/>
      <name val="Arial"/>
      <family val="2"/>
    </font>
    <font>
      <b/>
      <sz val="11"/>
      <name val="Arial"/>
      <family val="2"/>
    </font>
    <font>
      <b/>
      <sz val="11"/>
      <name val="楷体_GB2312"/>
      <charset val="134"/>
    </font>
    <font>
      <sz val="11"/>
      <name val="楷体_GB2312"/>
      <charset val="134"/>
    </font>
    <font>
      <vertAlign val="subscript"/>
      <sz val="11"/>
      <color indexed="8"/>
      <name val="Arial"/>
      <family val="2"/>
    </font>
    <font>
      <sz val="11"/>
      <color indexed="8"/>
      <name val="楷体_GB2312"/>
      <charset val="134"/>
    </font>
    <font>
      <sz val="12"/>
      <name val="仿宋_GB2312"/>
      <charset val="134"/>
    </font>
    <font>
      <sz val="12"/>
      <name val="新細明體"/>
      <charset val="134"/>
    </font>
    <font>
      <sz val="12"/>
      <name val="細明體"/>
      <charset val="134"/>
    </font>
    <font>
      <sz val="12"/>
      <name val="新宋体"/>
      <family val="3"/>
      <charset val="134"/>
    </font>
    <font>
      <sz val="25"/>
      <name val="新宋体"/>
      <family val="3"/>
      <charset val="134"/>
    </font>
    <font>
      <sz val="20"/>
      <name val="新宋体"/>
      <family val="3"/>
      <charset val="134"/>
    </font>
    <font>
      <sz val="15"/>
      <name val="新宋体"/>
      <family val="3"/>
      <charset val="134"/>
    </font>
    <font>
      <sz val="12"/>
      <color indexed="22"/>
      <name val="新宋体"/>
      <family val="3"/>
      <charset val="134"/>
    </font>
    <font>
      <sz val="12"/>
      <color indexed="9"/>
      <name val="新宋体"/>
      <family val="3"/>
      <charset val="134"/>
    </font>
    <font>
      <sz val="10"/>
      <name val="新宋体"/>
      <family val="3"/>
      <charset val="134"/>
    </font>
    <font>
      <sz val="12"/>
      <color indexed="8"/>
      <name val="新宋体"/>
      <family val="3"/>
      <charset val="134"/>
    </font>
    <font>
      <b/>
      <sz val="15"/>
      <name val="新宋体"/>
      <family val="3"/>
      <charset val="134"/>
    </font>
    <font>
      <b/>
      <sz val="12"/>
      <name val="新宋体"/>
      <family val="3"/>
      <charset val="134"/>
    </font>
    <font>
      <b/>
      <sz val="15"/>
      <color indexed="63"/>
      <name val="新宋体"/>
      <family val="3"/>
      <charset val="134"/>
    </font>
    <font>
      <b/>
      <sz val="16"/>
      <name val="新宋体"/>
      <family val="3"/>
      <charset val="134"/>
    </font>
    <font>
      <sz val="15"/>
      <color indexed="8"/>
      <name val="宋体"/>
      <family val="3"/>
      <charset val="134"/>
    </font>
    <font>
      <b/>
      <sz val="15"/>
      <color indexed="8"/>
      <name val="新宋体"/>
      <family val="3"/>
      <charset val="134"/>
    </font>
    <font>
      <sz val="12"/>
      <color indexed="14"/>
      <name val="新宋体"/>
      <family val="3"/>
      <charset val="134"/>
    </font>
    <font>
      <b/>
      <sz val="25"/>
      <name val="新宋体"/>
      <family val="3"/>
      <charset val="134"/>
    </font>
    <font>
      <sz val="12"/>
      <color theme="1"/>
      <name val="新宋体"/>
      <family val="3"/>
      <charset val="134"/>
    </font>
    <font>
      <b/>
      <sz val="12"/>
      <color indexed="10"/>
      <name val="新宋体"/>
      <family val="3"/>
      <charset val="134"/>
    </font>
    <font>
      <b/>
      <sz val="12"/>
      <color indexed="8"/>
      <name val="新宋体"/>
      <family val="3"/>
      <charset val="134"/>
    </font>
    <font>
      <sz val="12"/>
      <color indexed="10"/>
      <name val="新宋体"/>
      <family val="3"/>
      <charset val="134"/>
    </font>
    <font>
      <b/>
      <sz val="25"/>
      <color indexed="8"/>
      <name val="新宋体"/>
      <family val="3"/>
      <charset val="134"/>
    </font>
    <font>
      <sz val="12"/>
      <color indexed="12"/>
      <name val="新宋体"/>
      <family val="3"/>
      <charset val="134"/>
    </font>
    <font>
      <sz val="16"/>
      <name val="新宋体"/>
      <family val="3"/>
      <charset val="134"/>
    </font>
    <font>
      <b/>
      <i/>
      <sz val="12"/>
      <name val="Times New Roman"/>
      <family val="1"/>
    </font>
    <font>
      <b/>
      <sz val="20"/>
      <color indexed="12"/>
      <name val="宋体"/>
      <family val="3"/>
      <charset val="134"/>
    </font>
    <font>
      <sz val="12"/>
      <color indexed="8"/>
      <name val="Arial"/>
      <family val="2"/>
    </font>
    <font>
      <sz val="9"/>
      <color indexed="8"/>
      <name val="Arial"/>
      <family val="2"/>
    </font>
    <font>
      <sz val="9"/>
      <color indexed="8"/>
      <name val="宋体"/>
      <family val="3"/>
      <charset val="134"/>
    </font>
    <font>
      <b/>
      <sz val="20"/>
      <name val="华文新魏"/>
      <family val="3"/>
      <charset val="134"/>
    </font>
    <font>
      <b/>
      <sz val="9"/>
      <color indexed="8"/>
      <name val="宋体"/>
      <family val="3"/>
      <charset val="134"/>
    </font>
    <font>
      <b/>
      <sz val="9"/>
      <color indexed="8"/>
      <name val="Arial"/>
      <family val="2"/>
    </font>
    <font>
      <b/>
      <sz val="9"/>
      <name val="Arial"/>
      <family val="2"/>
    </font>
    <font>
      <sz val="10"/>
      <name val="Arial"/>
      <family val="2"/>
    </font>
    <font>
      <sz val="12"/>
      <color indexed="20"/>
      <name val="宋体"/>
      <family val="3"/>
      <charset val="134"/>
    </font>
    <font>
      <sz val="12"/>
      <color indexed="58"/>
      <name val="宋体"/>
      <family val="3"/>
      <charset val="134"/>
    </font>
    <font>
      <sz val="12"/>
      <color indexed="60"/>
      <name val="宋体"/>
      <family val="3"/>
      <charset val="134"/>
    </font>
    <font>
      <b/>
      <sz val="16"/>
      <name val="宋体"/>
      <family val="3"/>
      <charset val="134"/>
    </font>
    <font>
      <sz val="12"/>
      <color indexed="63"/>
      <name val="宋体"/>
      <family val="3"/>
      <charset val="134"/>
    </font>
    <font>
      <sz val="12"/>
      <color indexed="10"/>
      <name val="新細明體"/>
      <charset val="136"/>
    </font>
    <font>
      <sz val="9"/>
      <name val="宋体"/>
      <family val="3"/>
      <charset val="134"/>
      <scheme val="minor"/>
    </font>
    <font>
      <sz val="9"/>
      <color indexed="10"/>
      <name val="新細明體"/>
      <charset val="136"/>
    </font>
    <font>
      <sz val="12"/>
      <name val="標楷體"/>
      <charset val="134"/>
    </font>
    <font>
      <sz val="16"/>
      <name val="標楷體"/>
      <charset val="134"/>
    </font>
    <font>
      <sz val="10"/>
      <name val="新細明體"/>
      <charset val="134"/>
    </font>
    <font>
      <sz val="10"/>
      <name val="細明體"/>
      <charset val="134"/>
    </font>
    <font>
      <sz val="10"/>
      <name val="標楷體"/>
      <charset val="134"/>
    </font>
    <font>
      <b/>
      <sz val="16"/>
      <name val="TechnicBold"/>
      <charset val="2"/>
    </font>
    <font>
      <sz val="11"/>
      <name val="新細明體"/>
      <charset val="134"/>
    </font>
    <font>
      <sz val="12"/>
      <name val="黑体"/>
      <family val="3"/>
      <charset val="134"/>
    </font>
    <font>
      <b/>
      <u/>
      <sz val="12"/>
      <name val="黑体"/>
      <family val="3"/>
      <charset val="134"/>
    </font>
    <font>
      <i/>
      <sz val="12"/>
      <name val="宋体"/>
      <family val="3"/>
      <charset val="134"/>
    </font>
    <font>
      <sz val="12"/>
      <name val="chs_boot"/>
      <family val="1"/>
    </font>
    <font>
      <sz val="9"/>
      <name val="Arial"/>
      <family val="2"/>
    </font>
    <font>
      <b/>
      <sz val="28"/>
      <color indexed="9"/>
      <name val="微软雅黑"/>
      <family val="2"/>
      <charset val="134"/>
    </font>
    <font>
      <b/>
      <sz val="28"/>
      <name val="楷体_GB2312"/>
      <charset val="134"/>
    </font>
    <font>
      <sz val="18"/>
      <color indexed="10"/>
      <name val="宋体"/>
      <family val="3"/>
      <charset val="134"/>
    </font>
    <font>
      <sz val="10.5"/>
      <name val="宋体"/>
      <family val="3"/>
      <charset val="134"/>
    </font>
    <font>
      <b/>
      <sz val="12"/>
      <color indexed="17"/>
      <name val="宋体"/>
      <family val="3"/>
      <charset val="134"/>
    </font>
    <font>
      <sz val="14"/>
      <color indexed="63"/>
      <name val="宋体"/>
      <family val="3"/>
      <charset val="134"/>
    </font>
    <font>
      <sz val="20"/>
      <color indexed="10"/>
      <name val="宋体"/>
      <family val="3"/>
      <charset val="134"/>
    </font>
    <font>
      <sz val="11"/>
      <color indexed="12"/>
      <name val="宋体"/>
      <family val="3"/>
      <charset val="134"/>
    </font>
    <font>
      <b/>
      <sz val="30"/>
      <color indexed="9"/>
      <name val="微软雅黑"/>
      <family val="2"/>
      <charset val="134"/>
    </font>
    <font>
      <sz val="10"/>
      <color indexed="8"/>
      <name val="宋体"/>
      <family val="3"/>
      <charset val="134"/>
    </font>
    <font>
      <sz val="9"/>
      <color indexed="14"/>
      <name val="宋体"/>
      <family val="3"/>
      <charset val="134"/>
    </font>
    <font>
      <sz val="8"/>
      <color indexed="12"/>
      <name val="宋体"/>
      <family val="3"/>
      <charset val="134"/>
    </font>
    <font>
      <sz val="10"/>
      <color indexed="52"/>
      <name val="宋体"/>
      <family val="3"/>
      <charset val="134"/>
    </font>
    <font>
      <sz val="24"/>
      <color indexed="9"/>
      <name val="宋体"/>
      <family val="3"/>
      <charset val="134"/>
    </font>
    <font>
      <sz val="12"/>
      <color indexed="12"/>
      <name val="Times New Roman"/>
      <family val="1"/>
    </font>
    <font>
      <sz val="12"/>
      <color indexed="8"/>
      <name val="Times New Roman"/>
      <family val="1"/>
    </font>
    <font>
      <u/>
      <sz val="8"/>
      <color indexed="12"/>
      <name val="宋体"/>
      <family val="3"/>
      <charset val="134"/>
    </font>
    <font>
      <sz val="24"/>
      <color indexed="10"/>
      <name val="Times New Roman"/>
      <family val="1"/>
    </font>
    <font>
      <sz val="12"/>
      <color indexed="50"/>
      <name val="Times New Roman"/>
      <family val="1"/>
    </font>
    <font>
      <sz val="12"/>
      <color indexed="14"/>
      <name val="Times New Roman"/>
      <family val="1"/>
    </font>
    <font>
      <sz val="50"/>
      <color indexed="8"/>
      <name val="华文新魏"/>
      <family val="3"/>
      <charset val="134"/>
    </font>
    <font>
      <sz val="50"/>
      <name val="华文新魏"/>
      <family val="3"/>
      <charset val="134"/>
    </font>
    <font>
      <sz val="15"/>
      <color indexed="10"/>
      <name val="宋体"/>
      <family val="3"/>
      <charset val="134"/>
    </font>
    <font>
      <sz val="30"/>
      <name val="华文新魏"/>
      <family val="3"/>
      <charset val="134"/>
    </font>
    <font>
      <b/>
      <sz val="15"/>
      <color indexed="8"/>
      <name val="黑体"/>
      <family val="3"/>
      <charset val="134"/>
    </font>
    <font>
      <b/>
      <sz val="20"/>
      <color indexed="10"/>
      <name val="黑体"/>
      <family val="3"/>
      <charset val="134"/>
    </font>
    <font>
      <sz val="15"/>
      <color indexed="10"/>
      <name val="Times New Roman Bold"/>
      <family val="1"/>
    </font>
    <font>
      <sz val="15"/>
      <color indexed="8"/>
      <name val="Times New Roman"/>
      <family val="1"/>
    </font>
    <font>
      <b/>
      <sz val="18"/>
      <color rgb="FFFFFFFF"/>
      <name val="굴림"/>
      <charset val="134"/>
    </font>
    <font>
      <b/>
      <sz val="18"/>
      <color indexed="9"/>
      <name val="Arial"/>
      <family val="2"/>
    </font>
    <font>
      <sz val="12"/>
      <name val="굴림"/>
      <charset val="134"/>
    </font>
    <font>
      <sz val="12"/>
      <color indexed="10"/>
      <name val="Arial"/>
      <family val="2"/>
    </font>
    <font>
      <b/>
      <sz val="18"/>
      <color indexed="10"/>
      <name val="方正姚体"/>
      <family val="3"/>
      <charset val="134"/>
    </font>
    <font>
      <b/>
      <sz val="10.5"/>
      <color indexed="12"/>
      <name val="宋体"/>
      <family val="3"/>
      <charset val="134"/>
    </font>
    <font>
      <b/>
      <sz val="11"/>
      <color indexed="12"/>
      <name val="宋体"/>
      <family val="3"/>
      <charset val="134"/>
    </font>
    <font>
      <sz val="10.5"/>
      <color indexed="10"/>
      <name val="Times New Roman"/>
      <family val="1"/>
    </font>
    <font>
      <sz val="10.5"/>
      <name val="Times New Roman"/>
      <family val="1"/>
    </font>
    <font>
      <b/>
      <sz val="18"/>
      <color indexed="10"/>
      <name val="宋体"/>
      <family val="3"/>
      <charset val="134"/>
    </font>
    <font>
      <b/>
      <sz val="16"/>
      <color indexed="50"/>
      <name val="宋体"/>
      <family val="3"/>
      <charset val="134"/>
    </font>
    <font>
      <b/>
      <sz val="16"/>
      <color indexed="44"/>
      <name val="宋体"/>
      <family val="3"/>
      <charset val="134"/>
    </font>
    <font>
      <b/>
      <sz val="12"/>
      <color indexed="9"/>
      <name val="宋体"/>
      <family val="3"/>
      <charset val="134"/>
    </font>
    <font>
      <sz val="12"/>
      <color indexed="9"/>
      <name val="宋体"/>
      <family val="3"/>
      <charset val="134"/>
    </font>
    <font>
      <b/>
      <sz val="24"/>
      <name val="宋体"/>
      <family val="3"/>
      <charset val="134"/>
    </font>
    <font>
      <b/>
      <sz val="10"/>
      <color indexed="57"/>
      <name val="宋体"/>
      <family val="3"/>
      <charset val="134"/>
    </font>
    <font>
      <sz val="11"/>
      <color rgb="FF000000"/>
      <name val="宋体"/>
      <family val="3"/>
      <charset val="134"/>
    </font>
    <font>
      <b/>
      <sz val="25"/>
      <color rgb="FF000000"/>
      <name val="宋体"/>
      <family val="3"/>
      <charset val="134"/>
    </font>
    <font>
      <sz val="11"/>
      <color rgb="FFFF0000"/>
      <name val="宋体"/>
      <family val="3"/>
      <charset val="134"/>
    </font>
    <font>
      <b/>
      <sz val="11"/>
      <color theme="1"/>
      <name val="微软雅黑"/>
      <family val="2"/>
      <charset val="134"/>
    </font>
    <font>
      <u/>
      <sz val="11"/>
      <color rgb="FFFF0000"/>
      <name val="微软雅黑"/>
      <family val="2"/>
      <charset val="134"/>
    </font>
    <font>
      <b/>
      <sz val="18"/>
      <color theme="1"/>
      <name val="微软雅黑"/>
      <family val="2"/>
      <charset val="134"/>
    </font>
    <font>
      <b/>
      <sz val="14"/>
      <color theme="1"/>
      <name val="微软雅黑"/>
      <family val="2"/>
      <charset val="134"/>
    </font>
    <font>
      <b/>
      <i/>
      <sz val="11"/>
      <color theme="1"/>
      <name val="微软雅黑"/>
      <family val="2"/>
      <charset val="134"/>
    </font>
    <font>
      <b/>
      <sz val="11"/>
      <color rgb="FFFF0000"/>
      <name val="微软雅黑"/>
      <family val="2"/>
      <charset val="134"/>
    </font>
    <font>
      <sz val="11"/>
      <name val="微软雅黑"/>
      <family val="2"/>
      <charset val="134"/>
    </font>
    <font>
      <sz val="14"/>
      <name val="Arial"/>
      <family val="2"/>
    </font>
    <font>
      <b/>
      <sz val="14"/>
      <name val="Arial"/>
      <family val="2"/>
    </font>
    <font>
      <i/>
      <sz val="10"/>
      <name val="Arial"/>
      <family val="2"/>
    </font>
    <font>
      <b/>
      <sz val="9"/>
      <color indexed="63"/>
      <name val="宋体"/>
      <family val="3"/>
      <charset val="134"/>
    </font>
    <font>
      <b/>
      <sz val="9"/>
      <color indexed="63"/>
      <name val="Arial"/>
      <family val="2"/>
    </font>
    <font>
      <sz val="9"/>
      <color indexed="63"/>
      <name val="Arial"/>
      <family val="2"/>
    </font>
    <font>
      <b/>
      <sz val="20"/>
      <color indexed="12"/>
      <name val="Times New Roman"/>
      <family val="1"/>
    </font>
    <font>
      <b/>
      <sz val="16"/>
      <color indexed="12"/>
      <name val="宋体"/>
      <family val="3"/>
      <charset val="134"/>
    </font>
    <font>
      <sz val="10"/>
      <color theme="1"/>
      <name val="宋体"/>
      <family val="3"/>
      <charset val="134"/>
      <scheme val="minor"/>
    </font>
    <font>
      <sz val="25"/>
      <color theme="1"/>
      <name val="宋体"/>
      <family val="3"/>
      <charset val="134"/>
      <scheme val="minor"/>
    </font>
    <font>
      <sz val="9"/>
      <color theme="1"/>
      <name val="宋体"/>
      <family val="3"/>
      <charset val="134"/>
      <scheme val="minor"/>
    </font>
    <font>
      <sz val="9.5"/>
      <color theme="1"/>
      <name val="宋体"/>
      <family val="3"/>
      <charset val="134"/>
      <scheme val="minor"/>
    </font>
    <font>
      <b/>
      <sz val="12"/>
      <color indexed="8"/>
      <name val="Times New Roman"/>
      <family val="1"/>
    </font>
    <font>
      <sz val="11"/>
      <color indexed="12"/>
      <name val="Times New Roman"/>
      <family val="1"/>
    </font>
    <font>
      <b/>
      <sz val="11"/>
      <name val="Times New Roman"/>
      <family val="1"/>
    </font>
    <font>
      <sz val="12"/>
      <color indexed="9"/>
      <name val="Times New Roman"/>
      <family val="1"/>
    </font>
    <font>
      <sz val="11"/>
      <color indexed="10"/>
      <name val="Times New Roman"/>
      <family val="1"/>
    </font>
    <font>
      <sz val="18"/>
      <name val="Times New Roman"/>
      <family val="1"/>
    </font>
    <font>
      <b/>
      <sz val="11"/>
      <color indexed="10"/>
      <name val="宋体"/>
      <family val="3"/>
      <charset val="134"/>
    </font>
    <font>
      <sz val="9"/>
      <color indexed="48"/>
      <name val="宋体"/>
      <family val="3"/>
      <charset val="134"/>
    </font>
    <font>
      <sz val="12"/>
      <color indexed="57"/>
      <name val="宋体"/>
      <family val="3"/>
      <charset val="134"/>
    </font>
    <font>
      <sz val="12"/>
      <color indexed="45"/>
      <name val="Times New Roman"/>
      <family val="1"/>
    </font>
    <font>
      <sz val="12"/>
      <color indexed="45"/>
      <name val="宋体"/>
      <family val="3"/>
      <charset val="134"/>
    </font>
    <font>
      <sz val="10"/>
      <color indexed="57"/>
      <name val="Times New Roman"/>
      <family val="1"/>
    </font>
    <font>
      <sz val="12"/>
      <color indexed="57"/>
      <name val="Times New Roman"/>
      <family val="1"/>
    </font>
    <font>
      <b/>
      <sz val="10"/>
      <name val="Times New Roman"/>
      <family val="1"/>
    </font>
    <font>
      <sz val="8"/>
      <name val="Times New Roman"/>
      <family val="1"/>
    </font>
    <font>
      <sz val="12"/>
      <color indexed="52"/>
      <name val="宋体"/>
      <family val="3"/>
      <charset val="134"/>
    </font>
    <font>
      <sz val="9"/>
      <color indexed="52"/>
      <name val="宋体"/>
      <family val="3"/>
      <charset val="134"/>
    </font>
    <font>
      <sz val="20"/>
      <color indexed="21"/>
      <name val="宋体"/>
      <family val="3"/>
      <charset val="134"/>
    </font>
    <font>
      <b/>
      <sz val="11"/>
      <color indexed="21"/>
      <name val="宋体"/>
      <family val="3"/>
      <charset val="134"/>
    </font>
    <font>
      <sz val="10"/>
      <color indexed="21"/>
      <name val="宋体"/>
      <family val="3"/>
      <charset val="134"/>
    </font>
    <font>
      <i/>
      <sz val="10"/>
      <name val="宋体"/>
      <family val="3"/>
      <charset val="134"/>
    </font>
    <font>
      <sz val="12"/>
      <color indexed="50"/>
      <name val="宋体"/>
      <family val="3"/>
      <charset val="134"/>
    </font>
    <font>
      <sz val="11"/>
      <color indexed="21"/>
      <name val="宋体"/>
      <family val="3"/>
      <charset val="134"/>
    </font>
    <font>
      <sz val="12"/>
      <color indexed="21"/>
      <name val="宋体"/>
      <family val="3"/>
      <charset val="134"/>
    </font>
    <font>
      <b/>
      <sz val="11"/>
      <color indexed="10"/>
      <name val="Times New Roman"/>
      <family val="1"/>
    </font>
    <font>
      <sz val="11"/>
      <color indexed="17"/>
      <name val="宋体"/>
      <family val="3"/>
      <charset val="134"/>
    </font>
    <font>
      <sz val="11"/>
      <color indexed="0"/>
      <name val="TimesNewRomanPSMT"/>
      <family val="1"/>
    </font>
    <font>
      <sz val="11"/>
      <color indexed="8"/>
      <name val="TimesNewRomanPSMT"/>
      <family val="1"/>
    </font>
    <font>
      <sz val="20"/>
      <name val="微软雅黑"/>
      <family val="2"/>
      <charset val="134"/>
    </font>
    <font>
      <b/>
      <sz val="26"/>
      <color indexed="8"/>
      <name val="宋体"/>
      <family val="3"/>
      <charset val="134"/>
    </font>
    <font>
      <b/>
      <sz val="11"/>
      <color indexed="8"/>
      <name val="宋体"/>
      <family val="3"/>
      <charset val="134"/>
    </font>
    <font>
      <b/>
      <sz val="14"/>
      <color indexed="21"/>
      <name val="宋体"/>
      <family val="3"/>
      <charset val="134"/>
    </font>
    <font>
      <sz val="11"/>
      <color theme="1"/>
      <name val="Tahoma"/>
      <family val="2"/>
    </font>
    <font>
      <sz val="12"/>
      <color theme="1"/>
      <name val="Tahoma"/>
      <family val="2"/>
    </font>
    <font>
      <b/>
      <sz val="18"/>
      <color theme="1"/>
      <name val="宋体"/>
      <family val="3"/>
      <charset val="134"/>
    </font>
    <font>
      <b/>
      <sz val="18"/>
      <color theme="1"/>
      <name val="Tahoma"/>
      <family val="2"/>
    </font>
    <font>
      <b/>
      <sz val="12"/>
      <color theme="1"/>
      <name val="Tahoma"/>
      <family val="2"/>
    </font>
    <font>
      <b/>
      <sz val="12"/>
      <color theme="1"/>
      <name val="宋体"/>
      <family val="3"/>
      <charset val="134"/>
    </font>
    <font>
      <sz val="12"/>
      <color theme="1"/>
      <name val="宋体"/>
      <family val="3"/>
      <charset val="134"/>
    </font>
    <font>
      <sz val="12"/>
      <color rgb="FF000000"/>
      <name val="Times New Roman"/>
      <family val="1"/>
    </font>
    <font>
      <sz val="14"/>
      <color theme="1"/>
      <name val="宋体"/>
      <family val="3"/>
      <charset val="134"/>
    </font>
    <font>
      <sz val="18"/>
      <name val="黑体"/>
      <family val="3"/>
      <charset val="134"/>
    </font>
    <font>
      <sz val="36"/>
      <name val="黑体"/>
      <family val="3"/>
      <charset val="134"/>
    </font>
    <font>
      <sz val="10"/>
      <color indexed="48"/>
      <name val="宋体"/>
      <family val="3"/>
      <charset val="134"/>
    </font>
    <font>
      <sz val="18"/>
      <name val="华文行楷"/>
      <family val="3"/>
      <charset val="134"/>
    </font>
    <font>
      <b/>
      <i/>
      <sz val="16"/>
      <name val="宋体"/>
      <family val="3"/>
      <charset val="134"/>
    </font>
    <font>
      <sz val="20"/>
      <color indexed="11"/>
      <name val="宋体"/>
      <family val="3"/>
      <charset val="134"/>
    </font>
    <font>
      <sz val="12"/>
      <color indexed="15"/>
      <name val="宋体"/>
      <family val="3"/>
      <charset val="134"/>
    </font>
    <font>
      <sz val="20"/>
      <color indexed="17"/>
      <name val="宋体"/>
      <family val="3"/>
      <charset val="134"/>
    </font>
    <font>
      <sz val="13"/>
      <name val="宋体"/>
      <family val="3"/>
      <charset val="134"/>
    </font>
    <font>
      <b/>
      <sz val="13"/>
      <name val="宋体"/>
      <family val="3"/>
      <charset val="134"/>
    </font>
    <font>
      <sz val="10"/>
      <color indexed="10"/>
      <name val="Arial"/>
      <family val="2"/>
    </font>
    <font>
      <b/>
      <sz val="10"/>
      <color indexed="10"/>
      <name val="Arial"/>
      <family val="2"/>
    </font>
    <font>
      <b/>
      <sz val="10"/>
      <name val="Arial"/>
      <family val="2"/>
    </font>
    <font>
      <sz val="16"/>
      <color indexed="12"/>
      <name val="华文仿宋"/>
      <family val="3"/>
      <charset val="134"/>
    </font>
    <font>
      <sz val="10"/>
      <name val="ˎ̥"/>
      <family val="1"/>
    </font>
    <font>
      <b/>
      <sz val="9"/>
      <color indexed="9"/>
      <name val="宋体"/>
      <family val="3"/>
      <charset val="134"/>
    </font>
    <font>
      <u/>
      <sz val="12"/>
      <color indexed="12"/>
      <name val="宋体"/>
      <family val="3"/>
      <charset val="134"/>
    </font>
    <font>
      <b/>
      <sz val="9"/>
      <color indexed="9"/>
      <name val="Arial"/>
      <family val="2"/>
    </font>
    <font>
      <sz val="9"/>
      <color indexed="23"/>
      <name val="Arial"/>
      <family val="2"/>
    </font>
    <font>
      <sz val="9"/>
      <color indexed="25"/>
      <name val="Arial"/>
      <family val="2"/>
    </font>
    <font>
      <sz val="12"/>
      <name val="楷体_GB2312"/>
      <charset val="134"/>
    </font>
    <font>
      <b/>
      <sz val="20"/>
      <color indexed="10"/>
      <name val="楷体_GB2312"/>
      <charset val="134"/>
    </font>
    <font>
      <sz val="14"/>
      <name val="楷体_GB2312"/>
      <charset val="134"/>
    </font>
    <font>
      <b/>
      <sz val="14"/>
      <color indexed="10"/>
      <name val="楷体_GB2312"/>
      <charset val="134"/>
    </font>
    <font>
      <sz val="14"/>
      <color indexed="10"/>
      <name val="楷体_GB2312"/>
      <charset val="134"/>
    </font>
    <font>
      <b/>
      <sz val="12"/>
      <color indexed="60"/>
      <name val="宋体"/>
      <family val="3"/>
      <charset val="134"/>
    </font>
    <font>
      <b/>
      <sz val="12"/>
      <color indexed="14"/>
      <name val="宋体"/>
      <family val="3"/>
      <charset val="134"/>
    </font>
    <font>
      <b/>
      <sz val="11.5"/>
      <color indexed="14"/>
      <name val="宋体"/>
      <family val="3"/>
      <charset val="134"/>
    </font>
    <font>
      <b/>
      <sz val="11.5"/>
      <name val="宋体"/>
      <family val="3"/>
      <charset val="134"/>
    </font>
    <font>
      <sz val="18"/>
      <name val="楷体_GB2312"/>
      <charset val="134"/>
    </font>
    <font>
      <sz val="12"/>
      <color indexed="10"/>
      <name val="楷体_GB2312"/>
      <charset val="134"/>
    </font>
    <font>
      <sz val="10.5"/>
      <color indexed="14"/>
      <name val="宋体"/>
      <family val="3"/>
      <charset val="134"/>
    </font>
    <font>
      <sz val="10.5"/>
      <color indexed="10"/>
      <name val="宋体"/>
      <family val="3"/>
      <charset val="134"/>
    </font>
    <font>
      <b/>
      <sz val="10.5"/>
      <name val="宋体"/>
      <family val="3"/>
      <charset val="134"/>
    </font>
    <font>
      <b/>
      <i/>
      <sz val="10.5"/>
      <name val="宋体"/>
      <family val="3"/>
      <charset val="134"/>
    </font>
    <font>
      <b/>
      <sz val="12"/>
      <color indexed="20"/>
      <name val="宋体"/>
      <family val="3"/>
      <charset val="134"/>
    </font>
    <font>
      <b/>
      <sz val="9"/>
      <name val="宋体"/>
      <family val="3"/>
      <charset val="134"/>
    </font>
    <font>
      <sz val="10.5"/>
      <color indexed="18"/>
      <name val="宋体"/>
      <family val="3"/>
      <charset val="134"/>
    </font>
    <font>
      <sz val="7"/>
      <color indexed="63"/>
      <name val="Times New Roman"/>
      <family val="1"/>
    </font>
    <font>
      <sz val="10"/>
      <color indexed="54"/>
      <name val="宋体"/>
      <family val="3"/>
      <charset val="134"/>
    </font>
    <font>
      <sz val="16"/>
      <color indexed="54"/>
      <name val="楷体_GB2312"/>
      <charset val="134"/>
    </font>
    <font>
      <b/>
      <u/>
      <sz val="14"/>
      <color indexed="54"/>
      <name val="仿宋_GB2312"/>
      <charset val="134"/>
    </font>
    <font>
      <sz val="10"/>
      <name val="仿宋_GB2312"/>
      <charset val="134"/>
    </font>
    <font>
      <b/>
      <sz val="10"/>
      <color indexed="12"/>
      <name val="仿宋_GB2312"/>
      <charset val="134"/>
    </font>
    <font>
      <sz val="10"/>
      <color indexed="62"/>
      <name val="仿宋_GB2312"/>
      <charset val="134"/>
    </font>
    <font>
      <b/>
      <sz val="10"/>
      <color indexed="10"/>
      <name val="仿宋_GB2312"/>
      <charset val="134"/>
    </font>
    <font>
      <sz val="10"/>
      <color indexed="12"/>
      <name val="仿宋_GB2312"/>
      <charset val="134"/>
    </font>
    <font>
      <b/>
      <i/>
      <sz val="14"/>
      <color indexed="12"/>
      <name val="Arial Narrow"/>
      <family val="2"/>
    </font>
    <font>
      <i/>
      <sz val="10"/>
      <color indexed="12"/>
      <name val="Arial Narrow"/>
      <family val="2"/>
    </font>
    <font>
      <sz val="10"/>
      <color indexed="62"/>
      <name val="Times New Roman"/>
      <family val="1"/>
    </font>
    <font>
      <b/>
      <i/>
      <sz val="10"/>
      <color indexed="12"/>
      <name val="Arial Narrow"/>
      <family val="2"/>
    </font>
    <font>
      <sz val="10"/>
      <color indexed="13"/>
      <name val="宋体"/>
      <family val="3"/>
      <charset val="134"/>
    </font>
    <font>
      <i/>
      <sz val="12"/>
      <color indexed="12"/>
      <name val="Arial Narrow"/>
      <family val="2"/>
    </font>
    <font>
      <i/>
      <sz val="14"/>
      <color indexed="12"/>
      <name val="Arial Narrow"/>
      <family val="2"/>
    </font>
    <font>
      <i/>
      <sz val="16"/>
      <name val="隶书"/>
      <family val="3"/>
      <charset val="134"/>
    </font>
    <font>
      <b/>
      <i/>
      <sz val="12"/>
      <name val="宋体"/>
      <family val="3"/>
      <charset val="134"/>
    </font>
    <font>
      <sz val="13"/>
      <name val="Times New Roman"/>
      <family val="1"/>
    </font>
    <font>
      <sz val="11"/>
      <color theme="1"/>
      <name val="宋体"/>
      <family val="3"/>
      <charset val="134"/>
      <scheme val="minor"/>
    </font>
    <font>
      <sz val="20"/>
      <color theme="1"/>
      <name val="宋体"/>
      <family val="3"/>
      <charset val="134"/>
      <scheme val="minor"/>
    </font>
    <font>
      <sz val="18"/>
      <color theme="1"/>
      <name val="宋体"/>
      <family val="3"/>
      <charset val="134"/>
      <scheme val="minor"/>
    </font>
    <font>
      <b/>
      <sz val="18"/>
      <color theme="1"/>
      <name val="宋体"/>
      <family val="3"/>
      <charset val="134"/>
      <scheme val="minor"/>
    </font>
    <font>
      <b/>
      <sz val="18"/>
      <color rgb="FFFF0000"/>
      <name val="宋体"/>
      <family val="3"/>
      <charset val="134"/>
      <scheme val="minor"/>
    </font>
    <font>
      <sz val="11"/>
      <color rgb="FFFF0000"/>
      <name val="宋体"/>
      <family val="3"/>
      <charset val="134"/>
      <scheme val="minor"/>
    </font>
    <font>
      <sz val="20"/>
      <color theme="1"/>
      <name val="宋体"/>
      <family val="3"/>
      <charset val="134"/>
      <scheme val="minor"/>
    </font>
    <font>
      <sz val="20"/>
      <name val="华文新魏"/>
      <family val="3"/>
      <charset val="134"/>
    </font>
    <font>
      <sz val="16"/>
      <name val="仿宋_GB2312"/>
      <charset val="134"/>
    </font>
    <font>
      <sz val="18"/>
      <name val="仿宋_GB2312"/>
      <charset val="134"/>
    </font>
    <font>
      <sz val="18"/>
      <name val="华文新魏"/>
      <family val="3"/>
      <charset val="134"/>
    </font>
    <font>
      <sz val="12"/>
      <name val="仿宋_GB2312"/>
      <charset val="134"/>
    </font>
    <font>
      <b/>
      <sz val="11"/>
      <color rgb="FFFF0000"/>
      <name val="宋体"/>
      <family val="3"/>
      <charset val="134"/>
      <scheme val="minor"/>
    </font>
    <font>
      <sz val="11"/>
      <color rgb="FF006100"/>
      <name val="宋体"/>
      <family val="3"/>
      <charset val="134"/>
      <scheme val="minor"/>
    </font>
    <font>
      <sz val="12"/>
      <color theme="1"/>
      <name val="宋体"/>
      <family val="3"/>
      <charset val="134"/>
      <scheme val="minor"/>
    </font>
    <font>
      <sz val="11"/>
      <color theme="1"/>
      <name val="等线"/>
      <family val="3"/>
      <charset val="134"/>
    </font>
    <font>
      <sz val="11"/>
      <color rgb="FFFF0000"/>
      <name val="宋体"/>
      <family val="3"/>
      <charset val="134"/>
      <scheme val="minor"/>
    </font>
    <font>
      <b/>
      <sz val="30"/>
      <color rgb="FFFFFFFF"/>
      <name val="微软雅黑"/>
      <family val="2"/>
      <charset val="134"/>
    </font>
    <font>
      <sz val="15"/>
      <color indexed="20"/>
      <name val="宋体"/>
      <family val="3"/>
      <charset val="134"/>
    </font>
    <font>
      <b/>
      <sz val="30"/>
      <color indexed="8"/>
      <name val="宋体"/>
      <family val="3"/>
      <charset val="134"/>
    </font>
    <font>
      <u/>
      <sz val="11"/>
      <color rgb="FF800080"/>
      <name val="宋体"/>
      <family val="3"/>
      <charset val="134"/>
    </font>
    <font>
      <u/>
      <sz val="11"/>
      <color indexed="12"/>
      <name val="宋体"/>
      <family val="3"/>
      <charset val="134"/>
    </font>
    <font>
      <sz val="30"/>
      <name val="宋体"/>
      <family val="3"/>
      <charset val="134"/>
    </font>
    <font>
      <sz val="11"/>
      <color indexed="20"/>
      <name val="宋体"/>
      <family val="3"/>
      <charset val="134"/>
    </font>
    <font>
      <sz val="11"/>
      <color rgb="FF800080"/>
      <name val="宋体"/>
      <family val="3"/>
      <charset val="134"/>
    </font>
    <font>
      <b/>
      <sz val="12"/>
      <name val="宋体"/>
      <family val="3"/>
      <charset val="134"/>
      <scheme val="minor"/>
    </font>
    <font>
      <b/>
      <sz val="11"/>
      <color indexed="53"/>
      <name val="宋体"/>
      <family val="3"/>
      <charset val="134"/>
    </font>
    <font>
      <u/>
      <sz val="11"/>
      <color indexed="12"/>
      <name val="Tahoma"/>
      <family val="2"/>
    </font>
    <font>
      <b/>
      <sz val="14"/>
      <color theme="1"/>
      <name val="宋体"/>
      <family val="3"/>
      <charset val="134"/>
    </font>
    <font>
      <sz val="10.5"/>
      <color theme="1"/>
      <name val="黑体"/>
      <family val="3"/>
      <charset val="134"/>
    </font>
    <font>
      <vertAlign val="subscript"/>
      <sz val="12"/>
      <name val="Times New Roman"/>
      <family val="1"/>
    </font>
    <font>
      <vertAlign val="superscript"/>
      <sz val="12"/>
      <name val="Times New Roman"/>
      <family val="1"/>
    </font>
    <font>
      <vertAlign val="subscript"/>
      <sz val="14"/>
      <name val="Times New Roman"/>
      <family val="1"/>
    </font>
    <font>
      <vertAlign val="superscript"/>
      <sz val="12"/>
      <name val="宋体"/>
      <family val="3"/>
      <charset val="134"/>
    </font>
    <font>
      <vertAlign val="subscript"/>
      <sz val="12"/>
      <name val="宋体"/>
      <family val="3"/>
      <charset val="134"/>
    </font>
    <font>
      <vertAlign val="subscript"/>
      <sz val="14"/>
      <color indexed="8"/>
      <name val="宋体"/>
      <family val="3"/>
      <charset val="134"/>
    </font>
    <font>
      <vertAlign val="subscript"/>
      <sz val="10"/>
      <name val="宋体"/>
      <family val="3"/>
      <charset val="134"/>
    </font>
    <font>
      <vertAlign val="superscript"/>
      <sz val="10"/>
      <name val="宋体"/>
      <family val="3"/>
      <charset val="134"/>
    </font>
    <font>
      <b/>
      <sz val="10"/>
      <color indexed="17"/>
      <name val="Times New Roman"/>
      <family val="1"/>
    </font>
    <font>
      <sz val="8"/>
      <color indexed="17"/>
      <name val="宋体"/>
      <family val="3"/>
      <charset val="134"/>
    </font>
    <font>
      <b/>
      <sz val="8"/>
      <name val="Times New Roman"/>
      <family val="1"/>
    </font>
    <font>
      <b/>
      <sz val="14"/>
      <name val="Times New Roman"/>
      <family val="1"/>
    </font>
    <font>
      <b/>
      <sz val="20"/>
      <name val="Times New Roman"/>
      <family val="1"/>
    </font>
    <font>
      <b/>
      <sz val="24"/>
      <color indexed="10"/>
      <name val="楷体_GB2312"/>
      <charset val="134"/>
    </font>
    <font>
      <b/>
      <vertAlign val="subscript"/>
      <sz val="16"/>
      <color indexed="10"/>
      <name val="楷体_GB2312"/>
      <charset val="134"/>
    </font>
    <font>
      <vertAlign val="superscript"/>
      <sz val="14"/>
      <name val="楷体_GB2312"/>
      <charset val="134"/>
    </font>
    <font>
      <vertAlign val="subscript"/>
      <sz val="14"/>
      <name val="楷体_GB2312"/>
      <charset val="134"/>
    </font>
    <font>
      <sz val="9"/>
      <color rgb="FF333333"/>
      <name val="宋体"/>
      <family val="3"/>
      <charset val="134"/>
    </font>
    <font>
      <vertAlign val="subscript"/>
      <sz val="14"/>
      <name val="宋体"/>
      <family val="3"/>
      <charset val="134"/>
    </font>
    <font>
      <vertAlign val="subscript"/>
      <sz val="10"/>
      <name val="Times New Roman"/>
      <family val="1"/>
    </font>
    <font>
      <vertAlign val="subscript"/>
      <sz val="11"/>
      <color indexed="8"/>
      <name val="宋体"/>
      <family val="3"/>
      <charset val="134"/>
    </font>
    <font>
      <vertAlign val="superscript"/>
      <sz val="11"/>
      <color indexed="8"/>
      <name val="宋体"/>
      <family val="3"/>
      <charset val="134"/>
    </font>
    <font>
      <vertAlign val="subscript"/>
      <sz val="12"/>
      <color indexed="10"/>
      <name val="宋体"/>
      <family val="3"/>
      <charset val="134"/>
    </font>
    <font>
      <vertAlign val="subscript"/>
      <sz val="12"/>
      <name val="Arial"/>
      <family val="2"/>
    </font>
    <font>
      <sz val="12"/>
      <color indexed="8"/>
      <name val="楷体_GB2312"/>
      <charset val="134"/>
    </font>
    <font>
      <vertAlign val="superscript"/>
      <sz val="12"/>
      <name val="Arial"/>
      <family val="2"/>
    </font>
    <font>
      <sz val="8"/>
      <name val="Arial"/>
      <family val="2"/>
    </font>
    <font>
      <sz val="8"/>
      <color indexed="8"/>
      <name val="Arial"/>
      <family val="2"/>
    </font>
    <font>
      <vertAlign val="subscript"/>
      <sz val="12"/>
      <name val="楷体_GB2312"/>
      <charset val="134"/>
    </font>
    <font>
      <sz val="12"/>
      <color indexed="10"/>
      <name val="新細明體"/>
      <charset val="134"/>
    </font>
    <font>
      <b/>
      <sz val="14"/>
      <name val="新宋体"/>
      <family val="3"/>
      <charset val="134"/>
    </font>
    <font>
      <vertAlign val="superscript"/>
      <sz val="12"/>
      <name val="新宋体"/>
      <family val="3"/>
      <charset val="134"/>
    </font>
    <font>
      <b/>
      <u/>
      <sz val="12"/>
      <color indexed="8"/>
      <name val="新宋体"/>
      <family val="3"/>
      <charset val="134"/>
    </font>
    <font>
      <sz val="16"/>
      <color indexed="10"/>
      <name val="新宋体"/>
      <family val="3"/>
      <charset val="134"/>
    </font>
    <font>
      <vertAlign val="superscript"/>
      <sz val="10"/>
      <name val="Times New Roman"/>
      <family val="1"/>
    </font>
    <font>
      <b/>
      <u/>
      <sz val="14"/>
      <color indexed="48"/>
      <name val="宋体"/>
      <family val="3"/>
      <charset val="134"/>
    </font>
    <font>
      <sz val="12"/>
      <name val="Dotum"/>
      <family val="2"/>
      <charset val="129"/>
    </font>
    <font>
      <sz val="12"/>
      <name val="SimSun-ExtB"/>
      <family val="3"/>
      <charset val="134"/>
    </font>
    <font>
      <vertAlign val="subscript"/>
      <sz val="10.5"/>
      <name val="宋体"/>
      <family val="3"/>
      <charset val="134"/>
    </font>
    <font>
      <sz val="8"/>
      <color indexed="12"/>
      <name val="Times New Roman"/>
      <family val="1"/>
    </font>
    <font>
      <sz val="12"/>
      <color indexed="8"/>
      <name val="华文新魏"/>
      <family val="3"/>
      <charset val="134"/>
    </font>
    <font>
      <b/>
      <sz val="18"/>
      <color indexed="9"/>
      <name val="宋体"/>
      <family val="3"/>
      <charset val="134"/>
    </font>
    <font>
      <b/>
      <sz val="13.8"/>
      <name val="Arial"/>
      <family val="2"/>
    </font>
    <font>
      <b/>
      <sz val="13.8"/>
      <name val="宋体"/>
      <family val="3"/>
      <charset val="134"/>
    </font>
    <font>
      <b/>
      <sz val="11"/>
      <color indexed="12"/>
      <name val="Times New Roman"/>
      <family val="1"/>
    </font>
    <font>
      <vertAlign val="superscript"/>
      <sz val="11"/>
      <name val="宋体"/>
      <family val="3"/>
      <charset val="134"/>
    </font>
    <font>
      <vertAlign val="subscript"/>
      <sz val="11"/>
      <color theme="1"/>
      <name val="微软雅黑"/>
      <family val="2"/>
      <charset val="134"/>
    </font>
    <font>
      <vertAlign val="superscript"/>
      <sz val="11"/>
      <color theme="1"/>
      <name val="微软雅黑"/>
      <family val="2"/>
      <charset val="134"/>
    </font>
    <font>
      <sz val="11"/>
      <color theme="1"/>
      <name val="Symbol"/>
      <family val="1"/>
      <charset val="2"/>
    </font>
    <font>
      <b/>
      <sz val="14"/>
      <color indexed="10"/>
      <name val="細明體"/>
      <charset val="136"/>
    </font>
    <font>
      <b/>
      <sz val="12"/>
      <color indexed="10"/>
      <name val="細明體"/>
      <charset val="136"/>
    </font>
    <font>
      <vertAlign val="superscript"/>
      <sz val="14"/>
      <name val="Arial"/>
      <family val="2"/>
    </font>
    <font>
      <b/>
      <sz val="16"/>
      <color indexed="12"/>
      <name val="Times New Roman"/>
      <family val="1"/>
    </font>
    <font>
      <sz val="12"/>
      <color indexed="48"/>
      <name val="Times New Roman"/>
      <family val="1"/>
    </font>
    <font>
      <sz val="8"/>
      <color indexed="10"/>
      <name val="宋体"/>
      <family val="3"/>
      <charset val="134"/>
    </font>
    <font>
      <sz val="8"/>
      <color indexed="10"/>
      <name val="Times New Roman"/>
      <family val="1"/>
    </font>
    <font>
      <sz val="14"/>
      <color indexed="10"/>
      <name val="Times New Roman"/>
      <family val="1"/>
    </font>
    <font>
      <sz val="9"/>
      <color indexed="44"/>
      <name val="Times New Roman"/>
      <family val="1"/>
    </font>
    <font>
      <sz val="8"/>
      <color indexed="44"/>
      <name val="宋体"/>
      <family val="3"/>
      <charset val="134"/>
    </font>
    <font>
      <i/>
      <vertAlign val="subscript"/>
      <sz val="10"/>
      <name val="宋体"/>
      <family val="3"/>
      <charset val="134"/>
    </font>
    <font>
      <b/>
      <i/>
      <vertAlign val="superscript"/>
      <sz val="10"/>
      <name val="宋体"/>
      <family val="3"/>
      <charset val="134"/>
    </font>
    <font>
      <b/>
      <vertAlign val="superscript"/>
      <sz val="10"/>
      <name val="宋体"/>
      <family val="3"/>
      <charset val="134"/>
    </font>
    <font>
      <sz val="11"/>
      <color indexed="8"/>
      <name val="MS Gothic"/>
      <family val="3"/>
      <charset val="128"/>
    </font>
    <font>
      <vertAlign val="subscript"/>
      <sz val="12"/>
      <color rgb="FF000000"/>
      <name val="Times New Roman"/>
      <family val="1"/>
    </font>
    <font>
      <vertAlign val="subscript"/>
      <sz val="9"/>
      <name val="宋体"/>
      <family val="3"/>
      <charset val="134"/>
    </font>
    <font>
      <vertAlign val="subscript"/>
      <sz val="9"/>
      <name val="Times New Roman"/>
      <family val="1"/>
    </font>
    <font>
      <vertAlign val="subscript"/>
      <sz val="10"/>
      <color indexed="12"/>
      <name val="Times New Roman"/>
      <family val="1"/>
    </font>
    <font>
      <vertAlign val="superscript"/>
      <sz val="12"/>
      <color indexed="15"/>
      <name val="宋体"/>
      <family val="3"/>
      <charset val="134"/>
    </font>
    <font>
      <vertAlign val="superscript"/>
      <sz val="9"/>
      <name val="宋体"/>
      <family val="3"/>
      <charset val="134"/>
    </font>
    <font>
      <b/>
      <sz val="10"/>
      <name val="ˎ̥"/>
      <family val="1"/>
    </font>
    <font>
      <b/>
      <sz val="11.5"/>
      <color indexed="14"/>
      <name val="Times New Roman"/>
      <family val="1"/>
    </font>
    <font>
      <sz val="10.5"/>
      <color indexed="14"/>
      <name val="Times New Roman"/>
      <family val="1"/>
    </font>
    <font>
      <sz val="9"/>
      <color indexed="63"/>
      <name val="ˎ̥"/>
      <family val="1"/>
    </font>
    <font>
      <sz val="9"/>
      <color indexed="63"/>
      <name val="宋体"/>
      <family val="3"/>
      <charset val="134"/>
    </font>
    <font>
      <sz val="10.5"/>
      <color indexed="14"/>
      <name val="Arial"/>
      <family val="2"/>
    </font>
    <font>
      <sz val="10.5"/>
      <name val="Arial"/>
      <family val="2"/>
    </font>
    <font>
      <sz val="10.5"/>
      <color indexed="18"/>
      <name val="Times New Roman"/>
      <family val="1"/>
    </font>
    <font>
      <vertAlign val="superscript"/>
      <sz val="12"/>
      <name val="楷体_GB2312"/>
      <charset val="134"/>
    </font>
    <font>
      <b/>
      <sz val="10"/>
      <color indexed="62"/>
      <name val="仿宋_GB2312"/>
      <charset val="134"/>
    </font>
    <font>
      <b/>
      <sz val="10"/>
      <name val="仿宋_GB2312"/>
      <charset val="134"/>
    </font>
    <font>
      <sz val="10"/>
      <color indexed="47"/>
      <name val="宋体"/>
      <family val="3"/>
      <charset val="134"/>
    </font>
    <font>
      <sz val="14"/>
      <color theme="1"/>
      <name val="宋体"/>
      <family val="3"/>
      <charset val="134"/>
      <scheme val="minor"/>
    </font>
    <font>
      <sz val="11"/>
      <color rgb="FF002060"/>
      <name val="宋体"/>
      <family val="3"/>
      <charset val="134"/>
      <scheme val="minor"/>
    </font>
    <font>
      <sz val="12"/>
      <name val="华文新魏"/>
      <family val="3"/>
      <charset val="134"/>
    </font>
    <font>
      <vertAlign val="subscript"/>
      <sz val="18"/>
      <name val="宋体"/>
      <family val="3"/>
      <charset val="134"/>
    </font>
    <font>
      <sz val="1"/>
      <color rgb="FFFFFFFF"/>
      <name val="宋体"/>
      <family val="3"/>
      <charset val="134"/>
    </font>
    <font>
      <sz val="9"/>
      <name val="PMingLiU"/>
      <family val="1"/>
      <charset val="136"/>
    </font>
    <font>
      <b/>
      <sz val="9"/>
      <name val="PMingLiU"/>
      <family val="1"/>
      <charset val="136"/>
    </font>
    <font>
      <b/>
      <sz val="12"/>
      <color indexed="10"/>
      <name val="PMingLiU"/>
      <family val="1"/>
      <charset val="136"/>
    </font>
    <font>
      <b/>
      <sz val="14"/>
      <color indexed="10"/>
      <name val="PMingLiU"/>
      <family val="1"/>
      <charset val="136"/>
    </font>
    <font>
      <b/>
      <sz val="8"/>
      <color indexed="10"/>
      <name val="PMingLiU"/>
      <family val="1"/>
      <charset val="136"/>
    </font>
    <font>
      <b/>
      <sz val="8"/>
      <color indexed="10"/>
      <name val="Times New Roman"/>
      <family val="1"/>
    </font>
    <font>
      <b/>
      <sz val="14"/>
      <color indexed="10"/>
      <name val="Times New Roman"/>
      <family val="1"/>
    </font>
    <font>
      <sz val="12"/>
      <color rgb="FF3D464D"/>
      <name val="PingFangSC, PingFang SC;"/>
      <family val="2"/>
    </font>
  </fonts>
  <fills count="74">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3" tint="0.79989013336588644"/>
        <bgColor indexed="64"/>
      </patternFill>
    </fill>
    <fill>
      <patternFill patternType="solid">
        <fgColor theme="9" tint="0.59999389629810485"/>
        <bgColor indexed="64"/>
      </patternFill>
    </fill>
    <fill>
      <patternFill patternType="solid">
        <fgColor indexed="27"/>
        <bgColor indexed="64"/>
      </patternFill>
    </fill>
    <fill>
      <patternFill patternType="solid">
        <fgColor indexed="51"/>
        <bgColor indexed="64"/>
      </patternFill>
    </fill>
    <fill>
      <patternFill patternType="solid">
        <fgColor indexed="50"/>
        <bgColor indexed="64"/>
      </patternFill>
    </fill>
    <fill>
      <patternFill patternType="solid">
        <fgColor indexed="20"/>
        <bgColor indexed="64"/>
      </patternFill>
    </fill>
    <fill>
      <patternFill patternType="solid">
        <fgColor indexed="42"/>
        <bgColor indexed="64"/>
      </patternFill>
    </fill>
    <fill>
      <patternFill patternType="solid">
        <fgColor indexed="11"/>
        <bgColor indexed="64"/>
      </patternFill>
    </fill>
    <fill>
      <patternFill patternType="solid">
        <fgColor indexed="13"/>
        <bgColor indexed="64"/>
      </patternFill>
    </fill>
    <fill>
      <patternFill patternType="solid">
        <fgColor indexed="44"/>
        <bgColor indexed="64"/>
      </patternFill>
    </fill>
    <fill>
      <patternFill patternType="solid">
        <fgColor indexed="31"/>
        <bgColor indexed="64"/>
      </patternFill>
    </fill>
    <fill>
      <patternFill patternType="solid">
        <fgColor indexed="22"/>
        <bgColor indexed="64"/>
      </patternFill>
    </fill>
    <fill>
      <patternFill patternType="solid">
        <fgColor rgb="FF00FFFF"/>
        <bgColor indexed="64"/>
      </patternFill>
    </fill>
    <fill>
      <patternFill patternType="solid">
        <fgColor indexed="41"/>
        <bgColor indexed="64"/>
      </patternFill>
    </fill>
    <fill>
      <patternFill patternType="solid">
        <fgColor indexed="4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indexed="40"/>
        <bgColor indexed="64"/>
      </patternFill>
    </fill>
    <fill>
      <patternFill patternType="solid">
        <fgColor indexed="26"/>
        <bgColor indexed="64"/>
      </patternFill>
    </fill>
    <fill>
      <patternFill patternType="solid">
        <fgColor indexed="52"/>
        <bgColor indexed="64"/>
      </patternFill>
    </fill>
    <fill>
      <patternFill patternType="solid">
        <fgColor rgb="FFFFC000"/>
        <bgColor indexed="64"/>
      </patternFill>
    </fill>
    <fill>
      <patternFill patternType="solid">
        <fgColor theme="4" tint="0.59999389629810485"/>
        <bgColor indexed="64"/>
      </patternFill>
    </fill>
    <fill>
      <patternFill patternType="solid">
        <fgColor indexed="57"/>
        <bgColor indexed="64"/>
      </patternFill>
    </fill>
    <fill>
      <patternFill patternType="solid">
        <fgColor theme="4" tint="0.39994506668294322"/>
        <bgColor indexed="64"/>
      </patternFill>
    </fill>
    <fill>
      <patternFill patternType="solid">
        <fgColor theme="4" tint="-0.249977111117893"/>
        <bgColor indexed="64"/>
      </patternFill>
    </fill>
    <fill>
      <patternFill patternType="solid">
        <fgColor indexed="10"/>
        <bgColor indexed="64"/>
      </patternFill>
    </fill>
    <fill>
      <patternFill patternType="solid">
        <fgColor indexed="24"/>
        <bgColor indexed="64"/>
      </patternFill>
    </fill>
    <fill>
      <patternFill patternType="solid">
        <fgColor indexed="12"/>
        <bgColor indexed="64"/>
      </patternFill>
    </fill>
    <fill>
      <patternFill patternType="solid">
        <fgColor indexed="47"/>
        <bgColor indexed="64"/>
      </patternFill>
    </fill>
    <fill>
      <patternFill patternType="solid">
        <fgColor indexed="9"/>
        <bgColor indexed="64"/>
      </patternFill>
    </fill>
    <fill>
      <patternFill patternType="solid">
        <fgColor indexed="53"/>
        <bgColor indexed="64"/>
      </patternFill>
    </fill>
    <fill>
      <patternFill patternType="solid">
        <fgColor indexed="17"/>
        <bgColor indexed="64"/>
      </patternFill>
    </fill>
    <fill>
      <patternFill patternType="solid">
        <fgColor indexed="19"/>
        <bgColor indexed="64"/>
      </patternFill>
    </fill>
    <fill>
      <patternFill patternType="solid">
        <fgColor indexed="48"/>
        <bgColor indexed="64"/>
      </patternFill>
    </fill>
    <fill>
      <patternFill patternType="solid">
        <fgColor indexed="49"/>
        <bgColor indexed="64"/>
      </patternFill>
    </fill>
    <fill>
      <patternFill patternType="solid">
        <fgColor theme="9" tint="0.39988402966399123"/>
        <bgColor indexed="64"/>
      </patternFill>
    </fill>
    <fill>
      <patternFill patternType="solid">
        <fgColor rgb="FF00B0F0"/>
        <bgColor indexed="64"/>
      </patternFill>
    </fill>
    <fill>
      <patternFill patternType="solid">
        <fgColor theme="0" tint="-0.14990691854609822"/>
        <bgColor indexed="64"/>
      </patternFill>
    </fill>
    <fill>
      <patternFill patternType="solid">
        <fgColor rgb="FFFF99CC"/>
        <bgColor indexed="64"/>
      </patternFill>
    </fill>
    <fill>
      <patternFill patternType="solid">
        <fgColor rgb="FFCCFFCC"/>
        <bgColor indexed="64"/>
      </patternFill>
    </fill>
    <fill>
      <patternFill patternType="solid">
        <fgColor theme="0" tint="-0.249977111117893"/>
        <bgColor indexed="64"/>
      </patternFill>
    </fill>
    <fill>
      <patternFill patternType="solid">
        <fgColor indexed="23"/>
        <bgColor indexed="64"/>
      </patternFill>
    </fill>
    <fill>
      <patternFill patternType="solid">
        <fgColor rgb="FFFFFF00"/>
        <bgColor indexed="64"/>
      </patternFill>
    </fill>
    <fill>
      <patternFill patternType="solid">
        <fgColor indexed="14"/>
        <bgColor indexed="64"/>
      </patternFill>
    </fill>
    <fill>
      <patternFill patternType="solid">
        <fgColor indexed="8"/>
        <bgColor indexed="64"/>
      </patternFill>
    </fill>
    <fill>
      <patternFill patternType="solid">
        <fgColor rgb="FFFFFF00"/>
        <bgColor rgb="FF000000"/>
      </patternFill>
    </fill>
    <fill>
      <patternFill patternType="solid">
        <fgColor rgb="FF8DB4E3"/>
        <bgColor rgb="FF000000"/>
      </patternFill>
    </fill>
    <fill>
      <patternFill patternType="solid">
        <fgColor rgb="FF5A5A5A"/>
        <bgColor rgb="FF000000"/>
      </patternFill>
    </fill>
    <fill>
      <patternFill patternType="solid">
        <fgColor rgb="FFFF0000"/>
        <bgColor rgb="FF000000"/>
      </patternFill>
    </fill>
    <fill>
      <patternFill patternType="solid">
        <fgColor theme="0" tint="-0.14993743705557422"/>
        <bgColor indexed="64"/>
      </patternFill>
    </fill>
    <fill>
      <patternFill patternType="solid">
        <fgColor theme="4" tint="0.79989013336588644"/>
        <bgColor indexed="64"/>
      </patternFill>
    </fill>
    <fill>
      <patternFill patternType="solid">
        <fgColor theme="5" tint="0.59999389629810485"/>
        <bgColor indexed="64"/>
      </patternFill>
    </fill>
    <fill>
      <patternFill patternType="solid">
        <fgColor theme="9" tint="0.79989013336588644"/>
        <bgColor indexed="64"/>
      </patternFill>
    </fill>
    <fill>
      <patternFill patternType="solid">
        <fgColor theme="8" tint="0.59999389629810485"/>
        <bgColor indexed="64"/>
      </patternFill>
    </fill>
    <fill>
      <patternFill patternType="solid">
        <fgColor theme="4" tint="0.79992065187536243"/>
        <bgColor indexed="64"/>
      </patternFill>
    </fill>
    <fill>
      <patternFill patternType="solid">
        <fgColor theme="9" tint="0.79992065187536243"/>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rgb="FFFF0000"/>
        <bgColor indexed="64"/>
      </patternFill>
    </fill>
    <fill>
      <patternFill patternType="solid">
        <fgColor rgb="FF00B050"/>
        <bgColor indexed="64"/>
      </patternFill>
    </fill>
    <fill>
      <patternFill patternType="solid">
        <fgColor indexed="16"/>
        <bgColor indexed="64"/>
      </patternFill>
    </fill>
    <fill>
      <patternFill patternType="solid">
        <fgColor indexed="55"/>
        <bgColor indexed="64"/>
      </patternFill>
    </fill>
    <fill>
      <patternFill patternType="solid">
        <fgColor indexed="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0070C0"/>
        <bgColor indexed="64"/>
      </patternFill>
    </fill>
    <fill>
      <patternFill patternType="solid">
        <fgColor rgb="FFC6EFCE"/>
        <bgColor indexed="64"/>
      </patternFill>
    </fill>
    <fill>
      <patternFill patternType="solid">
        <fgColor theme="7" tint="0.79995117038483843"/>
        <bgColor indexed="64"/>
      </patternFill>
    </fill>
    <fill>
      <patternFill patternType="solid">
        <fgColor indexed="30"/>
        <bgColor indexed="64"/>
      </patternFill>
    </fill>
  </fills>
  <borders count="365">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rgb="FF000000"/>
      </right>
      <top style="medium">
        <color auto="1"/>
      </top>
      <bottom/>
      <diagonal/>
    </border>
    <border>
      <left style="thin">
        <color rgb="FF000000"/>
      </left>
      <right/>
      <top style="medium">
        <color auto="1"/>
      </top>
      <bottom style="thin">
        <color rgb="FF000000"/>
      </bottom>
      <diagonal/>
    </border>
    <border>
      <left/>
      <right/>
      <top style="medium">
        <color auto="1"/>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medium">
        <color auto="1"/>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auto="1"/>
      </left>
      <right/>
      <top style="thin">
        <color rgb="FF000000"/>
      </top>
      <bottom/>
      <diagonal/>
    </border>
    <border>
      <left style="medium">
        <color auto="1"/>
      </left>
      <right/>
      <top/>
      <bottom style="medium">
        <color auto="1"/>
      </bottom>
      <diagonal/>
    </border>
    <border>
      <left/>
      <right/>
      <top/>
      <bottom style="medium">
        <color auto="1"/>
      </bottom>
      <diagonal/>
    </border>
    <border>
      <left/>
      <right style="thin">
        <color rgb="FF000000"/>
      </right>
      <top style="medium">
        <color auto="1"/>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auto="1"/>
      </right>
      <top style="medium">
        <color auto="1"/>
      </top>
      <bottom/>
      <diagonal/>
    </border>
    <border>
      <left/>
      <right style="medium">
        <color auto="1"/>
      </right>
      <top/>
      <bottom/>
      <diagonal/>
    </border>
    <border>
      <left/>
      <right style="medium">
        <color auto="1"/>
      </right>
      <top style="medium">
        <color auto="1"/>
      </top>
      <bottom style="thin">
        <color rgb="FF000000"/>
      </bottom>
      <diagonal/>
    </border>
    <border>
      <left/>
      <right style="medium">
        <color auto="1"/>
      </right>
      <top style="thin">
        <color rgb="FF000000"/>
      </top>
      <bottom/>
      <diagonal/>
    </border>
    <border>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indexed="8"/>
      </top>
      <bottom/>
      <diagonal/>
    </border>
    <border>
      <left/>
      <right/>
      <top/>
      <bottom style="medium">
        <color indexed="8"/>
      </bottom>
      <diagonal/>
    </border>
    <border>
      <left/>
      <right style="medium">
        <color auto="1"/>
      </right>
      <top style="medium">
        <color indexed="8"/>
      </top>
      <bottom/>
      <diagonal/>
    </border>
    <border>
      <left style="medium">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medium">
        <color auto="1"/>
      </bottom>
      <diagonal/>
    </border>
    <border>
      <left style="thin">
        <color auto="1"/>
      </left>
      <right style="thin">
        <color auto="1"/>
      </right>
      <top/>
      <bottom/>
      <diagonal/>
    </border>
    <border>
      <left style="thin">
        <color auto="1"/>
      </left>
      <right style="medium">
        <color auto="1"/>
      </right>
      <top/>
      <bottom style="thin">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double">
        <color auto="1"/>
      </right>
      <top style="thin">
        <color auto="1"/>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style="thin">
        <color auto="1"/>
      </right>
      <top style="thin">
        <color auto="1"/>
      </top>
      <bottom style="double">
        <color auto="1"/>
      </bottom>
      <diagonal/>
    </border>
    <border>
      <left style="double">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double">
        <color auto="1"/>
      </right>
      <top style="thick">
        <color auto="1"/>
      </top>
      <bottom style="thin">
        <color auto="1"/>
      </bottom>
      <diagonal/>
    </border>
    <border>
      <left style="thin">
        <color auto="1"/>
      </left>
      <right style="double">
        <color auto="1"/>
      </right>
      <top style="thin">
        <color auto="1"/>
      </top>
      <bottom style="thick">
        <color auto="1"/>
      </bottom>
      <diagonal/>
    </border>
    <border>
      <left style="double">
        <color auto="1"/>
      </left>
      <right/>
      <top/>
      <bottom/>
      <diagonal/>
    </border>
    <border>
      <left style="double">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double">
        <color auto="1"/>
      </right>
      <top style="double">
        <color auto="1"/>
      </top>
      <bottom style="thin">
        <color auto="1"/>
      </bottom>
      <diagonal/>
    </border>
    <border>
      <left style="double">
        <color auto="1"/>
      </left>
      <right style="thin">
        <color auto="1"/>
      </right>
      <top/>
      <bottom/>
      <diagonal/>
    </border>
    <border>
      <left style="double">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right style="medium">
        <color auto="1"/>
      </right>
      <top/>
      <bottom style="thin">
        <color auto="1"/>
      </bottom>
      <diagonal/>
    </border>
    <border>
      <left style="double">
        <color auto="1"/>
      </left>
      <right style="double">
        <color auto="1"/>
      </right>
      <top style="double">
        <color auto="1"/>
      </top>
      <bottom style="thin">
        <color auto="1"/>
      </bottom>
      <diagonal/>
    </border>
    <border>
      <left style="thin">
        <color auto="1"/>
      </left>
      <right/>
      <top style="thin">
        <color auto="1"/>
      </top>
      <bottom style="double">
        <color auto="1"/>
      </bottom>
      <diagonal/>
    </border>
    <border>
      <left/>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style="thick">
        <color auto="1"/>
      </left>
      <right/>
      <top style="thick">
        <color auto="1"/>
      </top>
      <bottom/>
      <diagonal/>
    </border>
    <border>
      <left/>
      <right/>
      <top style="thick">
        <color auto="1"/>
      </top>
      <bottom/>
      <diagonal/>
    </border>
    <border>
      <left style="thick">
        <color auto="1"/>
      </left>
      <right/>
      <top style="thin">
        <color auto="1"/>
      </top>
      <bottom style="thin">
        <color auto="1"/>
      </bottom>
      <diagonal/>
    </border>
    <border>
      <left style="thick">
        <color auto="1"/>
      </left>
      <right/>
      <top style="thin">
        <color auto="1"/>
      </top>
      <bottom/>
      <diagonal/>
    </border>
    <border>
      <left style="thick">
        <color auto="1"/>
      </left>
      <right/>
      <top/>
      <bottom style="thick">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top/>
      <bottom/>
      <diagonal/>
    </border>
    <border>
      <left/>
      <right style="thick">
        <color auto="1"/>
      </right>
      <top style="thick">
        <color auto="1"/>
      </top>
      <bottom/>
      <diagonal/>
    </border>
    <border>
      <left/>
      <right style="thick">
        <color auto="1"/>
      </right>
      <top/>
      <bottom/>
      <diagonal/>
    </border>
    <border>
      <left/>
      <right style="thick">
        <color auto="1"/>
      </right>
      <top style="thin">
        <color auto="1"/>
      </top>
      <bottom/>
      <diagonal/>
    </border>
    <border>
      <left/>
      <right style="thick">
        <color auto="1"/>
      </right>
      <top/>
      <bottom style="thick">
        <color auto="1"/>
      </bottom>
      <diagonal/>
    </border>
    <border>
      <left/>
      <right style="thick">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right/>
      <top style="thick">
        <color auto="1"/>
      </top>
      <bottom style="thick">
        <color auto="1"/>
      </bottom>
      <diagonal/>
    </border>
    <border>
      <left style="thin">
        <color auto="1"/>
      </left>
      <right style="thick">
        <color auto="1"/>
      </right>
      <top/>
      <bottom style="thin">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top/>
      <bottom style="medium">
        <color indexed="30"/>
      </bottom>
      <diagonal/>
    </border>
    <border>
      <left style="medium">
        <color indexed="30"/>
      </left>
      <right style="medium">
        <color indexed="30"/>
      </right>
      <top style="medium">
        <color indexed="30"/>
      </top>
      <bottom style="medium">
        <color indexed="30"/>
      </bottom>
      <diagonal/>
    </border>
    <border>
      <left style="medium">
        <color indexed="30"/>
      </left>
      <right/>
      <top style="medium">
        <color indexed="30"/>
      </top>
      <bottom style="medium">
        <color indexed="30"/>
      </bottom>
      <diagonal/>
    </border>
    <border>
      <left style="medium">
        <color indexed="30"/>
      </left>
      <right style="medium">
        <color indexed="30"/>
      </right>
      <top style="medium">
        <color indexed="30"/>
      </top>
      <bottom/>
      <diagonal/>
    </border>
    <border>
      <left style="medium">
        <color indexed="30"/>
      </left>
      <right/>
      <top/>
      <bottom style="medium">
        <color indexed="30"/>
      </bottom>
      <diagonal/>
    </border>
    <border>
      <left/>
      <right style="medium">
        <color indexed="30"/>
      </right>
      <top/>
      <bottom style="medium">
        <color indexed="30"/>
      </bottom>
      <diagonal/>
    </border>
    <border>
      <left style="medium">
        <color indexed="30"/>
      </left>
      <right style="medium">
        <color indexed="30"/>
      </right>
      <top/>
      <bottom/>
      <diagonal/>
    </border>
    <border>
      <left/>
      <right/>
      <top style="medium">
        <color indexed="30"/>
      </top>
      <bottom style="medium">
        <color indexed="30"/>
      </bottom>
      <diagonal/>
    </border>
    <border>
      <left/>
      <right style="medium">
        <color indexed="30"/>
      </right>
      <top style="medium">
        <color indexed="30"/>
      </top>
      <bottom style="medium">
        <color indexed="30"/>
      </bottom>
      <diagonal/>
    </border>
    <border>
      <left style="medium">
        <color indexed="30"/>
      </left>
      <right style="medium">
        <color indexed="30"/>
      </right>
      <top/>
      <bottom style="medium">
        <color indexed="30"/>
      </bottom>
      <diagonal/>
    </border>
    <border>
      <left style="medium">
        <color indexed="30"/>
      </left>
      <right/>
      <top style="medium">
        <color indexed="30"/>
      </top>
      <bottom/>
      <diagonal/>
    </border>
    <border>
      <left/>
      <right style="medium">
        <color indexed="30"/>
      </right>
      <top style="medium">
        <color indexed="30"/>
      </top>
      <bottom/>
      <diagonal/>
    </border>
    <border>
      <left/>
      <right/>
      <top style="medium">
        <color indexed="30"/>
      </top>
      <bottom/>
      <diagonal/>
    </border>
    <border>
      <left style="thin">
        <color auto="1"/>
      </left>
      <right style="double">
        <color auto="1"/>
      </right>
      <top/>
      <bottom/>
      <diagonal/>
    </border>
    <border>
      <left style="thin">
        <color auto="1"/>
      </left>
      <right/>
      <top style="double">
        <color auto="1"/>
      </top>
      <bottom style="double">
        <color auto="1"/>
      </bottom>
      <diagonal/>
    </border>
    <border>
      <left/>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style="double">
        <color auto="1"/>
      </top>
      <bottom/>
      <diagonal/>
    </border>
    <border>
      <left style="thin">
        <color auto="1"/>
      </left>
      <right/>
      <top style="double">
        <color auto="1"/>
      </top>
      <bottom style="thin">
        <color auto="1"/>
      </bottom>
      <diagonal/>
    </border>
    <border>
      <left/>
      <right style="double">
        <color auto="1"/>
      </right>
      <top style="thin">
        <color auto="1"/>
      </top>
      <bottom style="thin">
        <color auto="1"/>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right style="double">
        <color auto="1"/>
      </right>
      <top style="thin">
        <color auto="1"/>
      </top>
      <bottom style="double">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style="thin">
        <color auto="1"/>
      </top>
      <bottom style="medium">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thin">
        <color auto="1"/>
      </bottom>
      <diagonal/>
    </border>
    <border>
      <left style="hair">
        <color auto="1"/>
      </left>
      <right/>
      <top style="thin">
        <color auto="1"/>
      </top>
      <bottom/>
      <diagonal/>
    </border>
    <border>
      <left style="hair">
        <color auto="1"/>
      </left>
      <right style="thin">
        <color auto="1"/>
      </right>
      <top style="thin">
        <color auto="1"/>
      </top>
      <bottom style="thin">
        <color auto="1"/>
      </bottom>
      <diagonal/>
    </border>
    <border>
      <left style="hair">
        <color auto="1"/>
      </left>
      <right style="hair">
        <color auto="1"/>
      </right>
      <top/>
      <bottom style="hair">
        <color auto="1"/>
      </bottom>
      <diagonal/>
    </border>
    <border>
      <left style="hair">
        <color auto="1"/>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right style="hair">
        <color auto="1"/>
      </right>
      <top style="thin">
        <color auto="1"/>
      </top>
      <bottom style="thin">
        <color auto="1"/>
      </bottom>
      <diagonal/>
    </border>
    <border>
      <left/>
      <right style="hair">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style="hair">
        <color auto="1"/>
      </left>
      <right/>
      <top/>
      <bottom style="hair">
        <color auto="1"/>
      </bottom>
      <diagonal/>
    </border>
    <border>
      <left style="hair">
        <color auto="1"/>
      </left>
      <right/>
      <top/>
      <bottom style="thin">
        <color auto="1"/>
      </bottom>
      <diagonal/>
    </border>
    <border>
      <left style="thin">
        <color auto="1"/>
      </left>
      <right style="hair">
        <color auto="1"/>
      </right>
      <top/>
      <bottom/>
      <diagonal/>
    </border>
    <border>
      <left style="hair">
        <color auto="1"/>
      </left>
      <right style="thin">
        <color auto="1"/>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top/>
      <bottom/>
      <diagonal/>
    </border>
    <border>
      <left/>
      <right style="hair">
        <color auto="1"/>
      </right>
      <top/>
      <bottom/>
      <diagonal/>
    </border>
    <border>
      <left/>
      <right style="hair">
        <color auto="1"/>
      </right>
      <top/>
      <bottom style="thin">
        <color auto="1"/>
      </bottom>
      <diagonal/>
    </border>
    <border>
      <left style="thin">
        <color auto="1"/>
      </left>
      <right style="hair">
        <color auto="1"/>
      </right>
      <top style="hair">
        <color auto="1"/>
      </top>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style="thin">
        <color auto="1"/>
      </right>
      <top style="hair">
        <color auto="1"/>
      </top>
      <bottom/>
      <diagonal/>
    </border>
    <border diagonalDown="1">
      <left style="hair">
        <color auto="1"/>
      </left>
      <right style="hair">
        <color auto="1"/>
      </right>
      <top style="hair">
        <color auto="1"/>
      </top>
      <bottom style="hair">
        <color auto="1"/>
      </bottom>
      <diagonal style="hair">
        <color auto="1"/>
      </diagonal>
    </border>
    <border>
      <left style="hair">
        <color auto="1"/>
      </left>
      <right style="thin">
        <color auto="1"/>
      </right>
      <top style="hair">
        <color auto="1"/>
      </top>
      <bottom/>
      <diagonal/>
    </border>
    <border>
      <left style="thin">
        <color auto="1"/>
      </left>
      <right/>
      <top/>
      <bottom style="hair">
        <color auto="1"/>
      </bottom>
      <diagonal/>
    </border>
    <border diagonalDown="1">
      <left style="thin">
        <color auto="1"/>
      </left>
      <right style="hair">
        <color auto="1"/>
      </right>
      <top style="hair">
        <color auto="1"/>
      </top>
      <bottom style="hair">
        <color auto="1"/>
      </bottom>
      <diagonal style="hair">
        <color auto="1"/>
      </diagonal>
    </border>
    <border>
      <left/>
      <right style="hair">
        <color auto="1"/>
      </right>
      <top style="hair">
        <color auto="1"/>
      </top>
      <bottom/>
      <diagonal/>
    </border>
    <border diagonalDown="1">
      <left style="hair">
        <color auto="1"/>
      </left>
      <right style="thin">
        <color auto="1"/>
      </right>
      <top style="hair">
        <color auto="1"/>
      </top>
      <bottom style="hair">
        <color auto="1"/>
      </bottom>
      <diagonal style="hair">
        <color auto="1"/>
      </diagonal>
    </border>
    <border>
      <left/>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right/>
      <top style="hair">
        <color auto="1"/>
      </top>
      <bottom style="thin">
        <color auto="1"/>
      </bottom>
      <diagonal/>
    </border>
    <border>
      <left/>
      <right/>
      <top style="thin">
        <color auto="1"/>
      </top>
      <bottom style="hair">
        <color auto="1"/>
      </bottom>
      <diagonal/>
    </border>
    <border>
      <left/>
      <right style="thin">
        <color auto="1"/>
      </right>
      <top style="hair">
        <color auto="1"/>
      </top>
      <bottom style="thin">
        <color auto="1"/>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auto="1"/>
      </right>
      <top style="medium">
        <color auto="1"/>
      </top>
      <bottom/>
      <diagonal/>
    </border>
    <border>
      <left style="thick">
        <color auto="1"/>
      </left>
      <right/>
      <top style="medium">
        <color auto="1"/>
      </top>
      <bottom/>
      <diagonal/>
    </border>
    <border>
      <left style="thick">
        <color auto="1"/>
      </left>
      <right/>
      <top/>
      <bottom style="thin">
        <color auto="1"/>
      </bottom>
      <diagonal/>
    </border>
    <border>
      <left style="thick">
        <color auto="1"/>
      </left>
      <right/>
      <top style="thin">
        <color auto="1"/>
      </top>
      <bottom style="medium">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diagonal/>
    </border>
    <border>
      <left style="medium">
        <color auto="1"/>
      </left>
      <right style="medium">
        <color auto="1"/>
      </right>
      <top/>
      <bottom style="medium">
        <color auto="1"/>
      </bottom>
      <diagonal/>
    </border>
    <border>
      <left style="medium">
        <color auto="1"/>
      </left>
      <right style="thin">
        <color auto="1"/>
      </right>
      <top/>
      <bottom style="medium">
        <color auto="1"/>
      </bottom>
      <diagonal/>
    </border>
    <border>
      <left style="thin">
        <color indexed="23"/>
      </left>
      <right style="thin">
        <color indexed="23"/>
      </right>
      <top style="thin">
        <color indexed="23"/>
      </top>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bottom/>
      <diagonal/>
    </border>
    <border>
      <left style="thin">
        <color indexed="23"/>
      </left>
      <right style="thin">
        <color indexed="23"/>
      </right>
      <top/>
      <bottom style="thin">
        <color indexed="23"/>
      </bottom>
      <diagonal/>
    </border>
    <border>
      <left/>
      <right/>
      <top style="thin">
        <color indexed="23"/>
      </top>
      <bottom style="thin">
        <color indexed="23"/>
      </bottom>
      <diagonal/>
    </border>
    <border>
      <left/>
      <right/>
      <top/>
      <bottom style="double">
        <color auto="1"/>
      </bottom>
      <diagonal/>
    </border>
    <border>
      <left/>
      <right style="double">
        <color auto="1"/>
      </right>
      <top/>
      <bottom/>
      <diagonal/>
    </border>
    <border>
      <left/>
      <right style="double">
        <color auto="1"/>
      </right>
      <top/>
      <bottom style="double">
        <color auto="1"/>
      </bottom>
      <diagonal/>
    </border>
    <border>
      <left style="thin">
        <color auto="1"/>
      </left>
      <right style="medium">
        <color auto="1"/>
      </right>
      <top/>
      <bottom style="medium">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dotted">
        <color auto="1"/>
      </bottom>
      <diagonal/>
    </border>
    <border>
      <left style="dotted">
        <color auto="1"/>
      </left>
      <right style="thin">
        <color auto="1"/>
      </right>
      <top style="thin">
        <color auto="1"/>
      </top>
      <bottom style="dotted">
        <color auto="1"/>
      </bottom>
      <diagonal/>
    </border>
    <border>
      <left style="dotted">
        <color auto="1"/>
      </left>
      <right style="thin">
        <color auto="1"/>
      </right>
      <top style="dotted">
        <color auto="1"/>
      </top>
      <bottom style="dotted">
        <color auto="1"/>
      </bottom>
      <diagonal/>
    </border>
    <border>
      <left style="dotted">
        <color auto="1"/>
      </left>
      <right style="thin">
        <color auto="1"/>
      </right>
      <top style="dotted">
        <color auto="1"/>
      </top>
      <bottom style="thin">
        <color auto="1"/>
      </bottom>
      <diagonal/>
    </border>
    <border>
      <left/>
      <right style="dotted">
        <color auto="1"/>
      </right>
      <top style="dotted">
        <color auto="1"/>
      </top>
      <bottom style="dotted">
        <color auto="1"/>
      </bottom>
      <diagonal/>
    </border>
    <border>
      <left style="thin">
        <color auto="1"/>
      </left>
      <right/>
      <top style="medium">
        <color auto="1"/>
      </top>
      <bottom style="medium">
        <color auto="1"/>
      </bottom>
      <diagonal/>
    </border>
    <border>
      <left style="medium">
        <color indexed="55"/>
      </left>
      <right style="medium">
        <color indexed="55"/>
      </right>
      <top/>
      <bottom/>
      <diagonal/>
    </border>
    <border>
      <left/>
      <right/>
      <top/>
      <bottom style="medium">
        <color indexed="22"/>
      </bottom>
      <diagonal/>
    </border>
    <border>
      <left style="medium">
        <color indexed="22"/>
      </left>
      <right style="medium">
        <color indexed="22"/>
      </right>
      <top style="medium">
        <color indexed="22"/>
      </top>
      <bottom/>
      <diagonal/>
    </border>
    <border>
      <left style="medium">
        <color indexed="22"/>
      </left>
      <right/>
      <top style="medium">
        <color indexed="22"/>
      </top>
      <bottom style="medium">
        <color indexed="22"/>
      </bottom>
      <diagonal/>
    </border>
    <border>
      <left/>
      <right style="medium">
        <color indexed="22"/>
      </right>
      <top style="medium">
        <color indexed="22"/>
      </top>
      <bottom style="medium">
        <color indexed="22"/>
      </bottom>
      <diagonal/>
    </border>
    <border>
      <left style="medium">
        <color indexed="22"/>
      </left>
      <right style="medium">
        <color indexed="22"/>
      </right>
      <top/>
      <bottom style="medium">
        <color indexed="22"/>
      </bottom>
      <diagonal/>
    </border>
    <border>
      <left style="medium">
        <color indexed="22"/>
      </left>
      <right style="medium">
        <color indexed="22"/>
      </right>
      <top/>
      <bottom/>
      <diagonal/>
    </border>
    <border>
      <left style="medium">
        <color indexed="22"/>
      </left>
      <right/>
      <top/>
      <bottom/>
      <diagonal/>
    </border>
    <border>
      <left/>
      <right style="medium">
        <color indexed="22"/>
      </right>
      <top/>
      <bottom/>
      <diagonal/>
    </border>
    <border>
      <left style="medium">
        <color indexed="22"/>
      </left>
      <right/>
      <top/>
      <bottom style="medium">
        <color indexed="22"/>
      </bottom>
      <diagonal/>
    </border>
    <border>
      <left/>
      <right style="medium">
        <color indexed="22"/>
      </right>
      <top/>
      <bottom style="medium">
        <color indexed="22"/>
      </bottom>
      <diagonal/>
    </border>
    <border>
      <left style="medium">
        <color indexed="22"/>
      </left>
      <right style="medium">
        <color indexed="22"/>
      </right>
      <top style="medium">
        <color indexed="22"/>
      </top>
      <bottom style="medium">
        <color indexed="22"/>
      </bottom>
      <diagonal/>
    </border>
    <border>
      <left/>
      <right/>
      <top style="medium">
        <color indexed="22"/>
      </top>
      <bottom/>
      <diagonal/>
    </border>
    <border>
      <left style="medium">
        <color indexed="22"/>
      </left>
      <right/>
      <top style="medium">
        <color indexed="22"/>
      </top>
      <bottom/>
      <diagonal/>
    </border>
    <border>
      <left/>
      <right style="medium">
        <color indexed="22"/>
      </right>
      <top style="medium">
        <color indexed="22"/>
      </top>
      <bottom/>
      <diagonal/>
    </border>
    <border>
      <left/>
      <right/>
      <top style="medium">
        <color indexed="24"/>
      </top>
      <bottom/>
      <diagonal/>
    </border>
    <border>
      <left style="thin">
        <color auto="1"/>
      </left>
      <right/>
      <top/>
      <bottom style="double">
        <color auto="1"/>
      </bottom>
      <diagonal/>
    </border>
    <border>
      <left style="thick">
        <color indexed="13"/>
      </left>
      <right/>
      <top style="thick">
        <color indexed="13"/>
      </top>
      <bottom/>
      <diagonal/>
    </border>
    <border>
      <left/>
      <right/>
      <top style="thick">
        <color indexed="13"/>
      </top>
      <bottom/>
      <diagonal/>
    </border>
    <border>
      <left/>
      <right style="thick">
        <color indexed="13"/>
      </right>
      <top style="thick">
        <color indexed="13"/>
      </top>
      <bottom/>
      <diagonal/>
    </border>
    <border>
      <left style="thick">
        <color indexed="13"/>
      </left>
      <right/>
      <top/>
      <bottom/>
      <diagonal/>
    </border>
    <border>
      <left/>
      <right style="thick">
        <color indexed="13"/>
      </right>
      <top/>
      <bottom/>
      <diagonal/>
    </border>
    <border>
      <left style="thick">
        <color indexed="13"/>
      </left>
      <right/>
      <top/>
      <bottom style="thick">
        <color indexed="13"/>
      </bottom>
      <diagonal/>
    </border>
    <border>
      <left/>
      <right/>
      <top/>
      <bottom style="thick">
        <color indexed="13"/>
      </bottom>
      <diagonal/>
    </border>
    <border>
      <left/>
      <right style="thick">
        <color indexed="13"/>
      </right>
      <top/>
      <bottom style="thick">
        <color indexed="13"/>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style="thin">
        <color indexed="22"/>
      </left>
      <right style="thin">
        <color indexed="22"/>
      </right>
      <top style="thin">
        <color indexed="22"/>
      </top>
      <bottom style="thin">
        <color indexed="22"/>
      </bottom>
      <diagonal/>
    </border>
    <border>
      <left style="medium">
        <color indexed="11"/>
      </left>
      <right/>
      <top style="medium">
        <color indexed="11"/>
      </top>
      <bottom style="thin">
        <color indexed="22"/>
      </bottom>
      <diagonal/>
    </border>
    <border>
      <left/>
      <right/>
      <top style="medium">
        <color indexed="11"/>
      </top>
      <bottom style="thin">
        <color indexed="22"/>
      </bottom>
      <diagonal/>
    </border>
    <border>
      <left style="medium">
        <color indexed="11"/>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medium">
        <color indexed="11"/>
      </left>
      <right/>
      <top style="thin">
        <color indexed="22"/>
      </top>
      <bottom style="thin">
        <color indexed="22"/>
      </bottom>
      <diagonal/>
    </border>
    <border>
      <left/>
      <right/>
      <top style="thin">
        <color indexed="22"/>
      </top>
      <bottom style="thin">
        <color indexed="22"/>
      </bottom>
      <diagonal/>
    </border>
    <border>
      <left/>
      <right/>
      <top style="thin">
        <color indexed="22"/>
      </top>
      <bottom/>
      <diagonal/>
    </border>
    <border>
      <left style="medium">
        <color indexed="11"/>
      </left>
      <right style="thin">
        <color indexed="22"/>
      </right>
      <top style="thin">
        <color indexed="22"/>
      </top>
      <bottom style="medium">
        <color indexed="11"/>
      </bottom>
      <diagonal/>
    </border>
    <border>
      <left style="thin">
        <color indexed="22"/>
      </left>
      <right/>
      <top style="thin">
        <color indexed="22"/>
      </top>
      <bottom style="medium">
        <color indexed="11"/>
      </bottom>
      <diagonal/>
    </border>
    <border>
      <left/>
      <right/>
      <top/>
      <bottom style="medium">
        <color indexed="11"/>
      </bottom>
      <diagonal/>
    </border>
    <border>
      <left style="medium">
        <color indexed="22"/>
      </left>
      <right/>
      <top style="medium">
        <color indexed="11"/>
      </top>
      <bottom/>
      <diagonal/>
    </border>
    <border>
      <left/>
      <right/>
      <top style="medium">
        <color indexed="11"/>
      </top>
      <bottom/>
      <diagonal/>
    </border>
    <border>
      <left/>
      <right style="medium">
        <color indexed="10"/>
      </right>
      <top style="medium">
        <color indexed="11"/>
      </top>
      <bottom/>
      <diagonal/>
    </border>
    <border>
      <left/>
      <right style="medium">
        <color indexed="10"/>
      </right>
      <top/>
      <bottom style="medium">
        <color indexed="22"/>
      </bottom>
      <diagonal/>
    </border>
    <border>
      <left style="medium">
        <color indexed="22"/>
      </left>
      <right/>
      <top style="medium">
        <color indexed="22"/>
      </top>
      <bottom style="medium">
        <color indexed="14"/>
      </bottom>
      <diagonal/>
    </border>
    <border>
      <left/>
      <right style="medium">
        <color indexed="22"/>
      </right>
      <top style="medium">
        <color indexed="22"/>
      </top>
      <bottom style="medium">
        <color indexed="14"/>
      </bottom>
      <diagonal/>
    </border>
    <border>
      <left/>
      <right style="medium">
        <color indexed="11"/>
      </right>
      <top style="medium">
        <color indexed="11"/>
      </top>
      <bottom style="thin">
        <color indexed="22"/>
      </bottom>
      <diagonal/>
    </border>
    <border>
      <left/>
      <right style="thin">
        <color indexed="22"/>
      </right>
      <top style="medium">
        <color indexed="22"/>
      </top>
      <bottom style="thin">
        <color indexed="22"/>
      </bottom>
      <diagonal/>
    </border>
    <border>
      <left style="medium">
        <color indexed="14"/>
      </left>
      <right/>
      <top style="medium">
        <color indexed="14"/>
      </top>
      <bottom style="thin">
        <color indexed="22"/>
      </bottom>
      <diagonal/>
    </border>
    <border>
      <left/>
      <right style="medium">
        <color indexed="14"/>
      </right>
      <top style="medium">
        <color indexed="14"/>
      </top>
      <bottom style="thin">
        <color indexed="22"/>
      </bottom>
      <diagonal/>
    </border>
    <border>
      <left style="thin">
        <color indexed="22"/>
      </left>
      <right style="medium">
        <color indexed="11"/>
      </right>
      <top style="thin">
        <color indexed="22"/>
      </top>
      <bottom style="thin">
        <color indexed="22"/>
      </bottom>
      <diagonal/>
    </border>
    <border>
      <left style="medium">
        <color indexed="14"/>
      </left>
      <right style="thin">
        <color indexed="22"/>
      </right>
      <top style="thin">
        <color indexed="22"/>
      </top>
      <bottom style="thin">
        <color indexed="22"/>
      </bottom>
      <diagonal/>
    </border>
    <border>
      <left/>
      <right style="medium">
        <color indexed="14"/>
      </right>
      <top style="thin">
        <color indexed="22"/>
      </top>
      <bottom style="thin">
        <color indexed="22"/>
      </bottom>
      <diagonal/>
    </border>
    <border>
      <left style="medium">
        <color indexed="14"/>
      </left>
      <right style="thin">
        <color indexed="22"/>
      </right>
      <top style="thin">
        <color indexed="22"/>
      </top>
      <bottom/>
      <diagonal/>
    </border>
    <border>
      <left style="medium">
        <color indexed="14"/>
      </left>
      <right style="thin">
        <color indexed="22"/>
      </right>
      <top/>
      <bottom style="thin">
        <color indexed="22"/>
      </bottom>
      <diagonal/>
    </border>
    <border>
      <left/>
      <right style="medium">
        <color indexed="11"/>
      </right>
      <top style="thin">
        <color indexed="22"/>
      </top>
      <bottom style="thin">
        <color indexed="22"/>
      </bottom>
      <diagonal/>
    </border>
    <border>
      <left style="medium">
        <color indexed="14"/>
      </left>
      <right/>
      <top style="thin">
        <color indexed="22"/>
      </top>
      <bottom style="thin">
        <color indexed="22"/>
      </bottom>
      <diagonal/>
    </border>
    <border>
      <left style="medium">
        <color indexed="11"/>
      </left>
      <right style="thin">
        <color indexed="22"/>
      </right>
      <top style="thin">
        <color indexed="22"/>
      </top>
      <bottom style="medium">
        <color indexed="10"/>
      </bottom>
      <diagonal/>
    </border>
    <border>
      <left style="thin">
        <color indexed="22"/>
      </left>
      <right style="medium">
        <color indexed="11"/>
      </right>
      <top style="thin">
        <color indexed="22"/>
      </top>
      <bottom style="medium">
        <color indexed="10"/>
      </bottom>
      <diagonal/>
    </border>
    <border>
      <left/>
      <right style="thin">
        <color indexed="22"/>
      </right>
      <top style="thin">
        <color indexed="22"/>
      </top>
      <bottom/>
      <diagonal/>
    </border>
    <border>
      <left style="medium">
        <color indexed="10"/>
      </left>
      <right style="thin">
        <color indexed="22"/>
      </right>
      <top style="medium">
        <color indexed="10"/>
      </top>
      <bottom style="thin">
        <color indexed="22"/>
      </bottom>
      <diagonal/>
    </border>
    <border>
      <left style="thin">
        <color indexed="22"/>
      </left>
      <right style="medium">
        <color indexed="10"/>
      </right>
      <top style="medium">
        <color indexed="10"/>
      </top>
      <bottom style="thin">
        <color indexed="22"/>
      </bottom>
      <diagonal/>
    </border>
    <border>
      <left style="medium">
        <color indexed="10"/>
      </left>
      <right style="thin">
        <color indexed="22"/>
      </right>
      <top style="thin">
        <color indexed="22"/>
      </top>
      <bottom style="thin">
        <color indexed="22"/>
      </bottom>
      <diagonal/>
    </border>
    <border>
      <left/>
      <right style="thin">
        <color indexed="22"/>
      </right>
      <top/>
      <bottom/>
      <diagonal/>
    </border>
    <border>
      <left style="thin">
        <color indexed="22"/>
      </left>
      <right style="medium">
        <color indexed="11"/>
      </right>
      <top style="thin">
        <color indexed="22"/>
      </top>
      <bottom/>
      <diagonal/>
    </border>
    <border>
      <left style="medium">
        <color indexed="10"/>
      </left>
      <right style="thin">
        <color indexed="22"/>
      </right>
      <top style="thin">
        <color indexed="22"/>
      </top>
      <bottom/>
      <diagonal/>
    </border>
    <border>
      <left style="thin">
        <color indexed="22"/>
      </left>
      <right style="medium">
        <color indexed="10"/>
      </right>
      <top style="thin">
        <color indexed="22"/>
      </top>
      <bottom/>
      <diagonal/>
    </border>
    <border>
      <left style="medium">
        <color indexed="14"/>
      </left>
      <right style="thin">
        <color indexed="22"/>
      </right>
      <top/>
      <bottom/>
      <diagonal/>
    </border>
    <border>
      <left/>
      <right style="medium">
        <color indexed="14"/>
      </right>
      <top style="thin">
        <color indexed="22"/>
      </top>
      <bottom/>
      <diagonal/>
    </border>
    <border>
      <left style="medium">
        <color indexed="10"/>
      </left>
      <right/>
      <top style="medium">
        <color indexed="10"/>
      </top>
      <bottom/>
      <diagonal/>
    </border>
    <border>
      <left/>
      <right/>
      <top style="medium">
        <color indexed="10"/>
      </top>
      <bottom/>
      <diagonal/>
    </border>
    <border>
      <left/>
      <right style="medium">
        <color indexed="10"/>
      </right>
      <top style="medium">
        <color indexed="10"/>
      </top>
      <bottom/>
      <diagonal/>
    </border>
    <border>
      <left style="medium">
        <color indexed="10"/>
      </left>
      <right style="medium">
        <color indexed="10"/>
      </right>
      <top style="medium">
        <color indexed="10"/>
      </top>
      <bottom/>
      <diagonal/>
    </border>
    <border>
      <left style="medium">
        <color indexed="10"/>
      </left>
      <right/>
      <top style="thin">
        <color indexed="22"/>
      </top>
      <bottom style="thin">
        <color indexed="22"/>
      </bottom>
      <diagonal/>
    </border>
    <border>
      <left/>
      <right/>
      <top style="medium">
        <color indexed="14"/>
      </top>
      <bottom/>
      <diagonal/>
    </border>
    <border>
      <left style="medium">
        <color indexed="10"/>
      </left>
      <right/>
      <top/>
      <bottom style="medium">
        <color indexed="10"/>
      </bottom>
      <diagonal/>
    </border>
    <border>
      <left/>
      <right/>
      <top/>
      <bottom style="medium">
        <color indexed="10"/>
      </bottom>
      <diagonal/>
    </border>
    <border>
      <left/>
      <right style="medium">
        <color indexed="10"/>
      </right>
      <top/>
      <bottom style="medium">
        <color indexed="10"/>
      </bottom>
      <diagonal/>
    </border>
    <border>
      <left style="medium">
        <color indexed="10"/>
      </left>
      <right style="medium">
        <color indexed="10"/>
      </right>
      <top/>
      <bottom style="medium">
        <color indexed="10"/>
      </bottom>
      <diagonal/>
    </border>
    <border>
      <left style="medium">
        <color indexed="10"/>
      </left>
      <right/>
      <top style="thin">
        <color indexed="22"/>
      </top>
      <bottom/>
      <diagonal/>
    </border>
  </borders>
  <cellStyleXfs count="16">
    <xf numFmtId="0" fontId="0" fillId="0" borderId="0"/>
    <xf numFmtId="9" fontId="163" fillId="0" borderId="0" applyFont="0" applyFill="0" applyBorder="0" applyAlignment="0" applyProtection="0"/>
    <xf numFmtId="0" fontId="413" fillId="0" borderId="0" applyNumberFormat="0" applyFill="0" applyBorder="0" applyAlignment="0" applyProtection="0">
      <alignment vertical="top"/>
      <protection locked="0"/>
    </xf>
    <xf numFmtId="0" fontId="418" fillId="34" borderId="266" applyNumberFormat="0" applyAlignment="0" applyProtection="0">
      <alignment vertical="center"/>
    </xf>
    <xf numFmtId="0" fontId="405" fillId="71" borderId="0" applyNumberFormat="0" applyBorder="0" applyAlignment="0" applyProtection="0">
      <alignment vertical="center"/>
    </xf>
    <xf numFmtId="0" fontId="163" fillId="0" borderId="0"/>
    <xf numFmtId="0" fontId="163" fillId="0" borderId="0">
      <alignment vertical="center"/>
    </xf>
    <xf numFmtId="0" fontId="163" fillId="0" borderId="0">
      <alignment vertical="center"/>
    </xf>
    <xf numFmtId="0" fontId="5" fillId="0" borderId="0">
      <alignment vertical="center"/>
    </xf>
    <xf numFmtId="0" fontId="326" fillId="0" borderId="0"/>
    <xf numFmtId="0" fontId="25" fillId="0" borderId="0">
      <alignment vertical="center"/>
    </xf>
    <xf numFmtId="0" fontId="392" fillId="0" borderId="0">
      <alignment vertical="center"/>
    </xf>
    <xf numFmtId="0" fontId="392" fillId="0" borderId="0">
      <alignment vertical="center"/>
    </xf>
    <xf numFmtId="0" fontId="163" fillId="0" borderId="0">
      <alignment vertical="center"/>
    </xf>
    <xf numFmtId="0" fontId="351" fillId="0" borderId="0" applyNumberFormat="0" applyFill="0" applyBorder="0" applyAlignment="0" applyProtection="0">
      <alignment vertical="top"/>
      <protection locked="0"/>
    </xf>
    <xf numFmtId="0" fontId="419" fillId="0" borderId="0" applyNumberFormat="0" applyFill="0" applyBorder="0" applyAlignment="0" applyProtection="0">
      <alignment vertical="top"/>
      <protection locked="0"/>
    </xf>
  </cellStyleXfs>
  <cellXfs count="6220">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Protection="1"/>
    <xf numFmtId="0" fontId="5" fillId="0" borderId="0" xfId="0" applyFont="1" applyFill="1" applyBorder="1" applyAlignment="1">
      <alignment horizontal="center" vertical="center"/>
    </xf>
    <xf numFmtId="0" fontId="5" fillId="0" borderId="0" xfId="0" applyFont="1" applyFill="1" applyBorder="1" applyAlignment="1">
      <alignment vertical="center"/>
    </xf>
    <xf numFmtId="0" fontId="10" fillId="4" borderId="16" xfId="0" applyFont="1" applyFill="1" applyBorder="1" applyAlignment="1">
      <alignment horizontal="left" vertical="center" wrapText="1"/>
    </xf>
    <xf numFmtId="0" fontId="11" fillId="4" borderId="17" xfId="0" applyFont="1" applyFill="1" applyBorder="1" applyAlignment="1">
      <alignment horizontal="left" vertical="center" wrapText="1"/>
    </xf>
    <xf numFmtId="0" fontId="12" fillId="4" borderId="17" xfId="0" applyFont="1" applyFill="1" applyBorder="1" applyAlignment="1">
      <alignment horizontal="center" vertical="center" wrapText="1"/>
    </xf>
    <xf numFmtId="0" fontId="11" fillId="0" borderId="16"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1" fillId="0" borderId="0" xfId="0" applyFont="1" applyFill="1" applyBorder="1" applyAlignment="1">
      <alignment horizontal="justify" vertical="center"/>
    </xf>
    <xf numFmtId="0" fontId="14" fillId="0" borderId="0" xfId="0" applyFont="1" applyFill="1" applyBorder="1" applyAlignment="1">
      <alignment horizontal="left" vertical="center"/>
    </xf>
    <xf numFmtId="0" fontId="8" fillId="2" borderId="18"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13" fillId="4" borderId="17"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2" fillId="4" borderId="34"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3" fillId="0" borderId="34" xfId="0" applyFont="1" applyFill="1" applyBorder="1" applyAlignment="1">
      <alignment horizontal="center" vertical="center" wrapText="1"/>
    </xf>
    <xf numFmtId="0" fontId="15" fillId="0" borderId="0" xfId="0" applyFont="1" applyFill="1" applyAlignment="1" applyProtection="1">
      <alignment horizontal="center" vertical="center" wrapText="1"/>
      <protection locked="0"/>
    </xf>
    <xf numFmtId="0" fontId="15" fillId="6" borderId="0" xfId="0" applyFont="1" applyFill="1" applyBorder="1" applyAlignment="1" applyProtection="1">
      <alignment horizontal="center" vertical="center" wrapText="1"/>
    </xf>
    <xf numFmtId="0" fontId="15" fillId="0" borderId="0" xfId="0" applyFont="1" applyFill="1" applyBorder="1" applyAlignment="1" applyProtection="1">
      <alignment horizontal="center" vertical="center" wrapText="1"/>
    </xf>
    <xf numFmtId="0" fontId="15" fillId="0" borderId="0" xfId="0" applyFont="1" applyFill="1" applyAlignment="1" applyProtection="1">
      <alignment horizontal="center" vertical="center" wrapText="1"/>
    </xf>
    <xf numFmtId="0" fontId="15" fillId="6" borderId="0" xfId="0" applyFont="1" applyFill="1" applyAlignment="1" applyProtection="1">
      <alignment horizontal="center" vertical="center" wrapText="1"/>
    </xf>
    <xf numFmtId="0" fontId="15" fillId="6" borderId="4" xfId="0" applyFont="1" applyFill="1" applyBorder="1" applyAlignment="1" applyProtection="1">
      <alignment horizontal="center" vertical="center" wrapText="1"/>
      <protection locked="0"/>
    </xf>
    <xf numFmtId="0" fontId="15" fillId="7" borderId="37" xfId="0" applyFont="1" applyFill="1" applyBorder="1" applyAlignment="1" applyProtection="1">
      <alignment horizontal="center" vertical="center" wrapText="1"/>
      <protection locked="0"/>
    </xf>
    <xf numFmtId="0" fontId="15" fillId="7" borderId="0" xfId="0" applyFont="1" applyFill="1" applyAlignment="1" applyProtection="1">
      <alignment horizontal="center" vertical="center" wrapText="1"/>
      <protection locked="0"/>
    </xf>
    <xf numFmtId="0" fontId="15" fillId="0" borderId="0" xfId="0"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locked="0"/>
    </xf>
    <xf numFmtId="0" fontId="0" fillId="0" borderId="0" xfId="0" applyProtection="1">
      <protection locked="0"/>
    </xf>
    <xf numFmtId="0" fontId="15" fillId="6" borderId="0" xfId="0" applyFont="1" applyFill="1" applyAlignment="1" applyProtection="1">
      <alignment horizontal="center" vertical="center" wrapText="1"/>
      <protection locked="0"/>
    </xf>
    <xf numFmtId="0" fontId="15" fillId="0" borderId="4" xfId="0" applyFont="1" applyFill="1" applyBorder="1" applyAlignment="1" applyProtection="1">
      <alignment horizontal="center" vertical="center" wrapText="1"/>
      <protection locked="0"/>
    </xf>
    <xf numFmtId="0" fontId="15" fillId="6" borderId="22" xfId="0" applyFont="1" applyFill="1" applyBorder="1" applyAlignment="1" applyProtection="1">
      <alignment horizontal="center" vertical="center" wrapText="1"/>
      <protection locked="0"/>
    </xf>
    <xf numFmtId="0" fontId="15" fillId="0" borderId="23" xfId="0" applyFont="1" applyFill="1" applyBorder="1" applyAlignment="1" applyProtection="1">
      <alignment horizontal="center" vertical="center" wrapText="1"/>
      <protection locked="0"/>
    </xf>
    <xf numFmtId="0" fontId="15" fillId="0" borderId="22" xfId="0" applyFont="1" applyFill="1" applyBorder="1" applyAlignment="1" applyProtection="1">
      <alignment horizontal="center" vertical="center" wrapText="1"/>
      <protection locked="0"/>
    </xf>
    <xf numFmtId="0" fontId="15" fillId="9" borderId="0" xfId="0" applyFont="1" applyFill="1" applyAlignment="1" applyProtection="1">
      <alignment horizontal="center" vertical="center" wrapText="1"/>
      <protection locked="0"/>
    </xf>
    <xf numFmtId="0" fontId="15" fillId="6" borderId="36" xfId="0" applyFont="1" applyFill="1" applyBorder="1" applyAlignment="1" applyProtection="1">
      <alignment horizontal="center" vertical="center" wrapText="1"/>
    </xf>
    <xf numFmtId="0" fontId="15" fillId="0" borderId="36" xfId="0" applyFont="1" applyFill="1" applyBorder="1" applyAlignment="1" applyProtection="1">
      <alignment horizontal="center" vertical="center" wrapText="1"/>
    </xf>
    <xf numFmtId="0" fontId="15" fillId="6" borderId="1" xfId="0" applyFont="1" applyFill="1" applyBorder="1" applyAlignment="1" applyProtection="1">
      <alignment horizontal="center" vertical="center" wrapText="1"/>
    </xf>
    <xf numFmtId="0" fontId="15" fillId="0" borderId="1" xfId="0" applyFont="1" applyFill="1" applyBorder="1" applyAlignment="1" applyProtection="1">
      <alignment horizontal="center" vertical="center" wrapText="1"/>
    </xf>
    <xf numFmtId="0" fontId="15" fillId="7" borderId="1" xfId="0"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wrapText="1"/>
      <protection locked="0"/>
    </xf>
    <xf numFmtId="0" fontId="15" fillId="0" borderId="30" xfId="0" applyFont="1" applyFill="1" applyBorder="1" applyAlignment="1" applyProtection="1">
      <alignment horizontal="center" vertical="center" wrapText="1"/>
      <protection locked="0"/>
    </xf>
    <xf numFmtId="0" fontId="18" fillId="0" borderId="0" xfId="0" applyFont="1" applyFill="1" applyAlignment="1" applyProtection="1">
      <alignment horizontal="center" vertical="center" wrapText="1"/>
      <protection locked="0"/>
    </xf>
    <xf numFmtId="0" fontId="15" fillId="0" borderId="35" xfId="0" applyFont="1" applyFill="1" applyBorder="1" applyAlignment="1" applyProtection="1">
      <alignment horizontal="center" vertical="center" wrapText="1"/>
      <protection locked="0"/>
    </xf>
    <xf numFmtId="0" fontId="19" fillId="0" borderId="0" xfId="0" applyFont="1"/>
    <xf numFmtId="0" fontId="0" fillId="10" borderId="0" xfId="0" applyFill="1"/>
    <xf numFmtId="0" fontId="20" fillId="10" borderId="0" xfId="0" applyFont="1" applyFill="1" applyAlignment="1">
      <alignment horizontal="right"/>
    </xf>
    <xf numFmtId="0" fontId="0" fillId="11" borderId="0" xfId="0" applyFill="1"/>
    <xf numFmtId="0" fontId="20" fillId="10" borderId="0" xfId="0" applyFont="1" applyFill="1"/>
    <xf numFmtId="0" fontId="21" fillId="10" borderId="0" xfId="0" applyFont="1" applyFill="1"/>
    <xf numFmtId="0" fontId="0" fillId="11" borderId="0" xfId="0" applyNumberFormat="1" applyFill="1"/>
    <xf numFmtId="0" fontId="0" fillId="10" borderId="0" xfId="0" applyFill="1" applyAlignment="1"/>
    <xf numFmtId="0" fontId="22" fillId="10" borderId="0" xfId="0" applyFont="1" applyFill="1"/>
    <xf numFmtId="9" fontId="0" fillId="11" borderId="0" xfId="0" applyNumberFormat="1" applyFill="1"/>
    <xf numFmtId="0" fontId="0" fillId="0" borderId="0" xfId="0" applyFill="1"/>
    <xf numFmtId="0" fontId="21" fillId="0" borderId="0" xfId="0" applyFont="1" applyFill="1"/>
    <xf numFmtId="0" fontId="0" fillId="0" borderId="0" xfId="0" applyNumberFormat="1" applyFill="1"/>
    <xf numFmtId="0" fontId="21" fillId="0" borderId="0" xfId="0" applyFont="1" applyFill="1" applyAlignment="1">
      <alignment horizontal="right"/>
    </xf>
    <xf numFmtId="0" fontId="0" fillId="0" borderId="0" xfId="0" applyFont="1"/>
    <xf numFmtId="0" fontId="0" fillId="0" borderId="0" xfId="0" applyFont="1" applyAlignment="1">
      <alignment horizontal="right"/>
    </xf>
    <xf numFmtId="0" fontId="0" fillId="0" borderId="0" xfId="0" applyFont="1" applyAlignment="1">
      <alignment horizontal="left"/>
    </xf>
    <xf numFmtId="0" fontId="0" fillId="0" borderId="0" xfId="0" applyFont="1" applyAlignment="1">
      <alignment vertical="center"/>
    </xf>
    <xf numFmtId="0" fontId="0" fillId="0" borderId="0" xfId="0" applyAlignment="1">
      <alignment horizontal="right" vertical="center"/>
    </xf>
    <xf numFmtId="49" fontId="0" fillId="0" borderId="0" xfId="0" applyNumberFormat="1"/>
    <xf numFmtId="0" fontId="0" fillId="0" borderId="0" xfId="0" applyAlignment="1">
      <alignment horizontal="right"/>
    </xf>
    <xf numFmtId="0" fontId="0" fillId="0" borderId="0" xfId="0" applyAlignment="1">
      <alignment horizontal="left"/>
    </xf>
    <xf numFmtId="0" fontId="0" fillId="0" borderId="0" xfId="0" applyAlignment="1">
      <alignment wrapText="1"/>
    </xf>
    <xf numFmtId="0" fontId="20" fillId="0" borderId="0" xfId="0" applyFont="1"/>
    <xf numFmtId="0" fontId="0" fillId="0" borderId="0" xfId="0" applyAlignment="1"/>
    <xf numFmtId="0" fontId="0" fillId="0" borderId="0" xfId="0" applyAlignment="1">
      <alignment horizontal="center"/>
    </xf>
    <xf numFmtId="0" fontId="19" fillId="0" borderId="0" xfId="0" applyFont="1" applyAlignment="1">
      <alignment horizontal="center"/>
    </xf>
    <xf numFmtId="0" fontId="21" fillId="10" borderId="0" xfId="0" applyFont="1" applyFill="1" applyAlignment="1">
      <alignment horizontal="right"/>
    </xf>
    <xf numFmtId="0" fontId="0" fillId="6" borderId="0" xfId="0" applyFill="1"/>
    <xf numFmtId="0" fontId="21" fillId="6" borderId="0" xfId="0" applyFont="1" applyFill="1" applyAlignment="1">
      <alignment horizontal="right"/>
    </xf>
    <xf numFmtId="0" fontId="0" fillId="6" borderId="0" xfId="0" applyNumberFormat="1" applyFill="1"/>
    <xf numFmtId="0" fontId="0" fillId="0" borderId="0" xfId="0" applyFont="1" applyFill="1" applyBorder="1"/>
    <xf numFmtId="0" fontId="0" fillId="0" borderId="0" xfId="0" applyFont="1" applyFill="1" applyBorder="1" applyAlignment="1">
      <alignment horizontal="left"/>
    </xf>
    <xf numFmtId="0" fontId="23" fillId="0" borderId="0" xfId="0" applyFont="1"/>
    <xf numFmtId="0" fontId="0" fillId="10" borderId="0" xfId="0" applyFill="1" applyAlignment="1">
      <alignment vertical="center"/>
    </xf>
    <xf numFmtId="0" fontId="20" fillId="10" borderId="0" xfId="0" applyFont="1" applyFill="1" applyAlignment="1">
      <alignment horizontal="right" vertical="center"/>
    </xf>
    <xf numFmtId="0" fontId="0" fillId="11" borderId="0" xfId="0" applyFill="1" applyAlignment="1">
      <alignment vertical="center"/>
    </xf>
    <xf numFmtId="0" fontId="0" fillId="10" borderId="0" xfId="0" applyFill="1" applyAlignment="1">
      <alignment vertical="center" wrapText="1"/>
    </xf>
    <xf numFmtId="0" fontId="24" fillId="10" borderId="0" xfId="0" applyFont="1" applyFill="1" applyAlignment="1">
      <alignment horizontal="right" vertical="center"/>
    </xf>
    <xf numFmtId="0" fontId="25" fillId="0" borderId="0" xfId="0" applyFont="1" applyAlignment="1"/>
    <xf numFmtId="0" fontId="0" fillId="0" borderId="0" xfId="0" applyAlignment="1">
      <alignment vertical="center"/>
    </xf>
    <xf numFmtId="0" fontId="23" fillId="0" borderId="0" xfId="0" applyFont="1" applyAlignment="1">
      <alignment horizontal="right" vertical="center"/>
    </xf>
    <xf numFmtId="0" fontId="0" fillId="0" borderId="0" xfId="0" applyFill="1" applyBorder="1"/>
    <xf numFmtId="0" fontId="20" fillId="0" borderId="0" xfId="0" applyFont="1" applyAlignment="1">
      <alignment horizontal="right" vertical="center"/>
    </xf>
    <xf numFmtId="0" fontId="0" fillId="10" borderId="1" xfId="0" applyFill="1" applyBorder="1" applyAlignment="1">
      <alignment vertical="center"/>
    </xf>
    <xf numFmtId="0" fontId="20" fillId="10" borderId="1" xfId="0" applyFont="1" applyFill="1" applyBorder="1" applyAlignment="1">
      <alignment horizontal="right" vertical="center"/>
    </xf>
    <xf numFmtId="0" fontId="0" fillId="11" borderId="1" xfId="0" applyFill="1" applyBorder="1" applyAlignment="1">
      <alignment vertical="center"/>
    </xf>
    <xf numFmtId="0" fontId="20" fillId="10" borderId="1" xfId="0" applyFont="1" applyFill="1" applyBorder="1" applyAlignment="1">
      <alignment vertical="center"/>
    </xf>
    <xf numFmtId="0" fontId="0" fillId="12" borderId="0" xfId="0" applyFill="1" applyAlignment="1">
      <alignment vertical="center"/>
    </xf>
    <xf numFmtId="0" fontId="20" fillId="13" borderId="38" xfId="0" applyFont="1" applyFill="1" applyBorder="1" applyAlignment="1">
      <alignment vertical="center"/>
    </xf>
    <xf numFmtId="0" fontId="20" fillId="13" borderId="39" xfId="0" applyFont="1" applyFill="1" applyBorder="1" applyAlignment="1">
      <alignment vertical="center"/>
    </xf>
    <xf numFmtId="0" fontId="21" fillId="10" borderId="1" xfId="0" applyFont="1" applyFill="1" applyBorder="1" applyAlignment="1">
      <alignment vertical="center"/>
    </xf>
    <xf numFmtId="0" fontId="0" fillId="11" borderId="1" xfId="0" applyNumberFormat="1" applyFill="1" applyBorder="1" applyAlignment="1">
      <alignment vertical="center"/>
    </xf>
    <xf numFmtId="0" fontId="0" fillId="0" borderId="0" xfId="0" applyFill="1" applyAlignment="1">
      <alignment vertical="center"/>
    </xf>
    <xf numFmtId="0" fontId="21" fillId="0" borderId="0" xfId="0" applyFont="1" applyFill="1" applyAlignment="1">
      <alignment vertical="center"/>
    </xf>
    <xf numFmtId="0" fontId="0" fillId="0" borderId="0" xfId="0" applyNumberFormat="1" applyFill="1" applyAlignment="1">
      <alignment vertical="center"/>
    </xf>
    <xf numFmtId="0" fontId="20" fillId="13" borderId="40" xfId="0" applyFont="1" applyFill="1" applyBorder="1" applyAlignment="1">
      <alignment vertical="center"/>
    </xf>
    <xf numFmtId="0" fontId="0" fillId="13" borderId="3" xfId="0" applyFont="1" applyFill="1" applyBorder="1" applyAlignment="1">
      <alignment vertical="center"/>
    </xf>
    <xf numFmtId="0" fontId="0" fillId="0" borderId="29" xfId="0" applyBorder="1" applyAlignment="1">
      <alignment vertical="center"/>
    </xf>
    <xf numFmtId="0" fontId="0" fillId="0" borderId="23" xfId="0" applyBorder="1" applyAlignment="1">
      <alignment vertical="center"/>
    </xf>
    <xf numFmtId="0" fontId="0" fillId="0" borderId="35" xfId="0" applyBorder="1" applyAlignment="1">
      <alignment vertical="center"/>
    </xf>
    <xf numFmtId="0" fontId="0" fillId="0" borderId="0" xfId="0" applyBorder="1" applyAlignment="1">
      <alignment horizontal="right" vertical="center"/>
    </xf>
    <xf numFmtId="0" fontId="0" fillId="0" borderId="0" xfId="0" applyBorder="1" applyAlignment="1">
      <alignment vertical="center"/>
    </xf>
    <xf numFmtId="0" fontId="0" fillId="0" borderId="30" xfId="0" applyBorder="1" applyAlignment="1">
      <alignment vertical="center"/>
    </xf>
    <xf numFmtId="0" fontId="0" fillId="0" borderId="23" xfId="0" applyBorder="1" applyAlignment="1">
      <alignment horizontal="right" vertical="center"/>
    </xf>
    <xf numFmtId="0" fontId="0" fillId="13" borderId="23" xfId="0" applyFill="1" applyBorder="1" applyAlignment="1">
      <alignment vertical="center"/>
    </xf>
    <xf numFmtId="0" fontId="0" fillId="0" borderId="3" xfId="0" applyBorder="1" applyAlignment="1">
      <alignment horizontal="right" vertical="center"/>
    </xf>
    <xf numFmtId="0" fontId="0" fillId="0" borderId="3" xfId="0" applyBorder="1" applyAlignment="1">
      <alignment vertical="center"/>
    </xf>
    <xf numFmtId="0" fontId="0" fillId="0" borderId="22" xfId="0" applyBorder="1" applyAlignment="1">
      <alignment vertical="center"/>
    </xf>
    <xf numFmtId="0" fontId="0" fillId="0" borderId="41" xfId="0" applyBorder="1" applyAlignment="1">
      <alignment vertical="center"/>
    </xf>
    <xf numFmtId="0" fontId="20" fillId="0" borderId="3" xfId="0" applyFont="1" applyBorder="1" applyAlignment="1">
      <alignment horizontal="right" vertical="center"/>
    </xf>
    <xf numFmtId="0" fontId="26" fillId="0" borderId="3" xfId="0" applyFont="1" applyFill="1" applyBorder="1" applyAlignment="1">
      <alignment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3" xfId="0" applyFill="1" applyBorder="1" applyAlignment="1">
      <alignment vertical="center"/>
    </xf>
    <xf numFmtId="0" fontId="20" fillId="0" borderId="42" xfId="0" applyFont="1" applyBorder="1" applyAlignment="1">
      <alignment horizontal="right" vertical="center"/>
    </xf>
    <xf numFmtId="0" fontId="0" fillId="8" borderId="42" xfId="0" applyFill="1" applyBorder="1" applyAlignment="1">
      <alignment horizontal="center" vertical="center"/>
    </xf>
    <xf numFmtId="0" fontId="0" fillId="0" borderId="43" xfId="0" applyBorder="1" applyAlignment="1">
      <alignment vertical="center"/>
    </xf>
    <xf numFmtId="0" fontId="20" fillId="0" borderId="0" xfId="0" applyFont="1" applyAlignment="1">
      <alignment vertical="center"/>
    </xf>
    <xf numFmtId="0" fontId="0" fillId="13" borderId="35" xfId="0" applyFill="1" applyBorder="1" applyAlignment="1">
      <alignment vertical="center"/>
    </xf>
    <xf numFmtId="0" fontId="0" fillId="13" borderId="1" xfId="0" applyFill="1" applyBorder="1" applyAlignment="1">
      <alignment vertical="center"/>
    </xf>
    <xf numFmtId="0" fontId="0" fillId="11" borderId="44" xfId="0" applyFont="1" applyFill="1" applyBorder="1" applyAlignment="1">
      <alignment vertical="center"/>
    </xf>
    <xf numFmtId="0" fontId="20" fillId="13" borderId="45" xfId="0" applyFont="1" applyFill="1" applyBorder="1" applyAlignment="1">
      <alignment vertical="center"/>
    </xf>
    <xf numFmtId="0" fontId="0" fillId="11" borderId="1" xfId="0" applyFont="1" applyFill="1" applyBorder="1" applyAlignment="1">
      <alignment vertical="center"/>
    </xf>
    <xf numFmtId="0" fontId="0" fillId="13" borderId="46" xfId="0" applyFill="1" applyBorder="1" applyAlignment="1">
      <alignment vertical="center"/>
    </xf>
    <xf numFmtId="0" fontId="0" fillId="14" borderId="1" xfId="0" applyFill="1" applyBorder="1" applyAlignment="1">
      <alignment vertical="center"/>
    </xf>
    <xf numFmtId="0" fontId="20" fillId="13" borderId="46" xfId="0" applyFont="1" applyFill="1" applyBorder="1" applyAlignment="1">
      <alignment vertical="center"/>
    </xf>
    <xf numFmtId="0" fontId="0" fillId="14" borderId="47" xfId="0" applyFill="1" applyBorder="1" applyAlignment="1">
      <alignment vertical="center"/>
    </xf>
    <xf numFmtId="0" fontId="20" fillId="13" borderId="48" xfId="0" applyFont="1" applyFill="1" applyBorder="1" applyAlignment="1">
      <alignment vertical="center"/>
    </xf>
    <xf numFmtId="0" fontId="0" fillId="0" borderId="0" xfId="0" applyFill="1" applyBorder="1" applyAlignment="1">
      <alignment vertical="center"/>
    </xf>
    <xf numFmtId="0" fontId="20" fillId="0" borderId="42" xfId="0" applyFont="1" applyBorder="1" applyAlignment="1">
      <alignment vertical="center"/>
    </xf>
    <xf numFmtId="0" fontId="0" fillId="13" borderId="42" xfId="0" applyFill="1" applyBorder="1" applyAlignment="1">
      <alignment vertical="center"/>
    </xf>
    <xf numFmtId="0" fontId="0" fillId="0" borderId="0" xfId="0" applyNumberFormat="1" applyAlignment="1" applyProtection="1">
      <alignment vertical="center" textRotation="255"/>
    </xf>
    <xf numFmtId="0" fontId="0" fillId="10" borderId="1" xfId="0" applyFill="1" applyBorder="1" applyProtection="1">
      <protection locked="0"/>
    </xf>
    <xf numFmtId="0" fontId="20" fillId="10" borderId="1" xfId="0" applyFont="1" applyFill="1" applyBorder="1" applyAlignment="1" applyProtection="1">
      <alignment horizontal="right"/>
      <protection locked="0"/>
    </xf>
    <xf numFmtId="0" fontId="0" fillId="8" borderId="1" xfId="0" applyFill="1" applyBorder="1" applyProtection="1">
      <protection locked="0"/>
    </xf>
    <xf numFmtId="0" fontId="20" fillId="10" borderId="1" xfId="0" applyFont="1" applyFill="1" applyBorder="1" applyProtection="1">
      <protection locked="0"/>
    </xf>
    <xf numFmtId="0" fontId="0" fillId="10" borderId="0" xfId="0" applyFill="1" applyProtection="1">
      <protection locked="0"/>
    </xf>
    <xf numFmtId="0" fontId="0" fillId="0" borderId="0" xfId="0" applyAlignment="1" applyProtection="1">
      <protection locked="0"/>
    </xf>
    <xf numFmtId="0" fontId="0" fillId="7" borderId="1" xfId="0" applyFill="1" applyBorder="1" applyProtection="1">
      <protection locked="0"/>
    </xf>
    <xf numFmtId="0" fontId="21" fillId="10" borderId="1" xfId="0" applyFont="1" applyFill="1" applyBorder="1" applyAlignment="1" applyProtection="1">
      <alignment horizontal="right"/>
      <protection locked="0"/>
    </xf>
    <xf numFmtId="0" fontId="0" fillId="8" borderId="1" xfId="0" applyNumberFormat="1" applyFill="1" applyBorder="1" applyProtection="1">
      <protection locked="0"/>
    </xf>
    <xf numFmtId="9" fontId="0" fillId="8" borderId="1" xfId="0" applyNumberFormat="1" applyFill="1" applyBorder="1" applyProtection="1">
      <protection locked="0"/>
    </xf>
    <xf numFmtId="0" fontId="0" fillId="7" borderId="1" xfId="0" applyNumberFormat="1" applyFill="1" applyBorder="1" applyProtection="1">
      <protection locked="0"/>
    </xf>
    <xf numFmtId="0" fontId="0" fillId="0" borderId="0" xfId="0" applyFill="1" applyProtection="1">
      <protection locked="0"/>
    </xf>
    <xf numFmtId="0" fontId="21" fillId="0" borderId="0" xfId="0" applyFont="1" applyFill="1" applyProtection="1">
      <protection locked="0"/>
    </xf>
    <xf numFmtId="0" fontId="0" fillId="0" borderId="0" xfId="0" applyNumberFormat="1" applyFill="1" applyProtection="1">
      <protection locked="0"/>
    </xf>
    <xf numFmtId="0" fontId="0" fillId="0" borderId="49" xfId="0" applyFont="1" applyBorder="1" applyProtection="1">
      <protection locked="0"/>
    </xf>
    <xf numFmtId="0" fontId="0" fillId="0" borderId="3" xfId="0" applyBorder="1" applyProtection="1">
      <protection locked="0"/>
    </xf>
    <xf numFmtId="0" fontId="0" fillId="0" borderId="0" xfId="0" applyFont="1" applyAlignment="1" applyProtection="1">
      <alignment horizontal="right"/>
      <protection locked="0"/>
    </xf>
    <xf numFmtId="0" fontId="0" fillId="0" borderId="0" xfId="0" applyFont="1" applyFill="1" applyBorder="1" applyProtection="1">
      <protection locked="0"/>
    </xf>
    <xf numFmtId="0" fontId="20" fillId="0" borderId="0" xfId="0" applyFont="1" applyProtection="1">
      <protection locked="0"/>
    </xf>
    <xf numFmtId="0" fontId="0" fillId="0" borderId="50" xfId="0" applyFont="1" applyBorder="1" applyProtection="1">
      <protection locked="0"/>
    </xf>
    <xf numFmtId="0" fontId="0" fillId="0" borderId="50" xfId="0" applyFont="1" applyBorder="1" applyAlignment="1" applyProtection="1">
      <alignment horizontal="right"/>
      <protection locked="0"/>
    </xf>
    <xf numFmtId="0" fontId="0" fillId="0" borderId="50" xfId="0" applyFont="1" applyFill="1" applyBorder="1" applyAlignment="1" applyProtection="1">
      <alignment horizontal="left"/>
      <protection locked="0"/>
    </xf>
    <xf numFmtId="0" fontId="0" fillId="0" borderId="23" xfId="0" applyBorder="1" applyProtection="1">
      <protection locked="0"/>
    </xf>
    <xf numFmtId="0" fontId="0" fillId="0" borderId="0" xfId="0" applyNumberFormat="1" applyFont="1" applyAlignment="1" applyProtection="1">
      <alignment vertical="center" textRotation="255"/>
      <protection locked="0"/>
    </xf>
    <xf numFmtId="0" fontId="0" fillId="0" borderId="0" xfId="0" applyFont="1" applyProtection="1">
      <protection locked="0"/>
    </xf>
    <xf numFmtId="0" fontId="23" fillId="7" borderId="0" xfId="0" applyFont="1" applyFill="1" applyProtection="1">
      <protection locked="0"/>
    </xf>
    <xf numFmtId="0" fontId="23" fillId="0" borderId="0" xfId="0" applyFont="1" applyProtection="1">
      <protection locked="0"/>
    </xf>
    <xf numFmtId="0" fontId="0" fillId="0" borderId="0" xfId="0" applyFont="1" applyAlignment="1" applyProtection="1">
      <alignment horizontal="left"/>
      <protection locked="0"/>
    </xf>
    <xf numFmtId="0" fontId="0" fillId="7" borderId="0" xfId="0" applyFont="1" applyFill="1" applyProtection="1">
      <protection locked="0"/>
    </xf>
    <xf numFmtId="0" fontId="0" fillId="0" borderId="0" xfId="0" applyAlignment="1" applyProtection="1">
      <alignment horizontal="right"/>
      <protection locked="0"/>
    </xf>
    <xf numFmtId="0" fontId="0" fillId="7" borderId="0" xfId="0" applyFill="1" applyProtection="1">
      <protection locked="0"/>
    </xf>
    <xf numFmtId="0" fontId="0" fillId="0" borderId="23" xfId="0" applyBorder="1" applyAlignment="1" applyProtection="1">
      <alignment horizontal="right"/>
      <protection locked="0"/>
    </xf>
    <xf numFmtId="0" fontId="0" fillId="7" borderId="23" xfId="0" applyFill="1" applyBorder="1" applyProtection="1">
      <protection locked="0"/>
    </xf>
    <xf numFmtId="0" fontId="0" fillId="0" borderId="0" xfId="0" applyNumberFormat="1" applyAlignment="1" applyProtection="1">
      <alignment vertical="center" textRotation="255"/>
      <protection locked="0"/>
    </xf>
    <xf numFmtId="0" fontId="0" fillId="0" borderId="3" xfId="0" applyBorder="1" applyAlignment="1" applyProtection="1">
      <alignment horizontal="right"/>
      <protection locked="0"/>
    </xf>
    <xf numFmtId="0" fontId="0" fillId="0" borderId="49" xfId="0" applyBorder="1" applyProtection="1">
      <protection locked="0"/>
    </xf>
    <xf numFmtId="0" fontId="0" fillId="0" borderId="29" xfId="0" applyBorder="1" applyProtection="1">
      <protection locked="0"/>
    </xf>
    <xf numFmtId="0" fontId="0" fillId="0" borderId="30" xfId="0" applyBorder="1" applyProtection="1">
      <protection locked="0"/>
    </xf>
    <xf numFmtId="0" fontId="0" fillId="0" borderId="35" xfId="0" applyBorder="1" applyProtection="1">
      <protection locked="0"/>
    </xf>
    <xf numFmtId="0" fontId="21" fillId="0" borderId="0" xfId="0" applyFont="1" applyAlignment="1" applyProtection="1">
      <alignment horizontal="right" vertical="center"/>
      <protection locked="0"/>
    </xf>
    <xf numFmtId="0" fontId="0" fillId="0" borderId="0" xfId="0" applyNumberFormat="1" applyAlignment="1" applyProtection="1">
      <alignment horizontal="center" vertical="center" textRotation="255"/>
      <protection locked="0"/>
    </xf>
    <xf numFmtId="0" fontId="20" fillId="14" borderId="0" xfId="0" applyFont="1" applyFill="1" applyProtection="1">
      <protection locked="0"/>
    </xf>
    <xf numFmtId="0" fontId="0" fillId="14" borderId="0" xfId="0" applyFill="1" applyProtection="1">
      <protection locked="0"/>
    </xf>
    <xf numFmtId="0" fontId="0" fillId="0" borderId="51" xfId="0" applyBorder="1" applyProtection="1">
      <protection locked="0"/>
    </xf>
    <xf numFmtId="0" fontId="0" fillId="0" borderId="0" xfId="0" applyFill="1" applyBorder="1" applyProtection="1">
      <protection locked="0"/>
    </xf>
    <xf numFmtId="0" fontId="20" fillId="0" borderId="0" xfId="0" applyFont="1" applyAlignment="1" applyProtection="1">
      <alignment horizontal="right"/>
      <protection locked="0"/>
    </xf>
    <xf numFmtId="0" fontId="26" fillId="0" borderId="0" xfId="0" applyFont="1" applyFill="1" applyBorder="1" applyProtection="1">
      <protection locked="0"/>
    </xf>
    <xf numFmtId="0" fontId="0" fillId="11" borderId="0" xfId="0" applyFill="1" applyProtection="1">
      <protection locked="0"/>
    </xf>
    <xf numFmtId="0" fontId="25" fillId="0" borderId="0" xfId="0" applyFont="1" applyAlignment="1">
      <alignment horizontal="right"/>
    </xf>
    <xf numFmtId="0" fontId="25" fillId="15" borderId="0" xfId="0" applyFont="1" applyFill="1" applyAlignment="1">
      <alignment horizontal="right" wrapText="1"/>
    </xf>
    <xf numFmtId="0" fontId="0" fillId="15" borderId="0" xfId="0" applyFill="1" applyAlignment="1">
      <alignment horizontal="right"/>
    </xf>
    <xf numFmtId="0" fontId="0" fillId="15" borderId="0" xfId="0" applyFill="1" applyAlignment="1"/>
    <xf numFmtId="0" fontId="25" fillId="0" borderId="0" xfId="0" applyFont="1" applyFill="1" applyAlignment="1">
      <alignment horizontal="right" wrapText="1"/>
    </xf>
    <xf numFmtId="0" fontId="0" fillId="0" borderId="0" xfId="0" applyFill="1" applyAlignment="1">
      <alignment horizontal="right"/>
    </xf>
    <xf numFmtId="0" fontId="0" fillId="0" borderId="0" xfId="0" applyFill="1" applyAlignment="1"/>
    <xf numFmtId="0" fontId="0" fillId="15" borderId="0" xfId="0" applyFill="1" applyBorder="1" applyAlignment="1"/>
    <xf numFmtId="0" fontId="0" fillId="0" borderId="0" xfId="0" applyFill="1" applyBorder="1" applyAlignment="1"/>
    <xf numFmtId="0" fontId="25" fillId="15" borderId="0" xfId="0" applyFont="1" applyFill="1" applyAlignment="1">
      <alignment horizontal="right"/>
    </xf>
    <xf numFmtId="0" fontId="0" fillId="15" borderId="0" xfId="0" applyFill="1"/>
    <xf numFmtId="0" fontId="25" fillId="0" borderId="0" xfId="0" applyFont="1" applyFill="1" applyAlignment="1">
      <alignment horizontal="right"/>
    </xf>
    <xf numFmtId="0" fontId="27" fillId="0" borderId="0" xfId="0" applyFont="1" applyFill="1" applyAlignment="1">
      <alignment horizontal="right"/>
    </xf>
    <xf numFmtId="0" fontId="27" fillId="0" borderId="0" xfId="0" applyFont="1" applyFill="1" applyAlignment="1"/>
    <xf numFmtId="0" fontId="25" fillId="0" borderId="4" xfId="0" applyFont="1" applyBorder="1" applyAlignment="1">
      <alignment horizontal="right"/>
    </xf>
    <xf numFmtId="0" fontId="25" fillId="15" borderId="39" xfId="0" applyFont="1" applyFill="1" applyBorder="1" applyAlignment="1">
      <alignment horizontal="right"/>
    </xf>
    <xf numFmtId="0" fontId="0" fillId="8" borderId="1" xfId="0" applyFill="1" applyBorder="1" applyAlignment="1">
      <alignment horizontal="center" vertical="center"/>
    </xf>
    <xf numFmtId="0" fontId="25" fillId="0" borderId="39" xfId="0" applyFont="1" applyBorder="1" applyAlignment="1">
      <alignment horizontal="right"/>
    </xf>
    <xf numFmtId="0" fontId="25" fillId="15" borderId="39" xfId="0" applyFont="1" applyFill="1" applyBorder="1" applyAlignment="1">
      <alignment horizontal="right" wrapText="1"/>
    </xf>
    <xf numFmtId="176" fontId="0" fillId="7" borderId="1" xfId="0" applyNumberFormat="1" applyFill="1" applyBorder="1"/>
    <xf numFmtId="0" fontId="25" fillId="0" borderId="40" xfId="0" applyFont="1" applyBorder="1" applyAlignment="1">
      <alignment horizontal="right"/>
    </xf>
    <xf numFmtId="176" fontId="0" fillId="7" borderId="47" xfId="0" applyNumberFormat="1" applyFill="1" applyBorder="1"/>
    <xf numFmtId="0" fontId="0" fillId="0" borderId="23" xfId="0" applyBorder="1"/>
    <xf numFmtId="0" fontId="25" fillId="0" borderId="52" xfId="0" applyFont="1" applyBorder="1" applyAlignment="1">
      <alignment horizontal="right"/>
    </xf>
    <xf numFmtId="0" fontId="0" fillId="8" borderId="36" xfId="0" applyFill="1" applyBorder="1" applyAlignment="1">
      <alignment horizontal="center" vertical="center"/>
    </xf>
    <xf numFmtId="0" fontId="25" fillId="0" borderId="39" xfId="0" applyFont="1" applyBorder="1" applyAlignment="1">
      <alignment horizontal="right" wrapText="1"/>
    </xf>
    <xf numFmtId="0" fontId="0" fillId="7" borderId="1" xfId="0" applyFill="1" applyBorder="1"/>
    <xf numFmtId="0" fontId="0" fillId="7" borderId="47" xfId="0" applyFill="1" applyBorder="1"/>
    <xf numFmtId="0" fontId="25" fillId="15" borderId="36" xfId="0" applyFont="1" applyFill="1" applyBorder="1" applyAlignment="1">
      <alignment horizontal="center" vertical="center"/>
    </xf>
    <xf numFmtId="0" fontId="25" fillId="0" borderId="1" xfId="0" applyFont="1" applyBorder="1" applyAlignment="1">
      <alignment horizontal="center" vertical="center"/>
    </xf>
    <xf numFmtId="0" fontId="25" fillId="15" borderId="1" xfId="0" applyFont="1" applyFill="1" applyBorder="1" applyAlignment="1">
      <alignment horizontal="center" vertical="center"/>
    </xf>
    <xf numFmtId="0" fontId="25" fillId="15" borderId="1" xfId="0" applyFont="1" applyFill="1" applyBorder="1" applyAlignment="1">
      <alignment horizontal="center" vertical="center" wrapText="1"/>
    </xf>
    <xf numFmtId="0" fontId="25" fillId="15" borderId="1" xfId="0" applyFont="1" applyFill="1" applyBorder="1" applyAlignment="1">
      <alignment horizontal="right"/>
    </xf>
    <xf numFmtId="0" fontId="25" fillId="0" borderId="1" xfId="0" applyFont="1" applyBorder="1" applyAlignment="1">
      <alignment horizontal="right"/>
    </xf>
    <xf numFmtId="0" fontId="25" fillId="15" borderId="52" xfId="0" applyFont="1" applyFill="1" applyBorder="1" applyAlignment="1">
      <alignment horizontal="center" vertical="center"/>
    </xf>
    <xf numFmtId="0" fontId="25" fillId="0" borderId="39" xfId="0" applyFont="1" applyBorder="1" applyAlignment="1">
      <alignment horizontal="center" vertical="center"/>
    </xf>
    <xf numFmtId="0" fontId="25" fillId="15" borderId="39" xfId="0" applyFont="1" applyFill="1" applyBorder="1" applyAlignment="1">
      <alignment horizontal="center" vertical="center"/>
    </xf>
    <xf numFmtId="0" fontId="25" fillId="0" borderId="39" xfId="0" applyFont="1" applyBorder="1" applyAlignment="1">
      <alignment horizontal="center" vertical="center" wrapText="1"/>
    </xf>
    <xf numFmtId="0" fontId="0" fillId="0" borderId="0" xfId="0" applyFill="1" applyAlignment="1">
      <alignment horizontal="center" vertical="center"/>
    </xf>
    <xf numFmtId="0" fontId="25" fillId="15" borderId="40" xfId="0" applyFont="1" applyFill="1" applyBorder="1" applyAlignment="1">
      <alignment horizontal="right"/>
    </xf>
    <xf numFmtId="0" fontId="0" fillId="13" borderId="23" xfId="0" applyFill="1" applyBorder="1"/>
    <xf numFmtId="0" fontId="0" fillId="0" borderId="30" xfId="0" applyBorder="1"/>
    <xf numFmtId="0" fontId="0" fillId="0" borderId="35" xfId="0" applyBorder="1"/>
    <xf numFmtId="0" fontId="25" fillId="15" borderId="39" xfId="0" applyFont="1" applyFill="1" applyBorder="1" applyAlignment="1">
      <alignment horizontal="center" vertical="center" wrapText="1"/>
    </xf>
    <xf numFmtId="0" fontId="25" fillId="11" borderId="1" xfId="0" applyFont="1" applyFill="1" applyBorder="1" applyAlignment="1">
      <alignment horizontal="right"/>
    </xf>
    <xf numFmtId="0" fontId="0" fillId="10" borderId="1" xfId="0" applyFill="1" applyBorder="1"/>
    <xf numFmtId="0" fontId="0" fillId="11" borderId="1" xfId="0" applyFill="1" applyBorder="1" applyAlignment="1">
      <alignment horizontal="right"/>
    </xf>
    <xf numFmtId="0" fontId="0" fillId="10" borderId="1" xfId="0" applyFill="1" applyBorder="1" applyAlignment="1"/>
    <xf numFmtId="0" fontId="25" fillId="11" borderId="1" xfId="0" applyFont="1" applyFill="1" applyBorder="1" applyAlignment="1">
      <alignment horizontal="right" wrapText="1"/>
    </xf>
    <xf numFmtId="0" fontId="0" fillId="0" borderId="0" xfId="0" applyFont="1" applyFill="1" applyAlignment="1">
      <alignment horizontal="left"/>
    </xf>
    <xf numFmtId="0" fontId="25" fillId="11" borderId="0" xfId="0" applyFont="1" applyFill="1" applyAlignment="1">
      <alignment horizontal="right" wrapText="1"/>
    </xf>
    <xf numFmtId="0" fontId="29" fillId="10" borderId="0" xfId="0" applyFont="1" applyFill="1"/>
    <xf numFmtId="0" fontId="30" fillId="10" borderId="0" xfId="0" applyFont="1" applyFill="1"/>
    <xf numFmtId="0" fontId="0" fillId="10" borderId="0" xfId="0" applyFill="1" applyAlignment="1">
      <alignment horizontal="right"/>
    </xf>
    <xf numFmtId="0" fontId="0" fillId="10" borderId="0" xfId="0" applyFill="1" applyBorder="1" applyAlignment="1"/>
    <xf numFmtId="0" fontId="25" fillId="11" borderId="0" xfId="0" applyFont="1" applyFill="1" applyAlignment="1">
      <alignment horizontal="right"/>
    </xf>
    <xf numFmtId="0" fontId="0" fillId="11" borderId="0" xfId="0" applyFill="1" applyAlignment="1">
      <alignment horizontal="right"/>
    </xf>
    <xf numFmtId="0" fontId="0" fillId="11" borderId="0" xfId="0" applyFill="1" applyAlignment="1"/>
    <xf numFmtId="0" fontId="31" fillId="0" borderId="0" xfId="0" applyFont="1"/>
    <xf numFmtId="0" fontId="0" fillId="0" borderId="0" xfId="0" applyProtection="1"/>
    <xf numFmtId="0" fontId="32" fillId="0" borderId="0" xfId="0" applyFont="1" applyProtection="1"/>
    <xf numFmtId="0" fontId="31" fillId="0" borderId="0" xfId="0" applyFont="1" applyProtection="1"/>
    <xf numFmtId="0" fontId="25" fillId="0" borderId="0" xfId="0" applyFont="1" applyAlignment="1" applyProtection="1">
      <alignment horizontal="left"/>
    </xf>
    <xf numFmtId="0" fontId="33" fillId="0" borderId="0" xfId="0" applyFont="1" applyProtection="1"/>
    <xf numFmtId="0" fontId="34" fillId="0" borderId="0" xfId="0" applyFont="1" applyProtection="1"/>
    <xf numFmtId="0" fontId="35" fillId="0" borderId="0" xfId="0" applyFont="1" applyProtection="1"/>
    <xf numFmtId="0" fontId="34" fillId="0" borderId="0" xfId="0" applyFont="1" applyAlignment="1" applyProtection="1">
      <alignment horizontal="left"/>
    </xf>
    <xf numFmtId="0" fontId="36" fillId="0" borderId="0" xfId="0" applyFont="1" applyProtection="1"/>
    <xf numFmtId="0" fontId="35" fillId="0" borderId="0" xfId="0" applyFont="1" applyAlignment="1" applyProtection="1">
      <alignment horizontal="left"/>
    </xf>
    <xf numFmtId="0" fontId="37" fillId="0" borderId="0" xfId="0" applyFont="1" applyProtection="1"/>
    <xf numFmtId="0" fontId="20" fillId="0" borderId="0" xfId="0" applyFont="1" applyProtection="1"/>
    <xf numFmtId="0" fontId="25" fillId="0" borderId="0" xfId="0" applyFont="1" applyAlignment="1" applyProtection="1">
      <alignment horizontal="right"/>
    </xf>
    <xf numFmtId="0" fontId="38" fillId="0" borderId="0" xfId="0" applyFont="1" applyFill="1" applyAlignment="1" applyProtection="1">
      <alignment horizontal="center"/>
    </xf>
    <xf numFmtId="0" fontId="39" fillId="17" borderId="53" xfId="0" applyFont="1" applyFill="1" applyBorder="1" applyAlignment="1" applyProtection="1">
      <alignment horizontal="center"/>
      <protection locked="0"/>
    </xf>
    <xf numFmtId="0" fontId="38" fillId="0" borderId="0" xfId="0" applyFont="1" applyAlignment="1" applyProtection="1">
      <alignment horizontal="center"/>
    </xf>
    <xf numFmtId="0" fontId="38" fillId="0" borderId="0" xfId="0" applyFont="1" applyFill="1" applyAlignment="1" applyProtection="1">
      <alignment horizontal="right"/>
    </xf>
    <xf numFmtId="0" fontId="38" fillId="0" borderId="0" xfId="0" applyFont="1" applyBorder="1" applyAlignment="1" applyProtection="1">
      <alignment horizontal="center"/>
    </xf>
    <xf numFmtId="0" fontId="0" fillId="0" borderId="0" xfId="0" applyFont="1" applyFill="1" applyAlignment="1" applyProtection="1">
      <alignment horizontal="center"/>
    </xf>
    <xf numFmtId="0" fontId="30" fillId="17" borderId="54" xfId="0" applyFont="1" applyFill="1" applyBorder="1" applyAlignment="1" applyProtection="1">
      <alignment horizontal="center"/>
      <protection locked="0"/>
    </xf>
    <xf numFmtId="0" fontId="25" fillId="0" borderId="0" xfId="0" applyFont="1" applyAlignment="1" applyProtection="1">
      <alignment horizontal="center"/>
    </xf>
    <xf numFmtId="0" fontId="0" fillId="0" borderId="0" xfId="0" applyFont="1" applyFill="1" applyAlignment="1" applyProtection="1">
      <alignment horizontal="right"/>
    </xf>
    <xf numFmtId="0" fontId="25" fillId="0" borderId="53" xfId="0" applyFont="1" applyBorder="1" applyAlignment="1" applyProtection="1">
      <alignment horizontal="right"/>
    </xf>
    <xf numFmtId="0" fontId="0" fillId="0" borderId="53" xfId="0" applyFont="1" applyFill="1" applyBorder="1" applyAlignment="1" applyProtection="1">
      <alignment horizontal="center"/>
    </xf>
    <xf numFmtId="0" fontId="20" fillId="17" borderId="53" xfId="0" applyFont="1" applyFill="1" applyBorder="1" applyAlignment="1" applyProtection="1">
      <alignment horizontal="center"/>
      <protection locked="0"/>
    </xf>
    <xf numFmtId="0" fontId="38" fillId="0" borderId="53" xfId="0" applyFont="1" applyBorder="1" applyAlignment="1" applyProtection="1">
      <alignment horizontal="center"/>
    </xf>
    <xf numFmtId="0" fontId="0" fillId="0" borderId="53" xfId="0" applyFont="1" applyFill="1" applyBorder="1" applyAlignment="1" applyProtection="1">
      <alignment horizontal="right"/>
    </xf>
    <xf numFmtId="0" fontId="0" fillId="0" borderId="0" xfId="0" applyFont="1" applyBorder="1" applyAlignment="1" applyProtection="1">
      <alignment horizontal="center"/>
    </xf>
    <xf numFmtId="0" fontId="40" fillId="0" borderId="0" xfId="0" applyFont="1" applyFill="1" applyBorder="1" applyAlignment="1" applyProtection="1">
      <alignment horizontal="center"/>
    </xf>
    <xf numFmtId="0" fontId="39" fillId="17" borderId="54" xfId="0" applyFont="1" applyFill="1" applyBorder="1" applyAlignment="1" applyProtection="1">
      <alignment horizontal="center"/>
      <protection locked="0"/>
    </xf>
    <xf numFmtId="0" fontId="41" fillId="0" borderId="0" xfId="0" applyFont="1" applyBorder="1" applyAlignment="1" applyProtection="1">
      <alignment horizontal="center"/>
    </xf>
    <xf numFmtId="0" fontId="40" fillId="0" borderId="0" xfId="0" applyFont="1" applyBorder="1" applyAlignment="1" applyProtection="1">
      <alignment horizontal="left"/>
    </xf>
    <xf numFmtId="0" fontId="0" fillId="0" borderId="0" xfId="0" applyFont="1" applyFill="1" applyBorder="1" applyAlignment="1" applyProtection="1">
      <alignment horizontal="right"/>
    </xf>
    <xf numFmtId="0" fontId="39" fillId="0" borderId="0" xfId="0" applyFont="1" applyFill="1" applyBorder="1" applyAlignment="1" applyProtection="1">
      <alignment horizontal="center"/>
    </xf>
    <xf numFmtId="0" fontId="40" fillId="0" borderId="0" xfId="0" applyFont="1" applyFill="1" applyAlignment="1" applyProtection="1">
      <alignment horizontal="center"/>
    </xf>
    <xf numFmtId="0" fontId="39" fillId="17" borderId="0" xfId="0" applyFont="1" applyFill="1" applyBorder="1" applyAlignment="1" applyProtection="1">
      <alignment horizontal="center"/>
      <protection locked="0"/>
    </xf>
    <xf numFmtId="0" fontId="42" fillId="0" borderId="0" xfId="0" applyFont="1" applyBorder="1" applyAlignment="1" applyProtection="1">
      <alignment horizontal="left"/>
    </xf>
    <xf numFmtId="0" fontId="0" fillId="0" borderId="0" xfId="0" applyFill="1" applyBorder="1" applyAlignment="1" applyProtection="1">
      <alignment horizontal="center"/>
    </xf>
    <xf numFmtId="0" fontId="41" fillId="0" borderId="0" xfId="0" applyFont="1" applyBorder="1" applyAlignment="1" applyProtection="1">
      <alignment horizontal="left"/>
    </xf>
    <xf numFmtId="0" fontId="0" fillId="0" borderId="0" xfId="0" applyAlignment="1" applyProtection="1">
      <alignment horizontal="center"/>
    </xf>
    <xf numFmtId="0" fontId="20" fillId="0" borderId="0" xfId="0" applyFont="1" applyAlignment="1" applyProtection="1">
      <alignment horizontal="center"/>
    </xf>
    <xf numFmtId="0" fontId="43" fillId="0" borderId="0" xfId="0" applyFont="1" applyBorder="1" applyAlignment="1" applyProtection="1">
      <alignment horizontal="left"/>
    </xf>
    <xf numFmtId="0" fontId="42" fillId="0" borderId="0" xfId="0" applyFont="1" applyFill="1" applyBorder="1" applyAlignment="1" applyProtection="1">
      <alignment horizontal="left"/>
    </xf>
    <xf numFmtId="0" fontId="42" fillId="0" borderId="0" xfId="0" applyFont="1" applyFill="1" applyAlignment="1" applyProtection="1">
      <alignment horizontal="left"/>
    </xf>
    <xf numFmtId="0" fontId="44" fillId="0" borderId="0" xfId="0" applyFont="1" applyFill="1" applyAlignment="1" applyProtection="1">
      <alignment horizontal="center"/>
      <protection locked="0"/>
    </xf>
    <xf numFmtId="0" fontId="0" fillId="0" borderId="0" xfId="0" applyBorder="1" applyAlignment="1" applyProtection="1">
      <alignment horizontal="center"/>
    </xf>
    <xf numFmtId="0" fontId="20" fillId="0" borderId="0" xfId="0" applyFont="1" applyFill="1" applyBorder="1" applyAlignment="1" applyProtection="1">
      <alignment horizontal="center"/>
    </xf>
    <xf numFmtId="0" fontId="45" fillId="0" borderId="0" xfId="0" applyFont="1" applyFill="1" applyBorder="1" applyAlignment="1" applyProtection="1">
      <alignment horizontal="center"/>
    </xf>
    <xf numFmtId="0" fontId="0" fillId="0" borderId="0" xfId="0" applyBorder="1" applyProtection="1"/>
    <xf numFmtId="0" fontId="46" fillId="0" borderId="0" xfId="0" applyFont="1" applyAlignment="1" applyProtection="1">
      <alignment horizontal="left"/>
    </xf>
    <xf numFmtId="0" fontId="0" fillId="0" borderId="0" xfId="0" applyFill="1" applyAlignment="1" applyProtection="1">
      <alignment horizontal="center"/>
    </xf>
    <xf numFmtId="0" fontId="20" fillId="0" borderId="0" xfId="0" applyFont="1" applyFill="1" applyAlignment="1" applyProtection="1">
      <alignment horizontal="center"/>
    </xf>
    <xf numFmtId="0" fontId="47" fillId="0" borderId="0" xfId="0" applyFont="1" applyFill="1" applyAlignment="1" applyProtection="1">
      <alignment horizontal="center"/>
      <protection locked="0"/>
    </xf>
    <xf numFmtId="0" fontId="41" fillId="0" borderId="0" xfId="0" applyFont="1" applyFill="1" applyBorder="1" applyAlignment="1" applyProtection="1">
      <alignment horizontal="left"/>
    </xf>
    <xf numFmtId="0" fontId="41" fillId="0" borderId="0" xfId="0" applyFont="1" applyFill="1" applyAlignment="1" applyProtection="1">
      <alignment horizontal="right"/>
    </xf>
    <xf numFmtId="0" fontId="46" fillId="0" borderId="0" xfId="0" applyFont="1" applyFill="1" applyAlignment="1" applyProtection="1">
      <alignment horizontal="left"/>
    </xf>
    <xf numFmtId="0" fontId="48" fillId="0" borderId="0" xfId="0" applyFont="1" applyAlignment="1" applyProtection="1">
      <alignment horizontal="center"/>
    </xf>
    <xf numFmtId="0" fontId="0" fillId="0" borderId="0" xfId="0" applyFont="1" applyAlignment="1" applyProtection="1">
      <alignment horizontal="center"/>
    </xf>
    <xf numFmtId="0" fontId="30" fillId="17" borderId="0" xfId="0" applyFont="1" applyFill="1" applyAlignment="1" applyProtection="1">
      <alignment horizontal="center"/>
      <protection locked="0"/>
    </xf>
    <xf numFmtId="0" fontId="25" fillId="0" borderId="0" xfId="0" applyFont="1" applyFill="1" applyBorder="1" applyAlignment="1" applyProtection="1">
      <alignment horizontal="left"/>
    </xf>
    <xf numFmtId="0" fontId="0" fillId="0" borderId="0" xfId="0" applyFont="1" applyFill="1" applyBorder="1" applyAlignment="1" applyProtection="1">
      <alignment horizontal="center"/>
    </xf>
    <xf numFmtId="0" fontId="30" fillId="17" borderId="53" xfId="0" applyFont="1" applyFill="1" applyBorder="1" applyAlignment="1" applyProtection="1">
      <alignment horizontal="center"/>
      <protection locked="0"/>
    </xf>
    <xf numFmtId="0" fontId="49" fillId="0" borderId="0" xfId="0" applyFont="1" applyAlignment="1" applyProtection="1">
      <alignment horizontal="center"/>
    </xf>
    <xf numFmtId="0" fontId="0" fillId="0" borderId="0" xfId="0" applyFont="1" applyAlignment="1" applyProtection="1">
      <alignment horizontal="right"/>
    </xf>
    <xf numFmtId="0" fontId="44" fillId="0" borderId="0" xfId="0" applyFont="1" applyFill="1" applyAlignment="1" applyProtection="1">
      <alignment horizontal="center"/>
    </xf>
    <xf numFmtId="0" fontId="0" fillId="18" borderId="0" xfId="0" applyFill="1" applyAlignment="1" applyProtection="1">
      <alignment horizontal="center"/>
    </xf>
    <xf numFmtId="0" fontId="40" fillId="0" borderId="0" xfId="0" applyFont="1" applyFill="1" applyBorder="1" applyAlignment="1" applyProtection="1">
      <alignment horizontal="left"/>
    </xf>
    <xf numFmtId="0" fontId="50" fillId="0" borderId="0" xfId="0" applyFont="1" applyAlignment="1" applyProtection="1">
      <alignment horizontal="right"/>
    </xf>
    <xf numFmtId="0" fontId="51" fillId="0" borderId="0" xfId="0" applyFont="1" applyAlignment="1" applyProtection="1">
      <alignment horizontal="center"/>
    </xf>
    <xf numFmtId="0" fontId="44" fillId="0" borderId="0" xfId="0" applyFont="1" applyAlignment="1" applyProtection="1">
      <alignment horizontal="center"/>
    </xf>
    <xf numFmtId="0" fontId="0" fillId="0" borderId="0" xfId="0" applyFill="1" applyBorder="1" applyAlignment="1" applyProtection="1">
      <alignment horizontal="right"/>
    </xf>
    <xf numFmtId="0" fontId="20" fillId="0" borderId="0" xfId="0" applyFont="1" applyBorder="1" applyAlignment="1" applyProtection="1">
      <alignment horizontal="center"/>
    </xf>
    <xf numFmtId="0" fontId="0" fillId="18" borderId="0" xfId="0" applyFill="1" applyBorder="1" applyAlignment="1" applyProtection="1">
      <alignment horizontal="center"/>
    </xf>
    <xf numFmtId="0" fontId="39" fillId="17" borderId="0" xfId="0" applyFont="1" applyFill="1" applyAlignment="1" applyProtection="1">
      <alignment horizontal="center"/>
      <protection locked="0"/>
    </xf>
    <xf numFmtId="0" fontId="52" fillId="0" borderId="0" xfId="0" applyFont="1" applyFill="1" applyBorder="1" applyAlignment="1" applyProtection="1">
      <alignment horizontal="center"/>
    </xf>
    <xf numFmtId="0" fontId="20" fillId="18" borderId="0" xfId="0" applyFont="1" applyFill="1" applyAlignment="1" applyProtection="1">
      <alignment horizontal="center"/>
    </xf>
    <xf numFmtId="0" fontId="52" fillId="0" borderId="0" xfId="0" applyFont="1" applyFill="1" applyBorder="1" applyAlignment="1" applyProtection="1">
      <alignment horizontal="left"/>
    </xf>
    <xf numFmtId="0" fontId="49" fillId="0" borderId="0" xfId="0" applyFont="1" applyAlignment="1" applyProtection="1">
      <alignment horizontal="left"/>
    </xf>
    <xf numFmtId="0" fontId="30" fillId="0" borderId="0" xfId="0" applyFont="1" applyFill="1" applyAlignment="1" applyProtection="1">
      <alignment horizontal="center"/>
    </xf>
    <xf numFmtId="0" fontId="30" fillId="0" borderId="0" xfId="0" applyFont="1" applyFill="1" applyAlignment="1" applyProtection="1">
      <alignment horizontal="left"/>
    </xf>
    <xf numFmtId="0" fontId="0" fillId="0" borderId="53" xfId="0" applyBorder="1" applyAlignment="1" applyProtection="1">
      <alignment horizontal="center"/>
    </xf>
    <xf numFmtId="0" fontId="20" fillId="0" borderId="53" xfId="0" applyFont="1" applyFill="1" applyBorder="1" applyAlignment="1" applyProtection="1">
      <alignment horizontal="center"/>
    </xf>
    <xf numFmtId="0" fontId="20" fillId="18" borderId="53" xfId="0" applyFont="1" applyFill="1" applyBorder="1" applyAlignment="1" applyProtection="1">
      <alignment horizontal="center"/>
    </xf>
    <xf numFmtId="0" fontId="25" fillId="0" borderId="53" xfId="0" applyFont="1" applyFill="1" applyBorder="1" applyAlignment="1" applyProtection="1">
      <alignment horizontal="left"/>
    </xf>
    <xf numFmtId="0" fontId="43" fillId="0" borderId="53" xfId="0" applyFont="1" applyFill="1" applyBorder="1" applyAlignment="1" applyProtection="1">
      <alignment horizontal="left"/>
    </xf>
    <xf numFmtId="0" fontId="52" fillId="0" borderId="53" xfId="0" applyFont="1" applyFill="1" applyBorder="1" applyAlignment="1" applyProtection="1">
      <alignment horizontal="left"/>
    </xf>
    <xf numFmtId="0" fontId="0" fillId="0" borderId="53" xfId="0" applyFill="1" applyBorder="1" applyAlignment="1" applyProtection="1">
      <alignment horizontal="center"/>
    </xf>
    <xf numFmtId="0" fontId="25" fillId="0" borderId="0" xfId="0" applyFont="1" applyFill="1" applyBorder="1" applyAlignment="1" applyProtection="1">
      <alignment horizontal="center"/>
    </xf>
    <xf numFmtId="0" fontId="53" fillId="18" borderId="0" xfId="0" applyFont="1" applyFill="1" applyAlignment="1" applyProtection="1">
      <alignment horizontal="center"/>
    </xf>
    <xf numFmtId="0" fontId="45" fillId="18" borderId="0" xfId="0" applyFont="1" applyFill="1" applyAlignment="1" applyProtection="1">
      <alignment horizontal="center"/>
    </xf>
    <xf numFmtId="0" fontId="54" fillId="0" borderId="0" xfId="0" applyFont="1" applyFill="1" applyAlignment="1" applyProtection="1">
      <alignment horizontal="left"/>
    </xf>
    <xf numFmtId="0" fontId="42" fillId="0" borderId="0" xfId="0" applyFont="1" applyFill="1" applyBorder="1" applyAlignment="1" applyProtection="1">
      <alignment horizontal="center"/>
    </xf>
    <xf numFmtId="0" fontId="42" fillId="0" borderId="0" xfId="0" applyFont="1" applyFill="1" applyAlignment="1" applyProtection="1">
      <alignment horizontal="center"/>
    </xf>
    <xf numFmtId="0" fontId="20" fillId="17" borderId="0" xfId="0" applyFont="1" applyFill="1" applyAlignment="1" applyProtection="1">
      <alignment horizontal="center"/>
      <protection locked="0"/>
    </xf>
    <xf numFmtId="0" fontId="47" fillId="0" borderId="0" xfId="0" applyFont="1" applyFill="1" applyAlignment="1" applyProtection="1">
      <alignment horizontal="center"/>
    </xf>
    <xf numFmtId="0" fontId="55" fillId="0" borderId="0" xfId="0" applyFont="1" applyFill="1" applyBorder="1" applyAlignment="1" applyProtection="1">
      <alignment horizontal="left"/>
    </xf>
    <xf numFmtId="0" fontId="40" fillId="0" borderId="0" xfId="0" applyFont="1" applyFill="1" applyAlignment="1" applyProtection="1">
      <alignment horizontal="left"/>
    </xf>
    <xf numFmtId="0" fontId="0" fillId="0" borderId="0" xfId="0" applyBorder="1" applyAlignment="1" applyProtection="1">
      <alignment horizontal="justify"/>
    </xf>
    <xf numFmtId="0" fontId="0" fillId="0" borderId="0" xfId="0" applyFont="1" applyFill="1" applyBorder="1" applyAlignment="1" applyProtection="1">
      <alignment horizontal="left"/>
    </xf>
    <xf numFmtId="0" fontId="0" fillId="18" borderId="0" xfId="0" applyFont="1" applyFill="1" applyBorder="1" applyAlignment="1" applyProtection="1">
      <alignment horizontal="center"/>
    </xf>
    <xf numFmtId="0" fontId="49" fillId="0" borderId="0" xfId="0" applyFont="1" applyBorder="1" applyAlignment="1" applyProtection="1">
      <alignment horizontal="center"/>
    </xf>
    <xf numFmtId="0" fontId="50" fillId="0" borderId="0" xfId="0" applyFont="1" applyAlignment="1" applyProtection="1">
      <alignment horizontal="left"/>
    </xf>
    <xf numFmtId="0" fontId="49" fillId="0" borderId="53" xfId="0" applyFont="1" applyBorder="1" applyAlignment="1" applyProtection="1">
      <alignment horizontal="center"/>
    </xf>
    <xf numFmtId="0" fontId="50" fillId="0" borderId="53" xfId="0" applyFont="1" applyBorder="1" applyAlignment="1" applyProtection="1">
      <alignment horizontal="left"/>
    </xf>
    <xf numFmtId="0" fontId="42" fillId="0" borderId="53" xfId="0" applyFont="1" applyFill="1" applyBorder="1" applyAlignment="1" applyProtection="1">
      <alignment horizontal="left"/>
    </xf>
    <xf numFmtId="0" fontId="45" fillId="0" borderId="53" xfId="0" applyFont="1" applyFill="1" applyBorder="1" applyAlignment="1" applyProtection="1">
      <alignment horizontal="center"/>
    </xf>
    <xf numFmtId="0" fontId="42" fillId="0" borderId="0" xfId="0" applyFont="1" applyAlignment="1" applyProtection="1">
      <alignment horizontal="center"/>
    </xf>
    <xf numFmtId="0" fontId="41" fillId="0" borderId="0" xfId="0" applyFont="1" applyAlignment="1" applyProtection="1">
      <alignment horizontal="left"/>
    </xf>
    <xf numFmtId="0" fontId="40" fillId="0" borderId="0" xfId="0" applyFont="1" applyAlignment="1" applyProtection="1">
      <alignment horizontal="left"/>
    </xf>
    <xf numFmtId="0" fontId="39" fillId="0" borderId="0" xfId="0" applyFont="1" applyFill="1" applyAlignment="1" applyProtection="1">
      <alignment horizontal="center"/>
    </xf>
    <xf numFmtId="0" fontId="42" fillId="0" borderId="0" xfId="0" applyFont="1" applyAlignment="1" applyProtection="1">
      <alignment horizontal="left"/>
    </xf>
    <xf numFmtId="0" fontId="54" fillId="0" borderId="0" xfId="0" applyFont="1" applyAlignment="1" applyProtection="1">
      <alignment horizontal="left"/>
    </xf>
    <xf numFmtId="0" fontId="56" fillId="0" borderId="0" xfId="0" applyFont="1" applyBorder="1" applyAlignment="1" applyProtection="1">
      <alignment horizontal="left"/>
    </xf>
    <xf numFmtId="0" fontId="51" fillId="0" borderId="0" xfId="0" applyFont="1" applyAlignment="1" applyProtection="1">
      <alignment horizontal="left"/>
    </xf>
    <xf numFmtId="0" fontId="57" fillId="0" borderId="0" xfId="0" applyFont="1" applyAlignment="1" applyProtection="1">
      <alignment horizontal="center"/>
    </xf>
    <xf numFmtId="0" fontId="44" fillId="0" borderId="0" xfId="0" applyFont="1" applyFill="1" applyBorder="1" applyAlignment="1" applyProtection="1">
      <alignment horizontal="center"/>
    </xf>
    <xf numFmtId="0" fontId="58" fillId="0" borderId="0" xfId="0" applyFont="1" applyAlignment="1" applyProtection="1">
      <alignment horizontal="left"/>
    </xf>
    <xf numFmtId="0" fontId="57" fillId="0" borderId="0" xfId="0" applyFont="1" applyBorder="1" applyAlignment="1" applyProtection="1">
      <alignment horizontal="center"/>
    </xf>
    <xf numFmtId="0" fontId="44" fillId="0" borderId="0" xfId="0" applyFont="1" applyBorder="1" applyAlignment="1" applyProtection="1">
      <alignment horizontal="center"/>
    </xf>
    <xf numFmtId="0" fontId="47" fillId="0" borderId="0" xfId="0" applyFont="1" applyAlignment="1" applyProtection="1">
      <alignment horizontal="center"/>
    </xf>
    <xf numFmtId="0" fontId="52" fillId="0" borderId="0" xfId="0" applyFont="1" applyBorder="1" applyAlignment="1" applyProtection="1">
      <alignment horizontal="center"/>
    </xf>
    <xf numFmtId="0" fontId="51" fillId="0" borderId="55" xfId="0" applyFont="1" applyFill="1" applyBorder="1" applyAlignment="1" applyProtection="1">
      <alignment horizontal="left"/>
    </xf>
    <xf numFmtId="0" fontId="30" fillId="0" borderId="56" xfId="0" applyFont="1" applyFill="1" applyBorder="1" applyAlignment="1" applyProtection="1">
      <alignment horizontal="center"/>
    </xf>
    <xf numFmtId="0" fontId="52" fillId="0" borderId="0" xfId="0" applyFont="1" applyAlignment="1" applyProtection="1">
      <alignment horizontal="left"/>
    </xf>
    <xf numFmtId="0" fontId="25" fillId="0" borderId="57" xfId="0" applyFont="1" applyFill="1" applyBorder="1" applyAlignment="1" applyProtection="1">
      <alignment horizontal="left"/>
    </xf>
    <xf numFmtId="0" fontId="44" fillId="19" borderId="58" xfId="0" applyFont="1" applyFill="1" applyBorder="1" applyAlignment="1" applyProtection="1">
      <alignment horizontal="center"/>
      <protection locked="0"/>
    </xf>
    <xf numFmtId="0" fontId="59" fillId="0" borderId="0" xfId="0" applyFont="1" applyFill="1" applyBorder="1" applyAlignment="1" applyProtection="1">
      <alignment horizontal="center"/>
    </xf>
    <xf numFmtId="0" fontId="44" fillId="11" borderId="58" xfId="0" applyFont="1" applyFill="1" applyBorder="1" applyAlignment="1" applyProtection="1">
      <alignment horizontal="center"/>
    </xf>
    <xf numFmtId="0" fontId="25" fillId="0" borderId="59" xfId="0" applyFont="1" applyFill="1" applyBorder="1" applyAlignment="1" applyProtection="1">
      <alignment horizontal="left"/>
    </xf>
    <xf numFmtId="0" fontId="60" fillId="0" borderId="60" xfId="0" applyFont="1" applyFill="1" applyBorder="1" applyAlignment="1" applyProtection="1">
      <alignment horizontal="center"/>
    </xf>
    <xf numFmtId="0" fontId="25" fillId="0" borderId="0" xfId="0" applyFont="1" applyBorder="1" applyAlignment="1" applyProtection="1">
      <alignment horizontal="center"/>
    </xf>
    <xf numFmtId="0" fontId="45" fillId="18" borderId="0" xfId="0" applyFont="1" applyFill="1" applyBorder="1" applyAlignment="1" applyProtection="1">
      <alignment horizontal="center"/>
    </xf>
    <xf numFmtId="0" fontId="61" fillId="0" borderId="0" xfId="0" applyFont="1" applyFill="1" applyBorder="1" applyAlignment="1" applyProtection="1">
      <alignment horizontal="left"/>
    </xf>
    <xf numFmtId="0" fontId="25" fillId="0" borderId="0" xfId="0" applyFont="1" applyBorder="1" applyAlignment="1" applyProtection="1">
      <alignment horizontal="right"/>
    </xf>
    <xf numFmtId="0" fontId="25" fillId="0" borderId="53" xfId="0" applyFont="1" applyBorder="1" applyAlignment="1" applyProtection="1">
      <alignment horizontal="center"/>
    </xf>
    <xf numFmtId="0" fontId="20" fillId="0" borderId="53" xfId="0" applyFont="1" applyBorder="1" applyAlignment="1" applyProtection="1">
      <alignment horizontal="center"/>
    </xf>
    <xf numFmtId="0" fontId="53" fillId="18" borderId="53" xfId="0" applyFont="1" applyFill="1" applyBorder="1" applyAlignment="1" applyProtection="1">
      <alignment horizontal="center"/>
    </xf>
    <xf numFmtId="0" fontId="61" fillId="0" borderId="53" xfId="0" applyFont="1" applyBorder="1" applyAlignment="1" applyProtection="1">
      <alignment horizontal="left"/>
    </xf>
    <xf numFmtId="0" fontId="40" fillId="0" borderId="53" xfId="0" applyFont="1" applyFill="1" applyBorder="1" applyAlignment="1" applyProtection="1">
      <alignment horizontal="left"/>
    </xf>
    <xf numFmtId="0" fontId="30" fillId="20" borderId="0" xfId="0" applyFont="1" applyFill="1" applyBorder="1" applyAlignment="1" applyProtection="1">
      <alignment horizontal="left"/>
    </xf>
    <xf numFmtId="0" fontId="20" fillId="0" borderId="0" xfId="0" applyFont="1" applyAlignment="1" applyProtection="1">
      <alignment horizontal="left"/>
    </xf>
    <xf numFmtId="0" fontId="39" fillId="17" borderId="0" xfId="0" applyFont="1" applyFill="1" applyAlignment="1" applyProtection="1">
      <alignment horizontal="left"/>
      <protection locked="0"/>
    </xf>
    <xf numFmtId="0" fontId="62" fillId="0" borderId="0" xfId="0" applyFont="1" applyAlignment="1" applyProtection="1">
      <alignment horizontal="left"/>
    </xf>
    <xf numFmtId="0" fontId="0" fillId="0" borderId="53" xfId="0" applyBorder="1" applyProtection="1"/>
    <xf numFmtId="0" fontId="63" fillId="0" borderId="53" xfId="0" applyFont="1" applyBorder="1" applyProtection="1"/>
    <xf numFmtId="0" fontId="27" fillId="0" borderId="0" xfId="0" applyFont="1" applyProtection="1"/>
    <xf numFmtId="0" fontId="63" fillId="0" borderId="0" xfId="0" applyFont="1" applyBorder="1" applyProtection="1"/>
    <xf numFmtId="0" fontId="30" fillId="0" borderId="0" xfId="0" applyFont="1" applyBorder="1" applyAlignment="1" applyProtection="1">
      <alignment horizontal="center"/>
    </xf>
    <xf numFmtId="0" fontId="55" fillId="0" borderId="0" xfId="0" applyFont="1" applyAlignment="1" applyProtection="1">
      <alignment horizontal="left"/>
    </xf>
    <xf numFmtId="0" fontId="0" fillId="0" borderId="53" xfId="0" applyFont="1" applyBorder="1" applyAlignment="1" applyProtection="1">
      <alignment horizontal="center"/>
    </xf>
    <xf numFmtId="0" fontId="50" fillId="0" borderId="0" xfId="0" applyFont="1" applyBorder="1" applyAlignment="1" applyProtection="1">
      <alignment horizontal="center"/>
    </xf>
    <xf numFmtId="0" fontId="64" fillId="0" borderId="0" xfId="0" applyFont="1" applyFill="1" applyAlignment="1" applyProtection="1">
      <alignment horizontal="center"/>
    </xf>
    <xf numFmtId="0" fontId="27" fillId="0" borderId="0" xfId="0" applyFont="1" applyFill="1" applyBorder="1" applyAlignment="1" applyProtection="1">
      <alignment horizontal="center"/>
    </xf>
    <xf numFmtId="0" fontId="25" fillId="0" borderId="0" xfId="0" applyFont="1" applyBorder="1" applyAlignment="1" applyProtection="1">
      <alignment horizontal="left"/>
    </xf>
    <xf numFmtId="0" fontId="0" fillId="0" borderId="0" xfId="0" applyFont="1" applyFill="1" applyProtection="1"/>
    <xf numFmtId="0" fontId="49" fillId="0" borderId="0" xfId="0" applyFont="1" applyFill="1" applyAlignment="1" applyProtection="1">
      <alignment horizontal="center"/>
    </xf>
    <xf numFmtId="0" fontId="57" fillId="0" borderId="0" xfId="0" applyFont="1" applyFill="1" applyAlignment="1" applyProtection="1">
      <alignment horizontal="center"/>
    </xf>
    <xf numFmtId="0" fontId="0" fillId="0" borderId="0" xfId="0" applyFont="1" applyFill="1" applyBorder="1" applyProtection="1"/>
    <xf numFmtId="0" fontId="50" fillId="0" borderId="0" xfId="0" applyFont="1" applyFill="1" applyBorder="1" applyAlignment="1" applyProtection="1">
      <alignment horizontal="left"/>
    </xf>
    <xf numFmtId="0" fontId="0" fillId="0" borderId="0" xfId="0" applyFont="1" applyBorder="1" applyAlignment="1" applyProtection="1">
      <alignment horizontal="left"/>
    </xf>
    <xf numFmtId="0" fontId="45" fillId="0" borderId="0" xfId="0" applyFont="1" applyBorder="1" applyAlignment="1" applyProtection="1">
      <alignment horizontal="center"/>
    </xf>
    <xf numFmtId="0" fontId="65" fillId="0" borderId="55" xfId="0" applyFont="1" applyBorder="1" applyAlignment="1" applyProtection="1">
      <alignment horizontal="center"/>
    </xf>
    <xf numFmtId="0" fontId="65" fillId="0" borderId="61" xfId="0" applyFont="1" applyBorder="1" applyAlignment="1" applyProtection="1">
      <alignment horizontal="center"/>
    </xf>
    <xf numFmtId="0" fontId="66" fillId="0" borderId="56" xfId="0" applyFont="1" applyBorder="1" applyAlignment="1" applyProtection="1">
      <alignment horizontal="left"/>
    </xf>
    <xf numFmtId="0" fontId="65" fillId="0" borderId="57" xfId="0" applyFont="1" applyBorder="1" applyAlignment="1" applyProtection="1">
      <alignment horizontal="center"/>
    </xf>
    <xf numFmtId="0" fontId="65" fillId="0" borderId="0" xfId="0" applyFont="1" applyFill="1" applyBorder="1" applyAlignment="1" applyProtection="1">
      <alignment horizontal="center"/>
    </xf>
    <xf numFmtId="0" fontId="66" fillId="0" borderId="58" xfId="0" applyFont="1" applyFill="1" applyBorder="1" applyAlignment="1" applyProtection="1">
      <alignment horizontal="left"/>
    </xf>
    <xf numFmtId="0" fontId="66" fillId="0" borderId="58" xfId="0" applyFont="1" applyBorder="1" applyAlignment="1" applyProtection="1">
      <alignment horizontal="left"/>
    </xf>
    <xf numFmtId="0" fontId="66" fillId="0" borderId="0" xfId="0" applyFont="1" applyBorder="1" applyAlignment="1" applyProtection="1">
      <alignment horizontal="center"/>
    </xf>
    <xf numFmtId="0" fontId="65" fillId="0" borderId="58" xfId="0" applyFont="1" applyFill="1" applyBorder="1" applyAlignment="1" applyProtection="1">
      <alignment horizontal="center"/>
    </xf>
    <xf numFmtId="0" fontId="65" fillId="0" borderId="0" xfId="0" applyFont="1" applyBorder="1" applyAlignment="1" applyProtection="1">
      <alignment horizontal="center"/>
    </xf>
    <xf numFmtId="0" fontId="67" fillId="0" borderId="57" xfId="0" applyFont="1" applyFill="1" applyBorder="1" applyAlignment="1" applyProtection="1">
      <alignment horizontal="center"/>
    </xf>
    <xf numFmtId="0" fontId="67" fillId="0" borderId="57" xfId="0" applyFont="1" applyBorder="1" applyAlignment="1" applyProtection="1">
      <alignment horizontal="center"/>
    </xf>
    <xf numFmtId="0" fontId="65" fillId="0" borderId="57" xfId="0" applyFont="1" applyBorder="1" applyAlignment="1" applyProtection="1">
      <alignment horizontal="justify"/>
    </xf>
    <xf numFmtId="0" fontId="65" fillId="0" borderId="57" xfId="0" applyFont="1" applyFill="1" applyBorder="1" applyAlignment="1" applyProtection="1">
      <alignment horizontal="left"/>
    </xf>
    <xf numFmtId="0" fontId="65" fillId="0" borderId="59" xfId="0" applyFont="1" applyBorder="1" applyAlignment="1" applyProtection="1">
      <alignment horizontal="justify"/>
    </xf>
    <xf numFmtId="0" fontId="65" fillId="0" borderId="53" xfId="0" applyFont="1" applyFill="1" applyBorder="1" applyAlignment="1" applyProtection="1">
      <alignment horizontal="center"/>
    </xf>
    <xf numFmtId="0" fontId="65" fillId="0" borderId="60" xfId="0" applyFont="1" applyFill="1" applyBorder="1" applyAlignment="1" applyProtection="1">
      <alignment horizontal="center"/>
    </xf>
    <xf numFmtId="0" fontId="0" fillId="0" borderId="0" xfId="0" applyFont="1" applyBorder="1" applyAlignment="1" applyProtection="1">
      <alignment horizontal="justify"/>
    </xf>
    <xf numFmtId="0" fontId="50" fillId="0" borderId="0" xfId="0" applyFont="1" applyFill="1" applyAlignment="1" applyProtection="1">
      <alignment horizontal="center"/>
    </xf>
    <xf numFmtId="0" fontId="49" fillId="0" borderId="0" xfId="0" applyFont="1" applyBorder="1" applyAlignment="1" applyProtection="1">
      <alignment horizontal="left"/>
    </xf>
    <xf numFmtId="0" fontId="47" fillId="0" borderId="0" xfId="0" applyFont="1" applyFill="1" applyBorder="1" applyAlignment="1" applyProtection="1">
      <alignment horizontal="center"/>
    </xf>
    <xf numFmtId="0" fontId="50" fillId="0" borderId="0" xfId="0" applyFont="1" applyFill="1" applyBorder="1" applyAlignment="1" applyProtection="1">
      <alignment horizontal="center"/>
    </xf>
    <xf numFmtId="0" fontId="30" fillId="0" borderId="0" xfId="0" applyFont="1" applyFill="1" applyBorder="1" applyAlignment="1" applyProtection="1">
      <alignment horizontal="center"/>
    </xf>
    <xf numFmtId="0" fontId="59" fillId="0" borderId="0" xfId="0" applyFont="1" applyBorder="1" applyAlignment="1" applyProtection="1">
      <alignment horizontal="center"/>
    </xf>
    <xf numFmtId="0" fontId="50" fillId="0" borderId="53" xfId="0" applyFont="1" applyFill="1" applyBorder="1" applyAlignment="1" applyProtection="1">
      <alignment horizontal="center"/>
    </xf>
    <xf numFmtId="0" fontId="46" fillId="0" borderId="0" xfId="0" applyFont="1" applyBorder="1" applyAlignment="1" applyProtection="1">
      <alignment horizontal="left"/>
    </xf>
    <xf numFmtId="0" fontId="42" fillId="19" borderId="0" xfId="0" applyFont="1" applyFill="1" applyBorder="1" applyAlignment="1" applyProtection="1">
      <alignment horizontal="left"/>
    </xf>
    <xf numFmtId="0" fontId="46" fillId="19" borderId="0" xfId="0" applyFont="1" applyFill="1" applyBorder="1" applyAlignment="1" applyProtection="1">
      <alignment horizontal="left"/>
    </xf>
    <xf numFmtId="0" fontId="0" fillId="19" borderId="0" xfId="0" applyFont="1" applyFill="1" applyBorder="1" applyAlignment="1" applyProtection="1">
      <alignment horizontal="center"/>
    </xf>
    <xf numFmtId="0" fontId="41" fillId="19" borderId="0" xfId="0" applyFont="1" applyFill="1" applyBorder="1" applyAlignment="1" applyProtection="1">
      <alignment horizontal="left"/>
    </xf>
    <xf numFmtId="0" fontId="50" fillId="19" borderId="0" xfId="0" applyFont="1" applyFill="1" applyBorder="1" applyAlignment="1" applyProtection="1">
      <alignment horizontal="center"/>
    </xf>
    <xf numFmtId="0" fontId="42" fillId="0" borderId="54" xfId="0" applyFont="1" applyBorder="1" applyAlignment="1" applyProtection="1">
      <alignment horizontal="left"/>
    </xf>
    <xf numFmtId="0" fontId="20" fillId="0" borderId="54" xfId="0" applyFont="1" applyFill="1" applyBorder="1" applyAlignment="1" applyProtection="1">
      <alignment horizontal="center"/>
    </xf>
    <xf numFmtId="0" fontId="0" fillId="0" borderId="54" xfId="0" applyFont="1" applyFill="1" applyBorder="1" applyAlignment="1" applyProtection="1">
      <alignment horizontal="center"/>
    </xf>
    <xf numFmtId="0" fontId="44" fillId="0" borderId="54" xfId="0" applyFont="1" applyFill="1" applyBorder="1" applyAlignment="1" applyProtection="1">
      <alignment horizontal="center"/>
    </xf>
    <xf numFmtId="0" fontId="25" fillId="0" borderId="54" xfId="0" applyFont="1" applyFill="1" applyBorder="1" applyAlignment="1" applyProtection="1">
      <alignment horizontal="left"/>
    </xf>
    <xf numFmtId="0" fontId="30" fillId="0" borderId="0" xfId="0" applyFont="1" applyAlignment="1" applyProtection="1">
      <alignment horizontal="center"/>
    </xf>
    <xf numFmtId="0" fontId="0" fillId="0" borderId="0" xfId="0" applyFill="1" applyAlignment="1" applyProtection="1">
      <alignment horizontal="left"/>
    </xf>
    <xf numFmtId="0" fontId="52" fillId="0" borderId="0" xfId="0" applyFont="1" applyFill="1" applyAlignment="1" applyProtection="1">
      <alignment horizontal="center"/>
    </xf>
    <xf numFmtId="0" fontId="0" fillId="0" borderId="0" xfId="0" applyFill="1" applyAlignment="1" applyProtection="1">
      <alignment horizontal="right"/>
    </xf>
    <xf numFmtId="0" fontId="25" fillId="0" borderId="0" xfId="0" applyFont="1" applyFill="1" applyAlignment="1" applyProtection="1">
      <alignment horizontal="right"/>
    </xf>
    <xf numFmtId="0" fontId="25" fillId="0" borderId="0" xfId="0" applyFont="1" applyFill="1" applyAlignment="1" applyProtection="1">
      <alignment horizontal="center"/>
    </xf>
    <xf numFmtId="0" fontId="38" fillId="0" borderId="0" xfId="0" applyFont="1" applyFill="1" applyBorder="1" applyAlignment="1" applyProtection="1">
      <alignment horizontal="center"/>
    </xf>
    <xf numFmtId="0" fontId="36" fillId="0" borderId="53" xfId="0" applyFont="1" applyFill="1" applyBorder="1" applyAlignment="1" applyProtection="1">
      <alignment horizontal="left"/>
    </xf>
    <xf numFmtId="0" fontId="30" fillId="0" borderId="62" xfId="0" applyFont="1" applyFill="1" applyBorder="1" applyAlignment="1" applyProtection="1">
      <alignment horizontal="center"/>
    </xf>
    <xf numFmtId="0" fontId="0" fillId="0" borderId="62" xfId="0" applyFont="1" applyFill="1" applyBorder="1" applyAlignment="1" applyProtection="1">
      <alignment horizontal="right"/>
    </xf>
    <xf numFmtId="0" fontId="25" fillId="0" borderId="62" xfId="0" applyFont="1" applyFill="1" applyBorder="1" applyAlignment="1" applyProtection="1">
      <alignment horizontal="center"/>
    </xf>
    <xf numFmtId="0" fontId="0" fillId="0" borderId="62" xfId="0" applyFill="1" applyBorder="1" applyAlignment="1" applyProtection="1">
      <alignment horizontal="center"/>
    </xf>
    <xf numFmtId="0" fontId="30" fillId="0" borderId="0" xfId="0" applyFont="1" applyFill="1" applyBorder="1" applyAlignment="1" applyProtection="1">
      <alignment horizontal="left"/>
    </xf>
    <xf numFmtId="0" fontId="49" fillId="0" borderId="0" xfId="0" applyFont="1" applyFill="1" applyBorder="1" applyAlignment="1" applyProtection="1">
      <alignment horizontal="center"/>
    </xf>
    <xf numFmtId="0" fontId="20" fillId="0" borderId="0" xfId="0" applyFont="1" applyFill="1" applyBorder="1" applyAlignment="1" applyProtection="1">
      <alignment horizontal="right"/>
    </xf>
    <xf numFmtId="0" fontId="48" fillId="0" borderId="0" xfId="0" applyFont="1" applyFill="1" applyBorder="1" applyAlignment="1" applyProtection="1">
      <alignment horizontal="center"/>
    </xf>
    <xf numFmtId="0" fontId="44" fillId="0" borderId="57" xfId="0" applyFont="1" applyFill="1" applyBorder="1" applyAlignment="1" applyProtection="1">
      <alignment horizontal="center"/>
    </xf>
    <xf numFmtId="0" fontId="20" fillId="0" borderId="57" xfId="0" applyFont="1" applyBorder="1" applyAlignment="1" applyProtection="1">
      <alignment horizontal="center"/>
    </xf>
    <xf numFmtId="0" fontId="59" fillId="0" borderId="57" xfId="0" applyFont="1" applyBorder="1" applyAlignment="1" applyProtection="1">
      <alignment horizontal="center"/>
    </xf>
    <xf numFmtId="0" fontId="0" fillId="0" borderId="57" xfId="0" applyFont="1" applyBorder="1" applyAlignment="1" applyProtection="1">
      <alignment horizontal="center"/>
    </xf>
    <xf numFmtId="0" fontId="0" fillId="0" borderId="57" xfId="0" applyFont="1" applyFill="1" applyBorder="1" applyAlignment="1" applyProtection="1">
      <alignment horizontal="center"/>
    </xf>
    <xf numFmtId="0" fontId="0" fillId="0" borderId="57" xfId="0" applyFill="1" applyBorder="1" applyAlignment="1" applyProtection="1">
      <alignment horizontal="center"/>
    </xf>
    <xf numFmtId="0" fontId="20" fillId="0" borderId="59" xfId="0" applyFont="1" applyBorder="1" applyAlignment="1" applyProtection="1">
      <alignment horizontal="center"/>
    </xf>
    <xf numFmtId="0" fontId="0" fillId="0" borderId="0" xfId="0" applyFill="1" applyBorder="1" applyAlignment="1" applyProtection="1">
      <alignment horizontal="justify"/>
    </xf>
    <xf numFmtId="0" fontId="25" fillId="0" borderId="53" xfId="0" applyFont="1" applyFill="1" applyBorder="1" applyAlignment="1" applyProtection="1">
      <alignment horizontal="center"/>
    </xf>
    <xf numFmtId="0" fontId="30" fillId="0" borderId="53" xfId="0" applyFont="1" applyFill="1" applyBorder="1" applyAlignment="1" applyProtection="1">
      <alignment horizontal="center"/>
    </xf>
    <xf numFmtId="0" fontId="41" fillId="0" borderId="53" xfId="0" applyFont="1" applyFill="1" applyBorder="1" applyAlignment="1" applyProtection="1">
      <alignment horizontal="left"/>
    </xf>
    <xf numFmtId="0" fontId="64" fillId="0" borderId="0" xfId="0" applyFont="1" applyFill="1" applyBorder="1" applyAlignment="1" applyProtection="1">
      <alignment horizontal="left"/>
    </xf>
    <xf numFmtId="0" fontId="20" fillId="0" borderId="0" xfId="0" applyFont="1" applyFill="1" applyBorder="1" applyAlignment="1" applyProtection="1">
      <alignment horizontal="left"/>
    </xf>
    <xf numFmtId="0" fontId="0" fillId="0" borderId="0" xfId="0" applyFill="1" applyBorder="1" applyProtection="1"/>
    <xf numFmtId="0" fontId="25" fillId="0" borderId="0" xfId="0" applyFont="1" applyFill="1" applyBorder="1" applyAlignment="1" applyProtection="1">
      <alignment horizontal="right"/>
    </xf>
    <xf numFmtId="0" fontId="0" fillId="0" borderId="0" xfId="0" applyFill="1" applyBorder="1" applyAlignment="1" applyProtection="1">
      <alignment horizontal="left"/>
    </xf>
    <xf numFmtId="0" fontId="50" fillId="0" borderId="53" xfId="0" applyFont="1" applyFill="1" applyBorder="1" applyAlignment="1" applyProtection="1">
      <alignment horizontal="left"/>
    </xf>
    <xf numFmtId="0" fontId="20" fillId="0" borderId="53" xfId="0" applyFont="1" applyFill="1" applyBorder="1" applyAlignment="1" applyProtection="1">
      <alignment horizontal="left"/>
    </xf>
    <xf numFmtId="0" fontId="52" fillId="0" borderId="0" xfId="0" applyFont="1" applyFill="1" applyAlignment="1" applyProtection="1">
      <alignment horizontal="left"/>
    </xf>
    <xf numFmtId="0" fontId="25" fillId="0" borderId="0" xfId="0" applyFont="1" applyFill="1" applyAlignment="1" applyProtection="1">
      <alignment horizontal="left"/>
    </xf>
    <xf numFmtId="0" fontId="20" fillId="0" borderId="0" xfId="0" applyFont="1" applyFill="1" applyAlignment="1" applyProtection="1">
      <alignment horizontal="left"/>
    </xf>
    <xf numFmtId="0" fontId="41" fillId="0" borderId="53" xfId="0" applyFont="1" applyFill="1" applyBorder="1" applyAlignment="1" applyProtection="1">
      <alignment horizontal="center"/>
    </xf>
    <xf numFmtId="0" fontId="68" fillId="0" borderId="0" xfId="0" applyFont="1" applyBorder="1" applyAlignment="1" applyProtection="1">
      <alignment horizontal="left"/>
    </xf>
    <xf numFmtId="0" fontId="39" fillId="0" borderId="0" xfId="0" applyFont="1" applyBorder="1" applyAlignment="1" applyProtection="1">
      <alignment horizontal="left"/>
    </xf>
    <xf numFmtId="0" fontId="42" fillId="0" borderId="0" xfId="0" applyFont="1" applyFill="1" applyBorder="1" applyProtection="1"/>
    <xf numFmtId="0" fontId="39" fillId="0" borderId="53" xfId="0" applyFont="1" applyBorder="1" applyAlignment="1" applyProtection="1">
      <alignment horizontal="left"/>
    </xf>
    <xf numFmtId="0" fontId="25" fillId="0" borderId="53" xfId="0" applyFont="1" applyFill="1" applyBorder="1" applyProtection="1"/>
    <xf numFmtId="0" fontId="0" fillId="0" borderId="53" xfId="0" applyFill="1" applyBorder="1" applyProtection="1"/>
    <xf numFmtId="0" fontId="25" fillId="0" borderId="0" xfId="0" applyFont="1" applyFill="1" applyBorder="1" applyProtection="1"/>
    <xf numFmtId="0" fontId="30" fillId="0" borderId="1" xfId="0" applyFont="1" applyFill="1" applyBorder="1" applyAlignment="1">
      <alignment horizontal="center" vertical="center"/>
    </xf>
    <xf numFmtId="0" fontId="30" fillId="0" borderId="1" xfId="0" applyFont="1" applyFill="1" applyBorder="1" applyAlignment="1">
      <alignment horizontal="center" vertical="center" wrapText="1"/>
    </xf>
    <xf numFmtId="0" fontId="0" fillId="0" borderId="52" xfId="0" applyFill="1" applyBorder="1" applyAlignment="1">
      <alignment horizontal="center" vertical="center"/>
    </xf>
    <xf numFmtId="0" fontId="30" fillId="0" borderId="36" xfId="0" applyFont="1" applyFill="1" applyBorder="1" applyAlignment="1">
      <alignment horizontal="center" vertical="center"/>
    </xf>
    <xf numFmtId="0" fontId="0" fillId="0" borderId="36" xfId="0" applyFill="1" applyBorder="1" applyAlignment="1">
      <alignment horizontal="center" vertical="center"/>
    </xf>
    <xf numFmtId="0" fontId="0" fillId="0" borderId="39" xfId="0" applyFill="1" applyBorder="1" applyAlignment="1">
      <alignment horizontal="center" vertical="center"/>
    </xf>
    <xf numFmtId="0" fontId="0" fillId="0" borderId="1" xfId="0" applyFill="1" applyBorder="1" applyAlignment="1">
      <alignment horizontal="center" vertical="center"/>
    </xf>
    <xf numFmtId="0" fontId="0" fillId="0" borderId="40" xfId="0" applyFill="1" applyBorder="1" applyAlignment="1">
      <alignment horizontal="center" vertical="center"/>
    </xf>
    <xf numFmtId="0" fontId="30" fillId="0" borderId="47" xfId="0" applyFont="1" applyFill="1" applyBorder="1" applyAlignment="1">
      <alignment horizontal="center" vertical="center"/>
    </xf>
    <xf numFmtId="0" fontId="0" fillId="0" borderId="47" xfId="0" applyFill="1" applyBorder="1" applyAlignment="1">
      <alignment horizontal="center" vertical="center"/>
    </xf>
    <xf numFmtId="0" fontId="30" fillId="0" borderId="63" xfId="0" applyFont="1" applyFill="1" applyBorder="1" applyAlignment="1">
      <alignment horizontal="center" vertical="center" wrapText="1"/>
    </xf>
    <xf numFmtId="0" fontId="0" fillId="0" borderId="64" xfId="0" applyFill="1" applyBorder="1" applyAlignment="1">
      <alignment horizontal="center" vertical="center"/>
    </xf>
    <xf numFmtId="0" fontId="0" fillId="0" borderId="46" xfId="0" applyFill="1" applyBorder="1" applyAlignment="1">
      <alignment horizontal="center" vertical="center"/>
    </xf>
    <xf numFmtId="0" fontId="0" fillId="0" borderId="48" xfId="0" applyFill="1" applyBorder="1" applyAlignment="1">
      <alignment horizontal="center" vertical="center"/>
    </xf>
    <xf numFmtId="0" fontId="0" fillId="0" borderId="63" xfId="0" applyFill="1" applyBorder="1" applyAlignment="1">
      <alignment horizontal="center" vertical="center"/>
    </xf>
    <xf numFmtId="0" fontId="0" fillId="0" borderId="0" xfId="0" applyFill="1" applyBorder="1" applyAlignment="1">
      <alignment horizontal="center" vertical="center"/>
    </xf>
    <xf numFmtId="0" fontId="69" fillId="0" borderId="0" xfId="0" applyFont="1" applyFill="1" applyAlignment="1">
      <alignment vertical="center"/>
    </xf>
    <xf numFmtId="177" fontId="69" fillId="0" borderId="0" xfId="0" applyNumberFormat="1" applyFont="1" applyFill="1" applyAlignment="1">
      <alignment vertical="center"/>
    </xf>
    <xf numFmtId="0" fontId="70" fillId="0" borderId="0" xfId="0" applyFont="1" applyFill="1" applyBorder="1" applyAlignment="1">
      <alignment horizontal="center" vertical="center"/>
    </xf>
    <xf numFmtId="0" fontId="69" fillId="0" borderId="1" xfId="0" applyFont="1" applyFill="1" applyBorder="1" applyAlignment="1">
      <alignment horizontal="center" vertical="center" wrapText="1"/>
    </xf>
    <xf numFmtId="0" fontId="69" fillId="0" borderId="1" xfId="0" applyFont="1" applyFill="1" applyBorder="1" applyAlignment="1">
      <alignment horizontal="center" vertical="center"/>
    </xf>
    <xf numFmtId="177" fontId="69" fillId="0" borderId="1" xfId="0" applyNumberFormat="1" applyFont="1" applyFill="1" applyBorder="1" applyAlignment="1">
      <alignment horizontal="center" vertical="center" wrapText="1"/>
    </xf>
    <xf numFmtId="0" fontId="69" fillId="21" borderId="1" xfId="0" applyFont="1" applyFill="1" applyBorder="1" applyAlignment="1">
      <alignment horizontal="center" vertical="center"/>
    </xf>
    <xf numFmtId="177" fontId="69" fillId="0" borderId="1" xfId="0" applyNumberFormat="1" applyFont="1" applyFill="1" applyBorder="1" applyAlignment="1">
      <alignment horizontal="center" vertical="center"/>
    </xf>
    <xf numFmtId="0" fontId="71" fillId="0" borderId="1" xfId="0" applyFont="1" applyFill="1" applyBorder="1" applyAlignment="1">
      <alignment horizontal="center" vertical="center"/>
    </xf>
    <xf numFmtId="177" fontId="71" fillId="0" borderId="1" xfId="0" applyNumberFormat="1" applyFont="1" applyFill="1" applyBorder="1" applyAlignment="1">
      <alignment horizontal="center" vertical="center"/>
    </xf>
    <xf numFmtId="0" fontId="45" fillId="18" borderId="65" xfId="0" applyFont="1" applyFill="1" applyBorder="1" applyAlignment="1">
      <alignment horizontal="left" vertical="center"/>
    </xf>
    <xf numFmtId="0" fontId="45" fillId="18" borderId="66" xfId="0" applyFont="1" applyFill="1" applyBorder="1" applyAlignment="1">
      <alignment horizontal="left" vertical="center"/>
    </xf>
    <xf numFmtId="0" fontId="72" fillId="18" borderId="67" xfId="0" applyFont="1" applyFill="1" applyBorder="1" applyAlignment="1">
      <alignment horizontal="left" vertical="center"/>
    </xf>
    <xf numFmtId="0" fontId="0" fillId="0" borderId="0" xfId="0" applyFill="1" applyAlignment="1">
      <alignment horizontal="left" vertical="center"/>
    </xf>
    <xf numFmtId="0" fontId="45" fillId="18" borderId="68" xfId="0" applyFont="1" applyFill="1" applyBorder="1" applyAlignment="1">
      <alignment horizontal="left" vertical="center"/>
    </xf>
    <xf numFmtId="0" fontId="45" fillId="18" borderId="1" xfId="0" applyFont="1" applyFill="1" applyBorder="1" applyAlignment="1">
      <alignment horizontal="left" vertical="center"/>
    </xf>
    <xf numFmtId="0" fontId="72" fillId="18" borderId="69" xfId="0" applyFont="1" applyFill="1" applyBorder="1" applyAlignment="1">
      <alignment horizontal="left" vertical="center"/>
    </xf>
    <xf numFmtId="0" fontId="0" fillId="0" borderId="65" xfId="0" applyFill="1" applyBorder="1" applyAlignment="1">
      <alignment horizontal="center" vertical="center"/>
    </xf>
    <xf numFmtId="0" fontId="0" fillId="0" borderId="67" xfId="0" applyFill="1" applyBorder="1" applyAlignment="1">
      <alignment horizontal="center" vertical="center"/>
    </xf>
    <xf numFmtId="0" fontId="30" fillId="0" borderId="68" xfId="0" applyFont="1" applyFill="1" applyBorder="1" applyAlignment="1">
      <alignment horizontal="left" vertical="center"/>
    </xf>
    <xf numFmtId="0" fontId="30" fillId="0" borderId="69" xfId="0" applyFont="1" applyFill="1" applyBorder="1" applyAlignment="1">
      <alignment horizontal="left" vertical="center"/>
    </xf>
    <xf numFmtId="0" fontId="45" fillId="18" borderId="69" xfId="0" applyFont="1" applyFill="1" applyBorder="1" applyAlignment="1">
      <alignment horizontal="left" vertical="center"/>
    </xf>
    <xf numFmtId="0" fontId="73" fillId="0" borderId="69" xfId="0" applyFont="1" applyFill="1" applyBorder="1" applyAlignment="1">
      <alignment horizontal="left" vertical="center"/>
    </xf>
    <xf numFmtId="0" fontId="0" fillId="0" borderId="68" xfId="0" applyFill="1" applyBorder="1" applyAlignment="1">
      <alignment horizontal="left" vertical="center"/>
    </xf>
    <xf numFmtId="0" fontId="0" fillId="0" borderId="69" xfId="0" applyFill="1" applyBorder="1" applyAlignment="1">
      <alignment horizontal="left" vertical="center"/>
    </xf>
    <xf numFmtId="0" fontId="0" fillId="0" borderId="68" xfId="0" applyFill="1" applyBorder="1" applyAlignment="1">
      <alignment vertical="center"/>
    </xf>
    <xf numFmtId="0" fontId="0" fillId="0" borderId="1" xfId="0" applyFill="1" applyBorder="1" applyAlignment="1">
      <alignment vertical="center"/>
    </xf>
    <xf numFmtId="0" fontId="45" fillId="18" borderId="70" xfId="0" applyFont="1" applyFill="1" applyBorder="1" applyAlignment="1">
      <alignment horizontal="left" vertical="center"/>
    </xf>
    <xf numFmtId="0" fontId="45" fillId="18" borderId="71" xfId="0" applyFont="1" applyFill="1" applyBorder="1" applyAlignment="1">
      <alignment horizontal="left" vertical="center"/>
    </xf>
    <xf numFmtId="0" fontId="73" fillId="18" borderId="72" xfId="0" applyFont="1" applyFill="1" applyBorder="1" applyAlignment="1">
      <alignment horizontal="left" vertical="center"/>
    </xf>
    <xf numFmtId="0" fontId="30" fillId="0" borderId="68" xfId="0" applyFont="1" applyFill="1" applyBorder="1" applyAlignment="1">
      <alignment vertical="center"/>
    </xf>
    <xf numFmtId="0" fontId="30" fillId="0" borderId="69" xfId="0" applyFont="1" applyFill="1" applyBorder="1" applyAlignment="1">
      <alignment horizontal="center" vertical="center"/>
    </xf>
    <xf numFmtId="0" fontId="0" fillId="0" borderId="65" xfId="0" applyFill="1" applyBorder="1" applyAlignment="1">
      <alignment vertical="center"/>
    </xf>
    <xf numFmtId="0" fontId="0" fillId="0" borderId="66" xfId="0" applyFill="1" applyBorder="1" applyAlignment="1">
      <alignment vertical="center"/>
    </xf>
    <xf numFmtId="0" fontId="0" fillId="0" borderId="67" xfId="0" applyFill="1" applyBorder="1" applyAlignment="1">
      <alignment horizontal="left" vertical="center"/>
    </xf>
    <xf numFmtId="0" fontId="0" fillId="0" borderId="69" xfId="0" applyFill="1" applyBorder="1" applyAlignment="1">
      <alignment horizontal="center" vertical="center"/>
    </xf>
    <xf numFmtId="0" fontId="20" fillId="0" borderId="73" xfId="0" applyFont="1" applyFill="1" applyBorder="1" applyAlignment="1">
      <alignment vertical="center"/>
    </xf>
    <xf numFmtId="0" fontId="0" fillId="0" borderId="74" xfId="0" applyFill="1" applyBorder="1" applyAlignment="1">
      <alignment vertical="center"/>
    </xf>
    <xf numFmtId="0" fontId="0" fillId="0" borderId="75" xfId="0" applyFill="1" applyBorder="1" applyAlignment="1">
      <alignment horizontal="left" vertical="center"/>
    </xf>
    <xf numFmtId="0" fontId="20" fillId="0" borderId="68" xfId="0" applyFont="1" applyFill="1" applyBorder="1" applyAlignment="1">
      <alignment vertical="center"/>
    </xf>
    <xf numFmtId="0" fontId="0" fillId="0" borderId="70" xfId="0" applyFill="1" applyBorder="1" applyAlignment="1">
      <alignment horizontal="left" vertical="center"/>
    </xf>
    <xf numFmtId="0" fontId="0" fillId="0" borderId="72" xfId="0" applyFill="1" applyBorder="1" applyAlignment="1">
      <alignment horizontal="center" vertical="center"/>
    </xf>
    <xf numFmtId="0" fontId="45" fillId="13" borderId="65" xfId="0" applyFont="1" applyFill="1" applyBorder="1" applyAlignment="1">
      <alignment horizontal="left" vertical="center"/>
    </xf>
    <xf numFmtId="0" fontId="45" fillId="13" borderId="66" xfId="0" applyFont="1" applyFill="1" applyBorder="1" applyAlignment="1">
      <alignment horizontal="left" vertical="center"/>
    </xf>
    <xf numFmtId="0" fontId="45" fillId="13" borderId="67" xfId="0" applyFont="1" applyFill="1" applyBorder="1" applyAlignment="1">
      <alignment horizontal="left" vertical="center"/>
    </xf>
    <xf numFmtId="0" fontId="74" fillId="22" borderId="70" xfId="0" applyFont="1" applyFill="1" applyBorder="1" applyAlignment="1">
      <alignment horizontal="left" vertical="center"/>
    </xf>
    <xf numFmtId="0" fontId="74" fillId="22" borderId="71" xfId="0" applyFont="1" applyFill="1" applyBorder="1" applyAlignment="1">
      <alignment horizontal="left" vertical="center"/>
    </xf>
    <xf numFmtId="0" fontId="74" fillId="22" borderId="72" xfId="0" applyFont="1" applyFill="1" applyBorder="1" applyAlignment="1">
      <alignment horizontal="left" vertical="center"/>
    </xf>
    <xf numFmtId="0" fontId="75" fillId="23" borderId="65" xfId="0" applyFont="1" applyFill="1" applyBorder="1" applyAlignment="1">
      <alignment horizontal="left" vertical="center"/>
    </xf>
    <xf numFmtId="0" fontId="75" fillId="23" borderId="66" xfId="0" applyFont="1" applyFill="1" applyBorder="1" applyAlignment="1">
      <alignment horizontal="left" vertical="center"/>
    </xf>
    <xf numFmtId="0" fontId="75" fillId="23" borderId="67" xfId="0" applyFont="1" applyFill="1" applyBorder="1" applyAlignment="1">
      <alignment horizontal="left" vertical="center"/>
    </xf>
    <xf numFmtId="0" fontId="20" fillId="0" borderId="1" xfId="0" applyFont="1" applyFill="1" applyBorder="1" applyAlignment="1">
      <alignment vertical="center"/>
    </xf>
    <xf numFmtId="0" fontId="20" fillId="0" borderId="69" xfId="0" applyFont="1" applyFill="1" applyBorder="1" applyAlignment="1">
      <alignment horizontal="left" vertical="center"/>
    </xf>
    <xf numFmtId="0" fontId="75" fillId="23" borderId="68" xfId="0" applyFont="1" applyFill="1" applyBorder="1" applyAlignment="1">
      <alignment horizontal="left" vertical="center"/>
    </xf>
    <xf numFmtId="0" fontId="75" fillId="23" borderId="1" xfId="0" applyFont="1" applyFill="1" applyBorder="1" applyAlignment="1">
      <alignment horizontal="left" vertical="center"/>
    </xf>
    <xf numFmtId="0" fontId="75" fillId="23" borderId="69" xfId="0" applyFont="1" applyFill="1" applyBorder="1" applyAlignment="1">
      <alignment horizontal="left" vertical="center"/>
    </xf>
    <xf numFmtId="0" fontId="30" fillId="0" borderId="1" xfId="0" applyFont="1" applyFill="1" applyBorder="1" applyAlignment="1">
      <alignment horizontal="left" vertical="center"/>
    </xf>
    <xf numFmtId="0" fontId="30" fillId="0" borderId="0" xfId="0" applyFont="1" applyFill="1" applyAlignment="1">
      <alignment horizontal="center" vertical="center"/>
    </xf>
    <xf numFmtId="0" fontId="0" fillId="0" borderId="68" xfId="0" applyFont="1" applyFill="1" applyBorder="1" applyAlignment="1">
      <alignment vertical="center"/>
    </xf>
    <xf numFmtId="0" fontId="75" fillId="23" borderId="70" xfId="0" applyFont="1" applyFill="1" applyBorder="1" applyAlignment="1">
      <alignment horizontal="left" vertical="center"/>
    </xf>
    <xf numFmtId="0" fontId="75" fillId="23" borderId="71" xfId="0" applyFont="1" applyFill="1" applyBorder="1" applyAlignment="1">
      <alignment horizontal="left" vertical="center"/>
    </xf>
    <xf numFmtId="0" fontId="75" fillId="23" borderId="72" xfId="0" applyFont="1" applyFill="1" applyBorder="1" applyAlignment="1">
      <alignment horizontal="left" vertical="center"/>
    </xf>
    <xf numFmtId="0" fontId="76" fillId="23" borderId="63" xfId="0" applyFont="1" applyFill="1" applyBorder="1" applyAlignment="1">
      <alignment horizontal="left" vertical="center"/>
    </xf>
    <xf numFmtId="0" fontId="0" fillId="0" borderId="69" xfId="0" applyFont="1" applyFill="1" applyBorder="1" applyAlignment="1">
      <alignment horizontal="left" vertical="center"/>
    </xf>
    <xf numFmtId="0" fontId="20" fillId="0" borderId="79" xfId="0" applyFont="1" applyFill="1" applyBorder="1" applyAlignment="1">
      <alignment vertical="center"/>
    </xf>
    <xf numFmtId="0" fontId="0" fillId="0" borderId="71" xfId="0" applyFill="1" applyBorder="1" applyAlignment="1">
      <alignment vertical="center"/>
    </xf>
    <xf numFmtId="0" fontId="0" fillId="0" borderId="72" xfId="0" applyFill="1" applyBorder="1" applyAlignment="1">
      <alignment horizontal="left" vertical="center"/>
    </xf>
    <xf numFmtId="0" fontId="20" fillId="0" borderId="66" xfId="0" applyFont="1" applyFill="1" applyBorder="1" applyAlignment="1">
      <alignment horizontal="left" vertical="center"/>
    </xf>
    <xf numFmtId="0" fontId="72" fillId="0" borderId="67" xfId="0" applyFont="1" applyFill="1" applyBorder="1" applyAlignment="1">
      <alignment horizontal="left" vertical="center"/>
    </xf>
    <xf numFmtId="0" fontId="0" fillId="0" borderId="70" xfId="0" applyFill="1" applyBorder="1" applyAlignment="1">
      <alignment vertical="center"/>
    </xf>
    <xf numFmtId="0" fontId="0" fillId="0" borderId="71" xfId="0" applyFill="1" applyBorder="1" applyAlignment="1">
      <alignment horizontal="left" vertical="center"/>
    </xf>
    <xf numFmtId="0" fontId="74" fillId="0" borderId="72" xfId="0" applyFont="1" applyFill="1" applyBorder="1" applyAlignment="1">
      <alignment horizontal="left" vertical="center"/>
    </xf>
    <xf numFmtId="0" fontId="0" fillId="0" borderId="0" xfId="0" applyFill="1" applyBorder="1" applyAlignment="1">
      <alignment horizontal="left" vertical="center"/>
    </xf>
    <xf numFmtId="0" fontId="0" fillId="0" borderId="66" xfId="0" applyFill="1" applyBorder="1" applyAlignment="1">
      <alignment horizontal="center" vertical="top"/>
    </xf>
    <xf numFmtId="0" fontId="22" fillId="0" borderId="1" xfId="0" applyFont="1" applyFill="1" applyBorder="1" applyAlignment="1">
      <alignment horizontal="center"/>
    </xf>
    <xf numFmtId="0" fontId="0" fillId="0" borderId="81" xfId="0" applyFill="1" applyBorder="1" applyAlignment="1">
      <alignment vertical="center"/>
    </xf>
    <xf numFmtId="0" fontId="0" fillId="0" borderId="83" xfId="0" applyFill="1" applyBorder="1" applyAlignment="1">
      <alignment vertical="center"/>
    </xf>
    <xf numFmtId="0" fontId="0" fillId="0" borderId="83" xfId="0" applyFill="1" applyBorder="1" applyAlignment="1">
      <alignment horizontal="center"/>
    </xf>
    <xf numFmtId="0" fontId="0" fillId="0" borderId="68" xfId="0" applyFill="1" applyBorder="1" applyAlignment="1">
      <alignment horizontal="center" vertical="center"/>
    </xf>
    <xf numFmtId="0" fontId="0" fillId="0" borderId="1" xfId="0" applyFill="1" applyBorder="1" applyAlignment="1">
      <alignment horizontal="center"/>
    </xf>
    <xf numFmtId="0" fontId="20" fillId="0" borderId="1" xfId="0" applyFont="1" applyFill="1" applyBorder="1" applyAlignment="1">
      <alignment horizontal="center"/>
    </xf>
    <xf numFmtId="1" fontId="0" fillId="0" borderId="1" xfId="0" applyNumberFormat="1" applyFill="1" applyBorder="1" applyAlignment="1">
      <alignment horizontal="center"/>
    </xf>
    <xf numFmtId="0" fontId="0" fillId="0" borderId="81" xfId="0" applyFill="1" applyBorder="1" applyAlignment="1">
      <alignment horizontal="center"/>
    </xf>
    <xf numFmtId="0" fontId="20" fillId="0" borderId="81" xfId="0" applyFont="1" applyFill="1" applyBorder="1" applyAlignment="1">
      <alignment horizontal="center"/>
    </xf>
    <xf numFmtId="0" fontId="20" fillId="0" borderId="83" xfId="0" applyFont="1" applyFill="1" applyBorder="1" applyAlignment="1">
      <alignment horizontal="center"/>
    </xf>
    <xf numFmtId="0" fontId="0" fillId="0" borderId="71" xfId="0" applyFill="1" applyBorder="1" applyAlignment="1">
      <alignment horizontal="center"/>
    </xf>
    <xf numFmtId="0" fontId="20" fillId="0" borderId="71" xfId="0" applyFont="1" applyFill="1" applyBorder="1" applyAlignment="1">
      <alignment horizontal="center"/>
    </xf>
    <xf numFmtId="0" fontId="0" fillId="0" borderId="66" xfId="0" applyFill="1" applyBorder="1" applyAlignment="1">
      <alignment horizontal="center" vertical="center"/>
    </xf>
    <xf numFmtId="0" fontId="0" fillId="0" borderId="67" xfId="0" applyFill="1" applyBorder="1" applyAlignment="1">
      <alignment vertical="center"/>
    </xf>
    <xf numFmtId="0" fontId="77" fillId="0" borderId="1" xfId="0" applyFont="1" applyFill="1" applyBorder="1" applyAlignment="1">
      <alignment vertical="center"/>
    </xf>
    <xf numFmtId="0" fontId="0" fillId="0" borderId="69" xfId="0" applyFill="1" applyBorder="1" applyAlignment="1">
      <alignment vertical="center"/>
    </xf>
    <xf numFmtId="0" fontId="0" fillId="0" borderId="1" xfId="0" applyFont="1" applyFill="1" applyBorder="1" applyAlignment="1">
      <alignment vertical="center"/>
    </xf>
    <xf numFmtId="0" fontId="0" fillId="0" borderId="69" xfId="0" applyFont="1" applyFill="1" applyBorder="1" applyAlignment="1">
      <alignment vertical="center"/>
    </xf>
    <xf numFmtId="0" fontId="0" fillId="0" borderId="71" xfId="0" applyFont="1" applyFill="1" applyBorder="1" applyAlignment="1">
      <alignment vertical="center"/>
    </xf>
    <xf numFmtId="0" fontId="0" fillId="0" borderId="72" xfId="0" applyFont="1" applyFill="1" applyBorder="1" applyAlignment="1">
      <alignment vertical="center"/>
    </xf>
    <xf numFmtId="0" fontId="0" fillId="0" borderId="84" xfId="0" applyFill="1" applyBorder="1" applyAlignment="1">
      <alignment horizontal="center"/>
    </xf>
    <xf numFmtId="0" fontId="0" fillId="0" borderId="69" xfId="0" applyFill="1" applyBorder="1" applyAlignment="1">
      <alignment horizontal="center"/>
    </xf>
    <xf numFmtId="0" fontId="0" fillId="0" borderId="85" xfId="0" applyFill="1" applyBorder="1" applyAlignment="1">
      <alignment horizontal="center"/>
    </xf>
    <xf numFmtId="0" fontId="0" fillId="0" borderId="72" xfId="0" applyFill="1" applyBorder="1" applyAlignment="1">
      <alignment horizontal="center"/>
    </xf>
    <xf numFmtId="0" fontId="30" fillId="21" borderId="68" xfId="0" applyFont="1" applyFill="1" applyBorder="1" applyAlignment="1">
      <alignment horizontal="center" vertical="center"/>
    </xf>
    <xf numFmtId="0" fontId="0" fillId="21" borderId="1" xfId="0" applyFont="1" applyFill="1" applyBorder="1" applyAlignment="1">
      <alignment horizontal="center" vertical="center"/>
    </xf>
    <xf numFmtId="0" fontId="30" fillId="21" borderId="1" xfId="0" applyFont="1" applyFill="1" applyBorder="1" applyAlignment="1">
      <alignment horizontal="center" vertical="center"/>
    </xf>
    <xf numFmtId="0" fontId="0" fillId="0" borderId="69" xfId="0" applyFont="1" applyFill="1" applyBorder="1" applyAlignment="1">
      <alignment horizontal="center" vertical="center"/>
    </xf>
    <xf numFmtId="0" fontId="0" fillId="21" borderId="69" xfId="0" applyFont="1" applyFill="1" applyBorder="1" applyAlignment="1">
      <alignment horizontal="center" vertical="center"/>
    </xf>
    <xf numFmtId="0" fontId="39" fillId="21" borderId="68" xfId="0" applyFont="1" applyFill="1" applyBorder="1" applyAlignment="1">
      <alignment horizontal="center" vertical="center"/>
    </xf>
    <xf numFmtId="0" fontId="30" fillId="24" borderId="70" xfId="0" applyFont="1" applyFill="1" applyBorder="1" applyAlignment="1">
      <alignment horizontal="center" vertical="center"/>
    </xf>
    <xf numFmtId="0" fontId="0" fillId="24" borderId="72" xfId="0" applyFont="1" applyFill="1" applyBorder="1" applyAlignment="1">
      <alignment horizontal="center" vertical="center"/>
    </xf>
    <xf numFmtId="0" fontId="0" fillId="24" borderId="71" xfId="0" applyFont="1" applyFill="1" applyBorder="1" applyAlignment="1">
      <alignment horizontal="center" vertical="center"/>
    </xf>
    <xf numFmtId="0" fontId="30" fillId="24" borderId="71" xfId="0" applyFont="1" applyFill="1" applyBorder="1" applyAlignment="1">
      <alignment horizontal="center" vertical="center"/>
    </xf>
    <xf numFmtId="0" fontId="0" fillId="0" borderId="0" xfId="0" applyFont="1" applyFill="1" applyBorder="1" applyAlignment="1">
      <alignment horizontal="center" vertical="center"/>
    </xf>
    <xf numFmtId="0" fontId="30" fillId="21" borderId="65" xfId="0" applyFont="1" applyFill="1" applyBorder="1" applyAlignment="1">
      <alignment horizontal="center" vertical="center"/>
    </xf>
    <xf numFmtId="0" fontId="0" fillId="21" borderId="67" xfId="0" applyFont="1" applyFill="1" applyBorder="1" applyAlignment="1">
      <alignment horizontal="center" vertical="center"/>
    </xf>
    <xf numFmtId="0" fontId="0" fillId="0" borderId="68" xfId="0" applyFont="1" applyFill="1" applyBorder="1" applyAlignment="1">
      <alignment horizontal="center" vertical="center"/>
    </xf>
    <xf numFmtId="0" fontId="30" fillId="24" borderId="68" xfId="0" applyFont="1" applyFill="1" applyBorder="1" applyAlignment="1">
      <alignment horizontal="center" vertical="center"/>
    </xf>
    <xf numFmtId="0" fontId="0" fillId="24" borderId="69" xfId="0" applyFont="1" applyFill="1" applyBorder="1" applyAlignment="1">
      <alignment horizontal="center" vertical="center"/>
    </xf>
    <xf numFmtId="0" fontId="30" fillId="0" borderId="0" xfId="0" applyFont="1" applyFill="1" applyBorder="1" applyAlignment="1">
      <alignment horizontal="center" vertical="center"/>
    </xf>
    <xf numFmtId="0" fontId="29" fillId="0" borderId="0" xfId="0" applyFont="1" applyFill="1" applyBorder="1" applyAlignment="1">
      <alignment horizontal="center" vertical="center"/>
    </xf>
    <xf numFmtId="0" fontId="30" fillId="0" borderId="65" xfId="0" applyFont="1" applyFill="1" applyBorder="1" applyAlignment="1">
      <alignment horizontal="center" vertical="center"/>
    </xf>
    <xf numFmtId="0" fontId="0" fillId="0" borderId="67" xfId="0" applyFont="1" applyFill="1" applyBorder="1" applyAlignment="1">
      <alignment horizontal="center" vertical="center"/>
    </xf>
    <xf numFmtId="0" fontId="30" fillId="0" borderId="68" xfId="0" applyFont="1" applyFill="1" applyBorder="1" applyAlignment="1">
      <alignment horizontal="center" vertical="center"/>
    </xf>
    <xf numFmtId="0" fontId="20" fillId="24" borderId="73" xfId="0" applyFont="1" applyFill="1" applyBorder="1" applyAlignment="1">
      <alignment horizontal="center" vertical="center"/>
    </xf>
    <xf numFmtId="0" fontId="0" fillId="24" borderId="75" xfId="0" applyFont="1" applyFill="1" applyBorder="1" applyAlignment="1">
      <alignment horizontal="center" vertical="center"/>
    </xf>
    <xf numFmtId="0" fontId="20" fillId="24" borderId="70" xfId="0" applyFont="1" applyFill="1" applyBorder="1" applyAlignment="1">
      <alignment horizontal="center" vertical="center"/>
    </xf>
    <xf numFmtId="0" fontId="45" fillId="18" borderId="66" xfId="0" applyFont="1" applyFill="1" applyBorder="1" applyAlignment="1">
      <alignment horizontal="center" vertical="center"/>
    </xf>
    <xf numFmtId="0" fontId="45" fillId="18" borderId="1" xfId="0" applyFont="1" applyFill="1" applyBorder="1" applyAlignment="1">
      <alignment horizontal="center" vertical="center"/>
    </xf>
    <xf numFmtId="0" fontId="20" fillId="0" borderId="65" xfId="0" applyFont="1" applyFill="1" applyBorder="1" applyAlignment="1">
      <alignment vertical="center"/>
    </xf>
    <xf numFmtId="0" fontId="0" fillId="0" borderId="1" xfId="0" applyFont="1" applyFill="1" applyBorder="1" applyAlignment="1">
      <alignment horizontal="center" vertical="center" wrapText="1"/>
    </xf>
    <xf numFmtId="0" fontId="72" fillId="18" borderId="68" xfId="0" applyFont="1" applyFill="1" applyBorder="1" applyAlignment="1">
      <alignment horizontal="left" vertical="center"/>
    </xf>
    <xf numFmtId="0" fontId="72" fillId="18" borderId="1" xfId="0" applyFont="1" applyFill="1" applyBorder="1" applyAlignment="1">
      <alignment horizontal="center" vertical="center"/>
    </xf>
    <xf numFmtId="0" fontId="20" fillId="0" borderId="1" xfId="0" applyFont="1" applyFill="1" applyBorder="1" applyAlignment="1">
      <alignment horizontal="center" vertical="center"/>
    </xf>
    <xf numFmtId="0" fontId="45" fillId="18" borderId="71" xfId="0" applyFont="1" applyFill="1" applyBorder="1" applyAlignment="1">
      <alignment horizontal="center" vertical="center"/>
    </xf>
    <xf numFmtId="0" fontId="0" fillId="12" borderId="68" xfId="0" applyFont="1" applyFill="1" applyBorder="1" applyAlignment="1">
      <alignment horizontal="center"/>
    </xf>
    <xf numFmtId="0" fontId="0" fillId="12" borderId="1" xfId="0" applyFont="1" applyFill="1" applyBorder="1" applyAlignment="1">
      <alignment horizontal="center"/>
    </xf>
    <xf numFmtId="0" fontId="0" fillId="12" borderId="69" xfId="0" applyFont="1" applyFill="1" applyBorder="1" applyAlignment="1">
      <alignment horizontal="center"/>
    </xf>
    <xf numFmtId="0" fontId="75" fillId="23" borderId="1" xfId="0" applyFont="1" applyFill="1" applyBorder="1" applyAlignment="1">
      <alignment horizontal="center" vertical="center"/>
    </xf>
    <xf numFmtId="0" fontId="0" fillId="24" borderId="68" xfId="0" applyFill="1" applyBorder="1" applyAlignment="1">
      <alignment horizontal="left" vertical="center"/>
    </xf>
    <xf numFmtId="0" fontId="0" fillId="24" borderId="1" xfId="0" applyFill="1" applyBorder="1" applyAlignment="1">
      <alignment horizontal="left" vertical="center"/>
    </xf>
    <xf numFmtId="0" fontId="0" fillId="24" borderId="70" xfId="0" applyFill="1" applyBorder="1" applyAlignment="1">
      <alignment horizontal="left" vertical="center"/>
    </xf>
    <xf numFmtId="0" fontId="0" fillId="24" borderId="71" xfId="0" applyFill="1" applyBorder="1" applyAlignment="1">
      <alignment horizontal="left" vertical="center"/>
    </xf>
    <xf numFmtId="0" fontId="76" fillId="23" borderId="71" xfId="0" applyFont="1" applyFill="1" applyBorder="1" applyAlignment="1">
      <alignment horizontal="center" vertical="center"/>
    </xf>
    <xf numFmtId="0" fontId="0" fillId="12" borderId="68" xfId="0" applyFont="1" applyFill="1" applyBorder="1" applyAlignment="1">
      <alignment vertical="center"/>
    </xf>
    <xf numFmtId="0" fontId="20" fillId="12" borderId="1" xfId="0" applyFont="1" applyFill="1" applyBorder="1" applyAlignment="1">
      <alignment horizontal="center"/>
    </xf>
    <xf numFmtId="0" fontId="0" fillId="0" borderId="1" xfId="0" applyFont="1" applyFill="1" applyBorder="1" applyAlignment="1">
      <alignment horizontal="center"/>
    </xf>
    <xf numFmtId="0" fontId="0" fillId="24" borderId="70" xfId="0" applyFont="1" applyFill="1" applyBorder="1" applyAlignment="1">
      <alignment vertical="center"/>
    </xf>
    <xf numFmtId="0" fontId="0" fillId="24" borderId="71" xfId="0" applyFont="1" applyFill="1" applyBorder="1" applyAlignment="1">
      <alignment horizontal="center"/>
    </xf>
    <xf numFmtId="0" fontId="0" fillId="24" borderId="69" xfId="0" applyFill="1" applyBorder="1" applyAlignment="1">
      <alignment horizontal="left" vertical="center"/>
    </xf>
    <xf numFmtId="0" fontId="0" fillId="24" borderId="72" xfId="0" applyFill="1" applyBorder="1" applyAlignment="1">
      <alignment horizontal="left" vertical="center"/>
    </xf>
    <xf numFmtId="0" fontId="0" fillId="0" borderId="69" xfId="0" applyFont="1" applyFill="1" applyBorder="1" applyAlignment="1">
      <alignment horizontal="left"/>
    </xf>
    <xf numFmtId="0" fontId="0" fillId="24" borderId="72" xfId="0" applyFont="1" applyFill="1" applyBorder="1" applyAlignment="1">
      <alignment horizontal="left"/>
    </xf>
    <xf numFmtId="0" fontId="30" fillId="0" borderId="0" xfId="0" applyFont="1" applyFill="1" applyBorder="1" applyAlignment="1">
      <alignment horizontal="left" vertical="center"/>
    </xf>
    <xf numFmtId="0" fontId="0" fillId="12" borderId="65" xfId="0" applyFill="1" applyBorder="1" applyAlignment="1">
      <alignment vertical="center"/>
    </xf>
    <xf numFmtId="0" fontId="0" fillId="12" borderId="66" xfId="0" applyFill="1" applyBorder="1" applyAlignment="1">
      <alignment horizontal="center" vertical="center"/>
    </xf>
    <xf numFmtId="0" fontId="0" fillId="12" borderId="67" xfId="0" applyFill="1" applyBorder="1" applyAlignment="1">
      <alignment horizontal="center" vertical="center"/>
    </xf>
    <xf numFmtId="0" fontId="0" fillId="12" borderId="1" xfId="0" applyFill="1" applyBorder="1" applyAlignment="1">
      <alignment vertical="center"/>
    </xf>
    <xf numFmtId="0" fontId="20" fillId="12" borderId="1" xfId="0" applyFont="1" applyFill="1" applyBorder="1" applyAlignment="1">
      <alignment horizontal="center" vertical="center"/>
    </xf>
    <xf numFmtId="0" fontId="0" fillId="12" borderId="1" xfId="0" applyFill="1" applyBorder="1" applyAlignment="1">
      <alignment horizontal="center" vertical="center"/>
    </xf>
    <xf numFmtId="0" fontId="0" fillId="12" borderId="69" xfId="0" applyFill="1" applyBorder="1" applyAlignment="1">
      <alignment horizontal="center" vertical="center"/>
    </xf>
    <xf numFmtId="0" fontId="0" fillId="12" borderId="1" xfId="0" applyFont="1" applyFill="1" applyBorder="1" applyAlignment="1">
      <alignment horizontal="center" vertical="center"/>
    </xf>
    <xf numFmtId="0" fontId="0" fillId="17" borderId="1" xfId="0" applyFill="1" applyBorder="1" applyAlignment="1">
      <alignment vertical="center"/>
    </xf>
    <xf numFmtId="0" fontId="20" fillId="17" borderId="1" xfId="0" applyFont="1" applyFill="1" applyBorder="1" applyAlignment="1">
      <alignment horizontal="center" vertical="center"/>
    </xf>
    <xf numFmtId="0" fontId="0" fillId="17" borderId="1" xfId="0" applyFill="1" applyBorder="1" applyAlignment="1">
      <alignment horizontal="center" vertical="center"/>
    </xf>
    <xf numFmtId="0" fontId="0" fillId="17" borderId="69" xfId="0" applyFill="1" applyBorder="1" applyAlignment="1">
      <alignment horizontal="center" vertical="center"/>
    </xf>
    <xf numFmtId="0" fontId="20" fillId="17" borderId="69" xfId="0" applyFont="1" applyFill="1" applyBorder="1" applyAlignment="1">
      <alignment horizontal="center" vertical="center"/>
    </xf>
    <xf numFmtId="0" fontId="0" fillId="17" borderId="71" xfId="0" applyFill="1" applyBorder="1" applyAlignment="1">
      <alignment vertical="center"/>
    </xf>
    <xf numFmtId="0" fontId="20" fillId="17" borderId="71" xfId="0" applyFont="1" applyFill="1" applyBorder="1" applyAlignment="1">
      <alignment horizontal="center" vertical="center"/>
    </xf>
    <xf numFmtId="0" fontId="0" fillId="17" borderId="71" xfId="0" applyFill="1" applyBorder="1" applyAlignment="1">
      <alignment horizontal="center" vertical="center"/>
    </xf>
    <xf numFmtId="0" fontId="0" fillId="17" borderId="72" xfId="0" applyFill="1" applyBorder="1" applyAlignment="1">
      <alignment horizontal="center" vertical="center"/>
    </xf>
    <xf numFmtId="0" fontId="0" fillId="0" borderId="0" xfId="0" applyFill="1" applyAlignment="1">
      <alignment horizontal="right" vertical="center"/>
    </xf>
    <xf numFmtId="0" fontId="69" fillId="0" borderId="74" xfId="0" applyFont="1" applyFill="1" applyBorder="1" applyAlignment="1">
      <alignment horizontal="center" vertical="center"/>
    </xf>
    <xf numFmtId="0" fontId="69" fillId="0" borderId="36" xfId="0" applyFont="1" applyFill="1" applyBorder="1" applyAlignment="1">
      <alignment vertical="center"/>
    </xf>
    <xf numFmtId="0" fontId="69" fillId="0" borderId="1" xfId="0" applyFont="1" applyFill="1" applyBorder="1" applyAlignment="1">
      <alignment vertical="center"/>
    </xf>
    <xf numFmtId="0" fontId="69" fillId="0" borderId="0" xfId="0" applyFont="1" applyFill="1" applyBorder="1" applyAlignment="1">
      <alignment horizontal="center" vertical="center"/>
    </xf>
    <xf numFmtId="0" fontId="69" fillId="0" borderId="0" xfId="0" applyFont="1" applyFill="1" applyBorder="1" applyAlignment="1">
      <alignment vertical="center"/>
    </xf>
    <xf numFmtId="0" fontId="69" fillId="0" borderId="74" xfId="0" applyFont="1" applyFill="1" applyBorder="1" applyAlignment="1">
      <alignment vertical="center"/>
    </xf>
    <xf numFmtId="0" fontId="0" fillId="0" borderId="0" xfId="0" applyBorder="1"/>
    <xf numFmtId="0" fontId="32" fillId="0" borderId="0" xfId="0" applyFont="1" applyAlignment="1" applyProtection="1">
      <alignment horizontal="left"/>
    </xf>
    <xf numFmtId="0" fontId="29" fillId="0" borderId="0" xfId="0" applyFont="1" applyProtection="1"/>
    <xf numFmtId="0" fontId="29" fillId="0" borderId="0" xfId="0" applyFont="1" applyAlignment="1" applyProtection="1">
      <alignment horizontal="left"/>
    </xf>
    <xf numFmtId="0" fontId="35" fillId="0" borderId="53" xfId="0" applyFont="1" applyBorder="1" applyProtection="1"/>
    <xf numFmtId="0" fontId="31" fillId="0" borderId="53" xfId="0" applyFont="1" applyBorder="1" applyProtection="1"/>
    <xf numFmtId="0" fontId="34" fillId="0" borderId="53" xfId="0" applyFont="1" applyBorder="1" applyAlignment="1" applyProtection="1">
      <alignment horizontal="left"/>
    </xf>
    <xf numFmtId="0" fontId="35" fillId="0" borderId="53" xfId="0" applyFont="1" applyBorder="1" applyAlignment="1" applyProtection="1">
      <alignment horizontal="left"/>
    </xf>
    <xf numFmtId="0" fontId="36" fillId="0" borderId="53" xfId="0" applyFont="1" applyBorder="1" applyProtection="1"/>
    <xf numFmtId="0" fontId="20" fillId="0" borderId="53" xfId="0" applyFont="1" applyBorder="1" applyProtection="1"/>
    <xf numFmtId="0" fontId="20" fillId="17" borderId="54" xfId="0" applyFont="1" applyFill="1" applyBorder="1" applyAlignment="1" applyProtection="1">
      <alignment horizontal="center"/>
      <protection locked="0"/>
    </xf>
    <xf numFmtId="0" fontId="40" fillId="0" borderId="0" xfId="0" applyFont="1" applyProtection="1"/>
    <xf numFmtId="0" fontId="44" fillId="0" borderId="54" xfId="0" applyFont="1" applyFill="1" applyBorder="1" applyAlignment="1" applyProtection="1">
      <alignment horizontal="center"/>
      <protection locked="0"/>
    </xf>
    <xf numFmtId="0" fontId="30" fillId="17" borderId="61" xfId="0" applyFont="1" applyFill="1" applyBorder="1" applyAlignment="1" applyProtection="1">
      <alignment horizontal="center"/>
      <protection locked="0"/>
    </xf>
    <xf numFmtId="0" fontId="44" fillId="0" borderId="0" xfId="0" applyFont="1" applyFill="1" applyBorder="1" applyAlignment="1" applyProtection="1">
      <alignment horizontal="center"/>
      <protection locked="0"/>
    </xf>
    <xf numFmtId="0" fontId="40" fillId="0" borderId="0" xfId="0" applyFont="1" applyFill="1" applyBorder="1" applyAlignment="1" applyProtection="1">
      <alignment horizontal="right"/>
    </xf>
    <xf numFmtId="0" fontId="42" fillId="0" borderId="0" xfId="0" applyFont="1" applyAlignment="1" applyProtection="1">
      <alignment horizontal="right"/>
    </xf>
    <xf numFmtId="0" fontId="42" fillId="0" borderId="0" xfId="0" applyFont="1" applyBorder="1" applyAlignment="1" applyProtection="1">
      <alignment horizontal="right"/>
    </xf>
    <xf numFmtId="0" fontId="42" fillId="0" borderId="0" xfId="0" applyFont="1" applyFill="1" applyBorder="1" applyAlignment="1" applyProtection="1">
      <alignment horizontal="right"/>
    </xf>
    <xf numFmtId="0" fontId="49" fillId="0" borderId="0" xfId="0" applyFont="1" applyFill="1" applyBorder="1" applyAlignment="1" applyProtection="1">
      <alignment horizontal="right"/>
    </xf>
    <xf numFmtId="0" fontId="80" fillId="0" borderId="0" xfId="0" applyFont="1" applyBorder="1" applyAlignment="1" applyProtection="1">
      <alignment horizontal="left"/>
    </xf>
    <xf numFmtId="0" fontId="30" fillId="17" borderId="0" xfId="0" applyFont="1" applyFill="1" applyBorder="1" applyAlignment="1" applyProtection="1">
      <alignment horizontal="center"/>
      <protection locked="0"/>
    </xf>
    <xf numFmtId="0" fontId="25" fillId="0" borderId="53" xfId="0" applyFont="1" applyBorder="1" applyAlignment="1" applyProtection="1">
      <alignment horizontal="left"/>
    </xf>
    <xf numFmtId="0" fontId="49" fillId="0" borderId="53" xfId="0" applyFont="1" applyBorder="1" applyAlignment="1" applyProtection="1">
      <alignment horizontal="right"/>
    </xf>
    <xf numFmtId="0" fontId="51" fillId="0" borderId="53" xfId="0" applyFont="1" applyBorder="1" applyAlignment="1" applyProtection="1">
      <alignment horizontal="center"/>
    </xf>
    <xf numFmtId="0" fontId="42" fillId="0" borderId="53" xfId="0" applyFont="1" applyBorder="1" applyAlignment="1" applyProtection="1">
      <alignment horizontal="right"/>
    </xf>
    <xf numFmtId="0" fontId="42" fillId="0" borderId="53" xfId="0" applyFont="1" applyBorder="1" applyAlignment="1" applyProtection="1">
      <alignment horizontal="left"/>
    </xf>
    <xf numFmtId="0" fontId="44" fillId="0" borderId="53" xfId="0" applyFont="1" applyBorder="1" applyAlignment="1" applyProtection="1">
      <alignment horizontal="center"/>
    </xf>
    <xf numFmtId="0" fontId="51" fillId="0" borderId="0" xfId="0" applyFont="1" applyFill="1" applyBorder="1" applyAlignment="1" applyProtection="1">
      <alignment horizontal="center"/>
    </xf>
    <xf numFmtId="0" fontId="54" fillId="0" borderId="0" xfId="0" applyFont="1" applyFill="1" applyBorder="1" applyAlignment="1" applyProtection="1">
      <alignment horizontal="left"/>
    </xf>
    <xf numFmtId="0" fontId="81" fillId="0" borderId="0" xfId="0" applyFont="1" applyBorder="1" applyAlignment="1" applyProtection="1">
      <alignment horizontal="center"/>
    </xf>
    <xf numFmtId="0" fontId="0" fillId="18" borderId="53" xfId="0" applyFont="1" applyFill="1" applyBorder="1" applyAlignment="1" applyProtection="1">
      <alignment horizontal="center"/>
    </xf>
    <xf numFmtId="0" fontId="81" fillId="0" borderId="0" xfId="0" applyFont="1" applyFill="1" applyAlignment="1" applyProtection="1">
      <alignment horizontal="left"/>
    </xf>
    <xf numFmtId="0" fontId="43" fillId="0" borderId="0" xfId="0" applyFont="1" applyFill="1" applyBorder="1" applyAlignment="1" applyProtection="1">
      <alignment horizontal="left"/>
    </xf>
    <xf numFmtId="0" fontId="82" fillId="0" borderId="0" xfId="0" applyFont="1" applyBorder="1" applyAlignment="1" applyProtection="1">
      <alignment horizontal="right"/>
    </xf>
    <xf numFmtId="0" fontId="43" fillId="0" borderId="0" xfId="0" applyFont="1" applyFill="1" applyBorder="1" applyAlignment="1" applyProtection="1">
      <alignment horizontal="center"/>
    </xf>
    <xf numFmtId="0" fontId="0" fillId="18" borderId="0" xfId="0" applyFont="1" applyFill="1" applyAlignment="1" applyProtection="1">
      <alignment horizontal="center"/>
    </xf>
    <xf numFmtId="0" fontId="51" fillId="0" borderId="55" xfId="0" applyFont="1" applyBorder="1" applyAlignment="1" applyProtection="1">
      <alignment horizontal="left"/>
    </xf>
    <xf numFmtId="0" fontId="52" fillId="0" borderId="57" xfId="0" applyFont="1" applyBorder="1" applyAlignment="1" applyProtection="1">
      <alignment horizontal="center"/>
    </xf>
    <xf numFmtId="0" fontId="25" fillId="0" borderId="57" xfId="0" applyFont="1" applyBorder="1" applyAlignment="1" applyProtection="1">
      <alignment horizontal="center"/>
    </xf>
    <xf numFmtId="0" fontId="25" fillId="0" borderId="59" xfId="0" applyFont="1" applyBorder="1" applyAlignment="1" applyProtection="1">
      <alignment horizontal="center"/>
    </xf>
    <xf numFmtId="0" fontId="60" fillId="0" borderId="53" xfId="0" applyFont="1" applyFill="1" applyBorder="1" applyAlignment="1" applyProtection="1">
      <alignment horizontal="center"/>
    </xf>
    <xf numFmtId="0" fontId="81" fillId="0" borderId="0" xfId="0" applyFont="1" applyFill="1" applyBorder="1" applyAlignment="1" applyProtection="1">
      <alignment horizontal="left"/>
    </xf>
    <xf numFmtId="0" fontId="64" fillId="0" borderId="0" xfId="0" applyFont="1" applyFill="1" applyBorder="1" applyAlignment="1" applyProtection="1">
      <alignment horizontal="center"/>
    </xf>
    <xf numFmtId="0" fontId="27" fillId="0" borderId="0" xfId="0" applyFont="1" applyBorder="1" applyAlignment="1" applyProtection="1">
      <alignment horizontal="right"/>
    </xf>
    <xf numFmtId="0" fontId="0" fillId="0" borderId="53" xfId="0" applyBorder="1" applyAlignment="1" applyProtection="1">
      <alignment horizontal="justify"/>
    </xf>
    <xf numFmtId="0" fontId="0" fillId="0" borderId="53" xfId="0" applyFont="1" applyFill="1" applyBorder="1" applyAlignment="1" applyProtection="1">
      <alignment horizontal="left"/>
    </xf>
    <xf numFmtId="0" fontId="0" fillId="0" borderId="53" xfId="0" applyFont="1" applyBorder="1" applyAlignment="1" applyProtection="1">
      <alignment horizontal="justify"/>
    </xf>
    <xf numFmtId="0" fontId="40" fillId="0" borderId="53" xfId="0" applyFont="1" applyFill="1" applyBorder="1" applyAlignment="1" applyProtection="1">
      <alignment horizontal="right"/>
    </xf>
    <xf numFmtId="0" fontId="27" fillId="0" borderId="0" xfId="0" applyFont="1" applyBorder="1" applyAlignment="1" applyProtection="1">
      <alignment horizontal="left"/>
    </xf>
    <xf numFmtId="0" fontId="0" fillId="0" borderId="0" xfId="0" applyFill="1" applyProtection="1"/>
    <xf numFmtId="0" fontId="60" fillId="0" borderId="0" xfId="0" applyFont="1" applyBorder="1" applyAlignment="1" applyProtection="1">
      <alignment horizontal="left"/>
    </xf>
    <xf numFmtId="0" fontId="59" fillId="0" borderId="0" xfId="0" applyFont="1" applyBorder="1" applyAlignment="1" applyProtection="1">
      <alignment horizontal="left"/>
    </xf>
    <xf numFmtId="0" fontId="41" fillId="0" borderId="0" xfId="0" applyFont="1" applyFill="1" applyAlignment="1" applyProtection="1">
      <alignment horizontal="center"/>
    </xf>
    <xf numFmtId="0" fontId="47" fillId="0" borderId="0" xfId="0" applyFont="1" applyFill="1" applyBorder="1" applyAlignment="1" applyProtection="1">
      <alignment horizontal="center" wrapText="1"/>
    </xf>
    <xf numFmtId="0" fontId="20" fillId="0" borderId="0" xfId="0" applyFont="1" applyBorder="1" applyAlignment="1" applyProtection="1">
      <alignment horizontal="right"/>
    </xf>
    <xf numFmtId="0" fontId="0" fillId="0" borderId="0" xfId="0" applyFont="1" applyBorder="1" applyAlignment="1" applyProtection="1">
      <alignment horizontal="right"/>
    </xf>
    <xf numFmtId="0" fontId="30" fillId="0" borderId="53" xfId="0" applyFont="1" applyFill="1" applyBorder="1" applyAlignment="1" applyProtection="1">
      <alignment horizontal="left"/>
    </xf>
    <xf numFmtId="0" fontId="44" fillId="0" borderId="53" xfId="0" applyFont="1" applyFill="1" applyBorder="1" applyAlignment="1" applyProtection="1">
      <alignment horizontal="center"/>
    </xf>
    <xf numFmtId="0" fontId="83" fillId="20" borderId="0" xfId="0" applyFont="1" applyFill="1" applyBorder="1" applyAlignment="1" applyProtection="1">
      <alignment horizontal="left"/>
    </xf>
    <xf numFmtId="0" fontId="50" fillId="0" borderId="0" xfId="0" applyFont="1" applyBorder="1" applyAlignment="1" applyProtection="1">
      <alignment horizontal="left"/>
    </xf>
    <xf numFmtId="0" fontId="66" fillId="0" borderId="0" xfId="0" applyFont="1" applyBorder="1" applyAlignment="1" applyProtection="1">
      <alignment horizontal="left"/>
    </xf>
    <xf numFmtId="0" fontId="84" fillId="0" borderId="0" xfId="0" applyFont="1" applyBorder="1" applyAlignment="1" applyProtection="1">
      <alignment horizontal="left"/>
    </xf>
    <xf numFmtId="0" fontId="41" fillId="0" borderId="0" xfId="0" applyFont="1" applyFill="1" applyBorder="1" applyAlignment="1" applyProtection="1">
      <alignment horizontal="center"/>
    </xf>
    <xf numFmtId="0" fontId="84" fillId="0" borderId="0" xfId="0" applyFont="1" applyAlignment="1" applyProtection="1">
      <alignment horizontal="left"/>
    </xf>
    <xf numFmtId="0" fontId="85" fillId="0" borderId="0" xfId="0" applyFont="1" applyFill="1" applyBorder="1" applyAlignment="1" applyProtection="1">
      <alignment horizontal="left" wrapText="1"/>
    </xf>
    <xf numFmtId="0" fontId="84" fillId="0" borderId="0" xfId="0" applyFont="1" applyFill="1" applyBorder="1" applyAlignment="1" applyProtection="1">
      <alignment horizontal="left"/>
    </xf>
    <xf numFmtId="0" fontId="66" fillId="0" borderId="0" xfId="0" applyFont="1" applyFill="1" applyBorder="1" applyAlignment="1" applyProtection="1">
      <alignment horizontal="left"/>
    </xf>
    <xf numFmtId="0" fontId="86" fillId="0" borderId="0" xfId="0" applyFont="1" applyBorder="1" applyAlignment="1" applyProtection="1">
      <alignment horizontal="left"/>
    </xf>
    <xf numFmtId="0" fontId="87" fillId="0" borderId="0" xfId="0" applyFont="1" applyBorder="1" applyAlignment="1" applyProtection="1">
      <alignment horizontal="left"/>
    </xf>
    <xf numFmtId="0" fontId="20" fillId="0" borderId="0" xfId="0" applyFont="1" applyBorder="1" applyAlignment="1" applyProtection="1">
      <alignment horizontal="left"/>
    </xf>
    <xf numFmtId="0" fontId="44" fillId="0" borderId="0" xfId="0" applyFont="1" applyFill="1" applyBorder="1" applyAlignment="1" applyProtection="1">
      <alignment horizontal="left"/>
    </xf>
    <xf numFmtId="0" fontId="47" fillId="0" borderId="0" xfId="0" applyFont="1" applyBorder="1" applyAlignment="1" applyProtection="1">
      <alignment horizontal="center"/>
    </xf>
    <xf numFmtId="0" fontId="88" fillId="0" borderId="0" xfId="0" applyFont="1" applyFill="1" applyBorder="1" applyAlignment="1" applyProtection="1">
      <alignment horizontal="left"/>
    </xf>
    <xf numFmtId="0" fontId="51" fillId="0" borderId="0" xfId="0" applyFont="1" applyFill="1" applyBorder="1" applyAlignment="1" applyProtection="1">
      <alignment horizontal="left"/>
    </xf>
    <xf numFmtId="0" fontId="80" fillId="0" borderId="0" xfId="0" applyFont="1" applyFill="1" applyBorder="1" applyAlignment="1" applyProtection="1">
      <alignment horizontal="left"/>
    </xf>
    <xf numFmtId="0" fontId="49" fillId="0" borderId="0" xfId="0" applyFont="1" applyFill="1" applyBorder="1" applyAlignment="1" applyProtection="1">
      <alignment horizontal="left"/>
    </xf>
    <xf numFmtId="0" fontId="80" fillId="0" borderId="0" xfId="0" applyFont="1" applyFill="1" applyBorder="1" applyAlignment="1" applyProtection="1">
      <alignment horizontal="center"/>
    </xf>
    <xf numFmtId="0" fontId="89" fillId="0" borderId="0" xfId="0" applyFont="1" applyAlignment="1" applyProtection="1">
      <alignment horizontal="left"/>
    </xf>
    <xf numFmtId="0" fontId="89" fillId="0" borderId="0" xfId="0" applyFont="1" applyProtection="1"/>
    <xf numFmtId="0" fontId="38" fillId="0" borderId="53" xfId="0" applyFont="1" applyFill="1" applyBorder="1" applyAlignment="1" applyProtection="1">
      <alignment horizontal="center"/>
    </xf>
    <xf numFmtId="0" fontId="0" fillId="0" borderId="53" xfId="0" applyFill="1" applyBorder="1" applyAlignment="1" applyProtection="1">
      <alignment horizontal="right"/>
    </xf>
    <xf numFmtId="0" fontId="42" fillId="0" borderId="62" xfId="0" applyFont="1" applyFill="1" applyBorder="1" applyAlignment="1" applyProtection="1">
      <alignment horizontal="center"/>
    </xf>
    <xf numFmtId="0" fontId="43" fillId="0" borderId="62" xfId="0" applyFont="1" applyFill="1" applyBorder="1" applyAlignment="1" applyProtection="1">
      <alignment horizontal="left"/>
    </xf>
    <xf numFmtId="0" fontId="0" fillId="0" borderId="62" xfId="0" applyBorder="1" applyAlignment="1" applyProtection="1">
      <alignment horizontal="justify"/>
    </xf>
    <xf numFmtId="0" fontId="30" fillId="0" borderId="0" xfId="0" applyFont="1" applyAlignment="1" applyProtection="1">
      <alignment horizontal="left"/>
    </xf>
    <xf numFmtId="0" fontId="88" fillId="0" borderId="0" xfId="0" applyFont="1" applyFill="1" applyBorder="1" applyAlignment="1" applyProtection="1">
      <alignment horizontal="center"/>
    </xf>
    <xf numFmtId="0" fontId="49" fillId="0" borderId="0" xfId="0" applyFont="1" applyFill="1" applyBorder="1" applyAlignment="1" applyProtection="1">
      <alignment horizontal="justify"/>
    </xf>
    <xf numFmtId="0" fontId="51" fillId="0" borderId="53" xfId="0" applyFont="1" applyFill="1" applyBorder="1" applyAlignment="1" applyProtection="1">
      <alignment horizontal="left"/>
    </xf>
    <xf numFmtId="0" fontId="53" fillId="0" borderId="0" xfId="0" applyFont="1" applyFill="1" applyBorder="1" applyAlignment="1" applyProtection="1">
      <alignment horizontal="center"/>
    </xf>
    <xf numFmtId="9" fontId="20" fillId="0" borderId="0" xfId="1" applyFont="1" applyFill="1" applyBorder="1" applyAlignment="1" applyProtection="1">
      <alignment horizontal="center"/>
    </xf>
    <xf numFmtId="0" fontId="25" fillId="0" borderId="53" xfId="0" applyFont="1" applyFill="1" applyBorder="1" applyAlignment="1" applyProtection="1">
      <alignment horizontal="right"/>
    </xf>
    <xf numFmtId="0" fontId="30" fillId="0" borderId="61" xfId="0" applyFont="1" applyFill="1" applyBorder="1" applyAlignment="1" applyProtection="1">
      <alignment horizontal="right"/>
    </xf>
    <xf numFmtId="0" fontId="30" fillId="0" borderId="61" xfId="0" applyFont="1" applyFill="1" applyBorder="1" applyAlignment="1" applyProtection="1">
      <alignment horizontal="center"/>
    </xf>
    <xf numFmtId="0" fontId="30" fillId="0" borderId="61" xfId="0" applyFont="1" applyFill="1" applyBorder="1" applyAlignment="1" applyProtection="1">
      <alignment horizontal="left"/>
    </xf>
    <xf numFmtId="0" fontId="0" fillId="0" borderId="61" xfId="0" applyFont="1" applyFill="1" applyBorder="1" applyAlignment="1" applyProtection="1">
      <alignment horizontal="left"/>
    </xf>
    <xf numFmtId="0" fontId="30" fillId="0" borderId="0" xfId="0" applyFont="1" applyFill="1" applyBorder="1" applyAlignment="1" applyProtection="1">
      <alignment horizontal="right"/>
    </xf>
    <xf numFmtId="9" fontId="0" fillId="0" borderId="0" xfId="1" applyFont="1" applyFill="1" applyAlignment="1" applyProtection="1">
      <alignment horizontal="center"/>
    </xf>
    <xf numFmtId="0" fontId="90" fillId="0" borderId="0" xfId="0" applyFont="1" applyFill="1" applyAlignment="1" applyProtection="1">
      <alignment horizontal="center"/>
    </xf>
    <xf numFmtId="0" fontId="91" fillId="0" borderId="0" xfId="0" applyFont="1" applyFill="1" applyAlignment="1">
      <alignment vertical="center"/>
    </xf>
    <xf numFmtId="0" fontId="92" fillId="0" borderId="0" xfId="0" applyFont="1" applyFill="1" applyAlignment="1">
      <alignment vertical="center"/>
    </xf>
    <xf numFmtId="0" fontId="94" fillId="0" borderId="1" xfId="0" applyFont="1" applyFill="1" applyBorder="1" applyAlignment="1">
      <alignment horizontal="center" vertical="center"/>
    </xf>
    <xf numFmtId="0" fontId="94" fillId="0" borderId="46" xfId="0" applyFont="1" applyFill="1" applyBorder="1" applyAlignment="1">
      <alignment horizontal="center" vertical="center"/>
    </xf>
    <xf numFmtId="0" fontId="91" fillId="0" borderId="0" xfId="0" applyFont="1" applyFill="1" applyAlignment="1">
      <alignment horizontal="center" vertical="center"/>
    </xf>
    <xf numFmtId="0" fontId="91" fillId="0" borderId="39" xfId="0" applyFont="1" applyFill="1" applyBorder="1" applyAlignment="1">
      <alignment horizontal="center" vertical="center"/>
    </xf>
    <xf numFmtId="177" fontId="91" fillId="0" borderId="1" xfId="0" applyNumberFormat="1" applyFont="1" applyFill="1" applyBorder="1" applyAlignment="1">
      <alignment horizontal="center" vertical="center"/>
    </xf>
    <xf numFmtId="0" fontId="91" fillId="0" borderId="1" xfId="0" applyFont="1" applyFill="1" applyBorder="1" applyAlignment="1">
      <alignment horizontal="center" vertical="center"/>
    </xf>
    <xf numFmtId="177" fontId="91" fillId="0" borderId="46" xfId="0" applyNumberFormat="1" applyFont="1" applyFill="1" applyBorder="1" applyAlignment="1">
      <alignment horizontal="center" vertical="center"/>
    </xf>
    <xf numFmtId="177" fontId="91" fillId="0" borderId="0" xfId="0" applyNumberFormat="1" applyFont="1" applyFill="1" applyAlignment="1">
      <alignment horizontal="center" vertical="center"/>
    </xf>
    <xf numFmtId="0" fontId="91" fillId="0" borderId="40" xfId="0" applyFont="1" applyFill="1" applyBorder="1" applyAlignment="1">
      <alignment horizontal="center" vertical="center"/>
    </xf>
    <xf numFmtId="0" fontId="91" fillId="0" borderId="47" xfId="0" applyFont="1" applyFill="1" applyBorder="1" applyAlignment="1">
      <alignment horizontal="center" vertical="center"/>
    </xf>
    <xf numFmtId="0" fontId="91" fillId="0" borderId="48" xfId="0" applyFont="1" applyFill="1" applyBorder="1" applyAlignment="1">
      <alignment horizontal="center" vertical="center"/>
    </xf>
    <xf numFmtId="0" fontId="69" fillId="0" borderId="0" xfId="0" applyFont="1" applyFill="1" applyAlignment="1">
      <alignment horizontal="center" vertical="center"/>
    </xf>
    <xf numFmtId="0" fontId="69" fillId="0" borderId="4" xfId="0" applyFont="1" applyFill="1" applyBorder="1" applyAlignment="1">
      <alignment vertical="center"/>
    </xf>
    <xf numFmtId="0" fontId="96" fillId="0" borderId="61" xfId="0" applyFont="1" applyFill="1" applyBorder="1" applyAlignment="1">
      <alignment horizontal="center" vertical="center"/>
    </xf>
    <xf numFmtId="0" fontId="96" fillId="0" borderId="61" xfId="0" applyFont="1" applyFill="1" applyBorder="1" applyAlignment="1">
      <alignment horizontal="left" vertical="center"/>
    </xf>
    <xf numFmtId="0" fontId="96" fillId="0" borderId="61" xfId="0" applyFont="1" applyFill="1" applyBorder="1" applyAlignment="1">
      <alignment vertical="center"/>
    </xf>
    <xf numFmtId="0" fontId="69" fillId="0" borderId="61" xfId="0" applyFont="1" applyFill="1" applyBorder="1" applyAlignment="1">
      <alignment vertical="center"/>
    </xf>
    <xf numFmtId="0" fontId="96" fillId="0" borderId="56" xfId="0" applyFont="1" applyFill="1" applyBorder="1" applyAlignment="1">
      <alignment vertical="center"/>
    </xf>
    <xf numFmtId="0" fontId="96" fillId="0" borderId="55" xfId="0" applyFont="1" applyFill="1" applyBorder="1" applyAlignment="1">
      <alignment horizontal="center" vertical="center"/>
    </xf>
    <xf numFmtId="0" fontId="96" fillId="0" borderId="0" xfId="0" applyFont="1" applyFill="1" applyBorder="1" applyAlignment="1">
      <alignment horizontal="center" vertical="center"/>
    </xf>
    <xf numFmtId="0" fontId="96" fillId="0" borderId="0" xfId="0" applyFont="1" applyFill="1" applyBorder="1" applyAlignment="1">
      <alignment horizontal="left" vertical="center"/>
    </xf>
    <xf numFmtId="0" fontId="96" fillId="0" borderId="0" xfId="0" applyFont="1" applyFill="1" applyBorder="1" applyAlignment="1">
      <alignment vertical="center"/>
    </xf>
    <xf numFmtId="0" fontId="96" fillId="0" borderId="58" xfId="0" applyFont="1" applyFill="1" applyBorder="1" applyAlignment="1">
      <alignment vertical="center"/>
    </xf>
    <xf numFmtId="0" fontId="96" fillId="0" borderId="57" xfId="0" applyFont="1" applyFill="1" applyBorder="1" applyAlignment="1">
      <alignment horizontal="center" vertical="center"/>
    </xf>
    <xf numFmtId="0" fontId="91" fillId="0" borderId="4" xfId="0" applyFont="1" applyFill="1" applyBorder="1" applyAlignment="1">
      <alignment horizontal="left" vertical="center"/>
    </xf>
    <xf numFmtId="0" fontId="91" fillId="0" borderId="0" xfId="0" applyFont="1" applyFill="1" applyBorder="1" applyAlignment="1">
      <alignment horizontal="center" vertical="center"/>
    </xf>
    <xf numFmtId="0" fontId="91" fillId="0" borderId="0" xfId="0" applyFont="1" applyFill="1" applyBorder="1" applyAlignment="1">
      <alignment horizontal="left" vertical="center"/>
    </xf>
    <xf numFmtId="0" fontId="97" fillId="0" borderId="0" xfId="0" applyFont="1" applyFill="1" applyBorder="1" applyAlignment="1">
      <alignment vertical="center"/>
    </xf>
    <xf numFmtId="0" fontId="69" fillId="0" borderId="58" xfId="0" applyFont="1" applyFill="1" applyBorder="1" applyAlignment="1">
      <alignment vertical="center"/>
    </xf>
    <xf numFmtId="0" fontId="69" fillId="0" borderId="57" xfId="0" applyFont="1" applyFill="1" applyBorder="1" applyAlignment="1">
      <alignment vertical="center"/>
    </xf>
    <xf numFmtId="0" fontId="91" fillId="0" borderId="4" xfId="0" applyFont="1" applyFill="1" applyBorder="1" applyAlignment="1">
      <alignment vertical="center"/>
    </xf>
    <xf numFmtId="0" fontId="91" fillId="0" borderId="0" xfId="0" applyFont="1" applyFill="1" applyBorder="1" applyAlignment="1">
      <alignment vertical="center"/>
    </xf>
    <xf numFmtId="0" fontId="97" fillId="0" borderId="58" xfId="0" applyFont="1" applyFill="1" applyBorder="1" applyAlignment="1">
      <alignment vertical="center"/>
    </xf>
    <xf numFmtId="0" fontId="91" fillId="0" borderId="57" xfId="0" applyFont="1" applyFill="1" applyBorder="1" applyAlignment="1">
      <alignment vertical="center"/>
    </xf>
    <xf numFmtId="0" fontId="91" fillId="0" borderId="57" xfId="0" applyFont="1" applyFill="1" applyBorder="1" applyAlignment="1">
      <alignment horizontal="left" vertical="center"/>
    </xf>
    <xf numFmtId="0" fontId="91" fillId="0" borderId="98" xfId="0" applyFont="1" applyFill="1" applyBorder="1" applyAlignment="1">
      <alignment vertical="center"/>
    </xf>
    <xf numFmtId="0" fontId="97" fillId="0" borderId="53" xfId="0" applyFont="1" applyFill="1" applyBorder="1" applyAlignment="1">
      <alignment vertical="center"/>
    </xf>
    <xf numFmtId="0" fontId="97" fillId="0" borderId="60" xfId="0" applyFont="1" applyFill="1" applyBorder="1" applyAlignment="1">
      <alignment vertical="center"/>
    </xf>
    <xf numFmtId="0" fontId="97" fillId="0" borderId="59" xfId="0" applyFont="1" applyFill="1" applyBorder="1" applyAlignment="1">
      <alignment vertical="center"/>
    </xf>
    <xf numFmtId="0" fontId="97" fillId="0" borderId="4" xfId="0" applyFont="1" applyFill="1" applyBorder="1" applyAlignment="1">
      <alignment vertical="center"/>
    </xf>
    <xf numFmtId="0" fontId="98" fillId="0" borderId="4" xfId="0" applyFont="1" applyFill="1" applyBorder="1" applyAlignment="1">
      <alignment vertical="center"/>
    </xf>
    <xf numFmtId="0" fontId="91" fillId="22" borderId="1" xfId="0" applyFont="1" applyFill="1" applyBorder="1" applyAlignment="1">
      <alignment horizontal="center" vertical="center"/>
    </xf>
    <xf numFmtId="0" fontId="69" fillId="22" borderId="1" xfId="0" applyFont="1" applyFill="1" applyBorder="1" applyAlignment="1">
      <alignment vertical="center"/>
    </xf>
    <xf numFmtId="0" fontId="99" fillId="0" borderId="1" xfId="0" applyFont="1" applyFill="1" applyBorder="1" applyAlignment="1">
      <alignment horizontal="center" vertical="center"/>
    </xf>
    <xf numFmtId="0" fontId="91" fillId="0" borderId="22" xfId="0" applyFont="1" applyFill="1" applyBorder="1" applyAlignment="1">
      <alignment vertical="center"/>
    </xf>
    <xf numFmtId="0" fontId="91" fillId="0" borderId="23" xfId="0" applyFont="1" applyFill="1" applyBorder="1" applyAlignment="1">
      <alignment vertical="center"/>
    </xf>
    <xf numFmtId="0" fontId="97" fillId="0" borderId="0" xfId="0" applyFont="1" applyFill="1" applyAlignment="1">
      <alignment vertical="center"/>
    </xf>
    <xf numFmtId="0" fontId="69" fillId="0" borderId="30" xfId="0" applyFont="1" applyFill="1" applyBorder="1" applyAlignment="1">
      <alignment vertical="center"/>
    </xf>
    <xf numFmtId="0" fontId="69" fillId="0" borderId="99" xfId="0" applyFont="1" applyFill="1" applyBorder="1" applyAlignment="1">
      <alignment vertical="center"/>
    </xf>
    <xf numFmtId="0" fontId="96" fillId="0" borderId="0" xfId="0" applyFont="1" applyFill="1" applyBorder="1" applyAlignment="1">
      <alignment horizontal="right" vertical="center"/>
    </xf>
    <xf numFmtId="0" fontId="69" fillId="0" borderId="100" xfId="0" applyFont="1" applyFill="1" applyBorder="1" applyAlignment="1">
      <alignment vertical="center"/>
    </xf>
    <xf numFmtId="0" fontId="100" fillId="0" borderId="1" xfId="0" applyFont="1" applyFill="1" applyBorder="1" applyAlignment="1">
      <alignment horizontal="center" vertical="center"/>
    </xf>
    <xf numFmtId="0" fontId="91" fillId="21" borderId="1" xfId="0" applyFont="1" applyFill="1" applyBorder="1" applyAlignment="1">
      <alignment horizontal="center" vertical="center"/>
    </xf>
    <xf numFmtId="0" fontId="91" fillId="21" borderId="46" xfId="0" applyFont="1" applyFill="1" applyBorder="1" applyAlignment="1">
      <alignment horizontal="center" vertical="center"/>
    </xf>
    <xf numFmtId="0" fontId="91" fillId="0" borderId="46" xfId="0" applyFont="1" applyFill="1" applyBorder="1" applyAlignment="1">
      <alignment horizontal="center" vertical="center"/>
    </xf>
    <xf numFmtId="0" fontId="91" fillId="10" borderId="1" xfId="0" applyFont="1" applyFill="1" applyBorder="1" applyAlignment="1">
      <alignment horizontal="center" vertical="center"/>
    </xf>
    <xf numFmtId="0" fontId="97" fillId="10" borderId="46" xfId="0" applyFont="1" applyFill="1" applyBorder="1" applyAlignment="1">
      <alignment horizontal="center" vertical="center"/>
    </xf>
    <xf numFmtId="0" fontId="97" fillId="0" borderId="23" xfId="0" applyFont="1" applyFill="1" applyBorder="1" applyAlignment="1">
      <alignment vertical="center"/>
    </xf>
    <xf numFmtId="0" fontId="69" fillId="0" borderId="35" xfId="0" applyFont="1" applyFill="1" applyBorder="1" applyAlignment="1">
      <alignment vertical="center"/>
    </xf>
    <xf numFmtId="0" fontId="0" fillId="0" borderId="0" xfId="0" applyAlignment="1">
      <alignment horizontal="center" vertical="center"/>
    </xf>
    <xf numFmtId="0" fontId="23" fillId="0" borderId="1" xfId="0" applyFont="1" applyBorder="1" applyAlignment="1">
      <alignment horizontal="center" vertical="center"/>
    </xf>
    <xf numFmtId="0" fontId="23" fillId="0" borderId="69" xfId="0" applyFont="1"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20" fillId="0" borderId="68" xfId="0" applyFont="1" applyBorder="1" applyAlignment="1">
      <alignment horizontal="center" vertical="center"/>
    </xf>
    <xf numFmtId="178" fontId="0" fillId="0" borderId="1" xfId="0" applyNumberFormat="1" applyBorder="1" applyAlignment="1">
      <alignment horizontal="center" vertical="center"/>
    </xf>
    <xf numFmtId="178" fontId="0" fillId="0" borderId="69" xfId="0" applyNumberFormat="1" applyBorder="1" applyAlignment="1">
      <alignment horizontal="center" vertical="center"/>
    </xf>
    <xf numFmtId="0" fontId="20" fillId="0" borderId="69" xfId="0" applyFont="1"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0" fillId="0" borderId="72" xfId="0" applyBorder="1" applyAlignment="1">
      <alignment horizontal="center" vertical="center"/>
    </xf>
    <xf numFmtId="0" fontId="20" fillId="0" borderId="70" xfId="0" applyFont="1" applyBorder="1" applyAlignment="1">
      <alignment horizontal="center" vertical="center"/>
    </xf>
    <xf numFmtId="0" fontId="20" fillId="0" borderId="72" xfId="0" applyFont="1" applyBorder="1" applyAlignment="1">
      <alignment horizontal="center" vertical="center"/>
    </xf>
    <xf numFmtId="0" fontId="0" fillId="0" borderId="0" xfId="0" applyFont="1" applyAlignment="1">
      <alignment horizontal="center" vertical="center"/>
    </xf>
    <xf numFmtId="0" fontId="0" fillId="0" borderId="68" xfId="0" applyFont="1" applyBorder="1" applyAlignment="1">
      <alignment horizontal="center" vertical="center"/>
    </xf>
    <xf numFmtId="0" fontId="0" fillId="0" borderId="1" xfId="0" applyFont="1" applyBorder="1" applyAlignment="1">
      <alignment horizontal="center" vertical="center"/>
    </xf>
    <xf numFmtId="0" fontId="0" fillId="0" borderId="69" xfId="0" applyFont="1" applyBorder="1" applyAlignment="1">
      <alignment horizontal="center" vertical="center"/>
    </xf>
    <xf numFmtId="0" fontId="25" fillId="0" borderId="68" xfId="0" applyFont="1" applyBorder="1" applyAlignment="1">
      <alignment horizontal="center" vertical="center"/>
    </xf>
    <xf numFmtId="178" fontId="25" fillId="0" borderId="1" xfId="0" applyNumberFormat="1" applyFont="1" applyBorder="1" applyAlignment="1">
      <alignment horizontal="center" vertical="center"/>
    </xf>
    <xf numFmtId="176" fontId="25" fillId="0" borderId="69" xfId="0" applyNumberFormat="1" applyFont="1" applyBorder="1" applyAlignment="1">
      <alignment horizontal="center" vertical="center"/>
    </xf>
    <xf numFmtId="0" fontId="25" fillId="0" borderId="70" xfId="0" applyFont="1" applyBorder="1" applyAlignment="1">
      <alignment horizontal="center" vertical="center"/>
    </xf>
    <xf numFmtId="178" fontId="25" fillId="0" borderId="71" xfId="0" applyNumberFormat="1" applyFont="1" applyBorder="1" applyAlignment="1">
      <alignment horizontal="center" vertical="center"/>
    </xf>
    <xf numFmtId="0" fontId="25" fillId="0" borderId="71" xfId="0" applyFont="1" applyBorder="1" applyAlignment="1">
      <alignment horizontal="center" vertical="center"/>
    </xf>
    <xf numFmtId="176" fontId="25" fillId="0" borderId="72" xfId="0" applyNumberFormat="1" applyFont="1" applyBorder="1" applyAlignment="1">
      <alignment horizontal="center" vertical="center"/>
    </xf>
    <xf numFmtId="0" fontId="25" fillId="0" borderId="69" xfId="0" applyFont="1" applyBorder="1" applyAlignment="1">
      <alignment horizontal="center" vertical="center"/>
    </xf>
    <xf numFmtId="49" fontId="20" fillId="0" borderId="68" xfId="0" applyNumberFormat="1" applyFont="1" applyBorder="1" applyAlignment="1">
      <alignment horizontal="center" vertical="center"/>
    </xf>
    <xf numFmtId="178" fontId="0" fillId="0" borderId="1" xfId="0" applyNumberFormat="1" applyFont="1" applyBorder="1" applyAlignment="1">
      <alignment horizontal="center" vertical="center"/>
    </xf>
    <xf numFmtId="178" fontId="0" fillId="0" borderId="69" xfId="0" applyNumberFormat="1" applyFont="1" applyBorder="1" applyAlignment="1">
      <alignment horizontal="center" vertical="center"/>
    </xf>
    <xf numFmtId="0" fontId="25" fillId="0" borderId="72" xfId="0" applyFont="1" applyBorder="1" applyAlignment="1">
      <alignment horizontal="center" vertical="center"/>
    </xf>
    <xf numFmtId="49" fontId="20" fillId="0" borderId="70" xfId="0" applyNumberFormat="1" applyFont="1" applyBorder="1" applyAlignment="1">
      <alignment horizontal="center" vertical="center"/>
    </xf>
    <xf numFmtId="178" fontId="0" fillId="0" borderId="71" xfId="0" applyNumberFormat="1" applyFont="1" applyBorder="1" applyAlignment="1">
      <alignment horizontal="center" vertical="center"/>
    </xf>
    <xf numFmtId="178" fontId="0" fillId="0" borderId="72" xfId="0" applyNumberFormat="1" applyFont="1" applyBorder="1" applyAlignment="1">
      <alignment horizontal="center" vertical="center"/>
    </xf>
    <xf numFmtId="176" fontId="0" fillId="0" borderId="1" xfId="0" applyNumberFormat="1" applyBorder="1" applyAlignment="1">
      <alignment horizontal="center" vertical="center"/>
    </xf>
    <xf numFmtId="176" fontId="0" fillId="0" borderId="69" xfId="0" applyNumberFormat="1" applyBorder="1" applyAlignment="1">
      <alignment horizontal="center" vertical="center"/>
    </xf>
    <xf numFmtId="178" fontId="0" fillId="0" borderId="71" xfId="0" applyNumberFormat="1" applyBorder="1" applyAlignment="1">
      <alignment horizontal="center" vertical="center"/>
    </xf>
    <xf numFmtId="176" fontId="0" fillId="0" borderId="71" xfId="0" applyNumberFormat="1" applyBorder="1" applyAlignment="1">
      <alignment horizontal="center" vertical="center"/>
    </xf>
    <xf numFmtId="176" fontId="0" fillId="0" borderId="72" xfId="0" applyNumberFormat="1" applyBorder="1" applyAlignment="1">
      <alignment horizontal="center" vertical="center"/>
    </xf>
    <xf numFmtId="49" fontId="0" fillId="0" borderId="0" xfId="0" applyNumberFormat="1" applyAlignment="1">
      <alignment horizontal="center" vertical="center"/>
    </xf>
    <xf numFmtId="0" fontId="0" fillId="2" borderId="1" xfId="0" applyFont="1" applyFill="1" applyBorder="1" applyAlignment="1">
      <alignment horizontal="center" vertical="center"/>
    </xf>
    <xf numFmtId="0" fontId="0" fillId="2" borderId="69" xfId="0" applyFont="1" applyFill="1" applyBorder="1" applyAlignment="1">
      <alignment horizontal="center" vertical="center"/>
    </xf>
    <xf numFmtId="0" fontId="0" fillId="25" borderId="1" xfId="0" applyFont="1" applyFill="1" applyBorder="1" applyAlignment="1">
      <alignment horizontal="center" vertical="center"/>
    </xf>
    <xf numFmtId="0" fontId="0" fillId="25" borderId="69" xfId="0" applyFont="1" applyFill="1" applyBorder="1" applyAlignment="1">
      <alignment horizontal="center" vertical="center"/>
    </xf>
    <xf numFmtId="0" fontId="25" fillId="0" borderId="68" xfId="0" applyFont="1" applyBorder="1" applyAlignment="1">
      <alignment horizontal="left" vertical="center"/>
    </xf>
    <xf numFmtId="179" fontId="25" fillId="0" borderId="1" xfId="0" applyNumberFormat="1" applyFont="1" applyBorder="1" applyAlignment="1">
      <alignment horizontal="left" vertical="center"/>
    </xf>
    <xf numFmtId="176" fontId="25" fillId="0" borderId="1" xfId="0" applyNumberFormat="1" applyFont="1" applyBorder="1" applyAlignment="1">
      <alignment horizontal="left" vertical="center"/>
    </xf>
    <xf numFmtId="176" fontId="25" fillId="0" borderId="69" xfId="0" applyNumberFormat="1" applyFont="1" applyBorder="1" applyAlignment="1">
      <alignment horizontal="left" vertical="center"/>
    </xf>
    <xf numFmtId="178" fontId="25" fillId="0" borderId="1" xfId="0" applyNumberFormat="1" applyFont="1" applyBorder="1" applyAlignment="1">
      <alignment horizontal="left" vertical="center"/>
    </xf>
    <xf numFmtId="0" fontId="25" fillId="0" borderId="1" xfId="0" applyFont="1" applyBorder="1" applyAlignment="1">
      <alignment horizontal="left" vertical="center"/>
    </xf>
    <xf numFmtId="0" fontId="25" fillId="0" borderId="69" xfId="0" applyFont="1" applyBorder="1" applyAlignment="1">
      <alignment horizontal="left" vertical="center"/>
    </xf>
    <xf numFmtId="49" fontId="25" fillId="0" borderId="68" xfId="0" applyNumberFormat="1" applyFont="1" applyBorder="1" applyAlignment="1">
      <alignment horizontal="left" vertical="center"/>
    </xf>
    <xf numFmtId="49" fontId="52" fillId="0" borderId="68" xfId="0" applyNumberFormat="1" applyFont="1" applyBorder="1" applyAlignment="1">
      <alignment horizontal="left" vertical="center"/>
    </xf>
    <xf numFmtId="0" fontId="25" fillId="0" borderId="70" xfId="0" applyFont="1" applyBorder="1" applyAlignment="1">
      <alignment horizontal="left" vertical="center"/>
    </xf>
    <xf numFmtId="179" fontId="25" fillId="0" borderId="71" xfId="0" applyNumberFormat="1" applyFont="1" applyBorder="1" applyAlignment="1">
      <alignment horizontal="left" vertical="center"/>
    </xf>
    <xf numFmtId="176" fontId="25" fillId="0" borderId="71" xfId="0" applyNumberFormat="1" applyFont="1" applyBorder="1" applyAlignment="1">
      <alignment horizontal="left" vertical="center"/>
    </xf>
    <xf numFmtId="176" fontId="25" fillId="0" borderId="72" xfId="0" applyNumberFormat="1" applyFont="1" applyBorder="1" applyAlignment="1">
      <alignment horizontal="left" vertical="center"/>
    </xf>
    <xf numFmtId="49" fontId="25" fillId="0" borderId="70" xfId="0" applyNumberFormat="1" applyFont="1" applyBorder="1" applyAlignment="1">
      <alignment horizontal="left" vertical="center"/>
    </xf>
    <xf numFmtId="0" fontId="25" fillId="0" borderId="71" xfId="0" applyFont="1" applyBorder="1" applyAlignment="1">
      <alignment horizontal="left" vertical="center"/>
    </xf>
    <xf numFmtId="0" fontId="25" fillId="0" borderId="72" xfId="0" applyFont="1" applyBorder="1" applyAlignment="1">
      <alignment horizontal="left" vertical="center"/>
    </xf>
    <xf numFmtId="0" fontId="0" fillId="0" borderId="93" xfId="0" applyFont="1" applyBorder="1" applyAlignment="1">
      <alignment horizontal="center" vertical="center"/>
    </xf>
    <xf numFmtId="176" fontId="0" fillId="0" borderId="1" xfId="0" applyNumberFormat="1" applyFont="1" applyBorder="1" applyAlignment="1">
      <alignment horizontal="center" vertical="center"/>
    </xf>
    <xf numFmtId="176" fontId="0" fillId="0" borderId="93" xfId="0" applyNumberFormat="1" applyFont="1" applyBorder="1" applyAlignment="1">
      <alignment horizontal="center" vertical="center"/>
    </xf>
    <xf numFmtId="176" fontId="0" fillId="0" borderId="93" xfId="0" applyNumberFormat="1" applyBorder="1" applyAlignment="1">
      <alignment horizontal="center" vertical="center"/>
    </xf>
    <xf numFmtId="0" fontId="0" fillId="0" borderId="93" xfId="0" applyBorder="1" applyAlignment="1">
      <alignment horizontal="center" vertical="center"/>
    </xf>
    <xf numFmtId="0" fontId="20" fillId="0" borderId="73" xfId="0" applyFont="1" applyBorder="1" applyAlignment="1">
      <alignment horizontal="center" vertical="center"/>
    </xf>
    <xf numFmtId="178" fontId="0" fillId="0" borderId="74" xfId="0" applyNumberFormat="1" applyBorder="1" applyAlignment="1">
      <alignment horizontal="center" vertical="center"/>
    </xf>
    <xf numFmtId="176" fontId="0" fillId="0" borderId="74" xfId="0" applyNumberFormat="1" applyBorder="1" applyAlignment="1">
      <alignment horizontal="center" vertical="center"/>
    </xf>
    <xf numFmtId="0" fontId="0" fillId="0" borderId="55" xfId="0"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102" xfId="0" applyBorder="1" applyAlignment="1">
      <alignment horizontal="center" vertical="center"/>
    </xf>
    <xf numFmtId="0" fontId="0" fillId="0" borderId="75" xfId="0" applyBorder="1" applyAlignment="1">
      <alignment horizontal="center" vertical="center"/>
    </xf>
    <xf numFmtId="0" fontId="15" fillId="0" borderId="0" xfId="0" applyFont="1" applyFill="1" applyAlignment="1">
      <alignment vertical="center"/>
    </xf>
    <xf numFmtId="0" fontId="15" fillId="0" borderId="1" xfId="0" applyFont="1" applyFill="1" applyBorder="1" applyAlignment="1">
      <alignment horizontal="center" vertical="center"/>
    </xf>
    <xf numFmtId="0" fontId="15" fillId="14" borderId="1" xfId="0" applyFont="1" applyFill="1" applyBorder="1" applyAlignment="1">
      <alignment horizontal="center" vertical="center"/>
    </xf>
    <xf numFmtId="0" fontId="107" fillId="8" borderId="1" xfId="0" applyFont="1" applyFill="1" applyBorder="1" applyAlignment="1">
      <alignment horizontal="center" vertical="center"/>
    </xf>
    <xf numFmtId="0" fontId="107" fillId="7" borderId="1" xfId="0" applyFont="1" applyFill="1" applyBorder="1" applyAlignment="1">
      <alignment horizontal="center" vertical="center"/>
    </xf>
    <xf numFmtId="0" fontId="15" fillId="0" borderId="0" xfId="0" applyFont="1" applyFill="1" applyAlignment="1">
      <alignment horizontal="center" vertical="center"/>
    </xf>
    <xf numFmtId="0" fontId="0" fillId="0" borderId="0" xfId="0" applyFont="1" applyFill="1" applyAlignment="1">
      <alignment horizontal="center" vertical="center"/>
    </xf>
    <xf numFmtId="0" fontId="23" fillId="0" borderId="0" xfId="0" applyFont="1" applyFill="1" applyAlignment="1">
      <alignment horizontal="center" vertical="center"/>
    </xf>
    <xf numFmtId="0" fontId="0" fillId="0" borderId="1" xfId="0" applyFont="1" applyFill="1" applyBorder="1" applyAlignment="1">
      <alignment horizontal="center" vertical="center"/>
    </xf>
    <xf numFmtId="0" fontId="23" fillId="17" borderId="1" xfId="0" applyFont="1" applyFill="1" applyBorder="1" applyAlignment="1">
      <alignment horizontal="center" vertical="center"/>
    </xf>
    <xf numFmtId="0" fontId="23" fillId="20" borderId="1" xfId="0" applyFont="1" applyFill="1" applyBorder="1" applyAlignment="1">
      <alignment horizontal="center" vertical="center"/>
    </xf>
    <xf numFmtId="0" fontId="23" fillId="0" borderId="0" xfId="0" applyFont="1" applyFill="1" applyAlignment="1">
      <alignment vertical="center"/>
    </xf>
    <xf numFmtId="178" fontId="23" fillId="0" borderId="0" xfId="0" applyNumberFormat="1" applyFont="1" applyFill="1" applyAlignment="1">
      <alignment horizontal="center" vertical="center"/>
    </xf>
    <xf numFmtId="0" fontId="23" fillId="0" borderId="1" xfId="0" applyFont="1" applyFill="1" applyBorder="1" applyAlignment="1">
      <alignment horizontal="center" vertical="center"/>
    </xf>
    <xf numFmtId="178" fontId="23" fillId="0" borderId="1" xfId="0" applyNumberFormat="1" applyFont="1" applyFill="1" applyBorder="1" applyAlignment="1">
      <alignment horizontal="center" vertical="center"/>
    </xf>
    <xf numFmtId="0" fontId="23" fillId="21" borderId="1" xfId="0" applyFont="1" applyFill="1" applyBorder="1" applyAlignment="1">
      <alignment horizontal="center" vertical="center"/>
    </xf>
    <xf numFmtId="0" fontId="23" fillId="0" borderId="1" xfId="0" applyFont="1" applyFill="1" applyBorder="1" applyAlignment="1">
      <alignment vertical="center"/>
    </xf>
    <xf numFmtId="178" fontId="23" fillId="21" borderId="1" xfId="0" applyNumberFormat="1" applyFont="1" applyFill="1" applyBorder="1" applyAlignment="1">
      <alignment horizontal="center" vertical="center"/>
    </xf>
    <xf numFmtId="178" fontId="116" fillId="0" borderId="1" xfId="0" applyNumberFormat="1" applyFont="1" applyFill="1" applyBorder="1" applyAlignment="1">
      <alignment horizontal="center" vertical="center"/>
    </xf>
    <xf numFmtId="0" fontId="31" fillId="0" borderId="1" xfId="0" applyFont="1" applyFill="1" applyBorder="1" applyAlignment="1">
      <alignment vertical="center"/>
    </xf>
    <xf numFmtId="0" fontId="23" fillId="21" borderId="1" xfId="0" applyFont="1" applyFill="1" applyBorder="1" applyAlignment="1">
      <alignment vertical="center"/>
    </xf>
    <xf numFmtId="0" fontId="23" fillId="0" borderId="1" xfId="0" applyFont="1" applyFill="1" applyBorder="1" applyAlignment="1">
      <alignment vertical="center" wrapText="1"/>
    </xf>
    <xf numFmtId="0" fontId="23" fillId="0" borderId="0" xfId="0" applyFont="1" applyFill="1" applyBorder="1" applyAlignment="1">
      <alignment vertical="center"/>
    </xf>
    <xf numFmtId="178" fontId="0" fillId="0" borderId="0" xfId="0" applyNumberFormat="1" applyFont="1" applyFill="1" applyAlignment="1">
      <alignment horizontal="center" vertical="center"/>
    </xf>
    <xf numFmtId="178"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178" fontId="0" fillId="7" borderId="1" xfId="0" applyNumberFormat="1" applyFont="1" applyFill="1" applyBorder="1" applyAlignment="1">
      <alignment horizontal="center" vertical="center"/>
    </xf>
    <xf numFmtId="0" fontId="0" fillId="0" borderId="1" xfId="0" applyFill="1" applyBorder="1" applyAlignment="1">
      <alignment horizontal="left" vertical="center"/>
    </xf>
    <xf numFmtId="178" fontId="0" fillId="22" borderId="1" xfId="0" applyNumberFormat="1" applyFont="1" applyFill="1" applyBorder="1" applyAlignment="1">
      <alignment horizontal="center" vertical="center"/>
    </xf>
    <xf numFmtId="0" fontId="0" fillId="27" borderId="1" xfId="0" applyFont="1" applyFill="1" applyBorder="1" applyAlignment="1">
      <alignment horizontal="center" vertical="center"/>
    </xf>
    <xf numFmtId="0" fontId="0" fillId="27" borderId="1" xfId="0" applyFont="1" applyFill="1" applyBorder="1" applyAlignment="1">
      <alignment horizontal="left" vertical="center"/>
    </xf>
    <xf numFmtId="178" fontId="0" fillId="27" borderId="1" xfId="0" applyNumberFormat="1" applyFont="1" applyFill="1" applyBorder="1" applyAlignment="1">
      <alignment horizontal="center" vertical="center"/>
    </xf>
    <xf numFmtId="0" fontId="91" fillId="0" borderId="1" xfId="0" applyFont="1" applyFill="1" applyBorder="1" applyAlignment="1">
      <alignment vertical="center"/>
    </xf>
    <xf numFmtId="0" fontId="0" fillId="0" borderId="0" xfId="0" applyFont="1" applyFill="1" applyAlignment="1">
      <alignment horizontal="left" vertical="center"/>
    </xf>
    <xf numFmtId="178" fontId="45" fillId="0" borderId="1" xfId="0" applyNumberFormat="1" applyFont="1" applyFill="1" applyBorder="1" applyAlignment="1">
      <alignment horizontal="center" vertical="center"/>
    </xf>
    <xf numFmtId="180" fontId="69" fillId="0" borderId="0" xfId="0" applyNumberFormat="1" applyFont="1" applyFill="1" applyAlignment="1">
      <alignment vertical="center"/>
    </xf>
    <xf numFmtId="0" fontId="91" fillId="26" borderId="1" xfId="0" applyFont="1" applyFill="1" applyBorder="1" applyAlignment="1">
      <alignment horizontal="center" vertical="center"/>
    </xf>
    <xf numFmtId="180" fontId="91" fillId="26" borderId="1" xfId="0" applyNumberFormat="1" applyFont="1" applyFill="1" applyBorder="1" applyAlignment="1">
      <alignment horizontal="center" vertical="center"/>
    </xf>
    <xf numFmtId="0" fontId="119" fillId="0" borderId="1" xfId="0" applyFont="1" applyFill="1" applyBorder="1" applyAlignment="1">
      <alignment vertical="center"/>
    </xf>
    <xf numFmtId="180" fontId="119" fillId="21" borderId="1" xfId="0" applyNumberFormat="1" applyFont="1" applyFill="1" applyBorder="1" applyAlignment="1">
      <alignment vertical="center"/>
    </xf>
    <xf numFmtId="0" fontId="91" fillId="0" borderId="74" xfId="0" applyFont="1" applyFill="1" applyBorder="1" applyAlignment="1">
      <alignment vertical="center"/>
    </xf>
    <xf numFmtId="0" fontId="119" fillId="0" borderId="94" xfId="0" applyFont="1" applyFill="1" applyBorder="1" applyAlignment="1">
      <alignment vertical="center"/>
    </xf>
    <xf numFmtId="180" fontId="119" fillId="0" borderId="1" xfId="0" applyNumberFormat="1" applyFont="1" applyFill="1" applyBorder="1" applyAlignment="1">
      <alignment vertical="center"/>
    </xf>
    <xf numFmtId="0" fontId="91" fillId="0" borderId="63" xfId="0" applyFont="1" applyFill="1" applyBorder="1" applyAlignment="1">
      <alignment vertical="center"/>
    </xf>
    <xf numFmtId="0" fontId="91" fillId="0" borderId="36" xfId="0" applyFont="1" applyFill="1" applyBorder="1" applyAlignment="1">
      <alignment vertical="center"/>
    </xf>
    <xf numFmtId="0" fontId="99" fillId="0" borderId="94" xfId="0" applyFont="1" applyFill="1" applyBorder="1" applyAlignment="1">
      <alignment vertical="center"/>
    </xf>
    <xf numFmtId="180" fontId="99" fillId="0" borderId="1" xfId="0" applyNumberFormat="1" applyFont="1" applyFill="1" applyBorder="1" applyAlignment="1">
      <alignment vertical="center"/>
    </xf>
    <xf numFmtId="180" fontId="119" fillId="21" borderId="0" xfId="0" applyNumberFormat="1" applyFont="1" applyFill="1" applyAlignment="1">
      <alignment vertical="center"/>
    </xf>
    <xf numFmtId="0" fontId="99" fillId="0" borderId="1" xfId="0" applyFont="1" applyFill="1" applyBorder="1" applyAlignment="1">
      <alignment vertical="center"/>
    </xf>
    <xf numFmtId="180" fontId="91" fillId="21" borderId="1" xfId="0" applyNumberFormat="1" applyFont="1" applyFill="1" applyBorder="1" applyAlignment="1">
      <alignment vertical="center"/>
    </xf>
    <xf numFmtId="180" fontId="91" fillId="0" borderId="1" xfId="0" applyNumberFormat="1" applyFont="1" applyFill="1" applyBorder="1" applyAlignment="1">
      <alignment vertical="center"/>
    </xf>
    <xf numFmtId="0" fontId="0" fillId="0" borderId="0" xfId="0" applyProtection="1">
      <protection locked="0"/>
    </xf>
    <xf numFmtId="0" fontId="0" fillId="10" borderId="0" xfId="0" applyFill="1" applyAlignment="1" applyProtection="1">
      <alignment horizontal="center"/>
      <protection locked="0"/>
    </xf>
    <xf numFmtId="0" fontId="0" fillId="0" borderId="0" xfId="0" applyAlignment="1" applyProtection="1">
      <alignment horizontal="center"/>
      <protection locked="0"/>
    </xf>
    <xf numFmtId="0" fontId="0" fillId="0" borderId="0" xfId="0" applyFill="1" applyAlignment="1" applyProtection="1">
      <alignment horizontal="center"/>
      <protection locked="0"/>
    </xf>
    <xf numFmtId="0" fontId="0" fillId="0" borderId="109" xfId="0" applyBorder="1" applyAlignment="1">
      <alignment horizontal="center" vertical="center"/>
    </xf>
    <xf numFmtId="0" fontId="0" fillId="0" borderId="110" xfId="0" applyBorder="1" applyAlignment="1">
      <alignment horizontal="left" vertical="center"/>
    </xf>
    <xf numFmtId="0" fontId="20" fillId="0" borderId="1" xfId="0" applyFont="1" applyBorder="1" applyAlignment="1">
      <alignment horizontal="center" vertical="center"/>
    </xf>
    <xf numFmtId="0" fontId="0" fillId="0" borderId="111" xfId="0" applyBorder="1" applyAlignment="1">
      <alignment horizontal="left" vertical="center"/>
    </xf>
    <xf numFmtId="0" fontId="0" fillId="0" borderId="81" xfId="0" applyBorder="1" applyAlignment="1">
      <alignment horizontal="center" vertical="center"/>
    </xf>
    <xf numFmtId="0" fontId="20" fillId="0" borderId="81" xfId="0" applyFont="1" applyBorder="1" applyAlignment="1">
      <alignment horizontal="center" vertical="center"/>
    </xf>
    <xf numFmtId="0" fontId="0" fillId="0" borderId="112" xfId="0" applyBorder="1" applyAlignment="1">
      <alignment horizontal="center" vertical="center"/>
    </xf>
    <xf numFmtId="0" fontId="120" fillId="0" borderId="0" xfId="0" applyFont="1"/>
    <xf numFmtId="0" fontId="122" fillId="0" borderId="0" xfId="0" applyFont="1" applyAlignment="1">
      <alignment horizontal="center"/>
    </xf>
    <xf numFmtId="0" fontId="0" fillId="0" borderId="110" xfId="0" applyBorder="1" applyAlignment="1">
      <alignment horizontal="center"/>
    </xf>
    <xf numFmtId="0" fontId="0" fillId="0" borderId="1" xfId="0" applyBorder="1"/>
    <xf numFmtId="0" fontId="20" fillId="0" borderId="1" xfId="0" applyFont="1" applyBorder="1"/>
    <xf numFmtId="0" fontId="123" fillId="30" borderId="109" xfId="0" applyFont="1" applyFill="1" applyBorder="1" applyAlignment="1">
      <alignment horizontal="right"/>
    </xf>
    <xf numFmtId="0" fontId="0" fillId="0" borderId="1" xfId="0" applyFill="1" applyBorder="1"/>
    <xf numFmtId="0" fontId="0" fillId="0" borderId="110" xfId="0" applyBorder="1" applyAlignment="1">
      <alignment horizontal="center" vertical="center"/>
    </xf>
    <xf numFmtId="0" fontId="0" fillId="31" borderId="1" xfId="0" applyFill="1" applyBorder="1"/>
    <xf numFmtId="0" fontId="20" fillId="31" borderId="1" xfId="0" applyFont="1" applyFill="1" applyBorder="1"/>
    <xf numFmtId="181" fontId="0" fillId="31" borderId="109" xfId="0" applyNumberFormat="1" applyFill="1" applyBorder="1" applyAlignment="1">
      <alignment horizontal="right"/>
    </xf>
    <xf numFmtId="0" fontId="20" fillId="0" borderId="109" xfId="0" applyFont="1" applyBorder="1" applyAlignment="1">
      <alignment horizontal="center" vertical="center"/>
    </xf>
    <xf numFmtId="0" fontId="0" fillId="31" borderId="109" xfId="0" applyFill="1" applyBorder="1"/>
    <xf numFmtId="0" fontId="0" fillId="0" borderId="111" xfId="0" applyBorder="1" applyAlignment="1">
      <alignment horizontal="center"/>
    </xf>
    <xf numFmtId="0" fontId="124" fillId="0" borderId="81" xfId="0" applyFont="1" applyFill="1" applyBorder="1"/>
    <xf numFmtId="0" fontId="125" fillId="0" borderId="81" xfId="0" applyFont="1" applyFill="1" applyBorder="1"/>
    <xf numFmtId="178" fontId="126" fillId="6" borderId="112" xfId="0" applyNumberFormat="1" applyFont="1" applyFill="1" applyBorder="1" applyAlignment="1">
      <alignment horizontal="center"/>
    </xf>
    <xf numFmtId="0" fontId="20" fillId="0" borderId="112" xfId="0" applyFont="1" applyBorder="1" applyAlignment="1">
      <alignment horizontal="center" vertical="center"/>
    </xf>
    <xf numFmtId="0" fontId="25" fillId="15" borderId="74" xfId="0" applyFont="1" applyFill="1" applyBorder="1" applyAlignment="1">
      <alignment horizontal="center" vertical="center"/>
    </xf>
    <xf numFmtId="0" fontId="128" fillId="15" borderId="74" xfId="0" applyFont="1" applyFill="1" applyBorder="1" applyAlignment="1">
      <alignment horizontal="center" vertical="center"/>
    </xf>
    <xf numFmtId="0" fontId="129" fillId="15" borderId="1" xfId="0" applyFont="1" applyFill="1" applyBorder="1" applyAlignment="1">
      <alignment horizontal="center" vertical="center" shrinkToFit="1"/>
    </xf>
    <xf numFmtId="0" fontId="25" fillId="10" borderId="1" xfId="0" applyFont="1" applyFill="1" applyBorder="1" applyAlignment="1">
      <alignment horizontal="center" vertical="center"/>
    </xf>
    <xf numFmtId="0" fontId="25" fillId="0" borderId="0" xfId="0" applyFont="1" applyFill="1" applyBorder="1" applyAlignment="1">
      <alignment horizontal="center" vertical="center"/>
    </xf>
    <xf numFmtId="0" fontId="27" fillId="0" borderId="0" xfId="0" applyFont="1" applyFill="1" applyAlignment="1">
      <alignment vertical="center"/>
    </xf>
    <xf numFmtId="0" fontId="0" fillId="15" borderId="0" xfId="0" applyFill="1" applyBorder="1" applyAlignment="1">
      <alignment vertical="center"/>
    </xf>
    <xf numFmtId="0" fontId="0" fillId="15" borderId="1" xfId="0" applyFill="1" applyBorder="1" applyAlignment="1">
      <alignment vertical="center"/>
    </xf>
    <xf numFmtId="0" fontId="130" fillId="13" borderId="1" xfId="0" applyFont="1" applyFill="1" applyBorder="1" applyAlignment="1">
      <alignment vertical="center"/>
    </xf>
    <xf numFmtId="0" fontId="130" fillId="15" borderId="0" xfId="0" applyFont="1" applyFill="1" applyBorder="1" applyAlignment="1">
      <alignment vertical="center"/>
    </xf>
    <xf numFmtId="0" fontId="130" fillId="0" borderId="0" xfId="0" applyFont="1" applyFill="1" applyAlignment="1">
      <alignment vertical="center"/>
    </xf>
    <xf numFmtId="0" fontId="0" fillId="23" borderId="55" xfId="0" applyFill="1" applyBorder="1" applyAlignment="1">
      <alignment vertical="center"/>
    </xf>
    <xf numFmtId="0" fontId="0" fillId="23" borderId="61" xfId="0" applyFill="1" applyBorder="1" applyAlignment="1">
      <alignment vertical="center"/>
    </xf>
    <xf numFmtId="0" fontId="130" fillId="23" borderId="61" xfId="0" applyFont="1" applyFill="1" applyBorder="1" applyAlignment="1">
      <alignment vertical="center"/>
    </xf>
    <xf numFmtId="0" fontId="0" fillId="23" borderId="57" xfId="0" applyFill="1" applyBorder="1" applyAlignment="1">
      <alignment vertical="center"/>
    </xf>
    <xf numFmtId="0" fontId="0" fillId="23" borderId="1" xfId="0" applyFill="1" applyBorder="1" applyAlignment="1">
      <alignment vertical="center"/>
    </xf>
    <xf numFmtId="0" fontId="130" fillId="23" borderId="1" xfId="0" applyFont="1" applyFill="1" applyBorder="1" applyAlignment="1">
      <alignment vertical="center"/>
    </xf>
    <xf numFmtId="0" fontId="0" fillId="23" borderId="0" xfId="0" applyFill="1" applyBorder="1" applyAlignment="1">
      <alignment vertical="center"/>
    </xf>
    <xf numFmtId="0" fontId="60" fillId="23" borderId="0" xfId="0" applyFont="1" applyFill="1" applyBorder="1" applyAlignment="1">
      <alignment vertical="center"/>
    </xf>
    <xf numFmtId="0" fontId="0" fillId="23" borderId="59" xfId="0" applyFill="1" applyBorder="1" applyAlignment="1">
      <alignment vertical="center"/>
    </xf>
    <xf numFmtId="0" fontId="0" fillId="23" borderId="53" xfId="0" applyFill="1" applyBorder="1" applyAlignment="1">
      <alignment vertical="center"/>
    </xf>
    <xf numFmtId="0" fontId="0" fillId="0" borderId="55" xfId="0" applyFill="1" applyBorder="1" applyAlignment="1">
      <alignment vertical="center"/>
    </xf>
    <xf numFmtId="0" fontId="0" fillId="0" borderId="61" xfId="0" applyFill="1" applyBorder="1" applyAlignment="1">
      <alignment vertical="center"/>
    </xf>
    <xf numFmtId="0" fontId="27" fillId="22" borderId="61" xfId="0" applyNumberFormat="1" applyFont="1" applyFill="1" applyBorder="1" applyAlignment="1">
      <alignment vertical="center"/>
    </xf>
    <xf numFmtId="0" fontId="0" fillId="0" borderId="57" xfId="0" applyFill="1" applyBorder="1" applyAlignment="1">
      <alignment vertical="center"/>
    </xf>
    <xf numFmtId="0" fontId="27" fillId="22" borderId="0" xfId="0" applyNumberFormat="1" applyFont="1" applyFill="1" applyBorder="1" applyAlignment="1">
      <alignment vertical="center"/>
    </xf>
    <xf numFmtId="182" fontId="0" fillId="0" borderId="0" xfId="0" applyNumberFormat="1" applyFill="1" applyBorder="1" applyAlignment="1">
      <alignment vertical="center"/>
    </xf>
    <xf numFmtId="0" fontId="0" fillId="0" borderId="59" xfId="0" applyFill="1" applyBorder="1" applyAlignment="1">
      <alignment vertical="center"/>
    </xf>
    <xf numFmtId="0" fontId="0" fillId="0" borderId="53" xfId="0" applyFill="1" applyBorder="1" applyAlignment="1">
      <alignment vertical="center"/>
    </xf>
    <xf numFmtId="0" fontId="27" fillId="22" borderId="53" xfId="0" applyNumberFormat="1" applyFont="1" applyFill="1" applyBorder="1" applyAlignment="1">
      <alignment vertical="center"/>
    </xf>
    <xf numFmtId="182" fontId="0" fillId="0" borderId="53" xfId="0" applyNumberFormat="1" applyFill="1" applyBorder="1" applyAlignment="1">
      <alignment vertical="center"/>
    </xf>
    <xf numFmtId="0" fontId="0" fillId="0" borderId="93" xfId="0" applyFill="1" applyBorder="1" applyAlignment="1">
      <alignment vertical="center"/>
    </xf>
    <xf numFmtId="0" fontId="0" fillId="0" borderId="54" xfId="0" applyFill="1" applyBorder="1" applyAlignment="1">
      <alignment vertical="center"/>
    </xf>
    <xf numFmtId="0" fontId="27" fillId="22" borderId="54" xfId="0" applyFont="1" applyFill="1" applyBorder="1" applyAlignment="1">
      <alignment vertical="center"/>
    </xf>
    <xf numFmtId="0" fontId="0" fillId="0" borderId="61" xfId="0" applyFill="1" applyBorder="1" applyAlignment="1">
      <alignment vertical="center" wrapText="1"/>
    </xf>
    <xf numFmtId="0" fontId="45" fillId="0" borderId="61" xfId="0" applyFont="1" applyFill="1" applyBorder="1" applyAlignment="1">
      <alignment vertical="center"/>
    </xf>
    <xf numFmtId="0" fontId="0" fillId="0" borderId="53" xfId="0" applyFill="1" applyBorder="1" applyAlignment="1">
      <alignment vertical="center" wrapText="1"/>
    </xf>
    <xf numFmtId="0" fontId="27" fillId="22" borderId="53" xfId="0" applyFont="1" applyFill="1" applyBorder="1" applyAlignment="1">
      <alignment vertical="center"/>
    </xf>
    <xf numFmtId="0" fontId="0" fillId="0" borderId="53" xfId="0" applyFill="1" applyBorder="1" applyAlignment="1">
      <alignment horizontal="center" vertical="center"/>
    </xf>
    <xf numFmtId="49" fontId="45" fillId="0" borderId="53" xfId="0" applyNumberFormat="1" applyFont="1" applyFill="1" applyBorder="1" applyAlignment="1">
      <alignment vertical="center"/>
    </xf>
    <xf numFmtId="176" fontId="27" fillId="22" borderId="54" xfId="0" applyNumberFormat="1" applyFont="1" applyFill="1" applyBorder="1" applyAlignment="1">
      <alignment vertical="center"/>
    </xf>
    <xf numFmtId="181" fontId="27" fillId="22" borderId="54" xfId="0" applyNumberFormat="1" applyFont="1" applyFill="1" applyBorder="1" applyAlignment="1">
      <alignment vertical="center"/>
    </xf>
    <xf numFmtId="0" fontId="0" fillId="23" borderId="56" xfId="0" applyFill="1" applyBorder="1" applyAlignment="1">
      <alignment vertical="center"/>
    </xf>
    <xf numFmtId="0" fontId="0" fillId="23" borderId="58" xfId="0" applyFill="1" applyBorder="1" applyAlignment="1">
      <alignment vertical="center"/>
    </xf>
    <xf numFmtId="0" fontId="60" fillId="23" borderId="0" xfId="0" applyFont="1" applyFill="1" applyBorder="1" applyAlignment="1">
      <alignment horizontal="center" vertical="center"/>
    </xf>
    <xf numFmtId="0" fontId="0" fillId="23" borderId="60" xfId="0" applyFill="1" applyBorder="1" applyAlignment="1">
      <alignment vertical="center"/>
    </xf>
    <xf numFmtId="0" fontId="0" fillId="0" borderId="56" xfId="0" applyFill="1" applyBorder="1" applyAlignment="1">
      <alignment vertical="center"/>
    </xf>
    <xf numFmtId="0" fontId="0" fillId="0" borderId="58" xfId="0" applyFill="1" applyBorder="1" applyAlignment="1">
      <alignment vertical="center"/>
    </xf>
    <xf numFmtId="0" fontId="0" fillId="0" borderId="60" xfId="0" applyFill="1" applyBorder="1" applyAlignment="1">
      <alignment vertical="center"/>
    </xf>
    <xf numFmtId="11" fontId="0" fillId="0" borderId="0" xfId="0" applyNumberFormat="1" applyFill="1" applyAlignment="1">
      <alignment vertical="center"/>
    </xf>
    <xf numFmtId="0" fontId="0" fillId="0" borderId="94" xfId="0" applyFill="1" applyBorder="1" applyAlignment="1">
      <alignment vertical="center"/>
    </xf>
    <xf numFmtId="0" fontId="0" fillId="0" borderId="53" xfId="0" applyFont="1" applyFill="1" applyBorder="1" applyAlignment="1">
      <alignment vertical="center"/>
    </xf>
    <xf numFmtId="0" fontId="0" fillId="0" borderId="0" xfId="0" applyFill="1" applyBorder="1" applyAlignment="1">
      <alignment vertical="center" wrapText="1"/>
    </xf>
    <xf numFmtId="11" fontId="131" fillId="0" borderId="61" xfId="0" applyNumberFormat="1" applyFont="1" applyFill="1" applyBorder="1" applyAlignment="1">
      <alignment vertical="center"/>
    </xf>
    <xf numFmtId="176" fontId="131" fillId="0" borderId="0" xfId="0" applyNumberFormat="1" applyFont="1" applyFill="1" applyBorder="1" applyAlignment="1">
      <alignment vertical="center"/>
    </xf>
    <xf numFmtId="181" fontId="131" fillId="0" borderId="0" xfId="0" applyNumberFormat="1" applyFont="1" applyFill="1" applyBorder="1" applyAlignment="1">
      <alignment vertical="center"/>
    </xf>
    <xf numFmtId="0" fontId="131" fillId="0" borderId="0" xfId="0" applyFont="1" applyFill="1" applyBorder="1" applyAlignment="1">
      <alignment vertical="center"/>
    </xf>
    <xf numFmtId="0" fontId="131" fillId="0" borderId="53" xfId="0" applyFont="1" applyFill="1" applyBorder="1" applyAlignment="1">
      <alignment vertical="center"/>
    </xf>
    <xf numFmtId="11" fontId="0" fillId="0" borderId="61" xfId="0" applyNumberFormat="1" applyFill="1" applyBorder="1" applyAlignment="1">
      <alignment vertical="center"/>
    </xf>
    <xf numFmtId="0" fontId="0" fillId="0" borderId="39" xfId="0" applyBorder="1" applyAlignment="1">
      <alignment horizontal="center"/>
    </xf>
    <xf numFmtId="0" fontId="0" fillId="0" borderId="1" xfId="0" applyFill="1" applyBorder="1" applyAlignment="1"/>
    <xf numFmtId="0" fontId="0" fillId="0" borderId="46" xfId="0" applyFill="1" applyBorder="1"/>
    <xf numFmtId="0" fontId="0" fillId="0" borderId="1" xfId="0" applyBorder="1" applyAlignment="1">
      <alignment horizontal="right"/>
    </xf>
    <xf numFmtId="0" fontId="0" fillId="19" borderId="1" xfId="0" applyFill="1" applyBorder="1"/>
    <xf numFmtId="0" fontId="0" fillId="0" borderId="46" xfId="0" applyBorder="1"/>
    <xf numFmtId="0" fontId="0" fillId="0" borderId="46" xfId="0" applyBorder="1" applyAlignment="1">
      <alignment wrapText="1"/>
    </xf>
    <xf numFmtId="0" fontId="0" fillId="0" borderId="115" xfId="0" applyBorder="1" applyAlignment="1">
      <alignment horizontal="center"/>
    </xf>
    <xf numFmtId="0" fontId="0" fillId="0" borderId="74" xfId="0" applyBorder="1" applyAlignment="1">
      <alignment horizontal="right"/>
    </xf>
    <xf numFmtId="0" fontId="0" fillId="19" borderId="74" xfId="0" applyFill="1" applyBorder="1"/>
    <xf numFmtId="0" fontId="0" fillId="0" borderId="74" xfId="0" applyBorder="1"/>
    <xf numFmtId="0" fontId="0" fillId="0" borderId="116" xfId="0" applyBorder="1" applyAlignment="1">
      <alignment wrapText="1"/>
    </xf>
    <xf numFmtId="0" fontId="0" fillId="0" borderId="117" xfId="0" applyBorder="1" applyAlignment="1">
      <alignment horizontal="left"/>
    </xf>
    <xf numFmtId="0" fontId="0" fillId="0" borderId="54" xfId="0" applyBorder="1" applyAlignment="1">
      <alignment horizontal="left"/>
    </xf>
    <xf numFmtId="0" fontId="0" fillId="0" borderId="118" xfId="0" applyBorder="1" applyAlignment="1">
      <alignment horizontal="left"/>
    </xf>
    <xf numFmtId="0" fontId="0" fillId="0" borderId="52" xfId="0" applyBorder="1" applyAlignment="1">
      <alignment horizontal="center"/>
    </xf>
    <xf numFmtId="0" fontId="0" fillId="0" borderId="36" xfId="0" applyBorder="1" applyAlignment="1">
      <alignment horizontal="right"/>
    </xf>
    <xf numFmtId="10" fontId="0" fillId="0" borderId="36" xfId="0" applyNumberFormat="1" applyBorder="1"/>
    <xf numFmtId="0" fontId="0" fillId="0" borderId="36" xfId="0" applyBorder="1"/>
    <xf numFmtId="0" fontId="0" fillId="0" borderId="64" xfId="0" applyBorder="1" applyAlignment="1">
      <alignment horizontal="right" wrapText="1"/>
    </xf>
    <xf numFmtId="0" fontId="0" fillId="0" borderId="119" xfId="0" applyBorder="1" applyAlignment="1">
      <alignment horizontal="center"/>
    </xf>
    <xf numFmtId="0" fontId="0" fillId="0" borderId="63" xfId="0" applyBorder="1" applyAlignment="1">
      <alignment horizontal="right"/>
    </xf>
    <xf numFmtId="10" fontId="0" fillId="0" borderId="63" xfId="0" applyNumberFormat="1" applyBorder="1"/>
    <xf numFmtId="0" fontId="0" fillId="0" borderId="63" xfId="0" applyBorder="1"/>
    <xf numFmtId="0" fontId="0" fillId="0" borderId="120" xfId="0" applyBorder="1" applyAlignment="1">
      <alignment horizontal="right" wrapText="1"/>
    </xf>
    <xf numFmtId="0" fontId="0" fillId="0" borderId="54" xfId="0" applyBorder="1" applyAlignment="1">
      <alignment horizontal="right"/>
    </xf>
    <xf numFmtId="10" fontId="0" fillId="0" borderId="54" xfId="0" applyNumberFormat="1" applyBorder="1"/>
    <xf numFmtId="0" fontId="0" fillId="0" borderId="54" xfId="0" applyBorder="1"/>
    <xf numFmtId="0" fontId="0" fillId="0" borderId="118" xfId="0" applyBorder="1" applyAlignment="1">
      <alignment horizontal="right" wrapText="1"/>
    </xf>
    <xf numFmtId="183" fontId="0" fillId="0" borderId="36" xfId="0" applyNumberFormat="1" applyBorder="1"/>
    <xf numFmtId="0" fontId="0" fillId="0" borderId="64" xfId="0" applyBorder="1"/>
    <xf numFmtId="183" fontId="0" fillId="0" borderId="1" xfId="0" applyNumberFormat="1" applyBorder="1"/>
    <xf numFmtId="0" fontId="0" fillId="0" borderId="40" xfId="0" applyBorder="1" applyAlignment="1">
      <alignment horizontal="center"/>
    </xf>
    <xf numFmtId="0" fontId="0" fillId="0" borderId="47" xfId="0" applyFill="1" applyBorder="1" applyAlignment="1">
      <alignment horizontal="right"/>
    </xf>
    <xf numFmtId="0" fontId="0" fillId="18" borderId="47" xfId="0" applyFill="1" applyBorder="1"/>
    <xf numFmtId="0" fontId="0" fillId="0" borderId="47" xfId="0" applyBorder="1"/>
    <xf numFmtId="0" fontId="0" fillId="0" borderId="48" xfId="0" applyBorder="1"/>
    <xf numFmtId="0" fontId="0" fillId="0" borderId="0" xfId="0" applyFill="1" applyBorder="1" applyAlignment="1">
      <alignment horizontal="right"/>
    </xf>
    <xf numFmtId="0" fontId="0" fillId="33" borderId="125" xfId="0" applyFill="1" applyBorder="1" applyAlignment="1">
      <alignment horizontal="center" wrapText="1"/>
    </xf>
    <xf numFmtId="0" fontId="0" fillId="0" borderId="125" xfId="0" applyBorder="1" applyAlignment="1">
      <alignment horizontal="center" wrapText="1"/>
    </xf>
    <xf numFmtId="0" fontId="0" fillId="8" borderId="125" xfId="0" applyFill="1" applyBorder="1" applyAlignment="1">
      <alignment horizontal="center" wrapText="1"/>
    </xf>
    <xf numFmtId="0" fontId="91" fillId="0" borderId="1" xfId="0" applyFont="1" applyFill="1" applyBorder="1" applyAlignment="1">
      <alignment horizontal="center" vertical="center" wrapText="1"/>
    </xf>
    <xf numFmtId="0" fontId="91" fillId="0" borderId="36" xfId="0" applyFont="1" applyFill="1" applyBorder="1" applyAlignment="1">
      <alignment horizontal="center" vertical="center"/>
    </xf>
    <xf numFmtId="0" fontId="15" fillId="34" borderId="0" xfId="0" applyFont="1" applyFill="1" applyAlignment="1" applyProtection="1">
      <alignment vertical="center"/>
      <protection locked="0"/>
    </xf>
    <xf numFmtId="0" fontId="15" fillId="34" borderId="0" xfId="0" applyFont="1" applyFill="1" applyAlignment="1" applyProtection="1">
      <alignment horizontal="center" vertical="center"/>
      <protection locked="0"/>
    </xf>
    <xf numFmtId="0" fontId="15" fillId="34" borderId="0" xfId="0" applyFont="1" applyFill="1" applyAlignment="1" applyProtection="1">
      <alignment horizontal="right" vertical="center"/>
      <protection locked="0"/>
    </xf>
    <xf numFmtId="0" fontId="134" fillId="34" borderId="0" xfId="0" applyFont="1" applyFill="1" applyAlignment="1" applyProtection="1">
      <alignment horizontal="center" vertical="center"/>
      <protection locked="0"/>
    </xf>
    <xf numFmtId="0" fontId="134" fillId="34" borderId="128" xfId="0" applyFont="1" applyFill="1" applyBorder="1" applyAlignment="1" applyProtection="1">
      <alignment horizontal="center" vertical="center"/>
      <protection locked="0"/>
    </xf>
    <xf numFmtId="0" fontId="134" fillId="34" borderId="129" xfId="0" applyFont="1" applyFill="1" applyBorder="1" applyAlignment="1" applyProtection="1">
      <alignment horizontal="center" vertical="center"/>
      <protection locked="0"/>
    </xf>
    <xf numFmtId="0" fontId="15" fillId="34" borderId="110" xfId="0" applyFont="1" applyFill="1" applyBorder="1" applyAlignment="1" applyProtection="1">
      <alignment horizontal="center" vertical="center"/>
      <protection locked="0"/>
    </xf>
    <xf numFmtId="0" fontId="15" fillId="34" borderId="1" xfId="0" applyFont="1" applyFill="1" applyBorder="1" applyAlignment="1" applyProtection="1">
      <alignment horizontal="right" vertical="center"/>
      <protection locked="0"/>
    </xf>
    <xf numFmtId="0" fontId="15" fillId="35" borderId="1" xfId="0" applyFont="1" applyFill="1" applyBorder="1" applyAlignment="1" applyProtection="1">
      <alignment vertical="center"/>
      <protection locked="0"/>
    </xf>
    <xf numFmtId="0" fontId="15" fillId="34" borderId="1" xfId="0" applyFont="1" applyFill="1" applyBorder="1" applyAlignment="1" applyProtection="1">
      <alignment vertical="center"/>
      <protection locked="0"/>
    </xf>
    <xf numFmtId="0" fontId="15" fillId="34" borderId="1" xfId="0" applyFont="1" applyFill="1" applyBorder="1" applyAlignment="1" applyProtection="1">
      <alignment horizontal="center" vertical="center"/>
      <protection locked="0"/>
    </xf>
    <xf numFmtId="0" fontId="15" fillId="35" borderId="1" xfId="0" applyFont="1" applyFill="1" applyBorder="1" applyAlignment="1" applyProtection="1">
      <alignment vertical="center"/>
    </xf>
    <xf numFmtId="0" fontId="15" fillId="36" borderId="1" xfId="0" applyFont="1" applyFill="1" applyBorder="1" applyAlignment="1" applyProtection="1">
      <alignment vertical="center"/>
    </xf>
    <xf numFmtId="0" fontId="15" fillId="34" borderId="135" xfId="0" applyFont="1" applyFill="1" applyBorder="1" applyAlignment="1" applyProtection="1">
      <alignment horizontal="center" vertical="center"/>
      <protection locked="0"/>
    </xf>
    <xf numFmtId="0" fontId="15" fillId="34" borderId="0" xfId="0" applyFont="1" applyFill="1" applyBorder="1" applyAlignment="1" applyProtection="1">
      <alignment horizontal="right" vertical="center"/>
      <protection locked="0"/>
    </xf>
    <xf numFmtId="0" fontId="15" fillId="34" borderId="0" xfId="0" applyFont="1" applyFill="1" applyBorder="1" applyAlignment="1" applyProtection="1">
      <alignment vertical="center"/>
      <protection locked="0"/>
    </xf>
    <xf numFmtId="0" fontId="134" fillId="34" borderId="136" xfId="0" applyFont="1" applyFill="1" applyBorder="1" applyAlignment="1" applyProtection="1">
      <alignment horizontal="center" vertical="center"/>
      <protection locked="0"/>
    </xf>
    <xf numFmtId="0" fontId="15" fillId="34" borderId="137" xfId="0" applyFont="1" applyFill="1" applyBorder="1" applyAlignment="1" applyProtection="1">
      <alignment vertical="center"/>
      <protection locked="0"/>
    </xf>
    <xf numFmtId="0" fontId="15" fillId="34" borderId="0" xfId="0" applyFont="1" applyFill="1" applyAlignment="1">
      <alignment vertical="center"/>
    </xf>
    <xf numFmtId="0" fontId="15" fillId="34" borderId="0" xfId="0" applyNumberFormat="1" applyFont="1" applyFill="1" applyAlignment="1" applyProtection="1">
      <alignment vertical="center"/>
      <protection locked="0"/>
    </xf>
    <xf numFmtId="0" fontId="15" fillId="0" borderId="0" xfId="0" applyNumberFormat="1" applyFont="1" applyFill="1" applyAlignment="1" applyProtection="1">
      <alignment vertical="center"/>
      <protection locked="0"/>
    </xf>
    <xf numFmtId="0" fontId="138" fillId="37" borderId="0" xfId="0" applyNumberFormat="1" applyFont="1" applyFill="1" applyAlignment="1" applyProtection="1">
      <alignment vertical="center"/>
      <protection locked="0"/>
    </xf>
    <xf numFmtId="0" fontId="137" fillId="34" borderId="0" xfId="0" applyNumberFormat="1" applyFont="1" applyFill="1" applyAlignment="1" applyProtection="1">
      <alignment vertical="center"/>
      <protection locked="0"/>
    </xf>
    <xf numFmtId="0" fontId="15" fillId="34" borderId="0" xfId="0" applyNumberFormat="1" applyFont="1" applyFill="1" applyAlignment="1" applyProtection="1">
      <alignment horizontal="center" vertical="center"/>
      <protection locked="0"/>
    </xf>
    <xf numFmtId="0" fontId="15" fillId="34" borderId="0" xfId="0" applyNumberFormat="1" applyFont="1" applyFill="1" applyAlignment="1" applyProtection="1">
      <alignment horizontal="right" vertical="center"/>
      <protection locked="0"/>
    </xf>
    <xf numFmtId="0" fontId="15" fillId="35" borderId="0" xfId="0" applyNumberFormat="1" applyFont="1" applyFill="1" applyAlignment="1" applyProtection="1">
      <alignment horizontal="center" vertical="center"/>
      <protection locked="0"/>
    </xf>
    <xf numFmtId="0" fontId="15" fillId="36" borderId="0" xfId="0" applyNumberFormat="1" applyFont="1" applyFill="1" applyAlignment="1" applyProtection="1">
      <alignment horizontal="left" vertical="center"/>
    </xf>
    <xf numFmtId="0" fontId="15" fillId="36" borderId="0" xfId="0" applyNumberFormat="1" applyFont="1" applyFill="1" applyAlignment="1" applyProtection="1">
      <alignment horizontal="center" vertical="center"/>
      <protection locked="0"/>
    </xf>
    <xf numFmtId="0" fontId="15" fillId="34" borderId="0" xfId="0" applyNumberFormat="1" applyFont="1" applyFill="1" applyBorder="1" applyAlignment="1" applyProtection="1">
      <alignment horizontal="right" vertical="center"/>
      <protection locked="0"/>
    </xf>
    <xf numFmtId="0" fontId="15" fillId="36" borderId="0" xfId="0" applyNumberFormat="1" applyFont="1" applyFill="1" applyAlignment="1" applyProtection="1">
      <alignment horizontal="center" vertical="center"/>
    </xf>
    <xf numFmtId="0" fontId="15" fillId="36" borderId="0" xfId="0" applyNumberFormat="1" applyFont="1" applyFill="1" applyAlignment="1" applyProtection="1">
      <alignment vertical="center"/>
    </xf>
    <xf numFmtId="0" fontId="15" fillId="20" borderId="1" xfId="0" applyNumberFormat="1" applyFont="1" applyFill="1" applyBorder="1" applyAlignment="1" applyProtection="1">
      <alignment horizontal="center" vertical="center"/>
      <protection locked="0"/>
    </xf>
    <xf numFmtId="0" fontId="15" fillId="20" borderId="1" xfId="0" applyNumberFormat="1" applyFont="1" applyFill="1" applyBorder="1" applyAlignment="1" applyProtection="1">
      <alignment vertical="center"/>
      <protection locked="0"/>
    </xf>
    <xf numFmtId="0" fontId="15" fillId="20" borderId="1" xfId="0" applyNumberFormat="1" applyFont="1" applyFill="1" applyBorder="1" applyAlignment="1" applyProtection="1">
      <alignment horizontal="left" vertical="center"/>
      <protection locked="0"/>
    </xf>
    <xf numFmtId="0" fontId="141" fillId="0" borderId="0" xfId="0" applyNumberFormat="1" applyFont="1" applyFill="1" applyAlignment="1" applyProtection="1">
      <alignment vertical="center"/>
      <protection locked="0"/>
    </xf>
    <xf numFmtId="0" fontId="142" fillId="34" borderId="0" xfId="0" applyNumberFormat="1" applyFont="1" applyFill="1" applyAlignment="1" applyProtection="1">
      <alignment vertical="center"/>
      <protection locked="0"/>
    </xf>
    <xf numFmtId="0" fontId="143" fillId="35" borderId="0" xfId="0" applyNumberFormat="1" applyFont="1" applyFill="1" applyAlignment="1" applyProtection="1">
      <alignment horizontal="center" vertical="center"/>
      <protection locked="0"/>
    </xf>
    <xf numFmtId="0" fontId="140" fillId="34" borderId="0" xfId="0" applyNumberFormat="1" applyFont="1" applyFill="1" applyAlignment="1" applyProtection="1">
      <alignment horizontal="center" vertical="center"/>
      <protection locked="0"/>
    </xf>
    <xf numFmtId="0" fontId="140" fillId="36" borderId="0" xfId="0" applyNumberFormat="1" applyFont="1" applyFill="1" applyAlignment="1" applyProtection="1">
      <alignment horizontal="center" vertical="center"/>
    </xf>
    <xf numFmtId="0" fontId="141" fillId="34" borderId="0" xfId="0" applyNumberFormat="1" applyFont="1" applyFill="1" applyAlignment="1" applyProtection="1">
      <alignment vertical="center"/>
      <protection locked="0"/>
    </xf>
    <xf numFmtId="0" fontId="140" fillId="35" borderId="0" xfId="0" applyNumberFormat="1" applyFont="1" applyFill="1" applyAlignment="1" applyProtection="1">
      <alignment horizontal="center" vertical="center"/>
      <protection locked="0"/>
    </xf>
    <xf numFmtId="0" fontId="15" fillId="30" borderId="0" xfId="0" applyNumberFormat="1" applyFont="1" applyFill="1" applyAlignment="1" applyProtection="1">
      <alignment vertical="center"/>
      <protection locked="0"/>
    </xf>
    <xf numFmtId="0" fontId="144" fillId="0" borderId="0" xfId="0" applyNumberFormat="1" applyFont="1" applyFill="1" applyAlignment="1" applyProtection="1">
      <alignment vertical="center"/>
      <protection locked="0"/>
    </xf>
    <xf numFmtId="0" fontId="147" fillId="0" borderId="0" xfId="0" applyFont="1" applyFill="1" applyAlignment="1">
      <alignment horizontal="center"/>
    </xf>
    <xf numFmtId="0" fontId="147" fillId="11" borderId="141" xfId="0" applyFont="1" applyFill="1" applyBorder="1" applyAlignment="1">
      <alignment horizontal="center"/>
    </xf>
    <xf numFmtId="0" fontId="147" fillId="14" borderId="41" xfId="0" applyFont="1" applyFill="1" applyBorder="1" applyAlignment="1">
      <alignment horizontal="center"/>
    </xf>
    <xf numFmtId="0" fontId="148" fillId="13" borderId="141" xfId="0" applyFont="1" applyFill="1" applyBorder="1" applyAlignment="1"/>
    <xf numFmtId="0" fontId="148" fillId="0" borderId="0" xfId="0" applyFont="1" applyFill="1" applyAlignment="1">
      <alignment horizontal="center"/>
    </xf>
    <xf numFmtId="0" fontId="30" fillId="0" borderId="103" xfId="0" applyFont="1" applyBorder="1" applyAlignment="1">
      <alignment horizontal="center"/>
    </xf>
    <xf numFmtId="0" fontId="45" fillId="0" borderId="113" xfId="0" applyFont="1" applyBorder="1" applyAlignment="1">
      <alignment horizontal="center"/>
    </xf>
    <xf numFmtId="0" fontId="0" fillId="13" borderId="83" xfId="0" applyFill="1" applyBorder="1" applyAlignment="1">
      <alignment horizontal="center"/>
    </xf>
    <xf numFmtId="0" fontId="20" fillId="13" borderId="83" xfId="0" applyFont="1" applyFill="1" applyBorder="1" applyAlignment="1">
      <alignment horizontal="center"/>
    </xf>
    <xf numFmtId="0" fontId="0" fillId="11" borderId="110" xfId="0" applyFont="1" applyFill="1" applyBorder="1" applyAlignment="1">
      <alignment horizontal="center"/>
    </xf>
    <xf numFmtId="0" fontId="20" fillId="13" borderId="1" xfId="0" applyFont="1" applyFill="1" applyBorder="1" applyAlignment="1">
      <alignment horizontal="center"/>
    </xf>
    <xf numFmtId="0" fontId="0" fillId="14" borderId="1" xfId="0" applyFill="1" applyBorder="1" applyAlignment="1">
      <alignment horizontal="center"/>
    </xf>
    <xf numFmtId="0" fontId="20" fillId="13" borderId="74" xfId="0" applyFont="1" applyFill="1" applyBorder="1" applyAlignment="1">
      <alignment horizontal="center"/>
    </xf>
    <xf numFmtId="0" fontId="0" fillId="11" borderId="142" xfId="0" applyFont="1" applyFill="1" applyBorder="1" applyAlignment="1">
      <alignment horizontal="center"/>
    </xf>
    <xf numFmtId="0" fontId="20" fillId="13" borderId="23" xfId="0" applyFont="1" applyFill="1" applyBorder="1" applyAlignment="1">
      <alignment horizontal="center"/>
    </xf>
    <xf numFmtId="0" fontId="0" fillId="14" borderId="143" xfId="0" applyFill="1" applyBorder="1" applyAlignment="1">
      <alignment horizontal="center"/>
    </xf>
    <xf numFmtId="0" fontId="0" fillId="14" borderId="81" xfId="0" applyFill="1" applyBorder="1" applyAlignment="1">
      <alignment horizontal="center"/>
    </xf>
    <xf numFmtId="0" fontId="30" fillId="0" borderId="103" xfId="0" applyFont="1" applyFill="1" applyBorder="1" applyAlignment="1">
      <alignment horizontal="center"/>
    </xf>
    <xf numFmtId="0" fontId="0" fillId="0" borderId="103" xfId="0" applyBorder="1" applyAlignment="1">
      <alignment horizontal="center"/>
    </xf>
    <xf numFmtId="0" fontId="0" fillId="0" borderId="0" xfId="0" applyBorder="1" applyAlignment="1">
      <alignment horizontal="center"/>
    </xf>
    <xf numFmtId="0" fontId="20" fillId="13" borderId="114" xfId="0" applyFont="1" applyFill="1" applyBorder="1" applyAlignment="1">
      <alignment horizontal="center"/>
    </xf>
    <xf numFmtId="0" fontId="0" fillId="14" borderId="109" xfId="0" applyFill="1" applyBorder="1" applyAlignment="1">
      <alignment horizontal="center"/>
    </xf>
    <xf numFmtId="0" fontId="0" fillId="11" borderId="111" xfId="0" applyFont="1" applyFill="1" applyBorder="1" applyAlignment="1">
      <alignment horizontal="center"/>
    </xf>
    <xf numFmtId="0" fontId="20" fillId="13" borderId="81" xfId="0" applyFont="1" applyFill="1" applyBorder="1" applyAlignment="1">
      <alignment horizontal="center"/>
    </xf>
    <xf numFmtId="185" fontId="0" fillId="14" borderId="112" xfId="0" applyNumberFormat="1" applyFill="1" applyBorder="1" applyAlignment="1">
      <alignment horizontal="center"/>
    </xf>
    <xf numFmtId="0" fontId="20" fillId="13" borderId="93" xfId="0" applyFont="1" applyFill="1" applyBorder="1" applyAlignment="1">
      <alignment horizontal="center"/>
    </xf>
    <xf numFmtId="0" fontId="0" fillId="14" borderId="145" xfId="0" applyFill="1" applyBorder="1" applyAlignment="1">
      <alignment horizontal="center"/>
    </xf>
    <xf numFmtId="0" fontId="20" fillId="0" borderId="0" xfId="0" applyFont="1" applyFill="1" applyBorder="1" applyAlignment="1">
      <alignment horizontal="center"/>
    </xf>
    <xf numFmtId="2" fontId="0" fillId="14" borderId="1" xfId="0" applyNumberFormat="1" applyFill="1" applyBorder="1" applyAlignment="1">
      <alignment horizontal="center"/>
    </xf>
    <xf numFmtId="186" fontId="0" fillId="14" borderId="112" xfId="0" applyNumberFormat="1" applyFill="1" applyBorder="1" applyAlignment="1">
      <alignment horizontal="center"/>
    </xf>
    <xf numFmtId="0" fontId="45" fillId="0" borderId="38" xfId="0" applyFont="1" applyBorder="1" applyAlignment="1">
      <alignment horizontal="center"/>
    </xf>
    <xf numFmtId="0" fontId="20" fillId="13" borderId="44" xfId="0" applyFont="1" applyFill="1" applyBorder="1" applyAlignment="1">
      <alignment horizontal="center"/>
    </xf>
    <xf numFmtId="0" fontId="0" fillId="13" borderId="3" xfId="0" applyFill="1" applyBorder="1" applyAlignment="1">
      <alignment horizontal="center"/>
    </xf>
    <xf numFmtId="0" fontId="20" fillId="13" borderId="45" xfId="0" applyFont="1" applyFill="1" applyBorder="1" applyAlignment="1">
      <alignment horizontal="center"/>
    </xf>
    <xf numFmtId="0" fontId="0" fillId="11" borderId="39" xfId="0" applyFont="1" applyFill="1" applyBorder="1" applyAlignment="1">
      <alignment horizontal="center"/>
    </xf>
    <xf numFmtId="0" fontId="0" fillId="14" borderId="46" xfId="0" applyFill="1" applyBorder="1" applyAlignment="1">
      <alignment horizontal="center"/>
    </xf>
    <xf numFmtId="0" fontId="0" fillId="11" borderId="40" xfId="0" applyFont="1" applyFill="1" applyBorder="1" applyAlignment="1">
      <alignment horizontal="center"/>
    </xf>
    <xf numFmtId="0" fontId="20" fillId="13" borderId="47" xfId="0" applyFont="1" applyFill="1" applyBorder="1" applyAlignment="1">
      <alignment horizontal="center"/>
    </xf>
    <xf numFmtId="0" fontId="0" fillId="14" borderId="47" xfId="0" applyFill="1" applyBorder="1" applyAlignment="1">
      <alignment horizontal="center"/>
    </xf>
    <xf numFmtId="0" fontId="0" fillId="14" borderId="48" xfId="0" applyFill="1" applyBorder="1" applyAlignment="1">
      <alignment horizontal="center"/>
    </xf>
    <xf numFmtId="0" fontId="45" fillId="0" borderId="0" xfId="0" applyFont="1" applyBorder="1"/>
    <xf numFmtId="0" fontId="20" fillId="0" borderId="0" xfId="0" applyFont="1" applyBorder="1"/>
    <xf numFmtId="186" fontId="0" fillId="0" borderId="0" xfId="0" applyNumberFormat="1" applyBorder="1"/>
    <xf numFmtId="0" fontId="30" fillId="12" borderId="0" xfId="0" applyFont="1" applyFill="1"/>
    <xf numFmtId="0" fontId="0" fillId="11" borderId="38" xfId="0" applyFill="1" applyBorder="1"/>
    <xf numFmtId="0" fontId="0" fillId="13" borderId="44" xfId="0" applyFill="1" applyBorder="1"/>
    <xf numFmtId="0" fontId="20" fillId="13" borderId="44" xfId="0" applyFont="1" applyFill="1" applyBorder="1"/>
    <xf numFmtId="0" fontId="20" fillId="13" borderId="45" xfId="0" applyFont="1" applyFill="1" applyBorder="1"/>
    <xf numFmtId="0" fontId="59" fillId="11" borderId="39" xfId="0" applyFont="1" applyFill="1" applyBorder="1"/>
    <xf numFmtId="0" fontId="20" fillId="13" borderId="1" xfId="0" applyFont="1" applyFill="1" applyBorder="1"/>
    <xf numFmtId="0" fontId="0" fillId="14" borderId="1" xfId="0" applyFill="1" applyBorder="1"/>
    <xf numFmtId="0" fontId="0" fillId="14" borderId="46" xfId="0" applyFill="1" applyBorder="1"/>
    <xf numFmtId="0" fontId="59" fillId="11" borderId="40" xfId="0" applyFont="1" applyFill="1" applyBorder="1"/>
    <xf numFmtId="0" fontId="20" fillId="13" borderId="47" xfId="0" applyFont="1" applyFill="1" applyBorder="1"/>
    <xf numFmtId="0" fontId="0" fillId="14" borderId="47" xfId="0" applyFill="1" applyBorder="1"/>
    <xf numFmtId="0" fontId="0" fillId="14" borderId="48" xfId="0" applyFill="1" applyBorder="1"/>
    <xf numFmtId="0" fontId="30" fillId="12" borderId="103" xfId="0" applyFont="1" applyFill="1" applyBorder="1" applyAlignment="1">
      <alignment horizontal="center"/>
    </xf>
    <xf numFmtId="0" fontId="45" fillId="0" borderId="113" xfId="0" applyFont="1" applyBorder="1"/>
    <xf numFmtId="0" fontId="0" fillId="13" borderId="83" xfId="0" applyFill="1" applyBorder="1"/>
    <xf numFmtId="0" fontId="20" fillId="13" borderId="83" xfId="0" applyFont="1" applyFill="1" applyBorder="1"/>
    <xf numFmtId="0" fontId="0" fillId="11" borderId="110" xfId="0" applyFont="1" applyFill="1" applyBorder="1"/>
    <xf numFmtId="0" fontId="0" fillId="13" borderId="1" xfId="0" applyFill="1" applyBorder="1"/>
    <xf numFmtId="1" fontId="0" fillId="14" borderId="1" xfId="0" applyNumberFormat="1" applyFill="1" applyBorder="1"/>
    <xf numFmtId="0" fontId="0" fillId="11" borderId="111" xfId="0" applyFont="1" applyFill="1" applyBorder="1"/>
    <xf numFmtId="0" fontId="0" fillId="13" borderId="81" xfId="0" applyFill="1" applyBorder="1"/>
    <xf numFmtId="0" fontId="0" fillId="14" borderId="81" xfId="0" applyFill="1" applyBorder="1"/>
    <xf numFmtId="0" fontId="53" fillId="0" borderId="38" xfId="0" applyFont="1" applyFill="1" applyBorder="1"/>
    <xf numFmtId="0" fontId="0" fillId="13" borderId="44" xfId="0" applyFont="1" applyFill="1" applyBorder="1"/>
    <xf numFmtId="0" fontId="0" fillId="13" borderId="45" xfId="0" applyFont="1" applyFill="1" applyBorder="1"/>
    <xf numFmtId="0" fontId="20" fillId="11" borderId="39" xfId="0" applyFont="1" applyFill="1" applyBorder="1"/>
    <xf numFmtId="0" fontId="20" fillId="14" borderId="1" xfId="0" applyFont="1" applyFill="1" applyBorder="1"/>
    <xf numFmtId="0" fontId="0" fillId="13" borderId="1" xfId="0" applyFont="1" applyFill="1" applyBorder="1"/>
    <xf numFmtId="0" fontId="20" fillId="11" borderId="40" xfId="0" applyFont="1" applyFill="1" applyBorder="1"/>
    <xf numFmtId="0" fontId="0" fillId="13" borderId="47" xfId="0" applyFont="1" applyFill="1" applyBorder="1"/>
    <xf numFmtId="0" fontId="0" fillId="14" borderId="112" xfId="0" applyFill="1" applyBorder="1" applyAlignment="1">
      <alignment horizontal="center"/>
    </xf>
    <xf numFmtId="0" fontId="0" fillId="13" borderId="114" xfId="0" applyFill="1" applyBorder="1"/>
    <xf numFmtId="0" fontId="0" fillId="14" borderId="109" xfId="0" applyFill="1" applyBorder="1"/>
    <xf numFmtId="0" fontId="0" fillId="14" borderId="112" xfId="0" applyFill="1" applyBorder="1"/>
    <xf numFmtId="0" fontId="0" fillId="0" borderId="38" xfId="0" applyBorder="1"/>
    <xf numFmtId="187" fontId="0" fillId="14" borderId="1" xfId="0" applyNumberFormat="1" applyFill="1" applyBorder="1"/>
    <xf numFmtId="187" fontId="0" fillId="14" borderId="48" xfId="0" applyNumberFormat="1" applyFill="1" applyBorder="1"/>
    <xf numFmtId="0" fontId="0" fillId="0" borderId="38" xfId="0" applyFill="1" applyBorder="1"/>
    <xf numFmtId="186" fontId="0" fillId="14" borderId="1" xfId="0" applyNumberFormat="1" applyFill="1" applyBorder="1"/>
    <xf numFmtId="0" fontId="30" fillId="12" borderId="0" xfId="0" applyFont="1" applyFill="1" applyBorder="1"/>
    <xf numFmtId="0" fontId="20" fillId="13" borderId="114" xfId="0" applyFont="1" applyFill="1" applyBorder="1"/>
    <xf numFmtId="0" fontId="20" fillId="11" borderId="110" xfId="0" applyFont="1" applyFill="1" applyBorder="1"/>
    <xf numFmtId="0" fontId="20" fillId="11" borderId="111" xfId="0" applyFont="1" applyFill="1" applyBorder="1"/>
    <xf numFmtId="0" fontId="20" fillId="13" borderId="81" xfId="0" applyFont="1" applyFill="1" applyBorder="1"/>
    <xf numFmtId="186" fontId="0" fillId="14" borderId="112" xfId="0" applyNumberFormat="1" applyFill="1" applyBorder="1"/>
    <xf numFmtId="0" fontId="0" fillId="0" borderId="113" xfId="0" applyBorder="1"/>
    <xf numFmtId="0" fontId="0" fillId="13" borderId="45" xfId="0" applyFill="1" applyBorder="1"/>
    <xf numFmtId="0" fontId="0" fillId="13" borderId="36" xfId="0" applyFill="1" applyBorder="1"/>
    <xf numFmtId="0" fontId="0" fillId="14" borderId="36" xfId="0" applyFill="1" applyBorder="1"/>
    <xf numFmtId="0" fontId="0" fillId="13" borderId="47" xfId="0" applyFill="1" applyBorder="1"/>
    <xf numFmtId="0" fontId="0" fillId="14" borderId="23" xfId="0" applyFill="1" applyBorder="1"/>
    <xf numFmtId="2" fontId="0" fillId="14" borderId="47" xfId="0" applyNumberFormat="1" applyFill="1" applyBorder="1"/>
    <xf numFmtId="0" fontId="0" fillId="12" borderId="0" xfId="0" applyFill="1"/>
    <xf numFmtId="0" fontId="20" fillId="13" borderId="38" xfId="0" applyFont="1" applyFill="1" applyBorder="1"/>
    <xf numFmtId="0" fontId="0" fillId="11" borderId="44" xfId="0" applyFont="1" applyFill="1" applyBorder="1"/>
    <xf numFmtId="0" fontId="20" fillId="13" borderId="39" xfId="0" applyFont="1" applyFill="1" applyBorder="1"/>
    <xf numFmtId="0" fontId="0" fillId="11" borderId="1" xfId="0" applyFont="1" applyFill="1" applyBorder="1"/>
    <xf numFmtId="0" fontId="0" fillId="13" borderId="46" xfId="0" applyFill="1" applyBorder="1"/>
    <xf numFmtId="0" fontId="20" fillId="13" borderId="46" xfId="0" applyFont="1" applyFill="1" applyBorder="1"/>
    <xf numFmtId="0" fontId="20" fillId="13" borderId="40" xfId="0" applyFont="1" applyFill="1" applyBorder="1"/>
    <xf numFmtId="0" fontId="20" fillId="13" borderId="48" xfId="0" applyFont="1" applyFill="1" applyBorder="1"/>
    <xf numFmtId="0" fontId="0" fillId="13" borderId="38" xfId="0" applyFont="1" applyFill="1" applyBorder="1"/>
    <xf numFmtId="0" fontId="0" fillId="11" borderId="45" xfId="0" applyFont="1" applyFill="1" applyBorder="1"/>
    <xf numFmtId="0" fontId="20" fillId="13" borderId="1" xfId="0" applyFont="1" applyFill="1" applyBorder="1" applyAlignment="1">
      <alignment horizontal="left"/>
    </xf>
    <xf numFmtId="0" fontId="20" fillId="13" borderId="47" xfId="0" applyFont="1" applyFill="1" applyBorder="1" applyAlignment="1">
      <alignment horizontal="left"/>
    </xf>
    <xf numFmtId="0" fontId="115" fillId="33" borderId="0" xfId="0" applyFont="1" applyFill="1" applyAlignment="1">
      <alignment vertical="center"/>
    </xf>
    <xf numFmtId="0" fontId="0" fillId="0" borderId="0" xfId="0" applyFont="1" applyFill="1" applyBorder="1" applyAlignment="1"/>
    <xf numFmtId="0" fontId="0" fillId="0" borderId="0" xfId="0" applyFont="1" applyFill="1" applyAlignment="1"/>
    <xf numFmtId="0" fontId="122" fillId="33" borderId="0" xfId="0" applyFont="1" applyFill="1" applyAlignment="1">
      <alignment vertical="center"/>
    </xf>
    <xf numFmtId="0" fontId="0" fillId="15" borderId="94" xfId="0" applyFont="1" applyFill="1" applyBorder="1" applyAlignment="1">
      <alignment horizontal="right"/>
    </xf>
    <xf numFmtId="0" fontId="0" fillId="8" borderId="1" xfId="0" applyFont="1" applyFill="1" applyBorder="1" applyAlignment="1"/>
    <xf numFmtId="0" fontId="0" fillId="0" borderId="0" xfId="0" applyFont="1" applyFill="1" applyBorder="1" applyAlignment="1">
      <alignment horizontal="center"/>
    </xf>
    <xf numFmtId="12" fontId="0" fillId="8" borderId="1" xfId="0" applyNumberFormat="1" applyFont="1" applyFill="1" applyBorder="1" applyAlignment="1">
      <alignment horizontal="right"/>
    </xf>
    <xf numFmtId="12" fontId="0" fillId="8" borderId="1" xfId="0" applyNumberFormat="1" applyFont="1" applyFill="1" applyBorder="1" applyAlignment="1"/>
    <xf numFmtId="0" fontId="151" fillId="8" borderId="1" xfId="0" applyFont="1" applyFill="1" applyBorder="1" applyAlignment="1">
      <alignment vertical="center"/>
    </xf>
    <xf numFmtId="0" fontId="0" fillId="0" borderId="0" xfId="0" applyFont="1" applyFill="1" applyAlignment="1">
      <alignment vertical="center"/>
    </xf>
    <xf numFmtId="0" fontId="152" fillId="0" borderId="0" xfId="0" applyFont="1" applyFill="1" applyBorder="1" applyAlignment="1"/>
    <xf numFmtId="0" fontId="153" fillId="13" borderId="148" xfId="0" applyNumberFormat="1" applyFont="1" applyFill="1" applyBorder="1" applyAlignment="1">
      <alignment vertical="center" textRotation="255"/>
    </xf>
    <xf numFmtId="0" fontId="0" fillId="20" borderId="1" xfId="0" applyFont="1" applyFill="1" applyBorder="1" applyAlignment="1">
      <alignment horizontal="right"/>
    </xf>
    <xf numFmtId="0" fontId="0" fillId="0" borderId="0" xfId="0" applyFont="1" applyFill="1" applyAlignment="1">
      <alignment horizontal="center"/>
    </xf>
    <xf numFmtId="0" fontId="153" fillId="7" borderId="148" xfId="0" applyNumberFormat="1" applyFont="1" applyFill="1" applyBorder="1" applyAlignment="1">
      <alignment vertical="center" textRotation="255"/>
    </xf>
    <xf numFmtId="0" fontId="0" fillId="7" borderId="1" xfId="0" applyFont="1" applyFill="1" applyBorder="1" applyAlignment="1" applyProtection="1">
      <alignment horizontal="right"/>
      <protection hidden="1"/>
    </xf>
    <xf numFmtId="0" fontId="152" fillId="0" borderId="0" xfId="0" applyFont="1" applyFill="1" applyAlignment="1"/>
    <xf numFmtId="0" fontId="152" fillId="15" borderId="0" xfId="0" applyFont="1" applyFill="1" applyAlignment="1">
      <alignment horizontal="right"/>
    </xf>
    <xf numFmtId="0" fontId="152" fillId="0" borderId="0" xfId="0" applyFont="1" applyFill="1" applyBorder="1" applyAlignment="1">
      <alignment horizontal="right"/>
    </xf>
    <xf numFmtId="0" fontId="154" fillId="0" borderId="0" xfId="0" applyFont="1" applyFill="1" applyAlignment="1"/>
    <xf numFmtId="0" fontId="0" fillId="20" borderId="93" xfId="0" applyFont="1" applyFill="1" applyBorder="1" applyAlignment="1">
      <alignment horizontal="center"/>
    </xf>
    <xf numFmtId="0" fontId="153" fillId="13" borderId="149" xfId="0" applyNumberFormat="1" applyFont="1" applyFill="1" applyBorder="1" applyAlignment="1">
      <alignment vertical="center" textRotation="255"/>
    </xf>
    <xf numFmtId="0" fontId="30" fillId="6" borderId="1" xfId="0" applyFont="1" applyFill="1" applyBorder="1" applyAlignment="1"/>
    <xf numFmtId="0" fontId="0" fillId="6" borderId="1" xfId="0" applyFont="1" applyFill="1" applyBorder="1" applyAlignment="1"/>
    <xf numFmtId="0" fontId="0" fillId="6" borderId="0" xfId="0" applyFont="1" applyFill="1" applyAlignment="1"/>
    <xf numFmtId="186" fontId="0" fillId="7" borderId="1" xfId="0" applyNumberFormat="1" applyFont="1" applyFill="1" applyBorder="1" applyAlignment="1" applyProtection="1">
      <protection hidden="1"/>
    </xf>
    <xf numFmtId="0" fontId="0" fillId="10" borderId="1" xfId="0" applyFont="1" applyFill="1" applyBorder="1" applyAlignment="1"/>
    <xf numFmtId="0" fontId="0" fillId="0" borderId="1" xfId="0" applyFont="1" applyFill="1" applyBorder="1" applyAlignment="1"/>
    <xf numFmtId="0" fontId="0" fillId="0" borderId="0" xfId="0" applyFont="1" applyFill="1" applyBorder="1" applyAlignment="1">
      <alignment horizontal="right" vertical="center"/>
    </xf>
    <xf numFmtId="0" fontId="0" fillId="0" borderId="0" xfId="0" applyFont="1" applyFill="1" applyBorder="1" applyAlignment="1">
      <alignment horizontal="right"/>
    </xf>
    <xf numFmtId="186" fontId="0" fillId="0" borderId="0" xfId="0" applyNumberFormat="1" applyFont="1" applyFill="1" applyBorder="1" applyAlignment="1" applyProtection="1">
      <protection hidden="1"/>
    </xf>
    <xf numFmtId="0" fontId="0" fillId="7" borderId="1" xfId="0" applyFont="1" applyFill="1" applyBorder="1" applyAlignment="1" applyProtection="1">
      <protection hidden="1"/>
    </xf>
    <xf numFmtId="0" fontId="0" fillId="0" borderId="0" xfId="0" applyFont="1" applyFill="1" applyBorder="1" applyAlignment="1" applyProtection="1">
      <protection hidden="1"/>
    </xf>
    <xf numFmtId="0" fontId="0" fillId="0" borderId="0" xfId="0" applyFont="1" applyFill="1" applyAlignment="1">
      <alignment horizontal="right"/>
    </xf>
    <xf numFmtId="187" fontId="0" fillId="7" borderId="1" xfId="0" applyNumberFormat="1" applyFont="1" applyFill="1" applyBorder="1" applyAlignment="1" applyProtection="1">
      <protection hidden="1"/>
    </xf>
    <xf numFmtId="0" fontId="0" fillId="0" borderId="94" xfId="0" applyFont="1" applyFill="1" applyBorder="1" applyAlignment="1"/>
    <xf numFmtId="0" fontId="0" fillId="0" borderId="1" xfId="0" applyFont="1" applyFill="1" applyBorder="1" applyAlignment="1">
      <alignment horizontal="right"/>
    </xf>
    <xf numFmtId="187" fontId="0" fillId="0" borderId="1" xfId="0" applyNumberFormat="1" applyFont="1" applyFill="1" applyBorder="1" applyAlignment="1" applyProtection="1">
      <protection hidden="1"/>
    </xf>
    <xf numFmtId="187" fontId="0" fillId="0" borderId="0" xfId="0" applyNumberFormat="1" applyFont="1" applyFill="1" applyBorder="1" applyAlignment="1" applyProtection="1">
      <protection hidden="1"/>
    </xf>
    <xf numFmtId="188" fontId="0" fillId="7" borderId="1" xfId="0" applyNumberFormat="1" applyFont="1" applyFill="1" applyBorder="1" applyAlignment="1" applyProtection="1">
      <alignment horizontal="right"/>
      <protection hidden="1"/>
    </xf>
    <xf numFmtId="178" fontId="0" fillId="7" borderId="1" xfId="0" applyNumberFormat="1" applyFont="1" applyFill="1" applyBorder="1" applyAlignment="1" applyProtection="1">
      <protection hidden="1"/>
    </xf>
    <xf numFmtId="0" fontId="73" fillId="0" borderId="0" xfId="0" applyFont="1" applyFill="1" applyAlignment="1"/>
    <xf numFmtId="187" fontId="0" fillId="0" borderId="0" xfId="0" applyNumberFormat="1" applyFont="1" applyFill="1" applyAlignment="1" applyProtection="1">
      <protection hidden="1"/>
    </xf>
    <xf numFmtId="189" fontId="0" fillId="7" borderId="1" xfId="0" applyNumberFormat="1" applyFont="1" applyFill="1" applyBorder="1" applyAlignment="1" applyProtection="1">
      <protection hidden="1"/>
    </xf>
    <xf numFmtId="186" fontId="0" fillId="7" borderId="1" xfId="0" applyNumberFormat="1" applyFont="1" applyFill="1" applyBorder="1" applyAlignment="1" applyProtection="1">
      <alignment horizontal="left" indent="2"/>
      <protection hidden="1"/>
    </xf>
    <xf numFmtId="0" fontId="0" fillId="6" borderId="0" xfId="0" applyFont="1" applyFill="1" applyBorder="1" applyAlignment="1"/>
    <xf numFmtId="187" fontId="0" fillId="7" borderId="1" xfId="0" applyNumberFormat="1" applyFont="1" applyFill="1" applyBorder="1" applyAlignment="1"/>
    <xf numFmtId="0" fontId="0" fillId="15" borderId="94" xfId="0" applyFont="1" applyFill="1" applyBorder="1" applyAlignment="1"/>
    <xf numFmtId="178" fontId="0" fillId="7" borderId="1" xfId="0" applyNumberFormat="1" applyFont="1" applyFill="1" applyBorder="1" applyAlignment="1"/>
    <xf numFmtId="178" fontId="152" fillId="7" borderId="1" xfId="0" applyNumberFormat="1" applyFont="1" applyFill="1" applyBorder="1" applyAlignment="1"/>
    <xf numFmtId="0" fontId="30" fillId="6" borderId="0" xfId="0" applyFont="1" applyFill="1" applyAlignment="1"/>
    <xf numFmtId="186" fontId="0" fillId="7" borderId="0" xfId="0" applyNumberFormat="1" applyFont="1" applyFill="1" applyAlignment="1" applyProtection="1">
      <protection hidden="1"/>
    </xf>
    <xf numFmtId="0" fontId="0" fillId="10" borderId="0" xfId="0" applyFont="1" applyFill="1" applyAlignment="1"/>
    <xf numFmtId="0" fontId="90" fillId="0" borderId="1" xfId="0" applyFont="1" applyFill="1" applyBorder="1" applyAlignment="1">
      <alignment horizontal="center" vertical="center"/>
    </xf>
    <xf numFmtId="176" fontId="90" fillId="8" borderId="1" xfId="0" applyNumberFormat="1" applyFont="1" applyFill="1" applyBorder="1" applyAlignment="1">
      <alignment horizontal="center" vertical="center"/>
    </xf>
    <xf numFmtId="190" fontId="160" fillId="8" borderId="1" xfId="0" applyNumberFormat="1" applyFont="1" applyFill="1" applyBorder="1" applyAlignment="1">
      <alignment horizontal="center" vertical="center"/>
    </xf>
    <xf numFmtId="188" fontId="160" fillId="8" borderId="1" xfId="0" applyNumberFormat="1" applyFont="1" applyFill="1" applyBorder="1" applyAlignment="1">
      <alignment horizontal="center" vertical="center"/>
    </xf>
    <xf numFmtId="188" fontId="90" fillId="8" borderId="47" xfId="0" applyNumberFormat="1" applyFont="1" applyFill="1" applyBorder="1" applyAlignment="1">
      <alignment horizontal="center" vertical="center"/>
    </xf>
    <xf numFmtId="188" fontId="90" fillId="8" borderId="1" xfId="0" applyNumberFormat="1" applyFont="1" applyFill="1" applyBorder="1" applyAlignment="1">
      <alignment horizontal="center" vertical="center"/>
    </xf>
    <xf numFmtId="188" fontId="90" fillId="0" borderId="1" xfId="0" applyNumberFormat="1" applyFont="1" applyFill="1" applyBorder="1" applyAlignment="1">
      <alignment horizontal="center" vertical="center"/>
    </xf>
    <xf numFmtId="190" fontId="160" fillId="0" borderId="1" xfId="0" applyNumberFormat="1" applyFont="1" applyFill="1" applyBorder="1" applyAlignment="1">
      <alignment horizontal="center" vertical="center"/>
    </xf>
    <xf numFmtId="188" fontId="160" fillId="0" borderId="1" xfId="0" applyNumberFormat="1" applyFont="1" applyFill="1" applyBorder="1" applyAlignment="1">
      <alignment horizontal="center" vertical="center"/>
    </xf>
    <xf numFmtId="190" fontId="160" fillId="8" borderId="47" xfId="0" applyNumberFormat="1" applyFont="1" applyFill="1" applyBorder="1" applyAlignment="1">
      <alignment horizontal="center" vertical="center"/>
    </xf>
    <xf numFmtId="188" fontId="160" fillId="8" borderId="47" xfId="0" applyNumberFormat="1" applyFont="1" applyFill="1" applyBorder="1" applyAlignment="1">
      <alignment horizontal="center" vertical="center"/>
    </xf>
    <xf numFmtId="0" fontId="159" fillId="0" borderId="0" xfId="0" applyFont="1" applyFill="1" applyBorder="1" applyAlignment="1">
      <alignment vertical="center"/>
    </xf>
    <xf numFmtId="0" fontId="90" fillId="0" borderId="46" xfId="0" applyFont="1" applyFill="1" applyBorder="1" applyAlignment="1">
      <alignment horizontal="center" vertical="center"/>
    </xf>
    <xf numFmtId="0" fontId="90" fillId="0" borderId="0" xfId="0" applyFont="1" applyFill="1" applyBorder="1" applyAlignment="1">
      <alignment horizontal="center" vertical="center"/>
    </xf>
    <xf numFmtId="0" fontId="90" fillId="8" borderId="117" xfId="0" applyFont="1" applyFill="1" applyBorder="1" applyAlignment="1">
      <alignment vertical="center"/>
    </xf>
    <xf numFmtId="49" fontId="90" fillId="8" borderId="94" xfId="0" applyNumberFormat="1" applyFont="1" applyFill="1" applyBorder="1" applyAlignment="1">
      <alignment horizontal="left" vertical="center"/>
    </xf>
    <xf numFmtId="188" fontId="90" fillId="8" borderId="46" xfId="0" applyNumberFormat="1" applyFont="1" applyFill="1" applyBorder="1" applyAlignment="1">
      <alignment horizontal="center" vertical="center"/>
    </xf>
    <xf numFmtId="188" fontId="90" fillId="0" borderId="0" xfId="0" applyNumberFormat="1" applyFont="1" applyFill="1" applyBorder="1" applyAlignment="1">
      <alignment horizontal="center" vertical="center"/>
    </xf>
    <xf numFmtId="0" fontId="90" fillId="0" borderId="117" xfId="0" applyFont="1" applyFill="1" applyBorder="1" applyAlignment="1">
      <alignment vertical="center"/>
    </xf>
    <xf numFmtId="49" fontId="90" fillId="0" borderId="94" xfId="0" applyNumberFormat="1" applyFont="1" applyFill="1" applyBorder="1" applyAlignment="1">
      <alignment horizontal="left" vertical="center"/>
    </xf>
    <xf numFmtId="188" fontId="90" fillId="0" borderId="46" xfId="0" applyNumberFormat="1" applyFont="1" applyFill="1" applyBorder="1" applyAlignment="1">
      <alignment horizontal="center" vertical="center"/>
    </xf>
    <xf numFmtId="0" fontId="90" fillId="8" borderId="22" xfId="0" applyFont="1" applyFill="1" applyBorder="1" applyAlignment="1">
      <alignment vertical="center"/>
    </xf>
    <xf numFmtId="49" fontId="90" fillId="8" borderId="153" xfId="0" applyNumberFormat="1" applyFont="1" applyFill="1" applyBorder="1" applyAlignment="1">
      <alignment horizontal="left" vertical="center"/>
    </xf>
    <xf numFmtId="188" fontId="90" fillId="8" borderId="48" xfId="0" applyNumberFormat="1" applyFont="1" applyFill="1" applyBorder="1" applyAlignment="1">
      <alignment horizontal="center" vertical="center"/>
    </xf>
    <xf numFmtId="0" fontId="90" fillId="0" borderId="44" xfId="0" applyFont="1" applyFill="1" applyBorder="1" applyAlignment="1">
      <alignment horizontal="center" vertical="center"/>
    </xf>
    <xf numFmtId="183" fontId="90" fillId="8" borderId="117" xfId="0" applyNumberFormat="1" applyFont="1" applyFill="1" applyBorder="1" applyAlignment="1">
      <alignment horizontal="right" vertical="center"/>
    </xf>
    <xf numFmtId="0" fontId="90" fillId="8" borderId="94" xfId="0" applyFont="1" applyFill="1" applyBorder="1" applyAlignment="1">
      <alignment vertical="center"/>
    </xf>
    <xf numFmtId="190" fontId="90" fillId="8" borderId="1" xfId="0" applyNumberFormat="1" applyFont="1" applyFill="1" applyBorder="1" applyAlignment="1">
      <alignment horizontal="center" vertical="center"/>
    </xf>
    <xf numFmtId="183" fontId="90" fillId="0" borderId="117" xfId="0" applyNumberFormat="1" applyFont="1" applyFill="1" applyBorder="1" applyAlignment="1">
      <alignment horizontal="right" vertical="center"/>
    </xf>
    <xf numFmtId="0" fontId="90" fillId="0" borderId="94" xfId="0" applyFont="1" applyFill="1" applyBorder="1" applyAlignment="1">
      <alignment vertical="center"/>
    </xf>
    <xf numFmtId="190" fontId="90" fillId="0" borderId="1" xfId="0" applyNumberFormat="1" applyFont="1" applyFill="1" applyBorder="1" applyAlignment="1">
      <alignment horizontal="center" vertical="center"/>
    </xf>
    <xf numFmtId="49" fontId="90" fillId="8" borderId="94" xfId="0" applyNumberFormat="1" applyFont="1" applyFill="1" applyBorder="1" applyAlignment="1">
      <alignment vertical="center"/>
    </xf>
    <xf numFmtId="49" fontId="90" fillId="0" borderId="94" xfId="0" applyNumberFormat="1" applyFont="1" applyFill="1" applyBorder="1" applyAlignment="1">
      <alignment vertical="center"/>
    </xf>
    <xf numFmtId="183" fontId="90" fillId="8" borderId="155" xfId="0" applyNumberFormat="1" applyFont="1" applyFill="1" applyBorder="1" applyAlignment="1">
      <alignment horizontal="right" vertical="center"/>
    </xf>
    <xf numFmtId="49" fontId="90" fillId="8" borderId="153" xfId="0" applyNumberFormat="1" applyFont="1" applyFill="1" applyBorder="1" applyAlignment="1">
      <alignment vertical="center"/>
    </xf>
    <xf numFmtId="190" fontId="90" fillId="8" borderId="47" xfId="0" applyNumberFormat="1" applyFont="1" applyFill="1" applyBorder="1" applyAlignment="1">
      <alignment horizontal="center" vertical="center"/>
    </xf>
    <xf numFmtId="0" fontId="160" fillId="0" borderId="93" xfId="0" applyFont="1" applyFill="1" applyBorder="1" applyAlignment="1">
      <alignment horizontal="center" vertical="center"/>
    </xf>
    <xf numFmtId="176" fontId="162" fillId="7" borderId="93" xfId="0" applyNumberFormat="1" applyFont="1" applyFill="1" applyBorder="1" applyAlignment="1">
      <alignment horizontal="center" vertical="center"/>
    </xf>
    <xf numFmtId="183" fontId="162" fillId="39" borderId="46" xfId="0" applyNumberFormat="1" applyFont="1" applyFill="1" applyBorder="1" applyAlignment="1">
      <alignment horizontal="center" vertical="center"/>
    </xf>
    <xf numFmtId="176" fontId="162" fillId="0" borderId="93" xfId="0" applyNumberFormat="1" applyFont="1" applyFill="1" applyBorder="1" applyAlignment="1">
      <alignment horizontal="center" vertical="center"/>
    </xf>
    <xf numFmtId="183" fontId="162" fillId="0" borderId="46" xfId="0" applyNumberFormat="1" applyFont="1" applyFill="1" applyBorder="1" applyAlignment="1">
      <alignment horizontal="center" vertical="center"/>
    </xf>
    <xf numFmtId="176" fontId="162" fillId="7" borderId="156" xfId="0" applyNumberFormat="1" applyFont="1" applyFill="1" applyBorder="1" applyAlignment="1">
      <alignment horizontal="center" vertical="center"/>
    </xf>
    <xf numFmtId="183" fontId="162" fillId="39" borderId="48" xfId="0" applyNumberFormat="1" applyFont="1" applyFill="1" applyBorder="1" applyAlignment="1">
      <alignment horizontal="center" vertical="center"/>
    </xf>
    <xf numFmtId="190" fontId="160" fillId="0" borderId="0" xfId="0" applyNumberFormat="1" applyFont="1" applyFill="1" applyBorder="1" applyAlignment="1">
      <alignment horizontal="center" vertical="center"/>
    </xf>
    <xf numFmtId="0" fontId="90" fillId="0" borderId="45" xfId="0" applyFont="1" applyFill="1" applyBorder="1" applyAlignment="1">
      <alignment horizontal="center" vertical="center"/>
    </xf>
    <xf numFmtId="190" fontId="90" fillId="8" borderId="46" xfId="0" applyNumberFormat="1" applyFont="1" applyFill="1" applyBorder="1" applyAlignment="1">
      <alignment horizontal="center" vertical="center"/>
    </xf>
    <xf numFmtId="183" fontId="90" fillId="0" borderId="0" xfId="0" applyNumberFormat="1" applyFont="1" applyFill="1" applyBorder="1" applyAlignment="1">
      <alignment horizontal="right" vertical="center"/>
    </xf>
    <xf numFmtId="190" fontId="90" fillId="0" borderId="46" xfId="0" applyNumberFormat="1" applyFont="1" applyFill="1" applyBorder="1" applyAlignment="1">
      <alignment horizontal="center" vertical="center"/>
    </xf>
    <xf numFmtId="190" fontId="90" fillId="8" borderId="48" xfId="0" applyNumberFormat="1" applyFont="1" applyFill="1" applyBorder="1" applyAlignment="1">
      <alignment horizontal="center" vertical="center"/>
    </xf>
    <xf numFmtId="0" fontId="77" fillId="0" borderId="0" xfId="5" applyFont="1" applyFill="1" applyAlignment="1">
      <alignment vertical="center"/>
    </xf>
    <xf numFmtId="0" fontId="163" fillId="0" borderId="0" xfId="6" applyAlignment="1">
      <alignment vertical="center"/>
    </xf>
    <xf numFmtId="0" fontId="163" fillId="0" borderId="0" xfId="6">
      <alignment vertical="center"/>
    </xf>
    <xf numFmtId="0" fontId="164" fillId="0" borderId="38" xfId="5" applyFont="1" applyFill="1" applyBorder="1" applyAlignment="1">
      <alignment horizontal="center" vertical="center"/>
    </xf>
    <xf numFmtId="0" fontId="164" fillId="0" borderId="44" xfId="5" applyFont="1" applyFill="1" applyBorder="1" applyAlignment="1">
      <alignment horizontal="center" vertical="center"/>
    </xf>
    <xf numFmtId="0" fontId="165" fillId="0" borderId="44" xfId="5" applyFont="1" applyFill="1" applyBorder="1" applyAlignment="1">
      <alignment horizontal="center" vertical="center"/>
    </xf>
    <xf numFmtId="0" fontId="165" fillId="0" borderId="45" xfId="5" applyFont="1" applyFill="1" applyBorder="1" applyAlignment="1">
      <alignment horizontal="center" vertical="center"/>
    </xf>
    <xf numFmtId="0" fontId="77" fillId="23" borderId="39" xfId="5" applyFont="1" applyFill="1" applyBorder="1" applyAlignment="1">
      <alignment horizontal="center" vertical="center"/>
    </xf>
    <xf numFmtId="0" fontId="165" fillId="23" borderId="1" xfId="5" applyFont="1" applyFill="1" applyBorder="1" applyAlignment="1">
      <alignment horizontal="center" vertical="center"/>
    </xf>
    <xf numFmtId="0" fontId="77" fillId="23" borderId="1" xfId="5" applyFont="1" applyFill="1" applyBorder="1" applyAlignment="1">
      <alignment horizontal="center" vertical="center"/>
    </xf>
    <xf numFmtId="0" fontId="77" fillId="23" borderId="46" xfId="5" applyFont="1" applyFill="1" applyBorder="1" applyAlignment="1">
      <alignment horizontal="center" vertical="center"/>
    </xf>
    <xf numFmtId="0" fontId="77" fillId="0" borderId="39" xfId="6" applyFont="1" applyBorder="1" applyAlignment="1">
      <alignment horizontal="center" vertical="center"/>
    </xf>
    <xf numFmtId="0" fontId="77" fillId="0" borderId="1" xfId="6" applyFont="1" applyBorder="1" applyAlignment="1">
      <alignment horizontal="center" vertical="center"/>
    </xf>
    <xf numFmtId="0" fontId="77" fillId="0" borderId="46" xfId="6" applyFont="1" applyBorder="1" applyAlignment="1">
      <alignment horizontal="center" vertical="center"/>
    </xf>
    <xf numFmtId="0" fontId="163" fillId="0" borderId="0" xfId="6" applyBorder="1" applyAlignment="1">
      <alignment horizontal="center" vertical="center"/>
    </xf>
    <xf numFmtId="0" fontId="166" fillId="0" borderId="39" xfId="6" applyFont="1" applyBorder="1" applyAlignment="1">
      <alignment horizontal="center" vertical="center"/>
    </xf>
    <xf numFmtId="0" fontId="166" fillId="0" borderId="1" xfId="6" applyFont="1" applyBorder="1" applyAlignment="1">
      <alignment horizontal="center" vertical="center"/>
    </xf>
    <xf numFmtId="0" fontId="166" fillId="0" borderId="46" xfId="6" applyFont="1" applyBorder="1" applyAlignment="1">
      <alignment horizontal="center" vertical="center"/>
    </xf>
    <xf numFmtId="0" fontId="163" fillId="0" borderId="0" xfId="6" applyAlignment="1">
      <alignment horizontal="center" vertical="center"/>
    </xf>
    <xf numFmtId="0" fontId="163" fillId="0" borderId="0" xfId="6" applyBorder="1">
      <alignment vertical="center"/>
    </xf>
    <xf numFmtId="0" fontId="163" fillId="0" borderId="0" xfId="6" applyBorder="1" applyAlignment="1">
      <alignment vertical="center"/>
    </xf>
    <xf numFmtId="0" fontId="77" fillId="13" borderId="39" xfId="5" applyFont="1" applyFill="1" applyBorder="1" applyAlignment="1">
      <alignment horizontal="center" vertical="center"/>
    </xf>
    <xf numFmtId="0" fontId="165" fillId="13" borderId="1" xfId="5" applyFont="1" applyFill="1" applyBorder="1" applyAlignment="1">
      <alignment horizontal="center" vertical="center"/>
    </xf>
    <xf numFmtId="0" fontId="77" fillId="13" borderId="1" xfId="6" applyFont="1" applyFill="1" applyBorder="1" applyAlignment="1">
      <alignment horizontal="center" vertical="center"/>
    </xf>
    <xf numFmtId="0" fontId="77" fillId="13" borderId="1" xfId="5" applyFont="1" applyFill="1" applyBorder="1" applyAlignment="1">
      <alignment horizontal="center" vertical="center"/>
    </xf>
    <xf numFmtId="0" fontId="77" fillId="13" borderId="46" xfId="5" applyFont="1" applyFill="1" applyBorder="1" applyAlignment="1">
      <alignment horizontal="center" vertical="center"/>
    </xf>
    <xf numFmtId="0" fontId="69" fillId="0" borderId="1" xfId="6" applyFont="1" applyBorder="1" applyAlignment="1">
      <alignment horizontal="center" vertical="center"/>
    </xf>
    <xf numFmtId="0" fontId="69" fillId="0" borderId="46" xfId="6" applyFont="1" applyBorder="1" applyAlignment="1">
      <alignment horizontal="center" vertical="center"/>
    </xf>
    <xf numFmtId="0" fontId="69" fillId="0" borderId="1" xfId="6" applyFont="1" applyBorder="1" applyAlignment="1">
      <alignment horizontal="center" vertical="center" wrapText="1"/>
    </xf>
    <xf numFmtId="0" fontId="77" fillId="0" borderId="1" xfId="6" applyFont="1" applyBorder="1" applyAlignment="1">
      <alignment horizontal="center" vertical="center" wrapText="1"/>
    </xf>
    <xf numFmtId="0" fontId="77" fillId="0" borderId="0" xfId="5" applyFont="1" applyFill="1"/>
    <xf numFmtId="0" fontId="77" fillId="23" borderId="0" xfId="5" applyFont="1" applyFill="1"/>
    <xf numFmtId="0" fontId="77" fillId="0" borderId="0" xfId="5" applyFont="1" applyAlignment="1">
      <alignment horizontal="center"/>
    </xf>
    <xf numFmtId="0" fontId="77" fillId="0" borderId="0" xfId="5" applyFont="1"/>
    <xf numFmtId="0" fontId="77" fillId="0" borderId="158" xfId="5" applyFont="1" applyFill="1" applyBorder="1" applyAlignment="1">
      <alignment horizontal="center"/>
    </xf>
    <xf numFmtId="0" fontId="77" fillId="0" borderId="159" xfId="5" applyFont="1" applyFill="1" applyBorder="1" applyAlignment="1">
      <alignment horizontal="center"/>
    </xf>
    <xf numFmtId="0" fontId="77" fillId="0" borderId="160" xfId="5" applyFont="1" applyFill="1" applyBorder="1" applyAlignment="1">
      <alignment horizontal="center"/>
    </xf>
    <xf numFmtId="0" fontId="164" fillId="23" borderId="38" xfId="5" applyFont="1" applyFill="1" applyBorder="1" applyAlignment="1">
      <alignment horizontal="center"/>
    </xf>
    <xf numFmtId="0" fontId="77" fillId="23" borderId="44" xfId="5" applyFont="1" applyFill="1" applyBorder="1" applyAlignment="1">
      <alignment horizontal="center"/>
    </xf>
    <xf numFmtId="0" fontId="77" fillId="23" borderId="45" xfId="5" applyFont="1" applyFill="1" applyBorder="1" applyAlignment="1">
      <alignment horizontal="center"/>
    </xf>
    <xf numFmtId="0" fontId="77" fillId="0" borderId="39" xfId="5" applyFont="1" applyFill="1" applyBorder="1" applyAlignment="1">
      <alignment horizontal="center"/>
    </xf>
    <xf numFmtId="0" fontId="77" fillId="0" borderId="1" xfId="5" applyFont="1" applyFill="1" applyBorder="1" applyAlignment="1">
      <alignment horizontal="center"/>
    </xf>
    <xf numFmtId="0" fontId="77" fillId="0" borderId="46" xfId="5" applyFont="1" applyFill="1" applyBorder="1" applyAlignment="1">
      <alignment horizontal="center"/>
    </xf>
    <xf numFmtId="0" fontId="164" fillId="0" borderId="39" xfId="5" applyFont="1" applyFill="1" applyBorder="1" applyAlignment="1">
      <alignment horizontal="center"/>
    </xf>
    <xf numFmtId="0" fontId="77" fillId="0" borderId="40" xfId="5" applyFont="1" applyFill="1" applyBorder="1" applyAlignment="1">
      <alignment horizontal="center"/>
    </xf>
    <xf numFmtId="0" fontId="77" fillId="0" borderId="47" xfId="5" applyFont="1" applyFill="1" applyBorder="1" applyAlignment="1">
      <alignment horizontal="center"/>
    </xf>
    <xf numFmtId="0" fontId="77" fillId="0" borderId="48" xfId="5" applyFont="1" applyFill="1" applyBorder="1" applyAlignment="1">
      <alignment horizontal="center"/>
    </xf>
    <xf numFmtId="0" fontId="77" fillId="23" borderId="38" xfId="5" applyFont="1" applyFill="1" applyBorder="1" applyAlignment="1">
      <alignment horizontal="center"/>
    </xf>
    <xf numFmtId="0" fontId="77" fillId="23" borderId="63" xfId="5" applyFont="1" applyFill="1" applyBorder="1" applyAlignment="1">
      <alignment horizontal="center"/>
    </xf>
    <xf numFmtId="0" fontId="77" fillId="23" borderId="120" xfId="5" applyFont="1" applyFill="1" applyBorder="1" applyAlignment="1">
      <alignment horizontal="center"/>
    </xf>
    <xf numFmtId="0" fontId="77" fillId="0" borderId="115" xfId="5" applyFont="1" applyFill="1" applyBorder="1" applyAlignment="1">
      <alignment horizontal="center"/>
    </xf>
    <xf numFmtId="0" fontId="167" fillId="0" borderId="38" xfId="5" applyFont="1" applyFill="1" applyBorder="1" applyAlignment="1">
      <alignment horizontal="center" vertical="center"/>
    </xf>
    <xf numFmtId="0" fontId="167" fillId="0" borderId="44" xfId="5" applyFont="1" applyFill="1" applyBorder="1" applyAlignment="1">
      <alignment horizontal="center" vertical="center"/>
    </xf>
    <xf numFmtId="0" fontId="168" fillId="0" borderId="44" xfId="5" applyFont="1" applyFill="1" applyBorder="1" applyAlignment="1">
      <alignment horizontal="center" vertical="center"/>
    </xf>
    <xf numFmtId="0" fontId="168" fillId="0" borderId="45" xfId="5" applyFont="1" applyFill="1" applyBorder="1" applyAlignment="1">
      <alignment horizontal="center" vertical="center"/>
    </xf>
    <xf numFmtId="0" fontId="166" fillId="23" borderId="39" xfId="5" applyFont="1" applyFill="1" applyBorder="1" applyAlignment="1">
      <alignment horizontal="center" vertical="center"/>
    </xf>
    <xf numFmtId="0" fontId="168" fillId="23" borderId="1" xfId="5" applyFont="1" applyFill="1" applyBorder="1" applyAlignment="1">
      <alignment horizontal="center" vertical="center"/>
    </xf>
    <xf numFmtId="0" fontId="166" fillId="23" borderId="1" xfId="5" applyFont="1" applyFill="1" applyBorder="1" applyAlignment="1">
      <alignment horizontal="center" vertical="center"/>
    </xf>
    <xf numFmtId="0" fontId="166" fillId="23" borderId="46" xfId="5" applyFont="1" applyFill="1" applyBorder="1" applyAlignment="1">
      <alignment horizontal="center" vertical="center"/>
    </xf>
    <xf numFmtId="0" fontId="77" fillId="0" borderId="60" xfId="7" applyFont="1" applyBorder="1" applyAlignment="1">
      <alignment horizontal="center" vertical="center"/>
    </xf>
    <xf numFmtId="0" fontId="77" fillId="0" borderId="36" xfId="7" applyFont="1" applyBorder="1" applyAlignment="1">
      <alignment horizontal="center" vertical="center"/>
    </xf>
    <xf numFmtId="0" fontId="77" fillId="0" borderId="94" xfId="7" applyFont="1" applyBorder="1" applyAlignment="1">
      <alignment horizontal="center" vertical="center"/>
    </xf>
    <xf numFmtId="0" fontId="77" fillId="0" borderId="1" xfId="7" applyFont="1" applyBorder="1" applyAlignment="1">
      <alignment horizontal="center" vertical="center"/>
    </xf>
    <xf numFmtId="0" fontId="77" fillId="0" borderId="93" xfId="7" applyFont="1" applyBorder="1" applyAlignment="1">
      <alignment horizontal="center" vertical="center"/>
    </xf>
    <xf numFmtId="0" fontId="77" fillId="0" borderId="46" xfId="7" applyFont="1" applyBorder="1" applyAlignment="1">
      <alignment horizontal="center" vertical="center"/>
    </xf>
    <xf numFmtId="0" fontId="166" fillId="0" borderId="1" xfId="6" applyFont="1" applyBorder="1" applyAlignment="1">
      <alignment horizontal="left" vertical="center" wrapText="1"/>
    </xf>
    <xf numFmtId="0" fontId="169" fillId="0" borderId="1" xfId="6" applyFont="1" applyBorder="1" applyAlignment="1">
      <alignment horizontal="center" vertical="center"/>
    </xf>
    <xf numFmtId="0" fontId="77" fillId="0" borderId="0" xfId="6" applyFont="1">
      <alignment vertical="center"/>
    </xf>
    <xf numFmtId="0" fontId="167" fillId="0" borderId="45" xfId="5" applyFont="1" applyFill="1" applyBorder="1" applyAlignment="1">
      <alignment horizontal="center" vertical="center"/>
    </xf>
    <xf numFmtId="0" fontId="167" fillId="23" borderId="1" xfId="5" applyFont="1" applyFill="1" applyBorder="1" applyAlignment="1">
      <alignment horizontal="center" vertical="center"/>
    </xf>
    <xf numFmtId="0" fontId="18" fillId="0" borderId="39" xfId="0" applyFont="1" applyFill="1" applyBorder="1" applyAlignment="1">
      <alignment horizontal="center" vertical="center" wrapText="1"/>
    </xf>
    <xf numFmtId="0" fontId="170" fillId="0" borderId="36" xfId="0" applyFont="1" applyFill="1" applyBorder="1" applyAlignment="1">
      <alignment horizontal="center" vertical="center" wrapText="1"/>
    </xf>
    <xf numFmtId="0" fontId="171" fillId="0" borderId="36" xfId="0" applyFont="1" applyFill="1" applyBorder="1" applyAlignment="1">
      <alignment horizontal="center" vertical="center" wrapText="1"/>
    </xf>
    <xf numFmtId="0" fontId="18" fillId="0" borderId="36" xfId="0" applyFont="1" applyFill="1" applyBorder="1" applyAlignment="1">
      <alignment horizontal="center" vertical="center" wrapText="1"/>
    </xf>
    <xf numFmtId="0" fontId="18" fillId="0" borderId="64" xfId="0" applyFont="1" applyFill="1" applyBorder="1" applyAlignment="1">
      <alignment horizontal="center" vertical="center" wrapText="1"/>
    </xf>
    <xf numFmtId="0" fontId="77" fillId="34" borderId="1" xfId="5" applyFont="1" applyFill="1" applyBorder="1" applyAlignment="1">
      <alignment horizontal="center" vertical="center"/>
    </xf>
    <xf numFmtId="0" fontId="69" fillId="34" borderId="1" xfId="5" applyFont="1" applyFill="1" applyBorder="1" applyAlignment="1">
      <alignment horizontal="center" vertical="center" wrapText="1"/>
    </xf>
    <xf numFmtId="0" fontId="77" fillId="34" borderId="46" xfId="5" applyFont="1" applyFill="1" applyBorder="1" applyAlignment="1">
      <alignment horizontal="center" vertical="center"/>
    </xf>
    <xf numFmtId="0" fontId="166" fillId="0" borderId="39" xfId="5" applyFont="1" applyFill="1" applyBorder="1" applyAlignment="1">
      <alignment horizontal="center" vertical="center"/>
    </xf>
    <xf numFmtId="0" fontId="77" fillId="0" borderId="1" xfId="5" applyFont="1" applyFill="1" applyBorder="1" applyAlignment="1">
      <alignment horizontal="center" vertical="center"/>
    </xf>
    <xf numFmtId="0" fontId="77" fillId="0" borderId="1" xfId="5" applyFont="1" applyFill="1" applyBorder="1" applyAlignment="1">
      <alignment horizontal="center" vertical="center" wrapText="1"/>
    </xf>
    <xf numFmtId="0" fontId="69" fillId="0" borderId="1" xfId="5" applyFont="1" applyFill="1" applyBorder="1" applyAlignment="1">
      <alignment horizontal="center" vertical="center"/>
    </xf>
    <xf numFmtId="0" fontId="77" fillId="0" borderId="46" xfId="5" applyFont="1" applyFill="1" applyBorder="1" applyAlignment="1">
      <alignment horizontal="center" vertical="center"/>
    </xf>
    <xf numFmtId="0" fontId="167" fillId="0" borderId="1" xfId="5" applyFont="1" applyFill="1" applyBorder="1" applyAlignment="1">
      <alignment horizontal="center" vertical="center"/>
    </xf>
    <xf numFmtId="0" fontId="166" fillId="0" borderId="1" xfId="5" applyFont="1" applyFill="1" applyBorder="1" applyAlignment="1">
      <alignment horizontal="center" vertical="center"/>
    </xf>
    <xf numFmtId="0" fontId="166" fillId="0" borderId="46" xfId="5" applyFont="1" applyFill="1" applyBorder="1" applyAlignment="1">
      <alignment horizontal="center" vertical="center"/>
    </xf>
    <xf numFmtId="0" fontId="167" fillId="0" borderId="38" xfId="5" applyFont="1" applyFill="1" applyBorder="1" applyAlignment="1">
      <alignment horizontal="center" vertical="center" wrapText="1"/>
    </xf>
    <xf numFmtId="0" fontId="167" fillId="0" borderId="44" xfId="5" applyFont="1" applyFill="1" applyBorder="1" applyAlignment="1">
      <alignment horizontal="center" vertical="center" wrapText="1"/>
    </xf>
    <xf numFmtId="0" fontId="167" fillId="0" borderId="45" xfId="5" applyFont="1" applyFill="1" applyBorder="1" applyAlignment="1">
      <alignment horizontal="center" vertical="center" wrapText="1"/>
    </xf>
    <xf numFmtId="0" fontId="166" fillId="23" borderId="39" xfId="5" applyFont="1" applyFill="1" applyBorder="1" applyAlignment="1">
      <alignment horizontal="center" vertical="center" wrapText="1"/>
    </xf>
    <xf numFmtId="0" fontId="167" fillId="23" borderId="1" xfId="5" applyFont="1" applyFill="1" applyBorder="1" applyAlignment="1">
      <alignment horizontal="center" vertical="center" wrapText="1"/>
    </xf>
    <xf numFmtId="0" fontId="166" fillId="23" borderId="1" xfId="5" applyFont="1" applyFill="1" applyBorder="1" applyAlignment="1">
      <alignment horizontal="center" vertical="center" wrapText="1"/>
    </xf>
    <xf numFmtId="0" fontId="166" fillId="23" borderId="46" xfId="5" applyFont="1" applyFill="1" applyBorder="1" applyAlignment="1">
      <alignment horizontal="center" vertical="center" wrapText="1"/>
    </xf>
    <xf numFmtId="0" fontId="77" fillId="0" borderId="39" xfId="13" applyFont="1" applyBorder="1" applyAlignment="1">
      <alignment horizontal="center" vertical="center" wrapText="1"/>
    </xf>
    <xf numFmtId="0" fontId="77" fillId="0" borderId="1" xfId="13" applyFont="1" applyBorder="1" applyAlignment="1">
      <alignment horizontal="center" vertical="center" wrapText="1"/>
    </xf>
    <xf numFmtId="0" fontId="77" fillId="0" borderId="46" xfId="13" applyFont="1" applyBorder="1" applyAlignment="1">
      <alignment horizontal="center" vertical="center" wrapText="1"/>
    </xf>
    <xf numFmtId="0" fontId="77" fillId="20" borderId="1" xfId="13" applyFont="1" applyFill="1" applyBorder="1" applyAlignment="1">
      <alignment horizontal="center" vertical="center" wrapText="1"/>
    </xf>
    <xf numFmtId="0" fontId="77" fillId="20" borderId="46" xfId="13" applyFont="1" applyFill="1" applyBorder="1" applyAlignment="1">
      <alignment horizontal="center" vertical="center" wrapText="1"/>
    </xf>
    <xf numFmtId="0" fontId="77" fillId="0" borderId="1" xfId="13" applyFont="1" applyFill="1" applyBorder="1" applyAlignment="1">
      <alignment horizontal="center" vertical="center" wrapText="1"/>
    </xf>
    <xf numFmtId="0" fontId="77" fillId="0" borderId="46" xfId="13" applyFont="1" applyFill="1" applyBorder="1" applyAlignment="1">
      <alignment horizontal="center" vertical="center" wrapText="1"/>
    </xf>
    <xf numFmtId="0" fontId="172" fillId="0" borderId="39" xfId="13" applyFont="1" applyBorder="1" applyAlignment="1">
      <alignment horizontal="center" vertical="center"/>
    </xf>
    <xf numFmtId="0" fontId="172" fillId="0" borderId="1" xfId="13" applyFont="1" applyBorder="1" applyAlignment="1">
      <alignment horizontal="center" vertical="center"/>
    </xf>
    <xf numFmtId="0" fontId="172" fillId="0" borderId="1" xfId="13" applyFont="1" applyBorder="1" applyAlignment="1">
      <alignment horizontal="center" vertical="center" wrapText="1"/>
    </xf>
    <xf numFmtId="0" fontId="172" fillId="0" borderId="46" xfId="13" applyFont="1" applyBorder="1" applyAlignment="1">
      <alignment horizontal="center" vertical="center"/>
    </xf>
    <xf numFmtId="0" fontId="77" fillId="34" borderId="1" xfId="5" applyFont="1" applyFill="1" applyBorder="1" applyAlignment="1">
      <alignment horizontal="center" vertical="center" wrapText="1"/>
    </xf>
    <xf numFmtId="0" fontId="77" fillId="34" borderId="1" xfId="5" applyFont="1" applyFill="1" applyBorder="1" applyAlignment="1">
      <alignment vertical="center"/>
    </xf>
    <xf numFmtId="0" fontId="77" fillId="0" borderId="1" xfId="5" applyFont="1" applyFill="1" applyBorder="1" applyAlignment="1">
      <alignment vertical="center"/>
    </xf>
    <xf numFmtId="0" fontId="69" fillId="0" borderId="1" xfId="5" applyFont="1" applyFill="1" applyBorder="1" applyAlignment="1">
      <alignment horizontal="center" vertical="center" wrapText="1"/>
    </xf>
    <xf numFmtId="0" fontId="77" fillId="34" borderId="1" xfId="5" applyFont="1" applyFill="1" applyBorder="1" applyAlignment="1">
      <alignment vertical="center" wrapText="1"/>
    </xf>
    <xf numFmtId="0" fontId="77" fillId="34" borderId="46" xfId="5" applyFont="1" applyFill="1" applyBorder="1" applyAlignment="1">
      <alignment vertical="center"/>
    </xf>
    <xf numFmtId="0" fontId="77" fillId="0" borderId="0" xfId="5" applyFont="1" applyAlignment="1">
      <alignment vertical="center"/>
    </xf>
    <xf numFmtId="0" fontId="77" fillId="0" borderId="39" xfId="5" applyFont="1" applyBorder="1" applyAlignment="1">
      <alignment horizontal="center" vertical="center"/>
    </xf>
    <xf numFmtId="0" fontId="18" fillId="0" borderId="1" xfId="0" applyFont="1" applyFill="1" applyBorder="1" applyAlignment="1">
      <alignment horizontal="center" vertical="center" wrapText="1"/>
    </xf>
    <xf numFmtId="0" fontId="77" fillId="0" borderId="1" xfId="5" applyFont="1" applyBorder="1" applyAlignment="1">
      <alignment horizontal="center" vertical="center"/>
    </xf>
    <xf numFmtId="0" fontId="77" fillId="0" borderId="46" xfId="5" applyFont="1" applyBorder="1" applyAlignment="1">
      <alignment horizontal="center" vertical="center"/>
    </xf>
    <xf numFmtId="0" fontId="18" fillId="0" borderId="46" xfId="0" applyFont="1" applyFill="1" applyBorder="1" applyAlignment="1">
      <alignment horizontal="center" vertical="center" wrapText="1"/>
    </xf>
    <xf numFmtId="0" fontId="77" fillId="0" borderId="1" xfId="0" applyFont="1" applyFill="1" applyBorder="1" applyAlignment="1">
      <alignment horizontal="center" vertical="center" wrapText="1"/>
    </xf>
    <xf numFmtId="0" fontId="77" fillId="0" borderId="1" xfId="5" applyFont="1" applyBorder="1" applyAlignment="1">
      <alignment horizontal="center" vertical="center" wrapText="1"/>
    </xf>
    <xf numFmtId="0" fontId="164" fillId="0" borderId="1" xfId="0" applyFont="1" applyFill="1" applyBorder="1" applyAlignment="1">
      <alignment horizontal="center" vertical="center" wrapText="1"/>
    </xf>
    <xf numFmtId="0" fontId="173" fillId="0" borderId="0" xfId="0" applyFont="1" applyFill="1" applyAlignment="1"/>
    <xf numFmtId="178" fontId="173" fillId="0" borderId="0" xfId="0" applyNumberFormat="1" applyFont="1" applyFill="1" applyAlignment="1"/>
    <xf numFmtId="179" fontId="173" fillId="0" borderId="0" xfId="0" applyNumberFormat="1" applyFont="1" applyFill="1" applyAlignment="1"/>
    <xf numFmtId="0" fontId="53" fillId="12" borderId="0" xfId="0" applyFont="1" applyFill="1" applyAlignment="1"/>
    <xf numFmtId="178" fontId="173" fillId="0" borderId="0" xfId="0" applyNumberFormat="1" applyFont="1" applyFill="1" applyAlignment="1">
      <alignment horizontal="right"/>
    </xf>
    <xf numFmtId="0" fontId="20" fillId="0" borderId="0" xfId="0" applyFont="1" applyFill="1" applyAlignment="1"/>
    <xf numFmtId="0" fontId="173" fillId="24" borderId="0" xfId="0" applyFont="1" applyFill="1" applyAlignment="1"/>
    <xf numFmtId="0" fontId="20" fillId="20" borderId="0" xfId="0" applyFont="1" applyFill="1" applyAlignment="1"/>
    <xf numFmtId="179" fontId="173" fillId="33" borderId="0" xfId="0" applyNumberFormat="1" applyFont="1" applyFill="1" applyAlignment="1"/>
    <xf numFmtId="178" fontId="173" fillId="20" borderId="0" xfId="0" applyNumberFormat="1" applyFont="1" applyFill="1" applyAlignment="1"/>
    <xf numFmtId="188" fontId="173" fillId="33" borderId="0" xfId="0" applyNumberFormat="1" applyFont="1" applyFill="1" applyAlignment="1"/>
    <xf numFmtId="176" fontId="173" fillId="20" borderId="0" xfId="0" applyNumberFormat="1" applyFont="1" applyFill="1" applyAlignment="1"/>
    <xf numFmtId="0" fontId="174" fillId="24" borderId="0" xfId="0" applyFont="1" applyFill="1" applyAlignment="1"/>
    <xf numFmtId="0" fontId="20" fillId="20" borderId="0" xfId="0" applyFont="1" applyFill="1" applyAlignment="1">
      <alignment shrinkToFit="1"/>
    </xf>
    <xf numFmtId="0" fontId="20" fillId="24" borderId="0" xfId="0" applyFont="1" applyFill="1" applyAlignment="1"/>
    <xf numFmtId="179" fontId="20" fillId="33" borderId="0" xfId="0" applyNumberFormat="1" applyFont="1" applyFill="1" applyAlignment="1"/>
    <xf numFmtId="191" fontId="20" fillId="33" borderId="0" xfId="0" applyNumberFormat="1" applyFont="1" applyFill="1" applyAlignment="1"/>
    <xf numFmtId="176" fontId="173" fillId="33" borderId="0" xfId="0" applyNumberFormat="1" applyFont="1" applyFill="1" applyAlignment="1"/>
    <xf numFmtId="0" fontId="173" fillId="34" borderId="0" xfId="0" applyFont="1" applyFill="1" applyAlignment="1"/>
    <xf numFmtId="178" fontId="173" fillId="34" borderId="0" xfId="0" applyNumberFormat="1" applyFont="1" applyFill="1" applyAlignment="1"/>
    <xf numFmtId="176" fontId="173" fillId="0" borderId="0" xfId="0" applyNumberFormat="1" applyFont="1" applyFill="1" applyAlignment="1"/>
    <xf numFmtId="179" fontId="173" fillId="34" borderId="0" xfId="0" applyNumberFormat="1" applyFont="1" applyFill="1" applyAlignment="1"/>
    <xf numFmtId="0" fontId="175" fillId="0" borderId="0" xfId="0" applyFont="1" applyFill="1" applyBorder="1" applyAlignment="1"/>
    <xf numFmtId="0" fontId="175" fillId="0" borderId="0" xfId="0" applyFont="1" applyFill="1" applyAlignment="1"/>
    <xf numFmtId="0" fontId="178" fillId="15" borderId="36" xfId="0" applyFont="1" applyFill="1" applyBorder="1" applyAlignment="1"/>
    <xf numFmtId="0" fontId="178" fillId="8" borderId="36" xfId="0" applyFont="1" applyFill="1" applyBorder="1" applyAlignment="1">
      <alignment horizontal="right"/>
    </xf>
    <xf numFmtId="0" fontId="178" fillId="10" borderId="124" xfId="0" applyFont="1" applyFill="1" applyBorder="1" applyAlignment="1"/>
    <xf numFmtId="0" fontId="178" fillId="0" borderId="1" xfId="0" applyFont="1" applyFill="1" applyBorder="1" applyAlignment="1"/>
    <xf numFmtId="0" fontId="178" fillId="8" borderId="1" xfId="0" applyFont="1" applyFill="1" applyBorder="1" applyAlignment="1">
      <alignment horizontal="right"/>
    </xf>
    <xf numFmtId="0" fontId="178" fillId="10" borderId="125" xfId="0" applyFont="1" applyFill="1" applyBorder="1" applyAlignment="1">
      <alignment horizontal="left"/>
    </xf>
    <xf numFmtId="0" fontId="178" fillId="15" borderId="1" xfId="0" applyFont="1" applyFill="1" applyBorder="1" applyAlignment="1"/>
    <xf numFmtId="0" fontId="178" fillId="10" borderId="125" xfId="0" applyFont="1" applyFill="1" applyBorder="1" applyAlignment="1"/>
    <xf numFmtId="0" fontId="178" fillId="0" borderId="1" xfId="0" applyNumberFormat="1" applyFont="1" applyFill="1" applyBorder="1" applyAlignment="1">
      <alignment horizontal="center" vertical="center" shrinkToFit="1"/>
    </xf>
    <xf numFmtId="0" fontId="178" fillId="7" borderId="1" xfId="0" applyFont="1" applyFill="1" applyBorder="1" applyAlignment="1" applyProtection="1">
      <alignment horizontal="right"/>
      <protection hidden="1"/>
    </xf>
    <xf numFmtId="0" fontId="129" fillId="10" borderId="125" xfId="0" applyFont="1" applyFill="1" applyBorder="1" applyAlignment="1"/>
    <xf numFmtId="0" fontId="179" fillId="0" borderId="0" xfId="0" applyFont="1" applyFill="1" applyAlignment="1"/>
    <xf numFmtId="0" fontId="180" fillId="0" borderId="0" xfId="0" applyFont="1" applyFill="1" applyBorder="1" applyAlignment="1"/>
    <xf numFmtId="0" fontId="178" fillId="8" borderId="1" xfId="0" applyFont="1" applyFill="1" applyBorder="1" applyAlignment="1" applyProtection="1">
      <alignment horizontal="right"/>
      <protection hidden="1"/>
    </xf>
    <xf numFmtId="0" fontId="178" fillId="10" borderId="1" xfId="0" applyFont="1" applyFill="1" applyBorder="1" applyAlignment="1"/>
    <xf numFmtId="0" fontId="178" fillId="15" borderId="125" xfId="0" applyFont="1" applyFill="1" applyBorder="1" applyAlignment="1"/>
    <xf numFmtId="0" fontId="178" fillId="15" borderId="125" xfId="0" applyFont="1" applyFill="1" applyBorder="1" applyAlignment="1">
      <alignment horizontal="right"/>
    </xf>
    <xf numFmtId="0" fontId="178" fillId="20" borderId="125" xfId="0" applyFont="1" applyFill="1" applyBorder="1" applyAlignment="1"/>
    <xf numFmtId="0" fontId="178" fillId="0" borderId="125" xfId="0" applyFont="1" applyFill="1" applyBorder="1" applyAlignment="1"/>
    <xf numFmtId="0" fontId="178" fillId="0" borderId="125" xfId="0" applyFont="1" applyFill="1" applyBorder="1" applyAlignment="1">
      <alignment horizontal="right"/>
    </xf>
    <xf numFmtId="0" fontId="178" fillId="20" borderId="1" xfId="0" applyFont="1" applyFill="1" applyBorder="1" applyAlignment="1">
      <alignment horizontal="right"/>
    </xf>
    <xf numFmtId="0" fontId="182" fillId="0" borderId="0" xfId="0" applyFont="1" applyFill="1" applyAlignment="1"/>
    <xf numFmtId="0" fontId="180" fillId="0" borderId="0" xfId="0" applyFont="1" applyFill="1" applyAlignment="1"/>
    <xf numFmtId="0" fontId="176" fillId="13" borderId="0" xfId="0" applyNumberFormat="1" applyFont="1" applyFill="1" applyAlignment="1">
      <alignment vertical="center" textRotation="255"/>
    </xf>
    <xf numFmtId="0" fontId="175" fillId="0" borderId="0" xfId="0" applyFont="1" applyFill="1" applyAlignment="1">
      <alignment horizontal="center"/>
    </xf>
    <xf numFmtId="0" fontId="175" fillId="15" borderId="1" xfId="0" applyFont="1" applyFill="1" applyBorder="1" applyAlignment="1"/>
    <xf numFmtId="0" fontId="183" fillId="13" borderId="1" xfId="0" applyFont="1" applyFill="1" applyBorder="1"/>
    <xf numFmtId="0" fontId="183" fillId="13" borderId="1" xfId="0" applyFont="1" applyFill="1" applyBorder="1" applyAlignment="1"/>
    <xf numFmtId="0" fontId="175" fillId="7" borderId="1" xfId="0" applyFont="1" applyFill="1" applyBorder="1" applyAlignment="1">
      <alignment horizontal="center"/>
    </xf>
    <xf numFmtId="0" fontId="175" fillId="10" borderId="1" xfId="0" applyFont="1" applyFill="1" applyBorder="1" applyAlignment="1"/>
    <xf numFmtId="0" fontId="175" fillId="0" borderId="1" xfId="0" applyFont="1" applyFill="1" applyBorder="1" applyAlignment="1"/>
    <xf numFmtId="0" fontId="175" fillId="0" borderId="0" xfId="0" applyFont="1" applyFill="1" applyAlignment="1">
      <alignment horizontal="center" vertical="center"/>
    </xf>
    <xf numFmtId="0" fontId="175" fillId="15" borderId="1" xfId="0" applyFont="1" applyFill="1" applyBorder="1" applyAlignment="1">
      <alignment horizontal="center"/>
    </xf>
    <xf numFmtId="0" fontId="175" fillId="7" borderId="1" xfId="0" applyFont="1" applyFill="1" applyBorder="1" applyAlignment="1" applyProtection="1">
      <alignment horizontal="center"/>
      <protection hidden="1"/>
    </xf>
    <xf numFmtId="0" fontId="175" fillId="0" borderId="0" xfId="0" applyFont="1" applyFill="1" applyAlignment="1" applyProtection="1">
      <alignment horizontal="center"/>
      <protection hidden="1"/>
    </xf>
    <xf numFmtId="0" fontId="175" fillId="15" borderId="1" xfId="0" applyFont="1" applyFill="1" applyBorder="1" applyAlignment="1">
      <alignment horizontal="right"/>
    </xf>
    <xf numFmtId="0" fontId="184" fillId="13" borderId="1" xfId="0" applyFont="1" applyFill="1" applyBorder="1" applyAlignment="1"/>
    <xf numFmtId="0" fontId="175" fillId="13" borderId="1" xfId="0" applyFont="1" applyFill="1" applyBorder="1" applyAlignment="1"/>
    <xf numFmtId="0" fontId="175" fillId="7" borderId="1" xfId="0" applyFont="1" applyFill="1" applyBorder="1" applyAlignment="1"/>
    <xf numFmtId="0" fontId="175" fillId="0" borderId="0" xfId="0" applyFont="1" applyFill="1" applyBorder="1" applyAlignment="1">
      <alignment horizontal="center" vertical="center"/>
    </xf>
    <xf numFmtId="0" fontId="175" fillId="0" borderId="0" xfId="0" applyFont="1" applyFill="1" applyBorder="1" applyAlignment="1">
      <alignment horizontal="right"/>
    </xf>
    <xf numFmtId="0" fontId="184" fillId="13" borderId="1" xfId="0" applyFont="1" applyFill="1" applyBorder="1" applyAlignment="1">
      <alignment vertical="center"/>
    </xf>
    <xf numFmtId="0" fontId="184" fillId="0" borderId="0" xfId="0" applyFont="1" applyFill="1" applyAlignment="1">
      <alignment vertical="center"/>
    </xf>
    <xf numFmtId="176" fontId="175" fillId="0" borderId="0" xfId="0" applyNumberFormat="1" applyFont="1" applyFill="1" applyBorder="1" applyAlignment="1" applyProtection="1">
      <alignment horizontal="left" indent="2"/>
      <protection hidden="1"/>
    </xf>
    <xf numFmtId="176" fontId="175" fillId="7" borderId="1" xfId="0" applyNumberFormat="1" applyFont="1" applyFill="1" applyBorder="1" applyAlignment="1"/>
    <xf numFmtId="188" fontId="175" fillId="7" borderId="1" xfId="0" applyNumberFormat="1" applyFont="1" applyFill="1" applyBorder="1" applyAlignment="1" applyProtection="1">
      <protection hidden="1"/>
    </xf>
    <xf numFmtId="188" fontId="175" fillId="0" borderId="0" xfId="0" applyNumberFormat="1" applyFont="1" applyFill="1" applyBorder="1" applyAlignment="1" applyProtection="1">
      <protection hidden="1"/>
    </xf>
    <xf numFmtId="179" fontId="175" fillId="7" borderId="1" xfId="0" applyNumberFormat="1" applyFont="1" applyFill="1" applyBorder="1" applyAlignment="1" applyProtection="1">
      <protection hidden="1"/>
    </xf>
    <xf numFmtId="179" fontId="175" fillId="0" borderId="0" xfId="0" applyNumberFormat="1" applyFont="1" applyFill="1" applyBorder="1" applyAlignment="1" applyProtection="1">
      <protection hidden="1"/>
    </xf>
    <xf numFmtId="176" fontId="175" fillId="7" borderId="1" xfId="0" applyNumberFormat="1" applyFont="1" applyFill="1" applyBorder="1" applyAlignment="1" applyProtection="1">
      <protection hidden="1"/>
    </xf>
    <xf numFmtId="179" fontId="175" fillId="7" borderId="1" xfId="0" applyNumberFormat="1" applyFont="1" applyFill="1" applyBorder="1" applyAlignment="1"/>
    <xf numFmtId="0" fontId="175" fillId="0" borderId="0" xfId="0" applyFont="1" applyFill="1" applyBorder="1" applyAlignment="1">
      <alignment horizontal="center"/>
    </xf>
    <xf numFmtId="0" fontId="184" fillId="0" borderId="0" xfId="0" applyFont="1" applyFill="1" applyBorder="1" applyAlignment="1"/>
    <xf numFmtId="188" fontId="175" fillId="7" borderId="1" xfId="0" applyNumberFormat="1" applyFont="1" applyFill="1" applyBorder="1" applyAlignment="1" applyProtection="1">
      <alignment horizontal="right"/>
      <protection hidden="1"/>
    </xf>
    <xf numFmtId="0" fontId="186" fillId="13" borderId="1" xfId="0" applyFont="1" applyFill="1" applyBorder="1" applyAlignment="1"/>
    <xf numFmtId="187" fontId="175" fillId="7" borderId="1" xfId="0" applyNumberFormat="1" applyFont="1" applyFill="1" applyBorder="1" applyAlignment="1" applyProtection="1">
      <protection hidden="1"/>
    </xf>
    <xf numFmtId="178" fontId="155" fillId="7" borderId="1" xfId="0" applyNumberFormat="1" applyFont="1" applyFill="1" applyBorder="1" applyAlignment="1">
      <alignment horizontal="center" vertical="center"/>
    </xf>
    <xf numFmtId="178" fontId="187" fillId="7" borderId="1" xfId="0" applyNumberFormat="1" applyFont="1" applyFill="1" applyBorder="1" applyAlignment="1">
      <alignment horizontal="center" vertical="center"/>
    </xf>
    <xf numFmtId="0" fontId="129" fillId="0" borderId="0" xfId="0" applyFont="1" applyFill="1" applyBorder="1" applyAlignment="1"/>
    <xf numFmtId="0" fontId="178" fillId="0" borderId="0" xfId="0" applyFont="1" applyFill="1" applyBorder="1" applyAlignment="1"/>
    <xf numFmtId="0" fontId="178" fillId="0" borderId="0" xfId="0" applyFont="1" applyFill="1" applyBorder="1" applyAlignment="1">
      <alignment horizontal="right"/>
    </xf>
    <xf numFmtId="192" fontId="175" fillId="0" borderId="0" xfId="0" applyNumberFormat="1" applyFont="1" applyFill="1" applyBorder="1" applyAlignment="1"/>
    <xf numFmtId="0" fontId="175" fillId="0" borderId="0" xfId="0" applyFont="1" applyFill="1" applyAlignment="1">
      <alignment horizontal="left"/>
    </xf>
    <xf numFmtId="0" fontId="175" fillId="0" borderId="36" xfId="0" applyFont="1" applyFill="1" applyBorder="1" applyAlignment="1"/>
    <xf numFmtId="189" fontId="175" fillId="7" borderId="1" xfId="0" applyNumberFormat="1" applyFont="1" applyFill="1" applyBorder="1" applyAlignment="1" applyProtection="1">
      <protection hidden="1"/>
    </xf>
    <xf numFmtId="0" fontId="184" fillId="7" borderId="1" xfId="0" applyFont="1" applyFill="1" applyBorder="1" applyAlignment="1"/>
    <xf numFmtId="187" fontId="175" fillId="7" borderId="1" xfId="0" applyNumberFormat="1" applyFont="1" applyFill="1" applyBorder="1" applyAlignment="1"/>
    <xf numFmtId="186" fontId="175" fillId="7" borderId="1" xfId="0" applyNumberFormat="1" applyFont="1" applyFill="1" applyBorder="1" applyAlignment="1" applyProtection="1">
      <protection hidden="1"/>
    </xf>
    <xf numFmtId="0" fontId="184" fillId="0" borderId="0" xfId="0" applyFont="1" applyFill="1" applyAlignment="1"/>
    <xf numFmtId="186" fontId="175" fillId="0" borderId="0" xfId="0" applyNumberFormat="1" applyFont="1" applyFill="1" applyAlignment="1" applyProtection="1">
      <alignment horizontal="left" indent="2"/>
      <protection hidden="1"/>
    </xf>
    <xf numFmtId="0" fontId="189" fillId="0" borderId="0" xfId="0" applyFont="1" applyFill="1" applyAlignment="1"/>
    <xf numFmtId="0" fontId="155" fillId="0" borderId="0" xfId="0" applyFont="1"/>
    <xf numFmtId="0" fontId="178" fillId="0" borderId="0" xfId="0" applyFont="1" applyFill="1" applyAlignment="1"/>
    <xf numFmtId="0" fontId="175" fillId="0" borderId="42" xfId="0" applyFont="1" applyFill="1" applyBorder="1" applyAlignment="1">
      <alignment vertical="center"/>
    </xf>
    <xf numFmtId="0" fontId="175" fillId="0" borderId="0" xfId="0" applyFont="1" applyFill="1" applyAlignment="1">
      <alignment vertical="center"/>
    </xf>
    <xf numFmtId="0" fontId="175" fillId="26" borderId="0" xfId="0" applyFont="1" applyFill="1" applyAlignment="1">
      <alignment vertical="center"/>
    </xf>
    <xf numFmtId="0" fontId="183" fillId="42" borderId="36" xfId="0" applyFont="1" applyFill="1" applyBorder="1" applyAlignment="1">
      <alignment horizontal="center" vertical="center"/>
    </xf>
    <xf numFmtId="0" fontId="184" fillId="42" borderId="36" xfId="0" applyFont="1" applyFill="1" applyBorder="1" applyAlignment="1">
      <alignment horizontal="center" vertical="center"/>
    </xf>
    <xf numFmtId="0" fontId="183" fillId="0" borderId="0" xfId="0" applyFont="1" applyFill="1" applyAlignment="1">
      <alignment horizontal="center" vertical="center"/>
    </xf>
    <xf numFmtId="0" fontId="175" fillId="42" borderId="1" xfId="0" applyFont="1" applyFill="1" applyBorder="1" applyAlignment="1">
      <alignment horizontal="right"/>
    </xf>
    <xf numFmtId="0" fontId="175" fillId="42" borderId="1" xfId="0" applyFont="1" applyFill="1" applyBorder="1" applyAlignment="1">
      <alignment vertical="center"/>
    </xf>
    <xf numFmtId="185" fontId="175" fillId="40" borderId="1" xfId="0" applyNumberFormat="1" applyFont="1" applyFill="1" applyBorder="1" applyAlignment="1" applyProtection="1">
      <alignment horizontal="center"/>
      <protection hidden="1"/>
    </xf>
    <xf numFmtId="0" fontId="183" fillId="26" borderId="1" xfId="0" applyFont="1" applyFill="1" applyBorder="1" applyAlignment="1">
      <alignment horizontal="center" vertical="center"/>
    </xf>
    <xf numFmtId="0" fontId="191" fillId="0" borderId="1" xfId="0" applyFont="1" applyFill="1" applyBorder="1" applyAlignment="1">
      <alignment horizontal="right"/>
    </xf>
    <xf numFmtId="0" fontId="191" fillId="0" borderId="1" xfId="0" applyFont="1" applyFill="1" applyBorder="1" applyAlignment="1"/>
    <xf numFmtId="0" fontId="175" fillId="40" borderId="1" xfId="0" applyFont="1" applyFill="1" applyBorder="1" applyAlignment="1">
      <alignment horizontal="center"/>
    </xf>
    <xf numFmtId="0" fontId="191" fillId="26" borderId="1" xfId="0" applyFont="1" applyFill="1" applyBorder="1" applyAlignment="1"/>
    <xf numFmtId="0" fontId="191" fillId="0" borderId="0" xfId="0" applyFont="1" applyFill="1" applyAlignment="1"/>
    <xf numFmtId="0" fontId="191" fillId="42" borderId="1" xfId="0" applyFont="1" applyFill="1" applyBorder="1" applyAlignment="1">
      <alignment horizontal="right"/>
    </xf>
    <xf numFmtId="0" fontId="191" fillId="42" borderId="1" xfId="0" applyFont="1" applyFill="1" applyBorder="1" applyAlignment="1"/>
    <xf numFmtId="0" fontId="175" fillId="0" borderId="1" xfId="0" applyFont="1" applyFill="1" applyBorder="1" applyAlignment="1">
      <alignment horizontal="right"/>
    </xf>
    <xf numFmtId="0" fontId="175" fillId="40" borderId="1" xfId="0" applyFont="1" applyFill="1" applyBorder="1" applyAlignment="1" applyProtection="1">
      <alignment horizontal="center"/>
      <protection hidden="1"/>
    </xf>
    <xf numFmtId="0" fontId="175" fillId="26" borderId="1" xfId="0" applyFont="1" applyFill="1" applyBorder="1" applyAlignment="1"/>
    <xf numFmtId="0" fontId="175" fillId="42" borderId="1" xfId="0" applyFont="1" applyFill="1" applyBorder="1" applyAlignment="1"/>
    <xf numFmtId="0" fontId="175" fillId="43" borderId="1" xfId="0" applyFont="1" applyFill="1" applyBorder="1" applyAlignment="1">
      <alignment horizontal="center"/>
    </xf>
    <xf numFmtId="0" fontId="175" fillId="0" borderId="74" xfId="0" applyFont="1" applyFill="1" applyBorder="1" applyAlignment="1">
      <alignment horizontal="right"/>
    </xf>
    <xf numFmtId="0" fontId="175" fillId="0" borderId="74" xfId="0" applyFont="1" applyFill="1" applyBorder="1" applyAlignment="1"/>
    <xf numFmtId="0" fontId="175" fillId="43" borderId="74" xfId="0" applyFont="1" applyFill="1" applyBorder="1" applyAlignment="1">
      <alignment horizontal="center"/>
    </xf>
    <xf numFmtId="0" fontId="175" fillId="26" borderId="74" xfId="0" applyFont="1" applyFill="1" applyBorder="1" applyAlignment="1"/>
    <xf numFmtId="0" fontId="176" fillId="25" borderId="41" xfId="0" applyFont="1" applyFill="1" applyBorder="1" applyAlignment="1">
      <alignment vertical="center"/>
    </xf>
    <xf numFmtId="0" fontId="175" fillId="25" borderId="42" xfId="0" applyFont="1" applyFill="1" applyBorder="1" applyAlignment="1">
      <alignment vertical="center"/>
    </xf>
    <xf numFmtId="0" fontId="175" fillId="25" borderId="42" xfId="0" applyFont="1" applyFill="1" applyBorder="1" applyAlignment="1">
      <alignment horizontal="center" vertical="center"/>
    </xf>
    <xf numFmtId="0" fontId="192" fillId="0" borderId="36" xfId="0" applyFont="1" applyFill="1" applyBorder="1" applyAlignment="1"/>
    <xf numFmtId="0" fontId="192" fillId="0" borderId="0" xfId="0" applyFont="1" applyFill="1" applyBorder="1" applyAlignment="1"/>
    <xf numFmtId="0" fontId="0" fillId="44" borderId="2" xfId="0" applyFill="1" applyBorder="1"/>
    <xf numFmtId="0" fontId="0" fillId="44" borderId="3" xfId="0" applyFill="1" applyBorder="1"/>
    <xf numFmtId="0" fontId="0" fillId="25" borderId="3" xfId="0" applyFill="1" applyBorder="1"/>
    <xf numFmtId="0" fontId="0" fillId="45" borderId="4" xfId="0" applyFill="1" applyBorder="1"/>
    <xf numFmtId="0" fontId="0" fillId="45" borderId="0" xfId="0" applyFill="1"/>
    <xf numFmtId="0" fontId="0" fillId="44" borderId="4" xfId="0" applyFill="1" applyBorder="1"/>
    <xf numFmtId="0" fontId="0" fillId="44" borderId="0" xfId="0" applyFill="1"/>
    <xf numFmtId="0" fontId="175" fillId="44" borderId="0" xfId="0" applyFont="1" applyFill="1" applyAlignment="1">
      <alignment horizontal="center" vertical="center"/>
    </xf>
    <xf numFmtId="0" fontId="184" fillId="44" borderId="0" xfId="0" applyFont="1" applyFill="1" applyAlignment="1">
      <alignment vertical="center"/>
    </xf>
    <xf numFmtId="0" fontId="175" fillId="44" borderId="0" xfId="0" applyFont="1" applyFill="1" applyAlignment="1">
      <alignment vertical="center"/>
    </xf>
    <xf numFmtId="189" fontId="175" fillId="44" borderId="0" xfId="0" applyNumberFormat="1" applyFont="1" applyFill="1" applyAlignment="1" applyProtection="1">
      <alignment vertical="center"/>
      <protection hidden="1"/>
    </xf>
    <xf numFmtId="0" fontId="0" fillId="25" borderId="0" xfId="0" applyFill="1"/>
    <xf numFmtId="0" fontId="175" fillId="44" borderId="0" xfId="0" applyFont="1" applyFill="1" applyAlignment="1"/>
    <xf numFmtId="0" fontId="193" fillId="44" borderId="4" xfId="0" applyFont="1" applyFill="1" applyBorder="1" applyAlignment="1"/>
    <xf numFmtId="0" fontId="193" fillId="44" borderId="0" xfId="0" applyFont="1" applyFill="1" applyAlignment="1"/>
    <xf numFmtId="0" fontId="175" fillId="44" borderId="0" xfId="0" applyFont="1" applyFill="1" applyAlignment="1">
      <alignment horizontal="center"/>
    </xf>
    <xf numFmtId="0" fontId="184" fillId="44" borderId="0" xfId="0" applyFont="1" applyFill="1" applyAlignment="1"/>
    <xf numFmtId="0" fontId="194" fillId="44" borderId="4" xfId="0" applyFont="1" applyFill="1" applyBorder="1" applyAlignment="1"/>
    <xf numFmtId="0" fontId="194" fillId="44" borderId="0" xfId="0" applyFont="1" applyFill="1" applyAlignment="1"/>
    <xf numFmtId="0" fontId="194" fillId="44" borderId="0" xfId="0" applyFont="1" applyFill="1" applyAlignment="1">
      <alignment horizontal="center"/>
    </xf>
    <xf numFmtId="0" fontId="192" fillId="44" borderId="0" xfId="0" applyFont="1" applyFill="1" applyAlignment="1"/>
    <xf numFmtId="0" fontId="175" fillId="44" borderId="3" xfId="0" applyFont="1" applyFill="1" applyBorder="1" applyAlignment="1"/>
    <xf numFmtId="0" fontId="175" fillId="44" borderId="29" xfId="0" applyFont="1" applyFill="1" applyBorder="1" applyAlignment="1"/>
    <xf numFmtId="0" fontId="0" fillId="45" borderId="30" xfId="0" applyFill="1" applyBorder="1"/>
    <xf numFmtId="0" fontId="175" fillId="44" borderId="30" xfId="0" applyFont="1" applyFill="1" applyBorder="1" applyAlignment="1">
      <alignment vertical="center"/>
    </xf>
    <xf numFmtId="0" fontId="175" fillId="44" borderId="30" xfId="0" applyFont="1" applyFill="1" applyBorder="1" applyAlignment="1"/>
    <xf numFmtId="187" fontId="181" fillId="44" borderId="0" xfId="0" applyNumberFormat="1" applyFont="1" applyFill="1" applyAlignment="1" applyProtection="1">
      <protection hidden="1"/>
    </xf>
    <xf numFmtId="0" fontId="189" fillId="45" borderId="4" xfId="0" applyFont="1" applyFill="1" applyBorder="1" applyAlignment="1"/>
    <xf numFmtId="0" fontId="189" fillId="45" borderId="0" xfId="0" applyFont="1" applyFill="1" applyAlignment="1"/>
    <xf numFmtId="0" fontId="175" fillId="45" borderId="0" xfId="0" applyFont="1" applyFill="1" applyAlignment="1"/>
    <xf numFmtId="0" fontId="175" fillId="44" borderId="22" xfId="0" applyFont="1" applyFill="1" applyBorder="1" applyAlignment="1"/>
    <xf numFmtId="0" fontId="175" fillId="44" borderId="23" xfId="0" applyFont="1" applyFill="1" applyBorder="1" applyAlignment="1"/>
    <xf numFmtId="0" fontId="0" fillId="44" borderId="23" xfId="0" applyFill="1" applyBorder="1"/>
    <xf numFmtId="0" fontId="0" fillId="25" borderId="23" xfId="0" applyFill="1" applyBorder="1"/>
    <xf numFmtId="0" fontId="176" fillId="26" borderId="0" xfId="0" applyFont="1" applyFill="1" applyAlignment="1">
      <alignment vertical="center"/>
    </xf>
    <xf numFmtId="0" fontId="0" fillId="44" borderId="30" xfId="0" applyFill="1" applyBorder="1"/>
    <xf numFmtId="0" fontId="175" fillId="45" borderId="30" xfId="0" applyFont="1" applyFill="1" applyBorder="1" applyAlignment="1"/>
    <xf numFmtId="0" fontId="175" fillId="44" borderId="1" xfId="0" applyFont="1" applyFill="1" applyBorder="1" applyAlignment="1"/>
    <xf numFmtId="0" fontId="195" fillId="0" borderId="0" xfId="0" applyFont="1" applyFill="1" applyAlignment="1">
      <alignment horizontal="center" vertical="center"/>
    </xf>
    <xf numFmtId="0" fontId="175" fillId="0" borderId="53" xfId="0" applyFont="1" applyFill="1" applyBorder="1" applyAlignment="1">
      <alignment horizontal="right"/>
    </xf>
    <xf numFmtId="0" fontId="175" fillId="0" borderId="94" xfId="0" applyFont="1" applyFill="1" applyBorder="1" applyAlignment="1">
      <alignment horizontal="center"/>
    </xf>
    <xf numFmtId="0" fontId="175" fillId="8" borderId="1" xfId="0" applyFont="1" applyFill="1" applyBorder="1" applyAlignment="1">
      <alignment horizontal="center"/>
    </xf>
    <xf numFmtId="0" fontId="175" fillId="0" borderId="60" xfId="0" applyFont="1" applyFill="1" applyBorder="1" applyAlignment="1">
      <alignment horizontal="center"/>
    </xf>
    <xf numFmtId="0" fontId="196" fillId="0" borderId="0" xfId="0" applyFont="1" applyFill="1" applyAlignment="1"/>
    <xf numFmtId="2" fontId="175" fillId="8" borderId="1" xfId="0" applyNumberFormat="1" applyFont="1" applyFill="1" applyBorder="1" applyAlignment="1">
      <alignment horizontal="center"/>
    </xf>
    <xf numFmtId="0" fontId="175" fillId="0" borderId="54" xfId="0" applyFont="1" applyFill="1" applyBorder="1" applyAlignment="1">
      <alignment horizontal="right"/>
    </xf>
    <xf numFmtId="2" fontId="175" fillId="7" borderId="1" xfId="0" applyNumberFormat="1" applyFont="1" applyFill="1" applyBorder="1" applyAlignment="1">
      <alignment horizontal="center"/>
    </xf>
    <xf numFmtId="0" fontId="182" fillId="7" borderId="0" xfId="0" applyFont="1" applyFill="1" applyBorder="1" applyAlignment="1" applyProtection="1">
      <alignment horizontal="center"/>
      <protection hidden="1"/>
    </xf>
    <xf numFmtId="0" fontId="194" fillId="0" borderId="0" xfId="0" applyFont="1" applyFill="1" applyBorder="1" applyAlignment="1"/>
    <xf numFmtId="0" fontId="182" fillId="0" borderId="0" xfId="0" applyFont="1" applyFill="1" applyAlignment="1">
      <alignment horizontal="right"/>
    </xf>
    <xf numFmtId="0" fontId="182" fillId="0" borderId="0" xfId="0" applyFont="1" applyFill="1" applyBorder="1" applyAlignment="1">
      <alignment horizontal="right"/>
    </xf>
    <xf numFmtId="0" fontId="175" fillId="8" borderId="74" xfId="0" applyFont="1" applyFill="1" applyBorder="1" applyAlignment="1">
      <alignment horizontal="center"/>
    </xf>
    <xf numFmtId="0" fontId="175" fillId="8" borderId="36" xfId="0" applyFont="1" applyFill="1" applyBorder="1" applyAlignment="1">
      <alignment horizontal="center"/>
    </xf>
    <xf numFmtId="0" fontId="192" fillId="0" borderId="1" xfId="0" applyFont="1" applyFill="1" applyBorder="1" applyAlignment="1"/>
    <xf numFmtId="186" fontId="193" fillId="0" borderId="0" xfId="0" applyNumberFormat="1" applyFont="1" applyFill="1" applyBorder="1" applyAlignment="1"/>
    <xf numFmtId="186" fontId="182" fillId="0" borderId="0" xfId="0" applyNumberFormat="1" applyFont="1" applyFill="1" applyAlignment="1" applyProtection="1">
      <protection hidden="1"/>
    </xf>
    <xf numFmtId="186" fontId="175" fillId="0" borderId="0" xfId="0" applyNumberFormat="1" applyFont="1" applyFill="1" applyAlignment="1" applyProtection="1">
      <protection hidden="1"/>
    </xf>
    <xf numFmtId="0" fontId="192" fillId="0" borderId="0" xfId="0" applyFont="1" applyFill="1" applyAlignment="1"/>
    <xf numFmtId="0" fontId="193" fillId="0" borderId="0" xfId="0" applyFont="1" applyFill="1" applyAlignment="1"/>
    <xf numFmtId="0" fontId="192" fillId="0" borderId="0" xfId="0" applyFont="1" applyFill="1" applyAlignment="1">
      <alignment horizontal="right"/>
    </xf>
    <xf numFmtId="0" fontId="193" fillId="0" borderId="0" xfId="0" applyFont="1" applyFill="1" applyAlignment="1">
      <alignment horizontal="right"/>
    </xf>
    <xf numFmtId="189" fontId="175" fillId="0" borderId="0" xfId="0" applyNumberFormat="1" applyFont="1" applyFill="1" applyAlignment="1" applyProtection="1">
      <protection hidden="1"/>
    </xf>
    <xf numFmtId="2" fontId="175" fillId="0" borderId="0" xfId="0" applyNumberFormat="1" applyFont="1" applyFill="1" applyAlignment="1" applyProtection="1">
      <alignment horizontal="left" indent="2"/>
      <protection hidden="1"/>
    </xf>
    <xf numFmtId="0" fontId="192" fillId="0" borderId="93" xfId="0" applyFont="1" applyFill="1" applyBorder="1" applyAlignment="1"/>
    <xf numFmtId="0" fontId="175" fillId="0" borderId="54" xfId="0" applyFont="1" applyFill="1" applyBorder="1" applyAlignment="1"/>
    <xf numFmtId="0" fontId="175" fillId="0" borderId="94" xfId="0" applyFont="1" applyFill="1" applyBorder="1" applyAlignment="1"/>
    <xf numFmtId="0" fontId="184" fillId="0" borderId="0" xfId="0" applyFont="1" applyFill="1" applyAlignment="1">
      <alignment horizontal="right"/>
    </xf>
    <xf numFmtId="187" fontId="175" fillId="0" borderId="0" xfId="0" applyNumberFormat="1" applyFont="1" applyFill="1" applyAlignment="1" applyProtection="1">
      <protection hidden="1"/>
    </xf>
    <xf numFmtId="0" fontId="197" fillId="0" borderId="0" xfId="0" applyFont="1" applyFill="1" applyAlignment="1"/>
    <xf numFmtId="0" fontId="30" fillId="0" borderId="0" xfId="0" applyFont="1" applyAlignment="1">
      <alignment horizontal="center" vertical="center"/>
    </xf>
    <xf numFmtId="0" fontId="30" fillId="39" borderId="1" xfId="0" applyFont="1" applyFill="1" applyBorder="1" applyAlignment="1">
      <alignment horizontal="center" vertical="center"/>
    </xf>
    <xf numFmtId="0" fontId="30" fillId="17" borderId="1" xfId="0" applyFont="1" applyFill="1" applyBorder="1" applyAlignment="1">
      <alignment horizontal="center" vertical="center"/>
    </xf>
    <xf numFmtId="0" fontId="30" fillId="33" borderId="1" xfId="0" applyFont="1" applyFill="1" applyBorder="1" applyAlignment="1">
      <alignment horizontal="center" vertical="center"/>
    </xf>
    <xf numFmtId="0" fontId="30" fillId="0" borderId="1" xfId="0" applyFont="1" applyBorder="1" applyAlignment="1">
      <alignment horizontal="center" vertical="center"/>
    </xf>
    <xf numFmtId="0" fontId="30" fillId="22" borderId="1" xfId="0" applyFont="1" applyFill="1" applyBorder="1" applyAlignment="1">
      <alignment horizontal="center" vertical="center"/>
    </xf>
    <xf numFmtId="0" fontId="30" fillId="0" borderId="63" xfId="0" applyFont="1" applyBorder="1" applyAlignment="1">
      <alignment horizontal="center" vertical="center" wrapText="1"/>
    </xf>
    <xf numFmtId="0" fontId="30" fillId="0" borderId="36" xfId="0" applyFont="1" applyBorder="1" applyAlignment="1">
      <alignment horizontal="center" vertical="center" wrapText="1"/>
    </xf>
    <xf numFmtId="0" fontId="39" fillId="0" borderId="1" xfId="0" applyFont="1" applyBorder="1" applyAlignment="1">
      <alignment horizontal="center" vertical="center" wrapText="1"/>
    </xf>
    <xf numFmtId="0" fontId="30" fillId="13" borderId="1" xfId="0" applyFont="1" applyFill="1" applyBorder="1" applyAlignment="1">
      <alignment horizontal="center" vertical="center"/>
    </xf>
    <xf numFmtId="0" fontId="198" fillId="0" borderId="1" xfId="0" applyFont="1" applyBorder="1" applyAlignment="1">
      <alignment horizontal="center" vertical="center" wrapText="1"/>
    </xf>
    <xf numFmtId="0" fontId="160" fillId="39" borderId="1" xfId="0" applyFont="1" applyFill="1" applyBorder="1" applyAlignment="1">
      <alignment horizontal="center" vertical="center"/>
    </xf>
    <xf numFmtId="0" fontId="0" fillId="17" borderId="1" xfId="0" applyFont="1" applyFill="1" applyBorder="1" applyAlignment="1">
      <alignment horizontal="center" vertical="center"/>
    </xf>
    <xf numFmtId="0" fontId="0" fillId="17" borderId="1" xfId="0" applyFont="1" applyFill="1" applyBorder="1" applyAlignment="1">
      <alignment horizontal="center" vertical="center" wrapText="1"/>
    </xf>
    <xf numFmtId="0" fontId="60" fillId="33" borderId="1" xfId="0" applyFont="1" applyFill="1" applyBorder="1" applyAlignment="1">
      <alignment horizontal="center" vertical="center"/>
    </xf>
    <xf numFmtId="0" fontId="0" fillId="0" borderId="1" xfId="0" applyFont="1" applyBorder="1" applyAlignment="1">
      <alignment horizontal="center" vertical="center" wrapText="1"/>
    </xf>
    <xf numFmtId="0" fontId="0" fillId="0" borderId="74" xfId="0" applyFont="1" applyBorder="1" applyAlignment="1">
      <alignment horizontal="center" vertical="center"/>
    </xf>
    <xf numFmtId="0" fontId="0" fillId="0" borderId="63" xfId="0" applyFont="1" applyBorder="1" applyAlignment="1">
      <alignment horizontal="center" vertical="center"/>
    </xf>
    <xf numFmtId="0" fontId="0" fillId="0" borderId="36" xfId="0" applyFont="1" applyBorder="1" applyAlignment="1">
      <alignment horizontal="center" vertical="center"/>
    </xf>
    <xf numFmtId="0" fontId="160" fillId="39" borderId="74" xfId="0" applyFont="1" applyFill="1" applyBorder="1" applyAlignment="1">
      <alignment horizontal="center" vertical="center" wrapText="1"/>
    </xf>
    <xf numFmtId="0" fontId="0" fillId="17" borderId="74" xfId="0" applyFont="1" applyFill="1" applyBorder="1" applyAlignment="1">
      <alignment horizontal="center" vertical="center" wrapText="1"/>
    </xf>
    <xf numFmtId="0" fontId="0" fillId="17" borderId="60" xfId="0" applyFont="1" applyFill="1" applyBorder="1" applyAlignment="1">
      <alignment horizontal="center" vertical="center" wrapText="1"/>
    </xf>
    <xf numFmtId="0" fontId="0" fillId="22" borderId="1" xfId="0" applyFont="1" applyFill="1" applyBorder="1" applyAlignment="1">
      <alignment horizontal="center" vertical="center"/>
    </xf>
    <xf numFmtId="0" fontId="45" fillId="33" borderId="1" xfId="0" applyFont="1" applyFill="1" applyBorder="1" applyAlignment="1">
      <alignment horizontal="center" vertical="center"/>
    </xf>
    <xf numFmtId="0" fontId="152" fillId="14" borderId="164" xfId="0" applyFont="1" applyFill="1" applyBorder="1" applyAlignment="1">
      <alignment horizontal="center" wrapText="1"/>
    </xf>
    <xf numFmtId="0" fontId="152" fillId="14" borderId="165" xfId="0" applyFont="1" applyFill="1" applyBorder="1" applyAlignment="1">
      <alignment horizontal="center" wrapText="1"/>
    </xf>
    <xf numFmtId="0" fontId="200" fillId="0" borderId="164" xfId="0" applyFont="1" applyBorder="1" applyAlignment="1">
      <alignment horizontal="left" wrapText="1"/>
    </xf>
    <xf numFmtId="0" fontId="200" fillId="0" borderId="164" xfId="0" applyFont="1" applyBorder="1" applyAlignment="1">
      <alignment horizontal="center" wrapText="1"/>
    </xf>
    <xf numFmtId="0" fontId="200" fillId="0" borderId="166" xfId="0" applyFont="1" applyBorder="1" applyAlignment="1">
      <alignment horizontal="center" vertical="center" wrapText="1"/>
    </xf>
    <xf numFmtId="0" fontId="152" fillId="0" borderId="164" xfId="0" applyFont="1" applyBorder="1" applyAlignment="1">
      <alignment horizontal="left" wrapText="1"/>
    </xf>
    <xf numFmtId="0" fontId="200" fillId="0" borderId="172" xfId="0" applyFont="1" applyBorder="1" applyAlignment="1">
      <alignment horizontal="center" vertical="center" wrapText="1"/>
    </xf>
    <xf numFmtId="0" fontId="200" fillId="0" borderId="169" xfId="0" applyFont="1" applyBorder="1" applyAlignment="1">
      <alignment horizontal="center" vertical="center" wrapText="1"/>
    </xf>
    <xf numFmtId="0" fontId="0" fillId="0" borderId="172" xfId="0" applyBorder="1" applyAlignment="1">
      <alignment horizontal="center" vertical="center" wrapText="1"/>
    </xf>
    <xf numFmtId="0" fontId="0" fillId="0" borderId="169" xfId="0" applyBorder="1" applyAlignment="1">
      <alignment horizontal="center" vertical="center" wrapText="1"/>
    </xf>
    <xf numFmtId="0" fontId="200" fillId="0" borderId="164" xfId="0" applyFont="1" applyBorder="1" applyAlignment="1">
      <alignment horizontal="fill" vertical="center" wrapText="1"/>
    </xf>
    <xf numFmtId="0" fontId="200" fillId="0" borderId="164" xfId="0" applyFont="1" applyBorder="1" applyAlignment="1">
      <alignment horizontal="center" vertical="center" wrapText="1"/>
    </xf>
    <xf numFmtId="0" fontId="152" fillId="14" borderId="172" xfId="0" applyFont="1" applyFill="1" applyBorder="1" applyAlignment="1">
      <alignment horizontal="center" wrapText="1"/>
    </xf>
    <xf numFmtId="0" fontId="200" fillId="14" borderId="164" xfId="0" applyFont="1" applyFill="1" applyBorder="1" applyAlignment="1">
      <alignment horizontal="center" vertical="center" wrapText="1"/>
    </xf>
    <xf numFmtId="0" fontId="201" fillId="13" borderId="1" xfId="0" applyFont="1" applyFill="1" applyBorder="1" applyAlignment="1">
      <alignment horizontal="center" vertical="top" wrapText="1"/>
    </xf>
    <xf numFmtId="0" fontId="0" fillId="13" borderId="1" xfId="0" applyFill="1" applyBorder="1" applyAlignment="1">
      <alignment horizontal="center" vertical="top" wrapText="1"/>
    </xf>
    <xf numFmtId="0" fontId="201" fillId="0" borderId="93" xfId="0" applyFont="1" applyFill="1" applyBorder="1" applyAlignment="1">
      <alignment horizontal="center" vertical="top" wrapText="1"/>
    </xf>
    <xf numFmtId="0" fontId="201" fillId="0" borderId="94" xfId="0" applyFont="1" applyFill="1" applyBorder="1" applyAlignment="1">
      <alignment horizontal="center" vertical="top" wrapText="1"/>
    </xf>
    <xf numFmtId="0" fontId="201" fillId="0" borderId="1" xfId="0" applyFont="1" applyFill="1" applyBorder="1" applyAlignment="1">
      <alignment horizontal="center" vertical="top" wrapText="1"/>
    </xf>
    <xf numFmtId="0" fontId="201" fillId="34" borderId="1" xfId="0" applyFont="1" applyFill="1" applyBorder="1" applyAlignment="1">
      <alignment horizontal="center" vertical="top" wrapText="1"/>
    </xf>
    <xf numFmtId="0" fontId="30" fillId="14" borderId="1" xfId="0" applyFont="1" applyFill="1" applyBorder="1" applyAlignment="1">
      <alignment horizontal="center" vertical="center"/>
    </xf>
    <xf numFmtId="0" fontId="30" fillId="14" borderId="1" xfId="0" applyFont="1" applyFill="1" applyBorder="1" applyAlignment="1">
      <alignment vertical="center"/>
    </xf>
    <xf numFmtId="0" fontId="30" fillId="14" borderId="74" xfId="0" applyFont="1" applyFill="1" applyBorder="1" applyAlignment="1">
      <alignment vertical="center"/>
    </xf>
    <xf numFmtId="0" fontId="204" fillId="34" borderId="1" xfId="0" applyFont="1" applyFill="1" applyBorder="1" applyAlignment="1">
      <alignment horizontal="center" vertical="center" wrapText="1"/>
    </xf>
    <xf numFmtId="189" fontId="204" fillId="34" borderId="1" xfId="0" applyNumberFormat="1" applyFont="1" applyFill="1" applyBorder="1" applyAlignment="1">
      <alignment horizontal="center" vertical="center" wrapText="1"/>
    </xf>
    <xf numFmtId="189" fontId="205" fillId="34" borderId="1" xfId="0" applyNumberFormat="1" applyFont="1" applyFill="1" applyBorder="1" applyAlignment="1">
      <alignment horizontal="center" vertical="center" wrapText="1"/>
    </xf>
    <xf numFmtId="0" fontId="204" fillId="34" borderId="74" xfId="0" applyFont="1" applyFill="1" applyBorder="1" applyAlignment="1">
      <alignment horizontal="center" vertical="center" wrapText="1"/>
    </xf>
    <xf numFmtId="189" fontId="204" fillId="34" borderId="74" xfId="0" applyNumberFormat="1" applyFont="1" applyFill="1" applyBorder="1" applyAlignment="1">
      <alignment horizontal="center" vertical="center" wrapText="1"/>
    </xf>
    <xf numFmtId="0" fontId="205" fillId="34" borderId="1" xfId="0" applyFont="1" applyFill="1" applyBorder="1" applyAlignment="1">
      <alignment horizontal="center" vertical="center" wrapText="1"/>
    </xf>
    <xf numFmtId="0" fontId="206" fillId="0" borderId="1" xfId="0" applyFont="1" applyFill="1" applyBorder="1" applyAlignment="1">
      <alignment horizontal="center" vertical="center"/>
    </xf>
    <xf numFmtId="189" fontId="206" fillId="0" borderId="1" xfId="0" applyNumberFormat="1" applyFont="1" applyFill="1" applyBorder="1" applyAlignment="1">
      <alignment horizontal="center" vertical="center"/>
    </xf>
    <xf numFmtId="189" fontId="205" fillId="34" borderId="74" xfId="0" applyNumberFormat="1" applyFont="1" applyFill="1" applyBorder="1" applyAlignment="1">
      <alignment horizontal="center" vertical="center" wrapText="1"/>
    </xf>
    <xf numFmtId="0" fontId="207" fillId="0" borderId="0" xfId="0" applyFont="1" applyFill="1" applyAlignment="1">
      <alignment vertical="center"/>
    </xf>
    <xf numFmtId="0" fontId="0" fillId="0" borderId="74" xfId="0" applyBorder="1" applyAlignment="1">
      <alignment vertical="center"/>
    </xf>
    <xf numFmtId="0" fontId="30" fillId="12" borderId="74" xfId="0" applyFont="1" applyFill="1" applyBorder="1" applyAlignment="1">
      <alignment vertical="center"/>
    </xf>
    <xf numFmtId="0" fontId="208" fillId="0" borderId="68" xfId="0" applyFont="1" applyBorder="1" applyAlignment="1">
      <alignment horizontal="center" vertical="center"/>
    </xf>
    <xf numFmtId="0" fontId="208" fillId="0" borderId="1" xfId="0" applyFont="1" applyBorder="1" applyAlignment="1">
      <alignment horizontal="center" vertical="center"/>
    </xf>
    <xf numFmtId="0" fontId="208" fillId="0" borderId="69" xfId="0" applyFont="1" applyBorder="1" applyAlignment="1">
      <alignment horizontal="center" vertical="center"/>
    </xf>
    <xf numFmtId="0" fontId="0" fillId="0" borderId="91" xfId="0" applyBorder="1" applyAlignment="1">
      <alignment vertical="center"/>
    </xf>
    <xf numFmtId="0" fontId="0" fillId="0" borderId="63" xfId="0" applyBorder="1" applyAlignment="1">
      <alignment vertical="center"/>
    </xf>
    <xf numFmtId="0" fontId="0" fillId="0" borderId="176" xfId="0" applyBorder="1" applyAlignment="1">
      <alignment vertical="center"/>
    </xf>
    <xf numFmtId="0" fontId="0" fillId="0" borderId="57" xfId="0" applyBorder="1" applyAlignment="1">
      <alignment horizontal="center" vertical="center"/>
    </xf>
    <xf numFmtId="0" fontId="0" fillId="0" borderId="0" xfId="0" applyBorder="1" applyAlignment="1">
      <alignment horizontal="center" vertical="center"/>
    </xf>
    <xf numFmtId="0" fontId="0" fillId="0" borderId="58" xfId="0" applyBorder="1" applyAlignment="1">
      <alignment horizontal="center" vertical="center"/>
    </xf>
    <xf numFmtId="0" fontId="60" fillId="0" borderId="65" xfId="0" applyFont="1" applyBorder="1" applyAlignment="1">
      <alignment horizontal="center" vertical="center"/>
    </xf>
    <xf numFmtId="0" fontId="60" fillId="0" borderId="66" xfId="0" applyFont="1" applyBorder="1" applyAlignment="1">
      <alignment horizontal="center" vertical="center"/>
    </xf>
    <xf numFmtId="0" fontId="60" fillId="0" borderId="67" xfId="0" applyFont="1" applyBorder="1" applyAlignment="1">
      <alignment horizontal="center" vertical="center"/>
    </xf>
    <xf numFmtId="0" fontId="60" fillId="0" borderId="68" xfId="0" applyFont="1" applyBorder="1" applyAlignment="1">
      <alignment horizontal="center" vertical="center"/>
    </xf>
    <xf numFmtId="0" fontId="60" fillId="0" borderId="1" xfId="0" applyFont="1" applyBorder="1" applyAlignment="1">
      <alignment horizontal="center" vertical="center"/>
    </xf>
    <xf numFmtId="0" fontId="60" fillId="0" borderId="69" xfId="0" applyFont="1" applyBorder="1" applyAlignment="1">
      <alignment horizontal="center" vertical="center"/>
    </xf>
    <xf numFmtId="0" fontId="60" fillId="0" borderId="71" xfId="0" applyFont="1" applyBorder="1" applyAlignment="1">
      <alignment horizontal="center" vertical="center"/>
    </xf>
    <xf numFmtId="0" fontId="60" fillId="0" borderId="72" xfId="0" applyFont="1" applyBorder="1" applyAlignment="1">
      <alignment horizontal="center" vertical="center"/>
    </xf>
    <xf numFmtId="0" fontId="209" fillId="0" borderId="1" xfId="0" applyFont="1" applyBorder="1" applyAlignment="1">
      <alignment horizontal="center" vertical="center"/>
    </xf>
    <xf numFmtId="0" fontId="209" fillId="0" borderId="69" xfId="0" applyFont="1" applyBorder="1" applyAlignment="1">
      <alignment horizontal="center" vertical="center"/>
    </xf>
    <xf numFmtId="0" fontId="209" fillId="0" borderId="71" xfId="0" applyFont="1" applyBorder="1" applyAlignment="1">
      <alignment horizontal="center" vertical="center"/>
    </xf>
    <xf numFmtId="0" fontId="209" fillId="0" borderId="72" xfId="0" applyFont="1" applyBorder="1" applyAlignment="1">
      <alignment horizontal="center" vertical="center"/>
    </xf>
    <xf numFmtId="0" fontId="0" fillId="0" borderId="61" xfId="0" applyBorder="1" applyAlignment="1">
      <alignment horizontal="center" vertical="center"/>
    </xf>
    <xf numFmtId="0" fontId="0" fillId="0" borderId="56" xfId="0" applyBorder="1" applyAlignment="1">
      <alignment horizontal="center" vertical="center"/>
    </xf>
    <xf numFmtId="0" fontId="208" fillId="0" borderId="65" xfId="0" applyFont="1" applyBorder="1" applyAlignment="1">
      <alignment horizontal="center" vertical="center"/>
    </xf>
    <xf numFmtId="0" fontId="208" fillId="0" borderId="66" xfId="0" applyFont="1" applyBorder="1" applyAlignment="1">
      <alignment horizontal="center" vertical="center"/>
    </xf>
    <xf numFmtId="0" fontId="208" fillId="0" borderId="67" xfId="0" applyFont="1" applyBorder="1" applyAlignment="1">
      <alignment horizontal="center" vertical="center"/>
    </xf>
    <xf numFmtId="0" fontId="208" fillId="0" borderId="70" xfId="0" applyFont="1" applyBorder="1" applyAlignment="1">
      <alignment horizontal="center" vertical="center"/>
    </xf>
    <xf numFmtId="0" fontId="208" fillId="0" borderId="71" xfId="0" applyFont="1" applyBorder="1" applyAlignment="1">
      <alignment horizontal="center" vertical="center"/>
    </xf>
    <xf numFmtId="0" fontId="208" fillId="0" borderId="72" xfId="0" applyFont="1" applyBorder="1" applyAlignment="1">
      <alignment horizontal="center" vertical="center"/>
    </xf>
    <xf numFmtId="0" fontId="0" fillId="0" borderId="63" xfId="0" applyBorder="1" applyAlignment="1">
      <alignment horizontal="center" vertical="center"/>
    </xf>
    <xf numFmtId="0" fontId="0" fillId="0" borderId="57" xfId="0" applyBorder="1" applyAlignment="1">
      <alignment horizontal="center" vertical="center" wrapText="1"/>
    </xf>
    <xf numFmtId="0" fontId="0" fillId="0" borderId="0" xfId="0" applyBorder="1" applyAlignment="1">
      <alignment horizontal="center" vertical="center" wrapText="1"/>
    </xf>
    <xf numFmtId="0" fontId="0" fillId="0" borderId="58" xfId="0" applyBorder="1" applyAlignment="1">
      <alignment horizontal="center" vertical="center" wrapText="1"/>
    </xf>
    <xf numFmtId="0" fontId="210" fillId="0" borderId="65" xfId="0" applyFont="1" applyBorder="1" applyAlignment="1">
      <alignment horizontal="center" vertical="center"/>
    </xf>
    <xf numFmtId="0" fontId="210" fillId="0" borderId="66" xfId="0" applyFont="1" applyBorder="1" applyAlignment="1">
      <alignment horizontal="center" vertical="center"/>
    </xf>
    <xf numFmtId="0" fontId="210" fillId="0" borderId="67" xfId="0" applyFont="1" applyBorder="1" applyAlignment="1">
      <alignment horizontal="center" vertical="center"/>
    </xf>
    <xf numFmtId="0" fontId="210" fillId="0" borderId="0" xfId="0" applyFont="1"/>
    <xf numFmtId="0" fontId="210" fillId="0" borderId="68" xfId="0" applyFont="1" applyBorder="1" applyAlignment="1">
      <alignment horizontal="center" vertical="center"/>
    </xf>
    <xf numFmtId="0" fontId="210" fillId="0" borderId="1" xfId="0" applyFont="1" applyBorder="1" applyAlignment="1">
      <alignment horizontal="center" vertical="center"/>
    </xf>
    <xf numFmtId="0" fontId="210" fillId="0" borderId="69" xfId="0" applyFont="1" applyBorder="1" applyAlignment="1">
      <alignment horizontal="center" vertical="center"/>
    </xf>
    <xf numFmtId="0" fontId="210" fillId="0" borderId="70" xfId="0" applyFont="1" applyBorder="1" applyAlignment="1">
      <alignment horizontal="center" vertical="center"/>
    </xf>
    <xf numFmtId="0" fontId="210" fillId="0" borderId="71" xfId="0" applyFont="1" applyBorder="1" applyAlignment="1">
      <alignment horizontal="center" vertical="center"/>
    </xf>
    <xf numFmtId="0" fontId="210" fillId="0" borderId="72" xfId="0" applyFont="1" applyBorder="1" applyAlignment="1">
      <alignment horizontal="center" vertical="center"/>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71" xfId="0" applyFill="1" applyBorder="1" applyAlignment="1">
      <alignment horizontal="center" vertical="center"/>
    </xf>
    <xf numFmtId="0" fontId="0" fillId="0" borderId="42" xfId="0" applyBorder="1" applyAlignment="1">
      <alignment vertical="center"/>
    </xf>
    <xf numFmtId="0" fontId="212" fillId="0" borderId="36" xfId="0" applyFont="1" applyBorder="1" applyAlignment="1">
      <alignment horizontal="center" vertical="center"/>
    </xf>
    <xf numFmtId="0" fontId="30" fillId="12" borderId="1" xfId="0" applyFont="1" applyFill="1" applyBorder="1" applyAlignment="1">
      <alignment horizontal="center" vertical="center"/>
    </xf>
    <xf numFmtId="0" fontId="213" fillId="0" borderId="0" xfId="0" applyFont="1"/>
    <xf numFmtId="0" fontId="214" fillId="0" borderId="0" xfId="0" applyFont="1"/>
    <xf numFmtId="0" fontId="215" fillId="0" borderId="0" xfId="0" applyFont="1"/>
    <xf numFmtId="0" fontId="173" fillId="0" borderId="2" xfId="0" applyFont="1" applyFill="1" applyBorder="1" applyAlignment="1"/>
    <xf numFmtId="0" fontId="173" fillId="0" borderId="3" xfId="0" applyFont="1" applyFill="1" applyBorder="1" applyAlignment="1"/>
    <xf numFmtId="0" fontId="20" fillId="0" borderId="4" xfId="0" applyFont="1" applyFill="1" applyBorder="1" applyAlignment="1">
      <alignment horizontal="center"/>
    </xf>
    <xf numFmtId="0" fontId="173" fillId="0" borderId="4" xfId="0" applyFont="1" applyFill="1" applyBorder="1" applyAlignment="1">
      <alignment horizontal="center" vertical="center" wrapText="1"/>
    </xf>
    <xf numFmtId="0" fontId="173" fillId="0" borderId="0" xfId="0" applyFont="1" applyFill="1" applyBorder="1" applyAlignment="1">
      <alignment horizontal="center" vertical="center" wrapText="1"/>
    </xf>
    <xf numFmtId="0" fontId="173" fillId="0" borderId="0" xfId="0" applyFont="1" applyFill="1" applyBorder="1" applyAlignment="1">
      <alignment horizontal="center"/>
    </xf>
    <xf numFmtId="0" fontId="52" fillId="0" borderId="0" xfId="0" applyFont="1" applyFill="1" applyBorder="1" applyAlignment="1">
      <alignment horizontal="center"/>
    </xf>
    <xf numFmtId="0" fontId="218" fillId="0" borderId="0" xfId="0" applyFont="1" applyFill="1" applyBorder="1" applyAlignment="1">
      <alignment horizontal="center"/>
    </xf>
    <xf numFmtId="0" fontId="20" fillId="0" borderId="0" xfId="0" applyFont="1" applyFill="1" applyBorder="1" applyAlignment="1">
      <alignment horizontal="center" vertical="top"/>
    </xf>
    <xf numFmtId="0" fontId="52" fillId="0" borderId="1" xfId="0" applyFont="1" applyFill="1" applyBorder="1" applyAlignment="1">
      <alignment horizontal="center" vertical="center" wrapText="1"/>
    </xf>
    <xf numFmtId="0" fontId="52" fillId="0" borderId="47" xfId="0" applyFont="1" applyFill="1" applyBorder="1" applyAlignment="1">
      <alignment horizontal="center" vertical="center" wrapText="1"/>
    </xf>
    <xf numFmtId="0" fontId="173" fillId="0" borderId="4" xfId="0" applyFont="1" applyFill="1" applyBorder="1" applyAlignment="1">
      <alignment horizontal="center" vertical="center"/>
    </xf>
    <xf numFmtId="0" fontId="173" fillId="0" borderId="0" xfId="0" applyFont="1" applyFill="1" applyBorder="1" applyAlignment="1">
      <alignment horizontal="center" vertical="center"/>
    </xf>
    <xf numFmtId="0" fontId="173" fillId="0" borderId="0" xfId="0" applyFont="1" applyFill="1" applyBorder="1" applyAlignment="1">
      <alignment horizontal="center" vertical="top"/>
    </xf>
    <xf numFmtId="0" fontId="20" fillId="0" borderId="0" xfId="0" applyFont="1" applyFill="1" applyBorder="1" applyAlignment="1">
      <alignment horizontal="center" vertical="center"/>
    </xf>
    <xf numFmtId="0" fontId="173" fillId="0" borderId="22" xfId="0" applyFont="1" applyFill="1" applyBorder="1" applyAlignment="1">
      <alignment horizontal="center" vertical="center"/>
    </xf>
    <xf numFmtId="0" fontId="173" fillId="0" borderId="23" xfId="0" applyFont="1" applyFill="1" applyBorder="1" applyAlignment="1">
      <alignment horizontal="center" vertical="center"/>
    </xf>
    <xf numFmtId="0" fontId="173" fillId="0" borderId="23" xfId="0" applyFont="1" applyFill="1" applyBorder="1" applyAlignment="1">
      <alignment horizontal="center"/>
    </xf>
    <xf numFmtId="0" fontId="173" fillId="0" borderId="23" xfId="0" applyFont="1" applyFill="1" applyBorder="1" applyAlignment="1"/>
    <xf numFmtId="0" fontId="173" fillId="0" borderId="0" xfId="0" applyFont="1" applyFill="1" applyBorder="1" applyAlignment="1"/>
    <xf numFmtId="0" fontId="52" fillId="0" borderId="44" xfId="0" applyFont="1" applyFill="1" applyBorder="1" applyAlignment="1">
      <alignment horizontal="center"/>
    </xf>
    <xf numFmtId="0" fontId="52" fillId="0" borderId="1" xfId="0" applyFont="1" applyFill="1" applyBorder="1" applyAlignment="1">
      <alignment horizontal="center" vertical="center"/>
    </xf>
    <xf numFmtId="0" fontId="52" fillId="0" borderId="47" xfId="0" applyFont="1" applyFill="1" applyBorder="1" applyAlignment="1">
      <alignment horizontal="center" vertical="center"/>
    </xf>
    <xf numFmtId="0" fontId="173" fillId="0" borderId="0" xfId="0" applyFont="1" applyFill="1" applyBorder="1" applyAlignment="1">
      <alignment horizontal="left"/>
    </xf>
    <xf numFmtId="0" fontId="218" fillId="0" borderId="0" xfId="0" applyFont="1" applyFill="1" applyBorder="1" applyAlignment="1">
      <alignment horizontal="left" vertical="top" wrapText="1"/>
    </xf>
    <xf numFmtId="0" fontId="173" fillId="0" borderId="29" xfId="0" applyFont="1" applyFill="1" applyBorder="1" applyAlignment="1"/>
    <xf numFmtId="0" fontId="173" fillId="0" borderId="30" xfId="0" applyFont="1" applyFill="1" applyBorder="1" applyAlignment="1"/>
    <xf numFmtId="0" fontId="20" fillId="0" borderId="30" xfId="0" applyFont="1" applyFill="1" applyBorder="1" applyAlignment="1">
      <alignment horizontal="center"/>
    </xf>
    <xf numFmtId="0" fontId="173" fillId="0" borderId="30" xfId="0" applyFont="1" applyFill="1" applyBorder="1" applyAlignment="1">
      <alignment horizontal="center"/>
    </xf>
    <xf numFmtId="0" fontId="52" fillId="0" borderId="46" xfId="0" applyFont="1" applyFill="1" applyBorder="1" applyAlignment="1">
      <alignment horizontal="center" vertical="center"/>
    </xf>
    <xf numFmtId="0" fontId="52" fillId="0" borderId="48" xfId="0" applyFont="1" applyFill="1" applyBorder="1" applyAlignment="1">
      <alignment horizontal="center" vertical="center"/>
    </xf>
    <xf numFmtId="0" fontId="173" fillId="0" borderId="30" xfId="0" applyFont="1" applyFill="1" applyBorder="1" applyAlignment="1">
      <alignment horizontal="center" vertical="top"/>
    </xf>
    <xf numFmtId="0" fontId="173" fillId="0" borderId="35" xfId="0" applyFont="1" applyFill="1" applyBorder="1" applyAlignment="1">
      <alignment horizontal="center"/>
    </xf>
    <xf numFmtId="0" fontId="218" fillId="0" borderId="30" xfId="0" applyFont="1" applyFill="1" applyBorder="1" applyAlignment="1">
      <alignment horizontal="left" vertical="top" wrapText="1"/>
    </xf>
    <xf numFmtId="0" fontId="20" fillId="0" borderId="2" xfId="0" applyFont="1" applyFill="1" applyBorder="1" applyAlignment="1">
      <alignment horizontal="center"/>
    </xf>
    <xf numFmtId="0" fontId="20" fillId="0" borderId="3" xfId="0" applyFont="1" applyFill="1" applyBorder="1" applyAlignment="1">
      <alignment horizontal="center"/>
    </xf>
    <xf numFmtId="0" fontId="52" fillId="0" borderId="2" xfId="0" applyFont="1" applyFill="1" applyBorder="1" applyAlignment="1">
      <alignment horizontal="left" vertical="top"/>
    </xf>
    <xf numFmtId="0" fontId="219" fillId="0" borderId="3" xfId="0" applyFont="1" applyFill="1" applyBorder="1" applyAlignment="1">
      <alignment horizontal="left" vertical="top"/>
    </xf>
    <xf numFmtId="0" fontId="219" fillId="0" borderId="4" xfId="0" applyFont="1" applyFill="1" applyBorder="1" applyAlignment="1">
      <alignment horizontal="left" vertical="top"/>
    </xf>
    <xf numFmtId="0" fontId="219" fillId="0" borderId="0" xfId="0" applyFont="1" applyFill="1" applyBorder="1" applyAlignment="1">
      <alignment horizontal="left" vertical="top"/>
    </xf>
    <xf numFmtId="0" fontId="219" fillId="0" borderId="2" xfId="0" applyFont="1" applyFill="1" applyBorder="1" applyAlignment="1">
      <alignment horizontal="left" vertical="top"/>
    </xf>
    <xf numFmtId="0" fontId="52" fillId="0" borderId="4" xfId="0" applyFont="1" applyFill="1" applyBorder="1" applyAlignment="1">
      <alignment horizontal="center" vertical="center"/>
    </xf>
    <xf numFmtId="0" fontId="52" fillId="0" borderId="0" xfId="0" applyFont="1" applyFill="1" applyBorder="1" applyAlignment="1">
      <alignment horizontal="center" vertical="center"/>
    </xf>
    <xf numFmtId="0" fontId="173" fillId="0" borderId="2" xfId="0" applyFont="1" applyFill="1" applyBorder="1" applyAlignment="1">
      <alignment horizontal="center" vertical="center"/>
    </xf>
    <xf numFmtId="0" fontId="173" fillId="0" borderId="3" xfId="0" applyFont="1" applyFill="1" applyBorder="1" applyAlignment="1">
      <alignment horizontal="center" vertical="center"/>
    </xf>
    <xf numFmtId="0" fontId="173" fillId="0" borderId="3" xfId="0" applyFont="1" applyFill="1" applyBorder="1" applyAlignment="1">
      <alignment horizontal="center"/>
    </xf>
    <xf numFmtId="0" fontId="20" fillId="0" borderId="3" xfId="0" applyFont="1" applyFill="1" applyBorder="1" applyAlignment="1">
      <alignment horizontal="center" vertical="top"/>
    </xf>
    <xf numFmtId="0" fontId="20" fillId="0" borderId="4" xfId="0" applyFont="1" applyFill="1" applyBorder="1" applyAlignment="1">
      <alignment horizontal="left"/>
    </xf>
    <xf numFmtId="0" fontId="218" fillId="0" borderId="4" xfId="0" applyFont="1" applyFill="1" applyBorder="1" applyAlignment="1">
      <alignment horizontal="left" vertical="center" wrapText="1"/>
    </xf>
    <xf numFmtId="0" fontId="218" fillId="0" borderId="0" xfId="0" applyFont="1" applyFill="1" applyBorder="1" applyAlignment="1">
      <alignment horizontal="left" vertical="center" wrapText="1"/>
    </xf>
    <xf numFmtId="0" fontId="218" fillId="0" borderId="4" xfId="0" applyFont="1" applyFill="1" applyBorder="1" applyAlignment="1">
      <alignment horizontal="center" vertical="top" wrapText="1"/>
    </xf>
    <xf numFmtId="0" fontId="218" fillId="0" borderId="0" xfId="0" applyFont="1" applyFill="1" applyBorder="1" applyAlignment="1">
      <alignment horizontal="center" vertical="top" wrapText="1"/>
    </xf>
    <xf numFmtId="0" fontId="218" fillId="0" borderId="0" xfId="0" applyFont="1" applyFill="1" applyBorder="1" applyAlignment="1">
      <alignment horizontal="center" vertical="center" wrapText="1"/>
    </xf>
    <xf numFmtId="0" fontId="52" fillId="0" borderId="44" xfId="0" applyFont="1" applyFill="1" applyBorder="1" applyAlignment="1">
      <alignment horizontal="center" vertical="center"/>
    </xf>
    <xf numFmtId="0" fontId="219" fillId="0" borderId="3" xfId="0" applyFont="1" applyFill="1" applyBorder="1" applyAlignment="1">
      <alignment horizontal="center" vertical="top"/>
    </xf>
    <xf numFmtId="0" fontId="52" fillId="0" borderId="3" xfId="0" applyFont="1" applyFill="1" applyBorder="1" applyAlignment="1">
      <alignment horizontal="center" vertical="center"/>
    </xf>
    <xf numFmtId="0" fontId="173" fillId="0" borderId="3" xfId="0" applyFont="1" applyFill="1" applyBorder="1" applyAlignment="1">
      <alignment horizontal="center" vertical="top"/>
    </xf>
    <xf numFmtId="0" fontId="218" fillId="0" borderId="0" xfId="0" applyFont="1" applyFill="1" applyAlignment="1"/>
    <xf numFmtId="0" fontId="52" fillId="0" borderId="45" xfId="0" applyFont="1" applyFill="1" applyBorder="1" applyAlignment="1">
      <alignment horizontal="center" vertical="center"/>
    </xf>
    <xf numFmtId="0" fontId="52" fillId="0" borderId="29" xfId="0" applyFont="1" applyFill="1" applyBorder="1" applyAlignment="1">
      <alignment horizontal="center" vertical="center"/>
    </xf>
    <xf numFmtId="0" fontId="52" fillId="0" borderId="30" xfId="0" applyFont="1" applyFill="1" applyBorder="1" applyAlignment="1">
      <alignment horizontal="center" vertical="center"/>
    </xf>
    <xf numFmtId="0" fontId="173" fillId="0" borderId="29" xfId="0" applyFont="1" applyFill="1" applyBorder="1" applyAlignment="1">
      <alignment horizontal="center" vertical="top"/>
    </xf>
    <xf numFmtId="0" fontId="218" fillId="0" borderId="30" xfId="0" applyFont="1" applyFill="1" applyBorder="1" applyAlignment="1">
      <alignment horizontal="left" vertical="center" wrapText="1"/>
    </xf>
    <xf numFmtId="0" fontId="218" fillId="0" borderId="30" xfId="0" applyFont="1" applyFill="1" applyBorder="1" applyAlignment="1">
      <alignment horizontal="center" vertical="center" wrapText="1"/>
    </xf>
    <xf numFmtId="0" fontId="52" fillId="0" borderId="4" xfId="0" applyFont="1" applyFill="1" applyBorder="1" applyAlignment="1">
      <alignment horizontal="center" vertical="center" wrapText="1"/>
    </xf>
    <xf numFmtId="0" fontId="52" fillId="0" borderId="0" xfId="0" applyFont="1" applyFill="1" applyBorder="1" applyAlignment="1">
      <alignment horizontal="center" vertical="center" wrapText="1"/>
    </xf>
    <xf numFmtId="0" fontId="218" fillId="0" borderId="4" xfId="0" applyFont="1" applyFill="1" applyBorder="1" applyAlignment="1">
      <alignment horizontal="center" vertical="center" wrapText="1"/>
    </xf>
    <xf numFmtId="0" fontId="52" fillId="0" borderId="4" xfId="0" applyFont="1" applyFill="1" applyBorder="1" applyAlignment="1">
      <alignment horizontal="center"/>
    </xf>
    <xf numFmtId="193" fontId="20" fillId="0" borderId="0" xfId="0" applyNumberFormat="1" applyFont="1" applyFill="1" applyBorder="1" applyAlignment="1">
      <alignment horizontal="center" wrapText="1"/>
    </xf>
    <xf numFmtId="0" fontId="21" fillId="0" borderId="1" xfId="0" applyFont="1" applyFill="1" applyBorder="1" applyAlignment="1">
      <alignment horizontal="center" vertical="center" wrapText="1"/>
    </xf>
    <xf numFmtId="0" fontId="59" fillId="0" borderId="44" xfId="0" applyFont="1" applyFill="1" applyBorder="1" applyAlignment="1">
      <alignment horizontal="center"/>
    </xf>
    <xf numFmtId="0" fontId="59" fillId="0" borderId="44" xfId="0" applyFont="1" applyFill="1" applyBorder="1" applyAlignment="1">
      <alignment horizontal="center" vertical="center"/>
    </xf>
    <xf numFmtId="0" fontId="59" fillId="0" borderId="1" xfId="0" applyFont="1" applyFill="1" applyBorder="1" applyAlignment="1">
      <alignment horizontal="center" vertical="center" wrapText="1"/>
    </xf>
    <xf numFmtId="0" fontId="59" fillId="0" borderId="1" xfId="0" applyFont="1" applyFill="1" applyBorder="1" applyAlignment="1">
      <alignment horizontal="center" vertical="center"/>
    </xf>
    <xf numFmtId="0" fontId="20" fillId="0" borderId="30" xfId="0" applyFont="1" applyFill="1" applyBorder="1" applyAlignment="1">
      <alignment horizontal="center" vertical="center"/>
    </xf>
    <xf numFmtId="0" fontId="59" fillId="0" borderId="45" xfId="0" applyFont="1" applyFill="1" applyBorder="1" applyAlignment="1">
      <alignment horizontal="center" vertical="center"/>
    </xf>
    <xf numFmtId="0" fontId="52" fillId="0" borderId="1" xfId="0" applyFont="1" applyFill="1" applyBorder="1" applyAlignment="1"/>
    <xf numFmtId="0" fontId="216" fillId="0" borderId="0" xfId="0" applyFont="1" applyFill="1" applyBorder="1" applyAlignment="1">
      <alignment horizontal="center" wrapText="1"/>
    </xf>
    <xf numFmtId="0" fontId="216" fillId="0" borderId="0" xfId="0" applyFont="1" applyFill="1" applyBorder="1" applyAlignment="1">
      <alignment horizontal="center"/>
    </xf>
    <xf numFmtId="0" fontId="217" fillId="0" borderId="0" xfId="0" applyFont="1" applyFill="1" applyBorder="1" applyAlignment="1">
      <alignment horizontal="center"/>
    </xf>
    <xf numFmtId="0" fontId="20" fillId="0" borderId="0" xfId="0" applyFont="1" applyFill="1" applyBorder="1" applyAlignment="1">
      <alignment horizontal="left"/>
    </xf>
    <xf numFmtId="0" fontId="20" fillId="0" borderId="0" xfId="0" applyFont="1" applyFill="1" applyBorder="1" applyAlignment="1"/>
    <xf numFmtId="0" fontId="221" fillId="0" borderId="0" xfId="0" applyFont="1" applyFill="1" applyBorder="1" applyAlignment="1">
      <alignment horizontal="center"/>
    </xf>
    <xf numFmtId="0" fontId="173" fillId="0" borderId="0" xfId="0" applyFont="1" applyFill="1" applyAlignment="1">
      <alignment horizontal="center"/>
    </xf>
    <xf numFmtId="0" fontId="20" fillId="0" borderId="0" xfId="0" applyFont="1" applyFill="1" applyBorder="1" applyAlignment="1">
      <alignment horizontal="center" textRotation="90"/>
    </xf>
    <xf numFmtId="0" fontId="173" fillId="0" borderId="0" xfId="0" applyFont="1" applyFill="1" applyBorder="1" applyAlignment="1">
      <alignment horizontal="center" textRotation="90"/>
    </xf>
    <xf numFmtId="0" fontId="80" fillId="0" borderId="0" xfId="0" applyFont="1" applyFill="1" applyBorder="1" applyAlignment="1">
      <alignment horizontal="center" textRotation="90"/>
    </xf>
    <xf numFmtId="0" fontId="222" fillId="0" borderId="0" xfId="0" applyFont="1" applyFill="1" applyBorder="1" applyAlignment="1">
      <alignment horizontal="center" textRotation="90"/>
    </xf>
    <xf numFmtId="0" fontId="173" fillId="0" borderId="0" xfId="0" applyFont="1" applyFill="1" applyBorder="1" applyAlignment="1">
      <alignment textRotation="90"/>
    </xf>
    <xf numFmtId="0" fontId="20" fillId="0" borderId="193" xfId="0" applyFont="1" applyBorder="1" applyAlignment="1" applyProtection="1">
      <alignment horizontal="center" vertical="center"/>
      <protection hidden="1"/>
    </xf>
    <xf numFmtId="0" fontId="20" fillId="0" borderId="194" xfId="0" applyFont="1" applyBorder="1" applyAlignment="1" applyProtection="1">
      <alignment horizontal="center" vertical="center"/>
      <protection hidden="1"/>
    </xf>
    <xf numFmtId="0" fontId="0" fillId="0" borderId="195" xfId="0" applyFont="1" applyBorder="1" applyAlignment="1" applyProtection="1">
      <alignment horizontal="center" vertical="center"/>
      <protection hidden="1"/>
    </xf>
    <xf numFmtId="0" fontId="0" fillId="0" borderId="196" xfId="0" applyFont="1" applyBorder="1" applyAlignment="1" applyProtection="1">
      <alignment horizontal="center" vertical="center"/>
      <protection hidden="1"/>
    </xf>
    <xf numFmtId="0" fontId="0" fillId="0" borderId="198" xfId="0" applyFont="1" applyBorder="1" applyAlignment="1" applyProtection="1">
      <alignment horizontal="center" vertical="center"/>
      <protection hidden="1"/>
    </xf>
    <xf numFmtId="0" fontId="0" fillId="0" borderId="197" xfId="0" applyFont="1" applyBorder="1" applyAlignment="1" applyProtection="1">
      <alignment horizontal="center" vertical="center"/>
      <protection hidden="1"/>
    </xf>
    <xf numFmtId="0" fontId="20" fillId="0" borderId="196" xfId="0" applyFont="1" applyBorder="1" applyAlignment="1" applyProtection="1">
      <alignment horizontal="center" vertical="center"/>
      <protection hidden="1"/>
    </xf>
    <xf numFmtId="0" fontId="0" fillId="0" borderId="199" xfId="0" applyFont="1" applyBorder="1" applyAlignment="1" applyProtection="1">
      <alignment horizontal="center" vertical="center"/>
      <protection hidden="1"/>
    </xf>
    <xf numFmtId="0" fontId="0" fillId="0" borderId="200" xfId="0" applyFont="1" applyBorder="1" applyAlignment="1" applyProtection="1">
      <alignment horizontal="center" vertical="center"/>
      <protection hidden="1"/>
    </xf>
    <xf numFmtId="0" fontId="0" fillId="0" borderId="201" xfId="0" applyFont="1" applyBorder="1" applyAlignment="1" applyProtection="1">
      <alignment horizontal="center" vertical="center"/>
      <protection hidden="1"/>
    </xf>
    <xf numFmtId="0" fontId="0" fillId="0" borderId="202" xfId="0" applyFont="1" applyBorder="1" applyAlignment="1" applyProtection="1">
      <alignment horizontal="center" vertical="center"/>
      <protection hidden="1"/>
    </xf>
    <xf numFmtId="0" fontId="25" fillId="0" borderId="198" xfId="0" applyFont="1" applyBorder="1" applyAlignment="1" applyProtection="1">
      <alignment horizontal="center" vertical="center"/>
      <protection hidden="1"/>
    </xf>
    <xf numFmtId="0" fontId="25" fillId="0" borderId="195" xfId="0" applyFont="1" applyBorder="1" applyAlignment="1" applyProtection="1">
      <alignment horizontal="center" vertical="center"/>
      <protection hidden="1"/>
    </xf>
    <xf numFmtId="0" fontId="25" fillId="21" borderId="195" xfId="0" applyFont="1" applyFill="1" applyBorder="1" applyAlignment="1" applyProtection="1">
      <alignment horizontal="center" vertical="center"/>
      <protection hidden="1"/>
    </xf>
    <xf numFmtId="0" fontId="25" fillId="21" borderId="198" xfId="0" applyFont="1" applyFill="1" applyBorder="1" applyAlignment="1" applyProtection="1">
      <alignment horizontal="center" vertical="center"/>
      <protection hidden="1"/>
    </xf>
    <xf numFmtId="0" fontId="0" fillId="21" borderId="198" xfId="0" applyFont="1" applyFill="1" applyBorder="1" applyAlignment="1" applyProtection="1">
      <alignment horizontal="center" vertical="center"/>
      <protection hidden="1"/>
    </xf>
    <xf numFmtId="0" fontId="52" fillId="0" borderId="195" xfId="0" applyFont="1" applyBorder="1" applyAlignment="1" applyProtection="1">
      <alignment horizontal="center" vertical="center"/>
      <protection hidden="1"/>
    </xf>
    <xf numFmtId="0" fontId="52" fillId="0" borderId="199" xfId="0" applyFont="1" applyBorder="1" applyAlignment="1" applyProtection="1">
      <alignment horizontal="center" vertical="center"/>
      <protection hidden="1"/>
    </xf>
    <xf numFmtId="0" fontId="25" fillId="0" borderId="202" xfId="0" applyFont="1" applyBorder="1" applyAlignment="1" applyProtection="1">
      <alignment horizontal="center" vertical="center"/>
      <protection hidden="1"/>
    </xf>
    <xf numFmtId="0" fontId="20" fillId="21" borderId="204" xfId="0" applyFont="1" applyFill="1" applyBorder="1" applyAlignment="1" applyProtection="1">
      <alignment horizontal="center"/>
      <protection hidden="1"/>
    </xf>
    <xf numFmtId="0" fontId="0" fillId="21" borderId="205" xfId="0" applyFont="1" applyFill="1" applyBorder="1" applyAlignment="1" applyProtection="1">
      <alignment horizontal="center"/>
      <protection hidden="1"/>
    </xf>
    <xf numFmtId="0" fontId="0" fillId="21" borderId="206" xfId="0" applyFont="1" applyFill="1" applyBorder="1" applyAlignment="1" applyProtection="1">
      <alignment horizontal="center"/>
      <protection hidden="1"/>
    </xf>
    <xf numFmtId="185" fontId="0" fillId="21" borderId="207" xfId="0" applyNumberFormat="1" applyFont="1" applyFill="1" applyBorder="1" applyAlignment="1" applyProtection="1">
      <alignment horizontal="center"/>
      <protection hidden="1"/>
    </xf>
    <xf numFmtId="0" fontId="20" fillId="21" borderId="208" xfId="0" applyFont="1" applyFill="1" applyBorder="1" applyAlignment="1" applyProtection="1">
      <alignment horizontal="center"/>
      <protection hidden="1"/>
    </xf>
    <xf numFmtId="0" fontId="60" fillId="18" borderId="203" xfId="0" applyFont="1" applyFill="1" applyBorder="1" applyAlignment="1" applyProtection="1">
      <alignment horizontal="center"/>
      <protection hidden="1"/>
    </xf>
    <xf numFmtId="185" fontId="73" fillId="0" borderId="194" xfId="0" applyNumberFormat="1" applyFont="1" applyFill="1" applyBorder="1" applyAlignment="1" applyProtection="1">
      <alignment horizontal="center"/>
      <protection hidden="1"/>
    </xf>
    <xf numFmtId="0" fontId="0" fillId="18" borderId="209" xfId="0" applyNumberFormat="1" applyFont="1" applyFill="1" applyBorder="1" applyAlignment="1" applyProtection="1">
      <alignment horizontal="center"/>
      <protection hidden="1"/>
    </xf>
    <xf numFmtId="185" fontId="73" fillId="0" borderId="193" xfId="0" applyNumberFormat="1" applyFont="1" applyBorder="1" applyAlignment="1" applyProtection="1">
      <alignment horizontal="center"/>
      <protection hidden="1"/>
    </xf>
    <xf numFmtId="0" fontId="0" fillId="18" borderId="210" xfId="0" applyNumberFormat="1" applyFont="1" applyFill="1" applyBorder="1" applyAlignment="1" applyProtection="1">
      <alignment horizontal="center"/>
      <protection hidden="1"/>
    </xf>
    <xf numFmtId="185" fontId="210" fillId="10" borderId="192" xfId="0" applyNumberFormat="1" applyFont="1" applyFill="1" applyBorder="1" applyAlignment="1" applyProtection="1">
      <alignment horizontal="center"/>
      <protection hidden="1"/>
    </xf>
    <xf numFmtId="0" fontId="60" fillId="18" borderId="195" xfId="0" applyFont="1" applyFill="1" applyBorder="1" applyAlignment="1" applyProtection="1">
      <alignment horizontal="center"/>
      <protection hidden="1"/>
    </xf>
    <xf numFmtId="185" fontId="73" fillId="0" borderId="198" xfId="0" applyNumberFormat="1" applyFont="1" applyFill="1" applyBorder="1" applyAlignment="1" applyProtection="1">
      <alignment horizontal="center"/>
      <protection hidden="1"/>
    </xf>
    <xf numFmtId="0" fontId="0" fillId="18" borderId="198" xfId="0" applyNumberFormat="1" applyFont="1" applyFill="1" applyBorder="1" applyAlignment="1" applyProtection="1">
      <alignment horizontal="center"/>
      <protection hidden="1"/>
    </xf>
    <xf numFmtId="185" fontId="73" fillId="0" borderId="197" xfId="0" applyNumberFormat="1" applyFont="1" applyBorder="1" applyAlignment="1" applyProtection="1">
      <alignment horizontal="center"/>
      <protection hidden="1"/>
    </xf>
    <xf numFmtId="0" fontId="0" fillId="18" borderId="211" xfId="0" applyNumberFormat="1" applyFont="1" applyFill="1" applyBorder="1" applyAlignment="1" applyProtection="1">
      <alignment horizontal="center"/>
      <protection hidden="1"/>
    </xf>
    <xf numFmtId="185" fontId="210" fillId="10" borderId="196" xfId="0" applyNumberFormat="1" applyFont="1" applyFill="1" applyBorder="1" applyAlignment="1" applyProtection="1">
      <alignment horizontal="center"/>
      <protection hidden="1"/>
    </xf>
    <xf numFmtId="0" fontId="60" fillId="18" borderId="199" xfId="0" applyFont="1" applyFill="1" applyBorder="1" applyAlignment="1" applyProtection="1">
      <alignment horizontal="center"/>
      <protection hidden="1"/>
    </xf>
    <xf numFmtId="185" fontId="73" fillId="0" borderId="202" xfId="0" applyNumberFormat="1" applyFont="1" applyFill="1" applyBorder="1" applyAlignment="1" applyProtection="1">
      <alignment horizontal="center"/>
      <protection hidden="1"/>
    </xf>
    <xf numFmtId="0" fontId="0" fillId="18" borderId="202" xfId="0" applyNumberFormat="1" applyFont="1" applyFill="1" applyBorder="1" applyAlignment="1" applyProtection="1">
      <alignment horizontal="center"/>
      <protection hidden="1"/>
    </xf>
    <xf numFmtId="185" fontId="73" fillId="0" borderId="201" xfId="0" applyNumberFormat="1" applyFont="1" applyBorder="1" applyAlignment="1" applyProtection="1">
      <alignment horizontal="center"/>
      <protection hidden="1"/>
    </xf>
    <xf numFmtId="0" fontId="0" fillId="18" borderId="212" xfId="0" applyNumberFormat="1" applyFont="1" applyFill="1" applyBorder="1" applyAlignment="1" applyProtection="1">
      <alignment horizontal="center"/>
      <protection hidden="1"/>
    </xf>
    <xf numFmtId="185" fontId="210" fillId="10" borderId="200" xfId="0" applyNumberFormat="1" applyFont="1" applyFill="1" applyBorder="1" applyAlignment="1" applyProtection="1">
      <alignment horizontal="center"/>
      <protection hidden="1"/>
    </xf>
    <xf numFmtId="0" fontId="20" fillId="21" borderId="213" xfId="0" applyFont="1" applyFill="1" applyBorder="1" applyAlignment="1" applyProtection="1">
      <alignment horizontal="center"/>
      <protection hidden="1"/>
    </xf>
    <xf numFmtId="185" fontId="0" fillId="21" borderId="208" xfId="0" applyNumberFormat="1" applyFont="1" applyFill="1" applyBorder="1" applyAlignment="1" applyProtection="1">
      <alignment horizontal="center"/>
      <protection hidden="1"/>
    </xf>
    <xf numFmtId="0" fontId="60" fillId="18" borderId="214" xfId="0" applyFont="1" applyFill="1" applyBorder="1" applyAlignment="1" applyProtection="1">
      <alignment horizontal="center"/>
      <protection hidden="1"/>
    </xf>
    <xf numFmtId="185" fontId="73" fillId="0" borderId="209" xfId="0" applyNumberFormat="1" applyFont="1" applyFill="1" applyBorder="1" applyAlignment="1" applyProtection="1">
      <alignment horizontal="center"/>
      <protection hidden="1"/>
    </xf>
    <xf numFmtId="0" fontId="0" fillId="18" borderId="209" xfId="0" applyFont="1" applyFill="1" applyBorder="1" applyAlignment="1" applyProtection="1">
      <alignment horizontal="center"/>
      <protection hidden="1"/>
    </xf>
    <xf numFmtId="185" fontId="73" fillId="0" borderId="209" xfId="0" applyNumberFormat="1" applyFont="1" applyBorder="1" applyAlignment="1" applyProtection="1">
      <alignment horizontal="center"/>
      <protection hidden="1"/>
    </xf>
    <xf numFmtId="0" fontId="0" fillId="18" borderId="192" xfId="0" applyFont="1" applyFill="1" applyBorder="1" applyAlignment="1" applyProtection="1">
      <alignment horizontal="center"/>
      <protection hidden="1"/>
    </xf>
    <xf numFmtId="0" fontId="0" fillId="18" borderId="198" xfId="0" applyFont="1" applyFill="1" applyBorder="1" applyAlignment="1" applyProtection="1">
      <alignment horizontal="center"/>
      <protection hidden="1"/>
    </xf>
    <xf numFmtId="185" fontId="73" fillId="0" borderId="198" xfId="0" applyNumberFormat="1" applyFont="1" applyBorder="1" applyAlignment="1" applyProtection="1">
      <alignment horizontal="center"/>
      <protection hidden="1"/>
    </xf>
    <xf numFmtId="0" fontId="0" fillId="18" borderId="196" xfId="0" applyFont="1" applyFill="1" applyBorder="1" applyAlignment="1" applyProtection="1">
      <alignment horizontal="center"/>
      <protection hidden="1"/>
    </xf>
    <xf numFmtId="0" fontId="0" fillId="18" borderId="202" xfId="0" applyFont="1" applyFill="1" applyBorder="1" applyAlignment="1" applyProtection="1">
      <alignment horizontal="center"/>
      <protection hidden="1"/>
    </xf>
    <xf numFmtId="0" fontId="73" fillId="0" borderId="202" xfId="0" applyFont="1" applyBorder="1" applyAlignment="1" applyProtection="1">
      <alignment horizontal="center"/>
      <protection hidden="1"/>
    </xf>
    <xf numFmtId="0" fontId="0" fillId="18" borderId="200" xfId="0" applyFont="1" applyFill="1" applyBorder="1" applyAlignment="1" applyProtection="1">
      <alignment horizontal="center"/>
      <protection hidden="1"/>
    </xf>
    <xf numFmtId="0" fontId="20" fillId="0" borderId="210" xfId="0" applyFont="1" applyBorder="1" applyAlignment="1" applyProtection="1">
      <alignment horizontal="center" vertical="center"/>
      <protection hidden="1"/>
    </xf>
    <xf numFmtId="0" fontId="20" fillId="0" borderId="203" xfId="0" applyFont="1" applyBorder="1" applyAlignment="1" applyProtection="1">
      <alignment horizontal="center" vertical="center"/>
      <protection hidden="1"/>
    </xf>
    <xf numFmtId="0" fontId="0" fillId="0" borderId="211" xfId="0" applyFont="1" applyBorder="1" applyAlignment="1" applyProtection="1">
      <alignment horizontal="center" vertical="center"/>
      <protection hidden="1"/>
    </xf>
    <xf numFmtId="2" fontId="0" fillId="0" borderId="195" xfId="0" applyNumberFormat="1" applyFont="1" applyBorder="1" applyAlignment="1" applyProtection="1">
      <alignment horizontal="center" vertical="center"/>
      <protection hidden="1"/>
    </xf>
    <xf numFmtId="0" fontId="0" fillId="0" borderId="212" xfId="0" applyFont="1" applyBorder="1" applyAlignment="1" applyProtection="1">
      <alignment horizontal="center" vertical="center"/>
      <protection hidden="1"/>
    </xf>
    <xf numFmtId="2" fontId="0" fillId="0" borderId="199" xfId="0" applyNumberFormat="1" applyFont="1" applyBorder="1" applyAlignment="1" applyProtection="1">
      <alignment horizontal="center" vertical="center"/>
      <protection hidden="1"/>
    </xf>
    <xf numFmtId="0" fontId="20" fillId="21" borderId="216" xfId="0" applyFont="1" applyFill="1" applyBorder="1" applyAlignment="1" applyProtection="1">
      <alignment horizontal="center"/>
      <protection hidden="1"/>
    </xf>
    <xf numFmtId="185" fontId="0" fillId="21" borderId="217" xfId="0" applyNumberFormat="1" applyFont="1" applyFill="1" applyBorder="1" applyAlignment="1" applyProtection="1">
      <alignment horizontal="center"/>
      <protection hidden="1"/>
    </xf>
    <xf numFmtId="185" fontId="73" fillId="0" borderId="214" xfId="0" applyNumberFormat="1" applyFont="1" applyBorder="1" applyAlignment="1" applyProtection="1">
      <alignment horizontal="center"/>
      <protection hidden="1"/>
    </xf>
    <xf numFmtId="0" fontId="0" fillId="18" borderId="218" xfId="0" applyNumberFormat="1" applyFont="1" applyFill="1" applyBorder="1" applyAlignment="1" applyProtection="1">
      <alignment horizontal="center"/>
      <protection hidden="1"/>
    </xf>
    <xf numFmtId="0" fontId="60" fillId="18" borderId="191" xfId="0" applyFont="1" applyFill="1" applyBorder="1" applyAlignment="1" applyProtection="1">
      <alignment horizontal="center"/>
      <protection hidden="1"/>
    </xf>
    <xf numFmtId="0" fontId="73" fillId="0" borderId="201" xfId="0" applyNumberFormat="1" applyFont="1" applyBorder="1" applyAlignment="1" applyProtection="1">
      <alignment horizontal="center"/>
      <protection hidden="1"/>
    </xf>
    <xf numFmtId="0" fontId="73" fillId="0" borderId="202" xfId="0" applyNumberFormat="1" applyFont="1" applyBorder="1" applyAlignment="1" applyProtection="1">
      <alignment horizontal="center"/>
      <protection hidden="1"/>
    </xf>
    <xf numFmtId="0" fontId="20" fillId="0" borderId="215" xfId="0" applyFont="1" applyBorder="1" applyAlignment="1" applyProtection="1">
      <alignment horizontal="center" vertical="center"/>
      <protection hidden="1"/>
    </xf>
    <xf numFmtId="2" fontId="0" fillId="0" borderId="198" xfId="0" applyNumberFormat="1" applyFont="1" applyBorder="1" applyAlignment="1" applyProtection="1">
      <alignment horizontal="center" vertical="center"/>
      <protection hidden="1"/>
    </xf>
    <xf numFmtId="2" fontId="0" fillId="18" borderId="198" xfId="0" applyNumberFormat="1" applyFont="1" applyFill="1" applyBorder="1" applyAlignment="1" applyProtection="1">
      <alignment horizontal="center" vertical="center"/>
      <protection hidden="1"/>
    </xf>
    <xf numFmtId="185" fontId="0" fillId="18" borderId="198" xfId="0" applyNumberFormat="1" applyFont="1" applyFill="1" applyBorder="1" applyAlignment="1" applyProtection="1">
      <alignment horizontal="center" vertical="center"/>
      <protection hidden="1"/>
    </xf>
    <xf numFmtId="185" fontId="0" fillId="18" borderId="196" xfId="0" applyNumberFormat="1" applyFont="1" applyFill="1" applyBorder="1" applyAlignment="1" applyProtection="1">
      <alignment horizontal="center" vertical="center"/>
      <protection hidden="1"/>
    </xf>
    <xf numFmtId="185" fontId="0" fillId="0" borderId="198" xfId="0" applyNumberFormat="1" applyFont="1" applyBorder="1" applyAlignment="1" applyProtection="1">
      <alignment horizontal="center" vertical="center"/>
      <protection hidden="1"/>
    </xf>
    <xf numFmtId="185" fontId="0" fillId="0" borderId="196" xfId="0" applyNumberFormat="1" applyFont="1" applyBorder="1" applyAlignment="1" applyProtection="1">
      <alignment horizontal="center" vertical="center"/>
      <protection hidden="1"/>
    </xf>
    <xf numFmtId="2" fontId="0" fillId="0" borderId="202" xfId="0" applyNumberFormat="1" applyFont="1" applyBorder="1" applyAlignment="1" applyProtection="1">
      <alignment horizontal="center" vertical="center"/>
      <protection hidden="1"/>
    </xf>
    <xf numFmtId="185" fontId="0" fillId="0" borderId="202" xfId="0" applyNumberFormat="1" applyFont="1" applyBorder="1" applyAlignment="1" applyProtection="1">
      <alignment horizontal="center" vertical="center"/>
      <protection hidden="1"/>
    </xf>
    <xf numFmtId="185" fontId="0" fillId="0" borderId="200" xfId="0" applyNumberFormat="1" applyFont="1" applyBorder="1" applyAlignment="1" applyProtection="1">
      <alignment horizontal="center" vertical="center"/>
      <protection hidden="1"/>
    </xf>
    <xf numFmtId="0" fontId="0" fillId="0" borderId="0" xfId="0" applyFont="1" applyAlignment="1" applyProtection="1">
      <alignment horizontal="center" vertical="center"/>
      <protection hidden="1"/>
    </xf>
    <xf numFmtId="0" fontId="0" fillId="18" borderId="194" xfId="0" applyNumberFormat="1" applyFont="1" applyFill="1" applyBorder="1" applyAlignment="1" applyProtection="1">
      <alignment horizontal="center"/>
      <protection hidden="1"/>
    </xf>
    <xf numFmtId="0" fontId="0" fillId="18" borderId="218" xfId="0" applyFont="1" applyFill="1" applyBorder="1" applyAlignment="1" applyProtection="1">
      <alignment horizontal="center"/>
      <protection hidden="1"/>
    </xf>
    <xf numFmtId="2" fontId="0" fillId="0" borderId="0" xfId="0" applyNumberFormat="1" applyFont="1" applyAlignment="1" applyProtection="1">
      <alignment horizontal="center" vertical="center"/>
      <protection hidden="1"/>
    </xf>
    <xf numFmtId="0" fontId="0" fillId="18" borderId="211" xfId="0" applyFont="1" applyFill="1" applyBorder="1" applyAlignment="1" applyProtection="1">
      <alignment horizontal="center"/>
      <protection hidden="1"/>
    </xf>
    <xf numFmtId="0" fontId="0" fillId="18" borderId="212" xfId="0" applyFont="1" applyFill="1" applyBorder="1" applyAlignment="1" applyProtection="1">
      <alignment horizontal="center"/>
      <protection hidden="1"/>
    </xf>
    <xf numFmtId="185" fontId="0" fillId="21" borderId="219" xfId="0" applyNumberFormat="1" applyFont="1" applyFill="1" applyBorder="1" applyAlignment="1" applyProtection="1">
      <alignment horizontal="center"/>
      <protection hidden="1"/>
    </xf>
    <xf numFmtId="49" fontId="0" fillId="0" borderId="0" xfId="0" applyNumberFormat="1" applyFont="1" applyAlignment="1" applyProtection="1">
      <alignment horizontal="center" vertical="center"/>
      <protection hidden="1"/>
    </xf>
    <xf numFmtId="49" fontId="0" fillId="0" borderId="93" xfId="0" applyNumberFormat="1" applyFont="1" applyBorder="1" applyAlignment="1" applyProtection="1">
      <alignment horizontal="center" vertical="center"/>
      <protection hidden="1"/>
    </xf>
    <xf numFmtId="49" fontId="0" fillId="0" borderId="54" xfId="0" applyNumberFormat="1" applyFont="1" applyBorder="1" applyAlignment="1" applyProtection="1">
      <alignment horizontal="center" vertical="center"/>
      <protection hidden="1"/>
    </xf>
    <xf numFmtId="49" fontId="20" fillId="0" borderId="189" xfId="0" applyNumberFormat="1" applyFont="1" applyBorder="1" applyAlignment="1" applyProtection="1">
      <alignment horizontal="center" vertical="center"/>
      <protection hidden="1"/>
    </xf>
    <xf numFmtId="49" fontId="20" fillId="0" borderId="205" xfId="0" applyNumberFormat="1" applyFont="1" applyBorder="1" applyAlignment="1" applyProtection="1">
      <alignment horizontal="center" vertical="center"/>
      <protection hidden="1"/>
    </xf>
    <xf numFmtId="49" fontId="0" fillId="0" borderId="216" xfId="0" applyNumberFormat="1" applyFont="1" applyBorder="1" applyAlignment="1" applyProtection="1">
      <alignment horizontal="center" vertical="center"/>
      <protection hidden="1"/>
    </xf>
    <xf numFmtId="49" fontId="0" fillId="0" borderId="208" xfId="0" applyNumberFormat="1" applyFont="1" applyBorder="1" applyAlignment="1" applyProtection="1">
      <alignment horizontal="center" vertical="center"/>
      <protection hidden="1"/>
    </xf>
    <xf numFmtId="49" fontId="0" fillId="0" borderId="191" xfId="0" applyNumberFormat="1" applyFont="1" applyBorder="1" applyAlignment="1" applyProtection="1">
      <alignment horizontal="center" vertical="center"/>
      <protection hidden="1"/>
    </xf>
    <xf numFmtId="49" fontId="20" fillId="0" borderId="192" xfId="0" applyNumberFormat="1" applyFont="1" applyBorder="1" applyAlignment="1" applyProtection="1">
      <alignment horizontal="center" vertical="center"/>
      <protection hidden="1"/>
    </xf>
    <xf numFmtId="49" fontId="20" fillId="0" borderId="191" xfId="0" applyNumberFormat="1" applyFont="1" applyBorder="1" applyAlignment="1" applyProtection="1">
      <alignment horizontal="center" vertical="center"/>
      <protection hidden="1"/>
    </xf>
    <xf numFmtId="49" fontId="20" fillId="0" borderId="209" xfId="0" applyNumberFormat="1" applyFont="1" applyBorder="1" applyAlignment="1" applyProtection="1">
      <alignment horizontal="center" vertical="center"/>
      <protection hidden="1"/>
    </xf>
    <xf numFmtId="49" fontId="20" fillId="0" borderId="195" xfId="0" applyNumberFormat="1" applyFont="1" applyBorder="1" applyAlignment="1" applyProtection="1">
      <alignment horizontal="center" vertical="center"/>
      <protection hidden="1"/>
    </xf>
    <xf numFmtId="49" fontId="20" fillId="0" borderId="196" xfId="0" applyNumberFormat="1" applyFont="1" applyBorder="1" applyAlignment="1" applyProtection="1">
      <alignment horizontal="center" vertical="center"/>
      <protection hidden="1"/>
    </xf>
    <xf numFmtId="49" fontId="20" fillId="0" borderId="198" xfId="0" applyNumberFormat="1" applyFont="1" applyBorder="1" applyAlignment="1" applyProtection="1">
      <alignment horizontal="center" vertical="center"/>
      <protection hidden="1"/>
    </xf>
    <xf numFmtId="49" fontId="20" fillId="0" borderId="199" xfId="0" applyNumberFormat="1" applyFont="1" applyBorder="1" applyAlignment="1" applyProtection="1">
      <alignment horizontal="center" vertical="center"/>
      <protection hidden="1"/>
    </xf>
    <xf numFmtId="49" fontId="20" fillId="0" borderId="200" xfId="0" applyNumberFormat="1" applyFont="1" applyBorder="1" applyAlignment="1" applyProtection="1">
      <alignment horizontal="center" vertical="center"/>
      <protection hidden="1"/>
    </xf>
    <xf numFmtId="49" fontId="20" fillId="0" borderId="202" xfId="0" applyNumberFormat="1" applyFont="1" applyBorder="1" applyAlignment="1" applyProtection="1">
      <alignment horizontal="center" vertical="center"/>
      <protection hidden="1"/>
    </xf>
    <xf numFmtId="49" fontId="20" fillId="0" borderId="203" xfId="0" applyNumberFormat="1" applyFont="1" applyBorder="1" applyAlignment="1" applyProtection="1">
      <alignment horizontal="center" vertical="center"/>
      <protection hidden="1"/>
    </xf>
    <xf numFmtId="49" fontId="20" fillId="0" borderId="215" xfId="0" applyNumberFormat="1" applyFont="1" applyBorder="1" applyAlignment="1" applyProtection="1">
      <alignment horizontal="center" vertical="center"/>
      <protection hidden="1"/>
    </xf>
    <xf numFmtId="49" fontId="20" fillId="0" borderId="194" xfId="0" applyNumberFormat="1" applyFont="1" applyBorder="1" applyAlignment="1" applyProtection="1">
      <alignment horizontal="center" vertical="center"/>
      <protection hidden="1"/>
    </xf>
    <xf numFmtId="49" fontId="0" fillId="0" borderId="0" xfId="0" applyNumberFormat="1" applyFont="1" applyBorder="1" applyAlignment="1" applyProtection="1">
      <alignment vertical="center"/>
      <protection hidden="1"/>
    </xf>
    <xf numFmtId="49" fontId="20" fillId="0" borderId="0" xfId="0" applyNumberFormat="1" applyFont="1" applyBorder="1" applyAlignment="1" applyProtection="1">
      <alignment vertical="center"/>
      <protection hidden="1"/>
    </xf>
    <xf numFmtId="49" fontId="20" fillId="0" borderId="0" xfId="0" applyNumberFormat="1" applyFont="1" applyAlignment="1" applyProtection="1">
      <alignment vertical="center"/>
      <protection hidden="1"/>
    </xf>
    <xf numFmtId="49" fontId="0" fillId="0" borderId="194" xfId="0" applyNumberFormat="1" applyFont="1" applyBorder="1" applyAlignment="1" applyProtection="1">
      <alignment horizontal="center" vertical="center"/>
      <protection hidden="1"/>
    </xf>
    <xf numFmtId="49" fontId="0" fillId="0" borderId="215" xfId="0" applyNumberFormat="1" applyFont="1" applyBorder="1" applyAlignment="1" applyProtection="1">
      <alignment horizontal="center" vertical="center"/>
      <protection hidden="1"/>
    </xf>
    <xf numFmtId="49" fontId="0" fillId="0" borderId="195" xfId="0" applyNumberFormat="1" applyFont="1" applyBorder="1" applyAlignment="1" applyProtection="1">
      <alignment horizontal="center" vertical="center"/>
      <protection hidden="1"/>
    </xf>
    <xf numFmtId="49" fontId="0" fillId="0" borderId="196" xfId="0" applyNumberFormat="1" applyFont="1" applyBorder="1" applyAlignment="1" applyProtection="1">
      <alignment horizontal="center" vertical="center"/>
      <protection hidden="1"/>
    </xf>
    <xf numFmtId="49" fontId="20" fillId="0" borderId="197" xfId="0" applyNumberFormat="1" applyFont="1" applyBorder="1" applyAlignment="1" applyProtection="1">
      <alignment horizontal="center" vertical="center"/>
      <protection hidden="1"/>
    </xf>
    <xf numFmtId="49" fontId="223" fillId="0" borderId="198" xfId="0" applyNumberFormat="1" applyFont="1" applyBorder="1" applyAlignment="1" applyProtection="1">
      <alignment horizontal="center" vertical="center"/>
      <protection hidden="1"/>
    </xf>
    <xf numFmtId="49" fontId="0" fillId="0" borderId="198" xfId="0" applyNumberFormat="1" applyFont="1" applyBorder="1" applyAlignment="1" applyProtection="1">
      <alignment horizontal="center" vertical="center"/>
      <protection hidden="1"/>
    </xf>
    <xf numFmtId="49" fontId="20" fillId="0" borderId="216" xfId="0" applyNumberFormat="1" applyFont="1" applyBorder="1" applyAlignment="1" applyProtection="1">
      <alignment horizontal="center" vertical="center"/>
      <protection hidden="1"/>
    </xf>
    <xf numFmtId="49" fontId="20" fillId="0" borderId="0" xfId="0" applyNumberFormat="1" applyFont="1" applyAlignment="1" applyProtection="1">
      <alignment horizontal="center" vertical="center"/>
      <protection hidden="1"/>
    </xf>
    <xf numFmtId="49" fontId="0" fillId="0" borderId="202" xfId="0" applyNumberFormat="1" applyFont="1" applyBorder="1" applyAlignment="1" applyProtection="1">
      <alignment horizontal="center" vertical="center"/>
      <protection hidden="1"/>
    </xf>
    <xf numFmtId="49" fontId="0" fillId="0" borderId="200" xfId="0" applyNumberFormat="1" applyFont="1" applyBorder="1" applyAlignment="1" applyProtection="1">
      <alignment horizontal="center" vertical="center"/>
      <protection hidden="1"/>
    </xf>
    <xf numFmtId="49" fontId="223" fillId="0" borderId="196" xfId="0" applyNumberFormat="1" applyFont="1" applyBorder="1" applyAlignment="1" applyProtection="1">
      <alignment horizontal="center" vertical="center"/>
      <protection hidden="1"/>
    </xf>
    <xf numFmtId="49" fontId="224" fillId="0" borderId="198" xfId="0" applyNumberFormat="1" applyFont="1" applyBorder="1" applyAlignment="1" applyProtection="1">
      <alignment horizontal="center" vertical="center"/>
      <protection hidden="1"/>
    </xf>
    <xf numFmtId="49" fontId="20" fillId="0" borderId="206" xfId="0" applyNumberFormat="1" applyFont="1" applyBorder="1" applyAlignment="1" applyProtection="1">
      <alignment horizontal="center" vertical="center"/>
      <protection hidden="1"/>
    </xf>
    <xf numFmtId="0" fontId="0" fillId="0" borderId="206" xfId="0" applyFont="1" applyBorder="1" applyAlignment="1" applyProtection="1">
      <protection hidden="1"/>
    </xf>
    <xf numFmtId="49" fontId="0" fillId="0" borderId="206" xfId="0" applyNumberFormat="1" applyFont="1" applyBorder="1" applyAlignment="1" applyProtection="1">
      <alignment horizontal="center" vertical="center"/>
      <protection hidden="1"/>
    </xf>
    <xf numFmtId="49" fontId="20" fillId="0" borderId="198" xfId="0" applyNumberFormat="1" applyFont="1" applyBorder="1" applyAlignment="1" applyProtection="1">
      <alignment horizontal="center" vertical="center" wrapText="1"/>
      <protection hidden="1"/>
    </xf>
    <xf numFmtId="49" fontId="20" fillId="0" borderId="207" xfId="0" applyNumberFormat="1" applyFont="1" applyBorder="1" applyAlignment="1" applyProtection="1">
      <alignment horizontal="center" vertical="center"/>
      <protection hidden="1"/>
    </xf>
    <xf numFmtId="0" fontId="0" fillId="0" borderId="209" xfId="0" applyFont="1" applyBorder="1" applyAlignment="1" applyProtection="1">
      <alignment horizontal="center" vertical="center"/>
      <protection hidden="1"/>
    </xf>
    <xf numFmtId="0" fontId="20" fillId="0" borderId="198" xfId="0" applyFont="1" applyBorder="1" applyAlignment="1" applyProtection="1">
      <alignment horizontal="center" vertical="center"/>
      <protection hidden="1"/>
    </xf>
    <xf numFmtId="0" fontId="20" fillId="0" borderId="202" xfId="0" applyFont="1" applyBorder="1" applyAlignment="1" applyProtection="1">
      <alignment horizontal="center" vertical="center"/>
      <protection hidden="1"/>
    </xf>
    <xf numFmtId="49" fontId="0" fillId="0" borderId="194" xfId="0" applyNumberFormat="1" applyFont="1" applyBorder="1" applyAlignment="1" applyProtection="1">
      <alignment vertical="center"/>
      <protection hidden="1"/>
    </xf>
    <xf numFmtId="49" fontId="0" fillId="0" borderId="198" xfId="0" applyNumberFormat="1" applyFont="1" applyBorder="1" applyAlignment="1" applyProtection="1">
      <alignment vertical="center"/>
      <protection hidden="1"/>
    </xf>
    <xf numFmtId="49" fontId="0" fillId="0" borderId="202" xfId="0" applyNumberFormat="1" applyFont="1" applyBorder="1" applyAlignment="1" applyProtection="1">
      <alignment vertical="center"/>
      <protection hidden="1"/>
    </xf>
    <xf numFmtId="49" fontId="223" fillId="0" borderId="195" xfId="0" applyNumberFormat="1" applyFont="1" applyBorder="1" applyAlignment="1" applyProtection="1">
      <alignment horizontal="center" vertical="center"/>
      <protection hidden="1"/>
    </xf>
    <xf numFmtId="49" fontId="20" fillId="0" borderId="218" xfId="0" applyNumberFormat="1" applyFont="1" applyBorder="1" applyAlignment="1" applyProtection="1">
      <alignment horizontal="center" vertical="center"/>
      <protection hidden="1"/>
    </xf>
    <xf numFmtId="49" fontId="20" fillId="0" borderId="211" xfId="0" applyNumberFormat="1" applyFont="1" applyBorder="1" applyAlignment="1" applyProtection="1">
      <alignment horizontal="center" vertical="center"/>
      <protection hidden="1"/>
    </xf>
    <xf numFmtId="49" fontId="20" fillId="0" borderId="212" xfId="0" applyNumberFormat="1" applyFont="1" applyBorder="1" applyAlignment="1" applyProtection="1">
      <alignment horizontal="center" vertical="center"/>
      <protection hidden="1"/>
    </xf>
    <xf numFmtId="49" fontId="0" fillId="0" borderId="61" xfId="0" applyNumberFormat="1" applyFont="1" applyBorder="1" applyAlignment="1" applyProtection="1">
      <alignment vertical="center"/>
      <protection hidden="1"/>
    </xf>
    <xf numFmtId="49" fontId="0" fillId="0" borderId="215" xfId="0" applyNumberFormat="1" applyFont="1" applyBorder="1" applyAlignment="1" applyProtection="1">
      <alignment vertical="center"/>
      <protection hidden="1"/>
    </xf>
    <xf numFmtId="49" fontId="0" fillId="0" borderId="196" xfId="0" applyNumberFormat="1" applyFont="1" applyBorder="1" applyAlignment="1" applyProtection="1">
      <alignment vertical="center"/>
      <protection hidden="1"/>
    </xf>
    <xf numFmtId="49" fontId="0" fillId="0" borderId="200" xfId="0" applyNumberFormat="1" applyFont="1" applyBorder="1" applyAlignment="1" applyProtection="1">
      <alignment vertical="center"/>
      <protection hidden="1"/>
    </xf>
    <xf numFmtId="49" fontId="0" fillId="0" borderId="199" xfId="0" applyNumberFormat="1" applyFont="1" applyBorder="1" applyAlignment="1" applyProtection="1">
      <alignment horizontal="center" vertical="center"/>
      <protection hidden="1"/>
    </xf>
    <xf numFmtId="49" fontId="0" fillId="0" borderId="237" xfId="0" applyNumberFormat="1" applyFont="1" applyBorder="1" applyAlignment="1" applyProtection="1">
      <alignment horizontal="center" vertical="center"/>
      <protection hidden="1"/>
    </xf>
    <xf numFmtId="49" fontId="20" fillId="0" borderId="208" xfId="0" applyNumberFormat="1" applyFont="1" applyBorder="1" applyAlignment="1" applyProtection="1">
      <alignment horizontal="center" vertical="center"/>
      <protection hidden="1"/>
    </xf>
    <xf numFmtId="49" fontId="0" fillId="0" borderId="0" xfId="0" applyNumberFormat="1" applyFont="1" applyBorder="1" applyAlignment="1" applyProtection="1">
      <alignment horizontal="center" vertical="center"/>
      <protection hidden="1"/>
    </xf>
    <xf numFmtId="49" fontId="0" fillId="0" borderId="94" xfId="0" applyNumberFormat="1" applyFont="1" applyBorder="1" applyAlignment="1" applyProtection="1">
      <alignment horizontal="center" vertical="center"/>
      <protection hidden="1"/>
    </xf>
    <xf numFmtId="49" fontId="0" fillId="0" borderId="240" xfId="0" applyNumberFormat="1" applyFont="1" applyBorder="1" applyAlignment="1" applyProtection="1">
      <alignment horizontal="center" vertical="center"/>
      <protection hidden="1"/>
    </xf>
    <xf numFmtId="49" fontId="0" fillId="0" borderId="242" xfId="0" applyNumberFormat="1" applyFont="1" applyBorder="1" applyAlignment="1" applyProtection="1">
      <alignment horizontal="center" vertical="center"/>
      <protection hidden="1"/>
    </xf>
    <xf numFmtId="49" fontId="20" fillId="0" borderId="244" xfId="0" applyNumberFormat="1" applyFont="1" applyBorder="1" applyAlignment="1" applyProtection="1">
      <alignment horizontal="center" vertical="center"/>
      <protection hidden="1"/>
    </xf>
    <xf numFmtId="49" fontId="20" fillId="0" borderId="245" xfId="0" applyNumberFormat="1" applyFont="1" applyBorder="1" applyAlignment="1" applyProtection="1">
      <alignment horizontal="center" vertical="center"/>
      <protection hidden="1"/>
    </xf>
    <xf numFmtId="49" fontId="20" fillId="0" borderId="201" xfId="0" applyNumberFormat="1" applyFont="1" applyBorder="1" applyAlignment="1" applyProtection="1">
      <alignment horizontal="center" vertical="center"/>
      <protection hidden="1"/>
    </xf>
    <xf numFmtId="49" fontId="20" fillId="0" borderId="247" xfId="0" applyNumberFormat="1" applyFont="1" applyBorder="1" applyAlignment="1" applyProtection="1">
      <alignment horizontal="center" vertical="center"/>
      <protection hidden="1"/>
    </xf>
    <xf numFmtId="49" fontId="20" fillId="0" borderId="0" xfId="0" applyNumberFormat="1" applyFont="1" applyBorder="1" applyAlignment="1" applyProtection="1">
      <alignment horizontal="center" vertical="center"/>
      <protection hidden="1"/>
    </xf>
    <xf numFmtId="0" fontId="0" fillId="0" borderId="0" xfId="0" applyFont="1" applyAlignment="1"/>
    <xf numFmtId="49" fontId="0" fillId="0" borderId="209" xfId="0" applyNumberFormat="1" applyFont="1" applyBorder="1" applyAlignment="1" applyProtection="1">
      <alignment horizontal="center" vertical="center"/>
      <protection hidden="1"/>
    </xf>
    <xf numFmtId="49" fontId="0" fillId="0" borderId="211" xfId="0" applyNumberFormat="1" applyFont="1" applyBorder="1" applyAlignment="1" applyProtection="1">
      <alignment horizontal="center" vertical="center"/>
      <protection hidden="1"/>
    </xf>
    <xf numFmtId="49" fontId="0" fillId="0" borderId="218" xfId="0" applyNumberFormat="1" applyFont="1" applyBorder="1" applyAlignment="1" applyProtection="1">
      <alignment horizontal="center" vertical="center"/>
      <protection hidden="1"/>
    </xf>
    <xf numFmtId="49" fontId="0" fillId="0" borderId="57" xfId="0" applyNumberFormat="1" applyFont="1" applyBorder="1" applyAlignment="1" applyProtection="1">
      <alignment horizontal="center" vertical="center"/>
      <protection hidden="1"/>
    </xf>
    <xf numFmtId="49" fontId="0" fillId="0" borderId="212" xfId="0" applyNumberFormat="1" applyFont="1" applyBorder="1" applyAlignment="1" applyProtection="1">
      <alignment horizontal="center" vertical="center"/>
      <protection hidden="1"/>
    </xf>
    <xf numFmtId="0" fontId="15" fillId="0" borderId="0" xfId="0" applyFont="1" applyBorder="1" applyAlignment="1">
      <alignment vertical="center"/>
    </xf>
    <xf numFmtId="0" fontId="15" fillId="0" borderId="0" xfId="0" applyFont="1" applyBorder="1" applyAlignment="1"/>
    <xf numFmtId="0" fontId="30" fillId="0" borderId="0" xfId="0" applyFont="1" applyBorder="1" applyAlignment="1">
      <alignment horizontal="center"/>
    </xf>
    <xf numFmtId="0" fontId="15" fillId="0" borderId="0" xfId="0" applyFont="1" applyBorder="1" applyAlignment="1">
      <alignment horizontal="right" vertical="center"/>
    </xf>
    <xf numFmtId="0" fontId="0" fillId="0" borderId="1" xfId="0" applyFont="1" applyBorder="1" applyAlignment="1">
      <alignment horizontal="right" vertical="center"/>
    </xf>
    <xf numFmtId="0" fontId="15"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pplyAlignment="1">
      <alignment horizontal="left"/>
    </xf>
    <xf numFmtId="0" fontId="0" fillId="20" borderId="1" xfId="0" applyFont="1" applyFill="1" applyBorder="1" applyAlignment="1">
      <alignment horizontal="center" vertical="center"/>
    </xf>
    <xf numFmtId="0" fontId="15" fillId="20" borderId="1" xfId="0" applyFont="1" applyFill="1" applyBorder="1" applyAlignment="1">
      <alignment horizontal="center" vertical="center"/>
    </xf>
    <xf numFmtId="49" fontId="15" fillId="0" borderId="1" xfId="0" applyNumberFormat="1" applyFont="1" applyBorder="1" applyAlignment="1">
      <alignment horizontal="center" vertical="center"/>
    </xf>
    <xf numFmtId="0" fontId="0" fillId="0" borderId="55" xfId="0" applyFont="1" applyFill="1" applyBorder="1" applyAlignment="1">
      <alignment horizontal="right" vertical="center"/>
    </xf>
    <xf numFmtId="0" fontId="0" fillId="0" borderId="61" xfId="0" applyFont="1" applyFill="1" applyBorder="1" applyAlignment="1">
      <alignment horizontal="right" vertical="center"/>
    </xf>
    <xf numFmtId="0" fontId="226" fillId="0" borderId="61" xfId="0" applyFont="1" applyBorder="1" applyAlignment="1"/>
    <xf numFmtId="0" fontId="0" fillId="0" borderId="61" xfId="0" applyFont="1" applyBorder="1" applyAlignment="1">
      <alignment horizontal="left" vertical="center"/>
    </xf>
    <xf numFmtId="0" fontId="15" fillId="0" borderId="61" xfId="0" applyFont="1" applyBorder="1" applyAlignment="1"/>
    <xf numFmtId="0" fontId="15" fillId="0" borderId="57" xfId="0" applyFont="1" applyBorder="1" applyAlignment="1"/>
    <xf numFmtId="0" fontId="15" fillId="0" borderId="0" xfId="0" applyFont="1" applyBorder="1" applyAlignment="1">
      <alignment horizontal="center"/>
    </xf>
    <xf numFmtId="0" fontId="0" fillId="0" borderId="0" xfId="0" applyFont="1" applyBorder="1" applyAlignment="1">
      <alignment horizontal="left" vertical="center"/>
    </xf>
    <xf numFmtId="0" fontId="226" fillId="0" borderId="0" xfId="0" applyFont="1" applyBorder="1" applyAlignment="1"/>
    <xf numFmtId="0" fontId="0" fillId="0" borderId="0" xfId="0" applyFont="1" applyFill="1" applyBorder="1" applyAlignment="1">
      <alignment horizontal="left" vertical="center"/>
    </xf>
    <xf numFmtId="0" fontId="15" fillId="0" borderId="59" xfId="0" applyFont="1" applyBorder="1" applyAlignment="1"/>
    <xf numFmtId="0" fontId="15" fillId="0" borderId="53" xfId="0" applyFont="1" applyBorder="1" applyAlignment="1"/>
    <xf numFmtId="0" fontId="15" fillId="0" borderId="53" xfId="0" applyFont="1" applyBorder="1" applyAlignment="1">
      <alignment horizontal="center"/>
    </xf>
    <xf numFmtId="0" fontId="0" fillId="0" borderId="53" xfId="0" applyFont="1" applyFill="1" applyBorder="1" applyAlignment="1">
      <alignment horizontal="left" vertical="center"/>
    </xf>
    <xf numFmtId="0" fontId="30" fillId="0" borderId="0" xfId="0" applyFont="1" applyBorder="1" applyAlignment="1">
      <alignment horizontal="center" vertical="center"/>
    </xf>
    <xf numFmtId="0" fontId="15" fillId="0" borderId="57" xfId="0" applyFont="1" applyBorder="1" applyAlignment="1">
      <alignment vertical="center"/>
    </xf>
    <xf numFmtId="0" fontId="0" fillId="0" borderId="0" xfId="0" applyFont="1" applyBorder="1" applyAlignment="1">
      <alignment vertical="center"/>
    </xf>
    <xf numFmtId="0" fontId="0" fillId="0" borderId="0" xfId="0" applyFont="1" applyBorder="1" applyAlignment="1">
      <alignment horizontal="center" vertical="center"/>
    </xf>
    <xf numFmtId="0" fontId="0" fillId="0" borderId="0" xfId="0" applyFont="1" applyBorder="1" applyAlignment="1"/>
    <xf numFmtId="0" fontId="15" fillId="0" borderId="56" xfId="0" applyFont="1" applyBorder="1" applyAlignment="1"/>
    <xf numFmtId="0" fontId="15" fillId="0" borderId="58" xfId="0" applyFont="1" applyBorder="1" applyAlignment="1"/>
    <xf numFmtId="0" fontId="15" fillId="0" borderId="60" xfId="0" applyFont="1" applyBorder="1" applyAlignment="1"/>
    <xf numFmtId="0" fontId="45" fillId="20" borderId="1" xfId="0" applyFont="1" applyFill="1" applyBorder="1" applyAlignment="1">
      <alignment horizontal="center" vertical="center"/>
    </xf>
    <xf numFmtId="0" fontId="0" fillId="0" borderId="0" xfId="0" applyFont="1" applyBorder="1" applyAlignment="1">
      <alignment horizontal="center"/>
    </xf>
    <xf numFmtId="0" fontId="49" fillId="0" borderId="0" xfId="0" applyFont="1" applyBorder="1" applyAlignment="1">
      <alignment horizontal="center" vertical="center"/>
    </xf>
    <xf numFmtId="0" fontId="49" fillId="0" borderId="0" xfId="0" applyFont="1" applyBorder="1" applyAlignment="1">
      <alignment vertical="center"/>
    </xf>
    <xf numFmtId="0" fontId="211" fillId="0" borderId="0" xfId="0" applyFont="1" applyFill="1" applyAlignment="1">
      <alignment horizontal="center" vertical="center"/>
    </xf>
    <xf numFmtId="0" fontId="0" fillId="0" borderId="158" xfId="0" applyFill="1" applyBorder="1" applyAlignment="1">
      <alignment horizontal="center" vertical="center"/>
    </xf>
    <xf numFmtId="0" fontId="0" fillId="0" borderId="159" xfId="0" applyFill="1" applyBorder="1" applyAlignment="1">
      <alignment horizontal="center" vertical="center"/>
    </xf>
    <xf numFmtId="0" fontId="0" fillId="0" borderId="38" xfId="0" applyFill="1" applyBorder="1" applyAlignment="1">
      <alignment horizontal="center" vertical="center"/>
    </xf>
    <xf numFmtId="0" fontId="0" fillId="0" borderId="44" xfId="0" applyFill="1" applyBorder="1" applyAlignment="1">
      <alignment horizontal="center" vertical="center"/>
    </xf>
    <xf numFmtId="0" fontId="0" fillId="0" borderId="45" xfId="0" applyFill="1" applyBorder="1" applyAlignment="1">
      <alignment horizontal="center" vertical="center"/>
    </xf>
    <xf numFmtId="0" fontId="0" fillId="0" borderId="151" xfId="0" applyFill="1" applyBorder="1" applyAlignment="1">
      <alignment horizontal="center" vertical="center"/>
    </xf>
    <xf numFmtId="0" fontId="0" fillId="0" borderId="54" xfId="0" applyFill="1" applyBorder="1" applyAlignment="1">
      <alignment horizontal="center" vertical="center"/>
    </xf>
    <xf numFmtId="0" fontId="0" fillId="0" borderId="62" xfId="0" applyFill="1" applyBorder="1" applyAlignment="1">
      <alignment horizontal="center" vertical="center"/>
    </xf>
    <xf numFmtId="0" fontId="0" fillId="0" borderId="160" xfId="0" applyFill="1" applyBorder="1" applyAlignment="1">
      <alignment horizontal="center" vertical="center"/>
    </xf>
    <xf numFmtId="0" fontId="0" fillId="0" borderId="4" xfId="0" applyFill="1" applyBorder="1" applyAlignment="1">
      <alignment horizontal="center" vertical="center"/>
    </xf>
    <xf numFmtId="0" fontId="0" fillId="0" borderId="30" xfId="0" applyFill="1" applyBorder="1" applyAlignment="1">
      <alignment horizontal="center" vertical="center"/>
    </xf>
    <xf numFmtId="0" fontId="211" fillId="0" borderId="0" xfId="0" applyFont="1" applyFill="1" applyAlignment="1">
      <alignment vertical="center"/>
    </xf>
    <xf numFmtId="0" fontId="227" fillId="0" borderId="250" xfId="0" applyFont="1" applyFill="1" applyBorder="1" applyAlignment="1">
      <alignment vertical="center" wrapText="1"/>
    </xf>
    <xf numFmtId="0" fontId="227" fillId="0" borderId="126" xfId="0" applyFont="1" applyFill="1" applyBorder="1" applyAlignment="1">
      <alignment vertical="center" wrapText="1"/>
    </xf>
    <xf numFmtId="0" fontId="227" fillId="0" borderId="251" xfId="0" applyFont="1" applyFill="1" applyBorder="1" applyAlignment="1">
      <alignment vertical="center" wrapText="1"/>
    </xf>
    <xf numFmtId="0" fontId="227" fillId="0" borderId="250" xfId="0" applyFont="1" applyFill="1" applyBorder="1" applyAlignment="1">
      <alignment horizontal="left" vertical="center" wrapText="1"/>
    </xf>
    <xf numFmtId="0" fontId="0" fillId="0" borderId="126" xfId="0" applyFill="1" applyBorder="1" applyAlignment="1">
      <alignment vertical="center"/>
    </xf>
    <xf numFmtId="0" fontId="0" fillId="0" borderId="251" xfId="0" applyFill="1" applyBorder="1" applyAlignment="1">
      <alignment vertical="center"/>
    </xf>
    <xf numFmtId="0" fontId="227" fillId="0" borderId="252" xfId="0" applyFont="1" applyFill="1" applyBorder="1" applyAlignment="1">
      <alignment vertical="center" wrapText="1"/>
    </xf>
    <xf numFmtId="0" fontId="227" fillId="0" borderId="0" xfId="0" applyFont="1" applyFill="1" applyBorder="1" applyAlignment="1">
      <alignment vertical="center" wrapText="1"/>
    </xf>
    <xf numFmtId="0" fontId="227" fillId="0" borderId="252" xfId="0" applyFont="1" applyFill="1" applyBorder="1" applyAlignment="1">
      <alignment horizontal="left" vertical="center" wrapText="1"/>
    </xf>
    <xf numFmtId="0" fontId="227" fillId="0" borderId="0" xfId="0" applyFont="1" applyFill="1" applyAlignment="1">
      <alignment horizontal="left" vertical="center"/>
    </xf>
    <xf numFmtId="0" fontId="0" fillId="0" borderId="253" xfId="0" applyFill="1" applyBorder="1" applyAlignment="1">
      <alignment vertical="center"/>
    </xf>
    <xf numFmtId="0" fontId="227" fillId="0" borderId="254" xfId="0" applyFont="1" applyFill="1" applyBorder="1" applyAlignment="1">
      <alignment vertical="center" wrapText="1"/>
    </xf>
    <xf numFmtId="0" fontId="227" fillId="0" borderId="255" xfId="0" applyFont="1" applyFill="1" applyBorder="1" applyAlignment="1">
      <alignment vertical="center" wrapText="1"/>
    </xf>
    <xf numFmtId="0" fontId="227" fillId="0" borderId="254" xfId="0" applyFont="1" applyFill="1" applyBorder="1" applyAlignment="1">
      <alignment horizontal="left" vertical="center" wrapText="1"/>
    </xf>
    <xf numFmtId="0" fontId="227" fillId="0" borderId="255" xfId="0" applyFont="1" applyFill="1" applyBorder="1" applyAlignment="1">
      <alignment horizontal="left" vertical="center"/>
    </xf>
    <xf numFmtId="0" fontId="0" fillId="0" borderId="255" xfId="0" applyFill="1" applyBorder="1" applyAlignment="1">
      <alignment vertical="center"/>
    </xf>
    <xf numFmtId="0" fontId="0" fillId="0" borderId="256" xfId="0" applyFill="1" applyBorder="1" applyAlignment="1">
      <alignment vertical="center"/>
    </xf>
    <xf numFmtId="0" fontId="50" fillId="34" borderId="125" xfId="0" applyFont="1" applyFill="1" applyBorder="1" applyAlignment="1">
      <alignment horizontal="center" vertical="center" wrapText="1"/>
    </xf>
    <xf numFmtId="0" fontId="227" fillId="15" borderId="125" xfId="0" applyFont="1" applyFill="1" applyBorder="1" applyAlignment="1">
      <alignment horizontal="center" vertical="center" wrapText="1"/>
    </xf>
    <xf numFmtId="0" fontId="227" fillId="34" borderId="125" xfId="0" applyFont="1" applyFill="1" applyBorder="1" applyAlignment="1">
      <alignment horizontal="center" vertical="center" wrapText="1"/>
    </xf>
    <xf numFmtId="0" fontId="0" fillId="0" borderId="0" xfId="0" applyAlignment="1">
      <alignment shrinkToFit="1"/>
    </xf>
    <xf numFmtId="0" fontId="229" fillId="0" borderId="4" xfId="0" applyFont="1" applyFill="1" applyBorder="1" applyAlignment="1">
      <alignment vertical="center"/>
    </xf>
    <xf numFmtId="0" fontId="229" fillId="0" borderId="0" xfId="0" applyFont="1" applyFill="1" applyBorder="1" applyAlignment="1">
      <alignment vertical="center"/>
    </xf>
    <xf numFmtId="0" fontId="229" fillId="0" borderId="30" xfId="0" applyFont="1" applyFill="1" applyBorder="1" applyAlignment="1">
      <alignment vertical="center"/>
    </xf>
    <xf numFmtId="0" fontId="25" fillId="0" borderId="1" xfId="0" applyFont="1" applyFill="1" applyBorder="1" applyAlignment="1">
      <alignment horizontal="center" vertical="center" wrapText="1"/>
    </xf>
    <xf numFmtId="0" fontId="25" fillId="19" borderId="1" xfId="0" applyFont="1" applyFill="1" applyBorder="1" applyAlignment="1">
      <alignment horizontal="center" vertical="center" wrapText="1"/>
    </xf>
    <xf numFmtId="178" fontId="25" fillId="0" borderId="1" xfId="0" applyNumberFormat="1" applyFont="1" applyFill="1" applyBorder="1" applyAlignment="1">
      <alignment horizontal="center" vertical="center"/>
    </xf>
    <xf numFmtId="178" fontId="25" fillId="19" borderId="1" xfId="0" applyNumberFormat="1" applyFont="1" applyFill="1" applyBorder="1" applyAlignment="1">
      <alignment horizontal="center" vertical="center"/>
    </xf>
    <xf numFmtId="0" fontId="230" fillId="0" borderId="150" xfId="0" applyFont="1" applyFill="1" applyBorder="1" applyAlignment="1">
      <alignment vertical="center"/>
    </xf>
    <xf numFmtId="0" fontId="0" fillId="0" borderId="151" xfId="0" applyFill="1" applyBorder="1" applyAlignment="1">
      <alignment vertical="center"/>
    </xf>
    <xf numFmtId="0" fontId="0" fillId="0" borderId="36" xfId="0" applyFill="1" applyBorder="1" applyAlignment="1">
      <alignment vertical="center"/>
    </xf>
    <xf numFmtId="178" fontId="0" fillId="0" borderId="1" xfId="0" applyNumberFormat="1" applyFont="1" applyFill="1" applyBorder="1" applyAlignment="1">
      <alignment vertical="center"/>
    </xf>
    <xf numFmtId="178" fontId="0" fillId="19" borderId="1" xfId="0" applyNumberFormat="1" applyFont="1" applyFill="1" applyBorder="1" applyAlignment="1">
      <alignment vertical="center"/>
    </xf>
    <xf numFmtId="0" fontId="0" fillId="0" borderId="97" xfId="0" applyFill="1" applyBorder="1" applyAlignment="1">
      <alignment vertical="center"/>
    </xf>
    <xf numFmtId="0" fontId="38" fillId="0" borderId="1" xfId="0" applyFont="1" applyFill="1" applyBorder="1" applyAlignment="1">
      <alignment vertical="center"/>
    </xf>
    <xf numFmtId="0" fontId="0" fillId="0" borderId="47" xfId="0" applyFill="1" applyBorder="1" applyAlignment="1">
      <alignment vertical="center"/>
    </xf>
    <xf numFmtId="0" fontId="65" fillId="0" borderId="0" xfId="0" applyFont="1" applyFill="1" applyAlignment="1">
      <alignment vertical="center"/>
    </xf>
    <xf numFmtId="0" fontId="25" fillId="13"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25" fillId="18" borderId="1" xfId="0" applyFont="1" applyFill="1" applyBorder="1" applyAlignment="1">
      <alignment horizontal="center" vertical="center" wrapText="1"/>
    </xf>
    <xf numFmtId="178" fontId="25" fillId="13"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178" fontId="25" fillId="10" borderId="1" xfId="0" applyNumberFormat="1" applyFont="1" applyFill="1" applyBorder="1" applyAlignment="1">
      <alignment horizontal="center" vertical="center"/>
    </xf>
    <xf numFmtId="0" fontId="25" fillId="0" borderId="1" xfId="0" applyFont="1" applyFill="1" applyBorder="1" applyAlignment="1">
      <alignment horizontal="center" vertical="center"/>
    </xf>
    <xf numFmtId="178" fontId="25" fillId="17" borderId="1" xfId="0" applyNumberFormat="1" applyFont="1" applyFill="1" applyBorder="1" applyAlignment="1">
      <alignment horizontal="center" vertical="center"/>
    </xf>
    <xf numFmtId="0" fontId="25" fillId="18" borderId="1" xfId="0" applyFont="1" applyFill="1" applyBorder="1" applyAlignment="1">
      <alignment horizontal="center" vertical="center"/>
    </xf>
    <xf numFmtId="178" fontId="0" fillId="13" borderId="1" xfId="0" applyNumberFormat="1" applyFont="1" applyFill="1" applyBorder="1" applyAlignment="1">
      <alignment vertical="center"/>
    </xf>
    <xf numFmtId="178" fontId="0" fillId="17" borderId="1" xfId="0" applyNumberFormat="1" applyFont="1" applyFill="1" applyBorder="1" applyAlignment="1">
      <alignment vertical="center"/>
    </xf>
    <xf numFmtId="178" fontId="0" fillId="10" borderId="1" xfId="0" applyNumberFormat="1" applyFont="1" applyFill="1" applyBorder="1" applyAlignment="1">
      <alignment vertical="center"/>
    </xf>
    <xf numFmtId="178" fontId="0" fillId="18" borderId="1" xfId="0" applyNumberFormat="1" applyFont="1" applyFill="1" applyBorder="1" applyAlignment="1">
      <alignment vertical="center"/>
    </xf>
    <xf numFmtId="0" fontId="25" fillId="0" borderId="46" xfId="0" applyFont="1" applyFill="1" applyBorder="1" applyAlignment="1">
      <alignment horizontal="center" vertical="center" wrapText="1"/>
    </xf>
    <xf numFmtId="0" fontId="25" fillId="0" borderId="46" xfId="0" applyFont="1" applyFill="1" applyBorder="1" applyAlignment="1">
      <alignment horizontal="center" vertical="center"/>
    </xf>
    <xf numFmtId="0" fontId="0" fillId="17" borderId="74" xfId="0" applyFont="1" applyFill="1" applyBorder="1" applyAlignment="1">
      <alignment horizontal="center" vertical="center"/>
    </xf>
    <xf numFmtId="0" fontId="0" fillId="0" borderId="118" xfId="0" applyFill="1" applyBorder="1" applyAlignment="1">
      <alignment vertical="center"/>
    </xf>
    <xf numFmtId="0" fontId="0" fillId="34" borderId="0" xfId="0" applyFont="1" applyFill="1" applyAlignment="1">
      <alignment horizontal="center" vertical="center"/>
    </xf>
    <xf numFmtId="0" fontId="0" fillId="34" borderId="0" xfId="0" applyFill="1" applyAlignment="1">
      <alignment vertical="center"/>
    </xf>
    <xf numFmtId="0" fontId="25" fillId="34" borderId="0" xfId="0" applyFont="1" applyFill="1" applyAlignment="1">
      <alignment vertical="center"/>
    </xf>
    <xf numFmtId="0" fontId="0" fillId="0" borderId="150" xfId="0" applyFont="1" applyFill="1" applyBorder="1" applyAlignment="1">
      <alignment horizontal="center" vertical="center" wrapText="1"/>
    </xf>
    <xf numFmtId="0" fontId="231" fillId="0" borderId="261" xfId="0" applyFont="1" applyFill="1" applyBorder="1" applyAlignment="1">
      <alignment horizontal="center" vertical="center" wrapText="1"/>
    </xf>
    <xf numFmtId="0" fontId="231" fillId="0" borderId="151" xfId="0" applyFont="1" applyFill="1" applyBorder="1" applyAlignment="1">
      <alignment horizontal="center" vertical="center" wrapText="1"/>
    </xf>
    <xf numFmtId="0" fontId="0" fillId="0" borderId="117" xfId="0" applyFont="1" applyFill="1" applyBorder="1" applyAlignment="1">
      <alignment horizontal="center" vertical="center" wrapText="1"/>
    </xf>
    <xf numFmtId="0" fontId="231" fillId="0" borderId="148" xfId="0" applyFont="1" applyFill="1" applyBorder="1" applyAlignment="1">
      <alignment horizontal="center" vertical="center" wrapText="1"/>
    </xf>
    <xf numFmtId="0" fontId="0" fillId="34" borderId="1" xfId="0" applyFont="1" applyFill="1" applyBorder="1" applyAlignment="1">
      <alignment horizontal="center" vertical="center" wrapText="1"/>
    </xf>
    <xf numFmtId="0" fontId="0" fillId="19" borderId="1" xfId="0" applyFont="1" applyFill="1" applyBorder="1" applyAlignment="1">
      <alignment horizontal="center" vertical="center" wrapText="1"/>
    </xf>
    <xf numFmtId="0" fontId="0" fillId="13" borderId="1" xfId="0" applyFont="1" applyFill="1" applyBorder="1" applyAlignment="1">
      <alignment horizontal="center" vertical="center" wrapText="1"/>
    </xf>
    <xf numFmtId="0" fontId="0" fillId="34" borderId="36" xfId="0" applyFont="1" applyFill="1" applyBorder="1" applyAlignment="1">
      <alignment horizontal="center" vertical="center" wrapText="1"/>
    </xf>
    <xf numFmtId="178" fontId="0" fillId="34" borderId="94" xfId="0" applyNumberFormat="1" applyFont="1" applyFill="1" applyBorder="1" applyAlignment="1">
      <alignment horizontal="center" vertical="center"/>
    </xf>
    <xf numFmtId="178" fontId="0" fillId="19" borderId="1" xfId="0" applyNumberFormat="1" applyFont="1" applyFill="1" applyBorder="1" applyAlignment="1">
      <alignment horizontal="center" vertical="center"/>
    </xf>
    <xf numFmtId="178" fontId="0" fillId="34" borderId="1" xfId="0" applyNumberFormat="1" applyFont="1" applyFill="1" applyBorder="1" applyAlignment="1">
      <alignment horizontal="center" vertical="center"/>
    </xf>
    <xf numFmtId="178" fontId="0" fillId="13" borderId="1" xfId="0" applyNumberFormat="1" applyFont="1" applyFill="1" applyBorder="1" applyAlignment="1">
      <alignment horizontal="center" vertical="center"/>
    </xf>
    <xf numFmtId="0" fontId="0" fillId="0" borderId="117" xfId="0" applyFont="1" applyFill="1" applyBorder="1" applyAlignment="1">
      <alignment horizontal="center" vertical="center"/>
    </xf>
    <xf numFmtId="0" fontId="231" fillId="0" borderId="117" xfId="0" applyFont="1" applyFill="1" applyBorder="1" applyAlignment="1">
      <alignment horizontal="center" vertical="center" wrapText="1"/>
    </xf>
    <xf numFmtId="0" fontId="45" fillId="34" borderId="1" xfId="0" applyFont="1" applyFill="1" applyBorder="1" applyAlignment="1">
      <alignment vertical="center"/>
    </xf>
    <xf numFmtId="0" fontId="45" fillId="19" borderId="1" xfId="0" applyFont="1" applyFill="1" applyBorder="1" applyAlignment="1">
      <alignment vertical="center"/>
    </xf>
    <xf numFmtId="0" fontId="45" fillId="13" borderId="1" xfId="0" applyFont="1" applyFill="1" applyBorder="1" applyAlignment="1">
      <alignment vertical="center"/>
    </xf>
    <xf numFmtId="179" fontId="0" fillId="34" borderId="1" xfId="0" applyNumberFormat="1" applyFont="1" applyFill="1" applyBorder="1" applyAlignment="1">
      <alignment vertical="center"/>
    </xf>
    <xf numFmtId="0" fontId="0" fillId="0" borderId="117" xfId="0" applyFill="1" applyBorder="1" applyAlignment="1">
      <alignment vertical="center"/>
    </xf>
    <xf numFmtId="194" fontId="0" fillId="34" borderId="1" xfId="0" applyNumberFormat="1" applyFont="1" applyFill="1" applyBorder="1" applyAlignment="1">
      <alignment vertical="center"/>
    </xf>
    <xf numFmtId="194" fontId="0" fillId="19" borderId="1" xfId="0" applyNumberFormat="1" applyFont="1" applyFill="1" applyBorder="1" applyAlignment="1">
      <alignment vertical="center"/>
    </xf>
    <xf numFmtId="194" fontId="0" fillId="13" borderId="1" xfId="0" applyNumberFormat="1" applyFont="1" applyFill="1" applyBorder="1" applyAlignment="1">
      <alignment vertical="center"/>
    </xf>
    <xf numFmtId="194" fontId="232" fillId="15" borderId="1" xfId="0" applyNumberFormat="1" applyFont="1" applyFill="1" applyBorder="1" applyAlignment="1">
      <alignment vertical="center"/>
    </xf>
    <xf numFmtId="0" fontId="0" fillId="0" borderId="155" xfId="0" applyFont="1" applyFill="1" applyBorder="1" applyAlignment="1">
      <alignment horizontal="center" vertical="center"/>
    </xf>
    <xf numFmtId="0" fontId="0" fillId="0" borderId="155" xfId="0" applyFont="1" applyFill="1" applyBorder="1" applyAlignment="1">
      <alignment vertical="center"/>
    </xf>
    <xf numFmtId="0" fontId="19" fillId="34" borderId="0" xfId="0" applyFont="1" applyFill="1" applyAlignment="1">
      <alignment horizontal="left" vertical="center"/>
    </xf>
    <xf numFmtId="0" fontId="0" fillId="18" borderId="1" xfId="0" applyFont="1" applyFill="1" applyBorder="1" applyAlignment="1">
      <alignment horizontal="center" vertical="center" wrapText="1"/>
    </xf>
    <xf numFmtId="178" fontId="0" fillId="0" borderId="46" xfId="0" applyNumberFormat="1" applyFont="1" applyFill="1" applyBorder="1" applyAlignment="1">
      <alignment horizontal="center" vertical="center"/>
    </xf>
    <xf numFmtId="0" fontId="45" fillId="17" borderId="1" xfId="0" applyFont="1" applyFill="1" applyBorder="1" applyAlignment="1">
      <alignment vertical="center"/>
    </xf>
    <xf numFmtId="0" fontId="42" fillId="0" borderId="1" xfId="0" applyFont="1" applyFill="1" applyBorder="1" applyAlignment="1">
      <alignment vertical="center"/>
    </xf>
    <xf numFmtId="0" fontId="42" fillId="34" borderId="1" xfId="0" applyFont="1" applyFill="1" applyBorder="1" applyAlignment="1">
      <alignment vertical="center"/>
    </xf>
    <xf numFmtId="0" fontId="42" fillId="18" borderId="1" xfId="0" applyFont="1" applyFill="1" applyBorder="1" applyAlignment="1">
      <alignment vertical="center"/>
    </xf>
    <xf numFmtId="0" fontId="25" fillId="34" borderId="1" xfId="0" applyFont="1" applyFill="1" applyBorder="1" applyAlignment="1">
      <alignment vertical="center"/>
    </xf>
    <xf numFmtId="0" fontId="25" fillId="18" borderId="1" xfId="0" applyFont="1" applyFill="1" applyBorder="1" applyAlignment="1">
      <alignment vertical="center"/>
    </xf>
    <xf numFmtId="194" fontId="0" fillId="17" borderId="1" xfId="0" applyNumberFormat="1" applyFont="1" applyFill="1" applyBorder="1" applyAlignment="1">
      <alignment vertical="center"/>
    </xf>
    <xf numFmtId="49" fontId="0" fillId="0" borderId="0" xfId="0" applyNumberFormat="1" applyFill="1" applyAlignment="1">
      <alignment vertical="center"/>
    </xf>
    <xf numFmtId="0" fontId="233" fillId="0" borderId="0" xfId="0" applyFont="1" applyFill="1" applyAlignment="1">
      <alignment vertical="center"/>
    </xf>
    <xf numFmtId="49" fontId="50" fillId="0" borderId="251" xfId="0" applyNumberFormat="1" applyFont="1" applyFill="1" applyBorder="1" applyAlignment="1">
      <alignment horizontal="center" vertical="top" wrapText="1"/>
    </xf>
    <xf numFmtId="0" fontId="0" fillId="0" borderId="74" xfId="0" applyFont="1" applyFill="1" applyBorder="1" applyAlignment="1">
      <alignment horizontal="center" vertical="center" wrapText="1"/>
    </xf>
    <xf numFmtId="0" fontId="0" fillId="0" borderId="55" xfId="0" applyFont="1" applyFill="1" applyBorder="1" applyAlignment="1">
      <alignment horizontal="center" vertical="center" wrapText="1"/>
    </xf>
    <xf numFmtId="49" fontId="0" fillId="0" borderId="63" xfId="0" applyNumberFormat="1" applyFont="1" applyFill="1" applyBorder="1" applyAlignment="1">
      <alignment vertical="center"/>
    </xf>
    <xf numFmtId="0" fontId="0" fillId="0" borderId="63" xfId="0" applyFont="1" applyFill="1" applyBorder="1" applyAlignment="1">
      <alignment horizontal="center" vertical="center" wrapText="1"/>
    </xf>
    <xf numFmtId="0" fontId="0" fillId="0" borderId="36" xfId="0" applyFont="1" applyFill="1" applyBorder="1" applyAlignment="1">
      <alignment horizontal="center" vertical="center" wrapText="1"/>
    </xf>
    <xf numFmtId="49" fontId="25" fillId="0" borderId="1" xfId="0" applyNumberFormat="1" applyFont="1" applyFill="1" applyBorder="1" applyAlignment="1">
      <alignment vertical="center" wrapText="1"/>
    </xf>
    <xf numFmtId="0" fontId="25" fillId="0" borderId="1" xfId="0" applyFont="1" applyFill="1" applyBorder="1" applyAlignment="1">
      <alignment vertical="center" wrapText="1"/>
    </xf>
    <xf numFmtId="0" fontId="25" fillId="0" borderId="36" xfId="0" applyFont="1" applyFill="1" applyBorder="1" applyAlignment="1">
      <alignment vertical="center" wrapText="1"/>
    </xf>
    <xf numFmtId="0" fontId="0" fillId="0" borderId="56" xfId="0" applyFont="1" applyFill="1" applyBorder="1" applyAlignment="1">
      <alignment horizontal="center" vertical="center" wrapText="1"/>
    </xf>
    <xf numFmtId="178" fontId="0" fillId="0" borderId="0" xfId="0" applyNumberFormat="1" applyFill="1" applyAlignment="1">
      <alignment horizontal="center" vertical="center"/>
    </xf>
    <xf numFmtId="0" fontId="19" fillId="0" borderId="0" xfId="0" applyFont="1" applyFill="1" applyAlignment="1">
      <alignment horizontal="center" vertical="center"/>
    </xf>
    <xf numFmtId="0" fontId="234" fillId="15" borderId="1" xfId="0" applyFont="1" applyFill="1" applyBorder="1" applyAlignment="1">
      <alignment horizontal="right" vertical="center"/>
    </xf>
    <xf numFmtId="0" fontId="152" fillId="7" borderId="1" xfId="0" applyFont="1" applyFill="1" applyBorder="1" applyAlignment="1">
      <alignment horizontal="center" vertical="center"/>
    </xf>
    <xf numFmtId="0" fontId="45" fillId="34" borderId="53" xfId="0" applyFont="1" applyFill="1" applyBorder="1" applyAlignment="1">
      <alignment vertical="center"/>
    </xf>
    <xf numFmtId="0" fontId="25" fillId="15" borderId="1" xfId="0" applyFont="1" applyFill="1" applyBorder="1" applyAlignment="1">
      <alignment vertical="center"/>
    </xf>
    <xf numFmtId="0" fontId="25" fillId="15" borderId="46" xfId="0" applyFont="1" applyFill="1" applyBorder="1" applyAlignment="1">
      <alignment vertical="center"/>
    </xf>
    <xf numFmtId="0" fontId="15" fillId="15" borderId="1" xfId="0" applyFont="1" applyFill="1" applyBorder="1" applyAlignment="1">
      <alignment horizontal="center" vertical="center" wrapText="1"/>
    </xf>
    <xf numFmtId="0" fontId="25" fillId="34" borderId="1" xfId="0" applyFont="1" applyFill="1" applyBorder="1" applyAlignment="1">
      <alignment horizontal="right" vertical="center"/>
    </xf>
    <xf numFmtId="0" fontId="15" fillId="0" borderId="36"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25" fillId="15" borderId="1" xfId="0" applyFont="1" applyFill="1" applyBorder="1" applyAlignment="1">
      <alignment horizontal="right" vertical="center"/>
    </xf>
    <xf numFmtId="178" fontId="15" fillId="15" borderId="94" xfId="0" applyNumberFormat="1" applyFont="1" applyFill="1" applyBorder="1" applyAlignment="1">
      <alignment horizontal="center" vertical="center"/>
    </xf>
    <xf numFmtId="178" fontId="15" fillId="15" borderId="1" xfId="0" applyNumberFormat="1" applyFont="1" applyFill="1" applyBorder="1" applyAlignment="1">
      <alignment horizontal="center" vertical="center"/>
    </xf>
    <xf numFmtId="178" fontId="15" fillId="0" borderId="94" xfId="0" applyNumberFormat="1" applyFont="1" applyFill="1" applyBorder="1" applyAlignment="1">
      <alignment horizontal="center" vertical="center"/>
    </xf>
    <xf numFmtId="178" fontId="15" fillId="0" borderId="1" xfId="0" applyNumberFormat="1" applyFont="1" applyFill="1" applyBorder="1" applyAlignment="1">
      <alignment horizontal="center" vertical="center"/>
    </xf>
    <xf numFmtId="178" fontId="15" fillId="0" borderId="56" xfId="0" applyNumberFormat="1" applyFont="1" applyFill="1" applyBorder="1" applyAlignment="1">
      <alignment horizontal="center" vertical="center"/>
    </xf>
    <xf numFmtId="178" fontId="15" fillId="0" borderId="74" xfId="0" applyNumberFormat="1" applyFont="1" applyFill="1" applyBorder="1" applyAlignment="1">
      <alignment horizontal="center" vertical="center"/>
    </xf>
    <xf numFmtId="178" fontId="15" fillId="15" borderId="38" xfId="0" applyNumberFormat="1" applyFont="1" applyFill="1" applyBorder="1" applyAlignment="1">
      <alignment horizontal="center" vertical="center"/>
    </xf>
    <xf numFmtId="178" fontId="15" fillId="15" borderId="162" xfId="0" applyNumberFormat="1" applyFont="1" applyFill="1" applyBorder="1" applyAlignment="1">
      <alignment horizontal="center" vertical="center"/>
    </xf>
    <xf numFmtId="0" fontId="25" fillId="15" borderId="1" xfId="0" applyFont="1" applyFill="1" applyBorder="1" applyAlignment="1">
      <alignment vertical="center" wrapText="1"/>
    </xf>
    <xf numFmtId="178" fontId="15" fillId="0" borderId="39" xfId="0" applyNumberFormat="1" applyFont="1" applyFill="1" applyBorder="1" applyAlignment="1">
      <alignment horizontal="center" vertical="center"/>
    </xf>
    <xf numFmtId="178" fontId="15" fillId="15" borderId="39" xfId="0" applyNumberFormat="1" applyFont="1" applyFill="1" applyBorder="1" applyAlignment="1">
      <alignment horizontal="center" vertical="center"/>
    </xf>
    <xf numFmtId="178" fontId="15" fillId="10" borderId="39" xfId="0" applyNumberFormat="1" applyFont="1" applyFill="1" applyBorder="1" applyAlignment="1">
      <alignment horizontal="center" vertical="center"/>
    </xf>
    <xf numFmtId="178" fontId="15" fillId="10" borderId="94" xfId="0" applyNumberFormat="1" applyFont="1" applyFill="1" applyBorder="1" applyAlignment="1">
      <alignment horizontal="center" vertical="center"/>
    </xf>
    <xf numFmtId="0" fontId="25" fillId="34" borderId="96" xfId="0" applyFont="1" applyFill="1" applyBorder="1" applyAlignment="1">
      <alignment vertical="center"/>
    </xf>
    <xf numFmtId="0" fontId="25" fillId="34" borderId="35" xfId="0" applyFont="1" applyFill="1" applyBorder="1" applyAlignment="1">
      <alignment vertical="center"/>
    </xf>
    <xf numFmtId="178" fontId="15" fillId="0" borderId="40" xfId="0" applyNumberFormat="1" applyFont="1" applyFill="1" applyBorder="1" applyAlignment="1">
      <alignment horizontal="center" vertical="center"/>
    </xf>
    <xf numFmtId="178" fontId="15" fillId="0" borderId="153" xfId="0" applyNumberFormat="1" applyFont="1" applyFill="1" applyBorder="1" applyAlignment="1">
      <alignment horizontal="center" vertical="center"/>
    </xf>
    <xf numFmtId="0" fontId="25" fillId="0" borderId="0" xfId="0" applyFont="1" applyFill="1" applyAlignment="1">
      <alignment vertical="center"/>
    </xf>
    <xf numFmtId="178" fontId="235" fillId="0" borderId="0" xfId="0" applyNumberFormat="1" applyFont="1" applyFill="1" applyAlignment="1">
      <alignment horizontal="center" vertical="center"/>
    </xf>
    <xf numFmtId="0" fontId="235" fillId="0" borderId="0" xfId="0" applyFont="1" applyFill="1" applyAlignment="1">
      <alignment horizontal="center" vertical="center"/>
    </xf>
    <xf numFmtId="0" fontId="90" fillId="0" borderId="2" xfId="0" applyFont="1" applyFill="1" applyBorder="1" applyAlignment="1">
      <alignment vertical="center"/>
    </xf>
    <xf numFmtId="0" fontId="0" fillId="0" borderId="3" xfId="0" applyFill="1" applyBorder="1" applyAlignment="1">
      <alignment vertical="center"/>
    </xf>
    <xf numFmtId="0" fontId="235" fillId="0" borderId="3" xfId="0" applyFont="1" applyFill="1" applyBorder="1" applyAlignment="1">
      <alignment horizontal="center" vertical="center"/>
    </xf>
    <xf numFmtId="0" fontId="49" fillId="0" borderId="1" xfId="0" applyFont="1" applyFill="1" applyBorder="1" applyAlignment="1">
      <alignment horizontal="center" vertical="center" wrapText="1"/>
    </xf>
    <xf numFmtId="0" fontId="49" fillId="19" borderId="1" xfId="0" applyFont="1" applyFill="1" applyBorder="1" applyAlignment="1">
      <alignment horizontal="center" vertical="center" wrapText="1"/>
    </xf>
    <xf numFmtId="178" fontId="235" fillId="0" borderId="1" xfId="0" applyNumberFormat="1" applyFont="1" applyFill="1" applyBorder="1" applyAlignment="1">
      <alignment horizontal="center" vertical="center"/>
    </xf>
    <xf numFmtId="178" fontId="235" fillId="19" borderId="1" xfId="0" applyNumberFormat="1" applyFont="1" applyFill="1" applyBorder="1" applyAlignment="1">
      <alignment horizontal="center" vertical="center"/>
    </xf>
    <xf numFmtId="0" fontId="0" fillId="0" borderId="4" xfId="0" applyFill="1" applyBorder="1" applyAlignment="1">
      <alignment vertical="center"/>
    </xf>
    <xf numFmtId="178" fontId="0" fillId="0" borderId="0" xfId="0" applyNumberFormat="1" applyFill="1" applyBorder="1" applyAlignment="1">
      <alignment horizontal="center" vertical="center"/>
    </xf>
    <xf numFmtId="0" fontId="0" fillId="0" borderId="22" xfId="0" applyFill="1" applyBorder="1" applyAlignment="1">
      <alignment vertical="center"/>
    </xf>
    <xf numFmtId="178" fontId="0" fillId="0" borderId="23" xfId="0" applyNumberFormat="1" applyFill="1" applyBorder="1" applyAlignment="1">
      <alignment horizontal="center" vertical="center"/>
    </xf>
    <xf numFmtId="0" fontId="0" fillId="0" borderId="23" xfId="0" applyFill="1" applyBorder="1" applyAlignment="1">
      <alignment horizontal="center" vertical="center"/>
    </xf>
    <xf numFmtId="0" fontId="15" fillId="15" borderId="1" xfId="0" applyFont="1" applyFill="1" applyBorder="1" applyAlignment="1">
      <alignment horizontal="center" vertical="center"/>
    </xf>
    <xf numFmtId="178" fontId="15" fillId="15" borderId="46" xfId="0" applyNumberFormat="1" applyFont="1" applyFill="1" applyBorder="1" applyAlignment="1">
      <alignment horizontal="center" vertical="center"/>
    </xf>
    <xf numFmtId="0" fontId="15" fillId="0" borderId="46" xfId="0" applyFont="1" applyFill="1" applyBorder="1" applyAlignment="1">
      <alignment horizontal="center" vertical="center"/>
    </xf>
    <xf numFmtId="0" fontId="15" fillId="15" borderId="0" xfId="0" applyFont="1" applyFill="1" applyAlignment="1">
      <alignment horizontal="center" vertical="center"/>
    </xf>
    <xf numFmtId="178" fontId="15" fillId="0" borderId="116" xfId="0" applyNumberFormat="1" applyFont="1" applyFill="1" applyBorder="1" applyAlignment="1">
      <alignment horizontal="center" vertical="center"/>
    </xf>
    <xf numFmtId="0" fontId="15" fillId="0" borderId="74" xfId="0" applyFont="1" applyFill="1" applyBorder="1" applyAlignment="1">
      <alignment horizontal="center" vertical="center"/>
    </xf>
    <xf numFmtId="0" fontId="49" fillId="13" borderId="1" xfId="0"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9" fillId="10" borderId="1" xfId="0" applyFont="1" applyFill="1" applyBorder="1" applyAlignment="1">
      <alignment horizontal="center" vertical="center" wrapText="1"/>
    </xf>
    <xf numFmtId="0" fontId="49" fillId="18" borderId="1" xfId="0" applyFont="1" applyFill="1" applyBorder="1" applyAlignment="1">
      <alignment horizontal="center" vertical="center" wrapText="1"/>
    </xf>
    <xf numFmtId="178" fontId="235" fillId="13" borderId="1" xfId="0" applyNumberFormat="1" applyFont="1" applyFill="1" applyBorder="1" applyAlignment="1">
      <alignment horizontal="center" vertical="center"/>
    </xf>
    <xf numFmtId="178" fontId="235" fillId="17" borderId="1" xfId="0" applyNumberFormat="1" applyFont="1" applyFill="1" applyBorder="1" applyAlignment="1">
      <alignment horizontal="center" vertical="center"/>
    </xf>
    <xf numFmtId="178" fontId="235" fillId="10" borderId="1" xfId="0" applyNumberFormat="1" applyFont="1" applyFill="1" applyBorder="1" applyAlignment="1">
      <alignment horizontal="center" vertical="center"/>
    </xf>
    <xf numFmtId="178" fontId="235" fillId="18" borderId="1" xfId="0" applyNumberFormat="1" applyFont="1" applyFill="1" applyBorder="1" applyAlignment="1">
      <alignment horizontal="center" vertical="center"/>
    </xf>
    <xf numFmtId="178" fontId="15" fillId="15" borderId="152" xfId="0" applyNumberFormat="1" applyFont="1" applyFill="1" applyBorder="1" applyAlignment="1">
      <alignment horizontal="center" vertical="center"/>
    </xf>
    <xf numFmtId="178" fontId="15" fillId="0" borderId="118" xfId="0" applyNumberFormat="1" applyFont="1" applyFill="1" applyBorder="1" applyAlignment="1">
      <alignment horizontal="center" vertical="center"/>
    </xf>
    <xf numFmtId="178" fontId="15" fillId="15" borderId="118" xfId="0" applyNumberFormat="1" applyFont="1" applyFill="1" applyBorder="1" applyAlignment="1">
      <alignment horizontal="center" vertical="center"/>
    </xf>
    <xf numFmtId="178" fontId="15" fillId="10" borderId="118" xfId="0" applyNumberFormat="1" applyFont="1" applyFill="1" applyBorder="1" applyAlignment="1">
      <alignment horizontal="center" vertical="center"/>
    </xf>
    <xf numFmtId="178" fontId="15" fillId="0" borderId="188" xfId="0" applyNumberFormat="1" applyFont="1" applyFill="1" applyBorder="1" applyAlignment="1">
      <alignment horizontal="center" vertical="center"/>
    </xf>
    <xf numFmtId="0" fontId="235" fillId="0" borderId="29" xfId="0" applyFont="1" applyFill="1" applyBorder="1" applyAlignment="1">
      <alignment horizontal="center" vertical="center"/>
    </xf>
    <xf numFmtId="0" fontId="0" fillId="0" borderId="35" xfId="0" applyFill="1" applyBorder="1" applyAlignment="1">
      <alignment horizontal="center" vertical="center"/>
    </xf>
    <xf numFmtId="178" fontId="45" fillId="34" borderId="1" xfId="0" applyNumberFormat="1" applyFont="1" applyFill="1" applyBorder="1" applyAlignment="1">
      <alignment horizontal="center" vertical="center"/>
    </xf>
    <xf numFmtId="178" fontId="45" fillId="19" borderId="1" xfId="0" applyNumberFormat="1" applyFont="1" applyFill="1" applyBorder="1" applyAlignment="1">
      <alignment horizontal="center" vertical="center"/>
    </xf>
    <xf numFmtId="178" fontId="45" fillId="13" borderId="1" xfId="0" applyNumberFormat="1" applyFont="1" applyFill="1" applyBorder="1" applyAlignment="1">
      <alignment horizontal="center" vertical="center"/>
    </xf>
    <xf numFmtId="0" fontId="27" fillId="0" borderId="57" xfId="0" applyFont="1" applyFill="1" applyBorder="1" applyAlignment="1">
      <alignment vertical="center"/>
    </xf>
    <xf numFmtId="0" fontId="27" fillId="0" borderId="58" xfId="0" applyFont="1" applyFill="1" applyBorder="1" applyAlignment="1">
      <alignment vertical="center"/>
    </xf>
    <xf numFmtId="0" fontId="0" fillId="34" borderId="94" xfId="0" applyFont="1" applyFill="1" applyBorder="1" applyAlignment="1">
      <alignment horizontal="center" vertical="center" wrapText="1"/>
    </xf>
    <xf numFmtId="0" fontId="0" fillId="34" borderId="60" xfId="0" applyFont="1" applyFill="1" applyBorder="1" applyAlignment="1">
      <alignment horizontal="center" vertical="center" wrapText="1"/>
    </xf>
    <xf numFmtId="178" fontId="0" fillId="34" borderId="56" xfId="0" applyNumberFormat="1" applyFont="1" applyFill="1" applyBorder="1" applyAlignment="1">
      <alignment horizontal="center" vertical="center"/>
    </xf>
    <xf numFmtId="178" fontId="0" fillId="19" borderId="74" xfId="0" applyNumberFormat="1" applyFont="1" applyFill="1" applyBorder="1" applyAlignment="1">
      <alignment horizontal="center" vertical="center"/>
    </xf>
    <xf numFmtId="178" fontId="0" fillId="34" borderId="74" xfId="0" applyNumberFormat="1" applyFont="1" applyFill="1" applyBorder="1" applyAlignment="1">
      <alignment horizontal="center" vertical="center"/>
    </xf>
    <xf numFmtId="178" fontId="0" fillId="13" borderId="74" xfId="0" applyNumberFormat="1" applyFont="1" applyFill="1" applyBorder="1" applyAlignment="1">
      <alignment horizontal="center" vertical="center"/>
    </xf>
    <xf numFmtId="0" fontId="231" fillId="0" borderId="1" xfId="0" applyFont="1" applyFill="1" applyBorder="1" applyAlignment="1">
      <alignment horizontal="center" vertical="center" wrapText="1"/>
    </xf>
    <xf numFmtId="179" fontId="0" fillId="0" borderId="1" xfId="0" applyNumberFormat="1" applyFill="1" applyBorder="1" applyAlignment="1">
      <alignment vertical="center"/>
    </xf>
    <xf numFmtId="179" fontId="0" fillId="19" borderId="1" xfId="0" applyNumberFormat="1" applyFont="1" applyFill="1" applyBorder="1" applyAlignment="1">
      <alignment horizontal="center" vertical="center" wrapText="1"/>
    </xf>
    <xf numFmtId="179" fontId="0" fillId="34" borderId="1" xfId="0" applyNumberFormat="1" applyFont="1" applyFill="1" applyBorder="1" applyAlignment="1">
      <alignment horizontal="center" vertical="center" wrapText="1"/>
    </xf>
    <xf numFmtId="179" fontId="0" fillId="13" borderId="1" xfId="0" applyNumberFormat="1" applyFont="1" applyFill="1" applyBorder="1" applyAlignment="1">
      <alignment horizontal="center" vertical="center" wrapText="1"/>
    </xf>
    <xf numFmtId="0" fontId="231" fillId="0" borderId="1" xfId="0" applyFont="1" applyFill="1" applyBorder="1" applyAlignment="1">
      <alignment vertical="center" wrapText="1"/>
    </xf>
    <xf numFmtId="0" fontId="45" fillId="17" borderId="1" xfId="0" applyFont="1" applyFill="1" applyBorder="1" applyAlignment="1">
      <alignment horizontal="center" vertical="center"/>
    </xf>
    <xf numFmtId="178" fontId="45" fillId="10" borderId="1" xfId="0" applyNumberFormat="1" applyFont="1" applyFill="1" applyBorder="1" applyAlignment="1">
      <alignment horizontal="center" vertical="center"/>
    </xf>
    <xf numFmtId="0" fontId="45" fillId="34" borderId="1" xfId="0" applyFont="1" applyFill="1" applyBorder="1" applyAlignment="1">
      <alignment horizontal="center" vertical="center" wrapText="1"/>
    </xf>
    <xf numFmtId="0" fontId="45" fillId="18" borderId="1" xfId="0" applyFont="1" applyFill="1" applyBorder="1" applyAlignment="1">
      <alignment horizontal="center" vertical="center" wrapText="1"/>
    </xf>
    <xf numFmtId="0" fontId="0" fillId="10" borderId="1" xfId="0" applyFont="1" applyFill="1" applyBorder="1" applyAlignment="1">
      <alignment horizontal="center" vertical="center" wrapText="1"/>
    </xf>
    <xf numFmtId="178" fontId="0" fillId="10" borderId="116" xfId="0" applyNumberFormat="1" applyFont="1" applyFill="1" applyBorder="1" applyAlignment="1">
      <alignment horizontal="center" vertical="center"/>
    </xf>
    <xf numFmtId="0" fontId="0" fillId="34" borderId="74" xfId="0" applyFont="1" applyFill="1" applyBorder="1" applyAlignment="1">
      <alignment horizontal="center" vertical="center" wrapText="1"/>
    </xf>
    <xf numFmtId="0" fontId="0" fillId="18" borderId="74" xfId="0" applyFont="1" applyFill="1" applyBorder="1" applyAlignment="1">
      <alignment horizontal="center" vertical="center" wrapText="1"/>
    </xf>
    <xf numFmtId="179" fontId="0" fillId="17" borderId="1" xfId="0" applyNumberFormat="1" applyFont="1" applyFill="1" applyBorder="1" applyAlignment="1">
      <alignment horizontal="center" vertical="center" wrapText="1"/>
    </xf>
    <xf numFmtId="179" fontId="0" fillId="10" borderId="1" xfId="0" applyNumberFormat="1" applyFont="1" applyFill="1" applyBorder="1" applyAlignment="1">
      <alignment horizontal="center" vertical="center" wrapText="1"/>
    </xf>
    <xf numFmtId="179" fontId="0" fillId="18" borderId="1" xfId="0" applyNumberFormat="1" applyFont="1" applyFill="1" applyBorder="1" applyAlignment="1">
      <alignment horizontal="center" vertical="center" wrapText="1"/>
    </xf>
    <xf numFmtId="0" fontId="25" fillId="0" borderId="0" xfId="0" applyFont="1"/>
    <xf numFmtId="0" fontId="25" fillId="0" borderId="52" xfId="0" applyFont="1" applyBorder="1"/>
    <xf numFmtId="0" fontId="25" fillId="0" borderId="36" xfId="0" applyFont="1" applyBorder="1"/>
    <xf numFmtId="0" fontId="52" fillId="0" borderId="36" xfId="0" applyFont="1" applyBorder="1" applyAlignment="1">
      <alignment horizontal="center"/>
    </xf>
    <xf numFmtId="0" fontId="25" fillId="0" borderId="40" xfId="0" applyFont="1" applyBorder="1"/>
    <xf numFmtId="0" fontId="25" fillId="0" borderId="47" xfId="0" applyFont="1" applyBorder="1"/>
    <xf numFmtId="0" fontId="52" fillId="0" borderId="47" xfId="0" applyFont="1" applyBorder="1" applyAlignment="1">
      <alignment horizontal="center"/>
    </xf>
    <xf numFmtId="0" fontId="25" fillId="0" borderId="4" xfId="0" applyFont="1" applyBorder="1"/>
    <xf numFmtId="0" fontId="25" fillId="0" borderId="0" xfId="0" applyFont="1" applyBorder="1"/>
    <xf numFmtId="0" fontId="52" fillId="0" borderId="0" xfId="0" applyFont="1" applyBorder="1" applyAlignment="1">
      <alignment horizontal="center"/>
    </xf>
    <xf numFmtId="0" fontId="38" fillId="0" borderId="52" xfId="0" applyFont="1" applyBorder="1"/>
    <xf numFmtId="0" fontId="237" fillId="0" borderId="36" xfId="0" applyFont="1" applyBorder="1"/>
    <xf numFmtId="0" fontId="52" fillId="0" borderId="64" xfId="0" applyFont="1" applyBorder="1" applyAlignment="1">
      <alignment horizontal="center"/>
    </xf>
    <xf numFmtId="0" fontId="238" fillId="0" borderId="0" xfId="0" applyFont="1" applyBorder="1" applyAlignment="1">
      <alignment horizontal="center"/>
    </xf>
    <xf numFmtId="0" fontId="40" fillId="0" borderId="52" xfId="0" applyFont="1" applyFill="1" applyBorder="1"/>
    <xf numFmtId="0" fontId="54" fillId="0" borderId="39" xfId="0" applyFont="1" applyBorder="1" applyAlignment="1"/>
    <xf numFmtId="0" fontId="40" fillId="0" borderId="1" xfId="0" applyFont="1" applyBorder="1"/>
    <xf numFmtId="0" fontId="85" fillId="0" borderId="1" xfId="0" applyFont="1" applyBorder="1"/>
    <xf numFmtId="0" fontId="52" fillId="0" borderId="46" xfId="0" applyFont="1" applyBorder="1" applyAlignment="1">
      <alignment horizontal="right"/>
    </xf>
    <xf numFmtId="0" fontId="40" fillId="0" borderId="40" xfId="0" applyFont="1" applyBorder="1"/>
    <xf numFmtId="0" fontId="54" fillId="0" borderId="39" xfId="0" applyFont="1" applyBorder="1"/>
    <xf numFmtId="0" fontId="60" fillId="0" borderId="1" xfId="0" applyFont="1" applyBorder="1"/>
    <xf numFmtId="0" fontId="239" fillId="0" borderId="0" xfId="0" applyFont="1" applyBorder="1"/>
    <xf numFmtId="0" fontId="54" fillId="0" borderId="115" xfId="0" applyFont="1" applyBorder="1"/>
    <xf numFmtId="0" fontId="40" fillId="0" borderId="74" xfId="0" applyFont="1" applyBorder="1"/>
    <xf numFmtId="0" fontId="85" fillId="0" borderId="74" xfId="0" applyFont="1" applyBorder="1"/>
    <xf numFmtId="0" fontId="25" fillId="0" borderId="116" xfId="0" applyFont="1" applyBorder="1"/>
    <xf numFmtId="0" fontId="239" fillId="0" borderId="154" xfId="0" applyFont="1" applyBorder="1"/>
    <xf numFmtId="0" fontId="54" fillId="0" borderId="38" xfId="0" applyFont="1" applyBorder="1"/>
    <xf numFmtId="0" fontId="40" fillId="0" borderId="44" xfId="0" applyFont="1" applyBorder="1"/>
    <xf numFmtId="181" fontId="240" fillId="0" borderId="44" xfId="0" applyNumberFormat="1" applyFont="1" applyBorder="1" applyAlignment="1">
      <alignment horizontal="right"/>
    </xf>
    <xf numFmtId="0" fontId="52" fillId="0" borderId="44" xfId="0" applyFont="1" applyBorder="1" applyAlignment="1">
      <alignment horizontal="right"/>
    </xf>
    <xf numFmtId="181" fontId="42" fillId="0" borderId="162" xfId="0" applyNumberFormat="1" applyFont="1" applyBorder="1" applyAlignment="1">
      <alignment horizontal="center"/>
    </xf>
    <xf numFmtId="0" fontId="52" fillId="0" borderId="45" xfId="0" applyFont="1" applyBorder="1" applyAlignment="1">
      <alignment horizontal="right"/>
    </xf>
    <xf numFmtId="0" fontId="40" fillId="0" borderId="39" xfId="0" applyFont="1" applyFill="1" applyBorder="1"/>
    <xf numFmtId="178" fontId="25" fillId="0" borderId="1" xfId="0" applyNumberFormat="1" applyFont="1" applyBorder="1" applyAlignment="1">
      <alignment horizontal="right"/>
    </xf>
    <xf numFmtId="0" fontId="52" fillId="0" borderId="1" xfId="0" applyFont="1" applyBorder="1" applyAlignment="1">
      <alignment horizontal="right"/>
    </xf>
    <xf numFmtId="195" fontId="42" fillId="0" borderId="94" xfId="0" applyNumberFormat="1" applyFont="1" applyBorder="1" applyAlignment="1">
      <alignment horizontal="center"/>
    </xf>
    <xf numFmtId="0" fontId="40" fillId="0" borderId="40" xfId="0" applyFont="1" applyFill="1" applyBorder="1"/>
    <xf numFmtId="0" fontId="52" fillId="0" borderId="47" xfId="0" applyFont="1" applyBorder="1" applyAlignment="1">
      <alignment horizontal="right"/>
    </xf>
    <xf numFmtId="195" fontId="42" fillId="0" borderId="153" xfId="0" applyNumberFormat="1" applyFont="1" applyBorder="1" applyAlignment="1">
      <alignment horizontal="center"/>
    </xf>
    <xf numFmtId="0" fontId="52" fillId="0" borderId="48" xfId="0" applyFont="1" applyBorder="1" applyAlignment="1">
      <alignment horizontal="right"/>
    </xf>
    <xf numFmtId="0" fontId="40" fillId="0" borderId="22" xfId="0" applyFont="1" applyFill="1" applyBorder="1"/>
    <xf numFmtId="0" fontId="25" fillId="0" borderId="23" xfId="0" applyFont="1" applyBorder="1"/>
    <xf numFmtId="195" fontId="42" fillId="0" borderId="23" xfId="0" applyNumberFormat="1" applyFont="1" applyBorder="1" applyAlignment="1">
      <alignment horizontal="center"/>
    </xf>
    <xf numFmtId="0" fontId="52" fillId="0" borderId="23" xfId="0" applyFont="1" applyBorder="1" applyAlignment="1">
      <alignment horizontal="right"/>
    </xf>
    <xf numFmtId="0" fontId="52" fillId="0" borderId="64" xfId="0" applyFont="1" applyBorder="1" applyAlignment="1">
      <alignment horizontal="right"/>
    </xf>
    <xf numFmtId="0" fontId="40" fillId="0" borderId="115" xfId="0" applyFont="1" applyFill="1" applyBorder="1"/>
    <xf numFmtId="0" fontId="52" fillId="0" borderId="74" xfId="0" applyFont="1" applyBorder="1" applyAlignment="1">
      <alignment horizontal="right"/>
    </xf>
    <xf numFmtId="195" fontId="42" fillId="0" borderId="56" xfId="0" applyNumberFormat="1" applyFont="1" applyBorder="1" applyAlignment="1">
      <alignment horizontal="center"/>
    </xf>
    <xf numFmtId="0" fontId="52" fillId="0" borderId="116" xfId="0" applyFont="1" applyBorder="1" applyAlignment="1">
      <alignment horizontal="right"/>
    </xf>
    <xf numFmtId="0" fontId="25" fillId="0" borderId="38" xfId="0" applyFont="1" applyBorder="1"/>
    <xf numFmtId="0" fontId="25" fillId="0" borderId="44" xfId="0" applyFont="1" applyBorder="1"/>
    <xf numFmtId="0" fontId="52" fillId="0" borderId="44" xfId="0" applyFont="1" applyBorder="1" applyAlignment="1">
      <alignment horizontal="center"/>
    </xf>
    <xf numFmtId="179" fontId="242" fillId="0" borderId="44" xfId="0" applyNumberFormat="1" applyFont="1" applyBorder="1"/>
    <xf numFmtId="179" fontId="242" fillId="0" borderId="161" xfId="0" applyNumberFormat="1" applyFont="1" applyBorder="1" applyAlignment="1">
      <alignment horizontal="center"/>
    </xf>
    <xf numFmtId="0" fontId="25" fillId="0" borderId="44" xfId="0" applyFont="1" applyBorder="1" applyAlignment="1">
      <alignment horizontal="center"/>
    </xf>
    <xf numFmtId="179" fontId="242" fillId="0" borderId="36" xfId="0" applyNumberFormat="1" applyFont="1" applyBorder="1"/>
    <xf numFmtId="0" fontId="25" fillId="0" borderId="39" xfId="0" applyFont="1" applyBorder="1"/>
    <xf numFmtId="0" fontId="25" fillId="0" borderId="1" xfId="0" applyFont="1" applyBorder="1"/>
    <xf numFmtId="0" fontId="52" fillId="0" borderId="1" xfId="0" applyFont="1" applyBorder="1" applyAlignment="1">
      <alignment horizontal="center"/>
    </xf>
    <xf numFmtId="183" fontId="20" fillId="0" borderId="1" xfId="0" applyNumberFormat="1" applyFont="1" applyBorder="1"/>
    <xf numFmtId="0" fontId="20" fillId="0" borderId="93" xfId="0" applyFont="1" applyBorder="1" applyAlignment="1">
      <alignment horizontal="center"/>
    </xf>
    <xf numFmtId="0" fontId="54" fillId="0" borderId="1" xfId="0" applyFont="1" applyBorder="1" applyAlignment="1">
      <alignment horizontal="right"/>
    </xf>
    <xf numFmtId="181" fontId="242" fillId="0" borderId="1" xfId="0" applyNumberFormat="1" applyFont="1" applyBorder="1"/>
    <xf numFmtId="178" fontId="242" fillId="0" borderId="93" xfId="0" applyNumberFormat="1" applyFont="1" applyBorder="1" applyAlignment="1">
      <alignment horizontal="center"/>
    </xf>
    <xf numFmtId="181" fontId="53" fillId="0" borderId="1" xfId="0" applyNumberFormat="1" applyFont="1" applyBorder="1"/>
    <xf numFmtId="179" fontId="53" fillId="0" borderId="1" xfId="0" applyNumberFormat="1" applyFont="1" applyBorder="1"/>
    <xf numFmtId="179" fontId="242" fillId="0" borderId="1" xfId="0" applyNumberFormat="1" applyFont="1" applyBorder="1"/>
    <xf numFmtId="179" fontId="53" fillId="0" borderId="93" xfId="0" applyNumberFormat="1" applyFont="1" applyBorder="1" applyAlignment="1">
      <alignment horizontal="center"/>
    </xf>
    <xf numFmtId="0" fontId="25" fillId="0" borderId="1" xfId="0" applyFont="1" applyBorder="1" applyAlignment="1">
      <alignment horizontal="center"/>
    </xf>
    <xf numFmtId="179" fontId="242" fillId="0" borderId="93" xfId="0" applyNumberFormat="1" applyFont="1" applyBorder="1" applyAlignment="1">
      <alignment horizontal="center"/>
    </xf>
    <xf numFmtId="0" fontId="25" fillId="0" borderId="47" xfId="0" applyFont="1" applyBorder="1" applyAlignment="1">
      <alignment horizontal="center"/>
    </xf>
    <xf numFmtId="178" fontId="53" fillId="0" borderId="47" xfId="0" applyNumberFormat="1" applyFont="1" applyBorder="1"/>
    <xf numFmtId="0" fontId="20" fillId="0" borderId="156" xfId="0" applyFont="1" applyBorder="1" applyAlignment="1">
      <alignment horizontal="center"/>
    </xf>
    <xf numFmtId="0" fontId="20" fillId="0" borderId="0" xfId="0" applyFont="1" applyAlignment="1">
      <alignment horizontal="center"/>
    </xf>
    <xf numFmtId="0" fontId="20" fillId="0" borderId="64" xfId="0" applyFont="1" applyBorder="1" applyAlignment="1">
      <alignment horizontal="right"/>
    </xf>
    <xf numFmtId="0" fontId="40" fillId="0" borderId="38" xfId="0" applyFont="1" applyFill="1" applyBorder="1"/>
    <xf numFmtId="0" fontId="20" fillId="0" borderId="46" xfId="0" applyFont="1" applyBorder="1" applyAlignment="1">
      <alignment horizontal="right"/>
    </xf>
    <xf numFmtId="0" fontId="0" fillId="0" borderId="116" xfId="0" applyBorder="1"/>
    <xf numFmtId="0" fontId="239" fillId="0" borderId="158" xfId="0" applyFont="1" applyBorder="1"/>
    <xf numFmtId="0" fontId="60" fillId="0" borderId="159" xfId="0" applyFont="1" applyBorder="1"/>
    <xf numFmtId="0" fontId="20" fillId="0" borderId="44" xfId="0" applyFont="1" applyBorder="1" applyAlignment="1">
      <alignment horizontal="right"/>
    </xf>
    <xf numFmtId="181" fontId="42" fillId="0" borderId="44" xfId="0" applyNumberFormat="1" applyFont="1" applyBorder="1" applyAlignment="1">
      <alignment horizontal="center"/>
    </xf>
    <xf numFmtId="0" fontId="40" fillId="0" borderId="0" xfId="0" applyFont="1" applyBorder="1"/>
    <xf numFmtId="0" fontId="20" fillId="0" borderId="1" xfId="0" applyFont="1" applyBorder="1" applyAlignment="1">
      <alignment horizontal="right"/>
    </xf>
    <xf numFmtId="195" fontId="42" fillId="0" borderId="1" xfId="0" applyNumberFormat="1" applyFont="1" applyBorder="1" applyAlignment="1">
      <alignment horizontal="center"/>
    </xf>
    <xf numFmtId="195" fontId="42" fillId="0" borderId="47" xfId="0" applyNumberFormat="1" applyFont="1" applyBorder="1" applyAlignment="1">
      <alignment horizontal="center"/>
    </xf>
    <xf numFmtId="0" fontId="40" fillId="0" borderId="0" xfId="0" applyFont="1" applyFill="1" applyBorder="1"/>
    <xf numFmtId="0" fontId="54" fillId="0" borderId="0" xfId="0" applyFont="1" applyFill="1" applyBorder="1"/>
    <xf numFmtId="0" fontId="38" fillId="0" borderId="0" xfId="0" applyFont="1"/>
    <xf numFmtId="0" fontId="52" fillId="0" borderId="59" xfId="0" applyFont="1" applyBorder="1" applyAlignment="1">
      <alignment horizontal="center"/>
    </xf>
    <xf numFmtId="0" fontId="239" fillId="0" borderId="0" xfId="0" applyFont="1" applyFill="1" applyBorder="1"/>
    <xf numFmtId="0" fontId="244" fillId="0" borderId="0" xfId="2" applyFont="1" applyAlignment="1" applyProtection="1"/>
    <xf numFmtId="0" fontId="52" fillId="0" borderId="156" xfId="0" applyFont="1" applyBorder="1" applyAlignment="1">
      <alignment horizontal="center"/>
    </xf>
    <xf numFmtId="0" fontId="25" fillId="0" borderId="42" xfId="0" applyFont="1" applyBorder="1"/>
    <xf numFmtId="0" fontId="52" fillId="0" borderId="42" xfId="0" applyFont="1" applyBorder="1" applyAlignment="1">
      <alignment horizontal="center"/>
    </xf>
    <xf numFmtId="0" fontId="25" fillId="0" borderId="59" xfId="0" applyFont="1" applyBorder="1" applyAlignment="1">
      <alignment horizontal="center"/>
    </xf>
    <xf numFmtId="0" fontId="38" fillId="0" borderId="60" xfId="0" applyFont="1" applyBorder="1"/>
    <xf numFmtId="181" fontId="237" fillId="0" borderId="156" xfId="0" applyNumberFormat="1" applyFont="1" applyBorder="1"/>
    <xf numFmtId="0" fontId="54" fillId="0" borderId="94" xfId="0" applyFont="1" applyBorder="1" applyAlignment="1"/>
    <xf numFmtId="0" fontId="66" fillId="0" borderId="0" xfId="0" applyFont="1" applyBorder="1" applyAlignment="1">
      <alignment horizontal="center"/>
    </xf>
    <xf numFmtId="0" fontId="54" fillId="0" borderId="94" xfId="0" applyFont="1" applyBorder="1"/>
    <xf numFmtId="0" fontId="60" fillId="0" borderId="95" xfId="0" applyFont="1" applyBorder="1"/>
    <xf numFmtId="0" fontId="85" fillId="0" borderId="262" xfId="0" applyFont="1" applyBorder="1" applyAlignment="1">
      <alignment horizontal="center"/>
    </xf>
    <xf numFmtId="0" fontId="54" fillId="0" borderId="56" xfId="0" applyFont="1" applyBorder="1"/>
    <xf numFmtId="0" fontId="40" fillId="0" borderId="3" xfId="0" applyFont="1" applyBorder="1"/>
    <xf numFmtId="181" fontId="25" fillId="0" borderId="2" xfId="0" applyNumberFormat="1" applyFont="1" applyBorder="1" applyAlignment="1">
      <alignment horizontal="center"/>
    </xf>
    <xf numFmtId="0" fontId="54" fillId="0" borderId="162" xfId="0" applyFont="1" applyBorder="1"/>
    <xf numFmtId="181" fontId="25" fillId="0" borderId="22" xfId="0" applyNumberFormat="1" applyFont="1" applyBorder="1" applyAlignment="1">
      <alignment horizontal="center"/>
    </xf>
    <xf numFmtId="0" fontId="40" fillId="0" borderId="94" xfId="0" applyFont="1" applyFill="1" applyBorder="1"/>
    <xf numFmtId="195" fontId="25" fillId="0" borderId="41" xfId="0" applyNumberFormat="1" applyFont="1" applyBorder="1"/>
    <xf numFmtId="0" fontId="40" fillId="0" borderId="153" xfId="0" applyFont="1" applyFill="1" applyBorder="1"/>
    <xf numFmtId="195" fontId="0" fillId="0" borderId="23" xfId="0" applyNumberFormat="1" applyBorder="1"/>
    <xf numFmtId="0" fontId="40" fillId="0" borderId="23" xfId="0" applyFont="1" applyFill="1" applyBorder="1"/>
    <xf numFmtId="195" fontId="25" fillId="0" borderId="2" xfId="0" applyNumberFormat="1" applyFont="1" applyBorder="1"/>
    <xf numFmtId="0" fontId="40" fillId="0" borderId="56" xfId="0" applyFont="1" applyFill="1" applyBorder="1"/>
    <xf numFmtId="178" fontId="53" fillId="0" borderId="44" xfId="0" applyNumberFormat="1" applyFont="1" applyBorder="1"/>
    <xf numFmtId="0" fontId="20" fillId="0" borderId="45" xfId="0" applyFont="1" applyBorder="1" applyAlignment="1">
      <alignment horizontal="center"/>
    </xf>
    <xf numFmtId="178" fontId="246" fillId="0" borderId="1" xfId="0" applyNumberFormat="1" applyFont="1" applyBorder="1"/>
    <xf numFmtId="0" fontId="20" fillId="0" borderId="46" xfId="0" applyFont="1" applyBorder="1" applyAlignment="1">
      <alignment horizontal="center"/>
    </xf>
    <xf numFmtId="178" fontId="53" fillId="0" borderId="1" xfId="0" applyNumberFormat="1" applyFont="1" applyBorder="1"/>
    <xf numFmtId="178" fontId="53" fillId="0" borderId="93" xfId="0" applyNumberFormat="1" applyFont="1" applyBorder="1" applyAlignment="1">
      <alignment horizontal="center"/>
    </xf>
    <xf numFmtId="179" fontId="247" fillId="0" borderId="1" xfId="0" applyNumberFormat="1" applyFont="1" applyBorder="1"/>
    <xf numFmtId="178" fontId="20" fillId="0" borderId="1" xfId="0" applyNumberFormat="1" applyFont="1" applyBorder="1"/>
    <xf numFmtId="178" fontId="242" fillId="0" borderId="1" xfId="0" applyNumberFormat="1" applyFont="1" applyBorder="1"/>
    <xf numFmtId="181" fontId="20" fillId="0" borderId="1" xfId="0" applyNumberFormat="1" applyFont="1" applyBorder="1" applyAlignment="1">
      <alignment horizontal="center"/>
    </xf>
    <xf numFmtId="0" fontId="45" fillId="0" borderId="0" xfId="0" applyFont="1" applyBorder="1" applyAlignment="1">
      <alignment horizontal="center"/>
    </xf>
    <xf numFmtId="0" fontId="25" fillId="0" borderId="45" xfId="0" applyFont="1" applyBorder="1" applyAlignment="1">
      <alignment horizontal="center"/>
    </xf>
    <xf numFmtId="181" fontId="237" fillId="0" borderId="48" xfId="0" applyNumberFormat="1" applyFont="1" applyBorder="1"/>
    <xf numFmtId="0" fontId="66" fillId="0" borderId="30" xfId="0" applyFont="1" applyBorder="1" applyAlignment="1">
      <alignment horizontal="center"/>
    </xf>
    <xf numFmtId="0" fontId="42" fillId="0" borderId="0" xfId="0" applyFont="1" applyBorder="1" applyAlignment="1">
      <alignment horizontal="center"/>
    </xf>
    <xf numFmtId="0" fontId="85" fillId="0" borderId="160" xfId="0" applyFont="1" applyBorder="1" applyAlignment="1">
      <alignment horizontal="center"/>
    </xf>
    <xf numFmtId="181" fontId="42" fillId="0" borderId="0" xfId="0" applyNumberFormat="1" applyFont="1" applyBorder="1"/>
    <xf numFmtId="181" fontId="25" fillId="0" borderId="37" xfId="0" applyNumberFormat="1" applyFont="1" applyBorder="1" applyAlignment="1">
      <alignment horizontal="center"/>
    </xf>
    <xf numFmtId="0" fontId="51" fillId="0" borderId="0" xfId="0" applyFont="1" applyBorder="1" applyAlignment="1">
      <alignment horizontal="center"/>
    </xf>
    <xf numFmtId="181" fontId="25" fillId="0" borderId="263" xfId="0" applyNumberFormat="1" applyFont="1" applyBorder="1" applyAlignment="1">
      <alignment horizontal="center"/>
    </xf>
    <xf numFmtId="181" fontId="42" fillId="0" borderId="0" xfId="0" applyNumberFormat="1" applyFont="1" applyBorder="1" applyAlignment="1">
      <alignment horizontal="center"/>
    </xf>
    <xf numFmtId="195" fontId="0" fillId="0" borderId="141" xfId="0" applyNumberFormat="1" applyBorder="1"/>
    <xf numFmtId="195" fontId="0" fillId="0" borderId="0" xfId="0" applyNumberFormat="1" applyBorder="1"/>
    <xf numFmtId="0" fontId="52" fillId="0" borderId="43" xfId="0" applyFont="1" applyBorder="1" applyAlignment="1">
      <alignment horizontal="center"/>
    </xf>
    <xf numFmtId="0" fontId="25" fillId="0" borderId="64" xfId="0" applyFont="1" applyBorder="1" applyAlignment="1">
      <alignment horizontal="center"/>
    </xf>
    <xf numFmtId="0" fontId="85" fillId="0" borderId="157" xfId="0" applyFont="1" applyBorder="1" applyAlignment="1">
      <alignment horizontal="center"/>
    </xf>
    <xf numFmtId="195" fontId="25" fillId="0" borderId="141" xfId="0" applyNumberFormat="1" applyFont="1" applyBorder="1"/>
    <xf numFmtId="195" fontId="0" fillId="0" borderId="35" xfId="0" applyNumberFormat="1" applyBorder="1"/>
    <xf numFmtId="195" fontId="25" fillId="0" borderId="37" xfId="0" applyNumberFormat="1" applyFont="1" applyBorder="1"/>
    <xf numFmtId="178" fontId="20" fillId="0" borderId="1" xfId="0" applyNumberFormat="1" applyFont="1" applyBorder="1" applyAlignment="1">
      <alignment horizontal="center"/>
    </xf>
    <xf numFmtId="0" fontId="40" fillId="0" borderId="119" xfId="0" applyFont="1" applyFill="1" applyBorder="1"/>
    <xf numFmtId="0" fontId="52" fillId="0" borderId="63" xfId="0" applyFont="1" applyBorder="1" applyAlignment="1">
      <alignment horizontal="center"/>
    </xf>
    <xf numFmtId="176" fontId="42" fillId="0" borderId="44" xfId="0" applyNumberFormat="1" applyFont="1" applyBorder="1" applyAlignment="1">
      <alignment horizontal="center"/>
    </xf>
    <xf numFmtId="178" fontId="0" fillId="0" borderId="0" xfId="0" applyNumberFormat="1"/>
    <xf numFmtId="181" fontId="0" fillId="0" borderId="0" xfId="0" applyNumberFormat="1"/>
    <xf numFmtId="0" fontId="25" fillId="0" borderId="120" xfId="0" applyFont="1" applyBorder="1" applyAlignment="1">
      <alignment horizontal="center"/>
    </xf>
    <xf numFmtId="0" fontId="247" fillId="0" borderId="0" xfId="0" applyFont="1"/>
    <xf numFmtId="0" fontId="30" fillId="0" borderId="1" xfId="0" applyFont="1" applyFill="1" applyBorder="1" applyAlignment="1">
      <alignment vertical="center"/>
    </xf>
    <xf numFmtId="178" fontId="0" fillId="0" borderId="1" xfId="0" applyNumberFormat="1" applyFill="1" applyBorder="1" applyAlignment="1">
      <alignment vertical="center"/>
    </xf>
    <xf numFmtId="0" fontId="45" fillId="0" borderId="1" xfId="0" applyFont="1" applyFill="1" applyBorder="1" applyAlignment="1">
      <alignment vertical="center"/>
    </xf>
    <xf numFmtId="176" fontId="0" fillId="0" borderId="1" xfId="0" applyNumberFormat="1" applyFill="1" applyBorder="1" applyAlignment="1">
      <alignment vertical="center"/>
    </xf>
    <xf numFmtId="195" fontId="0" fillId="0" borderId="1" xfId="0" applyNumberFormat="1" applyFill="1" applyBorder="1" applyAlignment="1">
      <alignment vertical="center"/>
    </xf>
    <xf numFmtId="0" fontId="0" fillId="38" borderId="42" xfId="0" applyFill="1" applyBorder="1" applyAlignment="1">
      <alignment vertical="center"/>
    </xf>
    <xf numFmtId="0" fontId="0" fillId="38" borderId="41" xfId="0" applyFill="1" applyBorder="1" applyAlignment="1">
      <alignment vertical="center"/>
    </xf>
    <xf numFmtId="0" fontId="45" fillId="0" borderId="0" xfId="0" applyFont="1" applyFill="1" applyBorder="1" applyAlignment="1">
      <alignment vertical="center"/>
    </xf>
    <xf numFmtId="0" fontId="250" fillId="0" borderId="0" xfId="0" applyFont="1" applyFill="1" applyAlignment="1">
      <alignment vertical="center"/>
    </xf>
    <xf numFmtId="0" fontId="0" fillId="34" borderId="0" xfId="0" applyFill="1" applyBorder="1" applyAlignment="1">
      <alignment vertical="center"/>
    </xf>
    <xf numFmtId="0" fontId="251" fillId="0" borderId="0" xfId="0" applyFont="1" applyFill="1" applyAlignment="1" applyProtection="1">
      <alignment vertical="center"/>
    </xf>
    <xf numFmtId="0" fontId="0" fillId="23" borderId="1" xfId="0" applyFill="1" applyBorder="1" applyAlignment="1" applyProtection="1">
      <alignment horizontal="center" vertical="center"/>
    </xf>
    <xf numFmtId="0" fontId="252" fillId="8" borderId="1" xfId="0" applyFont="1" applyFill="1" applyBorder="1" applyAlignment="1" applyProtection="1">
      <alignment horizontal="center" vertical="center"/>
    </xf>
    <xf numFmtId="0" fontId="155" fillId="34" borderId="0" xfId="0" applyFont="1" applyFill="1" applyBorder="1" applyAlignment="1">
      <alignment horizontal="center" vertical="center"/>
    </xf>
    <xf numFmtId="0" fontId="253" fillId="14" borderId="1" xfId="0" applyFont="1" applyFill="1" applyBorder="1" applyAlignment="1" applyProtection="1">
      <alignment horizontal="center" vertical="center"/>
    </xf>
    <xf numFmtId="0" fontId="250" fillId="34" borderId="0" xfId="0" applyFont="1" applyFill="1" applyBorder="1" applyAlignment="1">
      <alignment horizontal="center" vertical="center"/>
    </xf>
    <xf numFmtId="0" fontId="0" fillId="34" borderId="0" xfId="0" applyFill="1" applyAlignment="1" applyProtection="1">
      <alignment horizontal="center" vertical="center"/>
    </xf>
    <xf numFmtId="0" fontId="250" fillId="34" borderId="0" xfId="0" applyFont="1" applyFill="1" applyAlignment="1" applyProtection="1">
      <alignment horizontal="center" vertical="center"/>
    </xf>
    <xf numFmtId="0" fontId="187" fillId="0" borderId="1" xfId="0" applyFont="1" applyFill="1" applyBorder="1" applyAlignment="1">
      <alignment vertical="center"/>
    </xf>
    <xf numFmtId="0" fontId="250" fillId="0" borderId="1" xfId="0" applyFont="1" applyFill="1" applyBorder="1" applyAlignment="1">
      <alignment vertical="center"/>
    </xf>
    <xf numFmtId="0" fontId="254" fillId="0" borderId="1" xfId="0" applyFont="1" applyFill="1" applyBorder="1" applyAlignment="1">
      <alignment vertical="center"/>
    </xf>
    <xf numFmtId="0" fontId="187" fillId="34" borderId="1" xfId="0" applyFont="1" applyFill="1" applyBorder="1" applyAlignment="1" applyProtection="1">
      <alignment horizontal="left" vertical="center"/>
    </xf>
    <xf numFmtId="0" fontId="255" fillId="0" borderId="1" xfId="0" applyFont="1" applyFill="1" applyBorder="1" applyAlignment="1">
      <alignment vertical="center"/>
    </xf>
    <xf numFmtId="0" fontId="155" fillId="34" borderId="1" xfId="0" applyFont="1" applyFill="1" applyBorder="1" applyAlignment="1" applyProtection="1">
      <alignment vertical="center"/>
    </xf>
    <xf numFmtId="0" fontId="155" fillId="34" borderId="1" xfId="0" applyFont="1" applyFill="1" applyBorder="1" applyAlignment="1">
      <alignment vertical="center"/>
    </xf>
    <xf numFmtId="0" fontId="0" fillId="13" borderId="0" xfId="0" applyFill="1" applyBorder="1" applyAlignment="1">
      <alignment horizontal="center" vertical="center" wrapText="1"/>
    </xf>
    <xf numFmtId="49" fontId="0" fillId="34" borderId="0" xfId="0" applyNumberFormat="1" applyFill="1" applyAlignment="1">
      <alignment vertical="center" wrapText="1"/>
    </xf>
    <xf numFmtId="0" fontId="0" fillId="0" borderId="0" xfId="0" applyFont="1" applyFill="1" applyBorder="1" applyAlignment="1">
      <alignment vertical="center"/>
    </xf>
    <xf numFmtId="0" fontId="187" fillId="0" borderId="0" xfId="0" applyFont="1" applyFill="1" applyAlignment="1">
      <alignment horizontal="center" vertical="center"/>
    </xf>
    <xf numFmtId="0" fontId="150" fillId="0" borderId="38" xfId="0" applyFont="1" applyFill="1" applyBorder="1" applyAlignment="1">
      <alignment vertical="center"/>
    </xf>
    <xf numFmtId="0" fontId="155" fillId="0" borderId="44" xfId="0" applyFont="1" applyFill="1" applyBorder="1" applyAlignment="1">
      <alignment vertical="center"/>
    </xf>
    <xf numFmtId="0" fontId="155" fillId="0" borderId="45" xfId="0" applyFont="1" applyFill="1" applyBorder="1" applyAlignment="1">
      <alignment vertical="center"/>
    </xf>
    <xf numFmtId="0" fontId="155" fillId="0" borderId="0" xfId="0" applyFont="1" applyFill="1" applyAlignment="1">
      <alignment vertical="center"/>
    </xf>
    <xf numFmtId="0" fontId="155" fillId="15" borderId="39" xfId="0" applyFont="1" applyFill="1" applyBorder="1" applyAlignment="1">
      <alignment vertical="center"/>
    </xf>
    <xf numFmtId="0" fontId="155" fillId="15" borderId="1" xfId="0" applyFont="1" applyFill="1" applyBorder="1" applyAlignment="1">
      <alignment vertical="center"/>
    </xf>
    <xf numFmtId="0" fontId="155" fillId="8" borderId="1" xfId="0" applyFont="1" applyFill="1" applyBorder="1" applyAlignment="1">
      <alignment vertical="center"/>
    </xf>
    <xf numFmtId="0" fontId="155" fillId="0" borderId="46" xfId="0" applyFont="1" applyFill="1" applyBorder="1" applyAlignment="1">
      <alignment vertical="center"/>
    </xf>
    <xf numFmtId="0" fontId="150" fillId="0" borderId="0" xfId="0" applyFont="1" applyFill="1" applyBorder="1" applyAlignment="1">
      <alignment vertical="center"/>
    </xf>
    <xf numFmtId="0" fontId="155" fillId="0" borderId="0" xfId="0" applyFont="1" applyFill="1" applyBorder="1" applyAlignment="1">
      <alignment vertical="center"/>
    </xf>
    <xf numFmtId="0" fontId="0" fillId="0" borderId="39" xfId="0" applyFont="1" applyFill="1" applyBorder="1" applyAlignment="1">
      <alignment vertical="center"/>
    </xf>
    <xf numFmtId="0" fontId="0" fillId="8" borderId="1" xfId="0" applyFont="1" applyFill="1" applyBorder="1" applyAlignment="1">
      <alignment vertical="center"/>
    </xf>
    <xf numFmtId="0" fontId="0" fillId="0" borderId="46" xfId="0" applyFont="1" applyFill="1" applyBorder="1" applyAlignment="1">
      <alignment vertical="center"/>
    </xf>
    <xf numFmtId="0" fontId="0" fillId="15" borderId="39" xfId="0" applyFont="1" applyFill="1" applyBorder="1" applyAlignment="1">
      <alignment vertical="center"/>
    </xf>
    <xf numFmtId="0" fontId="0" fillId="15" borderId="1" xfId="0" applyFont="1" applyFill="1" applyBorder="1" applyAlignment="1">
      <alignment vertical="center"/>
    </xf>
    <xf numFmtId="176" fontId="0" fillId="8" borderId="1" xfId="0" applyNumberFormat="1" applyFont="1" applyFill="1" applyBorder="1" applyAlignment="1">
      <alignment vertical="center"/>
    </xf>
    <xf numFmtId="0" fontId="155" fillId="0" borderId="1" xfId="0" applyFont="1" applyFill="1" applyBorder="1" applyAlignment="1">
      <alignment vertical="center"/>
    </xf>
    <xf numFmtId="0" fontId="0" fillId="7" borderId="1" xfId="0" applyFont="1" applyFill="1" applyBorder="1" applyAlignment="1">
      <alignment vertical="center"/>
    </xf>
    <xf numFmtId="0" fontId="0" fillId="15" borderId="115" xfId="0" applyFont="1" applyFill="1" applyBorder="1" applyAlignment="1">
      <alignment vertical="center"/>
    </xf>
    <xf numFmtId="0" fontId="0" fillId="15" borderId="74" xfId="0" applyFont="1" applyFill="1" applyBorder="1" applyAlignment="1">
      <alignment vertical="center"/>
    </xf>
    <xf numFmtId="0" fontId="0" fillId="7" borderId="74" xfId="0" applyFont="1" applyFill="1" applyBorder="1" applyAlignment="1">
      <alignment vertical="center"/>
    </xf>
    <xf numFmtId="0" fontId="0" fillId="0" borderId="116" xfId="0" applyFont="1" applyFill="1" applyBorder="1" applyAlignment="1">
      <alignment vertical="center"/>
    </xf>
    <xf numFmtId="0" fontId="0" fillId="0" borderId="40" xfId="0" applyFont="1" applyFill="1" applyBorder="1" applyAlignment="1">
      <alignment vertical="center"/>
    </xf>
    <xf numFmtId="0" fontId="0" fillId="0" borderId="47" xfId="0" applyFont="1" applyFill="1" applyBorder="1" applyAlignment="1">
      <alignment vertical="center"/>
    </xf>
    <xf numFmtId="0" fontId="0" fillId="8" borderId="47" xfId="0" applyFont="1" applyFill="1" applyBorder="1" applyAlignment="1">
      <alignment vertical="center"/>
    </xf>
    <xf numFmtId="0" fontId="0" fillId="0" borderId="48" xfId="0" applyFont="1" applyFill="1" applyBorder="1" applyAlignment="1">
      <alignment vertical="center"/>
    </xf>
    <xf numFmtId="0" fontId="0" fillId="0" borderId="0" xfId="0" applyFont="1" applyBorder="1"/>
    <xf numFmtId="0" fontId="30" fillId="0" borderId="36" xfId="0" applyFont="1" applyFill="1" applyBorder="1" applyAlignment="1">
      <alignment vertical="center"/>
    </xf>
    <xf numFmtId="0" fontId="0" fillId="0" borderId="36" xfId="0" applyFont="1" applyFill="1" applyBorder="1" applyAlignment="1">
      <alignment vertical="center"/>
    </xf>
    <xf numFmtId="0" fontId="0" fillId="0" borderId="74" xfId="0" applyFont="1" applyFill="1" applyBorder="1" applyAlignment="1">
      <alignment vertical="center"/>
    </xf>
    <xf numFmtId="0" fontId="0" fillId="0" borderId="1" xfId="0" applyFont="1" applyFill="1" applyBorder="1" applyAlignment="1">
      <alignment horizontal="right" vertical="center"/>
    </xf>
    <xf numFmtId="176" fontId="0" fillId="7" borderId="1" xfId="0" applyNumberFormat="1" applyFont="1" applyFill="1" applyBorder="1" applyAlignment="1">
      <alignment vertical="center"/>
    </xf>
    <xf numFmtId="0" fontId="0" fillId="0" borderId="0" xfId="0" applyFont="1" applyFill="1"/>
    <xf numFmtId="176" fontId="0" fillId="0" borderId="93" xfId="0" applyNumberFormat="1" applyFont="1" applyFill="1" applyBorder="1" applyAlignment="1">
      <alignment vertical="center"/>
    </xf>
    <xf numFmtId="0" fontId="0" fillId="0" borderId="94" xfId="0" applyFont="1" applyFill="1" applyBorder="1" applyAlignment="1">
      <alignment vertical="center"/>
    </xf>
    <xf numFmtId="176" fontId="0" fillId="0" borderId="1" xfId="0" applyNumberFormat="1" applyFont="1" applyFill="1" applyBorder="1" applyAlignment="1">
      <alignment horizontal="right" vertical="center"/>
    </xf>
    <xf numFmtId="0" fontId="0" fillId="0" borderId="56" xfId="0" applyFont="1" applyFill="1" applyBorder="1" applyAlignment="1">
      <alignment vertical="center"/>
    </xf>
    <xf numFmtId="176" fontId="0" fillId="0" borderId="0" xfId="0" applyNumberFormat="1" applyFont="1" applyFill="1" applyBorder="1" applyAlignment="1">
      <alignment horizontal="right" vertical="center"/>
    </xf>
    <xf numFmtId="176" fontId="0" fillId="0" borderId="0" xfId="0" applyNumberFormat="1" applyFont="1" applyFill="1" applyBorder="1" applyAlignment="1">
      <alignment vertical="center"/>
    </xf>
    <xf numFmtId="0" fontId="152" fillId="7" borderId="1" xfId="0" applyFont="1" applyFill="1" applyBorder="1" applyAlignment="1">
      <alignment vertical="center"/>
    </xf>
    <xf numFmtId="176" fontId="0" fillId="0" borderId="1" xfId="0" applyNumberFormat="1" applyFont="1" applyFill="1" applyBorder="1" applyAlignment="1">
      <alignment vertical="center"/>
    </xf>
    <xf numFmtId="0" fontId="0" fillId="0" borderId="63" xfId="0" applyFont="1" applyFill="1" applyBorder="1" applyAlignment="1">
      <alignment vertical="center"/>
    </xf>
    <xf numFmtId="176" fontId="0" fillId="0" borderId="63" xfId="0" applyNumberFormat="1" applyFont="1" applyFill="1" applyBorder="1" applyAlignment="1">
      <alignment vertical="center"/>
    </xf>
    <xf numFmtId="195" fontId="0" fillId="0" borderId="1" xfId="0" applyNumberFormat="1" applyFont="1" applyFill="1" applyBorder="1" applyAlignment="1">
      <alignment vertical="center"/>
    </xf>
    <xf numFmtId="0" fontId="45" fillId="0" borderId="74" xfId="0" applyFont="1" applyFill="1" applyBorder="1" applyAlignment="1">
      <alignment vertical="center"/>
    </xf>
    <xf numFmtId="178" fontId="30" fillId="0" borderId="47" xfId="0" applyNumberFormat="1" applyFont="1" applyBorder="1" applyAlignment="1">
      <alignment horizontal="center" vertical="center"/>
    </xf>
    <xf numFmtId="178" fontId="30" fillId="0" borderId="48" xfId="0" applyNumberFormat="1" applyFont="1" applyBorder="1" applyAlignment="1">
      <alignment horizontal="center" vertical="center"/>
    </xf>
    <xf numFmtId="0" fontId="0" fillId="0" borderId="150" xfId="0" applyBorder="1" applyAlignment="1"/>
    <xf numFmtId="178" fontId="0" fillId="0" borderId="36" xfId="0" applyNumberFormat="1" applyBorder="1" applyAlignment="1">
      <alignment horizontal="center"/>
    </xf>
    <xf numFmtId="178" fontId="0" fillId="0" borderId="64" xfId="0" applyNumberFormat="1" applyBorder="1" applyAlignment="1">
      <alignment horizontal="center"/>
    </xf>
    <xf numFmtId="0" fontId="0" fillId="0" borderId="117" xfId="0" applyBorder="1" applyAlignment="1"/>
    <xf numFmtId="178" fontId="0" fillId="0" borderId="1" xfId="0" applyNumberFormat="1" applyBorder="1" applyAlignment="1">
      <alignment horizontal="center"/>
    </xf>
    <xf numFmtId="178" fontId="0" fillId="0" borderId="46" xfId="0" applyNumberFormat="1" applyBorder="1" applyAlignment="1">
      <alignment horizontal="center"/>
    </xf>
    <xf numFmtId="0" fontId="0" fillId="0" borderId="155" xfId="0" applyBorder="1" applyAlignment="1"/>
    <xf numFmtId="178" fontId="0" fillId="0" borderId="47" xfId="0" applyNumberFormat="1" applyBorder="1" applyAlignment="1">
      <alignment horizontal="center"/>
    </xf>
    <xf numFmtId="178" fontId="0" fillId="0" borderId="48" xfId="0" applyNumberFormat="1" applyBorder="1" applyAlignment="1">
      <alignment horizontal="center"/>
    </xf>
    <xf numFmtId="0" fontId="77" fillId="0" borderId="0" xfId="0" applyFont="1" applyFill="1" applyBorder="1" applyAlignment="1">
      <alignment vertical="center"/>
    </xf>
    <xf numFmtId="0" fontId="77" fillId="0" borderId="0" xfId="0" applyFont="1" applyFill="1" applyAlignment="1">
      <alignment vertical="center"/>
    </xf>
    <xf numFmtId="0" fontId="77" fillId="0" borderId="0" xfId="0" applyFont="1" applyFill="1" applyAlignment="1">
      <alignment horizontal="center" vertical="center"/>
    </xf>
    <xf numFmtId="196" fontId="77" fillId="0" borderId="0" xfId="0" applyNumberFormat="1" applyFont="1" applyFill="1" applyAlignment="1">
      <alignment vertical="center"/>
    </xf>
    <xf numFmtId="0" fontId="0" fillId="0" borderId="266" xfId="0" applyFont="1" applyFill="1" applyBorder="1" applyAlignment="1">
      <alignment vertical="center"/>
    </xf>
    <xf numFmtId="0" fontId="77" fillId="0" borderId="266" xfId="0" applyFont="1" applyFill="1" applyBorder="1" applyAlignment="1">
      <alignment horizontal="center" vertical="center"/>
    </xf>
    <xf numFmtId="0" fontId="77" fillId="0" borderId="266" xfId="0" applyNumberFormat="1" applyFont="1" applyFill="1" applyBorder="1" applyAlignment="1">
      <alignment vertical="center"/>
    </xf>
    <xf numFmtId="0" fontId="77" fillId="0" borderId="266" xfId="0" applyFont="1" applyFill="1" applyBorder="1" applyAlignment="1">
      <alignment vertical="center"/>
    </xf>
    <xf numFmtId="0" fontId="258" fillId="0" borderId="266" xfId="0" applyFont="1" applyFill="1" applyBorder="1" applyAlignment="1">
      <alignment vertical="center"/>
    </xf>
    <xf numFmtId="0" fontId="30" fillId="0" borderId="266" xfId="0" applyFont="1" applyFill="1" applyBorder="1" applyAlignment="1">
      <alignment horizontal="center" vertical="center"/>
    </xf>
    <xf numFmtId="0" fontId="164" fillId="0" borderId="266" xfId="0" applyNumberFormat="1" applyFont="1" applyFill="1" applyBorder="1" applyAlignment="1">
      <alignment vertical="center"/>
    </xf>
    <xf numFmtId="0" fontId="77" fillId="0" borderId="269" xfId="0" applyFont="1" applyFill="1" applyBorder="1" applyAlignment="1">
      <alignment vertical="center"/>
    </xf>
    <xf numFmtId="0" fontId="77" fillId="0" borderId="269" xfId="0" applyFont="1" applyFill="1" applyBorder="1" applyAlignment="1">
      <alignment horizontal="center" vertical="center"/>
    </xf>
    <xf numFmtId="196" fontId="77" fillId="0" borderId="269" xfId="0" applyNumberFormat="1" applyFont="1" applyFill="1" applyBorder="1" applyAlignment="1">
      <alignment vertical="center"/>
    </xf>
    <xf numFmtId="196" fontId="77" fillId="0" borderId="266" xfId="0" applyNumberFormat="1" applyFont="1" applyFill="1" applyBorder="1" applyAlignment="1">
      <alignment vertical="center"/>
    </xf>
    <xf numFmtId="196" fontId="77" fillId="12" borderId="266" xfId="0" applyNumberFormat="1" applyFont="1" applyFill="1" applyBorder="1" applyAlignment="1">
      <alignment vertical="center"/>
    </xf>
    <xf numFmtId="0" fontId="259" fillId="0" borderId="0" xfId="0" applyFont="1" applyFill="1" applyAlignment="1">
      <alignment vertical="center"/>
    </xf>
    <xf numFmtId="0" fontId="5" fillId="0" borderId="0" xfId="0" applyFont="1" applyFill="1" applyAlignment="1"/>
    <xf numFmtId="0" fontId="9" fillId="0" borderId="0" xfId="0" applyFont="1" applyFill="1" applyAlignment="1"/>
    <xf numFmtId="0" fontId="5" fillId="41" borderId="1" xfId="0" applyFont="1" applyFill="1" applyBorder="1" applyAlignment="1"/>
    <xf numFmtId="0" fontId="5" fillId="47" borderId="1" xfId="0" applyFont="1" applyFill="1" applyBorder="1" applyAlignment="1"/>
    <xf numFmtId="0" fontId="5" fillId="41" borderId="0" xfId="0" applyFont="1" applyFill="1" applyAlignment="1"/>
    <xf numFmtId="0" fontId="261" fillId="7" borderId="1" xfId="0" applyFont="1" applyFill="1" applyBorder="1" applyAlignment="1">
      <alignment horizontal="center" vertical="center"/>
    </xf>
    <xf numFmtId="9" fontId="262" fillId="7" borderId="1" xfId="1" applyFont="1" applyFill="1" applyBorder="1" applyAlignment="1">
      <alignment horizontal="center" vertical="center" readingOrder="1"/>
    </xf>
    <xf numFmtId="0" fontId="231" fillId="20" borderId="1" xfId="0" applyFont="1" applyFill="1" applyBorder="1" applyAlignment="1">
      <alignment horizontal="left"/>
    </xf>
    <xf numFmtId="0" fontId="263" fillId="17" borderId="1" xfId="0" applyFont="1" applyFill="1" applyBorder="1" applyAlignment="1">
      <alignment horizontal="center"/>
    </xf>
    <xf numFmtId="0" fontId="264" fillId="20" borderId="1" xfId="0" applyFont="1" applyFill="1" applyBorder="1"/>
    <xf numFmtId="0" fontId="231" fillId="20" borderId="1" xfId="0" applyFont="1" applyFill="1" applyBorder="1"/>
    <xf numFmtId="0" fontId="231" fillId="20" borderId="1" xfId="0" applyFont="1" applyFill="1" applyBorder="1" applyAlignment="1">
      <alignment shrinkToFit="1"/>
    </xf>
    <xf numFmtId="0" fontId="263" fillId="17" borderId="1" xfId="0" applyFont="1" applyFill="1" applyBorder="1" applyAlignment="1">
      <alignment horizontal="center" vertical="center"/>
    </xf>
    <xf numFmtId="0" fontId="264" fillId="20" borderId="1" xfId="0" applyFont="1" applyFill="1" applyBorder="1" applyAlignment="1">
      <alignment horizontal="left"/>
    </xf>
    <xf numFmtId="0" fontId="0" fillId="20" borderId="1" xfId="0" applyFill="1" applyBorder="1"/>
    <xf numFmtId="0" fontId="45" fillId="17" borderId="1" xfId="0" applyFont="1" applyFill="1" applyBorder="1"/>
    <xf numFmtId="0" fontId="0" fillId="20" borderId="1" xfId="0" applyFill="1" applyBorder="1" applyAlignment="1">
      <alignment horizontal="center"/>
    </xf>
    <xf numFmtId="0" fontId="0" fillId="17" borderId="1" xfId="0" applyFill="1" applyBorder="1" applyAlignment="1">
      <alignment horizontal="center"/>
    </xf>
    <xf numFmtId="0" fontId="49" fillId="34" borderId="94" xfId="0" applyFont="1" applyFill="1" applyBorder="1" applyAlignment="1">
      <alignment horizontal="center" vertical="center" wrapText="1"/>
    </xf>
    <xf numFmtId="0" fontId="49" fillId="34" borderId="1" xfId="0" applyFont="1" applyFill="1" applyBorder="1" applyAlignment="1">
      <alignment horizontal="center" vertical="center" wrapText="1"/>
    </xf>
    <xf numFmtId="0" fontId="25" fillId="34" borderId="94" xfId="0" applyFont="1" applyFill="1" applyBorder="1" applyAlignment="1">
      <alignment horizontal="center" vertical="center" wrapText="1"/>
    </xf>
    <xf numFmtId="0" fontId="25" fillId="34" borderId="1" xfId="0" applyFont="1" applyFill="1" applyBorder="1" applyAlignment="1">
      <alignment horizontal="center" vertical="center" wrapText="1"/>
    </xf>
    <xf numFmtId="0" fontId="211" fillId="0" borderId="0" xfId="0" applyFont="1"/>
    <xf numFmtId="176" fontId="0" fillId="0" borderId="0" xfId="0" applyNumberFormat="1"/>
    <xf numFmtId="0" fontId="266" fillId="0" borderId="0" xfId="0" applyFont="1"/>
    <xf numFmtId="0" fontId="267" fillId="0" borderId="0" xfId="0" applyFont="1"/>
    <xf numFmtId="0" fontId="0" fillId="48" borderId="0" xfId="0" applyFill="1"/>
    <xf numFmtId="0" fontId="268" fillId="49" borderId="2" xfId="0" applyFont="1" applyFill="1" applyBorder="1" applyAlignment="1">
      <alignment horizontal="center"/>
    </xf>
    <xf numFmtId="0" fontId="269" fillId="49" borderId="29" xfId="0" applyFont="1" applyFill="1" applyBorder="1"/>
    <xf numFmtId="0" fontId="268" fillId="49" borderId="22" xfId="0" applyFont="1" applyFill="1" applyBorder="1" applyAlignment="1">
      <alignment horizontal="center"/>
    </xf>
    <xf numFmtId="0" fontId="269" fillId="49" borderId="35" xfId="0" applyFont="1" applyFill="1" applyBorder="1"/>
    <xf numFmtId="0" fontId="25" fillId="0" borderId="1" xfId="0" applyFont="1" applyFill="1" applyBorder="1" applyAlignment="1">
      <alignment horizontal="left" vertical="center" shrinkToFit="1"/>
    </xf>
    <xf numFmtId="0" fontId="25" fillId="0" borderId="1" xfId="0" applyFont="1" applyFill="1" applyBorder="1" applyAlignment="1">
      <alignment horizontal="center" vertical="center" shrinkToFit="1"/>
    </xf>
    <xf numFmtId="0" fontId="271" fillId="0" borderId="1" xfId="0" applyFont="1" applyFill="1" applyBorder="1" applyAlignment="1">
      <alignment horizontal="center" vertical="center" shrinkToFit="1"/>
    </xf>
    <xf numFmtId="0" fontId="65" fillId="0" borderId="1" xfId="0" applyFont="1" applyFill="1" applyBorder="1" applyAlignment="1">
      <alignment vertical="center"/>
    </xf>
    <xf numFmtId="0" fontId="272" fillId="0" borderId="0" xfId="0" applyFont="1" applyBorder="1" applyAlignment="1">
      <alignment vertical="center"/>
    </xf>
    <xf numFmtId="0" fontId="272" fillId="0" borderId="0" xfId="0" applyFont="1" applyBorder="1" applyAlignment="1">
      <alignment horizontal="center" vertical="center"/>
    </xf>
    <xf numFmtId="0" fontId="272" fillId="0" borderId="1" xfId="0" applyFont="1" applyBorder="1" applyAlignment="1">
      <alignment vertical="center"/>
    </xf>
    <xf numFmtId="0" fontId="274" fillId="50" borderId="1" xfId="0" applyFont="1" applyFill="1" applyBorder="1" applyAlignment="1">
      <alignment horizontal="center" vertical="center"/>
    </xf>
    <xf numFmtId="0" fontId="272" fillId="0" borderId="1" xfId="0" applyFont="1" applyBorder="1" applyAlignment="1">
      <alignment horizontal="center" vertical="center"/>
    </xf>
    <xf numFmtId="0" fontId="272" fillId="51" borderId="1" xfId="0" applyFont="1" applyFill="1" applyBorder="1" applyAlignment="1">
      <alignment horizontal="center" vertical="center"/>
    </xf>
    <xf numFmtId="0" fontId="272" fillId="50" borderId="1" xfId="0" applyFont="1" applyFill="1" applyBorder="1" applyAlignment="1">
      <alignment horizontal="center" vertical="center"/>
    </xf>
    <xf numFmtId="0" fontId="272" fillId="52" borderId="1" xfId="0" applyFont="1" applyFill="1" applyBorder="1" applyAlignment="1">
      <alignment horizontal="center" vertical="center"/>
    </xf>
    <xf numFmtId="0" fontId="272" fillId="0" borderId="1" xfId="0" applyFont="1" applyFill="1" applyBorder="1" applyAlignment="1">
      <alignment horizontal="center" vertical="center"/>
    </xf>
    <xf numFmtId="0" fontId="272" fillId="53" borderId="1" xfId="0" applyFont="1" applyFill="1" applyBorder="1" applyAlignment="1">
      <alignment horizontal="center" vertical="center"/>
    </xf>
    <xf numFmtId="0" fontId="0" fillId="0" borderId="2" xfId="0" applyBorder="1"/>
    <xf numFmtId="0" fontId="0" fillId="0" borderId="29" xfId="0" applyBorder="1"/>
    <xf numFmtId="0" fontId="0" fillId="0" borderId="4" xfId="0" applyBorder="1"/>
    <xf numFmtId="0" fontId="0" fillId="2" borderId="30" xfId="0" applyFill="1" applyBorder="1"/>
    <xf numFmtId="0" fontId="0" fillId="2" borderId="0" xfId="0" applyFill="1"/>
    <xf numFmtId="0" fontId="0" fillId="54" borderId="4" xfId="0" applyFill="1" applyBorder="1"/>
    <xf numFmtId="0" fontId="0" fillId="54" borderId="30" xfId="0" applyFill="1" applyBorder="1"/>
    <xf numFmtId="0" fontId="0" fillId="54" borderId="0" xfId="0" applyFill="1"/>
    <xf numFmtId="0" fontId="0" fillId="54" borderId="22" xfId="0" applyFill="1" applyBorder="1"/>
    <xf numFmtId="0" fontId="0" fillId="54" borderId="35" xfId="0" applyFill="1" applyBorder="1"/>
    <xf numFmtId="0" fontId="0" fillId="0" borderId="3" xfId="0" applyBorder="1"/>
    <xf numFmtId="0" fontId="173" fillId="0" borderId="0" xfId="0" applyFont="1" applyFill="1" applyAlignment="1" applyProtection="1">
      <protection hidden="1"/>
    </xf>
    <xf numFmtId="0" fontId="173" fillId="0" borderId="0" xfId="0" applyFont="1" applyFill="1" applyBorder="1" applyAlignment="1" applyProtection="1">
      <protection hidden="1"/>
    </xf>
    <xf numFmtId="0" fontId="173" fillId="0" borderId="77" xfId="0" applyFont="1" applyFill="1" applyBorder="1" applyAlignment="1" applyProtection="1">
      <protection hidden="1"/>
    </xf>
    <xf numFmtId="0" fontId="173" fillId="0" borderId="86" xfId="0" applyFont="1" applyFill="1" applyBorder="1" applyAlignment="1" applyProtection="1">
      <protection hidden="1"/>
    </xf>
    <xf numFmtId="0" fontId="173" fillId="0" borderId="270" xfId="0" applyFont="1" applyFill="1" applyBorder="1" applyAlignment="1" applyProtection="1">
      <protection hidden="1"/>
    </xf>
    <xf numFmtId="0" fontId="173" fillId="0" borderId="78" xfId="0" applyFont="1" applyFill="1" applyBorder="1" applyAlignment="1" applyProtection="1">
      <protection hidden="1"/>
    </xf>
    <xf numFmtId="0" fontId="173" fillId="0" borderId="271" xfId="0" applyFont="1" applyFill="1" applyBorder="1" applyAlignment="1" applyProtection="1">
      <protection hidden="1"/>
    </xf>
    <xf numFmtId="0" fontId="173" fillId="0" borderId="57" xfId="0" applyFont="1" applyFill="1" applyBorder="1" applyAlignment="1" applyProtection="1">
      <protection hidden="1"/>
    </xf>
    <xf numFmtId="0" fontId="173" fillId="0" borderId="58" xfId="0" applyFont="1" applyFill="1" applyBorder="1" applyAlignment="1" applyProtection="1">
      <protection hidden="1"/>
    </xf>
    <xf numFmtId="0" fontId="173" fillId="0" borderId="272" xfId="0" applyFont="1" applyFill="1" applyBorder="1" applyAlignment="1" applyProtection="1">
      <protection hidden="1"/>
    </xf>
    <xf numFmtId="0" fontId="14" fillId="0" borderId="0" xfId="0" applyFont="1" applyFill="1" applyAlignment="1">
      <alignment vertical="center"/>
    </xf>
    <xf numFmtId="0" fontId="275" fillId="0" borderId="0" xfId="0" applyFont="1" applyFill="1" applyAlignment="1">
      <alignment vertical="center"/>
    </xf>
    <xf numFmtId="197" fontId="14" fillId="0" borderId="0" xfId="0" applyNumberFormat="1" applyFont="1" applyFill="1" applyAlignment="1">
      <alignment vertical="center"/>
    </xf>
    <xf numFmtId="0" fontId="276" fillId="0" borderId="0" xfId="0" applyFont="1" applyFill="1" applyAlignment="1">
      <alignment vertical="center"/>
    </xf>
    <xf numFmtId="0" fontId="14" fillId="57" borderId="38" xfId="0" applyFont="1" applyFill="1" applyBorder="1" applyAlignment="1">
      <alignment horizontal="center" vertical="center"/>
    </xf>
    <xf numFmtId="0" fontId="280" fillId="57" borderId="44" xfId="0" applyFont="1" applyFill="1" applyBorder="1" applyAlignment="1">
      <alignment horizontal="center" vertical="center"/>
    </xf>
    <xf numFmtId="0" fontId="14" fillId="57" borderId="44" xfId="0" applyFont="1" applyFill="1" applyBorder="1" applyAlignment="1">
      <alignment vertical="center"/>
    </xf>
    <xf numFmtId="0" fontId="14" fillId="57" borderId="39" xfId="0" applyFont="1" applyFill="1" applyBorder="1" applyAlignment="1">
      <alignment horizontal="center" vertical="center"/>
    </xf>
    <xf numFmtId="0" fontId="280" fillId="57" borderId="1" xfId="0" applyFont="1" applyFill="1" applyBorder="1" applyAlignment="1">
      <alignment horizontal="center" vertical="center"/>
    </xf>
    <xf numFmtId="0" fontId="14" fillId="57" borderId="36" xfId="0" applyFont="1" applyFill="1" applyBorder="1" applyAlignment="1">
      <alignment vertical="center"/>
    </xf>
    <xf numFmtId="0" fontId="14" fillId="57" borderId="40" xfId="0" applyFont="1" applyFill="1" applyBorder="1" applyAlignment="1">
      <alignment horizontal="center" vertical="center"/>
    </xf>
    <xf numFmtId="181" fontId="281" fillId="57" borderId="47" xfId="0" applyNumberFormat="1" applyFont="1" applyFill="1" applyBorder="1" applyAlignment="1">
      <alignment horizontal="center" vertical="center"/>
    </xf>
    <xf numFmtId="0" fontId="14" fillId="57" borderId="47" xfId="0" applyFont="1" applyFill="1" applyBorder="1" applyAlignment="1">
      <alignment horizontal="center" vertical="center"/>
    </xf>
    <xf numFmtId="197" fontId="280" fillId="57" borderId="47" xfId="0" applyNumberFormat="1" applyFont="1" applyFill="1" applyBorder="1" applyAlignment="1">
      <alignment horizontal="center" vertical="center"/>
    </xf>
    <xf numFmtId="0" fontId="14" fillId="57" borderId="48" xfId="0" applyFont="1" applyFill="1" applyBorder="1" applyAlignment="1">
      <alignment horizontal="center" vertical="center"/>
    </xf>
    <xf numFmtId="0" fontId="280" fillId="0" borderId="0" xfId="0" applyFont="1" applyFill="1" applyAlignment="1">
      <alignment vertical="center"/>
    </xf>
    <xf numFmtId="0" fontId="14" fillId="58" borderId="38" xfId="0" applyFont="1" applyFill="1" applyBorder="1" applyAlignment="1">
      <alignment horizontal="center" vertical="center"/>
    </xf>
    <xf numFmtId="0" fontId="280" fillId="58" borderId="44" xfId="0" applyFont="1" applyFill="1" applyBorder="1" applyAlignment="1">
      <alignment horizontal="center" vertical="center"/>
    </xf>
    <xf numFmtId="0" fontId="14" fillId="58" borderId="95" xfId="0" applyFont="1" applyFill="1" applyBorder="1" applyAlignment="1">
      <alignment horizontal="center" vertical="center"/>
    </xf>
    <xf numFmtId="0" fontId="14" fillId="58" borderId="39" xfId="0" applyFont="1" applyFill="1" applyBorder="1" applyAlignment="1">
      <alignment horizontal="center" vertical="center"/>
    </xf>
    <xf numFmtId="0" fontId="280" fillId="58" borderId="1" xfId="0" applyFont="1" applyFill="1" applyBorder="1" applyAlignment="1">
      <alignment horizontal="center" vertical="center"/>
    </xf>
    <xf numFmtId="0" fontId="14" fillId="58" borderId="63" xfId="0" applyFont="1" applyFill="1" applyBorder="1" applyAlignment="1">
      <alignment horizontal="center" vertical="center"/>
    </xf>
    <xf numFmtId="0" fontId="14" fillId="58" borderId="40" xfId="0" applyFont="1" applyFill="1" applyBorder="1" applyAlignment="1">
      <alignment horizontal="center" vertical="center"/>
    </xf>
    <xf numFmtId="0" fontId="280" fillId="58" borderId="47" xfId="0" applyFont="1" applyFill="1" applyBorder="1" applyAlignment="1">
      <alignment horizontal="center" vertical="center"/>
    </xf>
    <xf numFmtId="0" fontId="14" fillId="57" borderId="52" xfId="0" applyFont="1" applyFill="1" applyBorder="1" applyAlignment="1">
      <alignment horizontal="center" vertical="center"/>
    </xf>
    <xf numFmtId="0" fontId="280" fillId="57" borderId="36" xfId="0" applyFont="1" applyFill="1" applyBorder="1" applyAlignment="1">
      <alignment horizontal="center" vertical="center"/>
    </xf>
    <xf numFmtId="0" fontId="14" fillId="57" borderId="119" xfId="0" applyFont="1" applyFill="1" applyBorder="1" applyAlignment="1">
      <alignment horizontal="center" vertical="center"/>
    </xf>
    <xf numFmtId="0" fontId="280" fillId="57" borderId="63" xfId="0" applyFont="1" applyFill="1" applyBorder="1" applyAlignment="1">
      <alignment horizontal="center" vertical="center"/>
    </xf>
    <xf numFmtId="0" fontId="280" fillId="57" borderId="47" xfId="0" applyFont="1" applyFill="1" applyBorder="1" applyAlignment="1">
      <alignment horizontal="center" vertical="center"/>
    </xf>
    <xf numFmtId="0" fontId="14" fillId="58" borderId="38" xfId="1" applyNumberFormat="1" applyFont="1" applyFill="1" applyBorder="1" applyAlignment="1">
      <alignment horizontal="center" vertical="center"/>
    </xf>
    <xf numFmtId="0" fontId="14" fillId="58" borderId="39" xfId="1" applyNumberFormat="1" applyFont="1" applyFill="1" applyBorder="1" applyAlignment="1">
      <alignment horizontal="center" vertical="center"/>
    </xf>
    <xf numFmtId="0" fontId="14" fillId="58" borderId="40" xfId="1" applyNumberFormat="1" applyFont="1" applyFill="1" applyBorder="1" applyAlignment="1">
      <alignment horizontal="center" vertical="center"/>
    </xf>
    <xf numFmtId="0" fontId="14" fillId="58" borderId="47" xfId="0" applyFont="1" applyFill="1" applyBorder="1" applyAlignment="1">
      <alignment horizontal="center" vertical="center"/>
    </xf>
    <xf numFmtId="0" fontId="14" fillId="57" borderId="38" xfId="0" applyFont="1" applyFill="1" applyBorder="1" applyAlignment="1">
      <alignment horizontal="center" vertical="center" wrapText="1"/>
    </xf>
    <xf numFmtId="0" fontId="14" fillId="57" borderId="119" xfId="0" applyFont="1" applyFill="1" applyBorder="1" applyAlignment="1">
      <alignment horizontal="center" vertical="center" wrapText="1"/>
    </xf>
    <xf numFmtId="0" fontId="14" fillId="57" borderId="1" xfId="0" applyFont="1" applyFill="1" applyBorder="1" applyAlignment="1">
      <alignment vertical="center"/>
    </xf>
    <xf numFmtId="0" fontId="14" fillId="57" borderId="96" xfId="0" applyFont="1" applyFill="1" applyBorder="1" applyAlignment="1">
      <alignment vertical="center"/>
    </xf>
    <xf numFmtId="0" fontId="5" fillId="0" borderId="0" xfId="0" applyFont="1" applyFill="1" applyAlignment="1">
      <alignment vertical="center"/>
    </xf>
    <xf numFmtId="189" fontId="14" fillId="0" borderId="0" xfId="0" applyNumberFormat="1" applyFont="1" applyFill="1" applyAlignment="1">
      <alignment vertical="center"/>
    </xf>
    <xf numFmtId="0" fontId="14" fillId="5" borderId="120" xfId="0" applyFont="1" applyFill="1" applyBorder="1" applyAlignment="1">
      <alignment vertical="center" wrapText="1"/>
    </xf>
    <xf numFmtId="0" fontId="14" fillId="5" borderId="273" xfId="0" applyFont="1" applyFill="1" applyBorder="1" applyAlignment="1">
      <alignment vertical="center" wrapText="1"/>
    </xf>
    <xf numFmtId="0" fontId="207" fillId="0" borderId="0" xfId="0" applyFont="1" applyFill="1" applyBorder="1" applyAlignment="1"/>
    <xf numFmtId="0" fontId="282" fillId="2" borderId="0" xfId="0" applyFont="1" applyFill="1" applyBorder="1" applyAlignment="1"/>
    <xf numFmtId="0" fontId="164" fillId="2" borderId="0" xfId="0" applyFont="1" applyFill="1" applyBorder="1" applyAlignment="1"/>
    <xf numFmtId="0" fontId="164" fillId="2" borderId="115" xfId="0" applyFont="1" applyFill="1" applyBorder="1" applyAlignment="1"/>
    <xf numFmtId="0" fontId="284" fillId="2" borderId="0" xfId="0" applyFont="1" applyFill="1" applyBorder="1" applyAlignment="1"/>
    <xf numFmtId="0" fontId="284" fillId="2" borderId="119" xfId="0" applyFont="1" applyFill="1" applyBorder="1" applyAlignment="1"/>
    <xf numFmtId="0" fontId="284" fillId="2" borderId="57" xfId="0" applyFont="1" applyFill="1" applyBorder="1" applyAlignment="1">
      <alignment horizontal="center"/>
    </xf>
    <xf numFmtId="0" fontId="284" fillId="2" borderId="58" xfId="0" applyFont="1" applyFill="1" applyBorder="1" applyAlignment="1">
      <alignment horizontal="center"/>
    </xf>
    <xf numFmtId="0" fontId="207" fillId="0" borderId="38" xfId="0" applyFont="1" applyFill="1" applyBorder="1" applyAlignment="1"/>
    <xf numFmtId="0" fontId="207" fillId="0" borderId="44" xfId="0" applyFont="1" applyFill="1" applyBorder="1" applyAlignment="1"/>
    <xf numFmtId="186" fontId="207" fillId="0" borderId="44" xfId="0" applyNumberFormat="1" applyFont="1" applyFill="1" applyBorder="1" applyAlignment="1">
      <alignment horizontal="right"/>
    </xf>
    <xf numFmtId="0" fontId="207" fillId="0" borderId="39" xfId="0" applyFont="1" applyFill="1" applyBorder="1" applyAlignment="1"/>
    <xf numFmtId="0" fontId="207" fillId="0" borderId="1" xfId="0" applyFont="1" applyFill="1" applyBorder="1" applyAlignment="1"/>
    <xf numFmtId="186" fontId="207" fillId="0" borderId="1" xfId="0" applyNumberFormat="1" applyFont="1" applyFill="1" applyBorder="1" applyAlignment="1">
      <alignment horizontal="right"/>
    </xf>
    <xf numFmtId="0" fontId="207" fillId="0" borderId="1" xfId="0" applyFont="1" applyFill="1" applyBorder="1" applyAlignment="1">
      <alignment vertical="center" wrapText="1"/>
    </xf>
    <xf numFmtId="0" fontId="207" fillId="0" borderId="1" xfId="0" applyFont="1" applyFill="1" applyBorder="1" applyAlignment="1">
      <alignment vertical="center"/>
    </xf>
    <xf numFmtId="186" fontId="207" fillId="0" borderId="1" xfId="0" applyNumberFormat="1" applyFont="1" applyFill="1" applyBorder="1" applyAlignment="1">
      <alignment vertical="center"/>
    </xf>
    <xf numFmtId="186" fontId="207" fillId="0" borderId="1" xfId="0" applyNumberFormat="1" applyFont="1" applyFill="1" applyBorder="1" applyAlignment="1">
      <alignment vertical="center" wrapText="1"/>
    </xf>
    <xf numFmtId="49" fontId="207" fillId="0" borderId="1" xfId="0" applyNumberFormat="1" applyFont="1" applyFill="1" applyBorder="1" applyAlignment="1"/>
    <xf numFmtId="186" fontId="207" fillId="0" borderId="1" xfId="0" applyNumberFormat="1" applyFont="1" applyFill="1" applyBorder="1" applyAlignment="1"/>
    <xf numFmtId="0" fontId="284" fillId="2" borderId="30" xfId="0" applyFont="1" applyFill="1" applyBorder="1" applyAlignment="1">
      <alignment horizontal="center"/>
    </xf>
    <xf numFmtId="186" fontId="207" fillId="0" borderId="44" xfId="0" applyNumberFormat="1" applyFont="1" applyFill="1" applyBorder="1" applyAlignment="1"/>
    <xf numFmtId="186" fontId="284" fillId="0" borderId="1" xfId="0" applyNumberFormat="1" applyFont="1" applyFill="1" applyBorder="1" applyAlignment="1"/>
    <xf numFmtId="0" fontId="164" fillId="2" borderId="116" xfId="0" applyFont="1" applyFill="1" applyBorder="1" applyAlignment="1"/>
    <xf numFmtId="0" fontId="284" fillId="2" borderId="120" xfId="0" applyFont="1" applyFill="1" applyBorder="1" applyAlignment="1">
      <alignment horizontal="center"/>
    </xf>
    <xf numFmtId="186" fontId="207" fillId="0" borderId="45" xfId="0" applyNumberFormat="1" applyFont="1" applyFill="1" applyBorder="1" applyAlignment="1">
      <alignment horizontal="right"/>
    </xf>
    <xf numFmtId="186" fontId="207" fillId="0" borderId="46" xfId="0" applyNumberFormat="1" applyFont="1" applyFill="1" applyBorder="1" applyAlignment="1">
      <alignment horizontal="right"/>
    </xf>
    <xf numFmtId="186" fontId="207" fillId="0" borderId="46" xfId="0" applyNumberFormat="1" applyFont="1" applyFill="1" applyBorder="1" applyAlignment="1"/>
    <xf numFmtId="0" fontId="207" fillId="0" borderId="46" xfId="0" applyFont="1" applyFill="1" applyBorder="1" applyAlignment="1"/>
    <xf numFmtId="0" fontId="207" fillId="10" borderId="39" xfId="0" applyFont="1" applyFill="1" applyBorder="1" applyAlignment="1"/>
    <xf numFmtId="49" fontId="207" fillId="10" borderId="1" xfId="0" applyNumberFormat="1" applyFont="1" applyFill="1" applyBorder="1" applyAlignment="1"/>
    <xf numFmtId="186" fontId="207" fillId="10" borderId="1" xfId="0" applyNumberFormat="1" applyFont="1" applyFill="1" applyBorder="1" applyAlignment="1"/>
    <xf numFmtId="186" fontId="207" fillId="10" borderId="46" xfId="0" applyNumberFormat="1" applyFont="1" applyFill="1" applyBorder="1" applyAlignment="1"/>
    <xf numFmtId="0" fontId="207" fillId="0" borderId="40" xfId="0" applyFont="1" applyFill="1" applyBorder="1" applyAlignment="1"/>
    <xf numFmtId="0" fontId="207" fillId="0" borderId="47" xfId="0" applyFont="1" applyFill="1" applyBorder="1" applyAlignment="1">
      <alignment vertical="center" wrapText="1"/>
    </xf>
    <xf numFmtId="0" fontId="207" fillId="0" borderId="47" xfId="0" applyFont="1" applyFill="1" applyBorder="1" applyAlignment="1"/>
    <xf numFmtId="186" fontId="207" fillId="0" borderId="47" xfId="0" applyNumberFormat="1" applyFont="1" applyFill="1" applyBorder="1" applyAlignment="1"/>
    <xf numFmtId="186" fontId="207" fillId="0" borderId="48" xfId="0" applyNumberFormat="1" applyFont="1" applyFill="1" applyBorder="1" applyAlignment="1"/>
    <xf numFmtId="0" fontId="163" fillId="0" borderId="0" xfId="0" applyFont="1" applyFill="1" applyBorder="1" applyAlignment="1">
      <alignment horizontal="center" vertical="center"/>
    </xf>
    <xf numFmtId="0" fontId="163" fillId="0" borderId="0" xfId="0" applyFont="1" applyFill="1" applyBorder="1" applyAlignment="1">
      <alignment vertical="center"/>
    </xf>
    <xf numFmtId="0" fontId="286" fillId="54" borderId="1" xfId="0" applyFont="1" applyFill="1" applyBorder="1" applyAlignment="1">
      <alignment horizontal="center" vertical="center" wrapText="1"/>
    </xf>
    <xf numFmtId="0" fontId="287" fillId="54" borderId="1" xfId="0" applyFont="1" applyFill="1" applyBorder="1" applyAlignment="1">
      <alignment horizontal="center" vertical="center" wrapText="1"/>
    </xf>
    <xf numFmtId="0" fontId="163" fillId="0" borderId="1" xfId="0" applyFont="1" applyFill="1" applyBorder="1" applyAlignment="1">
      <alignment horizontal="center" vertical="center"/>
    </xf>
    <xf numFmtId="0" fontId="163" fillId="54" borderId="1" xfId="0" applyFont="1" applyFill="1" applyBorder="1" applyAlignment="1">
      <alignment horizontal="center" vertical="center"/>
    </xf>
    <xf numFmtId="0" fontId="163" fillId="54" borderId="0" xfId="0" applyFont="1" applyFill="1" applyBorder="1" applyAlignment="1">
      <alignment vertical="center"/>
    </xf>
    <xf numFmtId="0" fontId="163" fillId="21" borderId="1" xfId="0" applyFont="1" applyFill="1" applyBorder="1" applyAlignment="1">
      <alignment vertical="center"/>
    </xf>
    <xf numFmtId="0" fontId="163" fillId="12" borderId="1" xfId="0" applyFont="1" applyFill="1" applyBorder="1" applyAlignment="1">
      <alignment horizontal="center" vertical="center"/>
    </xf>
    <xf numFmtId="0" fontId="163" fillId="15" borderId="1" xfId="0" applyFont="1" applyFill="1" applyBorder="1" applyAlignment="1" applyProtection="1">
      <alignment horizontal="center" vertical="center"/>
      <protection locked="0"/>
    </xf>
    <xf numFmtId="0" fontId="163" fillId="12" borderId="1" xfId="0" applyFont="1" applyFill="1" applyBorder="1" applyAlignment="1">
      <alignment vertical="center"/>
    </xf>
    <xf numFmtId="178" fontId="163" fillId="24" borderId="1" xfId="0" applyNumberFormat="1" applyFont="1" applyFill="1" applyBorder="1" applyAlignment="1">
      <alignment horizontal="center" vertical="center"/>
    </xf>
    <xf numFmtId="0" fontId="163" fillId="0" borderId="0" xfId="0" applyFont="1" applyFill="1" applyBorder="1" applyAlignment="1" applyProtection="1">
      <alignment vertical="center"/>
    </xf>
    <xf numFmtId="0" fontId="163" fillId="11" borderId="1" xfId="0" applyFont="1" applyFill="1" applyBorder="1" applyAlignment="1">
      <alignment vertical="center"/>
    </xf>
    <xf numFmtId="0" fontId="30" fillId="0" borderId="0" xfId="5" applyFont="1" applyAlignment="1"/>
    <xf numFmtId="0" fontId="163" fillId="0" borderId="0" xfId="5" applyFill="1"/>
    <xf numFmtId="0" fontId="163" fillId="0" borderId="0" xfId="5"/>
    <xf numFmtId="0" fontId="288" fillId="0" borderId="0" xfId="5" applyFont="1" applyAlignment="1">
      <alignment vertical="center"/>
    </xf>
    <xf numFmtId="0" fontId="289" fillId="23" borderId="0" xfId="5" applyFont="1" applyFill="1"/>
    <xf numFmtId="0" fontId="163" fillId="23" borderId="0" xfId="5" applyFill="1"/>
    <xf numFmtId="0" fontId="75" fillId="0" borderId="0" xfId="5" applyFont="1"/>
    <xf numFmtId="0" fontId="20" fillId="0" borderId="0" xfId="5" applyFont="1"/>
    <xf numFmtId="0" fontId="45" fillId="0" borderId="0" xfId="5" applyFont="1"/>
    <xf numFmtId="0" fontId="45" fillId="0" borderId="0" xfId="5" applyFont="1" applyAlignment="1">
      <alignment horizontal="center"/>
    </xf>
    <xf numFmtId="0" fontId="131" fillId="0" borderId="0" xfId="5" applyFont="1"/>
    <xf numFmtId="0" fontId="53" fillId="0" borderId="0" xfId="5" applyFont="1"/>
    <xf numFmtId="0" fontId="243" fillId="0" borderId="0" xfId="5" applyFont="1" applyBorder="1" applyAlignment="1">
      <alignment horizontal="right"/>
    </xf>
    <xf numFmtId="0" fontId="163" fillId="0" borderId="0" xfId="5" applyFont="1"/>
    <xf numFmtId="0" fontId="152" fillId="0" borderId="0" xfId="5" applyFont="1"/>
    <xf numFmtId="0" fontId="60" fillId="0" borderId="0" xfId="5" applyFont="1"/>
    <xf numFmtId="0" fontId="163" fillId="0" borderId="0" xfId="5" applyAlignment="1">
      <alignment horizontal="right"/>
    </xf>
    <xf numFmtId="0" fontId="14" fillId="0" borderId="0" xfId="8" applyFont="1">
      <alignment vertical="center"/>
    </xf>
    <xf numFmtId="0" fontId="275" fillId="0" borderId="0" xfId="8" applyFont="1">
      <alignment vertical="center"/>
    </xf>
    <xf numFmtId="197" fontId="14" fillId="0" borderId="0" xfId="8" applyNumberFormat="1" applyFont="1">
      <alignment vertical="center"/>
    </xf>
    <xf numFmtId="0" fontId="14" fillId="0" borderId="0" xfId="8" applyFont="1" applyAlignment="1">
      <alignment vertical="center"/>
    </xf>
    <xf numFmtId="0" fontId="276" fillId="0" borderId="0" xfId="8" applyFont="1" applyAlignment="1">
      <alignment vertical="center"/>
    </xf>
    <xf numFmtId="0" fontId="14" fillId="60" borderId="38" xfId="8" applyFont="1" applyFill="1" applyBorder="1" applyAlignment="1">
      <alignment horizontal="center" vertical="center"/>
    </xf>
    <xf numFmtId="0" fontId="280" fillId="60" borderId="44" xfId="8" applyFont="1" applyFill="1" applyBorder="1" applyAlignment="1">
      <alignment horizontal="center" vertical="center"/>
    </xf>
    <xf numFmtId="0" fontId="14" fillId="60" borderId="44" xfId="8" applyFont="1" applyFill="1" applyBorder="1" applyAlignment="1">
      <alignment vertical="center"/>
    </xf>
    <xf numFmtId="0" fontId="14" fillId="60" borderId="39" xfId="8" applyFont="1" applyFill="1" applyBorder="1" applyAlignment="1">
      <alignment horizontal="center" vertical="center"/>
    </xf>
    <xf numFmtId="0" fontId="280" fillId="60" borderId="1" xfId="8" applyFont="1" applyFill="1" applyBorder="1" applyAlignment="1">
      <alignment horizontal="center" vertical="center"/>
    </xf>
    <xf numFmtId="0" fontId="14" fillId="60" borderId="1" xfId="8" applyFont="1" applyFill="1" applyBorder="1" applyAlignment="1">
      <alignment vertical="center"/>
    </xf>
    <xf numFmtId="0" fontId="14" fillId="60" borderId="40" xfId="8" applyFont="1" applyFill="1" applyBorder="1" applyAlignment="1">
      <alignment horizontal="center" vertical="center"/>
    </xf>
    <xf numFmtId="0" fontId="280" fillId="60" borderId="47" xfId="8" applyFont="1" applyFill="1" applyBorder="1" applyAlignment="1">
      <alignment horizontal="center" vertical="center"/>
    </xf>
    <xf numFmtId="0" fontId="14" fillId="60" borderId="96" xfId="8" applyFont="1" applyFill="1" applyBorder="1" applyAlignment="1">
      <alignment vertical="center"/>
    </xf>
    <xf numFmtId="0" fontId="280" fillId="0" borderId="0" xfId="8" applyFont="1">
      <alignment vertical="center"/>
    </xf>
    <xf numFmtId="0" fontId="14" fillId="58" borderId="38" xfId="8" applyFont="1" applyFill="1" applyBorder="1" applyAlignment="1">
      <alignment horizontal="center" vertical="center" wrapText="1"/>
    </xf>
    <xf numFmtId="0" fontId="280" fillId="58" borderId="44" xfId="8" applyFont="1" applyFill="1" applyBorder="1" applyAlignment="1">
      <alignment horizontal="center" vertical="center"/>
    </xf>
    <xf numFmtId="0" fontId="14" fillId="58" borderId="44" xfId="8" applyFont="1" applyFill="1" applyBorder="1" applyAlignment="1">
      <alignment vertical="center"/>
    </xf>
    <xf numFmtId="0" fontId="14" fillId="58" borderId="40" xfId="8" applyFont="1" applyFill="1" applyBorder="1" applyAlignment="1">
      <alignment horizontal="center" vertical="center"/>
    </xf>
    <xf numFmtId="0" fontId="280" fillId="58" borderId="47" xfId="8" applyFont="1" applyFill="1" applyBorder="1" applyAlignment="1">
      <alignment horizontal="center" vertical="center"/>
    </xf>
    <xf numFmtId="0" fontId="14" fillId="58" borderId="96" xfId="8" applyFont="1" applyFill="1" applyBorder="1" applyAlignment="1">
      <alignment vertical="center"/>
    </xf>
    <xf numFmtId="0" fontId="14" fillId="60" borderId="39" xfId="8" applyFont="1" applyFill="1" applyBorder="1" applyAlignment="1">
      <alignment horizontal="center" vertical="center" wrapText="1"/>
    </xf>
    <xf numFmtId="0" fontId="14" fillId="60" borderId="119" xfId="8" applyFont="1" applyFill="1" applyBorder="1" applyAlignment="1">
      <alignment horizontal="center" vertical="center"/>
    </xf>
    <xf numFmtId="0" fontId="280" fillId="60" borderId="63" xfId="8" applyFont="1" applyFill="1" applyBorder="1" applyAlignment="1">
      <alignment horizontal="center" vertical="center"/>
    </xf>
    <xf numFmtId="0" fontId="14" fillId="58" borderId="38" xfId="8" applyFont="1" applyFill="1" applyBorder="1" applyAlignment="1">
      <alignment horizontal="center" vertical="center"/>
    </xf>
    <xf numFmtId="0" fontId="14" fillId="58" borderId="39" xfId="8" applyFont="1" applyFill="1" applyBorder="1" applyAlignment="1">
      <alignment horizontal="center" vertical="center" wrapText="1"/>
    </xf>
    <xf numFmtId="0" fontId="280" fillId="58" borderId="1" xfId="8" applyFont="1" applyFill="1" applyBorder="1" applyAlignment="1">
      <alignment horizontal="center" vertical="center"/>
    </xf>
    <xf numFmtId="0" fontId="14" fillId="58" borderId="1" xfId="8" applyFont="1" applyFill="1" applyBorder="1" applyAlignment="1">
      <alignment vertical="center"/>
    </xf>
    <xf numFmtId="0" fontId="14" fillId="58" borderId="39" xfId="8" applyFont="1" applyFill="1" applyBorder="1" applyAlignment="1">
      <alignment horizontal="center" vertical="center"/>
    </xf>
    <xf numFmtId="0" fontId="14" fillId="0" borderId="0" xfId="8" applyFont="1" applyAlignment="1">
      <alignment horizontal="left" vertical="center"/>
    </xf>
    <xf numFmtId="0" fontId="5" fillId="0" borderId="0" xfId="8">
      <alignment vertical="center"/>
    </xf>
    <xf numFmtId="0" fontId="5" fillId="0" borderId="0" xfId="0" applyFont="1" applyFill="1" applyAlignment="1">
      <alignment vertical="center" wrapText="1"/>
    </xf>
    <xf numFmtId="0" fontId="290" fillId="0" borderId="0" xfId="0" applyFont="1" applyFill="1" applyAlignment="1">
      <alignment vertical="center"/>
    </xf>
    <xf numFmtId="0" fontId="5" fillId="0" borderId="0" xfId="0" applyFont="1" applyFill="1" applyAlignment="1">
      <alignment horizontal="center" vertical="center"/>
    </xf>
    <xf numFmtId="0" fontId="5" fillId="0" borderId="0" xfId="0" applyFont="1" applyFill="1" applyAlignment="1">
      <alignment horizontal="left" vertical="center"/>
    </xf>
    <xf numFmtId="0" fontId="292" fillId="2" borderId="1" xfId="0" applyFont="1" applyFill="1" applyBorder="1" applyAlignment="1">
      <alignment horizontal="center" vertical="center" wrapText="1"/>
    </xf>
    <xf numFmtId="0" fontId="290" fillId="0" borderId="1" xfId="0" applyFont="1" applyFill="1" applyBorder="1" applyAlignment="1">
      <alignment horizontal="center" vertical="center"/>
    </xf>
    <xf numFmtId="0" fontId="290" fillId="0" borderId="1" xfId="0" applyFont="1" applyFill="1" applyBorder="1" applyAlignment="1">
      <alignment horizontal="left" vertical="center"/>
    </xf>
    <xf numFmtId="0" fontId="293" fillId="0" borderId="1" xfId="0" applyFont="1" applyFill="1" applyBorder="1" applyAlignment="1">
      <alignment horizontal="center" vertical="center"/>
    </xf>
    <xf numFmtId="0" fontId="290" fillId="61" borderId="1" xfId="0" applyFont="1" applyFill="1" applyBorder="1" applyAlignment="1">
      <alignment horizontal="left" vertical="center"/>
    </xf>
    <xf numFmtId="0" fontId="290" fillId="61" borderId="1" xfId="0" applyFont="1" applyFill="1" applyBorder="1" applyAlignment="1">
      <alignment horizontal="center" vertical="center"/>
    </xf>
    <xf numFmtId="0" fontId="163" fillId="0" borderId="0" xfId="0" applyFont="1" applyFill="1" applyBorder="1" applyAlignment="1">
      <alignment horizontal="left" vertical="center"/>
    </xf>
    <xf numFmtId="11" fontId="163" fillId="0" borderId="0" xfId="0" applyNumberFormat="1" applyFont="1" applyFill="1" applyBorder="1" applyAlignment="1">
      <alignment horizontal="center" vertical="center"/>
    </xf>
    <xf numFmtId="176" fontId="163" fillId="0" borderId="0" xfId="0" applyNumberFormat="1" applyFont="1" applyFill="1" applyBorder="1" applyAlignment="1">
      <alignment horizontal="center" vertical="center"/>
    </xf>
    <xf numFmtId="0" fontId="30" fillId="2" borderId="125" xfId="0" applyFont="1" applyFill="1" applyBorder="1" applyAlignment="1">
      <alignment horizontal="center" vertical="center" wrapText="1"/>
    </xf>
    <xf numFmtId="0" fontId="294" fillId="2" borderId="125" xfId="0" applyFont="1" applyFill="1" applyBorder="1" applyAlignment="1">
      <alignment horizontal="center" vertical="center" wrapText="1"/>
    </xf>
    <xf numFmtId="49" fontId="30" fillId="2" borderId="125" xfId="0" applyNumberFormat="1" applyFont="1" applyFill="1" applyBorder="1" applyAlignment="1">
      <alignment horizontal="center" vertical="center" wrapText="1"/>
    </xf>
    <xf numFmtId="0" fontId="20" fillId="0" borderId="125" xfId="0" applyFont="1" applyFill="1" applyBorder="1" applyAlignment="1">
      <alignment horizontal="left" vertical="center"/>
    </xf>
    <xf numFmtId="11" fontId="20" fillId="0" borderId="125" xfId="0" applyNumberFormat="1" applyFont="1" applyFill="1" applyBorder="1" applyAlignment="1">
      <alignment horizontal="center" vertical="center"/>
    </xf>
    <xf numFmtId="176" fontId="20" fillId="0" borderId="125" xfId="0" applyNumberFormat="1" applyFont="1" applyFill="1" applyBorder="1" applyAlignment="1">
      <alignment horizontal="center" vertical="center"/>
    </xf>
    <xf numFmtId="11" fontId="163" fillId="0" borderId="125" xfId="0" applyNumberFormat="1" applyFont="1" applyFill="1" applyBorder="1" applyAlignment="1">
      <alignment horizontal="center" vertical="center"/>
    </xf>
    <xf numFmtId="0" fontId="163" fillId="0" borderId="125" xfId="0" applyNumberFormat="1" applyFont="1" applyFill="1" applyBorder="1" applyAlignment="1">
      <alignment horizontal="center" vertical="center"/>
    </xf>
    <xf numFmtId="0" fontId="20" fillId="61" borderId="125" xfId="0" applyFont="1" applyFill="1" applyBorder="1" applyAlignment="1">
      <alignment horizontal="left" vertical="center"/>
    </xf>
    <xf numFmtId="11" fontId="20" fillId="61" borderId="125" xfId="0" applyNumberFormat="1" applyFont="1" applyFill="1" applyBorder="1" applyAlignment="1">
      <alignment horizontal="center" vertical="center"/>
    </xf>
    <xf numFmtId="176" fontId="20" fillId="61" borderId="125" xfId="0" applyNumberFormat="1" applyFont="1" applyFill="1" applyBorder="1" applyAlignment="1">
      <alignment horizontal="center" vertical="center"/>
    </xf>
    <xf numFmtId="11" fontId="163" fillId="61" borderId="125" xfId="0" applyNumberFormat="1" applyFont="1" applyFill="1" applyBorder="1" applyAlignment="1">
      <alignment horizontal="center" vertical="center"/>
    </xf>
    <xf numFmtId="0" fontId="163" fillId="61" borderId="125" xfId="0" applyNumberFormat="1" applyFont="1" applyFill="1" applyBorder="1" applyAlignment="1">
      <alignment horizontal="center" vertical="center"/>
    </xf>
    <xf numFmtId="178" fontId="163" fillId="0" borderId="125" xfId="0" applyNumberFormat="1" applyFont="1" applyFill="1" applyBorder="1" applyAlignment="1">
      <alignment horizontal="center" vertical="center"/>
    </xf>
    <xf numFmtId="178" fontId="163" fillId="61" borderId="125" xfId="0" applyNumberFormat="1" applyFont="1" applyFill="1" applyBorder="1" applyAlignment="1">
      <alignment horizontal="center" vertical="center"/>
    </xf>
    <xf numFmtId="0" fontId="29" fillId="0" borderId="0" xfId="5" applyFont="1" applyAlignment="1" applyProtection="1">
      <alignment horizontal="left"/>
    </xf>
    <xf numFmtId="0" fontId="31" fillId="0" borderId="0" xfId="5" applyFont="1" applyProtection="1"/>
    <xf numFmtId="0" fontId="25" fillId="0" borderId="0" xfId="5" applyFont="1" applyAlignment="1" applyProtection="1">
      <alignment horizontal="right"/>
    </xf>
    <xf numFmtId="0" fontId="33" fillId="0" borderId="0" xfId="5" applyFont="1" applyProtection="1"/>
    <xf numFmtId="0" fontId="34" fillId="0" borderId="0" xfId="5" applyFont="1" applyProtection="1"/>
    <xf numFmtId="0" fontId="35" fillId="0" borderId="53" xfId="5" applyFont="1" applyBorder="1" applyProtection="1"/>
    <xf numFmtId="0" fontId="31" fillId="0" borderId="53" xfId="5" applyFont="1" applyBorder="1" applyProtection="1"/>
    <xf numFmtId="0" fontId="34" fillId="0" borderId="53" xfId="5" applyFont="1" applyBorder="1" applyAlignment="1" applyProtection="1">
      <alignment horizontal="left"/>
    </xf>
    <xf numFmtId="0" fontId="36" fillId="0" borderId="0" xfId="5" applyFont="1" applyProtection="1"/>
    <xf numFmtId="0" fontId="35" fillId="0" borderId="0" xfId="5" applyFont="1" applyAlignment="1" applyProtection="1">
      <alignment horizontal="left"/>
    </xf>
    <xf numFmtId="0" fontId="36" fillId="0" borderId="53" xfId="5" applyFont="1" applyBorder="1" applyProtection="1"/>
    <xf numFmtId="0" fontId="20" fillId="0" borderId="53" xfId="5" applyFont="1" applyBorder="1" applyProtection="1"/>
    <xf numFmtId="0" fontId="35" fillId="0" borderId="53" xfId="5" applyFont="1" applyBorder="1" applyAlignment="1" applyProtection="1">
      <alignment horizontal="left"/>
    </xf>
    <xf numFmtId="0" fontId="38" fillId="0" borderId="0" xfId="5" applyFont="1" applyFill="1" applyAlignment="1" applyProtection="1">
      <alignment horizontal="center"/>
    </xf>
    <xf numFmtId="0" fontId="39" fillId="17" borderId="54" xfId="5" applyFont="1" applyFill="1" applyBorder="1" applyAlignment="1" applyProtection="1">
      <alignment horizontal="center"/>
      <protection locked="0"/>
    </xf>
    <xf numFmtId="0" fontId="38" fillId="0" borderId="0" xfId="5" applyFont="1" applyAlignment="1" applyProtection="1">
      <alignment horizontal="center"/>
    </xf>
    <xf numFmtId="0" fontId="38" fillId="0" borderId="0" xfId="5" applyFont="1" applyFill="1" applyAlignment="1" applyProtection="1">
      <alignment horizontal="right"/>
    </xf>
    <xf numFmtId="0" fontId="38" fillId="0" borderId="0" xfId="5" applyFont="1" applyBorder="1" applyAlignment="1" applyProtection="1">
      <alignment horizontal="center"/>
    </xf>
    <xf numFmtId="0" fontId="163" fillId="0" borderId="0" xfId="5" applyFont="1" applyFill="1" applyAlignment="1" applyProtection="1">
      <alignment horizontal="center"/>
    </xf>
    <xf numFmtId="0" fontId="30" fillId="17" borderId="54" xfId="5" applyFont="1" applyFill="1" applyBorder="1" applyAlignment="1" applyProtection="1">
      <alignment horizontal="center"/>
      <protection locked="0"/>
    </xf>
    <xf numFmtId="0" fontId="25" fillId="0" borderId="0" xfId="5" applyFont="1" applyAlignment="1" applyProtection="1">
      <alignment horizontal="center"/>
    </xf>
    <xf numFmtId="0" fontId="163" fillId="0" borderId="0" xfId="5" applyFont="1" applyFill="1" applyAlignment="1" applyProtection="1">
      <alignment horizontal="right"/>
    </xf>
    <xf numFmtId="0" fontId="25" fillId="0" borderId="53" xfId="5" applyFont="1" applyBorder="1" applyAlignment="1" applyProtection="1">
      <alignment horizontal="right"/>
    </xf>
    <xf numFmtId="0" fontId="163" fillId="0" borderId="53" xfId="5" applyFont="1" applyFill="1" applyBorder="1" applyAlignment="1" applyProtection="1">
      <alignment horizontal="center"/>
    </xf>
    <xf numFmtId="0" fontId="20" fillId="17" borderId="54" xfId="5" applyFont="1" applyFill="1" applyBorder="1" applyAlignment="1" applyProtection="1">
      <alignment horizontal="center"/>
      <protection locked="0"/>
    </xf>
    <xf numFmtId="0" fontId="38" fillId="0" borderId="53" xfId="5" applyFont="1" applyBorder="1" applyAlignment="1" applyProtection="1">
      <alignment horizontal="center"/>
    </xf>
    <xf numFmtId="0" fontId="163" fillId="0" borderId="53" xfId="5" applyFont="1" applyFill="1" applyBorder="1" applyAlignment="1" applyProtection="1">
      <alignment horizontal="right"/>
    </xf>
    <xf numFmtId="0" fontId="20" fillId="17" borderId="53" xfId="5" applyFont="1" applyFill="1" applyBorder="1" applyAlignment="1" applyProtection="1">
      <alignment horizontal="center"/>
      <protection locked="0"/>
    </xf>
    <xf numFmtId="0" fontId="36" fillId="0" borderId="0" xfId="5" applyFont="1" applyBorder="1" applyAlignment="1" applyProtection="1">
      <alignment horizontal="left"/>
    </xf>
    <xf numFmtId="0" fontId="163" fillId="0" borderId="0" xfId="5" applyFont="1" applyFill="1" applyBorder="1" applyAlignment="1" applyProtection="1">
      <alignment horizontal="center"/>
    </xf>
    <xf numFmtId="0" fontId="20" fillId="0" borderId="61" xfId="5" applyFont="1" applyFill="1" applyBorder="1" applyAlignment="1" applyProtection="1">
      <alignment horizontal="center"/>
    </xf>
    <xf numFmtId="0" fontId="25" fillId="0" borderId="0" xfId="5" applyFont="1" applyBorder="1" applyAlignment="1" applyProtection="1">
      <alignment horizontal="right"/>
    </xf>
    <xf numFmtId="0" fontId="163" fillId="0" borderId="0" xfId="5" applyFont="1" applyFill="1" applyBorder="1" applyAlignment="1" applyProtection="1">
      <alignment horizontal="right"/>
    </xf>
    <xf numFmtId="0" fontId="20" fillId="0" borderId="0" xfId="5" applyFont="1" applyFill="1" applyBorder="1" applyAlignment="1" applyProtection="1">
      <alignment horizontal="center"/>
    </xf>
    <xf numFmtId="0" fontId="40" fillId="0" borderId="0" xfId="5" applyFont="1" applyBorder="1" applyAlignment="1" applyProtection="1">
      <alignment horizontal="left"/>
    </xf>
    <xf numFmtId="0" fontId="163" fillId="0" borderId="0" xfId="5" applyFont="1" applyBorder="1" applyAlignment="1" applyProtection="1">
      <alignment horizontal="center"/>
    </xf>
    <xf numFmtId="0" fontId="82" fillId="17" borderId="53" xfId="5" applyFont="1" applyFill="1" applyBorder="1" applyAlignment="1" applyProtection="1">
      <alignment horizontal="center"/>
      <protection locked="0"/>
    </xf>
    <xf numFmtId="0" fontId="42" fillId="0" borderId="0" xfId="5" applyFont="1" applyBorder="1" applyAlignment="1" applyProtection="1">
      <alignment horizontal="center"/>
    </xf>
    <xf numFmtId="0" fontId="20" fillId="0" borderId="0" xfId="5" applyFont="1" applyAlignment="1" applyProtection="1">
      <alignment horizontal="center"/>
    </xf>
    <xf numFmtId="0" fontId="25" fillId="0" borderId="0" xfId="5" applyFont="1" applyFill="1" applyBorder="1" applyAlignment="1" applyProtection="1">
      <alignment horizontal="center"/>
    </xf>
    <xf numFmtId="0" fontId="40" fillId="0" borderId="0" xfId="5" applyFont="1" applyFill="1" applyBorder="1" applyAlignment="1" applyProtection="1">
      <alignment horizontal="left"/>
    </xf>
    <xf numFmtId="0" fontId="44" fillId="0" borderId="0" xfId="5" applyFont="1" applyFill="1" applyBorder="1" applyAlignment="1" applyProtection="1">
      <alignment horizontal="center"/>
    </xf>
    <xf numFmtId="0" fontId="25" fillId="0" borderId="0" xfId="5" applyFont="1" applyFill="1" applyBorder="1" applyAlignment="1" applyProtection="1">
      <alignment horizontal="left"/>
    </xf>
    <xf numFmtId="0" fontId="30" fillId="17" borderId="53" xfId="5" applyFont="1" applyFill="1" applyBorder="1" applyAlignment="1" applyProtection="1">
      <alignment horizontal="center"/>
      <protection locked="0"/>
    </xf>
    <xf numFmtId="0" fontId="25" fillId="0" borderId="0" xfId="5" applyFont="1" applyAlignment="1" applyProtection="1">
      <alignment horizontal="left"/>
    </xf>
    <xf numFmtId="0" fontId="163" fillId="0" borderId="0" xfId="5" applyFont="1" applyAlignment="1" applyProtection="1">
      <alignment horizontal="center"/>
    </xf>
    <xf numFmtId="0" fontId="30" fillId="17" borderId="0" xfId="5" applyFont="1" applyFill="1" applyBorder="1" applyAlignment="1" applyProtection="1">
      <alignment horizontal="center"/>
      <protection locked="0"/>
    </xf>
    <xf numFmtId="0" fontId="42" fillId="0" borderId="0" xfId="5" applyFont="1" applyBorder="1" applyAlignment="1" applyProtection="1">
      <alignment horizontal="left"/>
    </xf>
    <xf numFmtId="0" fontId="42" fillId="0" borderId="0" xfId="5" applyFont="1" applyAlignment="1" applyProtection="1">
      <alignment horizontal="left"/>
    </xf>
    <xf numFmtId="0" fontId="163" fillId="0" borderId="0" xfId="5" applyAlignment="1" applyProtection="1">
      <alignment horizontal="center"/>
    </xf>
    <xf numFmtId="0" fontId="163" fillId="0" borderId="0" xfId="5" applyBorder="1" applyAlignment="1" applyProtection="1">
      <alignment horizontal="center"/>
    </xf>
    <xf numFmtId="0" fontId="163" fillId="18" borderId="0" xfId="5" applyFont="1" applyFill="1" applyBorder="1" applyAlignment="1" applyProtection="1">
      <alignment horizontal="center"/>
    </xf>
    <xf numFmtId="0" fontId="163" fillId="0" borderId="53" xfId="5" applyBorder="1" applyAlignment="1" applyProtection="1">
      <alignment horizontal="center"/>
    </xf>
    <xf numFmtId="0" fontId="42" fillId="0" borderId="0" xfId="5" applyFont="1" applyFill="1" applyBorder="1" applyAlignment="1" applyProtection="1">
      <alignment horizontal="left"/>
    </xf>
    <xf numFmtId="0" fontId="42" fillId="0" borderId="57" xfId="5" applyFont="1" applyFill="1" applyBorder="1" applyAlignment="1" applyProtection="1">
      <alignment horizontal="left"/>
    </xf>
    <xf numFmtId="0" fontId="44" fillId="0" borderId="58" xfId="5" applyFont="1" applyBorder="1" applyAlignment="1" applyProtection="1">
      <alignment horizontal="center"/>
    </xf>
    <xf numFmtId="0" fontId="25" fillId="0" borderId="57" xfId="5" applyFont="1" applyFill="1" applyBorder="1" applyAlignment="1" applyProtection="1">
      <alignment horizontal="center"/>
    </xf>
    <xf numFmtId="0" fontId="44" fillId="19" borderId="58" xfId="5" applyFont="1" applyFill="1" applyBorder="1" applyAlignment="1" applyProtection="1">
      <alignment horizontal="center"/>
      <protection locked="0"/>
    </xf>
    <xf numFmtId="0" fontId="44" fillId="11" borderId="58" xfId="5" applyFont="1" applyFill="1" applyBorder="1" applyAlignment="1" applyProtection="1">
      <alignment horizontal="center"/>
    </xf>
    <xf numFmtId="0" fontId="25" fillId="0" borderId="59" xfId="5" applyFont="1" applyFill="1" applyBorder="1" applyAlignment="1" applyProtection="1">
      <alignment horizontal="center"/>
    </xf>
    <xf numFmtId="0" fontId="60" fillId="0" borderId="60" xfId="5" applyFont="1" applyBorder="1" applyAlignment="1" applyProtection="1">
      <alignment horizontal="center"/>
    </xf>
    <xf numFmtId="0" fontId="40" fillId="0" borderId="0" xfId="5" applyFont="1" applyBorder="1" applyProtection="1"/>
    <xf numFmtId="0" fontId="39" fillId="17" borderId="0" xfId="5" applyFont="1" applyFill="1" applyBorder="1" applyAlignment="1" applyProtection="1">
      <alignment horizontal="center"/>
      <protection locked="0"/>
    </xf>
    <xf numFmtId="0" fontId="20" fillId="0" borderId="0" xfId="5" applyFont="1" applyFill="1" applyAlignment="1" applyProtection="1">
      <alignment horizontal="center"/>
    </xf>
    <xf numFmtId="0" fontId="44" fillId="0" borderId="54" xfId="5" applyFont="1" applyFill="1" applyBorder="1" applyAlignment="1" applyProtection="1">
      <alignment horizontal="center"/>
      <protection locked="0"/>
    </xf>
    <xf numFmtId="0" fontId="43" fillId="0" borderId="0" xfId="5" applyFont="1" applyBorder="1" applyAlignment="1" applyProtection="1">
      <alignment horizontal="left"/>
    </xf>
    <xf numFmtId="0" fontId="30" fillId="17" borderId="61" xfId="5" applyFont="1" applyFill="1" applyBorder="1" applyAlignment="1" applyProtection="1">
      <alignment horizontal="center"/>
      <protection locked="0"/>
    </xf>
    <xf numFmtId="0" fontId="44" fillId="0" borderId="54" xfId="5" applyFont="1" applyFill="1" applyBorder="1" applyAlignment="1" applyProtection="1">
      <alignment horizontal="center"/>
    </xf>
    <xf numFmtId="0" fontId="49" fillId="0" borderId="0" xfId="5" applyFont="1" applyAlignment="1" applyProtection="1">
      <alignment horizontal="center"/>
    </xf>
    <xf numFmtId="0" fontId="54" fillId="0" borderId="0" xfId="5" applyFont="1" applyBorder="1" applyAlignment="1" applyProtection="1">
      <alignment horizontal="left"/>
    </xf>
    <xf numFmtId="0" fontId="52" fillId="0" borderId="0" xfId="5" applyFont="1" applyFill="1" applyBorder="1" applyAlignment="1" applyProtection="1">
      <alignment horizontal="left"/>
    </xf>
    <xf numFmtId="0" fontId="295" fillId="0" borderId="0" xfId="5" applyFont="1" applyFill="1" applyBorder="1" applyAlignment="1" applyProtection="1">
      <alignment horizontal="left"/>
    </xf>
    <xf numFmtId="0" fontId="235" fillId="0" borderId="0" xfId="5" applyFont="1" applyFill="1" applyBorder="1" applyAlignment="1" applyProtection="1">
      <alignment horizontal="left"/>
    </xf>
    <xf numFmtId="0" fontId="163" fillId="18" borderId="53" xfId="5" applyFont="1" applyFill="1" applyBorder="1" applyAlignment="1" applyProtection="1">
      <alignment horizontal="center"/>
    </xf>
    <xf numFmtId="0" fontId="25" fillId="0" borderId="53" xfId="5" applyFont="1" applyFill="1" applyBorder="1" applyAlignment="1" applyProtection="1">
      <alignment horizontal="left"/>
    </xf>
    <xf numFmtId="0" fontId="42" fillId="0" borderId="0" xfId="5" applyFont="1" applyFill="1" applyAlignment="1" applyProtection="1">
      <alignment horizontal="center"/>
    </xf>
    <xf numFmtId="0" fontId="44" fillId="0" borderId="0" xfId="5" applyFont="1" applyBorder="1" applyAlignment="1" applyProtection="1">
      <alignment horizontal="center"/>
    </xf>
    <xf numFmtId="0" fontId="45" fillId="33" borderId="58" xfId="5" applyFont="1" applyFill="1" applyBorder="1" applyAlignment="1" applyProtection="1">
      <alignment horizontal="center"/>
      <protection locked="0"/>
    </xf>
    <xf numFmtId="0" fontId="45" fillId="33" borderId="0" xfId="5" applyFont="1" applyFill="1" applyBorder="1" applyAlignment="1" applyProtection="1">
      <alignment horizontal="center"/>
      <protection locked="0"/>
    </xf>
    <xf numFmtId="0" fontId="54" fillId="0" borderId="57" xfId="5" applyFont="1" applyFill="1" applyBorder="1" applyAlignment="1" applyProtection="1">
      <alignment horizontal="left"/>
    </xf>
    <xf numFmtId="0" fontId="45" fillId="0" borderId="0" xfId="5" applyFont="1" applyFill="1" applyBorder="1" applyAlignment="1" applyProtection="1">
      <alignment horizontal="center"/>
    </xf>
    <xf numFmtId="0" fontId="44" fillId="11" borderId="0" xfId="5" applyFont="1" applyFill="1" applyBorder="1" applyAlignment="1" applyProtection="1">
      <alignment horizontal="center"/>
    </xf>
    <xf numFmtId="0" fontId="242" fillId="0" borderId="60" xfId="5" applyFont="1" applyBorder="1" applyAlignment="1" applyProtection="1">
      <alignment horizontal="center"/>
    </xf>
    <xf numFmtId="0" fontId="242" fillId="0" borderId="53" xfId="5" applyFont="1" applyBorder="1" applyAlignment="1" applyProtection="1">
      <alignment horizontal="center"/>
    </xf>
    <xf numFmtId="0" fontId="242" fillId="0" borderId="0" xfId="5" applyFont="1" applyFill="1" applyBorder="1" applyAlignment="1" applyProtection="1">
      <alignment horizontal="center"/>
    </xf>
    <xf numFmtId="0" fontId="80" fillId="0" borderId="0" xfId="5" applyFont="1" applyAlignment="1" applyProtection="1">
      <alignment horizontal="center"/>
    </xf>
    <xf numFmtId="0" fontId="163" fillId="0" borderId="0" xfId="5" applyFill="1" applyAlignment="1" applyProtection="1">
      <alignment horizontal="center"/>
    </xf>
    <xf numFmtId="0" fontId="20" fillId="0" borderId="0" xfId="5" applyFont="1" applyBorder="1" applyAlignment="1" applyProtection="1">
      <alignment horizontal="center"/>
    </xf>
    <xf numFmtId="0" fontId="45" fillId="0" borderId="0" xfId="5" applyFont="1" applyFill="1" applyBorder="1" applyAlignment="1" applyProtection="1">
      <alignment horizontal="left"/>
    </xf>
    <xf numFmtId="0" fontId="25" fillId="0" borderId="0" xfId="5" applyFont="1" applyBorder="1" applyAlignment="1" applyProtection="1">
      <alignment horizontal="center"/>
    </xf>
    <xf numFmtId="0" fontId="49" fillId="0" borderId="0" xfId="5" applyFont="1" applyBorder="1" applyAlignment="1" applyProtection="1">
      <alignment horizontal="center"/>
    </xf>
    <xf numFmtId="0" fontId="40" fillId="0" borderId="0" xfId="5" applyFont="1" applyProtection="1"/>
    <xf numFmtId="0" fontId="163" fillId="0" borderId="0" xfId="5" applyProtection="1"/>
    <xf numFmtId="0" fontId="51" fillId="0" borderId="0" xfId="5" applyFont="1" applyAlignment="1" applyProtection="1">
      <alignment horizontal="center"/>
    </xf>
    <xf numFmtId="0" fontId="42" fillId="0" borderId="0" xfId="5" applyFont="1" applyBorder="1" applyAlignment="1" applyProtection="1">
      <alignment horizontal="right"/>
    </xf>
    <xf numFmtId="0" fontId="44" fillId="0" borderId="0" xfId="5" applyFont="1" applyAlignment="1" applyProtection="1">
      <alignment horizontal="center"/>
    </xf>
    <xf numFmtId="0" fontId="25" fillId="0" borderId="53" xfId="5" applyFont="1" applyBorder="1" applyAlignment="1" applyProtection="1">
      <alignment horizontal="center"/>
    </xf>
    <xf numFmtId="0" fontId="51" fillId="0" borderId="53" xfId="5" applyFont="1" applyBorder="1" applyAlignment="1" applyProtection="1">
      <alignment horizontal="center"/>
    </xf>
    <xf numFmtId="0" fontId="42" fillId="0" borderId="53" xfId="5" applyFont="1" applyFill="1" applyBorder="1" applyAlignment="1" applyProtection="1">
      <alignment horizontal="left"/>
    </xf>
    <xf numFmtId="0" fontId="42" fillId="0" borderId="53" xfId="5" applyFont="1" applyBorder="1" applyAlignment="1" applyProtection="1">
      <alignment horizontal="right"/>
    </xf>
    <xf numFmtId="0" fontId="42" fillId="0" borderId="53" xfId="5" applyFont="1" applyBorder="1" applyAlignment="1" applyProtection="1">
      <alignment horizontal="left"/>
    </xf>
    <xf numFmtId="0" fontId="44" fillId="0" borderId="53" xfId="5" applyFont="1" applyBorder="1" applyAlignment="1" applyProtection="1">
      <alignment horizontal="center"/>
    </xf>
    <xf numFmtId="0" fontId="20" fillId="0" borderId="0" xfId="5" applyFont="1" applyFill="1" applyBorder="1" applyAlignment="1" applyProtection="1">
      <alignment horizontal="left"/>
    </xf>
    <xf numFmtId="0" fontId="49" fillId="0" borderId="53" xfId="5" applyFont="1" applyBorder="1" applyAlignment="1" applyProtection="1">
      <alignment horizontal="center"/>
    </xf>
    <xf numFmtId="0" fontId="20" fillId="0" borderId="53" xfId="5" applyFont="1" applyBorder="1" applyAlignment="1" applyProtection="1">
      <alignment horizontal="center"/>
    </xf>
    <xf numFmtId="0" fontId="42" fillId="0" borderId="53" xfId="5" applyFont="1" applyBorder="1" applyAlignment="1" applyProtection="1">
      <alignment horizontal="center"/>
    </xf>
    <xf numFmtId="0" fontId="42" fillId="0" borderId="53" xfId="5" applyFont="1" applyFill="1" applyBorder="1" applyAlignment="1" applyProtection="1">
      <alignment horizontal="center"/>
    </xf>
    <xf numFmtId="0" fontId="296" fillId="0" borderId="0" xfId="5" applyFont="1" applyBorder="1" applyAlignment="1" applyProtection="1">
      <alignment horizontal="center"/>
    </xf>
    <xf numFmtId="0" fontId="20" fillId="18" borderId="0" xfId="5" applyFont="1" applyFill="1" applyBorder="1" applyAlignment="1" applyProtection="1">
      <alignment horizontal="center"/>
    </xf>
    <xf numFmtId="0" fontId="39" fillId="17" borderId="53" xfId="5" applyFont="1" applyFill="1" applyBorder="1" applyAlignment="1" applyProtection="1">
      <alignment horizontal="center"/>
      <protection locked="0"/>
    </xf>
    <xf numFmtId="0" fontId="54" fillId="0" borderId="0" xfId="5" applyFont="1" applyFill="1" applyBorder="1" applyAlignment="1" applyProtection="1">
      <alignment horizontal="left"/>
    </xf>
    <xf numFmtId="0" fontId="81" fillId="0" borderId="0" xfId="5" applyFont="1" applyBorder="1" applyAlignment="1" applyProtection="1">
      <alignment horizontal="center"/>
    </xf>
    <xf numFmtId="0" fontId="81" fillId="0" borderId="53" xfId="5" applyFont="1" applyBorder="1" applyAlignment="1" applyProtection="1">
      <alignment horizontal="center"/>
    </xf>
    <xf numFmtId="0" fontId="20" fillId="18" borderId="53" xfId="5" applyFont="1" applyFill="1" applyBorder="1" applyAlignment="1" applyProtection="1">
      <alignment horizontal="center"/>
    </xf>
    <xf numFmtId="0" fontId="163" fillId="18" borderId="0" xfId="5" applyFont="1" applyFill="1" applyAlignment="1" applyProtection="1">
      <alignment horizontal="center"/>
    </xf>
    <xf numFmtId="0" fontId="39" fillId="17" borderId="0" xfId="5" applyFont="1" applyFill="1" applyBorder="1" applyAlignment="1" applyProtection="1">
      <alignment horizontal="left"/>
      <protection locked="0"/>
    </xf>
    <xf numFmtId="0" fontId="297" fillId="0" borderId="0" xfId="5" applyFont="1" applyAlignment="1" applyProtection="1">
      <alignment horizontal="left"/>
    </xf>
    <xf numFmtId="0" fontId="163" fillId="0" borderId="0" xfId="5" applyBorder="1" applyProtection="1"/>
    <xf numFmtId="0" fontId="27" fillId="0" borderId="0" xfId="5" applyFont="1" applyBorder="1" applyAlignment="1" applyProtection="1">
      <alignment horizontal="left"/>
    </xf>
    <xf numFmtId="0" fontId="63" fillId="0" borderId="0" xfId="5" applyFont="1" applyBorder="1" applyProtection="1"/>
    <xf numFmtId="0" fontId="63" fillId="0" borderId="0" xfId="5" applyFont="1" applyBorder="1" applyAlignment="1" applyProtection="1">
      <alignment horizontal="left"/>
    </xf>
    <xf numFmtId="0" fontId="66" fillId="0" borderId="0" xfId="5" applyFont="1" applyBorder="1" applyAlignment="1" applyProtection="1">
      <alignment horizontal="left"/>
    </xf>
    <xf numFmtId="0" fontId="45" fillId="0" borderId="0" xfId="5" applyFont="1" applyProtection="1"/>
    <xf numFmtId="0" fontId="163" fillId="0" borderId="0" xfId="5" applyFill="1" applyBorder="1" applyProtection="1"/>
    <xf numFmtId="0" fontId="66" fillId="0" borderId="0" xfId="5" applyFont="1" applyFill="1" applyBorder="1" applyAlignment="1" applyProtection="1">
      <alignment horizontal="left"/>
    </xf>
    <xf numFmtId="0" fontId="163" fillId="0" borderId="0" xfId="5" applyFill="1" applyProtection="1"/>
    <xf numFmtId="0" fontId="66" fillId="0" borderId="0" xfId="5" applyFont="1" applyAlignment="1" applyProtection="1">
      <alignment horizontal="left"/>
    </xf>
    <xf numFmtId="0" fontId="60" fillId="0" borderId="0" xfId="5" applyFont="1" applyBorder="1" applyAlignment="1" applyProtection="1">
      <alignment horizontal="left"/>
    </xf>
    <xf numFmtId="0" fontId="163" fillId="0" borderId="53" xfId="5" applyFont="1" applyBorder="1" applyAlignment="1" applyProtection="1">
      <alignment horizontal="center"/>
    </xf>
    <xf numFmtId="0" fontId="40" fillId="0" borderId="53" xfId="5" applyFont="1" applyFill="1" applyBorder="1" applyAlignment="1" applyProtection="1">
      <alignment horizontal="left"/>
    </xf>
    <xf numFmtId="0" fontId="52" fillId="0" borderId="53" xfId="5" applyFont="1" applyFill="1" applyBorder="1" applyAlignment="1" applyProtection="1">
      <alignment horizontal="left"/>
    </xf>
    <xf numFmtId="0" fontId="163" fillId="0" borderId="53" xfId="5" applyFill="1" applyBorder="1" applyAlignment="1" applyProtection="1">
      <alignment horizontal="center"/>
    </xf>
    <xf numFmtId="0" fontId="163" fillId="0" borderId="0" xfId="5" applyFill="1" applyBorder="1" applyAlignment="1" applyProtection="1">
      <alignment horizontal="center"/>
    </xf>
    <xf numFmtId="0" fontId="20" fillId="0" borderId="53" xfId="5" applyFont="1" applyFill="1" applyBorder="1" applyAlignment="1" applyProtection="1">
      <alignment horizontal="center"/>
    </xf>
    <xf numFmtId="0" fontId="81" fillId="0" borderId="0" xfId="5" applyFont="1" applyFill="1" applyAlignment="1" applyProtection="1">
      <alignment horizontal="left"/>
    </xf>
    <xf numFmtId="0" fontId="30" fillId="0" borderId="0" xfId="5" applyFont="1" applyFill="1" applyAlignment="1" applyProtection="1">
      <alignment horizontal="center"/>
    </xf>
    <xf numFmtId="0" fontId="42" fillId="0" borderId="0" xfId="5" applyFont="1" applyFill="1" applyBorder="1" applyAlignment="1" applyProtection="1">
      <alignment horizontal="center"/>
    </xf>
    <xf numFmtId="0" fontId="43" fillId="0" borderId="0" xfId="5" applyFont="1" applyFill="1" applyBorder="1" applyAlignment="1" applyProtection="1">
      <alignment horizontal="left"/>
    </xf>
    <xf numFmtId="0" fontId="163" fillId="0" borderId="0" xfId="5" applyBorder="1" applyAlignment="1" applyProtection="1">
      <alignment horizontal="justify"/>
    </xf>
    <xf numFmtId="0" fontId="25" fillId="0" borderId="0" xfId="5" applyFont="1" applyFill="1" applyAlignment="1" applyProtection="1">
      <alignment horizontal="left"/>
    </xf>
    <xf numFmtId="0" fontId="82" fillId="0" borderId="0" xfId="5" applyFont="1" applyBorder="1" applyAlignment="1" applyProtection="1">
      <alignment horizontal="right"/>
    </xf>
    <xf numFmtId="0" fontId="40" fillId="0" borderId="0" xfId="5" applyFont="1" applyFill="1" applyAlignment="1" applyProtection="1">
      <alignment horizontal="left"/>
    </xf>
    <xf numFmtId="0" fontId="43" fillId="0" borderId="0" xfId="5" applyFont="1" applyFill="1" applyBorder="1" applyAlignment="1" applyProtection="1">
      <alignment horizontal="center"/>
    </xf>
    <xf numFmtId="0" fontId="41" fillId="0" borderId="0" xfId="5" applyFont="1" applyFill="1" applyBorder="1" applyAlignment="1" applyProtection="1">
      <alignment horizontal="left"/>
    </xf>
    <xf numFmtId="0" fontId="50" fillId="0" borderId="0" xfId="5" applyFont="1" applyFill="1" applyBorder="1" applyAlignment="1" applyProtection="1">
      <alignment horizontal="center"/>
    </xf>
    <xf numFmtId="0" fontId="51" fillId="0" borderId="55" xfId="5" applyFont="1" applyBorder="1" applyAlignment="1" applyProtection="1">
      <alignment horizontal="left"/>
    </xf>
    <xf numFmtId="0" fontId="30" fillId="0" borderId="56" xfId="5" applyFont="1" applyFill="1" applyBorder="1" applyAlignment="1" applyProtection="1">
      <alignment horizontal="center"/>
    </xf>
    <xf numFmtId="0" fontId="52" fillId="0" borderId="57" xfId="5" applyFont="1" applyBorder="1" applyAlignment="1" applyProtection="1">
      <alignment horizontal="center"/>
    </xf>
    <xf numFmtId="0" fontId="25" fillId="0" borderId="57" xfId="5" applyFont="1" applyBorder="1" applyAlignment="1" applyProtection="1">
      <alignment horizontal="center"/>
    </xf>
    <xf numFmtId="0" fontId="50" fillId="0" borderId="53" xfId="5" applyFont="1" applyFill="1" applyBorder="1" applyAlignment="1" applyProtection="1">
      <alignment horizontal="center"/>
    </xf>
    <xf numFmtId="0" fontId="25" fillId="0" borderId="59" xfId="5" applyFont="1" applyBorder="1" applyAlignment="1" applyProtection="1">
      <alignment horizontal="center"/>
    </xf>
    <xf numFmtId="0" fontId="60" fillId="0" borderId="60" xfId="5" applyFont="1" applyFill="1" applyBorder="1" applyAlignment="1" applyProtection="1">
      <alignment horizontal="center"/>
    </xf>
    <xf numFmtId="0" fontId="45" fillId="0" borderId="53" xfId="5" applyFont="1" applyFill="1" applyBorder="1" applyAlignment="1" applyProtection="1">
      <alignment horizontal="center"/>
    </xf>
    <xf numFmtId="0" fontId="81" fillId="0" borderId="0" xfId="5" applyFont="1" applyFill="1" applyBorder="1" applyAlignment="1" applyProtection="1">
      <alignment horizontal="left"/>
    </xf>
    <xf numFmtId="0" fontId="298" fillId="0" borderId="0" xfId="5" applyFont="1" applyFill="1" applyBorder="1" applyAlignment="1" applyProtection="1">
      <alignment horizontal="center"/>
    </xf>
    <xf numFmtId="0" fontId="40" fillId="0" borderId="0" xfId="5" applyFont="1" applyFill="1" applyBorder="1" applyAlignment="1" applyProtection="1">
      <alignment horizontal="right"/>
    </xf>
    <xf numFmtId="0" fontId="64" fillId="0" borderId="0" xfId="5" applyFont="1" applyFill="1" applyBorder="1" applyAlignment="1" applyProtection="1">
      <alignment horizontal="center"/>
    </xf>
    <xf numFmtId="0" fontId="163" fillId="0" borderId="53" xfId="5" applyBorder="1" applyAlignment="1" applyProtection="1">
      <alignment horizontal="justify"/>
    </xf>
    <xf numFmtId="0" fontId="163" fillId="0" borderId="53" xfId="5" applyFont="1" applyFill="1" applyBorder="1" applyAlignment="1" applyProtection="1">
      <alignment horizontal="left"/>
    </xf>
    <xf numFmtId="0" fontId="40" fillId="0" borderId="53" xfId="5" applyFont="1" applyFill="1" applyBorder="1" applyAlignment="1" applyProtection="1">
      <alignment horizontal="right"/>
    </xf>
    <xf numFmtId="0" fontId="163" fillId="19" borderId="0" xfId="5" applyFont="1" applyFill="1" applyBorder="1" applyAlignment="1" applyProtection="1">
      <alignment horizontal="center"/>
    </xf>
    <xf numFmtId="0" fontId="163" fillId="19" borderId="0" xfId="5" applyFill="1" applyBorder="1" applyAlignment="1" applyProtection="1">
      <alignment horizontal="justify"/>
    </xf>
    <xf numFmtId="0" fontId="20" fillId="19" borderId="0" xfId="5" applyFont="1" applyFill="1" applyBorder="1" applyAlignment="1" applyProtection="1">
      <alignment horizontal="center"/>
    </xf>
    <xf numFmtId="0" fontId="163" fillId="19" borderId="0" xfId="5" applyFont="1" applyFill="1" applyBorder="1" applyAlignment="1" applyProtection="1">
      <alignment horizontal="left"/>
    </xf>
    <xf numFmtId="0" fontId="40" fillId="19" borderId="0" xfId="5" applyFont="1" applyFill="1" applyBorder="1" applyAlignment="1" applyProtection="1">
      <alignment horizontal="right"/>
    </xf>
    <xf numFmtId="0" fontId="30" fillId="20" borderId="0" xfId="5" applyFont="1" applyFill="1" applyBorder="1" applyAlignment="1" applyProtection="1">
      <alignment horizontal="left"/>
    </xf>
    <xf numFmtId="0" fontId="163" fillId="0" borderId="0" xfId="5" applyFont="1" applyAlignment="1" applyProtection="1">
      <alignment horizontal="left"/>
    </xf>
    <xf numFmtId="0" fontId="65" fillId="0" borderId="0" xfId="5" applyFont="1" applyFill="1" applyBorder="1" applyAlignment="1" applyProtection="1">
      <alignment horizontal="center"/>
    </xf>
    <xf numFmtId="0" fontId="44" fillId="0" borderId="0" xfId="5" applyFont="1" applyFill="1" applyAlignment="1" applyProtection="1">
      <alignment horizontal="center"/>
    </xf>
    <xf numFmtId="0" fontId="55" fillId="0" borderId="0" xfId="5" applyFont="1" applyFill="1" applyBorder="1" applyAlignment="1" applyProtection="1">
      <alignment horizontal="left"/>
    </xf>
    <xf numFmtId="0" fontId="44" fillId="0" borderId="0" xfId="5" applyFont="1" applyBorder="1" applyAlignment="1" applyProtection="1">
      <alignment horizontal="left"/>
    </xf>
    <xf numFmtId="0" fontId="45" fillId="0" borderId="0" xfId="5" applyFont="1" applyFill="1" applyAlignment="1" applyProtection="1">
      <alignment horizontal="center"/>
    </xf>
    <xf numFmtId="0" fontId="41" fillId="0" borderId="0" xfId="5" applyFont="1" applyFill="1" applyAlignment="1" applyProtection="1">
      <alignment horizontal="center"/>
    </xf>
    <xf numFmtId="0" fontId="45" fillId="0" borderId="0" xfId="5" applyFont="1" applyBorder="1" applyAlignment="1" applyProtection="1">
      <alignment horizontal="center"/>
    </xf>
    <xf numFmtId="0" fontId="45" fillId="0" borderId="0" xfId="5" applyFont="1" applyBorder="1" applyProtection="1"/>
    <xf numFmtId="0" fontId="45" fillId="0" borderId="0" xfId="5" applyFont="1" applyFill="1" applyBorder="1" applyProtection="1"/>
    <xf numFmtId="0" fontId="50" fillId="0" borderId="0" xfId="5" applyFont="1" applyBorder="1" applyAlignment="1" applyProtection="1">
      <alignment horizontal="left"/>
    </xf>
    <xf numFmtId="0" fontId="59" fillId="0" borderId="0" xfId="5" applyFont="1" applyBorder="1" applyAlignment="1" applyProtection="1">
      <alignment horizontal="left"/>
    </xf>
    <xf numFmtId="0" fontId="46" fillId="0" borderId="0" xfId="5" applyFont="1" applyBorder="1" applyAlignment="1" applyProtection="1">
      <alignment horizontal="left"/>
    </xf>
    <xf numFmtId="0" fontId="25" fillId="0" borderId="0" xfId="5" applyFont="1" applyBorder="1" applyAlignment="1" applyProtection="1">
      <alignment horizontal="left"/>
    </xf>
    <xf numFmtId="0" fontId="41" fillId="0" borderId="0" xfId="5" applyFont="1" applyFill="1" applyBorder="1" applyAlignment="1" applyProtection="1">
      <alignment horizontal="center"/>
    </xf>
    <xf numFmtId="0" fontId="27" fillId="0" borderId="0" xfId="5" applyFont="1" applyFill="1" applyBorder="1" applyAlignment="1" applyProtection="1">
      <alignment horizontal="center"/>
    </xf>
    <xf numFmtId="0" fontId="47" fillId="0" borderId="0" xfId="5" applyFont="1" applyFill="1" applyBorder="1" applyAlignment="1" applyProtection="1">
      <alignment horizontal="center" wrapText="1"/>
    </xf>
    <xf numFmtId="0" fontId="20" fillId="0" borderId="0" xfId="5" applyFont="1" applyBorder="1" applyAlignment="1" applyProtection="1">
      <alignment horizontal="right"/>
    </xf>
    <xf numFmtId="0" fontId="163" fillId="0" borderId="0" xfId="5" applyFont="1" applyBorder="1" applyAlignment="1" applyProtection="1">
      <alignment horizontal="right"/>
    </xf>
    <xf numFmtId="0" fontId="163" fillId="0" borderId="0" xfId="5" applyFont="1" applyFill="1" applyBorder="1" applyAlignment="1" applyProtection="1">
      <alignment horizontal="left"/>
    </xf>
    <xf numFmtId="0" fontId="30" fillId="0" borderId="53" xfId="5" applyFont="1" applyFill="1" applyBorder="1" applyAlignment="1" applyProtection="1">
      <alignment horizontal="left"/>
    </xf>
    <xf numFmtId="0" fontId="44" fillId="0" borderId="53" xfId="5" applyFont="1" applyFill="1" applyBorder="1" applyAlignment="1" applyProtection="1">
      <alignment horizontal="center"/>
    </xf>
    <xf numFmtId="0" fontId="83" fillId="20" borderId="0" xfId="5" applyFont="1" applyFill="1" applyBorder="1" applyAlignment="1" applyProtection="1">
      <alignment horizontal="left"/>
    </xf>
    <xf numFmtId="0" fontId="41" fillId="0" borderId="53" xfId="5" applyFont="1" applyFill="1" applyBorder="1" applyAlignment="1" applyProtection="1">
      <alignment horizontal="left"/>
    </xf>
    <xf numFmtId="0" fontId="83" fillId="0" borderId="53" xfId="5" applyFont="1" applyFill="1" applyBorder="1" applyAlignment="1" applyProtection="1">
      <alignment horizontal="left"/>
    </xf>
    <xf numFmtId="0" fontId="163" fillId="0" borderId="54" xfId="5" applyFont="1" applyFill="1" applyBorder="1" applyAlignment="1" applyProtection="1">
      <alignment horizontal="center"/>
    </xf>
    <xf numFmtId="0" fontId="163" fillId="0" borderId="54" xfId="5" applyBorder="1" applyAlignment="1" applyProtection="1">
      <alignment horizontal="center"/>
    </xf>
    <xf numFmtId="0" fontId="163" fillId="0" borderId="54" xfId="5" applyFill="1" applyBorder="1" applyAlignment="1" applyProtection="1">
      <alignment horizontal="center"/>
    </xf>
    <xf numFmtId="0" fontId="42" fillId="0" borderId="54" xfId="5" applyFont="1" applyFill="1" applyBorder="1" applyAlignment="1" applyProtection="1">
      <alignment horizontal="left"/>
    </xf>
    <xf numFmtId="0" fontId="25" fillId="0" borderId="53" xfId="5" applyFont="1" applyFill="1" applyBorder="1" applyAlignment="1" applyProtection="1">
      <alignment horizontal="center"/>
    </xf>
    <xf numFmtId="0" fontId="25" fillId="0" borderId="53" xfId="5" applyFont="1" applyBorder="1" applyAlignment="1" applyProtection="1">
      <alignment horizontal="left"/>
    </xf>
    <xf numFmtId="0" fontId="84" fillId="0" borderId="0" xfId="5" applyFont="1" applyFill="1" applyBorder="1" applyAlignment="1" applyProtection="1">
      <alignment horizontal="left"/>
    </xf>
    <xf numFmtId="0" fontId="163" fillId="0" borderId="0" xfId="5" applyFont="1" applyBorder="1" applyAlignment="1" applyProtection="1">
      <alignment horizontal="left"/>
    </xf>
    <xf numFmtId="0" fontId="44" fillId="0" borderId="0" xfId="5" applyFont="1" applyFill="1" applyBorder="1" applyAlignment="1" applyProtection="1">
      <alignment horizontal="left"/>
    </xf>
    <xf numFmtId="0" fontId="47" fillId="0" borderId="0" xfId="5" applyFont="1" applyBorder="1" applyAlignment="1" applyProtection="1">
      <alignment horizontal="center"/>
    </xf>
    <xf numFmtId="0" fontId="85" fillId="0" borderId="0" xfId="5" applyFont="1" applyFill="1" applyBorder="1" applyAlignment="1" applyProtection="1">
      <alignment horizontal="left" wrapText="1"/>
    </xf>
    <xf numFmtId="0" fontId="44" fillId="0" borderId="0" xfId="5" applyFont="1" applyProtection="1"/>
    <xf numFmtId="0" fontId="44" fillId="0" borderId="0" xfId="5" applyFont="1" applyFill="1" applyProtection="1"/>
    <xf numFmtId="0" fontId="86" fillId="0" borderId="0" xfId="5" applyFont="1" applyBorder="1" applyAlignment="1" applyProtection="1">
      <alignment horizontal="left"/>
    </xf>
    <xf numFmtId="0" fontId="87" fillId="0" borderId="0" xfId="5" applyFont="1" applyBorder="1" applyAlignment="1" applyProtection="1">
      <alignment horizontal="left"/>
    </xf>
    <xf numFmtId="0" fontId="20" fillId="0" borderId="0" xfId="5" applyFont="1" applyBorder="1" applyAlignment="1" applyProtection="1">
      <alignment horizontal="left"/>
    </xf>
    <xf numFmtId="0" fontId="88" fillId="0" borderId="0" xfId="5" applyFont="1" applyFill="1" applyBorder="1" applyAlignment="1" applyProtection="1">
      <alignment horizontal="left"/>
    </xf>
    <xf numFmtId="0" fontId="49" fillId="0" borderId="0" xfId="5" applyFont="1" applyFill="1" applyBorder="1" applyAlignment="1" applyProtection="1">
      <alignment horizontal="center"/>
    </xf>
    <xf numFmtId="0" fontId="47" fillId="0" borderId="0" xfId="5" applyFont="1" applyFill="1" applyBorder="1" applyAlignment="1" applyProtection="1">
      <alignment horizontal="center"/>
    </xf>
    <xf numFmtId="0" fontId="242" fillId="0" borderId="0" xfId="5" applyFont="1" applyFill="1" applyBorder="1" applyAlignment="1" applyProtection="1">
      <alignment horizontal="left"/>
    </xf>
    <xf numFmtId="0" fontId="85" fillId="0" borderId="0" xfId="5" applyFont="1" applyFill="1" applyBorder="1" applyAlignment="1" applyProtection="1">
      <alignment horizontal="left"/>
    </xf>
    <xf numFmtId="0" fontId="51" fillId="0" borderId="0" xfId="5" applyFont="1" applyFill="1" applyBorder="1" applyAlignment="1" applyProtection="1">
      <alignment horizontal="left"/>
    </xf>
    <xf numFmtId="0" fontId="51" fillId="0" borderId="0" xfId="5" applyFont="1" applyBorder="1" applyAlignment="1" applyProtection="1">
      <alignment horizontal="center"/>
    </xf>
    <xf numFmtId="0" fontId="53" fillId="0" borderId="0" xfId="5" applyFont="1" applyFill="1" applyBorder="1" applyAlignment="1" applyProtection="1">
      <alignment horizontal="center"/>
    </xf>
    <xf numFmtId="0" fontId="52" fillId="0" borderId="0" xfId="5" applyFont="1" applyFill="1" applyBorder="1" applyAlignment="1" applyProtection="1">
      <alignment horizontal="center"/>
    </xf>
    <xf numFmtId="0" fontId="163" fillId="0" borderId="0" xfId="5" applyFill="1" applyBorder="1" applyAlignment="1" applyProtection="1">
      <alignment horizontal="right"/>
    </xf>
    <xf numFmtId="0" fontId="20" fillId="0" borderId="0" xfId="5" applyFont="1" applyFill="1" applyBorder="1" applyAlignment="1" applyProtection="1">
      <alignment horizontal="right"/>
    </xf>
    <xf numFmtId="0" fontId="163" fillId="0" borderId="0" xfId="5" applyFont="1" applyBorder="1" applyAlignment="1" applyProtection="1">
      <alignment horizontal="justify"/>
    </xf>
    <xf numFmtId="0" fontId="42" fillId="19" borderId="0" xfId="5" applyFont="1" applyFill="1" applyBorder="1" applyAlignment="1" applyProtection="1">
      <alignment horizontal="left"/>
    </xf>
    <xf numFmtId="0" fontId="46" fillId="19" borderId="0" xfId="5" applyFont="1" applyFill="1" applyBorder="1" applyAlignment="1" applyProtection="1">
      <alignment horizontal="left"/>
    </xf>
    <xf numFmtId="0" fontId="41" fillId="19" borderId="0" xfId="5" applyFont="1" applyFill="1" applyBorder="1" applyAlignment="1" applyProtection="1">
      <alignment horizontal="left"/>
    </xf>
    <xf numFmtId="0" fontId="50" fillId="19" borderId="0" xfId="5" applyFont="1" applyFill="1" applyBorder="1" applyAlignment="1" applyProtection="1">
      <alignment horizontal="center"/>
    </xf>
    <xf numFmtId="0" fontId="42" fillId="0" borderId="54" xfId="5" applyFont="1" applyBorder="1" applyAlignment="1" applyProtection="1">
      <alignment horizontal="left"/>
    </xf>
    <xf numFmtId="0" fontId="20" fillId="0" borderId="54" xfId="5" applyFont="1" applyFill="1" applyBorder="1" applyAlignment="1" applyProtection="1">
      <alignment horizontal="center"/>
    </xf>
    <xf numFmtId="0" fontId="25" fillId="0" borderId="54" xfId="5" applyFont="1" applyFill="1" applyBorder="1" applyAlignment="1" applyProtection="1">
      <alignment horizontal="left"/>
    </xf>
    <xf numFmtId="0" fontId="89" fillId="0" borderId="0" xfId="5" applyFont="1" applyAlignment="1" applyProtection="1">
      <alignment horizontal="left"/>
    </xf>
    <xf numFmtId="0" fontId="89" fillId="0" borderId="0" xfId="5" applyFont="1" applyProtection="1"/>
    <xf numFmtId="0" fontId="30" fillId="0" borderId="0" xfId="5" applyFont="1" applyAlignment="1" applyProtection="1">
      <alignment horizontal="center"/>
    </xf>
    <xf numFmtId="0" fontId="25" fillId="0" borderId="0" xfId="5" applyFont="1" applyFill="1" applyAlignment="1" applyProtection="1">
      <alignment horizontal="right"/>
    </xf>
    <xf numFmtId="0" fontId="39" fillId="0" borderId="0" xfId="5" applyFont="1" applyFill="1" applyAlignment="1" applyProtection="1">
      <alignment horizontal="center"/>
    </xf>
    <xf numFmtId="0" fontId="25" fillId="0" borderId="0" xfId="5" applyFont="1" applyFill="1" applyAlignment="1" applyProtection="1">
      <alignment horizontal="center"/>
    </xf>
    <xf numFmtId="0" fontId="38" fillId="0" borderId="0" xfId="5" applyFont="1" applyFill="1" applyBorder="1" applyAlignment="1" applyProtection="1">
      <alignment horizontal="center"/>
    </xf>
    <xf numFmtId="0" fontId="36" fillId="0" borderId="53" xfId="5" applyFont="1" applyFill="1" applyBorder="1" applyAlignment="1" applyProtection="1">
      <alignment horizontal="left"/>
    </xf>
    <xf numFmtId="0" fontId="38" fillId="0" borderId="53" xfId="5" applyFont="1" applyFill="1" applyBorder="1" applyAlignment="1" applyProtection="1">
      <alignment horizontal="center"/>
    </xf>
    <xf numFmtId="0" fontId="163" fillId="0" borderId="53" xfId="5" applyFill="1" applyBorder="1" applyAlignment="1" applyProtection="1">
      <alignment horizontal="right"/>
    </xf>
    <xf numFmtId="0" fontId="30" fillId="0" borderId="62" xfId="5" applyFont="1" applyFill="1" applyBorder="1" applyAlignment="1" applyProtection="1">
      <alignment horizontal="center"/>
    </xf>
    <xf numFmtId="0" fontId="163" fillId="0" borderId="62" xfId="5" applyFont="1" applyFill="1" applyBorder="1" applyAlignment="1" applyProtection="1">
      <alignment horizontal="right"/>
    </xf>
    <xf numFmtId="0" fontId="42" fillId="0" borderId="62" xfId="5" applyFont="1" applyFill="1" applyBorder="1" applyAlignment="1" applyProtection="1">
      <alignment horizontal="center"/>
    </xf>
    <xf numFmtId="0" fontId="43" fillId="0" borderId="62" xfId="5" applyFont="1" applyFill="1" applyBorder="1" applyAlignment="1" applyProtection="1">
      <alignment horizontal="left"/>
    </xf>
    <xf numFmtId="0" fontId="163" fillId="0" borderId="62" xfId="5" applyBorder="1" applyAlignment="1" applyProtection="1">
      <alignment horizontal="justify"/>
    </xf>
    <xf numFmtId="0" fontId="25" fillId="0" borderId="62" xfId="5" applyFont="1" applyFill="1" applyBorder="1" applyAlignment="1" applyProtection="1">
      <alignment horizontal="center"/>
    </xf>
    <xf numFmtId="0" fontId="30" fillId="0" borderId="0" xfId="5" applyFont="1" applyFill="1" applyBorder="1" applyAlignment="1" applyProtection="1">
      <alignment horizontal="left"/>
    </xf>
    <xf numFmtId="0" fontId="30" fillId="0" borderId="0" xfId="5" applyFont="1" applyFill="1" applyBorder="1" applyAlignment="1" applyProtection="1">
      <alignment horizontal="center"/>
    </xf>
    <xf numFmtId="0" fontId="50" fillId="0" borderId="0" xfId="5" applyFont="1" applyFill="1" applyBorder="1" applyAlignment="1" applyProtection="1">
      <alignment horizontal="left"/>
    </xf>
    <xf numFmtId="0" fontId="59" fillId="0" borderId="0" xfId="5" applyFont="1" applyFill="1" applyBorder="1" applyAlignment="1" applyProtection="1">
      <alignment horizontal="center"/>
    </xf>
    <xf numFmtId="0" fontId="30" fillId="0" borderId="0" xfId="5" applyFont="1" applyAlignment="1" applyProtection="1">
      <alignment horizontal="left"/>
    </xf>
    <xf numFmtId="0" fontId="163" fillId="0" borderId="0" xfId="5" applyFill="1" applyBorder="1" applyAlignment="1" applyProtection="1">
      <alignment horizontal="justify"/>
    </xf>
    <xf numFmtId="0" fontId="81" fillId="0" borderId="0" xfId="5" applyFont="1" applyAlignment="1" applyProtection="1">
      <alignment horizontal="left"/>
    </xf>
    <xf numFmtId="0" fontId="49" fillId="0" borderId="0" xfId="5" applyFont="1" applyFill="1" applyBorder="1" applyAlignment="1" applyProtection="1">
      <alignment horizontal="left"/>
    </xf>
    <xf numFmtId="0" fontId="49" fillId="0" borderId="0" xfId="5" applyFont="1" applyFill="1" applyBorder="1" applyAlignment="1" applyProtection="1">
      <alignment horizontal="justify"/>
    </xf>
    <xf numFmtId="0" fontId="30" fillId="0" borderId="53" xfId="5" applyFont="1" applyFill="1" applyBorder="1" applyAlignment="1" applyProtection="1">
      <alignment horizontal="center"/>
    </xf>
    <xf numFmtId="0" fontId="51" fillId="0" borderId="53" xfId="5" applyFont="1" applyFill="1" applyBorder="1" applyAlignment="1" applyProtection="1">
      <alignment horizontal="left"/>
    </xf>
    <xf numFmtId="0" fontId="39" fillId="0" borderId="0" xfId="5" applyFont="1" applyFill="1" applyBorder="1" applyAlignment="1" applyProtection="1">
      <alignment horizontal="center"/>
    </xf>
    <xf numFmtId="0" fontId="163" fillId="0" borderId="0" xfId="5" applyFont="1" applyFill="1" applyBorder="1" applyProtection="1"/>
    <xf numFmtId="0" fontId="50" fillId="0" borderId="53" xfId="5" applyFont="1" applyFill="1" applyBorder="1" applyAlignment="1" applyProtection="1">
      <alignment horizontal="left"/>
    </xf>
    <xf numFmtId="0" fontId="49" fillId="0" borderId="53" xfId="5" applyFont="1" applyFill="1" applyBorder="1" applyAlignment="1" applyProtection="1">
      <alignment horizontal="right"/>
    </xf>
    <xf numFmtId="0" fontId="30" fillId="0" borderId="0" xfId="5" applyFont="1" applyBorder="1" applyAlignment="1" applyProtection="1">
      <alignment horizontal="center"/>
    </xf>
    <xf numFmtId="0" fontId="30" fillId="0" borderId="61" xfId="5" applyFont="1" applyFill="1" applyBorder="1" applyAlignment="1" applyProtection="1">
      <alignment horizontal="right"/>
    </xf>
    <xf numFmtId="0" fontId="30" fillId="0" borderId="61" xfId="5" applyFont="1" applyFill="1" applyBorder="1" applyAlignment="1" applyProtection="1">
      <alignment horizontal="center"/>
    </xf>
    <xf numFmtId="0" fontId="30" fillId="0" borderId="61" xfId="5" applyFont="1" applyFill="1" applyBorder="1" applyAlignment="1" applyProtection="1">
      <alignment horizontal="left"/>
    </xf>
    <xf numFmtId="0" fontId="163" fillId="0" borderId="61" xfId="5" applyFont="1" applyFill="1" applyBorder="1" applyAlignment="1" applyProtection="1">
      <alignment horizontal="left"/>
    </xf>
    <xf numFmtId="0" fontId="30" fillId="0" borderId="0" xfId="5" applyFont="1" applyFill="1" applyBorder="1" applyAlignment="1" applyProtection="1">
      <alignment horizontal="right"/>
    </xf>
    <xf numFmtId="0" fontId="25" fillId="0" borderId="0" xfId="5" applyFont="1" applyFill="1" applyBorder="1" applyProtection="1"/>
    <xf numFmtId="0" fontId="163" fillId="19" borderId="0" xfId="5" applyFill="1" applyBorder="1" applyAlignment="1" applyProtection="1">
      <alignment horizontal="center"/>
    </xf>
    <xf numFmtId="0" fontId="163" fillId="19" borderId="0" xfId="5" applyFill="1" applyBorder="1" applyProtection="1"/>
    <xf numFmtId="0" fontId="20" fillId="19" borderId="0" xfId="5" applyFont="1" applyFill="1" applyBorder="1" applyProtection="1"/>
    <xf numFmtId="0" fontId="90" fillId="0" borderId="0" xfId="5" applyFont="1" applyFill="1" applyAlignment="1" applyProtection="1">
      <alignment horizontal="center"/>
    </xf>
    <xf numFmtId="0" fontId="299" fillId="0" borderId="0" xfId="5" applyFont="1" applyProtection="1"/>
    <xf numFmtId="0" fontId="30" fillId="17" borderId="0" xfId="5" applyFont="1" applyFill="1" applyAlignment="1" applyProtection="1">
      <alignment horizontal="center"/>
      <protection locked="0"/>
    </xf>
    <xf numFmtId="0" fontId="35" fillId="0" borderId="0" xfId="5" applyFont="1" applyProtection="1"/>
    <xf numFmtId="0" fontId="299" fillId="0" borderId="53" xfId="5" applyFont="1" applyBorder="1" applyProtection="1"/>
    <xf numFmtId="0" fontId="31" fillId="0" borderId="0" xfId="5" applyFont="1" applyBorder="1" applyProtection="1"/>
    <xf numFmtId="0" fontId="35" fillId="0" borderId="0" xfId="5" applyFont="1" applyBorder="1" applyAlignment="1" applyProtection="1">
      <alignment horizontal="left"/>
    </xf>
    <xf numFmtId="0" fontId="163" fillId="0" borderId="0" xfId="5" applyFont="1" applyProtection="1"/>
    <xf numFmtId="0" fontId="39" fillId="17" borderId="53" xfId="5" applyFont="1" applyFill="1" applyBorder="1" applyAlignment="1" applyProtection="1">
      <alignment horizontal="left"/>
      <protection locked="0"/>
    </xf>
    <xf numFmtId="0" fontId="38" fillId="0" borderId="0" xfId="5" applyFont="1" applyFill="1" applyBorder="1" applyAlignment="1" applyProtection="1">
      <alignment horizontal="right"/>
    </xf>
    <xf numFmtId="0" fontId="39" fillId="17" borderId="54" xfId="5" applyFont="1" applyFill="1" applyBorder="1" applyAlignment="1" applyProtection="1">
      <alignment horizontal="left"/>
      <protection locked="0"/>
    </xf>
    <xf numFmtId="0" fontId="81" fillId="0" borderId="0" xfId="5" applyFont="1" applyFill="1" applyBorder="1" applyAlignment="1" applyProtection="1">
      <alignment horizontal="center"/>
    </xf>
    <xf numFmtId="0" fontId="80" fillId="17" borderId="53" xfId="5" applyFont="1" applyFill="1" applyBorder="1" applyAlignment="1" applyProtection="1">
      <alignment horizontal="left"/>
      <protection locked="0"/>
    </xf>
    <xf numFmtId="0" fontId="49" fillId="17" borderId="53" xfId="5" applyFont="1" applyFill="1" applyBorder="1" applyAlignment="1" applyProtection="1">
      <alignment horizontal="center"/>
      <protection locked="0"/>
    </xf>
    <xf numFmtId="0" fontId="54" fillId="0" borderId="0" xfId="5" applyFont="1" applyFill="1" applyBorder="1" applyAlignment="1" applyProtection="1">
      <alignment horizontal="center"/>
    </xf>
    <xf numFmtId="0" fontId="44" fillId="0" borderId="0" xfId="5" applyFont="1" applyFill="1" applyBorder="1" applyAlignment="1" applyProtection="1">
      <alignment horizontal="center"/>
      <protection locked="0"/>
    </xf>
    <xf numFmtId="0" fontId="44" fillId="0" borderId="53" xfId="5" applyFont="1" applyFill="1" applyBorder="1" applyAlignment="1" applyProtection="1">
      <alignment horizontal="center"/>
      <protection locked="0"/>
    </xf>
    <xf numFmtId="0" fontId="36" fillId="0" borderId="0" xfId="5" applyFont="1" applyFill="1" applyBorder="1" applyAlignment="1" applyProtection="1">
      <alignment horizontal="left"/>
    </xf>
    <xf numFmtId="0" fontId="80" fillId="0" borderId="0" xfId="5" applyFont="1" applyAlignment="1" applyProtection="1">
      <alignment horizontal="left"/>
    </xf>
    <xf numFmtId="0" fontId="47" fillId="0" borderId="0" xfId="5" applyFont="1" applyFill="1" applyBorder="1" applyAlignment="1" applyProtection="1">
      <alignment horizontal="left"/>
    </xf>
    <xf numFmtId="0" fontId="41" fillId="0" borderId="0" xfId="5" applyFont="1" applyFill="1" applyAlignment="1" applyProtection="1">
      <alignment horizontal="left"/>
    </xf>
    <xf numFmtId="0" fontId="64" fillId="0" borderId="0" xfId="5" applyFont="1" applyFill="1" applyAlignment="1" applyProtection="1">
      <alignment horizontal="center"/>
    </xf>
    <xf numFmtId="0" fontId="82" fillId="0" borderId="53" xfId="5" applyFont="1" applyBorder="1" applyAlignment="1" applyProtection="1">
      <alignment horizontal="right"/>
    </xf>
    <xf numFmtId="0" fontId="64" fillId="0" borderId="53" xfId="5" applyFont="1" applyFill="1" applyBorder="1" applyAlignment="1" applyProtection="1">
      <alignment horizontal="center"/>
    </xf>
    <xf numFmtId="0" fontId="27" fillId="0" borderId="53" xfId="5" applyFont="1" applyFill="1" applyBorder="1" applyAlignment="1" applyProtection="1">
      <alignment horizontal="right"/>
    </xf>
    <xf numFmtId="0" fontId="81" fillId="0" borderId="0" xfId="5" applyFont="1" applyBorder="1" applyAlignment="1" applyProtection="1">
      <alignment horizontal="left"/>
    </xf>
    <xf numFmtId="0" fontId="56" fillId="0" borderId="0" xfId="5" applyFont="1" applyBorder="1" applyAlignment="1" applyProtection="1">
      <alignment horizontal="left"/>
    </xf>
    <xf numFmtId="0" fontId="163" fillId="0" borderId="0" xfId="5" applyFont="1" applyFill="1" applyBorder="1" applyAlignment="1" applyProtection="1">
      <alignment horizontal="justify"/>
    </xf>
    <xf numFmtId="0" fontId="45" fillId="18" borderId="0" xfId="5" applyFont="1" applyFill="1" applyAlignment="1" applyProtection="1">
      <alignment horizontal="center"/>
    </xf>
    <xf numFmtId="0" fontId="45" fillId="18" borderId="0" xfId="5" applyFont="1" applyFill="1" applyBorder="1" applyAlignment="1" applyProtection="1">
      <alignment horizontal="center"/>
    </xf>
    <xf numFmtId="0" fontId="52" fillId="0" borderId="0" xfId="5" applyFont="1" applyBorder="1" applyAlignment="1" applyProtection="1">
      <alignment horizontal="left"/>
    </xf>
    <xf numFmtId="0" fontId="52" fillId="0" borderId="59" xfId="5" applyFont="1" applyBorder="1" applyAlignment="1" applyProtection="1">
      <alignment horizontal="center"/>
    </xf>
    <xf numFmtId="0" fontId="60" fillId="0" borderId="0" xfId="5" applyFont="1" applyFill="1" applyBorder="1" applyAlignment="1" applyProtection="1">
      <alignment horizontal="center"/>
    </xf>
    <xf numFmtId="0" fontId="37" fillId="0" borderId="0" xfId="5" applyFont="1" applyFill="1" applyBorder="1" applyAlignment="1" applyProtection="1">
      <alignment horizontal="right"/>
    </xf>
    <xf numFmtId="0" fontId="49" fillId="0" borderId="53" xfId="5" applyFont="1" applyFill="1" applyBorder="1" applyAlignment="1" applyProtection="1">
      <alignment horizontal="center"/>
    </xf>
    <xf numFmtId="0" fontId="37" fillId="0" borderId="53" xfId="5" applyFont="1" applyFill="1" applyBorder="1" applyAlignment="1" applyProtection="1">
      <alignment horizontal="right"/>
    </xf>
    <xf numFmtId="0" fontId="81" fillId="17" borderId="54" xfId="5" applyFont="1" applyFill="1" applyBorder="1" applyAlignment="1" applyProtection="1">
      <alignment horizontal="center"/>
      <protection locked="0"/>
    </xf>
    <xf numFmtId="0" fontId="300" fillId="17" borderId="0" xfId="5" applyFont="1" applyFill="1" applyBorder="1" applyAlignment="1" applyProtection="1">
      <alignment horizontal="center"/>
      <protection locked="0"/>
    </xf>
    <xf numFmtId="0" fontId="60" fillId="0" borderId="0" xfId="5" applyFont="1" applyFill="1" applyBorder="1" applyAlignment="1" applyProtection="1">
      <alignment horizontal="left"/>
    </xf>
    <xf numFmtId="0" fontId="20" fillId="0" borderId="0" xfId="5" applyFont="1" applyFill="1" applyAlignment="1" applyProtection="1">
      <alignment horizontal="left"/>
    </xf>
    <xf numFmtId="0" fontId="27" fillId="0" borderId="0" xfId="5" applyFont="1" applyBorder="1" applyProtection="1"/>
    <xf numFmtId="0" fontId="73" fillId="0" borderId="0" xfId="5" applyFont="1" applyFill="1" applyBorder="1" applyAlignment="1" applyProtection="1">
      <alignment horizontal="center"/>
    </xf>
    <xf numFmtId="0" fontId="73" fillId="0" borderId="0" xfId="5" applyFont="1" applyFill="1" applyBorder="1" applyAlignment="1" applyProtection="1">
      <alignment horizontal="justify"/>
    </xf>
    <xf numFmtId="0" fontId="131" fillId="0" borderId="0" xfId="5" applyFont="1" applyFill="1" applyBorder="1" applyAlignment="1" applyProtection="1">
      <alignment horizontal="center"/>
    </xf>
    <xf numFmtId="0" fontId="301" fillId="0" borderId="0" xfId="5" applyFont="1" applyFill="1" applyBorder="1" applyAlignment="1" applyProtection="1">
      <alignment horizontal="left"/>
    </xf>
    <xf numFmtId="0" fontId="49" fillId="18" borderId="0" xfId="5" applyFont="1" applyFill="1" applyAlignment="1" applyProtection="1">
      <alignment horizontal="center"/>
    </xf>
    <xf numFmtId="0" fontId="59" fillId="0" borderId="0" xfId="5" applyFont="1" applyBorder="1" applyAlignment="1" applyProtection="1">
      <alignment horizontal="center"/>
    </xf>
    <xf numFmtId="0" fontId="59" fillId="0" borderId="53" xfId="5" applyFont="1" applyBorder="1" applyAlignment="1" applyProtection="1">
      <alignment horizontal="center"/>
    </xf>
    <xf numFmtId="0" fontId="88" fillId="0" borderId="0" xfId="5" applyFont="1" applyFill="1" applyAlignment="1" applyProtection="1">
      <alignment horizontal="left"/>
    </xf>
    <xf numFmtId="0" fontId="59" fillId="0" borderId="0" xfId="5" applyFont="1" applyFill="1" applyAlignment="1" applyProtection="1">
      <alignment horizontal="center"/>
    </xf>
    <xf numFmtId="0" fontId="302" fillId="0" borderId="0" xfId="5" applyFont="1" applyAlignment="1" applyProtection="1">
      <alignment horizontal="left"/>
    </xf>
    <xf numFmtId="0" fontId="302" fillId="0" borderId="0" xfId="5" applyFont="1" applyBorder="1" applyAlignment="1" applyProtection="1">
      <alignment horizontal="left"/>
    </xf>
    <xf numFmtId="0" fontId="65" fillId="0" borderId="0" xfId="5" applyFont="1" applyBorder="1" applyAlignment="1" applyProtection="1">
      <alignment horizontal="center"/>
    </xf>
    <xf numFmtId="0" fontId="302" fillId="0" borderId="0" xfId="5" applyFont="1" applyFill="1" applyBorder="1" applyAlignment="1" applyProtection="1">
      <alignment horizontal="center"/>
    </xf>
    <xf numFmtId="0" fontId="302" fillId="0" borderId="0" xfId="5" applyFont="1" applyFill="1" applyBorder="1" applyAlignment="1" applyProtection="1">
      <alignment horizontal="left"/>
    </xf>
    <xf numFmtId="0" fontId="41" fillId="0" borderId="53" xfId="5" applyFont="1" applyFill="1" applyBorder="1" applyAlignment="1" applyProtection="1">
      <alignment horizontal="center"/>
    </xf>
    <xf numFmtId="0" fontId="302" fillId="0" borderId="0" xfId="5" applyFont="1" applyFill="1" applyAlignment="1" applyProtection="1">
      <alignment horizontal="left"/>
    </xf>
    <xf numFmtId="0" fontId="83" fillId="0" borderId="0" xfId="5" applyFont="1" applyFill="1" applyBorder="1" applyAlignment="1" applyProtection="1">
      <alignment horizontal="left"/>
    </xf>
    <xf numFmtId="0" fontId="65" fillId="0" borderId="0" xfId="5" applyFont="1" applyAlignment="1" applyProtection="1">
      <alignment horizontal="center"/>
    </xf>
    <xf numFmtId="0" fontId="65" fillId="0" borderId="0" xfId="5" applyFont="1" applyFill="1" applyAlignment="1" applyProtection="1">
      <alignment horizontal="left"/>
    </xf>
    <xf numFmtId="0" fontId="42" fillId="0" borderId="0" xfId="5" applyFont="1" applyFill="1" applyAlignment="1" applyProtection="1">
      <alignment horizontal="left"/>
    </xf>
    <xf numFmtId="0" fontId="81" fillId="0" borderId="53" xfId="5" applyFont="1" applyBorder="1" applyAlignment="1" applyProtection="1">
      <alignment horizontal="left"/>
    </xf>
    <xf numFmtId="0" fontId="65" fillId="0" borderId="53" xfId="5" applyFont="1" applyBorder="1" applyAlignment="1" applyProtection="1">
      <alignment horizontal="center"/>
    </xf>
    <xf numFmtId="0" fontId="52" fillId="0" borderId="0" xfId="5" applyFont="1" applyFill="1" applyAlignment="1" applyProtection="1">
      <alignment horizontal="center"/>
    </xf>
    <xf numFmtId="0" fontId="20" fillId="0" borderId="0" xfId="5" applyFont="1" applyFill="1" applyAlignment="1" applyProtection="1">
      <alignment horizontal="right"/>
    </xf>
    <xf numFmtId="0" fontId="84" fillId="0" borderId="53" xfId="5" applyFont="1" applyFill="1" applyBorder="1" applyAlignment="1" applyProtection="1">
      <alignment horizontal="left"/>
    </xf>
    <xf numFmtId="0" fontId="262" fillId="0" borderId="0" xfId="5" applyFont="1" applyFill="1" applyBorder="1" applyAlignment="1" applyProtection="1">
      <alignment horizontal="left"/>
    </xf>
    <xf numFmtId="0" fontId="54" fillId="0" borderId="0" xfId="5" applyFont="1" applyFill="1" applyAlignment="1" applyProtection="1">
      <alignment horizontal="center"/>
    </xf>
    <xf numFmtId="0" fontId="41" fillId="0" borderId="0" xfId="5" applyFont="1" applyBorder="1" applyAlignment="1" applyProtection="1">
      <alignment horizontal="left"/>
    </xf>
    <xf numFmtId="0" fontId="86" fillId="0" borderId="0" xfId="5" applyFont="1" applyFill="1" applyBorder="1" applyAlignment="1" applyProtection="1">
      <alignment horizontal="center"/>
    </xf>
    <xf numFmtId="0" fontId="60" fillId="0" borderId="0" xfId="5" applyFont="1" applyAlignment="1" applyProtection="1">
      <alignment horizontal="center"/>
    </xf>
    <xf numFmtId="0" fontId="40" fillId="0" borderId="0" xfId="5" applyFont="1" applyAlignment="1" applyProtection="1">
      <alignment horizontal="left"/>
    </xf>
    <xf numFmtId="0" fontId="242" fillId="0" borderId="0" xfId="5" applyFont="1" applyAlignment="1" applyProtection="1">
      <alignment horizontal="center"/>
    </xf>
    <xf numFmtId="0" fontId="40" fillId="0" borderId="0" xfId="5" applyFont="1" applyAlignment="1" applyProtection="1">
      <alignment horizontal="center"/>
    </xf>
    <xf numFmtId="0" fontId="235" fillId="0" borderId="0" xfId="5" applyFont="1" applyFill="1" applyBorder="1" applyAlignment="1" applyProtection="1">
      <alignment horizontal="center"/>
    </xf>
    <xf numFmtId="0" fontId="242" fillId="0" borderId="0" xfId="5" applyFont="1" applyFill="1" applyAlignment="1" applyProtection="1">
      <alignment horizontal="center"/>
    </xf>
    <xf numFmtId="0" fontId="40" fillId="0" borderId="0" xfId="5" applyFont="1" applyFill="1" applyBorder="1" applyAlignment="1" applyProtection="1">
      <alignment horizontal="center"/>
    </xf>
    <xf numFmtId="0" fontId="242" fillId="0" borderId="0" xfId="5" applyFont="1" applyFill="1" applyAlignment="1" applyProtection="1">
      <alignment horizontal="right"/>
    </xf>
    <xf numFmtId="0" fontId="60" fillId="0" borderId="0" xfId="5" applyFont="1" applyFill="1" applyAlignment="1" applyProtection="1">
      <alignment horizontal="center"/>
    </xf>
    <xf numFmtId="0" fontId="60" fillId="0" borderId="0" xfId="5" applyFont="1" applyFill="1" applyAlignment="1" applyProtection="1">
      <alignment horizontal="right"/>
    </xf>
    <xf numFmtId="0" fontId="302" fillId="0" borderId="53" xfId="5" applyFont="1" applyFill="1" applyBorder="1" applyAlignment="1" applyProtection="1">
      <alignment horizontal="center"/>
    </xf>
    <xf numFmtId="0" fontId="303" fillId="0" borderId="0" xfId="5" applyFont="1" applyFill="1" applyBorder="1" applyAlignment="1" applyProtection="1">
      <alignment horizontal="center"/>
    </xf>
    <xf numFmtId="0" fontId="58" fillId="0" borderId="0" xfId="5" applyFont="1" applyAlignment="1" applyProtection="1">
      <alignment horizontal="center"/>
    </xf>
    <xf numFmtId="0" fontId="304" fillId="0" borderId="0" xfId="5" applyFont="1" applyFill="1" applyBorder="1" applyAlignment="1" applyProtection="1">
      <alignment horizontal="center"/>
    </xf>
    <xf numFmtId="0" fontId="302" fillId="0" borderId="0" xfId="5" applyFont="1" applyAlignment="1" applyProtection="1">
      <alignment horizontal="center"/>
    </xf>
    <xf numFmtId="0" fontId="52" fillId="0" borderId="0" xfId="5" applyFont="1" applyBorder="1" applyAlignment="1" applyProtection="1">
      <alignment horizontal="center"/>
    </xf>
    <xf numFmtId="0" fontId="302" fillId="0" borderId="0" xfId="5" applyFont="1" applyBorder="1" applyAlignment="1" applyProtection="1">
      <alignment horizontal="center"/>
    </xf>
    <xf numFmtId="0" fontId="52" fillId="0" borderId="0" xfId="5" applyFont="1" applyAlignment="1" applyProtection="1">
      <alignment horizontal="center"/>
    </xf>
    <xf numFmtId="0" fontId="163" fillId="10" borderId="0" xfId="5" applyFont="1" applyFill="1" applyBorder="1" applyAlignment="1" applyProtection="1">
      <alignment horizontal="center"/>
    </xf>
    <xf numFmtId="0" fontId="305" fillId="0" borderId="0" xfId="5" applyFont="1" applyFill="1" applyBorder="1" applyAlignment="1" applyProtection="1">
      <alignment horizontal="right"/>
    </xf>
    <xf numFmtId="0" fontId="88" fillId="0" borderId="0" xfId="5" applyFont="1" applyFill="1" applyBorder="1" applyAlignment="1" applyProtection="1">
      <alignment horizontal="right"/>
    </xf>
    <xf numFmtId="0" fontId="306" fillId="0" borderId="0" xfId="5" applyFont="1" applyFill="1" applyBorder="1" applyAlignment="1" applyProtection="1">
      <alignment horizontal="right"/>
    </xf>
    <xf numFmtId="0" fontId="52" fillId="0" borderId="53" xfId="5" applyFont="1" applyFill="1" applyBorder="1" applyAlignment="1" applyProtection="1">
      <alignment horizontal="center"/>
    </xf>
    <xf numFmtId="0" fontId="302" fillId="0" borderId="53" xfId="5" applyFont="1" applyFill="1" applyBorder="1" applyAlignment="1" applyProtection="1">
      <alignment horizontal="left"/>
    </xf>
    <xf numFmtId="0" fontId="211" fillId="0" borderId="0" xfId="5" applyFont="1" applyProtection="1"/>
    <xf numFmtId="0" fontId="163" fillId="0" borderId="0" xfId="5" applyFill="1" applyAlignment="1" applyProtection="1">
      <alignment horizontal="left"/>
    </xf>
    <xf numFmtId="0" fontId="49" fillId="0" borderId="0" xfId="5" applyFont="1" applyFill="1" applyAlignment="1" applyProtection="1">
      <alignment horizontal="center"/>
    </xf>
    <xf numFmtId="0" fontId="39" fillId="0" borderId="0" xfId="5" applyFont="1" applyFill="1" applyAlignment="1" applyProtection="1">
      <alignment horizontal="left"/>
    </xf>
    <xf numFmtId="0" fontId="30" fillId="0" borderId="0" xfId="5" applyFont="1" applyFill="1" applyAlignment="1" applyProtection="1">
      <alignment horizontal="left"/>
    </xf>
    <xf numFmtId="0" fontId="30" fillId="0" borderId="62" xfId="5" applyFont="1" applyFill="1" applyBorder="1" applyAlignment="1" applyProtection="1">
      <alignment horizontal="right"/>
    </xf>
    <xf numFmtId="0" fontId="163" fillId="0" borderId="62" xfId="5" applyFont="1" applyFill="1" applyBorder="1" applyAlignment="1" applyProtection="1">
      <alignment horizontal="center"/>
    </xf>
    <xf numFmtId="0" fontId="30" fillId="0" borderId="0" xfId="5" applyFont="1" applyBorder="1" applyAlignment="1" applyProtection="1">
      <alignment horizontal="left"/>
    </xf>
    <xf numFmtId="0" fontId="296" fillId="0" borderId="0" xfId="5" applyFont="1" applyBorder="1" applyAlignment="1" applyProtection="1">
      <alignment horizontal="left"/>
    </xf>
    <xf numFmtId="0" fontId="307" fillId="0" borderId="0" xfId="5" applyFont="1" applyFill="1" applyBorder="1" applyAlignment="1" applyProtection="1">
      <alignment horizontal="left"/>
    </xf>
    <xf numFmtId="0" fontId="87" fillId="0" borderId="0" xfId="5" applyFont="1" applyFill="1" applyBorder="1" applyAlignment="1" applyProtection="1">
      <alignment horizontal="left"/>
    </xf>
    <xf numFmtId="0" fontId="296" fillId="0" borderId="0" xfId="5" applyFont="1" applyFill="1" applyBorder="1" applyAlignment="1" applyProtection="1">
      <alignment horizontal="left"/>
    </xf>
    <xf numFmtId="0" fontId="64" fillId="0" borderId="0" xfId="5" applyFont="1" applyFill="1" applyBorder="1" applyAlignment="1" applyProtection="1">
      <alignment horizontal="left"/>
    </xf>
    <xf numFmtId="0" fontId="163" fillId="19" borderId="0" xfId="5" applyFont="1" applyFill="1" applyBorder="1" applyProtection="1"/>
    <xf numFmtId="0" fontId="20" fillId="0" borderId="0" xfId="5" applyFont="1" applyFill="1" applyProtection="1"/>
    <xf numFmtId="0" fontId="163" fillId="0" borderId="0" xfId="5" applyFont="1" applyFill="1" applyProtection="1"/>
    <xf numFmtId="0" fontId="32" fillId="0" borderId="0" xfId="5" applyFont="1" applyAlignment="1" applyProtection="1">
      <alignment horizontal="left"/>
    </xf>
    <xf numFmtId="0" fontId="163" fillId="0" borderId="53" xfId="5" applyFont="1" applyBorder="1" applyProtection="1"/>
    <xf numFmtId="0" fontId="308" fillId="0" borderId="0" xfId="5" applyFont="1" applyFill="1" applyAlignment="1" applyProtection="1">
      <alignment horizontal="center"/>
    </xf>
    <xf numFmtId="0" fontId="163" fillId="17" borderId="54" xfId="5" applyFont="1" applyFill="1" applyBorder="1" applyAlignment="1" applyProtection="1">
      <alignment horizontal="center"/>
      <protection locked="0"/>
    </xf>
    <xf numFmtId="0" fontId="163" fillId="17" borderId="53" xfId="5" applyFont="1" applyFill="1" applyBorder="1" applyAlignment="1" applyProtection="1">
      <alignment horizontal="center"/>
      <protection locked="0"/>
    </xf>
    <xf numFmtId="0" fontId="39" fillId="0" borderId="0" xfId="5" applyFont="1" applyAlignment="1" applyProtection="1">
      <alignment horizontal="center"/>
    </xf>
    <xf numFmtId="0" fontId="83" fillId="17" borderId="53" xfId="5" applyFont="1" applyFill="1" applyBorder="1" applyAlignment="1" applyProtection="1">
      <alignment horizontal="center"/>
      <protection locked="0"/>
    </xf>
    <xf numFmtId="0" fontId="83" fillId="17" borderId="0" xfId="5" applyFont="1" applyFill="1" applyBorder="1" applyAlignment="1" applyProtection="1">
      <alignment horizontal="center"/>
      <protection locked="0"/>
    </xf>
    <xf numFmtId="0" fontId="83" fillId="0" borderId="0" xfId="5" applyFont="1" applyFill="1" applyBorder="1" applyAlignment="1" applyProtection="1">
      <alignment horizontal="center"/>
    </xf>
    <xf numFmtId="0" fontId="51" fillId="0" borderId="57" xfId="5" applyFont="1" applyFill="1" applyBorder="1" applyAlignment="1" applyProtection="1">
      <alignment horizontal="left"/>
    </xf>
    <xf numFmtId="0" fontId="52" fillId="0" borderId="57" xfId="5" applyFont="1" applyFill="1" applyBorder="1" applyAlignment="1" applyProtection="1">
      <alignment horizontal="center"/>
    </xf>
    <xf numFmtId="0" fontId="52" fillId="0" borderId="59" xfId="5" applyFont="1" applyFill="1" applyBorder="1" applyAlignment="1" applyProtection="1">
      <alignment horizontal="center"/>
    </xf>
    <xf numFmtId="0" fontId="48" fillId="0" borderId="0" xfId="5" applyFont="1" applyAlignment="1" applyProtection="1">
      <alignment horizontal="left"/>
    </xf>
    <xf numFmtId="0" fontId="42" fillId="0" borderId="0" xfId="5" applyFont="1" applyBorder="1" applyProtection="1"/>
    <xf numFmtId="0" fontId="42" fillId="0" borderId="0" xfId="5" applyFont="1" applyProtection="1"/>
    <xf numFmtId="0" fontId="42" fillId="0" borderId="0" xfId="5" applyFont="1" applyAlignment="1" applyProtection="1">
      <alignment horizontal="right"/>
    </xf>
    <xf numFmtId="0" fontId="80" fillId="0" borderId="0" xfId="5" applyFont="1" applyBorder="1" applyAlignment="1" applyProtection="1">
      <alignment horizontal="center"/>
    </xf>
    <xf numFmtId="0" fontId="42" fillId="0" borderId="0" xfId="5" applyFont="1" applyFill="1" applyBorder="1" applyAlignment="1" applyProtection="1">
      <alignment horizontal="right"/>
    </xf>
    <xf numFmtId="0" fontId="58" fillId="0" borderId="0" xfId="5" applyFont="1" applyBorder="1" applyAlignment="1" applyProtection="1">
      <alignment horizontal="left"/>
    </xf>
    <xf numFmtId="0" fontId="45" fillId="18" borderId="53" xfId="5" applyFont="1" applyFill="1" applyBorder="1" applyAlignment="1" applyProtection="1">
      <alignment horizontal="center"/>
    </xf>
    <xf numFmtId="0" fontId="30" fillId="17" borderId="0" xfId="5" applyFont="1" applyFill="1" applyAlignment="1" applyProtection="1">
      <alignment horizontal="left"/>
      <protection locked="0"/>
    </xf>
    <xf numFmtId="0" fontId="163" fillId="0" borderId="0" xfId="5" applyFont="1" applyBorder="1" applyProtection="1"/>
    <xf numFmtId="0" fontId="25" fillId="0" borderId="0" xfId="5" applyFont="1" applyBorder="1" applyProtection="1"/>
    <xf numFmtId="0" fontId="25" fillId="0" borderId="0" xfId="5" applyFont="1" applyProtection="1"/>
    <xf numFmtId="0" fontId="64" fillId="0" borderId="0" xfId="5" applyFont="1" applyBorder="1" applyAlignment="1" applyProtection="1">
      <alignment horizontal="left"/>
    </xf>
    <xf numFmtId="0" fontId="163" fillId="0" borderId="0" xfId="5" applyFill="1" applyBorder="1"/>
    <xf numFmtId="0" fontId="42" fillId="0" borderId="55" xfId="5" applyFont="1" applyBorder="1" applyAlignment="1" applyProtection="1">
      <alignment horizontal="left"/>
    </xf>
    <xf numFmtId="0" fontId="27" fillId="0" borderId="0" xfId="5" applyFont="1" applyBorder="1" applyAlignment="1" applyProtection="1">
      <alignment horizontal="right"/>
    </xf>
    <xf numFmtId="0" fontId="300" fillId="0" borderId="0" xfId="5" applyFont="1" applyBorder="1" applyAlignment="1" applyProtection="1">
      <alignment horizontal="center"/>
    </xf>
    <xf numFmtId="0" fontId="300" fillId="0" borderId="53" xfId="5" applyFont="1" applyBorder="1" applyAlignment="1" applyProtection="1">
      <alignment horizontal="center"/>
    </xf>
    <xf numFmtId="0" fontId="51" fillId="0" borderId="0" xfId="5" applyFont="1" applyFill="1" applyAlignment="1" applyProtection="1">
      <alignment horizontal="center"/>
    </xf>
    <xf numFmtId="0" fontId="37" fillId="0" borderId="0" xfId="5" applyFont="1" applyFill="1" applyAlignment="1" applyProtection="1">
      <alignment horizontal="left"/>
    </xf>
    <xf numFmtId="0" fontId="51" fillId="0" borderId="55" xfId="5" applyFont="1" applyFill="1" applyBorder="1" applyAlignment="1" applyProtection="1">
      <alignment horizontal="left"/>
    </xf>
    <xf numFmtId="0" fontId="163" fillId="0" borderId="56" xfId="5" applyFont="1" applyFill="1" applyBorder="1" applyAlignment="1" applyProtection="1">
      <alignment horizontal="center"/>
    </xf>
    <xf numFmtId="0" fontId="42" fillId="0" borderId="55" xfId="5" applyFont="1" applyFill="1" applyBorder="1" applyAlignment="1" applyProtection="1">
      <alignment horizontal="left"/>
    </xf>
    <xf numFmtId="0" fontId="44" fillId="0" borderId="56" xfId="5" applyFont="1" applyFill="1" applyBorder="1" applyAlignment="1" applyProtection="1">
      <alignment horizontal="center"/>
    </xf>
    <xf numFmtId="0" fontId="80" fillId="0" borderId="0" xfId="5" applyFont="1" applyFill="1" applyBorder="1" applyAlignment="1" applyProtection="1">
      <alignment horizontal="center"/>
    </xf>
    <xf numFmtId="0" fontId="37" fillId="0" borderId="0" xfId="5" applyFont="1" applyFill="1" applyBorder="1" applyAlignment="1" applyProtection="1">
      <alignment horizontal="left"/>
    </xf>
    <xf numFmtId="0" fontId="300" fillId="0" borderId="0" xfId="5" applyFont="1" applyFill="1" applyBorder="1" applyAlignment="1" applyProtection="1">
      <alignment horizontal="left"/>
    </xf>
    <xf numFmtId="0" fontId="50" fillId="0" borderId="0" xfId="5" applyFont="1" applyBorder="1" applyAlignment="1" applyProtection="1">
      <alignment horizontal="right"/>
    </xf>
    <xf numFmtId="0" fontId="80" fillId="0" borderId="53" xfId="5" applyFont="1" applyBorder="1" applyAlignment="1" applyProtection="1">
      <alignment horizontal="center"/>
    </xf>
    <xf numFmtId="0" fontId="37" fillId="0" borderId="53" xfId="5" applyFont="1" applyBorder="1" applyAlignment="1" applyProtection="1">
      <alignment horizontal="left"/>
    </xf>
    <xf numFmtId="0" fontId="44" fillId="0" borderId="0" xfId="5" applyFont="1" applyAlignment="1" applyProtection="1">
      <alignment horizontal="left"/>
    </xf>
    <xf numFmtId="0" fontId="73" fillId="0" borderId="0" xfId="5" applyFont="1" applyFill="1" applyBorder="1" applyAlignment="1" applyProtection="1">
      <alignment horizontal="left"/>
    </xf>
    <xf numFmtId="0" fontId="84" fillId="0" borderId="0" xfId="5" applyFont="1" applyBorder="1" applyAlignment="1" applyProtection="1">
      <alignment horizontal="left"/>
    </xf>
    <xf numFmtId="0" fontId="44" fillId="0" borderId="0" xfId="5" applyFont="1" applyFill="1" applyBorder="1" applyAlignment="1" applyProtection="1">
      <alignment horizontal="center" wrapText="1"/>
    </xf>
    <xf numFmtId="0" fontId="163" fillId="12" borderId="0" xfId="5" applyFont="1" applyFill="1" applyBorder="1" applyAlignment="1" applyProtection="1">
      <alignment horizontal="center"/>
    </xf>
    <xf numFmtId="0" fontId="82" fillId="0" borderId="0" xfId="5" applyFont="1" applyAlignment="1" applyProtection="1">
      <alignment horizontal="left"/>
    </xf>
    <xf numFmtId="0" fontId="20" fillId="0" borderId="54" xfId="5" applyFont="1" applyBorder="1" applyAlignment="1" applyProtection="1">
      <alignment horizontal="center"/>
    </xf>
    <xf numFmtId="0" fontId="163" fillId="0" borderId="54" xfId="5" applyFont="1" applyBorder="1" applyAlignment="1" applyProtection="1">
      <alignment horizontal="center"/>
    </xf>
    <xf numFmtId="0" fontId="52" fillId="0" borderId="53" xfId="5" applyFont="1" applyBorder="1" applyAlignment="1" applyProtection="1">
      <alignment horizontal="center"/>
    </xf>
    <xf numFmtId="0" fontId="45" fillId="0" borderId="0" xfId="5" applyFont="1" applyAlignment="1" applyProtection="1">
      <alignment horizontal="center"/>
    </xf>
    <xf numFmtId="0" fontId="47" fillId="0" borderId="0" xfId="5" applyFont="1" applyProtection="1"/>
    <xf numFmtId="0" fontId="47" fillId="0" borderId="0" xfId="5" applyFont="1" applyFill="1" applyProtection="1"/>
    <xf numFmtId="0" fontId="60" fillId="0" borderId="0" xfId="5" applyFont="1" applyProtection="1"/>
    <xf numFmtId="0" fontId="55" fillId="0" borderId="0" xfId="5" applyFont="1" applyAlignment="1" applyProtection="1">
      <alignment horizontal="center"/>
    </xf>
    <xf numFmtId="0" fontId="65" fillId="0" borderId="0" xfId="5" applyFont="1" applyBorder="1" applyAlignment="1" applyProtection="1">
      <alignment horizontal="left"/>
    </xf>
    <xf numFmtId="0" fontId="163" fillId="0" borderId="0" xfId="5" applyBorder="1"/>
    <xf numFmtId="0" fontId="20" fillId="0" borderId="53" xfId="5" applyFont="1" applyFill="1" applyBorder="1" applyAlignment="1" applyProtection="1">
      <alignment horizontal="left"/>
    </xf>
    <xf numFmtId="0" fontId="163" fillId="0" borderId="53" xfId="5" applyFont="1" applyBorder="1" applyAlignment="1" applyProtection="1">
      <alignment horizontal="justify"/>
    </xf>
    <xf numFmtId="0" fontId="48" fillId="0" borderId="0" xfId="5" applyFont="1" applyFill="1" applyBorder="1" applyAlignment="1" applyProtection="1">
      <alignment horizontal="center"/>
    </xf>
    <xf numFmtId="0" fontId="57" fillId="0" borderId="0" xfId="5" applyFont="1" applyFill="1" applyBorder="1" applyAlignment="1" applyProtection="1">
      <alignment horizontal="center"/>
    </xf>
    <xf numFmtId="0" fontId="44" fillId="0" borderId="0" xfId="5" applyFont="1" applyBorder="1" applyAlignment="1" applyProtection="1">
      <alignment horizontal="right"/>
    </xf>
    <xf numFmtId="0" fontId="50" fillId="0" borderId="0" xfId="5" applyFont="1" applyBorder="1" applyAlignment="1" applyProtection="1">
      <alignment horizontal="center"/>
    </xf>
    <xf numFmtId="0" fontId="50" fillId="0" borderId="53" xfId="5" applyFont="1" applyBorder="1" applyAlignment="1" applyProtection="1">
      <alignment horizontal="center"/>
    </xf>
    <xf numFmtId="0" fontId="44" fillId="0" borderId="59" xfId="5" applyFont="1" applyFill="1" applyBorder="1" applyAlignment="1" applyProtection="1">
      <alignment horizontal="center"/>
    </xf>
    <xf numFmtId="0" fontId="37" fillId="0" borderId="53" xfId="5" applyFont="1" applyFill="1" applyBorder="1" applyAlignment="1" applyProtection="1">
      <alignment horizontal="left"/>
    </xf>
    <xf numFmtId="0" fontId="20" fillId="0" borderId="62" xfId="5" applyFont="1" applyFill="1" applyBorder="1" applyAlignment="1" applyProtection="1">
      <alignment horizontal="right"/>
    </xf>
    <xf numFmtId="0" fontId="163" fillId="0" borderId="62" xfId="5" applyFont="1" applyBorder="1" applyAlignment="1" applyProtection="1">
      <alignment horizontal="justify"/>
    </xf>
    <xf numFmtId="0" fontId="84" fillId="0" borderId="0" xfId="5" applyFont="1" applyFill="1" applyBorder="1" applyAlignment="1" applyProtection="1">
      <alignment horizontal="center"/>
    </xf>
    <xf numFmtId="0" fontId="309" fillId="0" borderId="0" xfId="5" applyFont="1" applyFill="1" applyBorder="1" applyAlignment="1" applyProtection="1">
      <alignment horizontal="center"/>
    </xf>
    <xf numFmtId="0" fontId="310" fillId="0" borderId="0" xfId="5" applyFont="1" applyFill="1" applyBorder="1" applyAlignment="1" applyProtection="1">
      <alignment horizontal="center"/>
    </xf>
    <xf numFmtId="0" fontId="75" fillId="0" borderId="0" xfId="5" applyFont="1" applyFill="1" applyBorder="1" applyAlignment="1" applyProtection="1">
      <alignment horizontal="center"/>
    </xf>
    <xf numFmtId="0" fontId="75" fillId="0" borderId="53" xfId="5" applyFont="1" applyFill="1" applyBorder="1" applyAlignment="1" applyProtection="1">
      <alignment horizontal="center"/>
    </xf>
    <xf numFmtId="0" fontId="309" fillId="0" borderId="0" xfId="5" applyFont="1" applyAlignment="1" applyProtection="1">
      <alignment horizontal="center"/>
    </xf>
    <xf numFmtId="0" fontId="296" fillId="0" borderId="0" xfId="5" applyFont="1" applyAlignment="1" applyProtection="1">
      <alignment horizontal="left"/>
    </xf>
    <xf numFmtId="9" fontId="0" fillId="0" borderId="0" xfId="1" applyFont="1" applyFill="1" applyBorder="1" applyAlignment="1" applyProtection="1">
      <alignment horizontal="center"/>
    </xf>
    <xf numFmtId="0" fontId="39" fillId="0" borderId="61" xfId="5" applyFont="1" applyFill="1" applyBorder="1" applyAlignment="1" applyProtection="1">
      <alignment horizontal="right"/>
    </xf>
    <xf numFmtId="0" fontId="39" fillId="0" borderId="61" xfId="5" applyFont="1" applyFill="1" applyBorder="1" applyAlignment="1" applyProtection="1">
      <alignment horizontal="center"/>
    </xf>
    <xf numFmtId="0" fontId="39" fillId="0" borderId="61" xfId="5" applyFont="1" applyFill="1" applyBorder="1" applyAlignment="1" applyProtection="1">
      <alignment horizontal="left"/>
    </xf>
    <xf numFmtId="0" fontId="39" fillId="0" borderId="0" xfId="5" applyFont="1" applyFill="1" applyBorder="1" applyAlignment="1" applyProtection="1">
      <alignment horizontal="left"/>
    </xf>
    <xf numFmtId="0" fontId="39" fillId="0" borderId="0" xfId="5" applyFont="1" applyFill="1" applyBorder="1" applyAlignment="1" applyProtection="1">
      <alignment horizontal="right"/>
    </xf>
    <xf numFmtId="0" fontId="20" fillId="0" borderId="53" xfId="5" applyFont="1" applyFill="1" applyBorder="1" applyAlignment="1" applyProtection="1">
      <alignment horizontal="right"/>
    </xf>
    <xf numFmtId="0" fontId="25" fillId="0" borderId="0" xfId="5" applyFont="1" applyFill="1" applyBorder="1" applyAlignment="1" applyProtection="1">
      <alignment horizontal="right"/>
    </xf>
    <xf numFmtId="0" fontId="83" fillId="0" borderId="0" xfId="5" applyFont="1" applyFill="1" applyAlignment="1" applyProtection="1">
      <alignment horizontal="left"/>
    </xf>
    <xf numFmtId="0" fontId="82" fillId="0" borderId="0" xfId="5" applyFont="1" applyFill="1" applyBorder="1" applyAlignment="1" applyProtection="1">
      <alignment horizontal="center"/>
    </xf>
    <xf numFmtId="0" fontId="49" fillId="0" borderId="0" xfId="5" applyFont="1" applyFill="1" applyAlignment="1" applyProtection="1">
      <alignment horizontal="left"/>
    </xf>
    <xf numFmtId="0" fontId="56" fillId="0" borderId="0" xfId="5" applyFont="1" applyFill="1" applyBorder="1" applyAlignment="1" applyProtection="1">
      <alignment horizontal="left"/>
    </xf>
    <xf numFmtId="0" fontId="49" fillId="0" borderId="0" xfId="5" applyFont="1" applyBorder="1" applyAlignment="1" applyProtection="1">
      <alignment horizontal="left"/>
    </xf>
    <xf numFmtId="0" fontId="64" fillId="0" borderId="0" xfId="5" applyFont="1" applyFill="1" applyBorder="1" applyAlignment="1" applyProtection="1">
      <alignment horizontal="right"/>
    </xf>
    <xf numFmtId="0" fontId="81" fillId="0" borderId="58" xfId="5" applyFont="1" applyBorder="1" applyAlignment="1" applyProtection="1">
      <alignment horizontal="left"/>
    </xf>
    <xf numFmtId="0" fontId="42" fillId="0" borderId="61" xfId="5" applyFont="1" applyBorder="1" applyAlignment="1" applyProtection="1">
      <alignment horizontal="left"/>
    </xf>
    <xf numFmtId="0" fontId="40" fillId="0" borderId="0" xfId="5" applyFont="1" applyBorder="1" applyAlignment="1" applyProtection="1">
      <alignment horizontal="center"/>
    </xf>
    <xf numFmtId="0" fontId="56" fillId="0" borderId="53" xfId="5" applyFont="1" applyFill="1" applyBorder="1" applyAlignment="1" applyProtection="1">
      <alignment horizontal="left"/>
    </xf>
    <xf numFmtId="0" fontId="43" fillId="0" borderId="53" xfId="5" applyFont="1" applyFill="1" applyBorder="1" applyAlignment="1" applyProtection="1">
      <alignment horizontal="left"/>
    </xf>
    <xf numFmtId="0" fontId="300" fillId="0" borderId="0" xfId="5" applyFont="1" applyFill="1" applyBorder="1" applyAlignment="1" applyProtection="1">
      <alignment horizontal="center"/>
    </xf>
    <xf numFmtId="0" fontId="81" fillId="19" borderId="53" xfId="5" applyFont="1" applyFill="1" applyBorder="1" applyAlignment="1" applyProtection="1">
      <alignment horizontal="left"/>
    </xf>
    <xf numFmtId="0" fontId="56" fillId="19" borderId="53" xfId="5" applyFont="1" applyFill="1" applyBorder="1" applyAlignment="1" applyProtection="1">
      <alignment horizontal="left"/>
    </xf>
    <xf numFmtId="0" fontId="30" fillId="19" borderId="53" xfId="5" applyFont="1" applyFill="1" applyBorder="1" applyAlignment="1" applyProtection="1">
      <alignment horizontal="center"/>
    </xf>
    <xf numFmtId="0" fontId="42" fillId="19" borderId="53" xfId="5" applyFont="1" applyFill="1" applyBorder="1" applyAlignment="1" applyProtection="1">
      <alignment horizontal="center"/>
    </xf>
    <xf numFmtId="0" fontId="43" fillId="19" borderId="53" xfId="5" applyFont="1" applyFill="1" applyBorder="1" applyAlignment="1" applyProtection="1">
      <alignment horizontal="left"/>
    </xf>
    <xf numFmtId="0" fontId="163" fillId="19" borderId="53" xfId="5" applyFont="1" applyFill="1" applyBorder="1" applyAlignment="1" applyProtection="1">
      <alignment horizontal="justify"/>
    </xf>
    <xf numFmtId="0" fontId="41" fillId="19" borderId="53" xfId="5" applyFont="1" applyFill="1" applyBorder="1" applyAlignment="1" applyProtection="1">
      <alignment horizontal="left"/>
    </xf>
    <xf numFmtId="0" fontId="269" fillId="0" borderId="0" xfId="5" applyFont="1" applyAlignment="1" applyProtection="1">
      <alignment horizontal="left"/>
    </xf>
    <xf numFmtId="0" fontId="64" fillId="0" borderId="0" xfId="5" applyFont="1" applyFill="1" applyBorder="1" applyAlignment="1" applyProtection="1"/>
    <xf numFmtId="0" fontId="64" fillId="0" borderId="0" xfId="5" applyFont="1" applyAlignment="1" applyProtection="1"/>
    <xf numFmtId="0" fontId="64" fillId="0" borderId="0" xfId="5" applyFont="1" applyBorder="1" applyAlignment="1" applyProtection="1"/>
    <xf numFmtId="0" fontId="163" fillId="0" borderId="0" xfId="5" applyAlignment="1" applyProtection="1">
      <alignment horizontal="left"/>
    </xf>
    <xf numFmtId="0" fontId="83" fillId="0" borderId="0" xfId="5" applyFont="1" applyBorder="1" applyAlignment="1" applyProtection="1">
      <alignment horizontal="left"/>
    </xf>
    <xf numFmtId="0" fontId="53" fillId="0" borderId="0" xfId="5" applyFont="1" applyFill="1" applyAlignment="1" applyProtection="1">
      <alignment horizontal="center"/>
    </xf>
    <xf numFmtId="0" fontId="80" fillId="0" borderId="0" xfId="5" applyFont="1" applyAlignment="1" applyProtection="1">
      <alignment horizontal="right"/>
    </xf>
    <xf numFmtId="0" fontId="49" fillId="0" borderId="0" xfId="5" applyFont="1" applyAlignment="1" applyProtection="1">
      <alignment horizontal="right"/>
    </xf>
    <xf numFmtId="0" fontId="235" fillId="0" borderId="0" xfId="5" applyFont="1" applyFill="1" applyAlignment="1" applyProtection="1">
      <alignment horizontal="right"/>
    </xf>
    <xf numFmtId="0" fontId="80" fillId="0" borderId="0" xfId="5" applyFont="1" applyFill="1" applyAlignment="1" applyProtection="1">
      <alignment horizontal="right"/>
    </xf>
    <xf numFmtId="0" fontId="163" fillId="10" borderId="0" xfId="5" applyFont="1" applyFill="1" applyAlignment="1" applyProtection="1">
      <alignment horizontal="center"/>
    </xf>
    <xf numFmtId="0" fontId="20" fillId="0" borderId="0" xfId="5" applyFont="1" applyAlignment="1" applyProtection="1">
      <alignment horizontal="right"/>
    </xf>
    <xf numFmtId="0" fontId="163" fillId="0" borderId="0" xfId="5" applyFont="1" applyAlignment="1" applyProtection="1">
      <alignment horizontal="right"/>
    </xf>
    <xf numFmtId="0" fontId="20" fillId="10" borderId="0" xfId="5" applyFont="1" applyFill="1" applyAlignment="1" applyProtection="1">
      <alignment horizontal="center"/>
    </xf>
    <xf numFmtId="0" fontId="25" fillId="12" borderId="0" xfId="5" applyFont="1" applyFill="1" applyBorder="1" applyAlignment="1" applyProtection="1">
      <alignment horizontal="left"/>
    </xf>
    <xf numFmtId="0" fontId="27" fillId="0" borderId="0" xfId="5" applyFont="1" applyFill="1" applyBorder="1" applyAlignment="1" applyProtection="1">
      <alignment horizontal="right"/>
    </xf>
    <xf numFmtId="0" fontId="42" fillId="12" borderId="0" xfId="5" applyFont="1" applyFill="1" applyBorder="1" applyAlignment="1" applyProtection="1">
      <alignment horizontal="left"/>
    </xf>
    <xf numFmtId="0" fontId="41" fillId="0" borderId="53" xfId="5" applyFont="1" applyBorder="1" applyAlignment="1" applyProtection="1">
      <alignment horizontal="left"/>
    </xf>
    <xf numFmtId="0" fontId="30" fillId="17" borderId="0" xfId="5" applyFont="1" applyFill="1" applyBorder="1" applyAlignment="1" applyProtection="1">
      <alignment horizontal="center"/>
    </xf>
    <xf numFmtId="0" fontId="86" fillId="12" borderId="0" xfId="5" applyFont="1" applyFill="1" applyBorder="1" applyAlignment="1" applyProtection="1">
      <alignment horizontal="left"/>
    </xf>
    <xf numFmtId="0" fontId="60" fillId="0" borderId="53" xfId="5" applyFont="1" applyFill="1" applyBorder="1" applyAlignment="1" applyProtection="1">
      <alignment horizontal="center"/>
    </xf>
    <xf numFmtId="0" fontId="20" fillId="0" borderId="0" xfId="5" applyFont="1" applyFill="1" applyBorder="1" applyProtection="1"/>
    <xf numFmtId="0" fontId="20" fillId="0" borderId="53" xfId="5" applyFont="1" applyFill="1" applyBorder="1" applyProtection="1"/>
    <xf numFmtId="0" fontId="163" fillId="0" borderId="53" xfId="5" applyFont="1" applyFill="1" applyBorder="1" applyProtection="1"/>
    <xf numFmtId="0" fontId="20" fillId="0" borderId="0" xfId="5" applyFont="1" applyProtection="1"/>
    <xf numFmtId="0" fontId="163" fillId="0" borderId="53" xfId="5" applyBorder="1" applyAlignment="1">
      <alignment horizontal="center"/>
    </xf>
    <xf numFmtId="0" fontId="59" fillId="0" borderId="1" xfId="5" applyFont="1" applyBorder="1"/>
    <xf numFmtId="0" fontId="50" fillId="0" borderId="1" xfId="5" applyFont="1" applyBorder="1"/>
    <xf numFmtId="0" fontId="50" fillId="0" borderId="1" xfId="5" applyFont="1" applyBorder="1" applyAlignment="1">
      <alignment horizontal="center"/>
    </xf>
    <xf numFmtId="0" fontId="50" fillId="0" borderId="1" xfId="5" applyFont="1" applyBorder="1" applyAlignment="1">
      <alignment horizontal="right"/>
    </xf>
    <xf numFmtId="0" fontId="163" fillId="0" borderId="274" xfId="5" applyFont="1" applyBorder="1"/>
    <xf numFmtId="0" fontId="163" fillId="0" borderId="276" xfId="5" applyFont="1" applyBorder="1" applyAlignment="1">
      <alignment horizontal="center"/>
    </xf>
    <xf numFmtId="0" fontId="163" fillId="0" borderId="276" xfId="5" applyFont="1" applyBorder="1"/>
    <xf numFmtId="0" fontId="163" fillId="0" borderId="278" xfId="5" applyBorder="1"/>
    <xf numFmtId="0" fontId="163" fillId="0" borderId="279" xfId="5" applyBorder="1" applyAlignment="1">
      <alignment horizontal="center"/>
    </xf>
    <xf numFmtId="0" fontId="163" fillId="0" borderId="60" xfId="5" applyBorder="1" applyAlignment="1">
      <alignment horizontal="center"/>
    </xf>
    <xf numFmtId="0" fontId="163" fillId="0" borderId="36" xfId="5" applyBorder="1" applyAlignment="1">
      <alignment horizontal="center"/>
    </xf>
    <xf numFmtId="0" fontId="163" fillId="0" borderId="1" xfId="5" applyBorder="1" applyAlignment="1">
      <alignment horizontal="center"/>
    </xf>
    <xf numFmtId="0" fontId="163" fillId="0" borderId="275" xfId="5" applyBorder="1"/>
    <xf numFmtId="0" fontId="163" fillId="0" borderId="277" xfId="5" applyBorder="1"/>
    <xf numFmtId="0" fontId="163" fillId="0" borderId="277" xfId="5" applyBorder="1" applyAlignment="1">
      <alignment horizontal="center"/>
    </xf>
    <xf numFmtId="0" fontId="163" fillId="0" borderId="279" xfId="5" applyBorder="1"/>
    <xf numFmtId="0" fontId="163" fillId="0" borderId="280" xfId="5" applyBorder="1" applyAlignment="1">
      <alignment horizontal="center"/>
    </xf>
    <xf numFmtId="0" fontId="163" fillId="0" borderId="59" xfId="5" applyBorder="1" applyAlignment="1">
      <alignment horizontal="center"/>
    </xf>
    <xf numFmtId="0" fontId="163" fillId="0" borderId="281" xfId="5" applyBorder="1"/>
    <xf numFmtId="186" fontId="163" fillId="0" borderId="282" xfId="5" applyNumberFormat="1" applyBorder="1"/>
    <xf numFmtId="2" fontId="20" fillId="0" borderId="0" xfId="5" applyNumberFormat="1" applyFont="1"/>
    <xf numFmtId="0" fontId="163" fillId="0" borderId="282" xfId="5" applyBorder="1" applyAlignment="1">
      <alignment horizontal="center"/>
    </xf>
    <xf numFmtId="2" fontId="163" fillId="0" borderId="282" xfId="5" applyNumberFormat="1" applyBorder="1"/>
    <xf numFmtId="187" fontId="163" fillId="0" borderId="282" xfId="5" applyNumberFormat="1" applyBorder="1"/>
    <xf numFmtId="0" fontId="163" fillId="0" borderId="282" xfId="5" applyBorder="1"/>
    <xf numFmtId="0" fontId="163" fillId="0" borderId="283" xfId="5" applyBorder="1"/>
    <xf numFmtId="0" fontId="163" fillId="0" borderId="0" xfId="5" applyAlignment="1">
      <alignment horizontal="center"/>
    </xf>
    <xf numFmtId="0" fontId="163" fillId="0" borderId="284" xfId="5" applyBorder="1" applyAlignment="1">
      <alignment horizontal="center"/>
    </xf>
    <xf numFmtId="187" fontId="163" fillId="0" borderId="283" xfId="5" applyNumberFormat="1" applyBorder="1"/>
    <xf numFmtId="49" fontId="25" fillId="34" borderId="74" xfId="0" applyNumberFormat="1" applyFont="1" applyFill="1" applyBorder="1" applyAlignment="1">
      <alignment horizontal="center" vertical="center"/>
    </xf>
    <xf numFmtId="49" fontId="25" fillId="0" borderId="1" xfId="0" applyNumberFormat="1" applyFont="1" applyFill="1" applyBorder="1" applyAlignment="1">
      <alignment horizontal="center" vertical="center"/>
    </xf>
    <xf numFmtId="49" fontId="25" fillId="38" borderId="1" xfId="0" applyNumberFormat="1" applyFont="1" applyFill="1" applyBorder="1" applyAlignment="1">
      <alignment horizontal="center" vertical="center"/>
    </xf>
    <xf numFmtId="49" fontId="25" fillId="0" borderId="93" xfId="0" applyNumberFormat="1" applyFont="1" applyFill="1" applyBorder="1" applyAlignment="1">
      <alignment horizontal="center" vertical="center"/>
    </xf>
    <xf numFmtId="49" fontId="25" fillId="34" borderId="1" xfId="0" applyNumberFormat="1" applyFont="1" applyFill="1" applyBorder="1" applyAlignment="1">
      <alignment horizontal="center" vertical="center"/>
    </xf>
    <xf numFmtId="49" fontId="90" fillId="34" borderId="53" xfId="0" applyNumberFormat="1" applyFont="1" applyFill="1" applyBorder="1" applyAlignment="1">
      <alignment horizontal="center" vertical="center"/>
    </xf>
    <xf numFmtId="49" fontId="90" fillId="34" borderId="54" xfId="0" applyNumberFormat="1" applyFont="1" applyFill="1" applyBorder="1" applyAlignment="1">
      <alignment horizontal="center" vertical="center"/>
    </xf>
    <xf numFmtId="49" fontId="25" fillId="34" borderId="53" xfId="0" applyNumberFormat="1" applyFont="1" applyFill="1" applyBorder="1" applyAlignment="1">
      <alignment horizontal="center" vertical="center"/>
    </xf>
    <xf numFmtId="49" fontId="311" fillId="34" borderId="53" xfId="0" applyNumberFormat="1" applyFont="1" applyFill="1" applyBorder="1" applyAlignment="1">
      <alignment horizontal="center" vertical="center"/>
    </xf>
    <xf numFmtId="49" fontId="90" fillId="38" borderId="54" xfId="0" applyNumberFormat="1" applyFont="1" applyFill="1" applyBorder="1" applyAlignment="1">
      <alignment horizontal="center" vertical="center"/>
    </xf>
    <xf numFmtId="49" fontId="25" fillId="38" borderId="54" xfId="0" applyNumberFormat="1" applyFont="1" applyFill="1" applyBorder="1" applyAlignment="1">
      <alignment horizontal="center" vertical="center"/>
    </xf>
    <xf numFmtId="49" fontId="311" fillId="38" borderId="54" xfId="0" applyNumberFormat="1" applyFont="1" applyFill="1" applyBorder="1" applyAlignment="1">
      <alignment horizontal="center" vertical="center"/>
    </xf>
    <xf numFmtId="49" fontId="312" fillId="0" borderId="1" xfId="0" applyNumberFormat="1" applyFont="1" applyFill="1" applyBorder="1" applyAlignment="1">
      <alignment horizontal="center" vertical="center"/>
    </xf>
    <xf numFmtId="49" fontId="313" fillId="38" borderId="1" xfId="0" applyNumberFormat="1" applyFont="1" applyFill="1" applyBorder="1" applyAlignment="1">
      <alignment horizontal="center" vertical="center"/>
    </xf>
    <xf numFmtId="49" fontId="66" fillId="0" borderId="1" xfId="0" applyNumberFormat="1" applyFont="1" applyFill="1" applyBorder="1" applyAlignment="1">
      <alignment horizontal="center" vertical="center"/>
    </xf>
    <xf numFmtId="49" fontId="25" fillId="0" borderId="63" xfId="0" applyNumberFormat="1" applyFont="1" applyFill="1" applyBorder="1" applyAlignment="1">
      <alignment horizontal="center" vertical="center"/>
    </xf>
    <xf numFmtId="49" fontId="25" fillId="38" borderId="63" xfId="0" applyNumberFormat="1" applyFont="1" applyFill="1" applyBorder="1" applyAlignment="1">
      <alignment horizontal="center" vertical="center"/>
    </xf>
    <xf numFmtId="49" fontId="25" fillId="0" borderId="74" xfId="0" applyNumberFormat="1" applyFont="1" applyFill="1" applyBorder="1" applyAlignment="1">
      <alignment horizontal="center" vertical="center"/>
    </xf>
    <xf numFmtId="49" fontId="25" fillId="0" borderId="36" xfId="0" applyNumberFormat="1" applyFont="1" applyFill="1" applyBorder="1" applyAlignment="1">
      <alignment horizontal="center" vertical="center"/>
    </xf>
    <xf numFmtId="49" fontId="25" fillId="38" borderId="36" xfId="0" applyNumberFormat="1" applyFont="1" applyFill="1" applyBorder="1" applyAlignment="1">
      <alignment horizontal="center" vertical="center"/>
    </xf>
    <xf numFmtId="49" fontId="314" fillId="0" borderId="1" xfId="0" applyNumberFormat="1" applyFont="1" applyFill="1" applyBorder="1" applyAlignment="1">
      <alignment horizontal="center" vertical="center"/>
    </xf>
    <xf numFmtId="49" fontId="66" fillId="0" borderId="93" xfId="0" applyNumberFormat="1" applyFont="1" applyFill="1" applyBorder="1" applyAlignment="1">
      <alignment horizontal="center" vertical="center"/>
    </xf>
    <xf numFmtId="49" fontId="25" fillId="38" borderId="93" xfId="0" applyNumberFormat="1" applyFont="1" applyFill="1" applyBorder="1" applyAlignment="1">
      <alignment horizontal="center" vertical="center"/>
    </xf>
    <xf numFmtId="49" fontId="25" fillId="0" borderId="55" xfId="0" applyNumberFormat="1" applyFont="1" applyFill="1" applyBorder="1" applyAlignment="1">
      <alignment horizontal="center" vertical="center"/>
    </xf>
    <xf numFmtId="49" fontId="25" fillId="0" borderId="59" xfId="0" applyNumberFormat="1" applyFont="1" applyFill="1" applyBorder="1" applyAlignment="1">
      <alignment horizontal="center" vertical="center"/>
    </xf>
    <xf numFmtId="49" fontId="25" fillId="0" borderId="57" xfId="0" applyNumberFormat="1" applyFont="1" applyFill="1" applyBorder="1" applyAlignment="1">
      <alignment horizontal="center" vertical="center"/>
    </xf>
    <xf numFmtId="49" fontId="52" fillId="0" borderId="63" xfId="0" applyNumberFormat="1" applyFont="1" applyFill="1" applyBorder="1" applyAlignment="1">
      <alignment horizontal="center" vertical="center"/>
    </xf>
    <xf numFmtId="49" fontId="25" fillId="49" borderId="1" xfId="0" applyNumberFormat="1" applyFont="1" applyFill="1" applyBorder="1" applyAlignment="1">
      <alignment horizontal="center" vertical="center"/>
    </xf>
    <xf numFmtId="49" fontId="42" fillId="49" borderId="1" xfId="0" applyNumberFormat="1" applyFont="1" applyFill="1" applyBorder="1" applyAlignment="1">
      <alignment horizontal="center" vertical="center"/>
    </xf>
    <xf numFmtId="49" fontId="25" fillId="38" borderId="74" xfId="0" applyNumberFormat="1" applyFont="1" applyFill="1" applyBorder="1" applyAlignment="1">
      <alignment horizontal="center" vertical="center"/>
    </xf>
    <xf numFmtId="49" fontId="25" fillId="49" borderId="93" xfId="0" applyNumberFormat="1" applyFont="1" applyFill="1" applyBorder="1" applyAlignment="1">
      <alignment horizontal="center" vertical="center"/>
    </xf>
    <xf numFmtId="49" fontId="25" fillId="38" borderId="55" xfId="0" applyNumberFormat="1" applyFont="1" applyFill="1" applyBorder="1" applyAlignment="1">
      <alignment horizontal="center" vertical="center"/>
    </xf>
    <xf numFmtId="0" fontId="235" fillId="0" borderId="0" xfId="5" applyFont="1" applyFill="1" applyBorder="1" applyAlignment="1" applyProtection="1">
      <alignment horizontal="right"/>
    </xf>
    <xf numFmtId="0" fontId="235" fillId="0" borderId="0" xfId="5" applyFont="1" applyBorder="1" applyAlignment="1" applyProtection="1">
      <alignment horizontal="left"/>
    </xf>
    <xf numFmtId="0" fontId="37" fillId="0" borderId="0" xfId="5" applyFont="1" applyFill="1" applyBorder="1" applyAlignment="1" applyProtection="1">
      <alignment horizontal="center"/>
    </xf>
    <xf numFmtId="0" fontId="80" fillId="0" borderId="0" xfId="5" applyFont="1" applyBorder="1" applyAlignment="1" applyProtection="1">
      <alignment horizontal="left"/>
    </xf>
    <xf numFmtId="0" fontId="47" fillId="0" borderId="0" xfId="5" applyFont="1" applyBorder="1" applyAlignment="1" applyProtection="1">
      <alignment horizontal="left"/>
    </xf>
    <xf numFmtId="0" fontId="42" fillId="0" borderId="53" xfId="5" applyFont="1" applyFill="1" applyBorder="1" applyAlignment="1" applyProtection="1">
      <alignment horizontal="left"/>
      <protection locked="0"/>
    </xf>
    <xf numFmtId="0" fontId="315" fillId="0" borderId="0" xfId="5" applyFont="1" applyBorder="1" applyAlignment="1" applyProtection="1">
      <alignment horizontal="center"/>
    </xf>
    <xf numFmtId="0" fontId="315" fillId="0" borderId="53" xfId="5" applyFont="1" applyBorder="1" applyAlignment="1" applyProtection="1">
      <alignment horizontal="center"/>
    </xf>
    <xf numFmtId="0" fontId="20" fillId="18" borderId="0" xfId="5" applyFont="1" applyFill="1" applyAlignment="1" applyProtection="1">
      <alignment horizontal="center"/>
    </xf>
    <xf numFmtId="0" fontId="316" fillId="0" borderId="0" xfId="5" applyFont="1" applyFill="1" applyBorder="1" applyAlignment="1" applyProtection="1">
      <alignment horizontal="center"/>
    </xf>
    <xf numFmtId="0" fontId="317" fillId="18" borderId="53" xfId="5" applyFont="1" applyFill="1" applyBorder="1" applyAlignment="1" applyProtection="1">
      <alignment horizontal="center"/>
    </xf>
    <xf numFmtId="0" fontId="317" fillId="0" borderId="53" xfId="5" applyFont="1" applyFill="1" applyBorder="1" applyAlignment="1" applyProtection="1">
      <alignment horizontal="center"/>
    </xf>
    <xf numFmtId="0" fontId="163" fillId="0" borderId="53" xfId="5" applyFont="1" applyBorder="1" applyAlignment="1" applyProtection="1">
      <alignment horizontal="right"/>
    </xf>
    <xf numFmtId="0" fontId="64" fillId="0" borderId="0" xfId="5" applyFont="1" applyFill="1" applyAlignment="1" applyProtection="1">
      <alignment horizontal="left"/>
    </xf>
    <xf numFmtId="0" fontId="30" fillId="0" borderId="58" xfId="5" applyFont="1" applyFill="1" applyBorder="1" applyAlignment="1" applyProtection="1">
      <alignment horizontal="center"/>
    </xf>
    <xf numFmtId="0" fontId="44" fillId="0" borderId="58" xfId="5" applyFont="1" applyFill="1" applyBorder="1" applyAlignment="1" applyProtection="1">
      <alignment horizontal="center"/>
    </xf>
    <xf numFmtId="0" fontId="60" fillId="0" borderId="58" xfId="5" applyFont="1" applyFill="1" applyBorder="1" applyAlignment="1" applyProtection="1">
      <alignment horizontal="center"/>
    </xf>
    <xf numFmtId="0" fontId="82" fillId="0" borderId="0" xfId="5" applyFont="1" applyFill="1" applyBorder="1" applyAlignment="1" applyProtection="1">
      <alignment horizontal="right"/>
    </xf>
    <xf numFmtId="0" fontId="40" fillId="0" borderId="0" xfId="5" applyFont="1" applyFill="1" applyAlignment="1" applyProtection="1">
      <alignment horizontal="center"/>
    </xf>
    <xf numFmtId="0" fontId="82" fillId="0" borderId="53" xfId="5" applyFont="1" applyFill="1" applyBorder="1" applyAlignment="1" applyProtection="1">
      <alignment horizontal="right"/>
    </xf>
    <xf numFmtId="0" fontId="40" fillId="0" borderId="53" xfId="5" applyFont="1" applyBorder="1" applyAlignment="1" applyProtection="1">
      <alignment horizontal="center"/>
    </xf>
    <xf numFmtId="0" fontId="40" fillId="0" borderId="53" xfId="5" applyFont="1" applyFill="1" applyBorder="1" applyAlignment="1" applyProtection="1">
      <alignment horizontal="center"/>
    </xf>
    <xf numFmtId="0" fontId="44" fillId="19" borderId="0" xfId="5" applyFont="1" applyFill="1" applyBorder="1" applyAlignment="1" applyProtection="1">
      <alignment horizontal="center"/>
      <protection locked="0"/>
    </xf>
    <xf numFmtId="0" fontId="20" fillId="0" borderId="0" xfId="5" applyFont="1" applyAlignment="1" applyProtection="1">
      <alignment horizontal="left"/>
    </xf>
    <xf numFmtId="0" fontId="318" fillId="0" borderId="0" xfId="5" applyFont="1" applyBorder="1" applyAlignment="1" applyProtection="1">
      <alignment horizontal="center"/>
    </xf>
    <xf numFmtId="0" fontId="88" fillId="0" borderId="0" xfId="5" applyFont="1" applyBorder="1" applyAlignment="1" applyProtection="1">
      <alignment horizontal="center"/>
    </xf>
    <xf numFmtId="0" fontId="235" fillId="0" borderId="53" xfId="5" applyFont="1" applyFill="1" applyBorder="1" applyAlignment="1" applyProtection="1">
      <alignment horizontal="center"/>
    </xf>
    <xf numFmtId="0" fontId="318" fillId="0" borderId="53" xfId="5" applyFont="1" applyBorder="1" applyAlignment="1" applyProtection="1">
      <alignment horizontal="center"/>
    </xf>
    <xf numFmtId="0" fontId="73" fillId="0" borderId="0" xfId="5" applyFont="1" applyFill="1" applyAlignment="1" applyProtection="1">
      <alignment horizontal="center"/>
    </xf>
    <xf numFmtId="0" fontId="73" fillId="0" borderId="0" xfId="5" applyFont="1" applyAlignment="1" applyProtection="1">
      <alignment horizontal="center"/>
    </xf>
    <xf numFmtId="0" fontId="315" fillId="0" borderId="0" xfId="5" applyFont="1" applyFill="1" applyAlignment="1" applyProtection="1">
      <alignment horizontal="center"/>
    </xf>
    <xf numFmtId="0" fontId="45" fillId="0" borderId="0" xfId="5" applyFont="1" applyBorder="1" applyAlignment="1" applyProtection="1">
      <alignment horizontal="left"/>
    </xf>
    <xf numFmtId="0" fontId="66" fillId="0" borderId="0" xfId="5" applyFont="1" applyAlignment="1">
      <alignment horizontal="left"/>
    </xf>
    <xf numFmtId="0" fontId="65" fillId="0" borderId="0" xfId="5" applyFont="1"/>
    <xf numFmtId="0" fontId="163" fillId="0" borderId="0" xfId="5" applyFont="1" applyAlignment="1" applyProtection="1">
      <alignment horizontal="justify"/>
    </xf>
    <xf numFmtId="0" fontId="25" fillId="0" borderId="0" xfId="5" applyFont="1" applyAlignment="1" applyProtection="1">
      <alignment horizontal="justify"/>
    </xf>
    <xf numFmtId="0" fontId="73" fillId="0" borderId="53" xfId="5" applyFont="1" applyFill="1" applyBorder="1" applyAlignment="1" applyProtection="1">
      <alignment horizontal="center"/>
    </xf>
    <xf numFmtId="0" fontId="59" fillId="0" borderId="0" xfId="5" applyFont="1" applyAlignment="1" applyProtection="1">
      <alignment horizontal="right"/>
    </xf>
    <xf numFmtId="0" fontId="63" fillId="0" borderId="0" xfId="5" applyFont="1" applyFill="1" applyBorder="1" applyAlignment="1" applyProtection="1">
      <alignment horizontal="left"/>
    </xf>
    <xf numFmtId="0" fontId="163" fillId="0" borderId="61" xfId="5" applyFont="1" applyFill="1" applyBorder="1" applyAlignment="1" applyProtection="1">
      <alignment horizontal="center"/>
    </xf>
    <xf numFmtId="0" fontId="20" fillId="0" borderId="61" xfId="5" applyFont="1" applyBorder="1" applyAlignment="1" applyProtection="1">
      <alignment horizontal="center"/>
    </xf>
    <xf numFmtId="0" fontId="42" fillId="0" borderId="61" xfId="5" applyFont="1" applyFill="1" applyBorder="1" applyAlignment="1" applyProtection="1">
      <alignment horizontal="left"/>
    </xf>
    <xf numFmtId="0" fontId="163" fillId="0" borderId="61" xfId="5" applyBorder="1" applyAlignment="1" applyProtection="1">
      <alignment horizontal="center"/>
    </xf>
    <xf numFmtId="0" fontId="63" fillId="0" borderId="53" xfId="5" applyFont="1" applyFill="1" applyBorder="1" applyAlignment="1" applyProtection="1">
      <alignment horizontal="left"/>
    </xf>
    <xf numFmtId="0" fontId="45" fillId="0" borderId="53" xfId="5" applyFont="1" applyFill="1" applyBorder="1" applyAlignment="1" applyProtection="1">
      <alignment horizontal="left"/>
    </xf>
    <xf numFmtId="0" fontId="66" fillId="0" borderId="0" xfId="5" applyFont="1" applyFill="1" applyAlignment="1" applyProtection="1">
      <alignment horizontal="center"/>
    </xf>
    <xf numFmtId="0" fontId="67" fillId="0" borderId="0" xfId="5" applyFont="1" applyFill="1" applyBorder="1" applyAlignment="1" applyProtection="1">
      <alignment horizontal="center"/>
    </xf>
    <xf numFmtId="0" fontId="65" fillId="0" borderId="0" xfId="5" applyFont="1" applyBorder="1"/>
    <xf numFmtId="0" fontId="65" fillId="0" borderId="0" xfId="5" applyFont="1" applyFill="1"/>
    <xf numFmtId="0" fontId="163" fillId="0" borderId="0" xfId="5" applyFont="1" applyAlignment="1">
      <alignment horizontal="center"/>
    </xf>
    <xf numFmtId="0" fontId="52" fillId="0" borderId="0" xfId="5" applyFont="1" applyAlignment="1" applyProtection="1">
      <alignment horizontal="right"/>
    </xf>
    <xf numFmtId="0" fontId="55" fillId="0" borderId="0" xfId="5" applyFont="1" applyFill="1" applyBorder="1" applyAlignment="1" applyProtection="1">
      <alignment horizontal="center"/>
    </xf>
    <xf numFmtId="0" fontId="65" fillId="0" borderId="0" xfId="5" applyFont="1" applyFill="1" applyAlignment="1" applyProtection="1">
      <alignment horizontal="center"/>
    </xf>
    <xf numFmtId="0" fontId="163" fillId="0" borderId="0" xfId="5" applyAlignment="1" applyProtection="1">
      <alignment horizontal="right"/>
    </xf>
    <xf numFmtId="0" fontId="47" fillId="0" borderId="0" xfId="5" applyFont="1" applyAlignment="1" applyProtection="1">
      <alignment horizontal="center"/>
    </xf>
    <xf numFmtId="0" fontId="163" fillId="12" borderId="0" xfId="5" applyFill="1" applyBorder="1" applyAlignment="1" applyProtection="1">
      <alignment horizontal="center"/>
    </xf>
    <xf numFmtId="0" fontId="65" fillId="0" borderId="0" xfId="5" applyFont="1" applyFill="1" applyBorder="1" applyAlignment="1" applyProtection="1">
      <alignment horizontal="right"/>
    </xf>
    <xf numFmtId="0" fontId="66" fillId="0" borderId="0" xfId="5" applyFont="1" applyFill="1" applyBorder="1" applyAlignment="1" applyProtection="1">
      <alignment horizontal="right"/>
    </xf>
    <xf numFmtId="0" fontId="65" fillId="0" borderId="53" xfId="5" applyFont="1" applyFill="1" applyBorder="1" applyAlignment="1" applyProtection="1">
      <alignment horizontal="center"/>
    </xf>
    <xf numFmtId="0" fontId="67" fillId="0" borderId="0" xfId="5" applyFont="1" applyBorder="1" applyAlignment="1" applyProtection="1">
      <alignment horizontal="left"/>
    </xf>
    <xf numFmtId="0" fontId="163" fillId="11" borderId="0" xfId="5" applyFont="1" applyFill="1" applyBorder="1" applyAlignment="1" applyProtection="1">
      <alignment horizontal="center"/>
    </xf>
    <xf numFmtId="0" fontId="211" fillId="0" borderId="0" xfId="5" applyFont="1" applyAlignment="1" applyProtection="1">
      <alignment horizontal="left"/>
    </xf>
    <xf numFmtId="0" fontId="163" fillId="0" borderId="0" xfId="5" applyFont="1" applyFill="1" applyAlignment="1" applyProtection="1">
      <alignment horizontal="left"/>
    </xf>
    <xf numFmtId="0" fontId="39" fillId="0" borderId="53" xfId="5" applyFont="1" applyFill="1" applyBorder="1" applyAlignment="1" applyProtection="1">
      <alignment horizontal="right"/>
    </xf>
    <xf numFmtId="0" fontId="39" fillId="0" borderId="53" xfId="5" applyFont="1" applyFill="1" applyBorder="1" applyAlignment="1" applyProtection="1">
      <alignment horizontal="center"/>
    </xf>
    <xf numFmtId="0" fontId="39" fillId="0" borderId="53" xfId="5" applyFont="1" applyFill="1" applyBorder="1" applyAlignment="1" applyProtection="1">
      <alignment horizontal="left"/>
    </xf>
    <xf numFmtId="0" fontId="319" fillId="0" borderId="0" xfId="5" applyFont="1" applyFill="1" applyAlignment="1" applyProtection="1">
      <alignment horizontal="center"/>
    </xf>
    <xf numFmtId="0" fontId="64" fillId="0" borderId="53" xfId="5" applyFont="1" applyFill="1" applyBorder="1" applyAlignment="1" applyProtection="1">
      <alignment horizontal="left"/>
    </xf>
    <xf numFmtId="0" fontId="64" fillId="0" borderId="0" xfId="5" applyFont="1" applyFill="1" applyAlignment="1" applyProtection="1">
      <alignment horizontal="right"/>
    </xf>
    <xf numFmtId="0" fontId="64" fillId="0" borderId="53" xfId="5" applyFont="1" applyFill="1" applyBorder="1" applyProtection="1"/>
    <xf numFmtId="0" fontId="64" fillId="0" borderId="53" xfId="5" applyFont="1" applyFill="1" applyBorder="1" applyAlignment="1" applyProtection="1">
      <alignment horizontal="right"/>
    </xf>
    <xf numFmtId="0" fontId="42" fillId="0" borderId="0" xfId="5" applyFont="1" applyFill="1" applyAlignment="1" applyProtection="1">
      <alignment horizontal="right"/>
    </xf>
    <xf numFmtId="0" fontId="163" fillId="0" borderId="53" xfId="5" applyFill="1" applyBorder="1" applyProtection="1"/>
    <xf numFmtId="0" fontId="15" fillId="34" borderId="0" xfId="5" applyFont="1" applyFill="1" applyAlignment="1">
      <alignment vertical="center"/>
    </xf>
    <xf numFmtId="0" fontId="15" fillId="34" borderId="0" xfId="5" applyNumberFormat="1" applyFont="1" applyFill="1" applyAlignment="1" applyProtection="1">
      <alignment vertical="center"/>
      <protection locked="0"/>
    </xf>
    <xf numFmtId="0" fontId="15" fillId="0" borderId="0" xfId="5" applyNumberFormat="1" applyFont="1" applyFill="1" applyAlignment="1" applyProtection="1">
      <alignment vertical="center"/>
      <protection locked="0"/>
    </xf>
    <xf numFmtId="0" fontId="138" fillId="37" borderId="0" xfId="5" applyNumberFormat="1" applyFont="1" applyFill="1" applyAlignment="1" applyProtection="1">
      <alignment vertical="center"/>
      <protection locked="0"/>
    </xf>
    <xf numFmtId="0" fontId="137" fillId="34" borderId="0" xfId="5" applyNumberFormat="1" applyFont="1" applyFill="1" applyAlignment="1" applyProtection="1">
      <alignment vertical="center"/>
      <protection locked="0"/>
    </xf>
    <xf numFmtId="0" fontId="15" fillId="34" borderId="0" xfId="5" applyNumberFormat="1" applyFont="1" applyFill="1" applyAlignment="1" applyProtection="1">
      <alignment horizontal="center" vertical="center"/>
      <protection locked="0"/>
    </xf>
    <xf numFmtId="0" fontId="15" fillId="34" borderId="0" xfId="5" applyNumberFormat="1" applyFont="1" applyFill="1" applyAlignment="1" applyProtection="1">
      <alignment horizontal="right" vertical="center"/>
      <protection locked="0"/>
    </xf>
    <xf numFmtId="0" fontId="15" fillId="35" borderId="0" xfId="5" applyNumberFormat="1" applyFont="1" applyFill="1" applyAlignment="1" applyProtection="1">
      <alignment horizontal="center" vertical="center"/>
      <protection locked="0"/>
    </xf>
    <xf numFmtId="0" fontId="15" fillId="36" borderId="0" xfId="5" applyNumberFormat="1" applyFont="1" applyFill="1" applyAlignment="1" applyProtection="1">
      <alignment horizontal="left" vertical="center"/>
    </xf>
    <xf numFmtId="0" fontId="15" fillId="36" borderId="0" xfId="5" applyNumberFormat="1" applyFont="1" applyFill="1" applyAlignment="1" applyProtection="1">
      <alignment horizontal="center" vertical="center"/>
      <protection locked="0"/>
    </xf>
    <xf numFmtId="0" fontId="15" fillId="34" borderId="0" xfId="5" applyNumberFormat="1" applyFont="1" applyFill="1" applyBorder="1" applyAlignment="1" applyProtection="1">
      <alignment horizontal="right" vertical="center"/>
      <protection locked="0"/>
    </xf>
    <xf numFmtId="0" fontId="15" fillId="36" borderId="0" xfId="5" applyNumberFormat="1" applyFont="1" applyFill="1" applyAlignment="1" applyProtection="1">
      <alignment horizontal="center" vertical="center"/>
    </xf>
    <xf numFmtId="0" fontId="15" fillId="36" borderId="0" xfId="5" applyNumberFormat="1" applyFont="1" applyFill="1" applyAlignment="1" applyProtection="1">
      <alignment vertical="center"/>
    </xf>
    <xf numFmtId="0" fontId="15" fillId="20" borderId="1" xfId="5" applyNumberFormat="1" applyFont="1" applyFill="1" applyBorder="1" applyAlignment="1" applyProtection="1">
      <alignment horizontal="center" vertical="center"/>
      <protection locked="0"/>
    </xf>
    <xf numFmtId="0" fontId="15" fillId="20" borderId="1" xfId="5" applyNumberFormat="1" applyFont="1" applyFill="1" applyBorder="1" applyAlignment="1" applyProtection="1">
      <alignment vertical="center"/>
      <protection locked="0"/>
    </xf>
    <xf numFmtId="0" fontId="15" fillId="20" borderId="1" xfId="5" applyNumberFormat="1" applyFont="1" applyFill="1" applyBorder="1" applyAlignment="1" applyProtection="1">
      <alignment horizontal="left" vertical="center"/>
      <protection locked="0"/>
    </xf>
    <xf numFmtId="0" fontId="320" fillId="0" borderId="0" xfId="5" applyNumberFormat="1" applyFont="1" applyFill="1" applyAlignment="1" applyProtection="1">
      <alignment vertical="center"/>
      <protection locked="0"/>
    </xf>
    <xf numFmtId="0" fontId="321" fillId="34" borderId="0" xfId="5" applyNumberFormat="1" applyFont="1" applyFill="1" applyAlignment="1" applyProtection="1">
      <alignment vertical="center"/>
      <protection locked="0"/>
    </xf>
    <xf numFmtId="0" fontId="143" fillId="35" borderId="0" xfId="5" applyNumberFormat="1" applyFont="1" applyFill="1" applyAlignment="1" applyProtection="1">
      <alignment horizontal="center" vertical="center"/>
      <protection locked="0"/>
    </xf>
    <xf numFmtId="0" fontId="140" fillId="34" borderId="0" xfId="5" applyNumberFormat="1" applyFont="1" applyFill="1" applyAlignment="1" applyProtection="1">
      <alignment horizontal="center" vertical="center"/>
      <protection locked="0"/>
    </xf>
    <xf numFmtId="0" fontId="140" fillId="36" borderId="0" xfId="5" applyNumberFormat="1" applyFont="1" applyFill="1" applyAlignment="1" applyProtection="1">
      <alignment horizontal="center" vertical="center"/>
    </xf>
    <xf numFmtId="0" fontId="320" fillId="34" borderId="0" xfId="5" applyNumberFormat="1" applyFont="1" applyFill="1" applyAlignment="1" applyProtection="1">
      <alignment vertical="center"/>
      <protection locked="0"/>
    </xf>
    <xf numFmtId="0" fontId="140" fillId="35" borderId="0" xfId="5" applyNumberFormat="1" applyFont="1" applyFill="1" applyAlignment="1" applyProtection="1">
      <alignment horizontal="center" vertical="center"/>
      <protection locked="0"/>
    </xf>
    <xf numFmtId="0" fontId="15" fillId="30" borderId="0" xfId="5" applyNumberFormat="1" applyFont="1" applyFill="1" applyAlignment="1" applyProtection="1">
      <alignment vertical="center"/>
      <protection locked="0"/>
    </xf>
    <xf numFmtId="0" fontId="144" fillId="0" borderId="0" xfId="5" applyNumberFormat="1" applyFont="1" applyFill="1" applyAlignment="1" applyProtection="1">
      <alignment vertical="center"/>
      <protection locked="0"/>
    </xf>
    <xf numFmtId="0" fontId="163" fillId="0" borderId="0" xfId="5" applyFill="1" applyAlignment="1">
      <alignment horizontal="center" vertical="center"/>
    </xf>
    <xf numFmtId="195" fontId="163" fillId="0" borderId="0" xfId="5" applyNumberFormat="1" applyFill="1" applyAlignment="1">
      <alignment horizontal="right" vertical="center"/>
    </xf>
    <xf numFmtId="176" fontId="163" fillId="0" borderId="0" xfId="5" applyNumberFormat="1" applyFill="1" applyAlignment="1">
      <alignment horizontal="right" vertical="center"/>
    </xf>
    <xf numFmtId="0" fontId="163" fillId="0" borderId="0" xfId="5" applyFill="1" applyAlignment="1">
      <alignment vertical="center"/>
    </xf>
    <xf numFmtId="0" fontId="31" fillId="10" borderId="158" xfId="5" applyFont="1" applyFill="1" applyBorder="1" applyAlignment="1">
      <alignment horizontal="center" vertical="center"/>
    </xf>
    <xf numFmtId="0" fontId="31" fillId="10" borderId="159" xfId="5" applyFont="1" applyFill="1" applyBorder="1" applyAlignment="1">
      <alignment horizontal="center" vertical="center"/>
    </xf>
    <xf numFmtId="195" fontId="31" fillId="10" borderId="159" xfId="5" applyNumberFormat="1" applyFont="1" applyFill="1" applyBorder="1" applyAlignment="1">
      <alignment horizontal="center" vertical="center"/>
    </xf>
    <xf numFmtId="176" fontId="31" fillId="10" borderId="285" xfId="5" applyNumberFormat="1" applyFont="1" applyFill="1" applyBorder="1" applyAlignment="1">
      <alignment horizontal="center" vertical="center"/>
    </xf>
    <xf numFmtId="0" fontId="31" fillId="13" borderId="158" xfId="5" applyFont="1" applyFill="1" applyBorder="1" applyAlignment="1">
      <alignment horizontal="center" vertical="center"/>
    </xf>
    <xf numFmtId="0" fontId="31" fillId="13" borderId="159" xfId="5" applyFont="1" applyFill="1" applyBorder="1" applyAlignment="1">
      <alignment horizontal="center" vertical="center"/>
    </xf>
    <xf numFmtId="0" fontId="31" fillId="33" borderId="52" xfId="5" applyFont="1" applyFill="1" applyBorder="1" applyAlignment="1">
      <alignment horizontal="center" vertical="center"/>
    </xf>
    <xf numFmtId="0" fontId="31" fillId="33" borderId="36" xfId="5" applyFont="1" applyFill="1" applyBorder="1" applyAlignment="1">
      <alignment horizontal="center" vertical="center"/>
    </xf>
    <xf numFmtId="195" fontId="31" fillId="33" borderId="36" xfId="5" applyNumberFormat="1" applyFont="1" applyFill="1" applyBorder="1" applyAlignment="1">
      <alignment horizontal="right" vertical="center"/>
    </xf>
    <xf numFmtId="176" fontId="31" fillId="33" borderId="59" xfId="5" applyNumberFormat="1" applyFont="1" applyFill="1" applyBorder="1" applyAlignment="1">
      <alignment horizontal="right" vertical="center"/>
    </xf>
    <xf numFmtId="0" fontId="31" fillId="19" borderId="52" xfId="5" applyFont="1" applyFill="1" applyBorder="1" applyAlignment="1">
      <alignment horizontal="center" vertical="center"/>
    </xf>
    <xf numFmtId="0" fontId="31" fillId="19" borderId="36" xfId="5" applyFont="1" applyFill="1" applyBorder="1" applyAlignment="1">
      <alignment horizontal="center" vertical="center"/>
    </xf>
    <xf numFmtId="0" fontId="31" fillId="10" borderId="39" xfId="5" applyFont="1" applyFill="1" applyBorder="1" applyAlignment="1">
      <alignment horizontal="center" vertical="center"/>
    </xf>
    <xf numFmtId="0" fontId="31" fillId="10" borderId="1" xfId="5" applyFont="1" applyFill="1" applyBorder="1" applyAlignment="1">
      <alignment horizontal="center" vertical="center"/>
    </xf>
    <xf numFmtId="195" fontId="31" fillId="10" borderId="1" xfId="5" applyNumberFormat="1" applyFont="1" applyFill="1" applyBorder="1" applyAlignment="1">
      <alignment horizontal="right" vertical="center"/>
    </xf>
    <xf numFmtId="176" fontId="31" fillId="10" borderId="93" xfId="5" applyNumberFormat="1" applyFont="1" applyFill="1" applyBorder="1" applyAlignment="1">
      <alignment horizontal="right" vertical="center"/>
    </xf>
    <xf numFmtId="0" fontId="31" fillId="13" borderId="39" xfId="5" applyFont="1" applyFill="1" applyBorder="1" applyAlignment="1">
      <alignment horizontal="center" vertical="center"/>
    </xf>
    <xf numFmtId="0" fontId="31" fillId="13" borderId="1" xfId="5" applyFont="1" applyFill="1" applyBorder="1" applyAlignment="1">
      <alignment horizontal="center" vertical="center"/>
    </xf>
    <xf numFmtId="0" fontId="31" fillId="33" borderId="39" xfId="5" applyFont="1" applyFill="1" applyBorder="1" applyAlignment="1">
      <alignment horizontal="center" vertical="center"/>
    </xf>
    <xf numFmtId="0" fontId="31" fillId="33" borderId="1" xfId="5" applyFont="1" applyFill="1" applyBorder="1" applyAlignment="1">
      <alignment horizontal="center" vertical="center"/>
    </xf>
    <xf numFmtId="195" fontId="31" fillId="33" borderId="1" xfId="5" applyNumberFormat="1" applyFont="1" applyFill="1" applyBorder="1" applyAlignment="1">
      <alignment horizontal="right" vertical="center"/>
    </xf>
    <xf numFmtId="176" fontId="31" fillId="33" borderId="93" xfId="5" applyNumberFormat="1" applyFont="1" applyFill="1" applyBorder="1" applyAlignment="1">
      <alignment horizontal="right" vertical="center"/>
    </xf>
    <xf numFmtId="0" fontId="31" fillId="19" borderId="39" xfId="5" applyFont="1" applyFill="1" applyBorder="1" applyAlignment="1">
      <alignment horizontal="center" vertical="center"/>
    </xf>
    <xf numFmtId="0" fontId="31" fillId="19" borderId="1" xfId="5" applyFont="1" applyFill="1" applyBorder="1" applyAlignment="1">
      <alignment horizontal="center" vertical="center"/>
    </xf>
    <xf numFmtId="0" fontId="31" fillId="33" borderId="40" xfId="5" applyFont="1" applyFill="1" applyBorder="1" applyAlignment="1">
      <alignment horizontal="center" vertical="center"/>
    </xf>
    <xf numFmtId="0" fontId="31" fillId="33" borderId="47" xfId="5" applyFont="1" applyFill="1" applyBorder="1" applyAlignment="1">
      <alignment horizontal="center" vertical="center"/>
    </xf>
    <xf numFmtId="195" fontId="31" fillId="33" borderId="47" xfId="5" applyNumberFormat="1" applyFont="1" applyFill="1" applyBorder="1" applyAlignment="1">
      <alignment horizontal="right" vertical="center"/>
    </xf>
    <xf numFmtId="176" fontId="31" fillId="33" borderId="156" xfId="5" applyNumberFormat="1" applyFont="1" applyFill="1" applyBorder="1" applyAlignment="1">
      <alignment horizontal="right" vertical="center"/>
    </xf>
    <xf numFmtId="0" fontId="31" fillId="19" borderId="40" xfId="5" applyFont="1" applyFill="1" applyBorder="1" applyAlignment="1">
      <alignment horizontal="center" vertical="center"/>
    </xf>
    <xf numFmtId="0" fontId="31" fillId="19" borderId="47" xfId="5" applyFont="1" applyFill="1" applyBorder="1" applyAlignment="1">
      <alignment horizontal="center" vertical="center"/>
    </xf>
    <xf numFmtId="195" fontId="31" fillId="13" borderId="159" xfId="5" applyNumberFormat="1" applyFont="1" applyFill="1" applyBorder="1" applyAlignment="1">
      <alignment horizontal="center" vertical="center"/>
    </xf>
    <xf numFmtId="176" fontId="31" fillId="13" borderId="160" xfId="5" applyNumberFormat="1" applyFont="1" applyFill="1" applyBorder="1" applyAlignment="1">
      <alignment horizontal="center" vertical="center"/>
    </xf>
    <xf numFmtId="195" fontId="31" fillId="19" borderId="36" xfId="5" applyNumberFormat="1" applyFont="1" applyFill="1" applyBorder="1" applyAlignment="1">
      <alignment horizontal="right" vertical="center"/>
    </xf>
    <xf numFmtId="176" fontId="31" fillId="19" borderId="64" xfId="5" applyNumberFormat="1" applyFont="1" applyFill="1" applyBorder="1" applyAlignment="1">
      <alignment horizontal="right" vertical="center"/>
    </xf>
    <xf numFmtId="195" fontId="31" fillId="13" borderId="1" xfId="5" applyNumberFormat="1" applyFont="1" applyFill="1" applyBorder="1" applyAlignment="1">
      <alignment horizontal="right" vertical="center"/>
    </xf>
    <xf numFmtId="176" fontId="31" fillId="13" borderId="46" xfId="5" applyNumberFormat="1" applyFont="1" applyFill="1" applyBorder="1" applyAlignment="1">
      <alignment horizontal="right" vertical="center"/>
    </xf>
    <xf numFmtId="195" fontId="31" fillId="19" borderId="1" xfId="5" applyNumberFormat="1" applyFont="1" applyFill="1" applyBorder="1" applyAlignment="1">
      <alignment horizontal="right" vertical="center"/>
    </xf>
    <xf numFmtId="176" fontId="31" fillId="19" borderId="46" xfId="5" applyNumberFormat="1" applyFont="1" applyFill="1" applyBorder="1" applyAlignment="1">
      <alignment horizontal="right" vertical="center"/>
    </xf>
    <xf numFmtId="195" fontId="31" fillId="19" borderId="47" xfId="5" applyNumberFormat="1" applyFont="1" applyFill="1" applyBorder="1" applyAlignment="1">
      <alignment horizontal="right" vertical="center"/>
    </xf>
    <xf numFmtId="176" fontId="31" fillId="19" borderId="48" xfId="5" applyNumberFormat="1" applyFont="1" applyFill="1" applyBorder="1" applyAlignment="1">
      <alignment horizontal="right" vertical="center"/>
    </xf>
    <xf numFmtId="0" fontId="15" fillId="0" borderId="0" xfId="5" applyFont="1" applyFill="1" applyAlignment="1" applyProtection="1">
      <alignment horizontal="center" vertical="center"/>
      <protection locked="0"/>
    </xf>
    <xf numFmtId="0" fontId="15" fillId="0" borderId="0" xfId="5" applyFont="1" applyFill="1" applyAlignment="1" applyProtection="1">
      <alignment vertical="center"/>
      <protection locked="0"/>
    </xf>
    <xf numFmtId="0" fontId="15" fillId="34" borderId="0" xfId="5" applyFont="1" applyFill="1" applyAlignment="1" applyProtection="1">
      <alignment horizontal="left" vertical="center"/>
      <protection locked="0"/>
    </xf>
    <xf numFmtId="0" fontId="15" fillId="34" borderId="0" xfId="5" applyFont="1" applyFill="1" applyAlignment="1" applyProtection="1">
      <alignment horizontal="center" vertical="center"/>
      <protection locked="0"/>
    </xf>
    <xf numFmtId="0" fontId="15" fillId="35" borderId="0" xfId="5" applyFont="1" applyFill="1" applyAlignment="1" applyProtection="1">
      <alignment horizontal="center" vertical="center"/>
      <protection locked="0"/>
    </xf>
    <xf numFmtId="0" fontId="15" fillId="34" borderId="0" xfId="5" applyFont="1" applyFill="1" applyAlignment="1" applyProtection="1">
      <alignment vertical="center"/>
      <protection locked="0"/>
    </xf>
    <xf numFmtId="0" fontId="15" fillId="36" borderId="0" xfId="5" applyFont="1" applyFill="1" applyAlignment="1" applyProtection="1">
      <alignment horizontal="center" vertical="center"/>
    </xf>
    <xf numFmtId="0" fontId="49" fillId="35" borderId="0" xfId="5" applyFont="1" applyFill="1" applyAlignment="1" applyProtection="1">
      <alignment horizontal="center" vertical="center"/>
      <protection locked="0"/>
    </xf>
    <xf numFmtId="0" fontId="15" fillId="34" borderId="0" xfId="5" applyFont="1" applyFill="1" applyAlignment="1" applyProtection="1">
      <alignment horizontal="right" vertical="center"/>
      <protection locked="0"/>
    </xf>
    <xf numFmtId="0" fontId="15" fillId="34" borderId="0" xfId="5" applyFont="1" applyFill="1" applyBorder="1" applyAlignment="1" applyProtection="1">
      <alignment horizontal="left" vertical="center"/>
      <protection locked="0"/>
    </xf>
    <xf numFmtId="0" fontId="49" fillId="36" borderId="0" xfId="5" applyFont="1" applyFill="1" applyAlignment="1" applyProtection="1">
      <alignment horizontal="center" vertical="center"/>
      <protection locked="0"/>
    </xf>
    <xf numFmtId="0" fontId="49" fillId="36" borderId="0" xfId="5" applyFont="1" applyFill="1" applyAlignment="1" applyProtection="1">
      <alignment horizontal="center" vertical="center"/>
    </xf>
    <xf numFmtId="49" fontId="90" fillId="0" borderId="54" xfId="0" applyNumberFormat="1" applyFont="1" applyFill="1" applyBorder="1" applyAlignment="1">
      <alignment horizontal="center" vertical="center"/>
    </xf>
    <xf numFmtId="49" fontId="25" fillId="0" borderId="54" xfId="0" applyNumberFormat="1" applyFont="1" applyFill="1" applyBorder="1" applyAlignment="1">
      <alignment horizontal="center" vertical="center"/>
    </xf>
    <xf numFmtId="49" fontId="311" fillId="0" borderId="54" xfId="0" applyNumberFormat="1" applyFont="1" applyFill="1" applyBorder="1" applyAlignment="1">
      <alignment horizontal="left" vertical="center"/>
    </xf>
    <xf numFmtId="49" fontId="312" fillId="0" borderId="74" xfId="0" applyNumberFormat="1" applyFont="1" applyFill="1" applyBorder="1" applyAlignment="1">
      <alignment horizontal="center" vertical="center"/>
    </xf>
    <xf numFmtId="49" fontId="325" fillId="0" borderId="36" xfId="0" applyNumberFormat="1" applyFont="1" applyFill="1" applyBorder="1" applyAlignment="1">
      <alignment horizontal="center" vertical="center"/>
    </xf>
    <xf numFmtId="49" fontId="313" fillId="38" borderId="63" xfId="0" applyNumberFormat="1" applyFont="1" applyFill="1" applyBorder="1" applyAlignment="1">
      <alignment horizontal="center" vertical="center"/>
    </xf>
    <xf numFmtId="49" fontId="313" fillId="49" borderId="1" xfId="0" applyNumberFormat="1" applyFont="1" applyFill="1" applyBorder="1" applyAlignment="1">
      <alignment horizontal="center" vertical="center"/>
    </xf>
    <xf numFmtId="0" fontId="326" fillId="0" borderId="0" xfId="9"/>
    <xf numFmtId="0" fontId="327" fillId="0" borderId="0" xfId="9" applyFont="1" applyAlignment="1">
      <alignment horizontal="center" vertical="center"/>
    </xf>
    <xf numFmtId="0" fontId="327" fillId="0" borderId="0" xfId="9" applyFont="1" applyAlignment="1">
      <alignment horizontal="center"/>
    </xf>
    <xf numFmtId="178" fontId="327" fillId="0" borderId="0" xfId="9" applyNumberFormat="1" applyFont="1" applyAlignment="1">
      <alignment horizontal="center"/>
    </xf>
    <xf numFmtId="0" fontId="330" fillId="0" borderId="2" xfId="9" applyFont="1" applyBorder="1" applyAlignment="1">
      <alignment horizontal="center" vertical="center"/>
    </xf>
    <xf numFmtId="0" fontId="331" fillId="0" borderId="3" xfId="9" applyFont="1" applyBorder="1" applyAlignment="1">
      <alignment horizontal="center" vertical="center"/>
    </xf>
    <xf numFmtId="0" fontId="332" fillId="0" borderId="3" xfId="9" applyFont="1" applyBorder="1" applyAlignment="1">
      <alignment horizontal="center" vertical="center"/>
    </xf>
    <xf numFmtId="178" fontId="327" fillId="0" borderId="3" xfId="9" applyNumberFormat="1" applyFont="1" applyBorder="1" applyAlignment="1">
      <alignment horizontal="center" vertical="center"/>
    </xf>
    <xf numFmtId="0" fontId="327" fillId="0" borderId="29" xfId="9" applyFont="1" applyBorder="1" applyAlignment="1">
      <alignment horizontal="center" vertical="center"/>
    </xf>
    <xf numFmtId="0" fontId="327" fillId="0" borderId="4" xfId="9" applyFont="1" applyBorder="1" applyAlignment="1">
      <alignment horizontal="center" vertical="center"/>
    </xf>
    <xf numFmtId="0" fontId="331" fillId="0" borderId="1" xfId="9" applyFont="1" applyBorder="1" applyAlignment="1">
      <alignment horizontal="center" vertical="center"/>
    </xf>
    <xf numFmtId="0" fontId="327" fillId="0" borderId="1" xfId="9" applyFont="1" applyBorder="1" applyAlignment="1">
      <alignment horizontal="center" vertical="center"/>
    </xf>
    <xf numFmtId="0" fontId="327" fillId="0" borderId="46" xfId="9" applyFont="1" applyBorder="1" applyAlignment="1">
      <alignment horizontal="center" vertical="center"/>
    </xf>
    <xf numFmtId="0" fontId="332" fillId="47" borderId="1" xfId="9" applyFont="1" applyFill="1" applyBorder="1" applyAlignment="1">
      <alignment horizontal="center" vertical="center"/>
    </xf>
    <xf numFmtId="178" fontId="332" fillId="47" borderId="1" xfId="9" applyNumberFormat="1" applyFont="1" applyFill="1" applyBorder="1" applyAlignment="1">
      <alignment horizontal="center" vertical="center"/>
    </xf>
    <xf numFmtId="0" fontId="332" fillId="47" borderId="46" xfId="9" applyFont="1" applyFill="1" applyBorder="1" applyAlignment="1">
      <alignment horizontal="center" vertical="center"/>
    </xf>
    <xf numFmtId="178" fontId="327" fillId="63" borderId="1" xfId="9" applyNumberFormat="1" applyFont="1" applyFill="1" applyBorder="1" applyAlignment="1">
      <alignment horizontal="center" vertical="center"/>
    </xf>
    <xf numFmtId="0" fontId="332" fillId="0" borderId="1" xfId="9" applyFont="1" applyBorder="1" applyAlignment="1">
      <alignment horizontal="center" vertical="center"/>
    </xf>
    <xf numFmtId="178" fontId="327" fillId="64" borderId="1" xfId="9" applyNumberFormat="1" applyFont="1" applyFill="1" applyBorder="1" applyAlignment="1">
      <alignment horizontal="center" vertical="center"/>
    </xf>
    <xf numFmtId="0" fontId="326" fillId="0" borderId="1" xfId="9" applyBorder="1"/>
    <xf numFmtId="0" fontId="327" fillId="0" borderId="0" xfId="9" applyFont="1" applyBorder="1" applyAlignment="1">
      <alignment horizontal="center" vertical="center"/>
    </xf>
    <xf numFmtId="178" fontId="327" fillId="0" borderId="0" xfId="9" applyNumberFormat="1" applyFont="1" applyBorder="1" applyAlignment="1">
      <alignment horizontal="center" vertical="center"/>
    </xf>
    <xf numFmtId="0" fontId="327" fillId="0" borderId="30" xfId="9" applyFont="1" applyBorder="1" applyAlignment="1">
      <alignment horizontal="center" vertical="center"/>
    </xf>
    <xf numFmtId="0" fontId="327" fillId="0" borderId="22" xfId="9" applyFont="1" applyBorder="1" applyAlignment="1">
      <alignment horizontal="center" vertical="center"/>
    </xf>
    <xf numFmtId="0" fontId="332" fillId="47" borderId="47" xfId="9" applyFont="1" applyFill="1" applyBorder="1" applyAlignment="1">
      <alignment horizontal="center" vertical="center"/>
    </xf>
    <xf numFmtId="178" fontId="327" fillId="0" borderId="0" xfId="9" applyNumberFormat="1" applyFont="1" applyAlignment="1">
      <alignment horizontal="center" vertical="center"/>
    </xf>
    <xf numFmtId="0" fontId="327" fillId="0" borderId="1" xfId="9" applyFont="1" applyBorder="1"/>
    <xf numFmtId="0" fontId="332" fillId="3" borderId="1" xfId="9" applyFont="1" applyFill="1" applyBorder="1" applyAlignment="1">
      <alignment horizontal="center" vertical="center"/>
    </xf>
    <xf numFmtId="0" fontId="332" fillId="3" borderId="46" xfId="9" applyFont="1" applyFill="1" applyBorder="1" applyAlignment="1">
      <alignment horizontal="center" vertical="center"/>
    </xf>
    <xf numFmtId="178" fontId="327" fillId="0" borderId="1" xfId="9" applyNumberFormat="1" applyFont="1" applyFill="1" applyBorder="1" applyAlignment="1">
      <alignment horizontal="center" vertical="center"/>
    </xf>
    <xf numFmtId="0" fontId="332" fillId="0" borderId="46" xfId="9" applyFont="1" applyBorder="1" applyAlignment="1">
      <alignment horizontal="center" vertical="center"/>
    </xf>
    <xf numFmtId="0" fontId="330" fillId="0" borderId="0" xfId="9" applyFont="1" applyBorder="1" applyAlignment="1">
      <alignment vertical="center"/>
    </xf>
    <xf numFmtId="0" fontId="332" fillId="0" borderId="0" xfId="9" applyFont="1" applyAlignment="1">
      <alignment horizontal="center" vertical="center"/>
    </xf>
    <xf numFmtId="0" fontId="333" fillId="0" borderId="1" xfId="9" applyFont="1" applyBorder="1" applyAlignment="1">
      <alignment horizontal="center" vertical="center"/>
    </xf>
    <xf numFmtId="0" fontId="327" fillId="0" borderId="0" xfId="9" applyFont="1" applyBorder="1" applyAlignment="1">
      <alignment vertical="center"/>
    </xf>
    <xf numFmtId="0" fontId="327" fillId="0" borderId="0" xfId="9" applyFont="1" applyBorder="1" applyAlignment="1"/>
    <xf numFmtId="0" fontId="327" fillId="0" borderId="0" xfId="9" applyFont="1" applyBorder="1" applyAlignment="1">
      <alignment horizontal="center"/>
    </xf>
    <xf numFmtId="0" fontId="327" fillId="0" borderId="0" xfId="9" applyFont="1" applyAlignment="1"/>
    <xf numFmtId="0" fontId="334" fillId="0" borderId="1" xfId="9" applyFont="1" applyBorder="1" applyAlignment="1">
      <alignment horizontal="center" vertical="center"/>
    </xf>
    <xf numFmtId="178" fontId="327" fillId="0" borderId="1" xfId="9" applyNumberFormat="1" applyFont="1" applyBorder="1" applyAlignment="1">
      <alignment horizontal="center" vertical="center"/>
    </xf>
    <xf numFmtId="0" fontId="332" fillId="0" borderId="0" xfId="9" applyFont="1" applyBorder="1" applyAlignment="1">
      <alignment horizontal="center" vertical="center"/>
    </xf>
    <xf numFmtId="0" fontId="25" fillId="0" borderId="0" xfId="6" applyFont="1">
      <alignment vertical="center"/>
    </xf>
    <xf numFmtId="0" fontId="30" fillId="0" borderId="0" xfId="6" applyFont="1" applyAlignment="1">
      <alignment horizontal="justify" vertical="center"/>
    </xf>
    <xf numFmtId="0" fontId="39" fillId="0" borderId="0" xfId="6" applyFont="1" applyAlignment="1">
      <alignment horizontal="justify" vertical="center"/>
    </xf>
    <xf numFmtId="0" fontId="335" fillId="0" borderId="0" xfId="6" applyFont="1" applyAlignment="1">
      <alignment vertical="center"/>
    </xf>
    <xf numFmtId="0" fontId="163" fillId="0" borderId="0" xfId="6" applyFont="1" applyAlignment="1">
      <alignment horizontal="center" vertical="center"/>
    </xf>
    <xf numFmtId="0" fontId="25" fillId="0" borderId="0" xfId="6" applyFont="1" applyAlignment="1">
      <alignment horizontal="left" vertical="center"/>
    </xf>
    <xf numFmtId="0" fontId="25" fillId="0" borderId="0" xfId="6" applyFont="1" applyAlignment="1">
      <alignment horizontal="left" vertical="center" shrinkToFit="1"/>
    </xf>
    <xf numFmtId="0" fontId="25" fillId="0" borderId="0" xfId="6" applyFont="1" applyAlignment="1">
      <alignment horizontal="left" vertical="center" wrapText="1"/>
    </xf>
    <xf numFmtId="0" fontId="25" fillId="0" borderId="0" xfId="6" applyFont="1" applyAlignment="1">
      <alignment horizontal="right" vertical="center" wrapText="1"/>
    </xf>
    <xf numFmtId="0" fontId="42" fillId="0" borderId="0" xfId="6" applyFont="1" applyAlignment="1">
      <alignment horizontal="left" vertical="center" wrapText="1"/>
    </xf>
    <xf numFmtId="0" fontId="25" fillId="0" borderId="0" xfId="6" applyFont="1" applyAlignment="1">
      <alignment horizontal="right" vertical="center" shrinkToFit="1"/>
    </xf>
    <xf numFmtId="178" fontId="42" fillId="0" borderId="0" xfId="6" applyNumberFormat="1" applyFont="1" applyAlignment="1">
      <alignment horizontal="center" vertical="center"/>
    </xf>
    <xf numFmtId="0" fontId="25" fillId="0" borderId="0" xfId="6" applyFont="1" applyAlignment="1">
      <alignment horizontal="right" vertical="center"/>
    </xf>
    <xf numFmtId="176" fontId="42" fillId="0" borderId="0" xfId="6" applyNumberFormat="1" applyFont="1" applyAlignment="1">
      <alignment horizontal="center" vertical="center"/>
    </xf>
    <xf numFmtId="0" fontId="52" fillId="0" borderId="0" xfId="6" applyFont="1" applyAlignment="1">
      <alignment horizontal="left" vertical="center" shrinkToFit="1"/>
    </xf>
    <xf numFmtId="0" fontId="40" fillId="0" borderId="0" xfId="6" applyFont="1" applyAlignment="1">
      <alignment horizontal="left" vertical="center"/>
    </xf>
    <xf numFmtId="178" fontId="40" fillId="0" borderId="0" xfId="6" applyNumberFormat="1" applyFont="1" applyAlignment="1">
      <alignment horizontal="center" vertical="center"/>
    </xf>
    <xf numFmtId="178" fontId="40" fillId="0" borderId="0" xfId="6" applyNumberFormat="1" applyFont="1" applyAlignment="1">
      <alignment horizontal="left" vertical="center"/>
    </xf>
    <xf numFmtId="0" fontId="163" fillId="0" borderId="0" xfId="6" applyAlignment="1">
      <alignment horizontal="left" vertical="center"/>
    </xf>
    <xf numFmtId="198" fontId="42" fillId="0" borderId="0" xfId="6" applyNumberFormat="1" applyFont="1" applyAlignment="1">
      <alignment horizontal="justify" vertical="center"/>
    </xf>
    <xf numFmtId="0" fontId="163" fillId="0" borderId="0" xfId="6" applyAlignment="1">
      <alignment horizontal="centerContinuous" vertical="center"/>
    </xf>
    <xf numFmtId="178" fontId="42" fillId="0" borderId="0" xfId="6" applyNumberFormat="1" applyFont="1" applyAlignment="1">
      <alignment horizontal="justify" vertical="center"/>
    </xf>
    <xf numFmtId="0" fontId="25" fillId="0" borderId="1" xfId="6" applyFont="1" applyBorder="1" applyAlignment="1">
      <alignment horizontal="center" vertical="center"/>
    </xf>
    <xf numFmtId="0" fontId="25" fillId="0" borderId="1" xfId="6" applyFont="1" applyBorder="1" applyAlignment="1">
      <alignment horizontal="right" vertical="center" shrinkToFit="1"/>
    </xf>
    <xf numFmtId="0" fontId="25" fillId="0" borderId="0" xfId="6" applyFont="1" applyAlignment="1">
      <alignment vertical="center"/>
    </xf>
    <xf numFmtId="176" fontId="40" fillId="0" borderId="0" xfId="6" applyNumberFormat="1" applyFont="1" applyAlignment="1">
      <alignment horizontal="left" vertical="center"/>
    </xf>
    <xf numFmtId="178" fontId="63" fillId="0" borderId="1" xfId="6" applyNumberFormat="1" applyFont="1" applyBorder="1" applyAlignment="1">
      <alignment horizontal="center" vertical="center"/>
    </xf>
    <xf numFmtId="178" fontId="63" fillId="0" borderId="0" xfId="6" applyNumberFormat="1" applyFont="1" applyBorder="1" applyAlignment="1">
      <alignment horizontal="center" vertical="center"/>
    </xf>
    <xf numFmtId="0" fontId="25" fillId="0" borderId="1" xfId="6" applyFont="1" applyBorder="1" applyAlignment="1">
      <alignment horizontal="center" vertical="center" shrinkToFit="1"/>
    </xf>
    <xf numFmtId="181" fontId="63" fillId="0" borderId="1" xfId="6" applyNumberFormat="1" applyFont="1" applyBorder="1" applyAlignment="1">
      <alignment horizontal="center" vertical="center"/>
    </xf>
    <xf numFmtId="181" fontId="63" fillId="0" borderId="0" xfId="6" applyNumberFormat="1" applyFont="1" applyBorder="1" applyAlignment="1">
      <alignment horizontal="center" vertical="center"/>
    </xf>
    <xf numFmtId="176" fontId="42" fillId="0" borderId="0" xfId="6" applyNumberFormat="1" applyFont="1" applyAlignment="1">
      <alignment horizontal="left" vertical="center"/>
    </xf>
    <xf numFmtId="178" fontId="63" fillId="0" borderId="1" xfId="6" applyNumberFormat="1" applyFont="1" applyBorder="1" applyAlignment="1">
      <alignment horizontal="center" vertical="center" shrinkToFit="1"/>
    </xf>
    <xf numFmtId="181" fontId="42" fillId="0" borderId="0" xfId="6" applyNumberFormat="1" applyFont="1" applyBorder="1" applyAlignment="1">
      <alignment horizontal="center" vertical="center"/>
    </xf>
    <xf numFmtId="176" fontId="40" fillId="0" borderId="0" xfId="6" applyNumberFormat="1" applyFont="1" applyAlignment="1">
      <alignment horizontal="left" vertical="center" shrinkToFit="1"/>
    </xf>
    <xf numFmtId="183" fontId="42" fillId="0" borderId="0" xfId="6" applyNumberFormat="1" applyFont="1" applyBorder="1" applyAlignment="1">
      <alignment horizontal="center" vertical="center"/>
    </xf>
    <xf numFmtId="0" fontId="25" fillId="0" borderId="0" xfId="6" applyFont="1" applyAlignment="1">
      <alignment vertical="center" shrinkToFit="1"/>
    </xf>
    <xf numFmtId="178" fontId="42" fillId="0" borderId="0" xfId="6" applyNumberFormat="1" applyFont="1" applyAlignment="1">
      <alignment horizontal="left" vertical="center"/>
    </xf>
    <xf numFmtId="183" fontId="42" fillId="0" borderId="0" xfId="6" applyNumberFormat="1" applyFont="1" applyAlignment="1">
      <alignment horizontal="justify" vertical="center"/>
    </xf>
    <xf numFmtId="176" fontId="63" fillId="0" borderId="0" xfId="6" applyNumberFormat="1" applyFont="1" applyBorder="1" applyAlignment="1">
      <alignment horizontal="center" vertical="center"/>
    </xf>
    <xf numFmtId="183" fontId="40" fillId="0" borderId="0" xfId="6" applyNumberFormat="1" applyFont="1" applyBorder="1" applyAlignment="1">
      <alignment horizontal="center" vertical="center"/>
    </xf>
    <xf numFmtId="0" fontId="25" fillId="0" borderId="0" xfId="6" applyFont="1" applyBorder="1">
      <alignment vertical="center"/>
    </xf>
    <xf numFmtId="181" fontId="42" fillId="0" borderId="1" xfId="6" applyNumberFormat="1" applyFont="1" applyBorder="1" applyAlignment="1">
      <alignment horizontal="center" vertical="center"/>
    </xf>
    <xf numFmtId="181" fontId="42" fillId="0" borderId="0" xfId="6" applyNumberFormat="1" applyFont="1" applyAlignment="1">
      <alignment horizontal="left" vertical="center"/>
    </xf>
    <xf numFmtId="0" fontId="25" fillId="0" borderId="1" xfId="6" applyFont="1" applyBorder="1" applyAlignment="1">
      <alignment horizontal="right" vertical="center"/>
    </xf>
    <xf numFmtId="0" fontId="25" fillId="0" borderId="0" xfId="6" applyFont="1" applyAlignment="1">
      <alignment horizontal="justify" vertical="center"/>
    </xf>
    <xf numFmtId="0" fontId="25" fillId="0" borderId="0" xfId="6" applyFont="1" applyBorder="1" applyAlignment="1">
      <alignment horizontal="right" vertical="center"/>
    </xf>
    <xf numFmtId="178" fontId="63" fillId="0" borderId="0" xfId="6" applyNumberFormat="1" applyFont="1" applyBorder="1" applyAlignment="1">
      <alignment horizontal="center" vertical="center" shrinkToFit="1"/>
    </xf>
    <xf numFmtId="176" fontId="63" fillId="0" borderId="1" xfId="6" applyNumberFormat="1" applyFont="1" applyBorder="1" applyAlignment="1">
      <alignment horizontal="center" vertical="center" shrinkToFit="1"/>
    </xf>
    <xf numFmtId="0" fontId="25" fillId="0" borderId="0" xfId="6" applyFont="1" applyBorder="1" applyAlignment="1">
      <alignment horizontal="center" vertical="center"/>
    </xf>
    <xf numFmtId="178" fontId="25" fillId="0" borderId="0" xfId="6" applyNumberFormat="1" applyFont="1" applyAlignment="1">
      <alignment horizontal="justify" vertical="center"/>
    </xf>
    <xf numFmtId="181" fontId="40" fillId="0" borderId="0" xfId="6" applyNumberFormat="1" applyFont="1" applyAlignment="1">
      <alignment horizontal="left" vertical="center"/>
    </xf>
    <xf numFmtId="181" fontId="42" fillId="0" borderId="0" xfId="6" applyNumberFormat="1" applyFont="1" applyAlignment="1">
      <alignment horizontal="justify" vertical="center"/>
    </xf>
    <xf numFmtId="0" fontId="42" fillId="0" borderId="0" xfId="6" applyFont="1" applyAlignment="1">
      <alignment horizontal="center" vertical="center"/>
    </xf>
    <xf numFmtId="176" fontId="40" fillId="0" borderId="0" xfId="6" applyNumberFormat="1" applyFont="1" applyAlignment="1">
      <alignment horizontal="center" vertical="center"/>
    </xf>
    <xf numFmtId="176" fontId="63" fillId="0" borderId="1" xfId="6" applyNumberFormat="1" applyFont="1" applyBorder="1" applyAlignment="1">
      <alignment horizontal="center" vertical="center"/>
    </xf>
    <xf numFmtId="176" fontId="42" fillId="0" borderId="1" xfId="6" applyNumberFormat="1" applyFont="1" applyBorder="1" applyAlignment="1">
      <alignment horizontal="center" vertical="center"/>
    </xf>
    <xf numFmtId="178" fontId="40" fillId="0" borderId="1" xfId="6" applyNumberFormat="1" applyFont="1" applyBorder="1" applyAlignment="1">
      <alignment horizontal="center" vertical="center"/>
    </xf>
    <xf numFmtId="176" fontId="42" fillId="0" borderId="61" xfId="6" applyNumberFormat="1" applyFont="1" applyBorder="1" applyAlignment="1">
      <alignment horizontal="center" vertical="center"/>
    </xf>
    <xf numFmtId="0" fontId="163" fillId="0" borderId="54" xfId="6" applyBorder="1" applyAlignment="1">
      <alignment horizontal="center" vertical="center"/>
    </xf>
    <xf numFmtId="0" fontId="163" fillId="0" borderId="94" xfId="6" applyBorder="1" applyAlignment="1">
      <alignment horizontal="center" vertical="center"/>
    </xf>
    <xf numFmtId="0" fontId="50" fillId="0" borderId="0" xfId="6" applyFont="1" applyAlignment="1">
      <alignment vertical="center"/>
    </xf>
    <xf numFmtId="0" fontId="50" fillId="0" borderId="0" xfId="6" applyFont="1">
      <alignment vertical="center"/>
    </xf>
    <xf numFmtId="0" fontId="50" fillId="0" borderId="1" xfId="6" applyFont="1" applyBorder="1" applyAlignment="1">
      <alignment horizontal="center" vertical="center" wrapText="1"/>
    </xf>
    <xf numFmtId="0" fontId="50" fillId="0" borderId="1" xfId="6" applyFont="1" applyBorder="1" applyAlignment="1">
      <alignment horizontal="center" vertical="center" wrapText="1" shrinkToFit="1"/>
    </xf>
    <xf numFmtId="0" fontId="25" fillId="0" borderId="1" xfId="6" applyFont="1" applyBorder="1">
      <alignment vertical="center"/>
    </xf>
    <xf numFmtId="0" fontId="25" fillId="0" borderId="0" xfId="6" applyFont="1" applyAlignment="1">
      <alignment horizontal="center" vertical="center"/>
    </xf>
    <xf numFmtId="181" fontId="63" fillId="0" borderId="1" xfId="6" applyNumberFormat="1" applyFont="1" applyBorder="1" applyAlignment="1">
      <alignment horizontal="center" vertical="center" shrinkToFit="1"/>
    </xf>
    <xf numFmtId="178" fontId="42" fillId="0" borderId="1" xfId="6" applyNumberFormat="1" applyFont="1" applyBorder="1" applyAlignment="1">
      <alignment horizontal="center" vertical="center"/>
    </xf>
    <xf numFmtId="0" fontId="25" fillId="0" borderId="1" xfId="6" applyFont="1" applyBorder="1" applyAlignment="1">
      <alignment vertical="center"/>
    </xf>
    <xf numFmtId="178" fontId="40" fillId="0" borderId="0" xfId="6" applyNumberFormat="1" applyFont="1" applyAlignment="1">
      <alignment horizontal="left" vertical="center" shrinkToFit="1"/>
    </xf>
    <xf numFmtId="195" fontId="42" fillId="0" borderId="0" xfId="6" applyNumberFormat="1" applyFont="1" applyBorder="1" applyAlignment="1">
      <alignment horizontal="center" vertical="center"/>
    </xf>
    <xf numFmtId="178" fontId="40" fillId="0" borderId="0" xfId="6" applyNumberFormat="1" applyFont="1" applyAlignment="1">
      <alignment horizontal="center" vertical="center" shrinkToFit="1"/>
    </xf>
    <xf numFmtId="176" fontId="63" fillId="0" borderId="0" xfId="6" applyNumberFormat="1" applyFont="1" applyBorder="1" applyAlignment="1">
      <alignment horizontal="center" vertical="center" shrinkToFit="1"/>
    </xf>
    <xf numFmtId="178" fontId="40" fillId="0" borderId="0" xfId="6" applyNumberFormat="1" applyFont="1" applyAlignment="1">
      <alignment vertical="center" shrinkToFit="1"/>
    </xf>
    <xf numFmtId="0" fontId="337" fillId="0" borderId="0" xfId="6" applyFont="1">
      <alignment vertical="center"/>
    </xf>
    <xf numFmtId="0" fontId="25" fillId="0" borderId="0" xfId="6" applyFont="1" applyBorder="1" applyAlignment="1">
      <alignment horizontal="center" vertical="center" shrinkToFit="1"/>
    </xf>
    <xf numFmtId="0" fontId="52" fillId="0" borderId="0" xfId="6" applyFont="1">
      <alignment vertical="center"/>
    </xf>
    <xf numFmtId="181" fontId="40" fillId="0" borderId="0" xfId="6" applyNumberFormat="1" applyFont="1" applyAlignment="1">
      <alignment horizontal="center" vertical="center" shrinkToFit="1"/>
    </xf>
    <xf numFmtId="0" fontId="52" fillId="0" borderId="0" xfId="6" applyFont="1" applyAlignment="1">
      <alignment horizontal="right" vertical="center"/>
    </xf>
    <xf numFmtId="0" fontId="163" fillId="21" borderId="0" xfId="6" applyFill="1">
      <alignment vertical="center"/>
    </xf>
    <xf numFmtId="0" fontId="338" fillId="0" borderId="0" xfId="6" applyFont="1">
      <alignment vertical="center"/>
    </xf>
    <xf numFmtId="0" fontId="269" fillId="30" borderId="1" xfId="6" applyFont="1" applyFill="1" applyBorder="1" applyAlignment="1">
      <alignment horizontal="center" vertical="center"/>
    </xf>
    <xf numFmtId="0" fontId="163" fillId="21" borderId="1" xfId="6" applyFill="1" applyBorder="1" applyAlignment="1">
      <alignment horizontal="center" vertical="center"/>
    </xf>
    <xf numFmtId="0" fontId="163" fillId="21" borderId="36" xfId="6" applyFill="1" applyBorder="1" applyAlignment="1">
      <alignment horizontal="center" vertical="center"/>
    </xf>
    <xf numFmtId="0" fontId="45" fillId="0" borderId="0" xfId="6" applyFont="1" applyAlignment="1">
      <alignment horizontal="center" vertical="center"/>
    </xf>
    <xf numFmtId="0" fontId="45" fillId="21" borderId="1" xfId="6" applyFont="1" applyFill="1" applyBorder="1" applyAlignment="1">
      <alignment horizontal="center" vertical="center"/>
    </xf>
    <xf numFmtId="0" fontId="339" fillId="0" borderId="0" xfId="6" applyFont="1" applyAlignment="1">
      <alignment horizontal="center" vertical="center"/>
    </xf>
    <xf numFmtId="0" fontId="163" fillId="0" borderId="1" xfId="6" applyBorder="1" applyAlignment="1">
      <alignment horizontal="center" vertical="center"/>
    </xf>
    <xf numFmtId="0" fontId="163" fillId="0" borderId="1" xfId="6" applyBorder="1">
      <alignment vertical="center"/>
    </xf>
    <xf numFmtId="0" fontId="163" fillId="0" borderId="0" xfId="6" applyFill="1" applyBorder="1" applyAlignment="1">
      <alignment horizontal="center" vertical="center"/>
    </xf>
    <xf numFmtId="0" fontId="159" fillId="0" borderId="0" xfId="6" applyFont="1" applyAlignment="1">
      <alignment horizontal="center" vertical="center"/>
    </xf>
    <xf numFmtId="0" fontId="340" fillId="0" borderId="0" xfId="6" applyFont="1" applyAlignment="1">
      <alignment horizontal="center" vertical="center"/>
    </xf>
    <xf numFmtId="0" fontId="341" fillId="48" borderId="0" xfId="6" applyFont="1" applyFill="1" applyAlignment="1">
      <alignment horizontal="center" vertical="center"/>
    </xf>
    <xf numFmtId="0" fontId="341" fillId="48" borderId="0" xfId="6" applyFont="1" applyFill="1">
      <alignment vertical="center"/>
    </xf>
    <xf numFmtId="199" fontId="163" fillId="0" borderId="0" xfId="6" applyNumberFormat="1" applyAlignment="1">
      <alignment horizontal="center" vertical="center"/>
    </xf>
    <xf numFmtId="0" fontId="342" fillId="0" borderId="0" xfId="6" applyFont="1" applyAlignment="1">
      <alignment horizontal="center" vertical="center"/>
    </xf>
    <xf numFmtId="0" fontId="163" fillId="0" borderId="0" xfId="6" applyFill="1">
      <alignment vertical="center"/>
    </xf>
    <xf numFmtId="0" fontId="163" fillId="0" borderId="1" xfId="6" applyBorder="1" applyAlignment="1">
      <alignment horizontal="left" vertical="center"/>
    </xf>
    <xf numFmtId="0" fontId="23" fillId="21" borderId="1" xfId="6" applyFont="1" applyFill="1" applyBorder="1" applyAlignment="1">
      <alignment horizontal="center" vertical="center"/>
    </xf>
    <xf numFmtId="0" fontId="163" fillId="21" borderId="1" xfId="6" applyFill="1" applyBorder="1" applyAlignment="1">
      <alignment horizontal="left" vertical="center"/>
    </xf>
    <xf numFmtId="0" fontId="45" fillId="21" borderId="54" xfId="6" applyFont="1" applyFill="1" applyBorder="1" applyAlignment="1">
      <alignment horizontal="center" vertical="center"/>
    </xf>
    <xf numFmtId="0" fontId="163" fillId="21" borderId="94" xfId="6" applyFill="1" applyBorder="1" applyAlignment="1">
      <alignment horizontal="center" vertical="center"/>
    </xf>
    <xf numFmtId="0" fontId="208" fillId="0" borderId="54" xfId="6" applyFont="1" applyBorder="1" applyAlignment="1">
      <alignment horizontal="center" vertical="center"/>
    </xf>
    <xf numFmtId="0" fontId="163" fillId="0" borderId="36" xfId="6" applyBorder="1" applyAlignment="1">
      <alignment horizontal="center" vertical="center"/>
    </xf>
    <xf numFmtId="0" fontId="163" fillId="0" borderId="93" xfId="6" applyBorder="1" applyAlignment="1">
      <alignment horizontal="center" vertical="center"/>
    </xf>
    <xf numFmtId="0" fontId="163" fillId="0" borderId="94" xfId="6" applyBorder="1">
      <alignment vertical="center"/>
    </xf>
    <xf numFmtId="0" fontId="163" fillId="0" borderId="93" xfId="6" applyBorder="1" applyAlignment="1">
      <alignment horizontal="left" vertical="center"/>
    </xf>
    <xf numFmtId="0" fontId="163" fillId="0" borderId="54" xfId="6" applyBorder="1" applyAlignment="1">
      <alignment vertical="center"/>
    </xf>
    <xf numFmtId="0" fontId="163" fillId="0" borderId="94" xfId="6" applyBorder="1" applyAlignment="1">
      <alignment vertical="center"/>
    </xf>
    <xf numFmtId="0" fontId="227" fillId="0" borderId="286" xfId="6" applyFont="1" applyBorder="1">
      <alignment vertical="center"/>
    </xf>
    <xf numFmtId="0" fontId="163" fillId="0" borderId="286" xfId="6" applyBorder="1">
      <alignment vertical="center"/>
    </xf>
    <xf numFmtId="0" fontId="227" fillId="10" borderId="286" xfId="6" applyFont="1" applyFill="1" applyBorder="1">
      <alignment vertical="center"/>
    </xf>
    <xf numFmtId="0" fontId="163" fillId="0" borderId="0" xfId="5" applyAlignment="1">
      <alignment vertical="center"/>
    </xf>
    <xf numFmtId="0" fontId="163" fillId="0" borderId="1" xfId="5" applyBorder="1" applyAlignment="1">
      <alignment horizontal="center" vertical="center"/>
    </xf>
    <xf numFmtId="0" fontId="163" fillId="0" borderId="1" xfId="5" applyBorder="1" applyAlignment="1">
      <alignment horizontal="center" vertical="center" wrapText="1"/>
    </xf>
    <xf numFmtId="0" fontId="163" fillId="0" borderId="74" xfId="5" applyBorder="1" applyAlignment="1">
      <alignment horizontal="center" vertical="center"/>
    </xf>
    <xf numFmtId="0" fontId="30" fillId="0" borderId="1" xfId="5" applyFont="1" applyBorder="1" applyAlignment="1">
      <alignment horizontal="center" vertical="center"/>
    </xf>
    <xf numFmtId="0" fontId="163" fillId="0" borderId="74" xfId="5" applyBorder="1" applyAlignment="1">
      <alignment horizontal="center" vertical="center" wrapText="1"/>
    </xf>
    <xf numFmtId="0" fontId="163" fillId="0" borderId="36" xfId="5" applyBorder="1" applyAlignment="1">
      <alignment horizontal="center" vertical="center"/>
    </xf>
    <xf numFmtId="0" fontId="343" fillId="0" borderId="0" xfId="5" applyFont="1"/>
    <xf numFmtId="0" fontId="93" fillId="0" borderId="0" xfId="5" applyFont="1"/>
    <xf numFmtId="0" fontId="344" fillId="0" borderId="0" xfId="5" applyFont="1"/>
    <xf numFmtId="0" fontId="30" fillId="0" borderId="0" xfId="5" applyFont="1" applyAlignment="1">
      <alignment vertical="center"/>
    </xf>
    <xf numFmtId="0" fontId="163" fillId="0" borderId="0" xfId="5" applyBorder="1" applyAlignment="1">
      <alignment horizontal="center" vertical="center"/>
    </xf>
    <xf numFmtId="0" fontId="163" fillId="0" borderId="0" xfId="5" applyAlignment="1"/>
    <xf numFmtId="0" fontId="163" fillId="0" borderId="1" xfId="5" applyBorder="1" applyAlignment="1">
      <alignment vertical="center"/>
    </xf>
    <xf numFmtId="0" fontId="25" fillId="0" borderId="1" xfId="5" applyFont="1" applyBorder="1" applyAlignment="1">
      <alignment vertical="center" wrapText="1"/>
    </xf>
    <xf numFmtId="0" fontId="163" fillId="0" borderId="36" xfId="5" applyBorder="1" applyAlignment="1">
      <alignment horizontal="center" vertical="center" wrapText="1"/>
    </xf>
    <xf numFmtId="0" fontId="163" fillId="0" borderId="1" xfId="5" applyBorder="1"/>
    <xf numFmtId="0" fontId="163" fillId="0" borderId="1" xfId="6" applyFont="1" applyBorder="1" applyAlignment="1">
      <alignment horizontal="center" vertical="center"/>
    </xf>
    <xf numFmtId="0" fontId="163" fillId="10" borderId="1" xfId="6" applyFont="1" applyFill="1" applyBorder="1" applyAlignment="1">
      <alignment horizontal="center" vertical="center"/>
    </xf>
    <xf numFmtId="0" fontId="163" fillId="37" borderId="1" xfId="6" applyFont="1" applyFill="1" applyBorder="1" applyAlignment="1">
      <alignment horizontal="center" vertical="center"/>
    </xf>
    <xf numFmtId="178" fontId="163" fillId="9" borderId="1" xfId="6" applyNumberFormat="1" applyFont="1" applyFill="1" applyBorder="1" applyAlignment="1">
      <alignment horizontal="center" vertical="center"/>
    </xf>
    <xf numFmtId="178" fontId="163" fillId="0" borderId="0" xfId="6" applyNumberFormat="1" applyFont="1" applyAlignment="1">
      <alignment horizontal="center" vertical="center"/>
    </xf>
    <xf numFmtId="0" fontId="163" fillId="0" borderId="74" xfId="5" applyBorder="1" applyAlignment="1">
      <alignment horizontal="center"/>
    </xf>
    <xf numFmtId="0" fontId="163" fillId="0" borderId="56" xfId="5" applyBorder="1" applyAlignment="1">
      <alignment horizontal="center"/>
    </xf>
    <xf numFmtId="0" fontId="163" fillId="12" borderId="1" xfId="5" applyFill="1" applyBorder="1" applyAlignment="1">
      <alignment horizontal="center"/>
    </xf>
    <xf numFmtId="0" fontId="163" fillId="48" borderId="1" xfId="5" applyFill="1" applyBorder="1" applyAlignment="1">
      <alignment horizontal="center"/>
    </xf>
    <xf numFmtId="0" fontId="163" fillId="48" borderId="60" xfId="5" applyFill="1" applyBorder="1" applyAlignment="1">
      <alignment horizontal="center"/>
    </xf>
    <xf numFmtId="0" fontId="163" fillId="12" borderId="36" xfId="5" applyFill="1" applyBorder="1" applyAlignment="1">
      <alignment horizontal="center"/>
    </xf>
    <xf numFmtId="0" fontId="163" fillId="12" borderId="59" xfId="5" applyFill="1" applyBorder="1" applyAlignment="1">
      <alignment horizontal="center"/>
    </xf>
    <xf numFmtId="0" fontId="163" fillId="12" borderId="0" xfId="5" applyFill="1" applyBorder="1" applyAlignment="1">
      <alignment horizontal="center"/>
    </xf>
    <xf numFmtId="0" fontId="163" fillId="48" borderId="0" xfId="5" applyFill="1" applyBorder="1" applyAlignment="1">
      <alignment horizontal="center"/>
    </xf>
    <xf numFmtId="0" fontId="163" fillId="0" borderId="94" xfId="5" applyBorder="1" applyAlignment="1">
      <alignment horizontal="center"/>
    </xf>
    <xf numFmtId="0" fontId="163" fillId="48" borderId="36" xfId="5" applyFill="1" applyBorder="1" applyAlignment="1">
      <alignment horizontal="center"/>
    </xf>
    <xf numFmtId="0" fontId="163" fillId="48" borderId="36" xfId="5" applyFill="1" applyBorder="1"/>
    <xf numFmtId="0" fontId="166" fillId="0" borderId="0" xfId="5" applyFont="1" applyAlignment="1">
      <alignment vertical="center"/>
    </xf>
    <xf numFmtId="0" fontId="166" fillId="0" borderId="0" xfId="5" applyFont="1"/>
    <xf numFmtId="0" fontId="163" fillId="30" borderId="0" xfId="5" applyFill="1" applyAlignment="1">
      <alignment horizontal="center"/>
    </xf>
    <xf numFmtId="0" fontId="163" fillId="30" borderId="0" xfId="5" applyFill="1"/>
    <xf numFmtId="0" fontId="207" fillId="0" borderId="1" xfId="5" applyFont="1" applyBorder="1" applyAlignment="1">
      <alignment horizontal="center"/>
    </xf>
    <xf numFmtId="0" fontId="345" fillId="12" borderId="93" xfId="5" applyFont="1" applyFill="1" applyBorder="1" applyAlignment="1" applyProtection="1">
      <alignment horizontal="center"/>
      <protection locked="0"/>
    </xf>
    <xf numFmtId="0" fontId="207" fillId="0" borderId="55" xfId="5" applyFont="1" applyBorder="1" applyAlignment="1">
      <alignment horizontal="center"/>
    </xf>
    <xf numFmtId="0" fontId="207" fillId="0" borderId="61" xfId="5" applyFont="1" applyBorder="1" applyAlignment="1">
      <alignment horizontal="center"/>
    </xf>
    <xf numFmtId="0" fontId="207" fillId="0" borderId="56" xfId="5" applyFont="1" applyBorder="1" applyAlignment="1">
      <alignment horizontal="center"/>
    </xf>
    <xf numFmtId="0" fontId="207" fillId="0" borderId="57" xfId="5" applyFont="1" applyBorder="1" applyAlignment="1">
      <alignment horizontal="center"/>
    </xf>
    <xf numFmtId="0" fontId="207" fillId="0" borderId="0" xfId="5" applyFont="1" applyBorder="1" applyAlignment="1">
      <alignment horizontal="center"/>
    </xf>
    <xf numFmtId="0" fontId="207" fillId="0" borderId="58" xfId="5" applyFont="1" applyBorder="1" applyAlignment="1">
      <alignment horizontal="center"/>
    </xf>
    <xf numFmtId="0" fontId="163" fillId="0" borderId="93" xfId="5" applyFill="1" applyBorder="1" applyAlignment="1" applyProtection="1">
      <alignment horizontal="center"/>
      <protection locked="0"/>
    </xf>
    <xf numFmtId="0" fontId="25" fillId="0" borderId="57" xfId="5" applyFont="1" applyBorder="1" applyAlignment="1">
      <alignment horizontal="center"/>
    </xf>
    <xf numFmtId="0" fontId="163" fillId="0" borderId="0" xfId="5" applyBorder="1" applyAlignment="1">
      <alignment horizontal="center"/>
    </xf>
    <xf numFmtId="0" fontId="163" fillId="0" borderId="58" xfId="5" applyBorder="1" applyAlignment="1">
      <alignment horizontal="center"/>
    </xf>
    <xf numFmtId="0" fontId="163" fillId="0" borderId="57" xfId="5" applyBorder="1" applyAlignment="1">
      <alignment horizontal="center"/>
    </xf>
    <xf numFmtId="186" fontId="346" fillId="0" borderId="93" xfId="5" applyNumberFormat="1" applyFont="1" applyFill="1" applyBorder="1" applyAlignment="1" applyProtection="1">
      <alignment horizontal="center"/>
      <protection locked="0"/>
    </xf>
    <xf numFmtId="0" fontId="163" fillId="0" borderId="57" xfId="5" applyFill="1" applyBorder="1" applyAlignment="1">
      <alignment horizontal="center"/>
    </xf>
    <xf numFmtId="0" fontId="163" fillId="0" borderId="0" xfId="5" applyFill="1" applyBorder="1" applyAlignment="1">
      <alignment horizontal="center"/>
    </xf>
    <xf numFmtId="186" fontId="347" fillId="0" borderId="93" xfId="5" applyNumberFormat="1" applyFont="1" applyFill="1" applyBorder="1" applyAlignment="1" applyProtection="1">
      <alignment horizontal="center"/>
      <protection locked="0"/>
    </xf>
    <xf numFmtId="186" fontId="346" fillId="12" borderId="93" xfId="5" applyNumberFormat="1" applyFont="1" applyFill="1" applyBorder="1" applyAlignment="1" applyProtection="1">
      <alignment horizontal="center"/>
      <protection locked="0"/>
    </xf>
    <xf numFmtId="0" fontId="25" fillId="0" borderId="59" xfId="5" applyFont="1" applyFill="1" applyBorder="1" applyAlignment="1">
      <alignment horizontal="center"/>
    </xf>
    <xf numFmtId="0" fontId="25" fillId="0" borderId="53" xfId="5" applyFont="1" applyFill="1" applyBorder="1" applyAlignment="1">
      <alignment horizontal="center"/>
    </xf>
    <xf numFmtId="186" fontId="346" fillId="0" borderId="1" xfId="5" applyNumberFormat="1" applyFont="1" applyFill="1" applyBorder="1" applyAlignment="1" applyProtection="1">
      <alignment horizontal="center"/>
      <protection locked="0"/>
    </xf>
    <xf numFmtId="0" fontId="347" fillId="0" borderId="1" xfId="5" applyFont="1" applyBorder="1" applyAlignment="1">
      <alignment horizontal="center"/>
    </xf>
    <xf numFmtId="0" fontId="346" fillId="0" borderId="1" xfId="5" applyFont="1" applyFill="1" applyBorder="1" applyAlignment="1" applyProtection="1">
      <alignment horizontal="center"/>
      <protection locked="0"/>
    </xf>
    <xf numFmtId="0" fontId="346" fillId="12" borderId="1" xfId="5" applyFont="1" applyFill="1" applyBorder="1" applyAlignment="1" applyProtection="1">
      <alignment horizontal="center"/>
      <protection locked="0"/>
    </xf>
    <xf numFmtId="0" fontId="347" fillId="0" borderId="1" xfId="5" applyFont="1" applyFill="1" applyBorder="1" applyAlignment="1" applyProtection="1">
      <alignment horizontal="center"/>
      <protection locked="0"/>
    </xf>
    <xf numFmtId="0" fontId="345" fillId="12" borderId="1" xfId="5" applyFont="1" applyFill="1" applyBorder="1" applyAlignment="1" applyProtection="1">
      <alignment horizontal="center"/>
      <protection locked="0"/>
    </xf>
    <xf numFmtId="186" fontId="163" fillId="27" borderId="1" xfId="5" applyNumberFormat="1" applyFill="1" applyBorder="1" applyAlignment="1" applyProtection="1">
      <alignment horizontal="center"/>
      <protection locked="0"/>
    </xf>
    <xf numFmtId="186" fontId="163" fillId="0" borderId="1" xfId="5" applyNumberFormat="1" applyFill="1" applyBorder="1" applyAlignment="1" applyProtection="1">
      <alignment horizontal="center"/>
      <protection locked="0"/>
    </xf>
    <xf numFmtId="186" fontId="25" fillId="34" borderId="1" xfId="5" applyNumberFormat="1" applyFont="1" applyFill="1" applyBorder="1" applyAlignment="1" applyProtection="1">
      <alignment horizontal="center"/>
      <protection locked="0"/>
    </xf>
    <xf numFmtId="186" fontId="345" fillId="34" borderId="1" xfId="5" applyNumberFormat="1" applyFont="1" applyFill="1" applyBorder="1" applyAlignment="1" applyProtection="1">
      <alignment horizontal="center"/>
      <protection locked="0"/>
    </xf>
    <xf numFmtId="186" fontId="163" fillId="22" borderId="1" xfId="5" applyNumberFormat="1" applyFill="1" applyBorder="1" applyAlignment="1" applyProtection="1">
      <alignment horizontal="center"/>
      <protection locked="0"/>
    </xf>
    <xf numFmtId="0" fontId="163" fillId="0" borderId="93" xfId="5" applyBorder="1" applyAlignment="1"/>
    <xf numFmtId="0" fontId="163" fillId="0" borderId="54" xfId="5" applyBorder="1" applyAlignment="1"/>
    <xf numFmtId="0" fontId="163" fillId="0" borderId="94" xfId="5" applyBorder="1" applyAlignment="1"/>
    <xf numFmtId="3" fontId="163" fillId="0" borderId="1" xfId="5" applyNumberFormat="1" applyBorder="1" applyAlignment="1">
      <alignment horizontal="center"/>
    </xf>
    <xf numFmtId="3" fontId="163" fillId="0" borderId="1" xfId="5" applyNumberFormat="1" applyFill="1" applyBorder="1" applyAlignment="1">
      <alignment horizontal="center"/>
    </xf>
    <xf numFmtId="0" fontId="25" fillId="0" borderId="1" xfId="5" applyFont="1" applyBorder="1" applyAlignment="1">
      <alignment horizontal="center"/>
    </xf>
    <xf numFmtId="0" fontId="163" fillId="22" borderId="1" xfId="5" applyFill="1" applyBorder="1" applyAlignment="1">
      <alignment horizontal="center"/>
    </xf>
    <xf numFmtId="0" fontId="163" fillId="0" borderId="93" xfId="5" applyBorder="1" applyAlignment="1">
      <alignment horizontal="center"/>
    </xf>
    <xf numFmtId="0" fontId="163" fillId="0" borderId="55" xfId="5" applyBorder="1" applyAlignment="1">
      <alignment horizontal="center"/>
    </xf>
    <xf numFmtId="0" fontId="163" fillId="0" borderId="61" xfId="5" applyBorder="1" applyAlignment="1">
      <alignment horizontal="center"/>
    </xf>
    <xf numFmtId="0" fontId="163" fillId="0" borderId="60" xfId="5" applyFill="1" applyBorder="1" applyAlignment="1">
      <alignment horizontal="center"/>
    </xf>
    <xf numFmtId="0" fontId="163" fillId="0" borderId="0" xfId="5" applyAlignment="1">
      <alignment horizontal="left"/>
    </xf>
    <xf numFmtId="0" fontId="207" fillId="0" borderId="0" xfId="5" applyFont="1" applyAlignment="1">
      <alignment horizontal="left"/>
    </xf>
    <xf numFmtId="0" fontId="163" fillId="0" borderId="0" xfId="5" applyBorder="1" applyAlignment="1">
      <alignment horizontal="left"/>
    </xf>
    <xf numFmtId="0" fontId="163" fillId="0" borderId="0" xfId="5" applyFill="1" applyProtection="1">
      <protection hidden="1"/>
    </xf>
    <xf numFmtId="0" fontId="163" fillId="0" borderId="0" xfId="5" applyFill="1" applyAlignment="1" applyProtection="1">
      <alignment horizontal="center" vertical="center"/>
      <protection hidden="1"/>
    </xf>
    <xf numFmtId="0" fontId="60" fillId="17" borderId="0" xfId="5" applyFont="1" applyFill="1" applyAlignment="1" applyProtection="1">
      <alignment horizontal="center" vertical="center"/>
      <protection locked="0"/>
    </xf>
    <xf numFmtId="0" fontId="163" fillId="0" borderId="0" xfId="5" applyFill="1" applyAlignment="1" applyProtection="1">
      <alignment horizontal="left" vertical="center"/>
      <protection hidden="1"/>
    </xf>
    <xf numFmtId="0" fontId="163" fillId="0" borderId="0" xfId="5" applyFill="1" applyAlignment="1" applyProtection="1">
      <alignment vertical="center"/>
      <protection hidden="1"/>
    </xf>
    <xf numFmtId="0" fontId="45" fillId="0" borderId="0" xfId="5" applyFont="1" applyFill="1" applyAlignment="1" applyProtection="1">
      <alignment horizontal="center" vertical="center"/>
      <protection hidden="1"/>
    </xf>
    <xf numFmtId="0" fontId="163" fillId="0" borderId="0" xfId="5" applyFont="1" applyFill="1" applyAlignment="1" applyProtection="1">
      <alignment horizontal="center" vertical="center"/>
      <protection hidden="1"/>
    </xf>
    <xf numFmtId="0" fontId="163" fillId="18" borderId="0" xfId="5" applyFill="1" applyAlignment="1" applyProtection="1">
      <alignment vertical="center"/>
      <protection hidden="1"/>
    </xf>
    <xf numFmtId="0" fontId="163" fillId="18" borderId="0" xfId="5" applyFill="1" applyAlignment="1" applyProtection="1">
      <alignment horizontal="center" vertical="center"/>
      <protection hidden="1"/>
    </xf>
    <xf numFmtId="0" fontId="163" fillId="18" borderId="0" xfId="5" applyFill="1" applyProtection="1">
      <protection hidden="1"/>
    </xf>
    <xf numFmtId="0" fontId="163" fillId="0" borderId="0" xfId="5" applyAlignment="1">
      <alignment horizontal="center" vertical="center"/>
    </xf>
    <xf numFmtId="0" fontId="163" fillId="34" borderId="0" xfId="5" applyFill="1" applyAlignment="1">
      <alignment horizontal="center" vertical="center"/>
    </xf>
    <xf numFmtId="178" fontId="163" fillId="0" borderId="0" xfId="5" applyNumberFormat="1"/>
    <xf numFmtId="178" fontId="50" fillId="34" borderId="1" xfId="5" applyNumberFormat="1" applyFont="1" applyFill="1" applyBorder="1" applyAlignment="1">
      <alignment horizontal="center" vertical="center" wrapText="1"/>
    </xf>
    <xf numFmtId="0" fontId="50" fillId="34" borderId="1" xfId="5" applyFont="1" applyFill="1" applyBorder="1" applyAlignment="1">
      <alignment horizontal="left" vertical="center" wrapText="1"/>
    </xf>
    <xf numFmtId="178" fontId="50" fillId="34" borderId="1" xfId="5" applyNumberFormat="1" applyFont="1" applyFill="1" applyBorder="1" applyAlignment="1">
      <alignment horizontal="right" vertical="center" wrapText="1"/>
    </xf>
    <xf numFmtId="178" fontId="50" fillId="34" borderId="74" xfId="5" applyNumberFormat="1" applyFont="1" applyFill="1" applyBorder="1" applyAlignment="1">
      <alignment horizontal="right" vertical="center" wrapText="1"/>
    </xf>
    <xf numFmtId="178" fontId="163" fillId="34" borderId="1" xfId="5" applyNumberFormat="1" applyFill="1" applyBorder="1" applyAlignment="1">
      <alignment horizontal="right" vertical="center"/>
    </xf>
    <xf numFmtId="0" fontId="163" fillId="0" borderId="0" xfId="5" applyAlignment="1">
      <alignment horizontal="left" vertical="center"/>
    </xf>
    <xf numFmtId="178" fontId="163" fillId="0" borderId="0" xfId="5" applyNumberFormat="1" applyAlignment="1">
      <alignment horizontal="right" vertical="center"/>
    </xf>
    <xf numFmtId="0" fontId="83" fillId="34" borderId="291" xfId="5" applyFont="1" applyFill="1" applyBorder="1" applyAlignment="1">
      <alignment horizontal="center" vertical="center" wrapText="1"/>
    </xf>
    <xf numFmtId="0" fontId="349" fillId="34" borderId="292" xfId="5" applyFont="1" applyFill="1" applyBorder="1" applyAlignment="1">
      <alignment horizontal="center" wrapText="1"/>
    </xf>
    <xf numFmtId="0" fontId="349" fillId="34" borderId="291" xfId="5" applyFont="1" applyFill="1" applyBorder="1" applyAlignment="1">
      <alignment horizontal="center" wrapText="1"/>
    </xf>
    <xf numFmtId="0" fontId="83" fillId="34" borderId="297" xfId="5" applyFont="1" applyFill="1" applyBorder="1" applyAlignment="1">
      <alignment horizontal="center" vertical="center" wrapText="1"/>
    </xf>
    <xf numFmtId="0" fontId="25" fillId="0" borderId="0" xfId="5" applyFont="1" applyAlignment="1">
      <alignment horizontal="center" vertical="center"/>
    </xf>
    <xf numFmtId="0" fontId="81" fillId="15" borderId="1" xfId="5" applyFont="1" applyFill="1" applyBorder="1" applyAlignment="1">
      <alignment horizontal="center" wrapText="1"/>
    </xf>
    <xf numFmtId="0" fontId="81" fillId="15" borderId="94" xfId="5" applyFont="1" applyFill="1" applyBorder="1" applyAlignment="1">
      <alignment horizontal="center" wrapText="1"/>
    </xf>
    <xf numFmtId="0" fontId="350" fillId="65" borderId="125" xfId="5" applyFont="1" applyFill="1" applyBorder="1" applyAlignment="1">
      <alignment horizontal="center" wrapText="1"/>
    </xf>
    <xf numFmtId="0" fontId="50" fillId="34" borderId="125" xfId="5" applyFont="1" applyFill="1" applyBorder="1" applyAlignment="1">
      <alignment horizontal="center" wrapText="1"/>
    </xf>
    <xf numFmtId="0" fontId="83" fillId="15" borderId="0" xfId="5" applyFont="1" applyFill="1" applyAlignment="1">
      <alignment horizontal="center" wrapText="1"/>
    </xf>
    <xf numFmtId="0" fontId="83" fillId="34" borderId="0" xfId="5" applyFont="1" applyFill="1" applyAlignment="1">
      <alignment horizontal="center" wrapText="1"/>
    </xf>
    <xf numFmtId="0" fontId="25" fillId="34" borderId="0" xfId="5" applyFont="1" applyFill="1" applyAlignment="1">
      <alignment horizontal="center" wrapText="1"/>
    </xf>
    <xf numFmtId="0" fontId="351" fillId="34" borderId="0" xfId="14" applyFill="1" applyAlignment="1" applyProtection="1">
      <alignment horizontal="center" wrapText="1"/>
    </xf>
    <xf numFmtId="0" fontId="163" fillId="49" borderId="0" xfId="5" applyFill="1"/>
    <xf numFmtId="0" fontId="352" fillId="0" borderId="0" xfId="5" applyFont="1" applyAlignment="1">
      <alignment horizontal="left"/>
    </xf>
    <xf numFmtId="0" fontId="353" fillId="0" borderId="0" xfId="5" applyFont="1" applyAlignment="1">
      <alignment horizontal="left"/>
    </xf>
    <xf numFmtId="0" fontId="354" fillId="0" borderId="0" xfId="5" applyFont="1" applyAlignment="1">
      <alignment horizontal="left"/>
    </xf>
    <xf numFmtId="0" fontId="77" fillId="0" borderId="0" xfId="5" applyFont="1" applyAlignment="1">
      <alignment horizontal="left"/>
    </xf>
    <xf numFmtId="0" fontId="227" fillId="0" borderId="0" xfId="5" applyFont="1" applyAlignment="1">
      <alignment horizontal="left"/>
    </xf>
    <xf numFmtId="0" fontId="351" fillId="0" borderId="0" xfId="14" applyAlignment="1" applyProtection="1">
      <alignment horizontal="left"/>
    </xf>
    <xf numFmtId="0" fontId="351" fillId="0" borderId="301" xfId="14" applyBorder="1" applyAlignment="1" applyProtection="1">
      <alignment horizontal="left"/>
    </xf>
    <xf numFmtId="0" fontId="163" fillId="66" borderId="256" xfId="5" applyFill="1" applyBorder="1"/>
    <xf numFmtId="0" fontId="355" fillId="0" borderId="0" xfId="5" applyFont="1" applyAlignment="1">
      <alignment vertical="center"/>
    </xf>
    <xf numFmtId="0" fontId="355" fillId="0" borderId="0" xfId="5" applyFont="1"/>
    <xf numFmtId="0" fontId="356" fillId="0" borderId="0" xfId="5" applyFont="1" applyAlignment="1">
      <alignment horizontal="center"/>
    </xf>
    <xf numFmtId="0" fontId="357" fillId="0" borderId="1" xfId="5" applyFont="1" applyBorder="1" applyAlignment="1">
      <alignment horizontal="center" vertical="center"/>
    </xf>
    <xf numFmtId="0" fontId="357" fillId="0" borderId="55" xfId="5" applyFont="1" applyFill="1" applyBorder="1" applyAlignment="1">
      <alignment horizontal="center" vertical="center"/>
    </xf>
    <xf numFmtId="0" fontId="357" fillId="0" borderId="74" xfId="5" applyFont="1" applyFill="1" applyBorder="1" applyAlignment="1">
      <alignment horizontal="center" vertical="center"/>
    </xf>
    <xf numFmtId="0" fontId="357" fillId="0" borderId="74" xfId="5" applyFont="1" applyBorder="1" applyAlignment="1">
      <alignment horizontal="center" vertical="center"/>
    </xf>
    <xf numFmtId="0" fontId="357" fillId="0" borderId="71" xfId="5" applyFont="1" applyBorder="1" applyAlignment="1">
      <alignment horizontal="center" vertical="center"/>
    </xf>
    <xf numFmtId="0" fontId="357" fillId="0" borderId="302" xfId="5" applyFont="1" applyBorder="1" applyAlignment="1">
      <alignment horizontal="center" vertical="center"/>
    </xf>
    <xf numFmtId="0" fontId="358" fillId="0" borderId="302" xfId="5" applyFont="1" applyFill="1" applyBorder="1" applyAlignment="1">
      <alignment horizontal="center" vertical="center"/>
    </xf>
    <xf numFmtId="201" fontId="357" fillId="0" borderId="184" xfId="5" applyNumberFormat="1" applyFont="1" applyBorder="1" applyAlignment="1">
      <alignment horizontal="center" vertical="center"/>
    </xf>
    <xf numFmtId="0" fontId="357" fillId="0" borderId="184" xfId="5" applyFont="1" applyBorder="1" applyAlignment="1">
      <alignment horizontal="center" vertical="center"/>
    </xf>
    <xf numFmtId="0" fontId="357" fillId="0" borderId="63" xfId="5" applyFont="1" applyBorder="1" applyAlignment="1">
      <alignment horizontal="center" vertical="center"/>
    </xf>
    <xf numFmtId="0" fontId="357" fillId="0" borderId="36" xfId="5" applyFont="1" applyBorder="1" applyAlignment="1">
      <alignment horizontal="center" vertical="center"/>
    </xf>
    <xf numFmtId="0" fontId="359" fillId="0" borderId="59" xfId="5" applyFont="1" applyFill="1" applyBorder="1" applyAlignment="1">
      <alignment horizontal="center" vertical="center"/>
    </xf>
    <xf numFmtId="180" fontId="357" fillId="0" borderId="36" xfId="5" applyNumberFormat="1" applyFont="1" applyFill="1" applyBorder="1" applyAlignment="1">
      <alignment horizontal="center" vertical="center"/>
    </xf>
    <xf numFmtId="201" fontId="357" fillId="0" borderId="36" xfId="5" applyNumberFormat="1" applyFont="1" applyFill="1" applyBorder="1" applyAlignment="1">
      <alignment horizontal="center" vertical="center"/>
    </xf>
    <xf numFmtId="190" fontId="357" fillId="0" borderId="36" xfId="5" applyNumberFormat="1" applyFont="1" applyFill="1" applyBorder="1" applyAlignment="1">
      <alignment horizontal="center" vertical="center"/>
    </xf>
    <xf numFmtId="0" fontId="359" fillId="0" borderId="302" xfId="5" applyFont="1" applyFill="1" applyBorder="1" applyAlignment="1">
      <alignment horizontal="center" vertical="center"/>
    </xf>
    <xf numFmtId="180" fontId="357" fillId="0" borderId="184" xfId="5" applyNumberFormat="1" applyFont="1" applyFill="1" applyBorder="1" applyAlignment="1">
      <alignment horizontal="center" vertical="center"/>
    </xf>
    <xf numFmtId="201" fontId="357" fillId="0" borderId="184" xfId="5" applyNumberFormat="1" applyFont="1" applyFill="1" applyBorder="1" applyAlignment="1">
      <alignment horizontal="center" vertical="center"/>
    </xf>
    <xf numFmtId="190" fontId="357" fillId="0" borderId="71" xfId="5" applyNumberFormat="1" applyFont="1" applyFill="1" applyBorder="1" applyAlignment="1">
      <alignment horizontal="center" vertical="center"/>
    </xf>
    <xf numFmtId="0" fontId="359" fillId="0" borderId="36" xfId="5" applyFont="1" applyFill="1" applyBorder="1" applyAlignment="1">
      <alignment horizontal="center" vertical="center"/>
    </xf>
    <xf numFmtId="0" fontId="359" fillId="0" borderId="71" xfId="5" applyFont="1" applyFill="1" applyBorder="1" applyAlignment="1">
      <alignment horizontal="center" vertical="center"/>
    </xf>
    <xf numFmtId="180" fontId="357" fillId="0" borderId="71" xfId="5" applyNumberFormat="1" applyFont="1" applyFill="1" applyBorder="1" applyAlignment="1">
      <alignment horizontal="center" vertical="center"/>
    </xf>
    <xf numFmtId="201" fontId="357" fillId="0" borderId="71" xfId="5" applyNumberFormat="1" applyFont="1" applyFill="1" applyBorder="1" applyAlignment="1">
      <alignment horizontal="center" vertical="center"/>
    </xf>
    <xf numFmtId="0" fontId="359" fillId="0" borderId="1" xfId="5" applyFont="1" applyFill="1" applyBorder="1" applyAlignment="1">
      <alignment horizontal="center" vertical="center"/>
    </xf>
    <xf numFmtId="190" fontId="357" fillId="0" borderId="1" xfId="5" applyNumberFormat="1" applyFont="1" applyFill="1" applyBorder="1" applyAlignment="1">
      <alignment horizontal="center" vertical="center"/>
    </xf>
    <xf numFmtId="0" fontId="357" fillId="0" borderId="0" xfId="5" applyFont="1" applyAlignment="1">
      <alignment vertical="center"/>
    </xf>
    <xf numFmtId="0" fontId="357" fillId="0" borderId="0" xfId="5" applyFont="1" applyAlignment="1">
      <alignment horizontal="center" vertical="center"/>
    </xf>
    <xf numFmtId="180" fontId="357" fillId="0" borderId="0" xfId="5" applyNumberFormat="1" applyFont="1" applyAlignment="1">
      <alignment horizontal="center" vertical="center"/>
    </xf>
    <xf numFmtId="190" fontId="357" fillId="0" borderId="0" xfId="5" applyNumberFormat="1" applyFont="1" applyAlignment="1">
      <alignment horizontal="center" vertical="center"/>
    </xf>
    <xf numFmtId="0" fontId="357" fillId="10" borderId="1" xfId="5" applyFont="1" applyFill="1" applyBorder="1" applyAlignment="1">
      <alignment horizontal="center" vertical="center"/>
    </xf>
    <xf numFmtId="0" fontId="355" fillId="0" borderId="0" xfId="5" applyFont="1" applyAlignment="1">
      <alignment horizontal="center"/>
    </xf>
    <xf numFmtId="180" fontId="355" fillId="0" borderId="0" xfId="5" applyNumberFormat="1" applyFont="1" applyAlignment="1">
      <alignment horizontal="center"/>
    </xf>
    <xf numFmtId="0" fontId="30" fillId="0" borderId="2" xfId="5" applyFont="1" applyFill="1" applyBorder="1" applyAlignment="1">
      <alignment horizontal="center" vertical="center"/>
    </xf>
    <xf numFmtId="0" fontId="30" fillId="33" borderId="95" xfId="5" applyFont="1" applyFill="1" applyBorder="1" applyAlignment="1">
      <alignment horizontal="center" vertical="center"/>
    </xf>
    <xf numFmtId="0" fontId="30" fillId="48" borderId="95" xfId="5" applyFont="1" applyFill="1" applyBorder="1" applyAlignment="1">
      <alignment horizontal="center" vertical="center"/>
    </xf>
    <xf numFmtId="0" fontId="27" fillId="12" borderId="257" xfId="5" applyFont="1" applyFill="1" applyBorder="1" applyAlignment="1">
      <alignment horizontal="center" vertical="center"/>
    </xf>
    <xf numFmtId="0" fontId="30" fillId="48" borderId="262" xfId="5" applyFont="1" applyFill="1" applyBorder="1" applyAlignment="1">
      <alignment horizontal="center" vertical="center"/>
    </xf>
    <xf numFmtId="0" fontId="30" fillId="0" borderId="262" xfId="5" applyFont="1" applyBorder="1" applyAlignment="1">
      <alignment horizontal="center" vertical="center"/>
    </xf>
    <xf numFmtId="0" fontId="30" fillId="0" borderId="4" xfId="5" applyFont="1" applyFill="1" applyBorder="1" applyAlignment="1">
      <alignment horizontal="center" vertical="center"/>
    </xf>
    <xf numFmtId="0" fontId="30" fillId="33" borderId="63" xfId="5" applyFont="1" applyFill="1" applyBorder="1" applyAlignment="1">
      <alignment horizontal="center" vertical="center"/>
    </xf>
    <xf numFmtId="0" fontId="30" fillId="48" borderId="63" xfId="5" applyFont="1" applyFill="1" applyBorder="1" applyAlignment="1">
      <alignment horizontal="center" vertical="center"/>
    </xf>
    <xf numFmtId="0" fontId="30" fillId="33" borderId="96" xfId="5" applyFont="1" applyFill="1" applyBorder="1" applyAlignment="1">
      <alignment horizontal="center" vertical="center"/>
    </xf>
    <xf numFmtId="0" fontId="27" fillId="12" borderId="0" xfId="5" applyFont="1" applyFill="1" applyBorder="1" applyAlignment="1">
      <alignment horizontal="center" vertical="center"/>
    </xf>
    <xf numFmtId="0" fontId="30" fillId="48" borderId="57" xfId="5" applyFont="1" applyFill="1" applyBorder="1" applyAlignment="1">
      <alignment horizontal="center" vertical="center"/>
    </xf>
    <xf numFmtId="0" fontId="30" fillId="0" borderId="57" xfId="5" applyFont="1" applyBorder="1" applyAlignment="1">
      <alignment horizontal="center" vertical="center"/>
    </xf>
    <xf numFmtId="0" fontId="30" fillId="0" borderId="154" xfId="5" applyFont="1" applyBorder="1" applyAlignment="1">
      <alignment horizontal="center" vertical="center"/>
    </xf>
    <xf numFmtId="0" fontId="163" fillId="33" borderId="44" xfId="5" applyFont="1" applyFill="1" applyBorder="1" applyAlignment="1">
      <alignment horizontal="center" vertical="center"/>
    </xf>
    <xf numFmtId="0" fontId="163" fillId="48" borderId="44" xfId="5" applyFont="1" applyFill="1" applyBorder="1" applyAlignment="1">
      <alignment horizontal="center" vertical="center"/>
    </xf>
    <xf numFmtId="0" fontId="45" fillId="12" borderId="44" xfId="5" applyFont="1" applyFill="1" applyBorder="1" applyAlignment="1">
      <alignment horizontal="center" vertical="center"/>
    </xf>
    <xf numFmtId="0" fontId="163" fillId="0" borderId="44" xfId="5" applyFont="1" applyBorder="1" applyAlignment="1">
      <alignment horizontal="center" vertical="center"/>
    </xf>
    <xf numFmtId="0" fontId="163" fillId="0" borderId="3" xfId="5" applyFont="1" applyBorder="1" applyAlignment="1">
      <alignment horizontal="center" vertical="center"/>
    </xf>
    <xf numFmtId="0" fontId="163" fillId="0" borderId="119" xfId="5" applyFont="1" applyBorder="1" applyAlignment="1">
      <alignment horizontal="center" vertical="center"/>
    </xf>
    <xf numFmtId="0" fontId="163" fillId="33" borderId="1" xfId="5" applyFont="1" applyFill="1" applyBorder="1" applyAlignment="1">
      <alignment horizontal="center" vertical="center"/>
    </xf>
    <xf numFmtId="0" fontId="163" fillId="48" borderId="1" xfId="5" applyFont="1" applyFill="1" applyBorder="1" applyAlignment="1">
      <alignment horizontal="center" vertical="center"/>
    </xf>
    <xf numFmtId="0" fontId="45" fillId="12" borderId="36" xfId="5" applyFont="1" applyFill="1" applyBorder="1" applyAlignment="1">
      <alignment horizontal="center" vertical="center"/>
    </xf>
    <xf numFmtId="0" fontId="163" fillId="0" borderId="1" xfId="5" applyFont="1" applyBorder="1" applyAlignment="1">
      <alignment horizontal="center" vertical="center"/>
    </xf>
    <xf numFmtId="0" fontId="163" fillId="0" borderId="0" xfId="5" applyFont="1" applyBorder="1" applyAlignment="1">
      <alignment horizontal="center" vertical="center"/>
    </xf>
    <xf numFmtId="0" fontId="30" fillId="0" borderId="0" xfId="5" applyFont="1" applyBorder="1" applyAlignment="1">
      <alignment horizontal="center" vertical="center"/>
    </xf>
    <xf numFmtId="0" fontId="163" fillId="33" borderId="74" xfId="5" applyFont="1" applyFill="1" applyBorder="1" applyAlignment="1">
      <alignment horizontal="center" vertical="center"/>
    </xf>
    <xf numFmtId="0" fontId="163" fillId="48" borderId="74" xfId="5" applyFont="1" applyFill="1" applyBorder="1" applyAlignment="1">
      <alignment horizontal="center" vertical="center"/>
    </xf>
    <xf numFmtId="0" fontId="163" fillId="0" borderId="264" xfId="5" applyFont="1" applyBorder="1" applyAlignment="1">
      <alignment horizontal="center" vertical="center"/>
    </xf>
    <xf numFmtId="0" fontId="163" fillId="33" borderId="47" xfId="5" applyFont="1" applyFill="1" applyBorder="1" applyAlignment="1">
      <alignment horizontal="center" vertical="center"/>
    </xf>
    <xf numFmtId="0" fontId="163" fillId="48" borderId="47" xfId="5" applyFont="1" applyFill="1" applyBorder="1" applyAlignment="1">
      <alignment horizontal="center" vertical="center"/>
    </xf>
    <xf numFmtId="0" fontId="163" fillId="0" borderId="47" xfId="5" applyFont="1" applyBorder="1" applyAlignment="1">
      <alignment horizontal="center" vertical="center"/>
    </xf>
    <xf numFmtId="0" fontId="163" fillId="0" borderId="23" xfId="5" applyFont="1" applyBorder="1" applyAlignment="1">
      <alignment horizontal="center" vertical="center"/>
    </xf>
    <xf numFmtId="0" fontId="362" fillId="0" borderId="0" xfId="5" applyFont="1" applyAlignment="1">
      <alignment horizontal="left"/>
    </xf>
    <xf numFmtId="0" fontId="73" fillId="0" borderId="0" xfId="5" applyFont="1" applyAlignment="1">
      <alignment horizontal="left"/>
    </xf>
    <xf numFmtId="0" fontId="30" fillId="0" borderId="95" xfId="5" applyFont="1" applyBorder="1" applyAlignment="1">
      <alignment horizontal="center" vertical="center"/>
    </xf>
    <xf numFmtId="0" fontId="30" fillId="0" borderId="29" xfId="5" applyFont="1" applyBorder="1" applyAlignment="1">
      <alignment horizontal="center" vertical="center"/>
    </xf>
    <xf numFmtId="0" fontId="30" fillId="0" borderId="63" xfId="5" applyFont="1" applyBorder="1" applyAlignment="1">
      <alignment horizontal="center" vertical="center"/>
    </xf>
    <xf numFmtId="0" fontId="30" fillId="0" borderId="30" xfId="5" applyFont="1" applyBorder="1" applyAlignment="1">
      <alignment horizontal="center" vertical="center"/>
    </xf>
    <xf numFmtId="0" fontId="163" fillId="0" borderId="95" xfId="5" applyFont="1" applyBorder="1" applyAlignment="1">
      <alignment horizontal="center" vertical="center"/>
    </xf>
    <xf numFmtId="0" fontId="163" fillId="0" borderId="29" xfId="5" applyFont="1" applyBorder="1" applyAlignment="1">
      <alignment horizontal="center" vertical="center"/>
    </xf>
    <xf numFmtId="0" fontId="163" fillId="0" borderId="63" xfId="5" applyFont="1" applyBorder="1" applyAlignment="1">
      <alignment horizontal="center" vertical="center"/>
    </xf>
    <xf numFmtId="0" fontId="163" fillId="0" borderId="30" xfId="5" applyFont="1" applyBorder="1" applyAlignment="1">
      <alignment horizontal="center" vertical="center"/>
    </xf>
    <xf numFmtId="0" fontId="163" fillId="0" borderId="96" xfId="5" applyFont="1" applyBorder="1" applyAlignment="1">
      <alignment horizontal="center" vertical="center"/>
    </xf>
    <xf numFmtId="0" fontId="163" fillId="0" borderId="35" xfId="5" applyFont="1" applyBorder="1" applyAlignment="1">
      <alignment horizontal="center" vertical="center"/>
    </xf>
    <xf numFmtId="0" fontId="363" fillId="0" borderId="0" xfId="5" applyFont="1" applyAlignment="1">
      <alignment horizontal="left"/>
    </xf>
    <xf numFmtId="0" fontId="73" fillId="0" borderId="0" xfId="5" applyFont="1"/>
    <xf numFmtId="177" fontId="355" fillId="0" borderId="0" xfId="5" applyNumberFormat="1" applyFont="1"/>
    <xf numFmtId="0" fontId="364" fillId="0" borderId="0" xfId="5" applyFont="1" applyBorder="1" applyAlignment="1">
      <alignment horizontal="center" vertical="center"/>
    </xf>
    <xf numFmtId="0" fontId="355" fillId="0" borderId="1" xfId="5" applyFont="1" applyBorder="1" applyAlignment="1">
      <alignment horizontal="center" vertical="center" wrapText="1"/>
    </xf>
    <xf numFmtId="0" fontId="355" fillId="0" borderId="1" xfId="5" applyFont="1" applyBorder="1" applyAlignment="1">
      <alignment horizontal="center" vertical="center"/>
    </xf>
    <xf numFmtId="177" fontId="355" fillId="0" borderId="1" xfId="5" applyNumberFormat="1" applyFont="1" applyBorder="1" applyAlignment="1">
      <alignment horizontal="center" vertical="center" wrapText="1"/>
    </xf>
    <xf numFmtId="0" fontId="355" fillId="21" borderId="1" xfId="5" applyFont="1" applyFill="1" applyBorder="1" applyAlignment="1">
      <alignment horizontal="center" vertical="center"/>
    </xf>
    <xf numFmtId="177" fontId="355" fillId="0" borderId="1" xfId="5" applyNumberFormat="1" applyFont="1" applyBorder="1" applyAlignment="1">
      <alignment horizontal="center" vertical="center"/>
    </xf>
    <xf numFmtId="0" fontId="365" fillId="0" borderId="1" xfId="5" applyFont="1" applyBorder="1" applyAlignment="1">
      <alignment horizontal="center" vertical="center"/>
    </xf>
    <xf numFmtId="177" fontId="365" fillId="0" borderId="1" xfId="5" applyNumberFormat="1" applyFont="1" applyBorder="1" applyAlignment="1">
      <alignment horizontal="center" vertical="center"/>
    </xf>
    <xf numFmtId="0" fontId="366" fillId="0" borderId="0" xfId="5" applyFont="1" applyAlignment="1">
      <alignment horizontal="left"/>
    </xf>
    <xf numFmtId="0" fontId="231" fillId="0" borderId="0" xfId="5" applyFont="1"/>
    <xf numFmtId="0" fontId="367" fillId="0" borderId="0" xfId="5" applyFont="1"/>
    <xf numFmtId="0" fontId="231" fillId="0" borderId="0" xfId="5" applyFont="1" applyAlignment="1">
      <alignment horizontal="left"/>
    </xf>
    <xf numFmtId="0" fontId="367" fillId="0" borderId="0" xfId="5" applyFont="1" applyAlignment="1">
      <alignment horizontal="left"/>
    </xf>
    <xf numFmtId="0" fontId="367" fillId="0" borderId="0" xfId="5" applyFont="1" applyAlignment="1"/>
    <xf numFmtId="0" fontId="368" fillId="0" borderId="0" xfId="5" applyFont="1"/>
    <xf numFmtId="0" fontId="50" fillId="0" borderId="0" xfId="5" applyFont="1" applyAlignment="1"/>
    <xf numFmtId="0" fontId="50" fillId="0" borderId="0" xfId="5" applyFont="1"/>
    <xf numFmtId="0" fontId="50" fillId="0" borderId="0" xfId="5" applyFont="1" applyAlignment="1">
      <alignment horizontal="left" indent="1"/>
    </xf>
    <xf numFmtId="0" fontId="369" fillId="0" borderId="55" xfId="5" applyFont="1" applyBorder="1"/>
    <xf numFmtId="0" fontId="163" fillId="0" borderId="61" xfId="5" applyBorder="1"/>
    <xf numFmtId="0" fontId="163" fillId="0" borderId="57" xfId="5" applyBorder="1"/>
    <xf numFmtId="0" fontId="73" fillId="0" borderId="1" xfId="5" applyFont="1" applyBorder="1" applyAlignment="1">
      <alignment horizontal="center"/>
    </xf>
    <xf numFmtId="0" fontId="45" fillId="0" borderId="94" xfId="5" applyFont="1" applyBorder="1" applyAlignment="1">
      <alignment horizontal="center"/>
    </xf>
    <xf numFmtId="0" fontId="370" fillId="48" borderId="1" xfId="5" applyFont="1" applyFill="1" applyBorder="1" applyAlignment="1">
      <alignment horizontal="center"/>
    </xf>
    <xf numFmtId="0" fontId="371" fillId="0" borderId="0" xfId="5" applyFont="1" applyAlignment="1">
      <alignment horizontal="left" indent="2"/>
    </xf>
    <xf numFmtId="0" fontId="50" fillId="0" borderId="0" xfId="5" applyFont="1" applyAlignment="1">
      <alignment horizontal="left" indent="2"/>
    </xf>
    <xf numFmtId="0" fontId="50" fillId="0" borderId="0" xfId="5" applyFont="1" applyAlignment="1">
      <alignment horizontal="center"/>
    </xf>
    <xf numFmtId="0" fontId="163" fillId="0" borderId="56" xfId="5" applyBorder="1"/>
    <xf numFmtId="0" fontId="163" fillId="0" borderId="58" xfId="5" applyBorder="1"/>
    <xf numFmtId="0" fontId="372" fillId="0" borderId="0" xfId="5" applyFont="1"/>
    <xf numFmtId="0" fontId="163" fillId="21" borderId="0" xfId="5" applyFill="1" applyAlignment="1">
      <alignment horizontal="center"/>
    </xf>
    <xf numFmtId="0" fontId="373" fillId="0" borderId="0" xfId="5" applyFont="1" applyAlignment="1">
      <alignment horizontal="center"/>
    </xf>
    <xf numFmtId="0" fontId="372" fillId="0" borderId="0" xfId="5" applyFont="1" applyAlignment="1">
      <alignment horizontal="center"/>
    </xf>
    <xf numFmtId="0" fontId="355" fillId="0" borderId="4" xfId="5" applyFont="1" applyBorder="1"/>
    <xf numFmtId="0" fontId="355" fillId="0" borderId="0" xfId="5" applyFont="1" applyBorder="1"/>
    <xf numFmtId="0" fontId="355" fillId="0" borderId="39" xfId="5" applyFont="1" applyBorder="1" applyAlignment="1">
      <alignment horizontal="center" vertical="center"/>
    </xf>
    <xf numFmtId="177" fontId="355" fillId="21" borderId="39" xfId="5" applyNumberFormat="1" applyFont="1" applyFill="1" applyBorder="1" applyAlignment="1">
      <alignment horizontal="center" vertical="center"/>
    </xf>
    <xf numFmtId="177" fontId="355" fillId="21" borderId="1" xfId="5" applyNumberFormat="1" applyFont="1" applyFill="1" applyBorder="1" applyAlignment="1">
      <alignment horizontal="center" vertical="center"/>
    </xf>
    <xf numFmtId="178" fontId="365" fillId="0" borderId="1" xfId="5" applyNumberFormat="1" applyFont="1" applyBorder="1" applyAlignment="1">
      <alignment horizontal="center" vertical="center"/>
    </xf>
    <xf numFmtId="177" fontId="355" fillId="0" borderId="39" xfId="5" applyNumberFormat="1" applyFont="1" applyBorder="1" applyAlignment="1">
      <alignment horizontal="center" vertical="center"/>
    </xf>
    <xf numFmtId="178" fontId="355" fillId="0" borderId="1" xfId="5" applyNumberFormat="1" applyFont="1" applyBorder="1" applyAlignment="1">
      <alignment horizontal="center" vertical="center"/>
    </xf>
    <xf numFmtId="177" fontId="355" fillId="0" borderId="4" xfId="5" applyNumberFormat="1" applyFont="1" applyBorder="1" applyAlignment="1">
      <alignment horizontal="center" vertical="center"/>
    </xf>
    <xf numFmtId="177" fontId="355" fillId="0" borderId="0" xfId="5" applyNumberFormat="1" applyFont="1" applyBorder="1" applyAlignment="1">
      <alignment horizontal="center" vertical="center"/>
    </xf>
    <xf numFmtId="180" fontId="355" fillId="0" borderId="4" xfId="5" applyNumberFormat="1" applyFont="1" applyBorder="1" applyAlignment="1">
      <alignment horizontal="center" vertical="center"/>
    </xf>
    <xf numFmtId="180" fontId="355" fillId="0" borderId="0" xfId="5" applyNumberFormat="1" applyFont="1" applyBorder="1" applyAlignment="1">
      <alignment horizontal="center" vertical="center"/>
    </xf>
    <xf numFmtId="0" fontId="355" fillId="0" borderId="4" xfId="5" applyFont="1" applyBorder="1" applyAlignment="1">
      <alignment horizontal="center" vertical="center"/>
    </xf>
    <xf numFmtId="0" fontId="355" fillId="0" borderId="0" xfId="5" applyFont="1" applyBorder="1" applyAlignment="1">
      <alignment horizontal="center" vertical="center"/>
    </xf>
    <xf numFmtId="0" fontId="355" fillId="0" borderId="22" xfId="5" applyFont="1" applyBorder="1"/>
    <xf numFmtId="0" fontId="355" fillId="0" borderId="23" xfId="5" applyFont="1" applyBorder="1" applyAlignment="1">
      <alignment horizontal="center" vertical="center"/>
    </xf>
    <xf numFmtId="0" fontId="355" fillId="0" borderId="0" xfId="5" applyFont="1" applyAlignment="1">
      <alignment horizontal="center" vertical="center"/>
    </xf>
    <xf numFmtId="0" fontId="355" fillId="0" borderId="23" xfId="5" applyFont="1" applyBorder="1"/>
    <xf numFmtId="0" fontId="355" fillId="0" borderId="52" xfId="5" applyFont="1" applyBorder="1" applyAlignment="1">
      <alignment horizontal="center" vertical="center"/>
    </xf>
    <xf numFmtId="0" fontId="355" fillId="0" borderId="36" xfId="5" applyFont="1" applyBorder="1" applyAlignment="1">
      <alignment horizontal="center" vertical="center"/>
    </xf>
    <xf numFmtId="0" fontId="355" fillId="0" borderId="1" xfId="5" applyFont="1" applyBorder="1"/>
    <xf numFmtId="0" fontId="163" fillId="0" borderId="4" xfId="5" applyBorder="1"/>
    <xf numFmtId="0" fontId="163" fillId="0" borderId="22" xfId="5" applyBorder="1"/>
    <xf numFmtId="0" fontId="163" fillId="0" borderId="23" xfId="5" applyBorder="1"/>
    <xf numFmtId="0" fontId="355" fillId="0" borderId="30" xfId="5" applyFont="1" applyBorder="1"/>
    <xf numFmtId="0" fontId="355" fillId="0" borderId="46" xfId="5" applyFont="1" applyFill="1" applyBorder="1" applyAlignment="1">
      <alignment horizontal="center" vertical="center"/>
    </xf>
    <xf numFmtId="0" fontId="163" fillId="0" borderId="46" xfId="5" applyBorder="1" applyAlignment="1">
      <alignment horizontal="center" vertical="center"/>
    </xf>
    <xf numFmtId="178" fontId="365" fillId="0" borderId="46" xfId="5" applyNumberFormat="1" applyFont="1" applyBorder="1"/>
    <xf numFmtId="178" fontId="355" fillId="0" borderId="1" xfId="5" applyNumberFormat="1" applyFont="1" applyBorder="1"/>
    <xf numFmtId="178" fontId="355" fillId="0" borderId="46" xfId="5" applyNumberFormat="1" applyFont="1" applyBorder="1"/>
    <xf numFmtId="177" fontId="355" fillId="0" borderId="30" xfId="5" applyNumberFormat="1" applyFont="1" applyBorder="1"/>
    <xf numFmtId="177" fontId="355" fillId="0" borderId="46" xfId="5" applyNumberFormat="1" applyFont="1" applyFill="1" applyBorder="1" applyAlignment="1">
      <alignment horizontal="center" vertical="center"/>
    </xf>
    <xf numFmtId="177" fontId="163" fillId="0" borderId="46" xfId="5" applyNumberFormat="1" applyBorder="1" applyAlignment="1">
      <alignment horizontal="center" vertical="center"/>
    </xf>
    <xf numFmtId="0" fontId="355" fillId="0" borderId="35" xfId="5" applyFont="1" applyBorder="1"/>
    <xf numFmtId="0" fontId="355" fillId="0" borderId="64" xfId="5" applyFont="1" applyFill="1" applyBorder="1" applyAlignment="1">
      <alignment horizontal="center" vertical="center"/>
    </xf>
    <xf numFmtId="177" fontId="365" fillId="0" borderId="46" xfId="5" applyNumberFormat="1" applyFont="1" applyBorder="1"/>
    <xf numFmtId="177" fontId="355" fillId="0" borderId="46" xfId="5" applyNumberFormat="1" applyFont="1" applyBorder="1"/>
    <xf numFmtId="0" fontId="163" fillId="0" borderId="30" xfId="5" applyBorder="1"/>
    <xf numFmtId="0" fontId="163" fillId="0" borderId="35" xfId="5" applyBorder="1"/>
    <xf numFmtId="0" fontId="93" fillId="0" borderId="0" xfId="5" applyFont="1" applyAlignment="1">
      <alignment horizontal="center"/>
    </xf>
    <xf numFmtId="176" fontId="163" fillId="0" borderId="1" xfId="5" applyNumberFormat="1" applyBorder="1" applyAlignment="1">
      <alignment horizontal="center"/>
    </xf>
    <xf numFmtId="0" fontId="45" fillId="12" borderId="94" xfId="5" applyFont="1" applyFill="1" applyBorder="1" applyAlignment="1">
      <alignment horizontal="center"/>
    </xf>
    <xf numFmtId="176" fontId="45" fillId="12" borderId="1" xfId="5" applyNumberFormat="1" applyFont="1" applyFill="1" applyBorder="1" applyAlignment="1">
      <alignment horizontal="center"/>
    </xf>
    <xf numFmtId="0" fontId="163" fillId="12" borderId="94" xfId="5" applyFill="1" applyBorder="1" applyAlignment="1">
      <alignment horizontal="center"/>
    </xf>
    <xf numFmtId="176" fontId="163" fillId="12" borderId="1" xfId="5" applyNumberFormat="1" applyFill="1" applyBorder="1" applyAlignment="1">
      <alignment horizontal="center"/>
    </xf>
    <xf numFmtId="176" fontId="45" fillId="0" borderId="1" xfId="5" applyNumberFormat="1" applyFont="1" applyBorder="1" applyAlignment="1">
      <alignment horizontal="center"/>
    </xf>
    <xf numFmtId="176" fontId="45" fillId="0" borderId="1" xfId="5" applyNumberFormat="1" applyFont="1" applyBorder="1"/>
    <xf numFmtId="0" fontId="45" fillId="0" borderId="1" xfId="5" applyFont="1" applyBorder="1" applyAlignment="1">
      <alignment horizontal="center"/>
    </xf>
    <xf numFmtId="0" fontId="163" fillId="0" borderId="1" xfId="5" applyFont="1" applyBorder="1" applyAlignment="1">
      <alignment horizontal="center"/>
    </xf>
    <xf numFmtId="0" fontId="163" fillId="0" borderId="1" xfId="5" applyFill="1" applyBorder="1" applyAlignment="1">
      <alignment horizontal="center"/>
    </xf>
    <xf numFmtId="0" fontId="25" fillId="67" borderId="0" xfId="10" applyFill="1" applyAlignment="1">
      <alignment horizontal="center" vertical="center" wrapText="1"/>
    </xf>
    <xf numFmtId="0" fontId="25" fillId="67" borderId="0" xfId="10" applyFill="1" applyAlignment="1">
      <alignment horizontal="center" vertical="center"/>
    </xf>
    <xf numFmtId="0" fontId="25" fillId="67" borderId="0" xfId="10" applyFill="1" applyAlignment="1">
      <alignment horizontal="right" vertical="center"/>
    </xf>
    <xf numFmtId="0" fontId="25" fillId="33" borderId="1" xfId="10" applyFill="1" applyBorder="1" applyAlignment="1">
      <alignment horizontal="center" vertical="center"/>
    </xf>
    <xf numFmtId="0" fontId="25" fillId="33" borderId="1" xfId="10" applyFill="1" applyBorder="1" applyAlignment="1">
      <alignment horizontal="center" vertical="center" wrapText="1"/>
    </xf>
    <xf numFmtId="0" fontId="25" fillId="33" borderId="1" xfId="10" applyNumberFormat="1" applyFill="1" applyBorder="1" applyAlignment="1">
      <alignment horizontal="center" vertical="center"/>
    </xf>
    <xf numFmtId="181" fontId="25" fillId="33" borderId="1" xfId="10" applyNumberFormat="1" applyFill="1" applyBorder="1" applyAlignment="1">
      <alignment horizontal="right" vertical="center"/>
    </xf>
    <xf numFmtId="0" fontId="25" fillId="18" borderId="1" xfId="10" applyFill="1" applyBorder="1" applyAlignment="1">
      <alignment horizontal="center" vertical="center"/>
    </xf>
    <xf numFmtId="0" fontId="25" fillId="67" borderId="0" xfId="10" applyFill="1" applyBorder="1" applyAlignment="1">
      <alignment vertical="center"/>
    </xf>
    <xf numFmtId="0" fontId="25" fillId="18" borderId="1" xfId="10" applyFill="1" applyBorder="1" applyAlignment="1">
      <alignment horizontal="center" vertical="center" wrapText="1"/>
    </xf>
    <xf numFmtId="49" fontId="25" fillId="18" borderId="1" xfId="10" applyNumberFormat="1" applyFill="1" applyBorder="1" applyAlignment="1">
      <alignment horizontal="center" vertical="center"/>
    </xf>
    <xf numFmtId="181" fontId="25" fillId="18" borderId="1" xfId="10" applyNumberFormat="1" applyFill="1" applyBorder="1" applyAlignment="1">
      <alignment horizontal="right" vertical="center"/>
    </xf>
    <xf numFmtId="0" fontId="25" fillId="67" borderId="0" xfId="10" applyFill="1" applyAlignment="1">
      <alignment vertical="center"/>
    </xf>
    <xf numFmtId="0" fontId="25" fillId="67" borderId="0" xfId="10" applyFill="1">
      <alignment vertical="center"/>
    </xf>
    <xf numFmtId="0" fontId="374" fillId="33" borderId="303" xfId="10" applyFont="1" applyFill="1" applyBorder="1">
      <alignment vertical="center"/>
    </xf>
    <xf numFmtId="0" fontId="375" fillId="33" borderId="304" xfId="10" applyFont="1" applyFill="1" applyBorder="1">
      <alignment vertical="center"/>
    </xf>
    <xf numFmtId="0" fontId="374" fillId="33" borderId="304" xfId="10" applyFont="1" applyFill="1" applyBorder="1">
      <alignment vertical="center"/>
    </xf>
    <xf numFmtId="0" fontId="374" fillId="33" borderId="305" xfId="10" applyFont="1" applyFill="1" applyBorder="1">
      <alignment vertical="center"/>
    </xf>
    <xf numFmtId="0" fontId="374" fillId="33" borderId="306" xfId="10" applyFont="1" applyFill="1" applyBorder="1">
      <alignment vertical="center"/>
    </xf>
    <xf numFmtId="0" fontId="374" fillId="33" borderId="307" xfId="10" applyFont="1" applyFill="1" applyBorder="1">
      <alignment vertical="center"/>
    </xf>
    <xf numFmtId="0" fontId="375" fillId="33" borderId="0" xfId="10" applyFont="1" applyFill="1" applyBorder="1">
      <alignment vertical="center"/>
    </xf>
    <xf numFmtId="0" fontId="374" fillId="33" borderId="0" xfId="10" applyFont="1" applyFill="1" applyBorder="1">
      <alignment vertical="center"/>
    </xf>
    <xf numFmtId="0" fontId="374" fillId="33" borderId="308" xfId="10" applyFont="1" applyFill="1" applyBorder="1">
      <alignment vertical="center"/>
    </xf>
    <xf numFmtId="0" fontId="375" fillId="33" borderId="309" xfId="10" applyFont="1" applyFill="1" applyBorder="1">
      <alignment vertical="center"/>
    </xf>
    <xf numFmtId="0" fontId="374" fillId="33" borderId="309" xfId="10" applyFont="1" applyFill="1" applyBorder="1">
      <alignment vertical="center"/>
    </xf>
    <xf numFmtId="0" fontId="374" fillId="33" borderId="310" xfId="10" applyFont="1" applyFill="1" applyBorder="1">
      <alignment vertical="center"/>
    </xf>
    <xf numFmtId="0" fontId="25" fillId="33" borderId="303" xfId="10" applyFill="1" applyBorder="1">
      <alignment vertical="center"/>
    </xf>
    <xf numFmtId="0" fontId="25" fillId="33" borderId="304" xfId="10" applyFill="1" applyBorder="1">
      <alignment vertical="center"/>
    </xf>
    <xf numFmtId="0" fontId="25" fillId="33" borderId="305" xfId="10" applyFill="1" applyBorder="1">
      <alignment vertical="center"/>
    </xf>
    <xf numFmtId="0" fontId="25" fillId="33" borderId="306" xfId="10" applyFill="1" applyBorder="1">
      <alignment vertical="center"/>
    </xf>
    <xf numFmtId="0" fontId="25" fillId="33" borderId="0" xfId="10" applyFill="1" applyBorder="1">
      <alignment vertical="center"/>
    </xf>
    <xf numFmtId="0" fontId="25" fillId="33" borderId="307" xfId="10" applyFill="1" applyBorder="1">
      <alignment vertical="center"/>
    </xf>
    <xf numFmtId="0" fontId="25" fillId="33" borderId="308" xfId="10" applyFill="1" applyBorder="1">
      <alignment vertical="center"/>
    </xf>
    <xf numFmtId="0" fontId="25" fillId="33" borderId="309" xfId="10" applyFill="1" applyBorder="1">
      <alignment vertical="center"/>
    </xf>
    <xf numFmtId="0" fontId="25" fillId="33" borderId="310" xfId="10" applyFill="1" applyBorder="1">
      <alignment vertical="center"/>
    </xf>
    <xf numFmtId="0" fontId="25" fillId="67" borderId="0" xfId="10" applyFont="1" applyFill="1" applyBorder="1" applyAlignment="1" applyProtection="1">
      <alignment horizontal="center" vertical="center" wrapText="1"/>
    </xf>
    <xf numFmtId="0" fontId="25" fillId="67" borderId="0" xfId="10" applyFont="1" applyFill="1" applyBorder="1" applyAlignment="1" applyProtection="1">
      <alignment horizontal="center" vertical="center"/>
    </xf>
    <xf numFmtId="0" fontId="25" fillId="67" borderId="0" xfId="10" applyFont="1" applyFill="1" applyBorder="1" applyAlignment="1" applyProtection="1">
      <alignment horizontal="right" vertical="center"/>
    </xf>
    <xf numFmtId="0" fontId="377" fillId="67" borderId="0" xfId="10" applyFont="1" applyFill="1" applyBorder="1" applyAlignment="1" applyProtection="1">
      <alignment horizontal="center" vertical="center"/>
    </xf>
    <xf numFmtId="0" fontId="379" fillId="67" borderId="0" xfId="10" applyFont="1" applyFill="1" applyBorder="1" applyAlignment="1" applyProtection="1">
      <alignment horizontal="center" vertical="center"/>
    </xf>
    <xf numFmtId="0" fontId="379" fillId="67" borderId="0" xfId="10" applyFont="1" applyFill="1" applyBorder="1" applyAlignment="1" applyProtection="1">
      <alignment horizontal="center" vertical="center" wrapText="1"/>
    </xf>
    <xf numFmtId="0" fontId="381" fillId="0" borderId="311" xfId="10" applyFont="1" applyFill="1" applyBorder="1" applyAlignment="1" applyProtection="1">
      <alignment horizontal="center" vertical="center" wrapText="1"/>
    </xf>
    <xf numFmtId="0" fontId="381" fillId="0" borderId="0" xfId="10" applyFont="1" applyFill="1" applyBorder="1" applyAlignment="1" applyProtection="1">
      <alignment horizontal="center" vertical="center" wrapText="1"/>
    </xf>
    <xf numFmtId="176" fontId="383" fillId="33" borderId="311" xfId="10" applyNumberFormat="1" applyFont="1" applyFill="1" applyBorder="1" applyAlignment="1" applyProtection="1">
      <alignment horizontal="right"/>
      <protection locked="0"/>
    </xf>
    <xf numFmtId="176" fontId="383" fillId="0" borderId="311" xfId="10" applyNumberFormat="1" applyFont="1" applyFill="1" applyBorder="1" applyAlignment="1" applyProtection="1">
      <alignment horizontal="right"/>
    </xf>
    <xf numFmtId="49" fontId="384" fillId="67" borderId="0" xfId="10" applyNumberFormat="1" applyFont="1" applyFill="1" applyBorder="1" applyAlignment="1" applyProtection="1">
      <alignment horizontal="center" vertical="center"/>
    </xf>
    <xf numFmtId="176" fontId="382" fillId="67" borderId="312" xfId="10" applyNumberFormat="1" applyFont="1" applyFill="1" applyBorder="1" applyAlignment="1" applyProtection="1">
      <alignment horizontal="right" vertical="center"/>
    </xf>
    <xf numFmtId="176" fontId="385" fillId="67" borderId="312" xfId="10" applyNumberFormat="1" applyFont="1" applyFill="1" applyBorder="1" applyAlignment="1" applyProtection="1">
      <alignment horizontal="right"/>
    </xf>
    <xf numFmtId="181" fontId="385" fillId="67" borderId="312" xfId="10" applyNumberFormat="1" applyFont="1" applyFill="1" applyBorder="1" applyAlignment="1" applyProtection="1">
      <alignment horizontal="right"/>
    </xf>
    <xf numFmtId="49" fontId="54" fillId="67" borderId="312" xfId="10" applyNumberFormat="1" applyFont="1" applyFill="1" applyBorder="1" applyAlignment="1" applyProtection="1">
      <alignment horizontal="center" vertical="center"/>
    </xf>
    <xf numFmtId="49" fontId="379" fillId="67" borderId="0" xfId="10" applyNumberFormat="1" applyFont="1" applyFill="1" applyBorder="1" applyAlignment="1" applyProtection="1">
      <alignment horizontal="center" vertical="center"/>
    </xf>
    <xf numFmtId="176" fontId="382" fillId="67" borderId="0" xfId="10" applyNumberFormat="1" applyFont="1" applyFill="1" applyBorder="1" applyAlignment="1" applyProtection="1">
      <alignment horizontal="right" vertical="center"/>
    </xf>
    <xf numFmtId="176" fontId="385" fillId="67" borderId="0" xfId="10" applyNumberFormat="1" applyFont="1" applyFill="1" applyBorder="1" applyAlignment="1" applyProtection="1">
      <alignment horizontal="right"/>
    </xf>
    <xf numFmtId="181" fontId="385" fillId="67" borderId="0" xfId="10" applyNumberFormat="1" applyFont="1" applyFill="1" applyBorder="1" applyAlignment="1" applyProtection="1">
      <alignment horizontal="right"/>
    </xf>
    <xf numFmtId="49" fontId="54" fillId="67" borderId="0" xfId="10" applyNumberFormat="1" applyFont="1" applyFill="1" applyBorder="1" applyAlignment="1" applyProtection="1">
      <alignment horizontal="center" vertical="center"/>
    </xf>
    <xf numFmtId="0" fontId="381" fillId="0" borderId="313" xfId="10" applyFont="1" applyFill="1" applyBorder="1" applyAlignment="1" applyProtection="1">
      <alignment horizontal="center" vertical="center" wrapText="1"/>
    </xf>
    <xf numFmtId="0" fontId="381" fillId="67" borderId="313" xfId="10" applyFont="1" applyFill="1" applyBorder="1" applyAlignment="1" applyProtection="1">
      <alignment horizontal="center" vertical="center" wrapText="1"/>
    </xf>
    <xf numFmtId="176" fontId="383" fillId="17" borderId="313" xfId="10" applyNumberFormat="1" applyFont="1" applyFill="1" applyBorder="1" applyAlignment="1" applyProtection="1">
      <alignment horizontal="right" vertical="center"/>
    </xf>
    <xf numFmtId="176" fontId="383" fillId="17" borderId="313" xfId="10" applyNumberFormat="1" applyFont="1" applyFill="1" applyBorder="1" applyAlignment="1" applyProtection="1">
      <alignment horizontal="right"/>
    </xf>
    <xf numFmtId="0" fontId="386" fillId="67" borderId="0" xfId="10" applyFont="1" applyFill="1" applyBorder="1" applyAlignment="1" applyProtection="1">
      <alignment horizontal="left" vertical="center"/>
    </xf>
    <xf numFmtId="0" fontId="313" fillId="67" borderId="0" xfId="10" applyFont="1" applyFill="1" applyBorder="1" applyAlignment="1" applyProtection="1">
      <alignment horizontal="center" vertical="center"/>
    </xf>
    <xf numFmtId="0" fontId="381" fillId="0" borderId="316" xfId="10" applyFont="1" applyFill="1" applyBorder="1" applyAlignment="1" applyProtection="1">
      <alignment horizontal="center" vertical="center" wrapText="1"/>
    </xf>
    <xf numFmtId="176" fontId="383" fillId="0" borderId="311" xfId="10" applyNumberFormat="1" applyFont="1" applyFill="1" applyBorder="1" applyAlignment="1" applyProtection="1">
      <alignment horizontal="right" vertical="center"/>
    </xf>
    <xf numFmtId="0" fontId="381" fillId="67" borderId="311" xfId="10" applyFont="1" applyFill="1" applyBorder="1" applyAlignment="1" applyProtection="1">
      <alignment horizontal="center" vertical="center" wrapText="1"/>
    </xf>
    <xf numFmtId="0" fontId="381" fillId="67" borderId="320" xfId="10" applyFont="1" applyFill="1" applyBorder="1" applyAlignment="1" applyProtection="1">
      <alignment vertical="center" wrapText="1"/>
    </xf>
    <xf numFmtId="176" fontId="383" fillId="13" borderId="311" xfId="10" applyNumberFormat="1" applyFont="1" applyFill="1" applyBorder="1" applyAlignment="1" applyProtection="1">
      <alignment horizontal="right" vertical="center"/>
    </xf>
    <xf numFmtId="176" fontId="383" fillId="13" borderId="311" xfId="10" applyNumberFormat="1" applyFont="1" applyFill="1" applyBorder="1" applyAlignment="1" applyProtection="1">
      <alignment horizontal="right"/>
    </xf>
    <xf numFmtId="176" fontId="388" fillId="67" borderId="321" xfId="10" applyNumberFormat="1" applyFont="1" applyFill="1" applyBorder="1" applyAlignment="1" applyProtection="1">
      <alignment vertical="center"/>
    </xf>
    <xf numFmtId="176" fontId="388" fillId="67" borderId="324" xfId="10" applyNumberFormat="1" applyFont="1" applyFill="1" applyBorder="1" applyAlignment="1" applyProtection="1">
      <alignment vertical="center"/>
    </xf>
    <xf numFmtId="0" fontId="381" fillId="15" borderId="332" xfId="10" applyFont="1" applyFill="1" applyBorder="1" applyAlignment="1" applyProtection="1">
      <alignment vertical="center" wrapText="1"/>
    </xf>
    <xf numFmtId="0" fontId="381" fillId="0" borderId="335" xfId="10" applyFont="1" applyFill="1" applyBorder="1" applyAlignment="1" applyProtection="1">
      <alignment horizontal="center" vertical="center" wrapText="1"/>
    </xf>
    <xf numFmtId="0" fontId="381" fillId="0" borderId="318" xfId="10" applyFont="1" applyFill="1" applyBorder="1" applyAlignment="1" applyProtection="1">
      <alignment horizontal="center" vertical="center" wrapText="1"/>
    </xf>
    <xf numFmtId="0" fontId="381" fillId="0" borderId="336" xfId="10" applyFont="1" applyFill="1" applyBorder="1" applyAlignment="1" applyProtection="1">
      <alignment horizontal="center" vertical="center" wrapText="1"/>
    </xf>
    <xf numFmtId="0" fontId="381" fillId="0" borderId="337" xfId="10" applyFont="1" applyFill="1" applyBorder="1" applyAlignment="1" applyProtection="1">
      <alignment horizontal="center" vertical="center" wrapText="1"/>
    </xf>
    <xf numFmtId="176" fontId="383" fillId="0" borderId="335" xfId="10" applyNumberFormat="1" applyFont="1" applyFill="1" applyBorder="1" applyAlignment="1" applyProtection="1">
      <alignment horizontal="right" vertical="center"/>
    </xf>
    <xf numFmtId="176" fontId="383" fillId="0" borderId="335" xfId="10" applyNumberFormat="1" applyFont="1" applyFill="1" applyBorder="1" applyAlignment="1" applyProtection="1">
      <alignment vertical="center"/>
      <protection locked="0"/>
    </xf>
    <xf numFmtId="176" fontId="383" fillId="0" borderId="337" xfId="10" applyNumberFormat="1" applyFont="1" applyFill="1" applyBorder="1" applyAlignment="1" applyProtection="1">
      <alignment vertical="center"/>
    </xf>
    <xf numFmtId="0" fontId="381" fillId="15" borderId="318" xfId="10" applyFont="1" applyFill="1" applyBorder="1" applyAlignment="1" applyProtection="1">
      <alignment vertical="center"/>
    </xf>
    <xf numFmtId="0" fontId="381" fillId="67" borderId="318" xfId="10" applyFont="1" applyFill="1" applyBorder="1" applyAlignment="1" applyProtection="1">
      <alignment vertical="center" wrapText="1"/>
    </xf>
    <xf numFmtId="0" fontId="381" fillId="0" borderId="342" xfId="10" applyFont="1" applyFill="1" applyBorder="1" applyAlignment="1" applyProtection="1">
      <alignment horizontal="center" vertical="center" wrapText="1"/>
    </xf>
    <xf numFmtId="0" fontId="381" fillId="0" borderId="343" xfId="10" applyFont="1" applyFill="1" applyBorder="1" applyAlignment="1" applyProtection="1">
      <alignment horizontal="center" vertical="center" wrapText="1"/>
    </xf>
    <xf numFmtId="0" fontId="381" fillId="67" borderId="318" xfId="10" applyFont="1" applyFill="1" applyBorder="1" applyAlignment="1" applyProtection="1">
      <alignment horizontal="center" vertical="center" wrapText="1"/>
    </xf>
    <xf numFmtId="176" fontId="388" fillId="67" borderId="344" xfId="10" applyNumberFormat="1" applyFont="1" applyFill="1" applyBorder="1" applyAlignment="1" applyProtection="1">
      <alignment vertical="center"/>
    </xf>
    <xf numFmtId="176" fontId="383" fillId="13" borderId="335" xfId="10" applyNumberFormat="1" applyFont="1" applyFill="1" applyBorder="1" applyAlignment="1" applyProtection="1">
      <alignment horizontal="right" vertical="center"/>
    </xf>
    <xf numFmtId="176" fontId="383" fillId="22" borderId="346" xfId="10" applyNumberFormat="1" applyFont="1" applyFill="1" applyBorder="1" applyAlignment="1" applyProtection="1">
      <alignment horizontal="right" vertical="center"/>
    </xf>
    <xf numFmtId="176" fontId="383" fillId="0" borderId="337" xfId="10" applyNumberFormat="1" applyFont="1" applyFill="1" applyBorder="1" applyAlignment="1" applyProtection="1">
      <alignment horizontal="right" vertical="center"/>
    </xf>
    <xf numFmtId="176" fontId="388" fillId="67" borderId="348" xfId="10" applyNumberFormat="1" applyFont="1" applyFill="1" applyBorder="1" applyAlignment="1" applyProtection="1">
      <alignment vertical="center"/>
    </xf>
    <xf numFmtId="176" fontId="383" fillId="13" borderId="349" xfId="10" applyNumberFormat="1" applyFont="1" applyFill="1" applyBorder="1" applyAlignment="1" applyProtection="1">
      <alignment horizontal="right" vertical="center"/>
    </xf>
    <xf numFmtId="176" fontId="383" fillId="22" borderId="351" xfId="10" applyNumberFormat="1" applyFont="1" applyFill="1" applyBorder="1" applyAlignment="1" applyProtection="1">
      <alignment horizontal="right" vertical="center"/>
    </xf>
    <xf numFmtId="176" fontId="383" fillId="0" borderId="353" xfId="10" applyNumberFormat="1" applyFont="1" applyFill="1" applyBorder="1" applyAlignment="1" applyProtection="1">
      <alignment horizontal="right" vertical="center"/>
    </xf>
    <xf numFmtId="176" fontId="383" fillId="0" borderId="356" xfId="10" applyNumberFormat="1" applyFont="1" applyFill="1" applyBorder="1" applyAlignment="1" applyProtection="1">
      <alignment horizontal="right" vertical="center"/>
    </xf>
    <xf numFmtId="176" fontId="383" fillId="0" borderId="357" xfId="10" applyNumberFormat="1" applyFont="1" applyFill="1" applyBorder="1" applyAlignment="1" applyProtection="1">
      <alignment horizontal="right" vertical="center"/>
    </xf>
    <xf numFmtId="176" fontId="383" fillId="0" borderId="362" xfId="10" applyNumberFormat="1" applyFont="1" applyFill="1" applyBorder="1" applyAlignment="1" applyProtection="1">
      <alignment horizontal="right" vertical="center"/>
    </xf>
    <xf numFmtId="176" fontId="383" fillId="0" borderId="363" xfId="10" applyNumberFormat="1" applyFont="1" applyFill="1" applyBorder="1" applyAlignment="1" applyProtection="1">
      <alignment horizontal="right" vertical="center"/>
    </xf>
    <xf numFmtId="0" fontId="381" fillId="67" borderId="0" xfId="10" applyFont="1" applyFill="1" applyBorder="1" applyAlignment="1" applyProtection="1">
      <alignment horizontal="center" vertical="center" wrapText="1"/>
    </xf>
    <xf numFmtId="176" fontId="383" fillId="67" borderId="0" xfId="10" applyNumberFormat="1" applyFont="1" applyFill="1" applyBorder="1" applyAlignment="1" applyProtection="1">
      <alignment horizontal="right" vertical="center"/>
    </xf>
    <xf numFmtId="0" fontId="25" fillId="0" borderId="0" xfId="5" applyFont="1" applyAlignment="1" applyProtection="1">
      <alignment horizontal="center" vertical="center" wrapText="1"/>
      <protection locked="0"/>
    </xf>
    <xf numFmtId="0" fontId="163" fillId="0" borderId="0" xfId="5" applyProtection="1">
      <protection locked="0"/>
    </xf>
    <xf numFmtId="0" fontId="390" fillId="66" borderId="36" xfId="5" applyFont="1" applyFill="1" applyBorder="1" applyAlignment="1" applyProtection="1">
      <alignment horizontal="center"/>
      <protection locked="0"/>
    </xf>
    <xf numFmtId="0" fontId="390" fillId="15" borderId="36" xfId="5" applyFont="1" applyFill="1" applyBorder="1" applyAlignment="1" applyProtection="1">
      <alignment horizontal="center"/>
      <protection locked="0"/>
    </xf>
    <xf numFmtId="0" fontId="25" fillId="0" borderId="1" xfId="5" applyFont="1" applyBorder="1" applyAlignment="1" applyProtection="1">
      <alignment horizontal="left" vertical="center" wrapText="1"/>
      <protection locked="0"/>
    </xf>
    <xf numFmtId="0" fontId="25" fillId="0" borderId="203" xfId="5" applyFont="1" applyBorder="1" applyAlignment="1" applyProtection="1">
      <alignment horizontal="center" vertical="center" wrapText="1"/>
      <protection locked="0"/>
    </xf>
    <xf numFmtId="0" fontId="25" fillId="0" borderId="194" xfId="5" applyFont="1" applyBorder="1" applyAlignment="1" applyProtection="1">
      <alignment horizontal="center" vertical="center" wrapText="1"/>
      <protection locked="0"/>
    </xf>
    <xf numFmtId="0" fontId="25" fillId="15" borderId="1" xfId="5" applyFont="1" applyFill="1" applyBorder="1" applyAlignment="1" applyProtection="1">
      <alignment horizontal="left" vertical="center" wrapText="1"/>
      <protection locked="0"/>
    </xf>
    <xf numFmtId="0" fontId="25" fillId="15" borderId="195" xfId="5" applyFont="1" applyFill="1" applyBorder="1" applyAlignment="1" applyProtection="1">
      <alignment horizontal="center" vertical="center" wrapText="1"/>
      <protection locked="0"/>
    </xf>
    <xf numFmtId="0" fontId="25" fillId="15" borderId="198" xfId="5" applyFont="1" applyFill="1" applyBorder="1" applyAlignment="1" applyProtection="1">
      <alignment horizontal="center" vertical="center" wrapText="1"/>
      <protection locked="0"/>
    </xf>
    <xf numFmtId="0" fontId="25" fillId="0" borderId="195" xfId="5" applyFont="1" applyBorder="1" applyAlignment="1" applyProtection="1">
      <alignment horizontal="center" vertical="center" wrapText="1"/>
      <protection locked="0"/>
    </xf>
    <xf numFmtId="0" fontId="25" fillId="0" borderId="198" xfId="5" applyFont="1" applyBorder="1" applyAlignment="1" applyProtection="1">
      <alignment horizontal="center" vertical="center" wrapText="1"/>
      <protection locked="0"/>
    </xf>
    <xf numFmtId="0" fontId="25" fillId="15" borderId="199" xfId="5" applyFont="1" applyFill="1" applyBorder="1" applyAlignment="1" applyProtection="1">
      <alignment horizontal="center" vertical="center" wrapText="1"/>
      <protection locked="0"/>
    </xf>
    <xf numFmtId="0" fontId="25" fillId="15" borderId="202" xfId="5" applyFont="1" applyFill="1" applyBorder="1" applyAlignment="1" applyProtection="1">
      <alignment horizontal="center" vertical="center" wrapText="1"/>
      <protection locked="0"/>
    </xf>
    <xf numFmtId="0" fontId="163" fillId="0" borderId="0" xfId="5" applyBorder="1" applyAlignment="1" applyProtection="1">
      <alignment horizontal="left"/>
      <protection locked="0"/>
    </xf>
    <xf numFmtId="0" fontId="390" fillId="66" borderId="1" xfId="5" applyFont="1" applyFill="1" applyBorder="1" applyAlignment="1" applyProtection="1">
      <alignment horizontal="center"/>
      <protection locked="0"/>
    </xf>
    <xf numFmtId="0" fontId="390" fillId="15" borderId="1" xfId="5" applyFont="1" applyFill="1" applyBorder="1" applyAlignment="1" applyProtection="1">
      <alignment horizontal="center"/>
      <protection locked="0"/>
    </xf>
    <xf numFmtId="0" fontId="25" fillId="0" borderId="215" xfId="5" applyFont="1" applyBorder="1" applyAlignment="1" applyProtection="1">
      <alignment horizontal="center" vertical="center" wrapText="1"/>
      <protection locked="0"/>
    </xf>
    <xf numFmtId="0" fontId="25" fillId="15" borderId="196" xfId="5" applyFont="1" applyFill="1" applyBorder="1" applyAlignment="1" applyProtection="1">
      <alignment horizontal="center" vertical="center" wrapText="1"/>
      <protection locked="0"/>
    </xf>
    <xf numFmtId="0" fontId="25" fillId="0" borderId="196" xfId="5" applyFont="1" applyBorder="1" applyAlignment="1" applyProtection="1">
      <alignment horizontal="center" vertical="center" wrapText="1"/>
      <protection locked="0"/>
    </xf>
    <xf numFmtId="0" fontId="25" fillId="15" borderId="200" xfId="5" applyFont="1" applyFill="1" applyBorder="1" applyAlignment="1" applyProtection="1">
      <alignment horizontal="center" vertical="center" wrapText="1"/>
      <protection locked="0"/>
    </xf>
    <xf numFmtId="0" fontId="163" fillId="0" borderId="0" xfId="6" applyAlignment="1">
      <alignment horizontal="center" vertical="center" wrapText="1"/>
    </xf>
    <xf numFmtId="0" fontId="163" fillId="0" borderId="146" xfId="6" applyBorder="1" applyAlignment="1">
      <alignment horizontal="center" vertical="center"/>
    </xf>
    <xf numFmtId="0" fontId="210" fillId="39" borderId="1" xfId="6" applyFont="1" applyFill="1" applyBorder="1" applyAlignment="1">
      <alignment horizontal="center" vertical="center"/>
    </xf>
    <xf numFmtId="0" fontId="210" fillId="39" borderId="0" xfId="6" applyFont="1" applyFill="1" applyBorder="1" applyAlignment="1">
      <alignment horizontal="center" vertical="center"/>
    </xf>
    <xf numFmtId="0" fontId="163" fillId="0" borderId="141" xfId="6" applyBorder="1" applyAlignment="1">
      <alignment horizontal="center" vertical="center"/>
    </xf>
    <xf numFmtId="0" fontId="210" fillId="39" borderId="0" xfId="6" applyFont="1" applyFill="1" applyAlignment="1">
      <alignment horizontal="center" vertical="center"/>
    </xf>
    <xf numFmtId="0" fontId="74" fillId="11" borderId="1" xfId="6" applyFont="1" applyFill="1" applyBorder="1" applyAlignment="1">
      <alignment horizontal="center" vertical="center"/>
    </xf>
    <xf numFmtId="0" fontId="74" fillId="11" borderId="0" xfId="6" applyFont="1" applyFill="1" applyBorder="1" applyAlignment="1">
      <alignment horizontal="center" vertical="center"/>
    </xf>
    <xf numFmtId="0" fontId="74" fillId="11" borderId="146" xfId="6" applyFont="1" applyFill="1" applyBorder="1" applyAlignment="1">
      <alignment horizontal="center" vertical="center"/>
    </xf>
    <xf numFmtId="0" fontId="74" fillId="20" borderId="1" xfId="6" applyFont="1" applyFill="1" applyBorder="1" applyAlignment="1">
      <alignment horizontal="center" vertical="center"/>
    </xf>
    <xf numFmtId="0" fontId="74" fillId="20" borderId="0" xfId="6" applyFont="1" applyFill="1" applyBorder="1" applyAlignment="1">
      <alignment horizontal="center" vertical="center"/>
    </xf>
    <xf numFmtId="0" fontId="60" fillId="10" borderId="0" xfId="6" applyFont="1" applyFill="1" applyAlignment="1">
      <alignment horizontal="center" vertical="center" wrapText="1"/>
    </xf>
    <xf numFmtId="0" fontId="163" fillId="0" borderId="146" xfId="6" applyBorder="1" applyAlignment="1">
      <alignment horizontal="center" vertical="center" wrapText="1"/>
    </xf>
    <xf numFmtId="0" fontId="60" fillId="33" borderId="1" xfId="6" applyFont="1" applyFill="1" applyBorder="1" applyAlignment="1">
      <alignment horizontal="center" vertical="center"/>
    </xf>
    <xf numFmtId="0" fontId="60" fillId="33" borderId="0" xfId="6" applyFont="1" applyFill="1" applyBorder="1" applyAlignment="1">
      <alignment horizontal="center" vertical="center"/>
    </xf>
    <xf numFmtId="0" fontId="60" fillId="10" borderId="1" xfId="6" applyFont="1" applyFill="1" applyBorder="1" applyAlignment="1">
      <alignment horizontal="center" vertical="center"/>
    </xf>
    <xf numFmtId="9" fontId="60" fillId="10" borderId="1" xfId="6" applyNumberFormat="1" applyFont="1" applyFill="1" applyBorder="1" applyAlignment="1">
      <alignment horizontal="center" vertical="center"/>
    </xf>
    <xf numFmtId="0" fontId="45" fillId="19" borderId="1" xfId="6" applyFont="1" applyFill="1" applyBorder="1" applyAlignment="1">
      <alignment horizontal="center" vertical="center"/>
    </xf>
    <xf numFmtId="0" fontId="45" fillId="19" borderId="74" xfId="6" applyFont="1" applyFill="1" applyBorder="1" applyAlignment="1">
      <alignment horizontal="center" vertical="center"/>
    </xf>
    <xf numFmtId="0" fontId="60" fillId="20" borderId="1" xfId="6" applyFont="1" applyFill="1" applyBorder="1" applyAlignment="1">
      <alignment horizontal="center" vertical="center"/>
    </xf>
    <xf numFmtId="0" fontId="27" fillId="18" borderId="0" xfId="6" applyFont="1" applyFill="1" applyAlignment="1">
      <alignment horizontal="center" vertical="center" wrapText="1"/>
    </xf>
    <xf numFmtId="0" fontId="23" fillId="0" borderId="0" xfId="5" applyFont="1" applyAlignment="1">
      <alignment horizontal="center" vertical="center"/>
    </xf>
    <xf numFmtId="0" fontId="38" fillId="0" borderId="0" xfId="5" applyFont="1" applyAlignment="1">
      <alignment horizontal="center"/>
    </xf>
    <xf numFmtId="0" fontId="31" fillId="0" borderId="0" xfId="5" applyFont="1" applyAlignment="1">
      <alignment horizontal="center"/>
    </xf>
    <xf numFmtId="0" fontId="23" fillId="0" borderId="1" xfId="5" applyFont="1" applyBorder="1" applyAlignment="1">
      <alignment horizontal="center" vertical="center"/>
    </xf>
    <xf numFmtId="0" fontId="163" fillId="0" borderId="36" xfId="5" applyFont="1" applyBorder="1" applyAlignment="1">
      <alignment horizontal="center" vertical="center"/>
    </xf>
    <xf numFmtId="0" fontId="50" fillId="0" borderId="1" xfId="5" applyFont="1" applyBorder="1" applyAlignment="1">
      <alignment horizontal="center" vertical="center"/>
    </xf>
    <xf numFmtId="0" fontId="59" fillId="0" borderId="1" xfId="5" applyFont="1" applyBorder="1" applyAlignment="1">
      <alignment horizontal="center"/>
    </xf>
    <xf numFmtId="0" fontId="20" fillId="0" borderId="1" xfId="5" applyFont="1" applyBorder="1" applyAlignment="1">
      <alignment horizontal="center"/>
    </xf>
    <xf numFmtId="0" fontId="20" fillId="64" borderId="1" xfId="5" applyFont="1" applyFill="1" applyBorder="1" applyAlignment="1">
      <alignment horizontal="center"/>
    </xf>
    <xf numFmtId="0" fontId="52" fillId="0" borderId="1" xfId="5" applyFont="1" applyBorder="1" applyAlignment="1">
      <alignment horizontal="center"/>
    </xf>
    <xf numFmtId="0" fontId="23" fillId="0" borderId="36" xfId="5" applyFont="1" applyBorder="1" applyAlignment="1">
      <alignment horizontal="center" vertical="center"/>
    </xf>
    <xf numFmtId="0" fontId="163" fillId="64" borderId="1" xfId="5" applyFont="1" applyFill="1" applyBorder="1" applyAlignment="1">
      <alignment horizontal="center"/>
    </xf>
    <xf numFmtId="0" fontId="20" fillId="0" borderId="0" xfId="5" applyFont="1" applyAlignment="1">
      <alignment horizontal="center"/>
    </xf>
    <xf numFmtId="0" fontId="163" fillId="41" borderId="1" xfId="5" applyFont="1" applyFill="1" applyBorder="1" applyAlignment="1">
      <alignment horizontal="center"/>
    </xf>
    <xf numFmtId="0" fontId="50" fillId="41" borderId="1" xfId="5" applyFont="1" applyFill="1" applyBorder="1" applyAlignment="1">
      <alignment horizontal="center" vertical="center"/>
    </xf>
    <xf numFmtId="0" fontId="50" fillId="41" borderId="1" xfId="5" applyFont="1" applyFill="1" applyBorder="1" applyAlignment="1">
      <alignment horizontal="center"/>
    </xf>
    <xf numFmtId="0" fontId="59" fillId="41" borderId="1" xfId="5" applyFont="1" applyFill="1" applyBorder="1" applyAlignment="1">
      <alignment horizontal="center"/>
    </xf>
    <xf numFmtId="0" fontId="50" fillId="64" borderId="1" xfId="5" applyFont="1" applyFill="1" applyBorder="1" applyAlignment="1">
      <alignment horizontal="center" vertical="center"/>
    </xf>
    <xf numFmtId="0" fontId="50" fillId="64" borderId="1" xfId="5" applyFont="1" applyFill="1" applyBorder="1" applyAlignment="1">
      <alignment horizontal="center"/>
    </xf>
    <xf numFmtId="0" fontId="25" fillId="41" borderId="1" xfId="5" applyFont="1" applyFill="1" applyBorder="1" applyAlignment="1">
      <alignment horizontal="center"/>
    </xf>
    <xf numFmtId="0" fontId="25" fillId="64" borderId="1" xfId="5" applyFont="1" applyFill="1" applyBorder="1" applyAlignment="1">
      <alignment horizontal="center"/>
    </xf>
    <xf numFmtId="0" fontId="52" fillId="41" borderId="1" xfId="5" applyFont="1" applyFill="1" applyBorder="1" applyAlignment="1">
      <alignment horizontal="center"/>
    </xf>
    <xf numFmtId="0" fontId="52" fillId="64" borderId="1" xfId="5" applyFont="1" applyFill="1" applyBorder="1" applyAlignment="1">
      <alignment horizontal="center"/>
    </xf>
    <xf numFmtId="0" fontId="59" fillId="64" borderId="1" xfId="5" applyFont="1" applyFill="1" applyBorder="1" applyAlignment="1">
      <alignment horizontal="center"/>
    </xf>
    <xf numFmtId="0" fontId="25" fillId="0" borderId="94" xfId="5" applyFont="1" applyBorder="1" applyAlignment="1">
      <alignment horizontal="center"/>
    </xf>
    <xf numFmtId="0" fontId="31" fillId="0" borderId="1" xfId="5" applyFont="1" applyBorder="1" applyAlignment="1">
      <alignment horizontal="center"/>
    </xf>
    <xf numFmtId="0" fontId="38" fillId="64" borderId="0" xfId="5" applyFont="1" applyFill="1" applyAlignment="1">
      <alignment horizontal="center"/>
    </xf>
    <xf numFmtId="0" fontId="116" fillId="0" borderId="36" xfId="5" applyFont="1" applyBorder="1" applyAlignment="1">
      <alignment horizontal="center" vertical="center"/>
    </xf>
    <xf numFmtId="0" fontId="45" fillId="0" borderId="36" xfId="5" applyFont="1" applyBorder="1" applyAlignment="1">
      <alignment horizontal="center" vertical="center"/>
    </xf>
    <xf numFmtId="0" fontId="42" fillId="0" borderId="36" xfId="5" applyFont="1" applyBorder="1" applyAlignment="1">
      <alignment horizontal="center" vertical="center"/>
    </xf>
    <xf numFmtId="0" fontId="25" fillId="0" borderId="36" xfId="5" applyFont="1" applyBorder="1" applyAlignment="1">
      <alignment horizontal="center" vertical="center"/>
    </xf>
    <xf numFmtId="0" fontId="343" fillId="0" borderId="0" xfId="5" applyFont="1" applyAlignment="1">
      <alignment horizontal="center"/>
    </xf>
    <xf numFmtId="0" fontId="25" fillId="0" borderId="0" xfId="5" applyFont="1" applyAlignment="1">
      <alignment horizontal="center"/>
    </xf>
    <xf numFmtId="0" fontId="392" fillId="58" borderId="0" xfId="11" applyFill="1" applyProtection="1">
      <alignment vertical="center"/>
      <protection locked="0"/>
    </xf>
    <xf numFmtId="0" fontId="392" fillId="68" borderId="0" xfId="11" applyFill="1" applyProtection="1">
      <alignment vertical="center"/>
      <protection locked="0"/>
    </xf>
    <xf numFmtId="0" fontId="392" fillId="69" borderId="0" xfId="11" applyFill="1" applyProtection="1">
      <alignment vertical="center"/>
      <protection locked="0"/>
    </xf>
    <xf numFmtId="0" fontId="392" fillId="56" borderId="0" xfId="11" applyFill="1" applyProtection="1">
      <alignment vertical="center"/>
      <protection locked="0"/>
    </xf>
    <xf numFmtId="0" fontId="392" fillId="0" borderId="0" xfId="11" applyProtection="1">
      <alignment vertical="center"/>
      <protection locked="0"/>
    </xf>
    <xf numFmtId="0" fontId="392" fillId="0" borderId="1" xfId="11" applyBorder="1" applyAlignment="1" applyProtection="1">
      <alignment horizontal="center" vertical="center" shrinkToFit="1"/>
      <protection locked="0"/>
    </xf>
    <xf numFmtId="0" fontId="392" fillId="58" borderId="1" xfId="11" applyFill="1" applyBorder="1" applyAlignment="1" applyProtection="1">
      <alignment horizontal="center" vertical="center"/>
      <protection locked="0"/>
    </xf>
    <xf numFmtId="202" fontId="392" fillId="58" borderId="1" xfId="11" applyNumberFormat="1" applyFill="1" applyBorder="1" applyProtection="1">
      <alignment vertical="center"/>
      <protection locked="0"/>
    </xf>
    <xf numFmtId="203" fontId="392" fillId="58" borderId="1" xfId="11" applyNumberFormat="1" applyFill="1" applyBorder="1" applyProtection="1">
      <alignment vertical="center"/>
      <protection locked="0"/>
    </xf>
    <xf numFmtId="0" fontId="392" fillId="68" borderId="1" xfId="11" applyFill="1" applyBorder="1" applyAlignment="1" applyProtection="1">
      <alignment horizontal="center" vertical="center"/>
      <protection locked="0"/>
    </xf>
    <xf numFmtId="202" fontId="392" fillId="68" borderId="1" xfId="11" applyNumberFormat="1" applyFill="1" applyBorder="1" applyProtection="1">
      <alignment vertical="center"/>
      <protection locked="0"/>
    </xf>
    <xf numFmtId="203" fontId="392" fillId="68" borderId="1" xfId="11" applyNumberFormat="1" applyFill="1" applyBorder="1" applyProtection="1">
      <alignment vertical="center"/>
      <protection locked="0"/>
    </xf>
    <xf numFmtId="0" fontId="392" fillId="69" borderId="1" xfId="11" applyFill="1" applyBorder="1" applyAlignment="1" applyProtection="1">
      <alignment horizontal="center" vertical="center"/>
      <protection locked="0"/>
    </xf>
    <xf numFmtId="202" fontId="392" fillId="69" borderId="1" xfId="11" applyNumberFormat="1" applyFill="1" applyBorder="1" applyProtection="1">
      <alignment vertical="center"/>
      <protection locked="0"/>
    </xf>
    <xf numFmtId="203" fontId="392" fillId="69" borderId="1" xfId="11" applyNumberFormat="1" applyFill="1" applyBorder="1" applyProtection="1">
      <alignment vertical="center"/>
      <protection locked="0"/>
    </xf>
    <xf numFmtId="0" fontId="392" fillId="56" borderId="1" xfId="11" applyFill="1" applyBorder="1" applyAlignment="1" applyProtection="1">
      <alignment horizontal="center" vertical="center"/>
      <protection locked="0"/>
    </xf>
    <xf numFmtId="202" fontId="392" fillId="56" borderId="1" xfId="11" applyNumberFormat="1" applyFill="1" applyBorder="1" applyProtection="1">
      <alignment vertical="center"/>
      <protection locked="0"/>
    </xf>
    <xf numFmtId="203" fontId="392" fillId="56" borderId="1" xfId="11" applyNumberFormat="1" applyFill="1" applyBorder="1" applyProtection="1">
      <alignment vertical="center"/>
      <protection locked="0"/>
    </xf>
    <xf numFmtId="0" fontId="392" fillId="56" borderId="47" xfId="11" applyFill="1" applyBorder="1" applyAlignment="1" applyProtection="1">
      <alignment horizontal="center" vertical="center"/>
      <protection locked="0"/>
    </xf>
    <xf numFmtId="202" fontId="392" fillId="56" borderId="47" xfId="11" applyNumberFormat="1" applyFill="1" applyBorder="1" applyProtection="1">
      <alignment vertical="center"/>
      <protection locked="0"/>
    </xf>
    <xf numFmtId="203" fontId="392" fillId="56" borderId="47" xfId="11" applyNumberFormat="1" applyFill="1" applyBorder="1" applyProtection="1">
      <alignment vertical="center"/>
      <protection locked="0"/>
    </xf>
    <xf numFmtId="0" fontId="394" fillId="0" borderId="0" xfId="11" applyFont="1" applyBorder="1" applyAlignment="1" applyProtection="1">
      <alignment horizontal="center" vertical="center" wrapText="1"/>
      <protection locked="0"/>
    </xf>
    <xf numFmtId="0" fontId="392" fillId="0" borderId="1" xfId="11" applyBorder="1" applyAlignment="1" applyProtection="1">
      <alignment horizontal="center" vertical="center"/>
      <protection locked="0"/>
    </xf>
    <xf numFmtId="0" fontId="392" fillId="0" borderId="1" xfId="11" applyFill="1" applyBorder="1" applyAlignment="1" applyProtection="1">
      <alignment horizontal="center" vertical="center" shrinkToFit="1"/>
      <protection locked="0"/>
    </xf>
    <xf numFmtId="0" fontId="392" fillId="0" borderId="46" xfId="11" applyBorder="1" applyAlignment="1" applyProtection="1">
      <alignment horizontal="center" vertical="center" shrinkToFit="1"/>
      <protection locked="0"/>
    </xf>
    <xf numFmtId="0" fontId="392" fillId="0" borderId="47" xfId="11" applyBorder="1" applyAlignment="1" applyProtection="1">
      <alignment horizontal="center" vertical="center" shrinkToFit="1"/>
      <protection locked="0"/>
    </xf>
    <xf numFmtId="0" fontId="392" fillId="0" borderId="48" xfId="11" applyBorder="1" applyAlignment="1" applyProtection="1">
      <alignment horizontal="center" vertical="center" shrinkToFit="1"/>
      <protection locked="0"/>
    </xf>
    <xf numFmtId="189" fontId="392" fillId="58" borderId="1" xfId="11" applyNumberFormat="1" applyFill="1" applyBorder="1" applyProtection="1">
      <alignment vertical="center"/>
      <protection locked="0"/>
    </xf>
    <xf numFmtId="189" fontId="392" fillId="68" borderId="1" xfId="11" applyNumberFormat="1" applyFill="1" applyBorder="1" applyProtection="1">
      <alignment vertical="center"/>
      <protection locked="0"/>
    </xf>
    <xf numFmtId="189" fontId="392" fillId="69" borderId="1" xfId="11" applyNumberFormat="1" applyFill="1" applyBorder="1" applyProtection="1">
      <alignment vertical="center"/>
      <protection locked="0"/>
    </xf>
    <xf numFmtId="189" fontId="392" fillId="56" borderId="1" xfId="11" applyNumberFormat="1" applyFill="1" applyBorder="1" applyProtection="1">
      <alignment vertical="center"/>
      <protection locked="0"/>
    </xf>
    <xf numFmtId="189" fontId="392" fillId="56" borderId="47" xfId="11" applyNumberFormat="1" applyFill="1" applyBorder="1" applyProtection="1">
      <alignment vertical="center"/>
      <protection locked="0"/>
    </xf>
    <xf numFmtId="0" fontId="392" fillId="0" borderId="46" xfId="11" applyBorder="1" applyAlignment="1" applyProtection="1">
      <alignment horizontal="center" vertical="center"/>
      <protection locked="0"/>
    </xf>
    <xf numFmtId="0" fontId="392" fillId="0" borderId="45" xfId="11" applyBorder="1" applyProtection="1">
      <alignment vertical="center"/>
      <protection locked="0"/>
    </xf>
    <xf numFmtId="0" fontId="392" fillId="0" borderId="46" xfId="11" applyBorder="1" applyProtection="1">
      <alignment vertical="center"/>
      <protection locked="0"/>
    </xf>
    <xf numFmtId="189" fontId="392" fillId="58" borderId="46" xfId="11" applyNumberFormat="1" applyFill="1" applyBorder="1" applyProtection="1">
      <alignment vertical="center"/>
      <protection locked="0"/>
    </xf>
    <xf numFmtId="189" fontId="392" fillId="68" borderId="46" xfId="11" applyNumberFormat="1" applyFill="1" applyBorder="1" applyProtection="1">
      <alignment vertical="center"/>
      <protection locked="0"/>
    </xf>
    <xf numFmtId="189" fontId="392" fillId="69" borderId="46" xfId="11" applyNumberFormat="1" applyFill="1" applyBorder="1" applyProtection="1">
      <alignment vertical="center"/>
      <protection locked="0"/>
    </xf>
    <xf numFmtId="189" fontId="392" fillId="56" borderId="46" xfId="11" applyNumberFormat="1" applyFill="1" applyBorder="1" applyProtection="1">
      <alignment vertical="center"/>
      <protection locked="0"/>
    </xf>
    <xf numFmtId="189" fontId="392" fillId="56" borderId="48" xfId="11" applyNumberFormat="1" applyFill="1" applyBorder="1" applyProtection="1">
      <alignment vertical="center"/>
      <protection locked="0"/>
    </xf>
    <xf numFmtId="0" fontId="20" fillId="0" borderId="0" xfId="5" applyFont="1" applyBorder="1" applyAlignment="1">
      <alignment horizontal="center"/>
    </xf>
    <xf numFmtId="0" fontId="163" fillId="0" borderId="0" xfId="5" applyFont="1" applyBorder="1" applyAlignment="1">
      <alignment horizontal="center"/>
    </xf>
    <xf numFmtId="0" fontId="20" fillId="22" borderId="0" xfId="5" applyFont="1" applyFill="1" applyBorder="1" applyAlignment="1">
      <alignment horizontal="center"/>
    </xf>
    <xf numFmtId="0" fontId="163" fillId="22" borderId="0" xfId="5" applyFill="1" applyBorder="1"/>
    <xf numFmtId="0" fontId="20" fillId="0" borderId="0" xfId="5" applyFont="1" applyFill="1" applyBorder="1" applyAlignment="1">
      <alignment horizontal="center"/>
    </xf>
    <xf numFmtId="0" fontId="45" fillId="0" borderId="0" xfId="5" applyFont="1" applyFill="1" applyBorder="1"/>
    <xf numFmtId="0" fontId="231" fillId="0" borderId="0" xfId="5" applyFont="1" applyBorder="1" applyAlignment="1">
      <alignment horizontal="justify" vertical="top" wrapText="1"/>
    </xf>
    <xf numFmtId="0" fontId="231" fillId="0" borderId="0" xfId="5" applyFont="1" applyBorder="1" applyAlignment="1">
      <alignment vertical="top" wrapText="1"/>
    </xf>
    <xf numFmtId="0" fontId="20" fillId="12" borderId="0" xfId="5" applyFont="1" applyFill="1" applyBorder="1" applyAlignment="1">
      <alignment horizontal="center"/>
    </xf>
    <xf numFmtId="0" fontId="163" fillId="12" borderId="0" xfId="5" applyFill="1" applyBorder="1"/>
    <xf numFmtId="0" fontId="20" fillId="30" borderId="0" xfId="5" applyFont="1" applyFill="1" applyBorder="1" applyAlignment="1">
      <alignment horizontal="center"/>
    </xf>
    <xf numFmtId="0" fontId="163" fillId="30" borderId="0" xfId="5" applyFill="1" applyBorder="1"/>
    <xf numFmtId="0" fontId="20" fillId="21" borderId="0" xfId="5" applyFont="1" applyFill="1" applyBorder="1" applyAlignment="1">
      <alignment horizontal="center"/>
    </xf>
    <xf numFmtId="0" fontId="163" fillId="21" borderId="0" xfId="5" applyFill="1" applyBorder="1"/>
    <xf numFmtId="0" fontId="20" fillId="33" borderId="0" xfId="5" applyFont="1" applyFill="1" applyBorder="1" applyAlignment="1">
      <alignment horizontal="center"/>
    </xf>
    <xf numFmtId="0" fontId="163" fillId="33" borderId="0" xfId="5" applyFill="1" applyBorder="1"/>
    <xf numFmtId="0" fontId="20" fillId="15" borderId="0" xfId="5" applyFont="1" applyFill="1" applyBorder="1" applyAlignment="1">
      <alignment horizontal="center"/>
    </xf>
    <xf numFmtId="0" fontId="163" fillId="15" borderId="0" xfId="5" applyFill="1" applyBorder="1"/>
    <xf numFmtId="0" fontId="31" fillId="0" borderId="0" xfId="6" applyFont="1" applyProtection="1">
      <alignment vertical="center"/>
      <protection locked="0"/>
    </xf>
    <xf numFmtId="0" fontId="163" fillId="0" borderId="0" xfId="6" applyProtection="1">
      <alignment vertical="center"/>
      <protection locked="0"/>
    </xf>
    <xf numFmtId="0" fontId="31" fillId="0" borderId="1" xfId="6" applyFont="1" applyBorder="1" applyAlignment="1" applyProtection="1">
      <alignment horizontal="center" vertical="center"/>
      <protection locked="0"/>
    </xf>
    <xf numFmtId="0" fontId="163" fillId="0" borderId="1" xfId="6" applyBorder="1" applyProtection="1">
      <alignment vertical="center"/>
      <protection locked="0"/>
    </xf>
    <xf numFmtId="0" fontId="31" fillId="0" borderId="1" xfId="6" applyFont="1" applyFill="1" applyBorder="1" applyAlignment="1" applyProtection="1">
      <alignment horizontal="center" vertical="center"/>
      <protection locked="0"/>
    </xf>
    <xf numFmtId="0" fontId="163" fillId="0" borderId="1" xfId="6" applyBorder="1" applyAlignment="1" applyProtection="1">
      <alignment horizontal="center" vertical="center"/>
      <protection locked="0"/>
    </xf>
    <xf numFmtId="0" fontId="30" fillId="0" borderId="1" xfId="6" applyFont="1" applyBorder="1" applyAlignment="1" applyProtection="1">
      <alignment horizontal="center" vertical="center"/>
      <protection locked="0"/>
    </xf>
    <xf numFmtId="0" fontId="163" fillId="0" borderId="1" xfId="6" applyFill="1" applyBorder="1" applyAlignment="1" applyProtection="1">
      <alignment horizontal="center" vertical="center"/>
      <protection locked="0"/>
    </xf>
    <xf numFmtId="0" fontId="400" fillId="0" borderId="1" xfId="6" applyFont="1" applyBorder="1" applyAlignment="1" applyProtection="1">
      <alignment horizontal="center" vertical="center"/>
      <protection locked="0"/>
    </xf>
    <xf numFmtId="0" fontId="401" fillId="0" borderId="1" xfId="6" applyFont="1" applyBorder="1" applyAlignment="1" applyProtection="1">
      <alignment horizontal="center" vertical="center"/>
      <protection locked="0"/>
    </xf>
    <xf numFmtId="0" fontId="403" fillId="0" borderId="1" xfId="6" applyFont="1" applyBorder="1" applyAlignment="1" applyProtection="1">
      <alignment horizontal="center" vertical="center"/>
      <protection locked="0"/>
    </xf>
    <xf numFmtId="0" fontId="31" fillId="0" borderId="1" xfId="6" applyFont="1" applyBorder="1" applyProtection="1">
      <alignment vertical="center"/>
      <protection locked="0"/>
    </xf>
    <xf numFmtId="0" fontId="403" fillId="0" borderId="1" xfId="6" applyFont="1" applyBorder="1" applyProtection="1">
      <alignment vertical="center"/>
      <protection locked="0"/>
    </xf>
    <xf numFmtId="0" fontId="392" fillId="0" borderId="0" xfId="12" applyAlignment="1">
      <alignment horizontal="center" vertical="center"/>
    </xf>
    <xf numFmtId="0" fontId="392" fillId="0" borderId="0" xfId="12">
      <alignment vertical="center"/>
    </xf>
    <xf numFmtId="0" fontId="392" fillId="0" borderId="0" xfId="12" applyAlignment="1">
      <alignment vertical="center"/>
    </xf>
    <xf numFmtId="0" fontId="332" fillId="0" borderId="0" xfId="12" applyFont="1">
      <alignment vertical="center"/>
    </xf>
    <xf numFmtId="0" fontId="392" fillId="0" borderId="1" xfId="12" applyBorder="1" applyAlignment="1">
      <alignment horizontal="center" vertical="center"/>
    </xf>
    <xf numFmtId="178" fontId="392" fillId="0" borderId="1" xfId="12" applyNumberFormat="1" applyBorder="1" applyAlignment="1">
      <alignment horizontal="center" vertical="center"/>
    </xf>
    <xf numFmtId="178" fontId="392" fillId="0" borderId="1" xfId="12" applyNumberFormat="1" applyBorder="1" applyAlignment="1">
      <alignment horizontal="left" vertical="center"/>
    </xf>
    <xf numFmtId="0" fontId="405" fillId="71" borderId="1" xfId="4" applyBorder="1" applyAlignment="1">
      <alignment horizontal="center" vertical="center"/>
    </xf>
    <xf numFmtId="178" fontId="392" fillId="0" borderId="1" xfId="12" applyNumberFormat="1" applyBorder="1" applyAlignment="1">
      <alignment vertical="center"/>
    </xf>
    <xf numFmtId="0" fontId="392" fillId="0" borderId="1" xfId="12" applyFill="1" applyBorder="1" applyAlignment="1">
      <alignment horizontal="center" vertical="center"/>
    </xf>
    <xf numFmtId="178" fontId="392" fillId="0" borderId="1" xfId="12" applyNumberFormat="1" applyFill="1" applyBorder="1" applyAlignment="1">
      <alignment vertical="center"/>
    </xf>
    <xf numFmtId="178" fontId="392" fillId="0" borderId="63" xfId="12" applyNumberFormat="1" applyFill="1" applyBorder="1" applyAlignment="1">
      <alignment vertical="center"/>
    </xf>
    <xf numFmtId="0" fontId="9" fillId="25" borderId="0" xfId="12" applyFont="1" applyFill="1" applyAlignment="1">
      <alignment horizontal="right" vertical="center"/>
    </xf>
    <xf numFmtId="179" fontId="9" fillId="25" borderId="0" xfId="12" applyNumberFormat="1" applyFont="1" applyFill="1" applyAlignment="1">
      <alignment horizontal="left" vertical="center"/>
    </xf>
    <xf numFmtId="178" fontId="9" fillId="25" borderId="0" xfId="12" applyNumberFormat="1" applyFont="1" applyFill="1" applyAlignment="1">
      <alignment horizontal="center" vertical="center"/>
    </xf>
    <xf numFmtId="178" fontId="392" fillId="0" borderId="0" xfId="12" applyNumberFormat="1" applyFill="1" applyBorder="1" applyAlignment="1">
      <alignment vertical="center"/>
    </xf>
    <xf numFmtId="0" fontId="392" fillId="0" borderId="0" xfId="12" applyAlignment="1">
      <alignment horizontal="left" vertical="center"/>
    </xf>
    <xf numFmtId="178" fontId="392" fillId="0" borderId="0" xfId="12" applyNumberFormat="1" applyAlignment="1">
      <alignment horizontal="center" vertical="center"/>
    </xf>
    <xf numFmtId="0" fontId="392" fillId="0" borderId="0" xfId="12" applyAlignment="1">
      <alignment horizontal="right" vertical="center"/>
    </xf>
    <xf numFmtId="0" fontId="392" fillId="0" borderId="0" xfId="12" applyAlignment="1">
      <alignment vertical="center" wrapText="1"/>
    </xf>
    <xf numFmtId="0" fontId="406" fillId="0" borderId="0" xfId="12" applyFont="1">
      <alignment vertical="center"/>
    </xf>
    <xf numFmtId="0" fontId="407" fillId="0" borderId="0" xfId="12" applyFont="1">
      <alignment vertical="center"/>
    </xf>
    <xf numFmtId="0" fontId="407" fillId="0" borderId="0" xfId="12" applyFont="1" applyAlignment="1">
      <alignment vertical="center" wrapText="1"/>
    </xf>
    <xf numFmtId="0" fontId="408" fillId="0" borderId="0" xfId="12" applyFont="1" applyAlignment="1">
      <alignment vertical="center"/>
    </xf>
    <xf numFmtId="0" fontId="392" fillId="25" borderId="0" xfId="12" applyFill="1" applyAlignment="1">
      <alignment vertical="center"/>
    </xf>
    <xf numFmtId="0" fontId="392" fillId="0" borderId="0" xfId="12" applyAlignment="1">
      <alignment horizontal="left" vertical="center" wrapText="1"/>
    </xf>
    <xf numFmtId="0" fontId="332" fillId="0" borderId="0" xfId="12" applyFont="1" applyAlignment="1">
      <alignment horizontal="left" vertical="center"/>
    </xf>
    <xf numFmtId="0" fontId="392" fillId="72" borderId="1" xfId="12" applyFill="1" applyBorder="1" applyAlignment="1">
      <alignment horizontal="center" vertical="center"/>
    </xf>
    <xf numFmtId="0" fontId="392" fillId="72" borderId="1" xfId="12" applyFill="1" applyBorder="1">
      <alignment vertical="center"/>
    </xf>
    <xf numFmtId="178" fontId="5" fillId="0" borderId="0" xfId="12" applyNumberFormat="1" applyFont="1" applyAlignment="1">
      <alignment horizontal="center" vertical="center"/>
    </xf>
    <xf numFmtId="178" fontId="9" fillId="47" borderId="0" xfId="12" applyNumberFormat="1" applyFont="1" applyFill="1" applyAlignment="1">
      <alignment horizontal="center" vertical="center"/>
    </xf>
    <xf numFmtId="0" fontId="410" fillId="28" borderId="154" xfId="2" applyFont="1" applyFill="1" applyBorder="1" applyAlignment="1" applyProtection="1">
      <alignment horizontal="center" vertical="center"/>
    </xf>
    <xf numFmtId="0" fontId="155" fillId="28" borderId="95" xfId="0" applyFont="1" applyFill="1" applyBorder="1" applyAlignment="1">
      <alignment horizontal="center" vertical="center"/>
    </xf>
    <xf numFmtId="0" fontId="155" fillId="28" borderId="157" xfId="0" applyFont="1" applyFill="1" applyBorder="1" applyAlignment="1">
      <alignment horizontal="center" vertical="center"/>
    </xf>
    <xf numFmtId="0" fontId="412" fillId="0" borderId="44" xfId="2" applyFont="1" applyFill="1" applyBorder="1" applyAlignment="1" applyProtection="1">
      <alignment horizontal="center" vertical="center"/>
    </xf>
    <xf numFmtId="0" fontId="412" fillId="0" borderId="45" xfId="2" applyFont="1" applyFill="1" applyBorder="1" applyAlignment="1" applyProtection="1">
      <alignment horizontal="center" vertical="center"/>
    </xf>
    <xf numFmtId="0" fontId="412" fillId="0" borderId="1" xfId="2" applyFont="1" applyFill="1" applyBorder="1" applyAlignment="1" applyProtection="1">
      <alignment horizontal="center" vertical="center"/>
    </xf>
    <xf numFmtId="0" fontId="413" fillId="0" borderId="1" xfId="2" applyFill="1" applyBorder="1" applyAlignment="1" applyProtection="1">
      <alignment horizontal="center" vertical="center"/>
    </xf>
    <xf numFmtId="0" fontId="412" fillId="0" borderId="46" xfId="2" applyFont="1" applyFill="1" applyBorder="1" applyAlignment="1" applyProtection="1">
      <alignment horizontal="center" vertical="center"/>
    </xf>
    <xf numFmtId="0" fontId="413" fillId="0" borderId="46" xfId="2" applyFill="1" applyBorder="1" applyAlignment="1" applyProtection="1">
      <alignment horizontal="center" vertical="center"/>
    </xf>
    <xf numFmtId="0" fontId="412" fillId="0" borderId="1" xfId="2" applyNumberFormat="1" applyFont="1" applyFill="1" applyBorder="1" applyAlignment="1" applyProtection="1">
      <alignment horizontal="center" vertical="center"/>
    </xf>
    <xf numFmtId="0" fontId="413" fillId="0" borderId="47" xfId="2" applyFill="1" applyBorder="1" applyAlignment="1" applyProtection="1">
      <alignment horizontal="center" vertical="center"/>
    </xf>
    <xf numFmtId="0" fontId="413" fillId="0" borderId="48" xfId="2" applyFill="1" applyBorder="1" applyAlignment="1" applyProtection="1">
      <alignment horizontal="center" vertical="center"/>
    </xf>
    <xf numFmtId="0" fontId="414" fillId="0" borderId="0" xfId="0" applyFont="1" applyAlignment="1">
      <alignment vertical="center"/>
    </xf>
    <xf numFmtId="0" fontId="235" fillId="0" borderId="0" xfId="2" applyFont="1" applyFill="1" applyAlignment="1" applyProtection="1">
      <alignment horizontal="center" vertical="center"/>
    </xf>
    <xf numFmtId="0" fontId="150" fillId="28" borderId="2" xfId="0" applyFont="1" applyFill="1" applyBorder="1" applyAlignment="1">
      <alignment horizontal="center" vertical="center"/>
    </xf>
    <xf numFmtId="0" fontId="150" fillId="28" borderId="158" xfId="0" applyFont="1" applyFill="1" applyBorder="1" applyAlignment="1">
      <alignment horizontal="center" vertical="center"/>
    </xf>
    <xf numFmtId="0" fontId="150" fillId="28" borderId="159" xfId="0" applyFont="1" applyFill="1" applyBorder="1" applyAlignment="1">
      <alignment horizontal="center" vertical="center"/>
    </xf>
    <xf numFmtId="0" fontId="150" fillId="28" borderId="160" xfId="0" applyFont="1" applyFill="1" applyBorder="1" applyAlignment="1">
      <alignment horizontal="center" vertical="center"/>
    </xf>
    <xf numFmtId="0" fontId="413" fillId="0" borderId="52" xfId="2" applyFill="1" applyBorder="1" applyAlignment="1" applyProtection="1">
      <alignment horizontal="center" vertical="center"/>
    </xf>
    <xf numFmtId="0" fontId="412" fillId="0" borderId="36" xfId="2" applyFont="1" applyFill="1" applyBorder="1" applyAlignment="1" applyProtection="1">
      <alignment horizontal="center" vertical="center"/>
    </xf>
    <xf numFmtId="0" fontId="413" fillId="0" borderId="36" xfId="2" applyFill="1" applyBorder="1" applyAlignment="1" applyProtection="1">
      <alignment horizontal="center" vertical="center"/>
    </xf>
    <xf numFmtId="0" fontId="413" fillId="0" borderId="64" xfId="2" applyFill="1" applyBorder="1" applyAlignment="1" applyProtection="1">
      <alignment horizontal="center" vertical="center"/>
    </xf>
    <xf numFmtId="0" fontId="413" fillId="0" borderId="39" xfId="2" applyFill="1" applyBorder="1" applyAlignment="1" applyProtection="1">
      <alignment horizontal="center" vertical="center"/>
    </xf>
    <xf numFmtId="0" fontId="412" fillId="0" borderId="39" xfId="2" applyFont="1" applyFill="1" applyBorder="1" applyAlignment="1" applyProtection="1">
      <alignment horizontal="center" vertical="center"/>
    </xf>
    <xf numFmtId="0" fontId="413" fillId="0" borderId="39" xfId="2" applyFill="1" applyBorder="1" applyAlignment="1" applyProtection="1"/>
    <xf numFmtId="0" fontId="413" fillId="0" borderId="46" xfId="2" applyBorder="1" applyAlignment="1" applyProtection="1">
      <alignment horizontal="center" vertical="center"/>
    </xf>
    <xf numFmtId="0" fontId="413" fillId="0" borderId="1" xfId="2" applyFill="1" applyBorder="1" applyAlignment="1" applyProtection="1"/>
    <xf numFmtId="0" fontId="413" fillId="0" borderId="36" xfId="2" applyFill="1" applyBorder="1" applyAlignment="1" applyProtection="1"/>
    <xf numFmtId="0" fontId="413" fillId="0" borderId="115" xfId="2" applyFill="1" applyBorder="1" applyAlignment="1" applyProtection="1"/>
    <xf numFmtId="0" fontId="413" fillId="0" borderId="40" xfId="2" applyFill="1" applyBorder="1" applyAlignment="1" applyProtection="1">
      <alignment horizontal="center" vertical="center"/>
    </xf>
    <xf numFmtId="0" fontId="413" fillId="0" borderId="47" xfId="2" applyFill="1" applyBorder="1" applyAlignment="1" applyProtection="1"/>
    <xf numFmtId="0" fontId="149" fillId="0" borderId="0" xfId="0" applyNumberFormat="1" applyFont="1" applyBorder="1" applyAlignment="1">
      <alignment horizontal="center" vertical="center" textRotation="255"/>
    </xf>
    <xf numFmtId="0" fontId="150" fillId="26" borderId="93" xfId="0" applyFont="1" applyFill="1" applyBorder="1" applyAlignment="1">
      <alignment horizontal="center" vertical="center"/>
    </xf>
    <xf numFmtId="0" fontId="150" fillId="26" borderId="158" xfId="0" applyFont="1" applyFill="1" applyBorder="1" applyAlignment="1">
      <alignment horizontal="center" vertical="center"/>
    </xf>
    <xf numFmtId="0" fontId="150" fillId="26" borderId="159" xfId="0" applyFont="1" applyFill="1" applyBorder="1" applyAlignment="1">
      <alignment horizontal="center" vertical="center"/>
    </xf>
    <xf numFmtId="0" fontId="150" fillId="26" borderId="160" xfId="0" applyFont="1" applyFill="1" applyBorder="1" applyAlignment="1">
      <alignment horizontal="center" vertical="center"/>
    </xf>
    <xf numFmtId="0" fontId="413" fillId="0" borderId="38" xfId="2" applyFill="1" applyBorder="1" applyAlignment="1" applyProtection="1">
      <alignment horizontal="center" vertical="center"/>
    </xf>
    <xf numFmtId="0" fontId="413" fillId="0" borderId="44" xfId="2" applyFill="1" applyBorder="1" applyAlignment="1" applyProtection="1">
      <alignment horizontal="center" vertical="center"/>
    </xf>
    <xf numFmtId="0" fontId="413" fillId="0" borderId="45" xfId="2" applyFill="1" applyBorder="1" applyAlignment="1" applyProtection="1">
      <alignment horizontal="center" vertical="center"/>
    </xf>
    <xf numFmtId="0" fontId="149" fillId="0" borderId="0" xfId="0" applyNumberFormat="1" applyFont="1" applyFill="1" applyAlignment="1">
      <alignment horizontal="center" vertical="center" textRotation="255"/>
    </xf>
    <xf numFmtId="0" fontId="415" fillId="0" borderId="0" xfId="2" applyFont="1" applyFill="1" applyAlignment="1" applyProtection="1">
      <alignment horizontal="center" vertical="center"/>
    </xf>
    <xf numFmtId="0" fontId="416" fillId="0" borderId="0" xfId="2" applyFont="1" applyFill="1" applyAlignment="1" applyProtection="1">
      <alignment horizontal="center" vertical="center"/>
    </xf>
    <xf numFmtId="0" fontId="417" fillId="26" borderId="160" xfId="0" applyFont="1" applyFill="1" applyBorder="1" applyAlignment="1">
      <alignment horizontal="center" vertical="center"/>
    </xf>
    <xf numFmtId="0" fontId="412" fillId="0" borderId="0" xfId="2" applyFont="1" applyAlignment="1" applyProtection="1">
      <alignment horizontal="center" vertical="center"/>
    </xf>
    <xf numFmtId="0" fontId="413" fillId="3" borderId="47" xfId="2" applyFill="1" applyBorder="1" applyAlignment="1" applyProtection="1">
      <alignment horizontal="center" vertical="center"/>
    </xf>
    <xf numFmtId="0" fontId="413" fillId="3" borderId="48" xfId="2" applyFill="1" applyBorder="1" applyAlignment="1" applyProtection="1">
      <alignment horizontal="center" vertical="center"/>
    </xf>
    <xf numFmtId="0" fontId="155" fillId="0" borderId="0" xfId="0" applyFont="1" applyFill="1" applyAlignment="1">
      <alignment horizontal="center" vertical="center"/>
    </xf>
    <xf numFmtId="0" fontId="418" fillId="34" borderId="266" xfId="3" applyAlignment="1"/>
    <xf numFmtId="0" fontId="175" fillId="0" borderId="94" xfId="0" quotePrefix="1" applyFont="1" applyFill="1" applyBorder="1" applyAlignment="1">
      <alignment horizontal="center"/>
    </xf>
    <xf numFmtId="0" fontId="175" fillId="0" borderId="60" xfId="0" quotePrefix="1" applyFont="1" applyFill="1" applyBorder="1" applyAlignment="1">
      <alignment horizontal="center"/>
    </xf>
    <xf numFmtId="0" fontId="175" fillId="0" borderId="0" xfId="0" quotePrefix="1" applyFont="1" applyFill="1" applyAlignment="1">
      <alignment horizontal="center"/>
    </xf>
    <xf numFmtId="0" fontId="175" fillId="15" borderId="1" xfId="0" quotePrefix="1" applyFont="1" applyFill="1" applyBorder="1" applyAlignment="1">
      <alignment horizontal="center"/>
    </xf>
    <xf numFmtId="0" fontId="182" fillId="0" borderId="1" xfId="0" quotePrefix="1" applyFont="1" applyFill="1" applyBorder="1" applyAlignment="1">
      <alignment horizontal="center"/>
    </xf>
    <xf numFmtId="0" fontId="182" fillId="15" borderId="1" xfId="0" quotePrefix="1" applyFont="1" applyFill="1" applyBorder="1" applyAlignment="1">
      <alignment horizontal="center"/>
    </xf>
    <xf numFmtId="0" fontId="175" fillId="0" borderId="1" xfId="0" quotePrefix="1" applyFont="1" applyFill="1" applyBorder="1" applyAlignment="1">
      <alignment horizontal="center"/>
    </xf>
    <xf numFmtId="0" fontId="175" fillId="0" borderId="74" xfId="0" quotePrefix="1" applyFont="1" applyFill="1" applyBorder="1" applyAlignment="1">
      <alignment horizontal="center"/>
    </xf>
    <xf numFmtId="0" fontId="178" fillId="15" borderId="36" xfId="0" quotePrefix="1" applyFont="1" applyFill="1" applyBorder="1" applyAlignment="1">
      <alignment horizontal="right" vertical="center"/>
    </xf>
    <xf numFmtId="0" fontId="178" fillId="0" borderId="1" xfId="0" quotePrefix="1" applyFont="1" applyFill="1" applyBorder="1" applyAlignment="1">
      <alignment horizontal="right" vertical="center"/>
    </xf>
    <xf numFmtId="0" fontId="178" fillId="15" borderId="1" xfId="0" quotePrefix="1" applyFont="1" applyFill="1" applyBorder="1" applyAlignment="1">
      <alignment horizontal="right" vertical="center"/>
    </xf>
    <xf numFmtId="0" fontId="178" fillId="0" borderId="1" xfId="0" quotePrefix="1" applyFont="1" applyFill="1" applyBorder="1" applyAlignment="1">
      <alignment horizontal="right"/>
    </xf>
    <xf numFmtId="0" fontId="178" fillId="15" borderId="1" xfId="0" quotePrefix="1" applyFont="1" applyFill="1" applyBorder="1" applyAlignment="1">
      <alignment horizontal="right"/>
    </xf>
    <xf numFmtId="0" fontId="175" fillId="15" borderId="1" xfId="0" quotePrefix="1" applyFont="1" applyFill="1" applyBorder="1" applyAlignment="1">
      <alignment horizontal="right"/>
    </xf>
    <xf numFmtId="0" fontId="77" fillId="0" borderId="39" xfId="5" quotePrefix="1" applyFont="1" applyBorder="1" applyAlignment="1">
      <alignment horizontal="center" vertical="center"/>
    </xf>
    <xf numFmtId="0" fontId="18" fillId="0" borderId="39" xfId="0" quotePrefix="1" applyFont="1" applyFill="1" applyBorder="1" applyAlignment="1">
      <alignment horizontal="center" vertical="center" wrapText="1"/>
    </xf>
    <xf numFmtId="0" fontId="77" fillId="0" borderId="39" xfId="13" quotePrefix="1" applyFont="1" applyBorder="1" applyAlignment="1">
      <alignment horizontal="center" vertical="center" wrapText="1"/>
    </xf>
    <xf numFmtId="0" fontId="166" fillId="0" borderId="39" xfId="6" quotePrefix="1" applyFont="1" applyBorder="1" applyAlignment="1">
      <alignment horizontal="center" vertical="center"/>
    </xf>
    <xf numFmtId="0" fontId="77" fillId="0" borderId="39" xfId="6" quotePrefix="1" applyFont="1" applyBorder="1" applyAlignment="1">
      <alignment horizontal="center" vertical="center"/>
    </xf>
    <xf numFmtId="0" fontId="0" fillId="0" borderId="0" xfId="0" quotePrefix="1" applyFont="1" applyFill="1" applyAlignment="1"/>
    <xf numFmtId="0" fontId="0" fillId="15" borderId="1" xfId="0" quotePrefix="1" applyFont="1" applyFill="1" applyBorder="1" applyAlignment="1">
      <alignment horizontal="right"/>
    </xf>
    <xf numFmtId="0" fontId="30" fillId="6" borderId="1" xfId="0" quotePrefix="1" applyFont="1" applyFill="1" applyBorder="1" applyAlignment="1"/>
    <xf numFmtId="0" fontId="0" fillId="0" borderId="0" xfId="0" quotePrefix="1" applyFont="1" applyFill="1" applyAlignment="1">
      <alignment horizontal="right"/>
    </xf>
    <xf numFmtId="0" fontId="409" fillId="73" borderId="0" xfId="0" applyFont="1" applyFill="1" applyAlignment="1">
      <alignment horizontal="center" vertical="center"/>
    </xf>
    <xf numFmtId="0" fontId="236" fillId="73" borderId="0" xfId="0" applyFont="1" applyFill="1" applyAlignment="1">
      <alignment horizontal="center" vertical="center"/>
    </xf>
    <xf numFmtId="0" fontId="411" fillId="23" borderId="38" xfId="0" applyNumberFormat="1" applyFont="1" applyFill="1" applyBorder="1" applyAlignment="1">
      <alignment horizontal="center" vertical="center" textRotation="255"/>
    </xf>
    <xf numFmtId="0" fontId="411" fillId="23" borderId="39" xfId="0" applyNumberFormat="1" applyFont="1" applyFill="1" applyBorder="1" applyAlignment="1">
      <alignment horizontal="center" vertical="center" textRotation="255"/>
    </xf>
    <xf numFmtId="0" fontId="411" fillId="23" borderId="40" xfId="0" applyNumberFormat="1" applyFont="1" applyFill="1" applyBorder="1" applyAlignment="1">
      <alignment horizontal="center" vertical="center" textRotation="255"/>
    </xf>
    <xf numFmtId="0" fontId="149" fillId="23" borderId="117" xfId="0" applyNumberFormat="1" applyFont="1" applyFill="1" applyBorder="1" applyAlignment="1">
      <alignment horizontal="center" vertical="center" textRotation="255"/>
    </xf>
    <xf numFmtId="0" fontId="149" fillId="23" borderId="97" xfId="0" applyNumberFormat="1" applyFont="1" applyFill="1" applyBorder="1" applyAlignment="1">
      <alignment horizontal="center" vertical="center" textRotation="255"/>
    </xf>
    <xf numFmtId="0" fontId="149" fillId="23" borderId="155" xfId="0" applyNumberFormat="1" applyFont="1" applyFill="1" applyBorder="1" applyAlignment="1">
      <alignment horizontal="center" vertical="center" textRotation="255"/>
    </xf>
    <xf numFmtId="0" fontId="149" fillId="23" borderId="93" xfId="0" applyNumberFormat="1" applyFont="1" applyFill="1" applyBorder="1" applyAlignment="1">
      <alignment horizontal="center" vertical="center" textRotation="255"/>
    </xf>
    <xf numFmtId="0" fontId="149" fillId="23" borderId="119" xfId="0" applyNumberFormat="1" applyFont="1" applyFill="1" applyBorder="1" applyAlignment="1">
      <alignment horizontal="center" vertical="center" textRotation="255"/>
    </xf>
    <xf numFmtId="0" fontId="149" fillId="23" borderId="264" xfId="0" applyNumberFormat="1" applyFont="1" applyFill="1" applyBorder="1" applyAlignment="1">
      <alignment horizontal="center" vertical="center" textRotation="255"/>
    </xf>
    <xf numFmtId="178" fontId="392" fillId="0" borderId="1" xfId="12" applyNumberFormat="1" applyBorder="1" applyAlignment="1">
      <alignment horizontal="left" vertical="center"/>
    </xf>
    <xf numFmtId="178" fontId="392" fillId="0" borderId="0" xfId="12" applyNumberFormat="1" applyAlignment="1">
      <alignment horizontal="center" vertical="center"/>
    </xf>
    <xf numFmtId="0" fontId="404" fillId="0" borderId="0" xfId="12" applyFont="1" applyAlignment="1">
      <alignment horizontal="center" vertical="center"/>
    </xf>
    <xf numFmtId="0" fontId="404" fillId="0" borderId="53" xfId="12" applyFont="1" applyBorder="1" applyAlignment="1">
      <alignment horizontal="center" vertical="center"/>
    </xf>
    <xf numFmtId="0" fontId="392" fillId="0" borderId="1" xfId="12" applyBorder="1" applyAlignment="1">
      <alignment horizontal="center" vertical="center"/>
    </xf>
    <xf numFmtId="0" fontId="392" fillId="0" borderId="0" xfId="12" applyAlignment="1">
      <alignment horizontal="center" vertical="center"/>
    </xf>
    <xf numFmtId="0" fontId="392" fillId="0" borderId="0" xfId="12" applyAlignment="1">
      <alignment horizontal="left" vertical="center"/>
    </xf>
    <xf numFmtId="0" fontId="392" fillId="0" borderId="0" xfId="12" applyAlignment="1">
      <alignment horizontal="left" vertical="center" wrapText="1"/>
    </xf>
    <xf numFmtId="0" fontId="405" fillId="71" borderId="1" xfId="4" applyBorder="1" applyAlignment="1">
      <alignment horizontal="center" vertical="center"/>
    </xf>
    <xf numFmtId="0" fontId="392" fillId="0" borderId="55" xfId="12" applyBorder="1" applyAlignment="1">
      <alignment horizontal="center" vertical="center"/>
    </xf>
    <xf numFmtId="0" fontId="392" fillId="0" borderId="61" xfId="12" applyBorder="1" applyAlignment="1">
      <alignment horizontal="center" vertical="center"/>
    </xf>
    <xf numFmtId="0" fontId="392" fillId="0" borderId="56" xfId="12" applyBorder="1" applyAlignment="1">
      <alignment horizontal="center" vertical="center"/>
    </xf>
    <xf numFmtId="0" fontId="392" fillId="0" borderId="57" xfId="12" applyBorder="1" applyAlignment="1">
      <alignment horizontal="center" vertical="center"/>
    </xf>
    <xf numFmtId="0" fontId="392" fillId="0" borderId="0" xfId="12" applyBorder="1" applyAlignment="1">
      <alignment horizontal="center" vertical="center"/>
    </xf>
    <xf numFmtId="0" fontId="392" fillId="0" borderId="58" xfId="12" applyBorder="1" applyAlignment="1">
      <alignment horizontal="center" vertical="center"/>
    </xf>
    <xf numFmtId="0" fontId="392" fillId="0" borderId="59" xfId="12" applyBorder="1" applyAlignment="1">
      <alignment horizontal="center" vertical="center"/>
    </xf>
    <xf numFmtId="0" fontId="392" fillId="0" borderId="53" xfId="12" applyBorder="1" applyAlignment="1">
      <alignment horizontal="center" vertical="center"/>
    </xf>
    <xf numFmtId="0" fontId="392" fillId="0" borderId="60" xfId="12" applyBorder="1" applyAlignment="1">
      <alignment horizontal="center" vertical="center"/>
    </xf>
    <xf numFmtId="0" fontId="405" fillId="71" borderId="93" xfId="4" applyBorder="1" applyAlignment="1">
      <alignment horizontal="center" vertical="center"/>
    </xf>
    <xf numFmtId="0" fontId="405" fillId="71" borderId="94" xfId="4" applyBorder="1" applyAlignment="1">
      <alignment horizontal="center" vertical="center"/>
    </xf>
    <xf numFmtId="0" fontId="392" fillId="0" borderId="93" xfId="12" applyBorder="1" applyAlignment="1">
      <alignment horizontal="center" vertical="center"/>
    </xf>
    <xf numFmtId="0" fontId="392" fillId="0" borderId="94" xfId="12" applyBorder="1" applyAlignment="1">
      <alignment horizontal="center" vertical="center"/>
    </xf>
    <xf numFmtId="0" fontId="392" fillId="0" borderId="54" xfId="12" applyBorder="1" applyAlignment="1">
      <alignment horizontal="center" vertical="center"/>
    </xf>
    <xf numFmtId="0" fontId="403" fillId="0" borderId="1" xfId="6" applyFont="1" applyBorder="1" applyAlignment="1" applyProtection="1">
      <alignment horizontal="center" vertical="center"/>
      <protection locked="0"/>
    </xf>
    <xf numFmtId="0" fontId="403" fillId="0" borderId="74" xfId="6" applyFont="1" applyBorder="1" applyAlignment="1" applyProtection="1">
      <alignment horizontal="center" vertical="center"/>
      <protection locked="0"/>
    </xf>
    <xf numFmtId="0" fontId="403" fillId="0" borderId="36" xfId="6" applyFont="1" applyBorder="1" applyAlignment="1" applyProtection="1">
      <alignment horizontal="center" vertical="center"/>
      <protection locked="0"/>
    </xf>
    <xf numFmtId="0" fontId="163" fillId="0" borderId="74" xfId="6" applyBorder="1" applyAlignment="1" applyProtection="1">
      <alignment horizontal="center" vertical="center"/>
      <protection locked="0"/>
    </xf>
    <xf numFmtId="0" fontId="163" fillId="0" borderId="36" xfId="6" applyBorder="1" applyAlignment="1" applyProtection="1">
      <alignment horizontal="center" vertical="center"/>
      <protection locked="0"/>
    </xf>
    <xf numFmtId="0" fontId="399" fillId="0" borderId="0" xfId="6" applyFont="1" applyAlignment="1" applyProtection="1">
      <alignment horizontal="center" vertical="center"/>
      <protection locked="0"/>
    </xf>
    <xf numFmtId="0" fontId="399" fillId="0" borderId="53" xfId="6" applyFont="1" applyBorder="1" applyAlignment="1" applyProtection="1">
      <alignment horizontal="center" vertical="center"/>
      <protection locked="0"/>
    </xf>
    <xf numFmtId="0" fontId="402" fillId="0" borderId="0" xfId="6" applyFont="1" applyBorder="1" applyAlignment="1" applyProtection="1">
      <alignment horizontal="center" vertical="center"/>
      <protection locked="0"/>
    </xf>
    <xf numFmtId="0" fontId="402" fillId="0" borderId="53" xfId="6" applyFont="1" applyBorder="1" applyAlignment="1" applyProtection="1">
      <alignment horizontal="center" vertical="center"/>
      <protection locked="0"/>
    </xf>
    <xf numFmtId="0" fontId="402" fillId="0" borderId="0" xfId="6" applyFont="1" applyAlignment="1" applyProtection="1">
      <alignment horizontal="center" vertical="center"/>
      <protection locked="0"/>
    </xf>
    <xf numFmtId="0" fontId="31" fillId="0" borderId="1" xfId="6" applyFont="1" applyBorder="1" applyAlignment="1" applyProtection="1">
      <alignment horizontal="center" vertical="center"/>
      <protection locked="0"/>
    </xf>
    <xf numFmtId="0" fontId="399" fillId="0" borderId="1" xfId="6" applyFont="1" applyBorder="1" applyAlignment="1" applyProtection="1">
      <alignment horizontal="center" vertical="center"/>
    </xf>
    <xf numFmtId="0" fontId="163" fillId="0" borderId="1" xfId="6" applyBorder="1" applyAlignment="1" applyProtection="1">
      <alignment horizontal="center" vertical="center"/>
      <protection locked="0"/>
    </xf>
    <xf numFmtId="0" fontId="392" fillId="0" borderId="1" xfId="11" applyBorder="1" applyAlignment="1" applyProtection="1">
      <alignment horizontal="center" vertical="center" shrinkToFit="1"/>
      <protection locked="0"/>
    </xf>
    <xf numFmtId="0" fontId="392" fillId="0" borderId="46" xfId="11" applyBorder="1" applyAlignment="1" applyProtection="1">
      <alignment horizontal="center" vertical="center" shrinkToFit="1"/>
      <protection locked="0"/>
    </xf>
    <xf numFmtId="0" fontId="392" fillId="0" borderId="47" xfId="11" applyBorder="1" applyAlignment="1" applyProtection="1">
      <alignment horizontal="center" vertical="center" shrinkToFit="1"/>
      <protection locked="0"/>
    </xf>
    <xf numFmtId="0" fontId="392" fillId="0" borderId="48" xfId="11" applyBorder="1" applyAlignment="1" applyProtection="1">
      <alignment horizontal="center" vertical="center" shrinkToFit="1"/>
      <protection locked="0"/>
    </xf>
    <xf numFmtId="0" fontId="392" fillId="0" borderId="1" xfId="11" applyBorder="1" applyAlignment="1" applyProtection="1">
      <alignment horizontal="center" vertical="center" wrapText="1"/>
      <protection locked="0"/>
    </xf>
    <xf numFmtId="0" fontId="392" fillId="0" borderId="1" xfId="11" applyBorder="1" applyAlignment="1" applyProtection="1">
      <alignment horizontal="center" vertical="center"/>
      <protection locked="0"/>
    </xf>
    <xf numFmtId="0" fontId="392" fillId="0" borderId="47" xfId="11" applyBorder="1" applyAlignment="1" applyProtection="1">
      <alignment horizontal="center" vertical="center"/>
      <protection locked="0"/>
    </xf>
    <xf numFmtId="0" fontId="394" fillId="0" borderId="38" xfId="11" applyFont="1" applyBorder="1" applyAlignment="1" applyProtection="1">
      <alignment horizontal="center" vertical="center" wrapText="1"/>
      <protection locked="0"/>
    </xf>
    <xf numFmtId="0" fontId="394" fillId="0" borderId="39" xfId="11" applyFont="1" applyBorder="1" applyAlignment="1" applyProtection="1">
      <alignment horizontal="center" vertical="center" wrapText="1"/>
      <protection locked="0"/>
    </xf>
    <xf numFmtId="0" fontId="392" fillId="0" borderId="39" xfId="11" applyBorder="1" applyAlignment="1" applyProtection="1">
      <alignment horizontal="center" vertical="center"/>
      <protection locked="0"/>
    </xf>
    <xf numFmtId="0" fontId="392" fillId="0" borderId="40" xfId="11" applyBorder="1" applyAlignment="1" applyProtection="1">
      <alignment horizontal="center" vertical="center"/>
      <protection locked="0"/>
    </xf>
    <xf numFmtId="0" fontId="392" fillId="0" borderId="47" xfId="11" applyBorder="1" applyAlignment="1" applyProtection="1">
      <alignment horizontal="center" vertical="center" wrapText="1"/>
      <protection locked="0"/>
    </xf>
    <xf numFmtId="0" fontId="397" fillId="0" borderId="47" xfId="11" applyFont="1" applyBorder="1" applyAlignment="1" applyProtection="1">
      <alignment vertical="center"/>
      <protection locked="0"/>
    </xf>
    <xf numFmtId="0" fontId="392" fillId="0" borderId="47" xfId="11" applyBorder="1" applyAlignment="1" applyProtection="1">
      <alignment vertical="center"/>
      <protection locked="0"/>
    </xf>
    <xf numFmtId="0" fontId="392" fillId="0" borderId="48" xfId="11" applyBorder="1" applyAlignment="1" applyProtection="1">
      <alignment vertical="center"/>
      <protection locked="0"/>
    </xf>
    <xf numFmtId="0" fontId="394" fillId="0" borderId="40" xfId="11" applyFont="1" applyBorder="1" applyAlignment="1" applyProtection="1">
      <alignment horizontal="center" vertical="center" wrapText="1"/>
      <protection locked="0"/>
    </xf>
    <xf numFmtId="0" fontId="392" fillId="0" borderId="1" xfId="11" applyBorder="1" applyAlignment="1" applyProtection="1">
      <alignment horizontal="center" vertical="center" wrapText="1" shrinkToFit="1"/>
      <protection locked="0"/>
    </xf>
    <xf numFmtId="0" fontId="395" fillId="0" borderId="1" xfId="11" applyFont="1" applyBorder="1" applyAlignment="1" applyProtection="1">
      <alignment horizontal="center" vertical="center"/>
      <protection locked="0"/>
    </xf>
    <xf numFmtId="0" fontId="396" fillId="70" borderId="46" xfId="11" applyFont="1" applyFill="1" applyBorder="1" applyAlignment="1" applyProtection="1">
      <alignment horizontal="center" vertical="center"/>
      <protection locked="0"/>
    </xf>
    <xf numFmtId="0" fontId="394" fillId="0" borderId="0" xfId="11" applyFont="1" applyAlignment="1" applyProtection="1">
      <alignment horizontal="center" vertical="center" wrapText="1"/>
      <protection locked="0"/>
    </xf>
    <xf numFmtId="0" fontId="392" fillId="0" borderId="0" xfId="11" applyAlignment="1" applyProtection="1">
      <alignment vertical="center"/>
      <protection locked="0"/>
    </xf>
    <xf numFmtId="0" fontId="393" fillId="0" borderId="44" xfId="11" applyFont="1" applyBorder="1" applyAlignment="1" applyProtection="1">
      <alignment horizontal="center" vertical="center"/>
      <protection locked="0"/>
    </xf>
    <xf numFmtId="0" fontId="392" fillId="0" borderId="44" xfId="11" applyBorder="1" applyAlignment="1" applyProtection="1">
      <alignment horizontal="center" vertical="center"/>
      <protection locked="0"/>
    </xf>
    <xf numFmtId="0" fontId="392" fillId="0" borderId="45" xfId="11" applyBorder="1" applyAlignment="1" applyProtection="1">
      <alignment horizontal="center" vertical="center"/>
      <protection locked="0"/>
    </xf>
    <xf numFmtId="0" fontId="398" fillId="0" borderId="38" xfId="11" applyFont="1" applyBorder="1" applyAlignment="1" applyProtection="1">
      <alignment horizontal="center" vertical="center"/>
      <protection locked="0"/>
    </xf>
    <xf numFmtId="0" fontId="398" fillId="0" borderId="44" xfId="11" applyFont="1" applyBorder="1" applyAlignment="1" applyProtection="1">
      <alignment horizontal="center" vertical="center"/>
      <protection locked="0"/>
    </xf>
    <xf numFmtId="0" fontId="398" fillId="0" borderId="45" xfId="11" applyFont="1" applyBorder="1" applyAlignment="1" applyProtection="1">
      <alignment horizontal="center" vertical="center"/>
      <protection locked="0"/>
    </xf>
    <xf numFmtId="0" fontId="392" fillId="0" borderId="46" xfId="11" applyBorder="1" applyAlignment="1" applyProtection="1">
      <alignment horizontal="center" vertical="center"/>
      <protection locked="0"/>
    </xf>
    <xf numFmtId="0" fontId="394" fillId="0" borderId="151" xfId="11" applyFont="1" applyBorder="1" applyAlignment="1" applyProtection="1">
      <alignment horizontal="center" vertical="center" wrapText="1"/>
      <protection locked="0"/>
    </xf>
    <xf numFmtId="0" fontId="394" fillId="0" borderId="54" xfId="11" applyFont="1" applyBorder="1" applyAlignment="1" applyProtection="1">
      <alignment horizontal="center" vertical="center" wrapText="1"/>
      <protection locked="0"/>
    </xf>
    <xf numFmtId="0" fontId="392" fillId="0" borderId="39" xfId="11" applyBorder="1" applyAlignment="1" applyProtection="1">
      <alignment horizontal="center" vertical="center" wrapText="1"/>
      <protection locked="0"/>
    </xf>
    <xf numFmtId="0" fontId="392" fillId="0" borderId="39" xfId="11" applyBorder="1" applyAlignment="1" applyProtection="1">
      <alignment horizontal="center" vertical="center" shrinkToFit="1"/>
      <protection locked="0"/>
    </xf>
    <xf numFmtId="0" fontId="392" fillId="0" borderId="40" xfId="11" applyBorder="1" applyAlignment="1" applyProtection="1">
      <alignment horizontal="center" vertical="center" shrinkToFit="1"/>
      <protection locked="0"/>
    </xf>
    <xf numFmtId="0" fontId="393" fillId="0" borderId="38" xfId="11" applyFont="1" applyBorder="1" applyAlignment="1" applyProtection="1">
      <alignment horizontal="center" vertical="center"/>
      <protection locked="0"/>
    </xf>
    <xf numFmtId="0" fontId="394" fillId="0" borderId="1" xfId="11" applyFont="1" applyBorder="1" applyAlignment="1" applyProtection="1">
      <alignment horizontal="center" vertical="center" shrinkToFit="1"/>
      <protection locked="0"/>
    </xf>
    <xf numFmtId="0" fontId="392" fillId="0" borderId="46" xfId="11" applyBorder="1" applyAlignment="1" applyProtection="1">
      <alignment vertical="center"/>
      <protection locked="0"/>
    </xf>
    <xf numFmtId="0" fontId="163" fillId="0" borderId="74" xfId="5" applyFont="1" applyBorder="1" applyAlignment="1">
      <alignment horizontal="center" vertical="center"/>
    </xf>
    <xf numFmtId="0" fontId="163" fillId="0" borderId="36" xfId="5" applyFont="1" applyBorder="1" applyAlignment="1">
      <alignment horizontal="center" vertical="center"/>
    </xf>
    <xf numFmtId="0" fontId="21" fillId="0" borderId="1" xfId="5" applyFont="1" applyBorder="1" applyAlignment="1">
      <alignment horizontal="center" vertical="center"/>
    </xf>
    <xf numFmtId="0" fontId="23" fillId="0" borderId="1" xfId="5" applyFont="1" applyBorder="1" applyAlignment="1">
      <alignment horizontal="center" vertical="center"/>
    </xf>
    <xf numFmtId="0" fontId="163" fillId="0" borderId="1" xfId="5" applyFont="1" applyBorder="1" applyAlignment="1">
      <alignment horizontal="center" vertical="center"/>
    </xf>
    <xf numFmtId="0" fontId="391" fillId="0" borderId="93" xfId="5" applyFont="1" applyBorder="1" applyAlignment="1">
      <alignment horizontal="left"/>
    </xf>
    <xf numFmtId="0" fontId="391" fillId="0" borderId="54" xfId="5" applyFont="1" applyBorder="1" applyAlignment="1">
      <alignment horizontal="left"/>
    </xf>
    <xf numFmtId="0" fontId="23" fillId="0" borderId="74" xfId="5" applyFont="1" applyBorder="1" applyAlignment="1">
      <alignment horizontal="center" vertical="center" wrapText="1"/>
    </xf>
    <xf numFmtId="0" fontId="23" fillId="0" borderId="63" xfId="5" applyFont="1" applyBorder="1" applyAlignment="1">
      <alignment horizontal="center" vertical="center"/>
    </xf>
    <xf numFmtId="0" fontId="23" fillId="0" borderId="36" xfId="5" applyFont="1" applyBorder="1" applyAlignment="1">
      <alignment horizontal="center" vertical="center"/>
    </xf>
    <xf numFmtId="0" fontId="23" fillId="0" borderId="74" xfId="5" applyFont="1" applyBorder="1" applyAlignment="1">
      <alignment horizontal="center" vertical="center"/>
    </xf>
    <xf numFmtId="0" fontId="163" fillId="0" borderId="93" xfId="5" applyFont="1" applyBorder="1" applyAlignment="1">
      <alignment horizontal="center" vertical="center"/>
    </xf>
    <xf numFmtId="0" fontId="163" fillId="0" borderId="54" xfId="5" applyFont="1" applyBorder="1" applyAlignment="1">
      <alignment horizontal="center" vertical="center"/>
    </xf>
    <xf numFmtId="0" fontId="163" fillId="0" borderId="94" xfId="5" applyFont="1" applyBorder="1" applyAlignment="1">
      <alignment horizontal="center" vertical="center"/>
    </xf>
    <xf numFmtId="0" fontId="343" fillId="0" borderId="93" xfId="5" applyFont="1" applyBorder="1" applyAlignment="1">
      <alignment horizontal="left"/>
    </xf>
    <xf numFmtId="0" fontId="343" fillId="0" borderId="54" xfId="5" applyFont="1" applyBorder="1" applyAlignment="1">
      <alignment horizontal="left"/>
    </xf>
    <xf numFmtId="0" fontId="163" fillId="41" borderId="93" xfId="5" applyFont="1" applyFill="1" applyBorder="1" applyAlignment="1">
      <alignment horizontal="center" vertical="center"/>
    </xf>
    <xf numFmtId="0" fontId="163" fillId="41" borderId="54" xfId="5" applyFont="1" applyFill="1" applyBorder="1" applyAlignment="1">
      <alignment horizontal="center" vertical="center"/>
    </xf>
    <xf numFmtId="0" fontId="163" fillId="41" borderId="94" xfId="5" applyFont="1" applyFill="1" applyBorder="1" applyAlignment="1">
      <alignment horizontal="center" vertical="center"/>
    </xf>
    <xf numFmtId="0" fontId="31" fillId="0" borderId="0" xfId="5" applyFont="1" applyBorder="1" applyAlignment="1">
      <alignment horizontal="center" vertical="center"/>
    </xf>
    <xf numFmtId="0" fontId="22" fillId="0" borderId="53" xfId="5" applyFont="1" applyBorder="1" applyAlignment="1">
      <alignment horizontal="center" vertical="center"/>
    </xf>
    <xf numFmtId="0" fontId="23" fillId="0" borderId="93" xfId="5" applyFont="1" applyBorder="1" applyAlignment="1">
      <alignment horizontal="center" vertical="center"/>
    </xf>
    <xf numFmtId="0" fontId="23" fillId="0" borderId="94" xfId="5" applyFont="1" applyBorder="1" applyAlignment="1">
      <alignment horizontal="center" vertical="center"/>
    </xf>
    <xf numFmtId="0" fontId="23" fillId="0" borderId="54" xfId="5" applyFont="1" applyBorder="1" applyAlignment="1">
      <alignment horizontal="center" vertical="center"/>
    </xf>
    <xf numFmtId="0" fontId="23" fillId="41" borderId="93" xfId="5" applyFont="1" applyFill="1" applyBorder="1" applyAlignment="1">
      <alignment horizontal="center" vertical="center"/>
    </xf>
    <xf numFmtId="0" fontId="23" fillId="41" borderId="54" xfId="5" applyFont="1" applyFill="1" applyBorder="1" applyAlignment="1">
      <alignment horizontal="center" vertical="center"/>
    </xf>
    <xf numFmtId="0" fontId="23" fillId="41" borderId="94" xfId="5" applyFont="1" applyFill="1" applyBorder="1" applyAlignment="1">
      <alignment horizontal="center" vertical="center"/>
    </xf>
    <xf numFmtId="0" fontId="31" fillId="0" borderId="74" xfId="5" applyFont="1" applyBorder="1" applyAlignment="1">
      <alignment horizontal="center" vertical="center"/>
    </xf>
    <xf numFmtId="0" fontId="31" fillId="0" borderId="63" xfId="5" applyFont="1" applyBorder="1" applyAlignment="1">
      <alignment horizontal="center" vertical="center"/>
    </xf>
    <xf numFmtId="0" fontId="31" fillId="0" borderId="36" xfId="5" applyFont="1" applyBorder="1" applyAlignment="1">
      <alignment horizontal="center" vertical="center"/>
    </xf>
    <xf numFmtId="0" fontId="163" fillId="41" borderId="1" xfId="5" applyFont="1" applyFill="1" applyBorder="1" applyAlignment="1">
      <alignment horizontal="center" vertical="center"/>
    </xf>
    <xf numFmtId="0" fontId="163" fillId="64" borderId="1" xfId="5" applyFont="1" applyFill="1" applyBorder="1" applyAlignment="1">
      <alignment horizontal="center" vertical="center"/>
    </xf>
    <xf numFmtId="0" fontId="19" fillId="0" borderId="0" xfId="5" applyFont="1" applyAlignment="1">
      <alignment horizontal="center" vertical="center"/>
    </xf>
    <xf numFmtId="0" fontId="90" fillId="0" borderId="53" xfId="5" applyFont="1" applyBorder="1" applyAlignment="1">
      <alignment horizontal="center" vertical="center"/>
    </xf>
    <xf numFmtId="0" fontId="23" fillId="41" borderId="1" xfId="5" applyFont="1" applyFill="1" applyBorder="1" applyAlignment="1">
      <alignment horizontal="center" vertical="center"/>
    </xf>
    <xf numFmtId="0" fontId="31" fillId="0" borderId="1" xfId="5" applyFont="1" applyBorder="1" applyAlignment="1">
      <alignment horizontal="center" vertical="center"/>
    </xf>
    <xf numFmtId="0" fontId="31" fillId="0" borderId="0" xfId="5" applyFont="1" applyAlignment="1">
      <alignment horizontal="center" vertical="center"/>
    </xf>
    <xf numFmtId="0" fontId="23" fillId="64" borderId="1" xfId="5" applyFont="1" applyFill="1" applyBorder="1" applyAlignment="1">
      <alignment horizontal="center" vertical="center"/>
    </xf>
    <xf numFmtId="0" fontId="74" fillId="11" borderId="93" xfId="6" applyFont="1" applyFill="1" applyBorder="1" applyAlignment="1">
      <alignment horizontal="center" vertical="center"/>
    </xf>
    <xf numFmtId="0" fontId="74" fillId="11" borderId="54" xfId="6" applyFont="1" applyFill="1" applyBorder="1" applyAlignment="1">
      <alignment horizontal="center" vertical="center"/>
    </xf>
    <xf numFmtId="0" fontId="74" fillId="11" borderId="94" xfId="6" applyFont="1" applyFill="1" applyBorder="1" applyAlignment="1">
      <alignment horizontal="center" vertical="center"/>
    </xf>
    <xf numFmtId="0" fontId="163" fillId="0" borderId="0" xfId="6" applyAlignment="1">
      <alignment horizontal="center" vertical="center"/>
    </xf>
    <xf numFmtId="0" fontId="27" fillId="18" borderId="0" xfId="6" applyFont="1" applyFill="1" applyAlignment="1">
      <alignment horizontal="center" vertical="center"/>
    </xf>
    <xf numFmtId="0" fontId="60" fillId="10" borderId="0" xfId="6" applyFont="1" applyFill="1" applyAlignment="1">
      <alignment horizontal="center" vertical="center" wrapText="1"/>
    </xf>
    <xf numFmtId="0" fontId="74" fillId="11" borderId="74" xfId="6" applyFont="1" applyFill="1" applyBorder="1" applyAlignment="1">
      <alignment horizontal="center" vertical="center" wrapText="1"/>
    </xf>
    <xf numFmtId="0" fontId="74" fillId="11" borderId="63" xfId="6" applyFont="1" applyFill="1" applyBorder="1" applyAlignment="1">
      <alignment horizontal="center" vertical="center" wrapText="1"/>
    </xf>
    <xf numFmtId="0" fontId="74" fillId="11" borderId="36" xfId="6" applyFont="1" applyFill="1" applyBorder="1" applyAlignment="1">
      <alignment horizontal="center" vertical="center" wrapText="1"/>
    </xf>
    <xf numFmtId="0" fontId="19" fillId="0" borderId="0" xfId="6" applyFont="1" applyAlignment="1">
      <alignment horizontal="center" vertical="center"/>
    </xf>
    <xf numFmtId="0" fontId="163" fillId="0" borderId="53" xfId="6" applyNumberFormat="1" applyBorder="1" applyAlignment="1">
      <alignment horizontal="center" vertical="center" wrapText="1"/>
    </xf>
    <xf numFmtId="0" fontId="90" fillId="0" borderId="0" xfId="6" applyFont="1" applyAlignment="1">
      <alignment horizontal="center" vertical="center"/>
    </xf>
    <xf numFmtId="0" fontId="210" fillId="39" borderId="61" xfId="6" applyFont="1" applyFill="1" applyBorder="1" applyAlignment="1">
      <alignment horizontal="center" vertical="center" wrapText="1"/>
    </xf>
    <xf numFmtId="0" fontId="163" fillId="0" borderId="61" xfId="6" applyBorder="1" applyAlignment="1">
      <alignment horizontal="center" vertical="center"/>
    </xf>
    <xf numFmtId="0" fontId="30" fillId="0" borderId="59" xfId="5" applyFont="1" applyBorder="1" applyAlignment="1" applyProtection="1">
      <alignment horizontal="center"/>
      <protection locked="0"/>
    </xf>
    <xf numFmtId="0" fontId="163" fillId="0" borderId="53" xfId="5" applyBorder="1" applyAlignment="1" applyProtection="1">
      <alignment horizontal="center"/>
      <protection locked="0"/>
    </xf>
    <xf numFmtId="0" fontId="163" fillId="0" borderId="60" xfId="5" applyBorder="1" applyAlignment="1" applyProtection="1">
      <alignment horizontal="center"/>
      <protection locked="0"/>
    </xf>
    <xf numFmtId="0" fontId="163" fillId="0" borderId="61" xfId="5" applyBorder="1" applyAlignment="1" applyProtection="1">
      <alignment horizontal="left"/>
      <protection locked="0"/>
    </xf>
    <xf numFmtId="0" fontId="163" fillId="0" borderId="0" xfId="5" applyBorder="1" applyAlignment="1" applyProtection="1">
      <alignment horizontal="left"/>
      <protection locked="0"/>
    </xf>
    <xf numFmtId="0" fontId="163" fillId="0" borderId="74" xfId="5" applyBorder="1" applyAlignment="1" applyProtection="1">
      <alignment horizontal="center" vertical="center"/>
      <protection locked="0"/>
    </xf>
    <xf numFmtId="0" fontId="163" fillId="0" borderId="63" xfId="5" applyBorder="1" applyAlignment="1" applyProtection="1">
      <alignment horizontal="center" vertical="center"/>
      <protection locked="0"/>
    </xf>
    <xf numFmtId="0" fontId="163" fillId="0" borderId="36" xfId="5" applyBorder="1" applyAlignment="1" applyProtection="1">
      <alignment horizontal="center" vertical="center"/>
      <protection locked="0"/>
    </xf>
    <xf numFmtId="0" fontId="163" fillId="0" borderId="55" xfId="5" applyBorder="1" applyAlignment="1" applyProtection="1">
      <alignment horizontal="center"/>
      <protection locked="0"/>
    </xf>
    <xf numFmtId="0" fontId="163" fillId="0" borderId="61" xfId="5" applyBorder="1" applyAlignment="1" applyProtection="1">
      <alignment horizontal="center"/>
      <protection locked="0"/>
    </xf>
    <xf numFmtId="0" fontId="163" fillId="0" borderId="57" xfId="5" applyBorder="1" applyAlignment="1" applyProtection="1">
      <alignment horizontal="center"/>
      <protection locked="0"/>
    </xf>
    <xf numFmtId="0" fontId="163" fillId="0" borderId="0" xfId="5" applyBorder="1" applyAlignment="1" applyProtection="1">
      <alignment horizontal="center"/>
      <protection locked="0"/>
    </xf>
    <xf numFmtId="0" fontId="163" fillId="0" borderId="59" xfId="5" applyBorder="1" applyAlignment="1" applyProtection="1">
      <alignment horizontal="center"/>
      <protection locked="0"/>
    </xf>
    <xf numFmtId="0" fontId="163" fillId="0" borderId="56" xfId="5" applyBorder="1" applyAlignment="1" applyProtection="1">
      <alignment horizontal="center"/>
      <protection locked="0"/>
    </xf>
    <xf numFmtId="0" fontId="163" fillId="0" borderId="58" xfId="5" applyBorder="1" applyAlignment="1" applyProtection="1">
      <alignment horizontal="center"/>
      <protection locked="0"/>
    </xf>
    <xf numFmtId="0" fontId="50" fillId="0" borderId="93" xfId="5" applyFont="1" applyBorder="1" applyAlignment="1" applyProtection="1">
      <alignment horizontal="left"/>
      <protection locked="0"/>
    </xf>
    <xf numFmtId="0" fontId="50" fillId="0" borderId="54" xfId="5" applyFont="1" applyBorder="1" applyAlignment="1" applyProtection="1">
      <alignment horizontal="left"/>
      <protection locked="0"/>
    </xf>
    <xf numFmtId="0" fontId="50" fillId="0" borderId="94" xfId="5" applyFont="1" applyBorder="1" applyAlignment="1" applyProtection="1">
      <alignment horizontal="left"/>
      <protection locked="0"/>
    </xf>
    <xf numFmtId="0" fontId="50" fillId="0" borderId="93" xfId="5" applyFont="1" applyBorder="1" applyAlignment="1" applyProtection="1">
      <alignment horizontal="center"/>
      <protection locked="0"/>
    </xf>
    <xf numFmtId="0" fontId="50" fillId="0" borderId="54" xfId="5" applyFont="1" applyBorder="1" applyAlignment="1" applyProtection="1">
      <alignment horizontal="center"/>
      <protection locked="0"/>
    </xf>
    <xf numFmtId="0" fontId="50" fillId="0" borderId="94" xfId="5" applyFont="1" applyBorder="1" applyAlignment="1" applyProtection="1">
      <alignment horizontal="center"/>
      <protection locked="0"/>
    </xf>
    <xf numFmtId="0" fontId="390" fillId="0" borderId="55" xfId="5" applyFont="1" applyBorder="1" applyAlignment="1" applyProtection="1">
      <alignment horizontal="center"/>
      <protection locked="0"/>
    </xf>
    <xf numFmtId="0" fontId="390" fillId="0" borderId="61" xfId="5" applyFont="1" applyBorder="1" applyAlignment="1" applyProtection="1">
      <alignment horizontal="center"/>
      <protection locked="0"/>
    </xf>
    <xf numFmtId="0" fontId="390" fillId="0" borderId="56" xfId="5" applyFont="1" applyBorder="1" applyAlignment="1" applyProtection="1">
      <alignment horizontal="center"/>
      <protection locked="0"/>
    </xf>
    <xf numFmtId="0" fontId="389" fillId="0" borderId="0" xfId="5" applyFont="1" applyAlignment="1" applyProtection="1">
      <alignment horizontal="center"/>
      <protection locked="0"/>
    </xf>
    <xf numFmtId="0" fontId="163" fillId="0" borderId="0" xfId="5" applyAlignment="1" applyProtection="1">
      <alignment horizontal="center"/>
      <protection locked="0"/>
    </xf>
    <xf numFmtId="0" fontId="30" fillId="0" borderId="93" xfId="5" applyFont="1" applyBorder="1" applyAlignment="1" applyProtection="1">
      <alignment horizontal="left"/>
      <protection locked="0"/>
    </xf>
    <xf numFmtId="0" fontId="30" fillId="0" borderId="54" xfId="5" applyFont="1" applyBorder="1" applyAlignment="1" applyProtection="1">
      <alignment horizontal="left"/>
      <protection locked="0"/>
    </xf>
    <xf numFmtId="0" fontId="30" fillId="0" borderId="94" xfId="5" applyFont="1" applyBorder="1" applyAlignment="1" applyProtection="1">
      <alignment horizontal="left"/>
      <protection locked="0"/>
    </xf>
    <xf numFmtId="0" fontId="390" fillId="0" borderId="0" xfId="5" applyFont="1" applyBorder="1" applyAlignment="1" applyProtection="1">
      <alignment horizontal="center"/>
      <protection locked="0"/>
    </xf>
    <xf numFmtId="0" fontId="390" fillId="0" borderId="58" xfId="5" applyFont="1" applyBorder="1" applyAlignment="1" applyProtection="1">
      <alignment horizontal="center"/>
      <protection locked="0"/>
    </xf>
    <xf numFmtId="0" fontId="390" fillId="0" borderId="57" xfId="5" applyFont="1" applyBorder="1" applyAlignment="1" applyProtection="1">
      <alignment horizontal="center"/>
      <protection locked="0"/>
    </xf>
    <xf numFmtId="176" fontId="383" fillId="67" borderId="359" xfId="10" applyNumberFormat="1" applyFont="1" applyFill="1" applyBorder="1" applyAlignment="1" applyProtection="1">
      <alignment horizontal="center" vertical="center"/>
    </xf>
    <xf numFmtId="176" fontId="383" fillId="67" borderId="0" xfId="10" applyNumberFormat="1" applyFont="1" applyFill="1" applyBorder="1" applyAlignment="1" applyProtection="1">
      <alignment horizontal="center" vertical="center"/>
    </xf>
    <xf numFmtId="0" fontId="381" fillId="0" borderId="325" xfId="10" applyFont="1" applyFill="1" applyBorder="1" applyAlignment="1" applyProtection="1">
      <alignment horizontal="center" vertical="center"/>
    </xf>
    <xf numFmtId="0" fontId="381" fillId="0" borderId="326" xfId="10" applyFont="1" applyFill="1" applyBorder="1" applyAlignment="1" applyProtection="1">
      <alignment horizontal="center" vertical="center"/>
    </xf>
    <xf numFmtId="0" fontId="381" fillId="0" borderId="327" xfId="10" applyFont="1" applyFill="1" applyBorder="1" applyAlignment="1" applyProtection="1">
      <alignment horizontal="center" vertical="center"/>
    </xf>
    <xf numFmtId="0" fontId="381" fillId="0" borderId="295" xfId="10" applyFont="1" applyFill="1" applyBorder="1" applyAlignment="1" applyProtection="1">
      <alignment horizontal="center" vertical="center"/>
    </xf>
    <xf numFmtId="0" fontId="381" fillId="0" borderId="287" xfId="10" applyFont="1" applyFill="1" applyBorder="1" applyAlignment="1" applyProtection="1">
      <alignment horizontal="center" vertical="center"/>
    </xf>
    <xf numFmtId="0" fontId="381" fillId="0" borderId="328" xfId="10" applyFont="1" applyFill="1" applyBorder="1" applyAlignment="1" applyProtection="1">
      <alignment horizontal="center" vertical="center"/>
    </xf>
    <xf numFmtId="176" fontId="382" fillId="0" borderId="354" xfId="10" applyNumberFormat="1" applyFont="1" applyFill="1" applyBorder="1" applyAlignment="1" applyProtection="1">
      <alignment horizontal="right" vertical="center"/>
    </xf>
    <xf numFmtId="176" fontId="382" fillId="0" borderId="355" xfId="10" applyNumberFormat="1" applyFont="1" applyFill="1" applyBorder="1" applyAlignment="1" applyProtection="1">
      <alignment horizontal="right" vertical="center"/>
    </xf>
    <xf numFmtId="176" fontId="382" fillId="0" borderId="360" xfId="10" applyNumberFormat="1" applyFont="1" applyFill="1" applyBorder="1" applyAlignment="1" applyProtection="1">
      <alignment horizontal="right" vertical="center"/>
    </xf>
    <xf numFmtId="176" fontId="382" fillId="0" borderId="361" xfId="10" applyNumberFormat="1" applyFont="1" applyFill="1" applyBorder="1" applyAlignment="1" applyProtection="1">
      <alignment horizontal="right" vertical="center"/>
    </xf>
    <xf numFmtId="0" fontId="25" fillId="67" borderId="358" xfId="10" applyFont="1" applyFill="1" applyBorder="1" applyAlignment="1" applyProtection="1">
      <alignment horizontal="center" vertical="center"/>
    </xf>
    <xf numFmtId="0" fontId="25" fillId="67" borderId="364" xfId="10" applyFont="1" applyFill="1" applyBorder="1" applyAlignment="1" applyProtection="1">
      <alignment horizontal="center" vertical="center"/>
    </xf>
    <xf numFmtId="176" fontId="382" fillId="0" borderId="338" xfId="10" applyNumberFormat="1" applyFont="1" applyFill="1" applyBorder="1" applyAlignment="1" applyProtection="1">
      <alignment horizontal="right" vertical="center"/>
    </xf>
    <xf numFmtId="176" fontId="382" fillId="0" borderId="339" xfId="10" applyNumberFormat="1" applyFont="1" applyFill="1" applyBorder="1" applyAlignment="1" applyProtection="1">
      <alignment horizontal="right" vertical="center"/>
    </xf>
    <xf numFmtId="176" fontId="382" fillId="0" borderId="352" xfId="10" applyNumberFormat="1" applyFont="1" applyFill="1" applyBorder="1" applyAlignment="1" applyProtection="1">
      <alignment horizontal="right" vertical="center"/>
    </xf>
    <xf numFmtId="176" fontId="382" fillId="33" borderId="316" xfId="10" applyNumberFormat="1" applyFont="1" applyFill="1" applyBorder="1" applyAlignment="1" applyProtection="1">
      <alignment horizontal="right" vertical="center"/>
      <protection locked="0"/>
    </xf>
    <xf numFmtId="188" fontId="382" fillId="22" borderId="345" xfId="10" applyNumberFormat="1" applyFont="1" applyFill="1" applyBorder="1" applyAlignment="1" applyProtection="1">
      <alignment horizontal="right" vertical="center"/>
    </xf>
    <xf numFmtId="188" fontId="382" fillId="22" borderId="350" xfId="10" applyNumberFormat="1" applyFont="1" applyFill="1" applyBorder="1" applyAlignment="1" applyProtection="1">
      <alignment horizontal="right" vertical="center"/>
    </xf>
    <xf numFmtId="0" fontId="381" fillId="0" borderId="318" xfId="10" applyNumberFormat="1" applyFont="1" applyFill="1" applyBorder="1" applyAlignment="1" applyProtection="1">
      <alignment horizontal="center" vertical="center"/>
      <protection locked="0"/>
    </xf>
    <xf numFmtId="176" fontId="383" fillId="67" borderId="347" xfId="10" applyNumberFormat="1" applyFont="1" applyFill="1" applyBorder="1" applyAlignment="1" applyProtection="1">
      <alignment horizontal="center" vertical="center"/>
    </xf>
    <xf numFmtId="176" fontId="383" fillId="33" borderId="313" xfId="10" applyNumberFormat="1" applyFont="1" applyFill="1" applyBorder="1" applyAlignment="1" applyProtection="1">
      <alignment horizontal="right" vertical="center"/>
      <protection locked="0"/>
    </xf>
    <xf numFmtId="176" fontId="383" fillId="0" borderId="313" xfId="10" applyNumberFormat="1" applyFont="1" applyFill="1" applyBorder="1" applyAlignment="1" applyProtection="1">
      <alignment horizontal="right" vertical="center"/>
    </xf>
    <xf numFmtId="0" fontId="381" fillId="0" borderId="317" xfId="10" applyFont="1" applyFill="1" applyBorder="1" applyAlignment="1" applyProtection="1">
      <alignment horizontal="center" vertical="center"/>
    </xf>
    <xf numFmtId="0" fontId="381" fillId="10" borderId="317" xfId="10" applyFont="1" applyFill="1" applyBorder="1" applyAlignment="1" applyProtection="1">
      <alignment horizontal="center" vertical="center"/>
    </xf>
    <xf numFmtId="0" fontId="381" fillId="13" borderId="317" xfId="10" applyFont="1" applyFill="1" applyBorder="1" applyAlignment="1" applyProtection="1">
      <alignment horizontal="center" vertical="center"/>
    </xf>
    <xf numFmtId="0" fontId="381" fillId="13" borderId="323" xfId="10" applyFont="1" applyFill="1" applyBorder="1" applyAlignment="1" applyProtection="1">
      <alignment horizontal="center" vertical="center"/>
    </xf>
    <xf numFmtId="176" fontId="383" fillId="0" borderId="318" xfId="10" applyNumberFormat="1" applyFont="1" applyFill="1" applyBorder="1" applyAlignment="1" applyProtection="1">
      <alignment horizontal="right" vertical="center"/>
    </xf>
    <xf numFmtId="176" fontId="383" fillId="67" borderId="318" xfId="10" applyNumberFormat="1" applyFont="1" applyFill="1" applyBorder="1" applyAlignment="1" applyProtection="1">
      <alignment horizontal="right" vertical="center"/>
    </xf>
    <xf numFmtId="176" fontId="387" fillId="13" borderId="321" xfId="10" applyNumberFormat="1" applyFont="1" applyFill="1" applyBorder="1" applyAlignment="1" applyProtection="1">
      <alignment horizontal="center" vertical="center"/>
    </xf>
    <xf numFmtId="176" fontId="387" fillId="13" borderId="324" xfId="10" applyNumberFormat="1" applyFont="1" applyFill="1" applyBorder="1" applyAlignment="1" applyProtection="1">
      <alignment horizontal="center" vertical="center"/>
    </xf>
    <xf numFmtId="49" fontId="381" fillId="33" borderId="311" xfId="10" applyNumberFormat="1" applyFont="1" applyFill="1" applyBorder="1" applyAlignment="1" applyProtection="1">
      <alignment horizontal="center" vertical="center"/>
      <protection locked="0"/>
    </xf>
    <xf numFmtId="49" fontId="381" fillId="10" borderId="311" xfId="10" applyNumberFormat="1" applyFont="1" applyFill="1" applyBorder="1" applyAlignment="1" applyProtection="1">
      <alignment horizontal="center" vertical="center"/>
      <protection locked="0"/>
    </xf>
    <xf numFmtId="49" fontId="381" fillId="67" borderId="311" xfId="10" applyNumberFormat="1" applyFont="1" applyFill="1" applyBorder="1" applyAlignment="1" applyProtection="1">
      <alignment horizontal="center" vertical="center"/>
      <protection locked="0"/>
    </xf>
    <xf numFmtId="176" fontId="382" fillId="0" borderId="316" xfId="10" applyNumberFormat="1" applyFont="1" applyFill="1" applyBorder="1" applyAlignment="1" applyProtection="1">
      <alignment horizontal="right" vertical="center"/>
    </xf>
    <xf numFmtId="176" fontId="382" fillId="10" borderId="316" xfId="10" applyNumberFormat="1" applyFont="1" applyFill="1" applyBorder="1" applyAlignment="1" applyProtection="1">
      <alignment horizontal="right" vertical="center"/>
    </xf>
    <xf numFmtId="188" fontId="382" fillId="13" borderId="316" xfId="10" applyNumberFormat="1" applyFont="1" applyFill="1" applyBorder="1" applyAlignment="1" applyProtection="1">
      <alignment horizontal="right" vertical="center"/>
    </xf>
    <xf numFmtId="188" fontId="382" fillId="13" borderId="322" xfId="10" applyNumberFormat="1" applyFont="1" applyFill="1" applyBorder="1" applyAlignment="1" applyProtection="1">
      <alignment horizontal="right" vertical="center"/>
    </xf>
    <xf numFmtId="49" fontId="384" fillId="67" borderId="0" xfId="10" applyNumberFormat="1" applyFont="1" applyFill="1" applyBorder="1" applyAlignment="1" applyProtection="1">
      <alignment horizontal="center" vertical="center"/>
    </xf>
    <xf numFmtId="176" fontId="382" fillId="0" borderId="311" xfId="10" applyNumberFormat="1" applyFont="1" applyFill="1" applyBorder="1" applyAlignment="1" applyProtection="1">
      <alignment horizontal="right" vertical="center"/>
    </xf>
    <xf numFmtId="176" fontId="382" fillId="17" borderId="311" xfId="10" applyNumberFormat="1" applyFont="1" applyFill="1" applyBorder="1" applyAlignment="1" applyProtection="1">
      <alignment horizontal="right" vertical="center"/>
    </xf>
    <xf numFmtId="176" fontId="382" fillId="13" borderId="311" xfId="10" applyNumberFormat="1" applyFont="1" applyFill="1" applyBorder="1" applyAlignment="1" applyProtection="1">
      <alignment horizontal="right" vertical="center"/>
    </xf>
    <xf numFmtId="176" fontId="382" fillId="17" borderId="313" xfId="10" applyNumberFormat="1" applyFont="1" applyFill="1" applyBorder="1" applyAlignment="1" applyProtection="1">
      <alignment horizontal="right" vertical="center"/>
    </xf>
    <xf numFmtId="49" fontId="381" fillId="67" borderId="313" xfId="10" applyNumberFormat="1" applyFont="1" applyFill="1" applyBorder="1" applyAlignment="1" applyProtection="1">
      <alignment horizontal="center" vertical="center"/>
      <protection locked="0"/>
    </xf>
    <xf numFmtId="0" fontId="381" fillId="0" borderId="313" xfId="10" applyFont="1" applyFill="1" applyBorder="1" applyAlignment="1" applyProtection="1">
      <alignment horizontal="center" vertical="center" wrapText="1"/>
    </xf>
    <xf numFmtId="0" fontId="381" fillId="15" borderId="313" xfId="10" applyFont="1" applyFill="1" applyBorder="1" applyAlignment="1" applyProtection="1">
      <alignment horizontal="center" vertical="center"/>
    </xf>
    <xf numFmtId="0" fontId="381" fillId="15" borderId="311" xfId="10" applyFont="1" applyFill="1" applyBorder="1" applyAlignment="1" applyProtection="1">
      <alignment horizontal="center" vertical="center"/>
    </xf>
    <xf numFmtId="0" fontId="381" fillId="15" borderId="319" xfId="10" applyFont="1" applyFill="1" applyBorder="1" applyAlignment="1" applyProtection="1">
      <alignment horizontal="center" vertical="center"/>
    </xf>
    <xf numFmtId="0" fontId="381" fillId="15" borderId="320" xfId="10" applyFont="1" applyFill="1" applyBorder="1" applyAlignment="1" applyProtection="1">
      <alignment horizontal="center" vertical="center"/>
    </xf>
    <xf numFmtId="0" fontId="381" fillId="15" borderId="340" xfId="10" applyFont="1" applyFill="1" applyBorder="1" applyAlignment="1" applyProtection="1">
      <alignment horizontal="center" vertical="center"/>
    </xf>
    <xf numFmtId="0" fontId="381" fillId="15" borderId="341" xfId="10" applyFont="1" applyFill="1" applyBorder="1" applyAlignment="1" applyProtection="1">
      <alignment horizontal="center" vertical="center"/>
    </xf>
    <xf numFmtId="0" fontId="381" fillId="15" borderId="337" xfId="10" applyFont="1" applyFill="1" applyBorder="1" applyAlignment="1" applyProtection="1">
      <alignment horizontal="center" vertical="center"/>
    </xf>
    <xf numFmtId="0" fontId="381" fillId="0" borderId="317" xfId="10" applyFont="1" applyFill="1" applyBorder="1" applyAlignment="1" applyProtection="1">
      <alignment horizontal="center" vertical="center" wrapText="1"/>
    </xf>
    <xf numFmtId="0" fontId="381" fillId="0" borderId="320" xfId="10" applyFont="1" applyFill="1" applyBorder="1" applyAlignment="1" applyProtection="1">
      <alignment horizontal="center" vertical="center" wrapText="1"/>
    </xf>
    <xf numFmtId="176" fontId="382" fillId="33" borderId="311" xfId="10" applyNumberFormat="1" applyFont="1" applyFill="1" applyBorder="1" applyAlignment="1" applyProtection="1">
      <alignment horizontal="right" vertical="center"/>
      <protection locked="0"/>
    </xf>
    <xf numFmtId="0" fontId="378" fillId="0" borderId="311" xfId="10" applyFont="1" applyFill="1" applyBorder="1" applyAlignment="1" applyProtection="1">
      <alignment horizontal="center" vertical="center"/>
    </xf>
    <xf numFmtId="0" fontId="380" fillId="0" borderId="311" xfId="10" applyFont="1" applyFill="1" applyBorder="1" applyAlignment="1" applyProtection="1">
      <alignment horizontal="center" vertical="center"/>
    </xf>
    <xf numFmtId="0" fontId="380" fillId="0" borderId="299" xfId="10" applyFont="1" applyFill="1" applyBorder="1" applyAlignment="1" applyProtection="1">
      <alignment horizontal="center" vertical="center"/>
    </xf>
    <xf numFmtId="0" fontId="380" fillId="0" borderId="298" xfId="10" applyFont="1" applyFill="1" applyBorder="1" applyAlignment="1" applyProtection="1">
      <alignment horizontal="center" vertical="center"/>
    </xf>
    <xf numFmtId="0" fontId="380" fillId="0" borderId="300" xfId="10" applyFont="1" applyFill="1" applyBorder="1" applyAlignment="1" applyProtection="1">
      <alignment horizontal="center" vertical="center"/>
    </xf>
    <xf numFmtId="0" fontId="378" fillId="0" borderId="329" xfId="10" applyFont="1" applyFill="1" applyBorder="1" applyAlignment="1" applyProtection="1">
      <alignment horizontal="center" vertical="center"/>
    </xf>
    <xf numFmtId="0" fontId="378" fillId="0" borderId="330" xfId="10" applyFont="1" applyFill="1" applyBorder="1" applyAlignment="1" applyProtection="1">
      <alignment horizontal="center" vertical="center"/>
    </xf>
    <xf numFmtId="0" fontId="381" fillId="15" borderId="311" xfId="10" applyFont="1" applyFill="1" applyBorder="1" applyAlignment="1" applyProtection="1">
      <alignment horizontal="center" vertical="center" wrapText="1"/>
    </xf>
    <xf numFmtId="0" fontId="381" fillId="15" borderId="314" xfId="10" applyFont="1" applyFill="1" applyBorder="1" applyAlignment="1" applyProtection="1">
      <alignment horizontal="center" vertical="center" wrapText="1"/>
    </xf>
    <xf numFmtId="0" fontId="381" fillId="15" borderId="315" xfId="10" applyFont="1" applyFill="1" applyBorder="1" applyAlignment="1" applyProtection="1">
      <alignment horizontal="center" vertical="center" wrapText="1"/>
    </xf>
    <xf numFmtId="0" fontId="381" fillId="15" borderId="331" xfId="10" applyFont="1" applyFill="1" applyBorder="1" applyAlignment="1" applyProtection="1">
      <alignment horizontal="center" vertical="center" wrapText="1"/>
    </xf>
    <xf numFmtId="0" fontId="381" fillId="15" borderId="333" xfId="10" applyFont="1" applyFill="1" applyBorder="1" applyAlignment="1" applyProtection="1">
      <alignment horizontal="center" vertical="center" wrapText="1"/>
    </xf>
    <xf numFmtId="0" fontId="381" fillId="15" borderId="334" xfId="10" applyFont="1" applyFill="1" applyBorder="1" applyAlignment="1" applyProtection="1">
      <alignment horizontal="center" vertical="center" wrapText="1"/>
    </xf>
    <xf numFmtId="0" fontId="376" fillId="33" borderId="0" xfId="15" applyFont="1" applyFill="1" applyBorder="1" applyAlignment="1" applyProtection="1">
      <alignment vertical="center"/>
    </xf>
    <xf numFmtId="0" fontId="376" fillId="33" borderId="0" xfId="15" applyFont="1" applyFill="1" applyBorder="1" applyAlignment="1" applyProtection="1">
      <alignment horizontal="left" vertical="center"/>
    </xf>
    <xf numFmtId="0" fontId="25" fillId="33" borderId="1" xfId="10" applyFill="1" applyBorder="1" applyAlignment="1">
      <alignment horizontal="center" vertical="center"/>
    </xf>
    <xf numFmtId="0" fontId="25" fillId="18" borderId="1" xfId="10" applyFill="1" applyBorder="1" applyAlignment="1">
      <alignment horizontal="center" vertical="center"/>
    </xf>
    <xf numFmtId="0" fontId="25" fillId="33" borderId="1" xfId="10" applyFill="1" applyBorder="1" applyAlignment="1">
      <alignment horizontal="center" vertical="center" wrapText="1"/>
    </xf>
    <xf numFmtId="0" fontId="25" fillId="18" borderId="1" xfId="10" applyFill="1" applyBorder="1" applyAlignment="1">
      <alignment horizontal="center" vertical="center" wrapText="1"/>
    </xf>
    <xf numFmtId="0" fontId="37" fillId="18" borderId="1" xfId="10" applyFont="1" applyFill="1" applyBorder="1" applyAlignment="1">
      <alignment horizontal="center" vertical="center"/>
    </xf>
    <xf numFmtId="0" fontId="163" fillId="0" borderId="0" xfId="5" applyAlignment="1">
      <alignment horizontal="center"/>
    </xf>
    <xf numFmtId="0" fontId="93" fillId="0" borderId="0" xfId="5" applyFont="1" applyAlignment="1">
      <alignment horizontal="center"/>
    </xf>
    <xf numFmtId="0" fontId="93" fillId="0" borderId="53" xfId="5" applyFont="1" applyBorder="1" applyAlignment="1">
      <alignment horizontal="center"/>
    </xf>
    <xf numFmtId="0" fontId="163" fillId="0" borderId="1" xfId="5" applyBorder="1" applyAlignment="1">
      <alignment horizontal="center"/>
    </xf>
    <xf numFmtId="0" fontId="163" fillId="0" borderId="1" xfId="5" applyFont="1" applyBorder="1" applyAlignment="1">
      <alignment horizontal="center"/>
    </xf>
    <xf numFmtId="177" fontId="355" fillId="0" borderId="0" xfId="5" applyNumberFormat="1" applyFont="1" applyBorder="1" applyAlignment="1">
      <alignment horizontal="left" vertical="center"/>
    </xf>
    <xf numFmtId="177" fontId="355" fillId="0" borderId="30" xfId="5" applyNumberFormat="1" applyFont="1" applyBorder="1" applyAlignment="1">
      <alignment horizontal="left" vertical="center"/>
    </xf>
    <xf numFmtId="0" fontId="364" fillId="0" borderId="2" xfId="5" applyFont="1" applyBorder="1" applyAlignment="1">
      <alignment horizontal="center" vertical="center"/>
    </xf>
    <xf numFmtId="0" fontId="364" fillId="0" borderId="3" xfId="5" applyFont="1" applyBorder="1" applyAlignment="1">
      <alignment horizontal="center" vertical="center"/>
    </xf>
    <xf numFmtId="0" fontId="364" fillId="0" borderId="29" xfId="5" applyFont="1" applyBorder="1" applyAlignment="1">
      <alignment horizontal="center" vertical="center"/>
    </xf>
    <xf numFmtId="0" fontId="364" fillId="0" borderId="0" xfId="5" applyFont="1" applyBorder="1" applyAlignment="1">
      <alignment horizontal="center" vertical="center"/>
    </xf>
    <xf numFmtId="0" fontId="163" fillId="0" borderId="0" xfId="5" applyAlignment="1">
      <alignment horizontal="left"/>
    </xf>
    <xf numFmtId="0" fontId="163" fillId="0" borderId="93" xfId="5" applyBorder="1" applyAlignment="1">
      <alignment horizontal="center"/>
    </xf>
    <xf numFmtId="0" fontId="163" fillId="0" borderId="94" xfId="5" applyBorder="1" applyAlignment="1">
      <alignment horizontal="center"/>
    </xf>
    <xf numFmtId="0" fontId="163" fillId="0" borderId="54" xfId="5" applyBorder="1" applyAlignment="1">
      <alignment horizontal="center"/>
    </xf>
    <xf numFmtId="0" fontId="152" fillId="48" borderId="93" xfId="5" applyFont="1" applyFill="1" applyBorder="1" applyAlignment="1">
      <alignment horizontal="center"/>
    </xf>
    <xf numFmtId="0" fontId="152" fillId="48" borderId="94" xfId="5" applyFont="1" applyFill="1" applyBorder="1" applyAlignment="1">
      <alignment horizontal="center"/>
    </xf>
    <xf numFmtId="0" fontId="45" fillId="0" borderId="93" xfId="5" applyFont="1" applyBorder="1" applyAlignment="1">
      <alignment horizontal="center"/>
    </xf>
    <xf numFmtId="0" fontId="45" fillId="0" borderId="94" xfId="5" applyFont="1" applyBorder="1" applyAlignment="1">
      <alignment horizontal="center"/>
    </xf>
    <xf numFmtId="0" fontId="45" fillId="0" borderId="54" xfId="5" applyFont="1" applyBorder="1" applyAlignment="1">
      <alignment horizontal="center"/>
    </xf>
    <xf numFmtId="0" fontId="156" fillId="0" borderId="93" xfId="5" applyFont="1" applyBorder="1" applyAlignment="1">
      <alignment horizontal="center"/>
    </xf>
    <xf numFmtId="0" fontId="156" fillId="0" borderId="94" xfId="5" applyFont="1" applyBorder="1" applyAlignment="1">
      <alignment horizontal="center"/>
    </xf>
    <xf numFmtId="0" fontId="370" fillId="48" borderId="93" xfId="5" applyFont="1" applyFill="1" applyBorder="1" applyAlignment="1">
      <alignment horizontal="center"/>
    </xf>
    <xf numFmtId="0" fontId="370" fillId="48" borderId="94" xfId="5" applyFont="1" applyFill="1" applyBorder="1" applyAlignment="1">
      <alignment horizontal="center"/>
    </xf>
    <xf numFmtId="0" fontId="27" fillId="10" borderId="93" xfId="5" applyFont="1" applyFill="1" applyBorder="1" applyAlignment="1">
      <alignment horizontal="center"/>
    </xf>
    <xf numFmtId="0" fontId="27" fillId="10" borderId="94" xfId="5" applyFont="1" applyFill="1" applyBorder="1" applyAlignment="1">
      <alignment horizontal="center"/>
    </xf>
    <xf numFmtId="0" fontId="73" fillId="0" borderId="0" xfId="5" applyFont="1" applyAlignment="1">
      <alignment horizontal="left"/>
    </xf>
    <xf numFmtId="0" fontId="30" fillId="0" borderId="63" xfId="5" applyFont="1" applyBorder="1" applyAlignment="1">
      <alignment horizontal="center" vertical="center"/>
    </xf>
    <xf numFmtId="0" fontId="163" fillId="0" borderId="0" xfId="5" applyBorder="1" applyAlignment="1">
      <alignment horizontal="left" vertical="center" wrapText="1"/>
    </xf>
    <xf numFmtId="0" fontId="27" fillId="0" borderId="0" xfId="5" applyFont="1" applyBorder="1" applyAlignment="1">
      <alignment horizontal="left" vertical="center" wrapText="1"/>
    </xf>
    <xf numFmtId="0" fontId="163" fillId="0" borderId="0" xfId="5" applyFont="1" applyBorder="1" applyAlignment="1">
      <alignment horizontal="left" vertical="center" wrapText="1"/>
    </xf>
    <xf numFmtId="0" fontId="361" fillId="0" borderId="0" xfId="5" applyFont="1" applyAlignment="1">
      <alignment horizontal="left" vertical="center"/>
    </xf>
    <xf numFmtId="0" fontId="30" fillId="0" borderId="0" xfId="5" applyFont="1" applyAlignment="1">
      <alignment horizontal="left" vertical="center"/>
    </xf>
    <xf numFmtId="0" fontId="163" fillId="0" borderId="0" xfId="5" applyAlignment="1">
      <alignment horizontal="left" vertical="center"/>
    </xf>
    <xf numFmtId="0" fontId="30" fillId="12" borderId="0" xfId="5" applyFont="1" applyFill="1" applyBorder="1" applyAlignment="1">
      <alignment horizontal="left" vertical="center" wrapText="1"/>
    </xf>
    <xf numFmtId="0" fontId="163" fillId="12" borderId="0" xfId="5" applyFont="1" applyFill="1" applyBorder="1" applyAlignment="1">
      <alignment horizontal="left" vertical="center" wrapText="1"/>
    </xf>
    <xf numFmtId="0" fontId="360" fillId="0" borderId="0" xfId="5" applyFont="1" applyAlignment="1">
      <alignment horizontal="center" vertical="center"/>
    </xf>
    <xf numFmtId="0" fontId="30" fillId="0" borderId="0" xfId="5" applyFont="1" applyAlignment="1">
      <alignment horizontal="center" vertical="center"/>
    </xf>
    <xf numFmtId="0" fontId="163" fillId="0" borderId="0" xfId="5" applyAlignment="1">
      <alignment horizontal="center" vertical="center"/>
    </xf>
    <xf numFmtId="0" fontId="73" fillId="0" borderId="0" xfId="5" applyFont="1" applyBorder="1" applyAlignment="1">
      <alignment horizontal="left" vertical="center" wrapText="1"/>
    </xf>
    <xf numFmtId="0" fontId="30" fillId="0" borderId="0" xfId="5" applyFont="1" applyBorder="1" applyAlignment="1">
      <alignment horizontal="left" vertical="center" wrapText="1"/>
    </xf>
    <xf numFmtId="0" fontId="45" fillId="0" borderId="0" xfId="5" applyFont="1" applyBorder="1" applyAlignment="1">
      <alignment horizontal="left" vertical="center" wrapText="1"/>
    </xf>
    <xf numFmtId="0" fontId="30" fillId="0" borderId="23" xfId="5" applyFont="1" applyBorder="1" applyAlignment="1">
      <alignment horizontal="center"/>
    </xf>
    <xf numFmtId="0" fontId="23" fillId="0" borderId="0" xfId="5" applyFont="1" applyAlignment="1">
      <alignment horizontal="left"/>
    </xf>
    <xf numFmtId="0" fontId="30" fillId="0" borderId="2" xfId="5" applyFont="1" applyBorder="1" applyAlignment="1">
      <alignment horizontal="left" vertical="center"/>
    </xf>
    <xf numFmtId="0" fontId="30" fillId="0" borderId="3" xfId="5" applyFont="1" applyBorder="1" applyAlignment="1">
      <alignment horizontal="left" vertical="center"/>
    </xf>
    <xf numFmtId="0" fontId="163" fillId="0" borderId="3" xfId="5" applyBorder="1" applyAlignment="1">
      <alignment horizontal="left" vertical="center"/>
    </xf>
    <xf numFmtId="0" fontId="163" fillId="0" borderId="29" xfId="5" applyBorder="1" applyAlignment="1">
      <alignment horizontal="left" vertical="center"/>
    </xf>
    <xf numFmtId="0" fontId="163" fillId="0" borderId="3" xfId="5" applyBorder="1" applyAlignment="1">
      <alignment horizontal="left" vertical="center" wrapText="1"/>
    </xf>
    <xf numFmtId="0" fontId="357" fillId="0" borderId="1" xfId="5" applyFont="1" applyBorder="1" applyAlignment="1">
      <alignment horizontal="center" vertical="center"/>
    </xf>
    <xf numFmtId="0" fontId="357" fillId="0" borderId="71" xfId="5" applyFont="1" applyBorder="1" applyAlignment="1">
      <alignment horizontal="center" vertical="center"/>
    </xf>
    <xf numFmtId="0" fontId="357" fillId="0" borderId="36" xfId="5" applyFont="1" applyBorder="1" applyAlignment="1">
      <alignment horizontal="center" vertical="center"/>
    </xf>
    <xf numFmtId="0" fontId="357" fillId="0" borderId="63" xfId="5" applyFont="1" applyBorder="1" applyAlignment="1">
      <alignment horizontal="center" vertical="center"/>
    </xf>
    <xf numFmtId="0" fontId="357" fillId="0" borderId="184" xfId="5" applyFont="1" applyBorder="1" applyAlignment="1">
      <alignment horizontal="center" vertical="center"/>
    </xf>
    <xf numFmtId="0" fontId="357" fillId="0" borderId="180" xfId="5" applyFont="1" applyBorder="1" applyAlignment="1">
      <alignment horizontal="center" vertical="center"/>
    </xf>
    <xf numFmtId="0" fontId="356" fillId="0" borderId="0" xfId="5" applyFont="1" applyAlignment="1">
      <alignment horizontal="center"/>
    </xf>
    <xf numFmtId="0" fontId="357" fillId="0" borderId="53" xfId="5" applyFont="1" applyBorder="1" applyAlignment="1">
      <alignment horizontal="right"/>
    </xf>
    <xf numFmtId="0" fontId="357" fillId="33" borderId="93" xfId="5" applyFont="1" applyFill="1" applyBorder="1" applyAlignment="1">
      <alignment horizontal="center" vertical="center"/>
    </xf>
    <xf numFmtId="0" fontId="357" fillId="33" borderId="54" xfId="5" applyFont="1" applyFill="1" applyBorder="1" applyAlignment="1">
      <alignment horizontal="center" vertical="center"/>
    </xf>
    <xf numFmtId="0" fontId="357" fillId="33" borderId="94" xfId="5" applyFont="1" applyFill="1" applyBorder="1" applyAlignment="1">
      <alignment horizontal="center" vertical="center"/>
    </xf>
    <xf numFmtId="180" fontId="357" fillId="17" borderId="1" xfId="5" applyNumberFormat="1" applyFont="1" applyFill="1" applyBorder="1" applyAlignment="1">
      <alignment horizontal="center"/>
    </xf>
    <xf numFmtId="0" fontId="357" fillId="0" borderId="180" xfId="5" applyFont="1" applyBorder="1" applyAlignment="1">
      <alignment vertical="center" wrapText="1"/>
    </xf>
    <xf numFmtId="0" fontId="357" fillId="0" borderId="184" xfId="5" applyFont="1" applyBorder="1" applyAlignment="1">
      <alignment vertical="center" wrapText="1"/>
    </xf>
    <xf numFmtId="0" fontId="163" fillId="0" borderId="252" xfId="5" applyBorder="1" applyAlignment="1">
      <alignment wrapText="1"/>
    </xf>
    <xf numFmtId="0" fontId="83" fillId="0" borderId="293" xfId="5" applyFont="1" applyBorder="1" applyAlignment="1">
      <alignment horizontal="left" vertical="center" wrapText="1"/>
    </xf>
    <xf numFmtId="0" fontId="25" fillId="0" borderId="0" xfId="5" applyFont="1" applyBorder="1" applyAlignment="1">
      <alignment horizontal="left" vertical="center" wrapText="1"/>
    </xf>
    <xf numFmtId="0" fontId="25" fillId="0" borderId="294" xfId="5" applyFont="1" applyBorder="1" applyAlignment="1">
      <alignment horizontal="left" vertical="center" wrapText="1"/>
    </xf>
    <xf numFmtId="0" fontId="25" fillId="0" borderId="293" xfId="5" applyFont="1" applyBorder="1" applyAlignment="1">
      <alignment horizontal="left" vertical="center" wrapText="1"/>
    </xf>
    <xf numFmtId="0" fontId="25" fillId="0" borderId="295" xfId="5" applyFont="1" applyBorder="1" applyAlignment="1">
      <alignment horizontal="left" vertical="center" wrapText="1"/>
    </xf>
    <xf numFmtId="0" fontId="25" fillId="0" borderId="287" xfId="5" applyFont="1" applyBorder="1" applyAlignment="1">
      <alignment horizontal="left" vertical="center" wrapText="1"/>
    </xf>
    <xf numFmtId="0" fontId="25" fillId="0" borderId="296" xfId="5" applyFont="1" applyBorder="1" applyAlignment="1">
      <alignment horizontal="left" vertical="center" wrapText="1"/>
    </xf>
    <xf numFmtId="0" fontId="83" fillId="34" borderId="288" xfId="5" applyFont="1" applyFill="1" applyBorder="1" applyAlignment="1">
      <alignment horizontal="center" vertical="center" wrapText="1"/>
    </xf>
    <xf numFmtId="0" fontId="83" fillId="34" borderId="291" xfId="5" applyFont="1" applyFill="1" applyBorder="1" applyAlignment="1">
      <alignment horizontal="center" vertical="center" wrapText="1"/>
    </xf>
    <xf numFmtId="0" fontId="349" fillId="34" borderId="292" xfId="5" applyFont="1" applyFill="1" applyBorder="1" applyAlignment="1">
      <alignment horizontal="center" wrapText="1"/>
    </xf>
    <xf numFmtId="0" fontId="349" fillId="34" borderId="291" xfId="5" applyFont="1" applyFill="1" applyBorder="1" applyAlignment="1">
      <alignment horizontal="center" wrapText="1"/>
    </xf>
    <xf numFmtId="0" fontId="83" fillId="0" borderId="299" xfId="5" applyFont="1" applyBorder="1" applyAlignment="1">
      <alignment horizontal="left" vertical="center" wrapText="1"/>
    </xf>
    <xf numFmtId="0" fontId="25" fillId="0" borderId="298" xfId="5" applyFont="1" applyBorder="1" applyAlignment="1">
      <alignment horizontal="left" vertical="center"/>
    </xf>
    <xf numFmtId="0" fontId="25" fillId="0" borderId="300" xfId="5" applyFont="1" applyBorder="1" applyAlignment="1">
      <alignment horizontal="left" vertical="center"/>
    </xf>
    <xf numFmtId="0" fontId="25" fillId="0" borderId="293" xfId="5" applyFont="1" applyBorder="1" applyAlignment="1">
      <alignment horizontal="left" vertical="center"/>
    </xf>
    <xf numFmtId="0" fontId="25" fillId="0" borderId="0" xfId="5" applyFont="1" applyBorder="1" applyAlignment="1">
      <alignment horizontal="left" vertical="center"/>
    </xf>
    <xf numFmtId="0" fontId="25" fillId="0" borderId="294" xfId="5" applyFont="1" applyBorder="1" applyAlignment="1">
      <alignment horizontal="left" vertical="center"/>
    </xf>
    <xf numFmtId="0" fontId="25" fillId="0" borderId="291" xfId="5" applyFont="1" applyBorder="1" applyAlignment="1">
      <alignment horizontal="center" vertical="center"/>
    </xf>
    <xf numFmtId="0" fontId="83" fillId="34" borderId="292" xfId="5" applyFont="1" applyFill="1" applyBorder="1" applyAlignment="1">
      <alignment horizontal="center" vertical="center" wrapText="1"/>
    </xf>
    <xf numFmtId="0" fontId="163" fillId="0" borderId="292" xfId="5" applyBorder="1" applyAlignment="1">
      <alignment horizontal="center" vertical="center" wrapText="1"/>
    </xf>
    <xf numFmtId="0" fontId="163" fillId="0" borderId="291" xfId="5" applyBorder="1" applyAlignment="1">
      <alignment horizontal="center" vertical="center" wrapText="1"/>
    </xf>
    <xf numFmtId="0" fontId="25" fillId="0" borderId="292" xfId="5" applyFont="1" applyBorder="1" applyAlignment="1">
      <alignment horizontal="center" vertical="center"/>
    </xf>
    <xf numFmtId="0" fontId="163" fillId="0" borderId="292" xfId="5" applyBorder="1" applyAlignment="1"/>
    <xf numFmtId="0" fontId="163" fillId="0" borderId="291" xfId="5" applyBorder="1" applyAlignment="1"/>
    <xf numFmtId="0" fontId="83" fillId="0" borderId="298" xfId="5" applyFont="1" applyBorder="1" applyAlignment="1">
      <alignment horizontal="left" vertical="center" wrapText="1"/>
    </xf>
    <xf numFmtId="0" fontId="163" fillId="0" borderId="298" xfId="5" applyBorder="1" applyAlignment="1">
      <alignment vertical="center" wrapText="1"/>
    </xf>
    <xf numFmtId="0" fontId="25" fillId="0" borderId="297" xfId="5" applyFont="1" applyBorder="1" applyAlignment="1">
      <alignment horizontal="center" vertical="center"/>
    </xf>
    <xf numFmtId="0" fontId="25" fillId="34" borderId="297" xfId="5" applyFont="1" applyFill="1" applyBorder="1" applyAlignment="1">
      <alignment horizontal="center" vertical="center" wrapText="1"/>
    </xf>
    <xf numFmtId="0" fontId="30" fillId="0" borderId="287" xfId="5" applyFont="1" applyBorder="1" applyAlignment="1">
      <alignment horizontal="center"/>
    </xf>
    <xf numFmtId="0" fontId="163" fillId="0" borderId="287" xfId="5" applyBorder="1" applyAlignment="1">
      <alignment horizontal="center"/>
    </xf>
    <xf numFmtId="0" fontId="83" fillId="34" borderId="289" xfId="5" applyFont="1" applyFill="1" applyBorder="1" applyAlignment="1">
      <alignment horizontal="center" vertical="center" wrapText="1"/>
    </xf>
    <xf numFmtId="0" fontId="83" fillId="34" borderId="290" xfId="5" applyFont="1" applyFill="1" applyBorder="1" applyAlignment="1">
      <alignment horizontal="center" vertical="center" wrapText="1"/>
    </xf>
    <xf numFmtId="0" fontId="349" fillId="34" borderId="293" xfId="5" applyFont="1" applyFill="1" applyBorder="1" applyAlignment="1">
      <alignment horizontal="center" wrapText="1"/>
    </xf>
    <xf numFmtId="0" fontId="349" fillId="34" borderId="294" xfId="5" applyFont="1" applyFill="1" applyBorder="1" applyAlignment="1">
      <alignment horizontal="center" wrapText="1"/>
    </xf>
    <xf numFmtId="0" fontId="349" fillId="34" borderId="295" xfId="5" applyFont="1" applyFill="1" applyBorder="1" applyAlignment="1">
      <alignment horizontal="center" wrapText="1"/>
    </xf>
    <xf numFmtId="0" fontId="349" fillId="34" borderId="296" xfId="5" applyFont="1" applyFill="1" applyBorder="1" applyAlignment="1">
      <alignment horizontal="center" wrapText="1"/>
    </xf>
    <xf numFmtId="0" fontId="83" fillId="34" borderId="297" xfId="5" applyFont="1" applyFill="1" applyBorder="1" applyAlignment="1">
      <alignment horizontal="center" vertical="center" wrapText="1"/>
    </xf>
    <xf numFmtId="0" fontId="163" fillId="0" borderId="297" xfId="5" applyBorder="1" applyAlignment="1">
      <alignment vertical="center"/>
    </xf>
    <xf numFmtId="0" fontId="50" fillId="34" borderId="74" xfId="5" applyFont="1" applyFill="1" applyBorder="1" applyAlignment="1">
      <alignment horizontal="center" vertical="center" textRotation="255" wrapText="1"/>
    </xf>
    <xf numFmtId="0" fontId="50" fillId="34" borderId="63" xfId="5" applyFont="1" applyFill="1" applyBorder="1" applyAlignment="1">
      <alignment horizontal="center" vertical="center" textRotation="255" wrapText="1"/>
    </xf>
    <xf numFmtId="0" fontId="50" fillId="34" borderId="36" xfId="5" applyFont="1" applyFill="1" applyBorder="1" applyAlignment="1">
      <alignment horizontal="center" vertical="center" textRotation="255" wrapText="1"/>
    </xf>
    <xf numFmtId="178" fontId="50" fillId="34" borderId="1" xfId="5" applyNumberFormat="1" applyFont="1" applyFill="1" applyBorder="1" applyAlignment="1">
      <alignment horizontal="right" vertical="center" wrapText="1"/>
    </xf>
    <xf numFmtId="0" fontId="50" fillId="34" borderId="1" xfId="5" applyFont="1" applyFill="1" applyBorder="1" applyAlignment="1">
      <alignment horizontal="center" vertical="center" textRotation="255" wrapText="1"/>
    </xf>
    <xf numFmtId="0" fontId="50" fillId="34" borderId="55" xfId="5" applyFont="1" applyFill="1" applyBorder="1" applyAlignment="1">
      <alignment horizontal="left" vertical="center" wrapText="1"/>
    </xf>
    <xf numFmtId="0" fontId="50" fillId="34" borderId="56" xfId="5" applyFont="1" applyFill="1" applyBorder="1" applyAlignment="1">
      <alignment horizontal="left" vertical="center" wrapText="1"/>
    </xf>
    <xf numFmtId="0" fontId="50" fillId="34" borderId="59" xfId="5" applyFont="1" applyFill="1" applyBorder="1" applyAlignment="1">
      <alignment horizontal="left" vertical="center" wrapText="1"/>
    </xf>
    <xf numFmtId="0" fontId="50" fillId="34" borderId="60" xfId="5" applyFont="1" applyFill="1" applyBorder="1" applyAlignment="1">
      <alignment horizontal="left" vertical="center" wrapText="1"/>
    </xf>
    <xf numFmtId="0" fontId="50" fillId="34" borderId="1" xfId="5" applyFont="1" applyFill="1" applyBorder="1" applyAlignment="1">
      <alignment horizontal="left" vertical="center" wrapText="1"/>
    </xf>
    <xf numFmtId="0" fontId="50" fillId="34" borderId="93" xfId="5" applyFont="1" applyFill="1" applyBorder="1" applyAlignment="1">
      <alignment horizontal="left" vertical="center" wrapText="1"/>
    </xf>
    <xf numFmtId="0" fontId="50" fillId="34" borderId="94" xfId="5" applyFont="1" applyFill="1" applyBorder="1" applyAlignment="1">
      <alignment horizontal="left" vertical="center" wrapText="1"/>
    </xf>
    <xf numFmtId="0" fontId="93" fillId="34" borderId="0" xfId="5" applyFont="1" applyFill="1" applyAlignment="1">
      <alignment horizontal="center" vertical="center" wrapText="1"/>
    </xf>
    <xf numFmtId="0" fontId="25" fillId="34" borderId="53" xfId="5" applyFont="1" applyFill="1" applyBorder="1" applyAlignment="1">
      <alignment horizontal="center" vertical="center" wrapText="1"/>
    </xf>
    <xf numFmtId="0" fontId="163" fillId="34" borderId="1" xfId="5" applyFont="1" applyFill="1" applyBorder="1" applyAlignment="1">
      <alignment horizontal="center" vertical="center" wrapText="1"/>
    </xf>
    <xf numFmtId="0" fontId="348" fillId="0" borderId="0" xfId="5" applyFont="1" applyFill="1" applyAlignment="1" applyProtection="1">
      <alignment horizontal="center" vertical="center"/>
      <protection hidden="1"/>
    </xf>
    <xf numFmtId="0" fontId="163" fillId="18" borderId="0" xfId="5" applyFill="1" applyAlignment="1" applyProtection="1">
      <alignment horizontal="left" vertical="center"/>
      <protection hidden="1"/>
    </xf>
    <xf numFmtId="200" fontId="163" fillId="18" borderId="0" xfId="5" applyNumberFormat="1" applyFill="1" applyAlignment="1" applyProtection="1">
      <alignment horizontal="left" vertical="center"/>
      <protection hidden="1"/>
    </xf>
    <xf numFmtId="0" fontId="25" fillId="0" borderId="1" xfId="5" applyFont="1" applyBorder="1" applyAlignment="1">
      <alignment horizontal="left"/>
    </xf>
    <xf numFmtId="0" fontId="163" fillId="0" borderId="1" xfId="5" applyBorder="1" applyAlignment="1">
      <alignment horizontal="left"/>
    </xf>
    <xf numFmtId="0" fontId="42" fillId="0" borderId="1" xfId="5" applyFont="1" applyBorder="1" applyAlignment="1">
      <alignment horizontal="left"/>
    </xf>
    <xf numFmtId="0" fontId="42" fillId="0" borderId="93" xfId="5" applyFont="1" applyBorder="1" applyAlignment="1">
      <alignment horizontal="left"/>
    </xf>
    <xf numFmtId="0" fontId="163" fillId="0" borderId="1" xfId="5" applyFill="1" applyBorder="1" applyAlignment="1">
      <alignment horizontal="left"/>
    </xf>
    <xf numFmtId="0" fontId="25" fillId="0" borderId="36" xfId="5" applyFont="1" applyFill="1" applyBorder="1" applyAlignment="1">
      <alignment horizontal="center"/>
    </xf>
    <xf numFmtId="0" fontId="347" fillId="0" borderId="1" xfId="5" applyFont="1" applyBorder="1" applyAlignment="1">
      <alignment horizontal="left"/>
    </xf>
    <xf numFmtId="0" fontId="19" fillId="0" borderId="93" xfId="5" applyFont="1" applyBorder="1" applyAlignment="1">
      <alignment horizontal="center" vertical="center"/>
    </xf>
    <xf numFmtId="0" fontId="19" fillId="0" borderId="54" xfId="5" applyFont="1" applyBorder="1" applyAlignment="1">
      <alignment horizontal="center" vertical="center"/>
    </xf>
    <xf numFmtId="0" fontId="19" fillId="0" borderId="94" xfId="5" applyFont="1" applyBorder="1" applyAlignment="1">
      <alignment horizontal="center" vertical="center"/>
    </xf>
    <xf numFmtId="0" fontId="207" fillId="0" borderId="1" xfId="5" applyFont="1" applyBorder="1" applyAlignment="1">
      <alignment horizontal="left"/>
    </xf>
    <xf numFmtId="0" fontId="122" fillId="0" borderId="55" xfId="5" applyFont="1" applyBorder="1" applyAlignment="1">
      <alignment horizontal="center"/>
    </xf>
    <xf numFmtId="0" fontId="122" fillId="0" borderId="61" xfId="5" applyFont="1" applyBorder="1" applyAlignment="1">
      <alignment horizontal="center"/>
    </xf>
    <xf numFmtId="0" fontId="122" fillId="0" borderId="56" xfId="5" applyFont="1" applyBorder="1" applyAlignment="1">
      <alignment horizontal="center"/>
    </xf>
    <xf numFmtId="0" fontId="122" fillId="0" borderId="0" xfId="5" applyFont="1" applyBorder="1" applyAlignment="1">
      <alignment horizontal="center"/>
    </xf>
    <xf numFmtId="0" fontId="45" fillId="0" borderId="0" xfId="5" applyFont="1" applyAlignment="1">
      <alignment horizontal="center"/>
    </xf>
    <xf numFmtId="0" fontId="163" fillId="37" borderId="1" xfId="6" applyFont="1" applyFill="1" applyBorder="1" applyAlignment="1">
      <alignment horizontal="center" vertical="center"/>
    </xf>
    <xf numFmtId="0" fontId="19" fillId="0" borderId="1" xfId="6" applyFont="1" applyBorder="1" applyAlignment="1">
      <alignment horizontal="center" vertical="center"/>
    </xf>
    <xf numFmtId="0" fontId="163" fillId="0" borderId="1" xfId="6" applyFont="1" applyBorder="1" applyAlignment="1">
      <alignment horizontal="center" vertical="center"/>
    </xf>
    <xf numFmtId="0" fontId="31" fillId="0" borderId="1" xfId="6" applyFont="1" applyBorder="1" applyAlignment="1">
      <alignment horizontal="center" vertical="center"/>
    </xf>
    <xf numFmtId="0" fontId="122" fillId="0" borderId="0" xfId="5" applyFont="1" applyBorder="1" applyAlignment="1">
      <alignment horizontal="center" vertical="center"/>
    </xf>
    <xf numFmtId="0" fontId="163" fillId="0" borderId="1" xfId="5" applyBorder="1" applyAlignment="1">
      <alignment horizontal="center" vertical="center"/>
    </xf>
    <xf numFmtId="0" fontId="163" fillId="0" borderId="1" xfId="5" applyBorder="1" applyAlignment="1">
      <alignment horizontal="center" vertical="center" wrapText="1"/>
    </xf>
    <xf numFmtId="0" fontId="30" fillId="0" borderId="1" xfId="5" applyFont="1" applyBorder="1" applyAlignment="1">
      <alignment horizontal="center" vertical="center"/>
    </xf>
    <xf numFmtId="0" fontId="163" fillId="0" borderId="74" xfId="5" applyBorder="1" applyAlignment="1">
      <alignment horizontal="center" vertical="center"/>
    </xf>
    <xf numFmtId="0" fontId="163" fillId="0" borderId="36" xfId="5" applyBorder="1" applyAlignment="1">
      <alignment horizontal="center" vertical="center"/>
    </xf>
    <xf numFmtId="0" fontId="163" fillId="0" borderId="63" xfId="5" applyBorder="1" applyAlignment="1">
      <alignment horizontal="center" vertical="center"/>
    </xf>
    <xf numFmtId="0" fontId="163" fillId="0" borderId="93" xfId="5" applyBorder="1" applyAlignment="1">
      <alignment horizontal="center" vertical="center"/>
    </xf>
    <xf numFmtId="0" fontId="163" fillId="0" borderId="94" xfId="5" applyBorder="1" applyAlignment="1">
      <alignment horizontal="center" vertical="center"/>
    </xf>
    <xf numFmtId="0" fontId="163" fillId="0" borderId="55" xfId="5" applyBorder="1" applyAlignment="1">
      <alignment horizontal="center" vertical="center"/>
    </xf>
    <xf numFmtId="0" fontId="163" fillId="0" borderId="56" xfId="5" applyBorder="1" applyAlignment="1">
      <alignment horizontal="center" vertical="center"/>
    </xf>
    <xf numFmtId="0" fontId="163" fillId="0" borderId="93" xfId="6" applyBorder="1" applyAlignment="1">
      <alignment horizontal="center" vertical="center"/>
    </xf>
    <xf numFmtId="0" fontId="163" fillId="0" borderId="94" xfId="6" applyBorder="1" applyAlignment="1">
      <alignment horizontal="center" vertical="center"/>
    </xf>
    <xf numFmtId="0" fontId="163" fillId="0" borderId="0" xfId="6" applyAlignment="1">
      <alignment horizontal="left" vertical="center"/>
    </xf>
    <xf numFmtId="0" fontId="163" fillId="0" borderId="54" xfId="6" applyBorder="1" applyAlignment="1">
      <alignment horizontal="center" vertical="center"/>
    </xf>
    <xf numFmtId="0" fontId="25" fillId="0" borderId="0" xfId="6" applyFont="1" applyAlignment="1">
      <alignment vertical="center" shrinkToFit="1"/>
    </xf>
    <xf numFmtId="0" fontId="25" fillId="0" borderId="0" xfId="6" applyFont="1" applyAlignment="1">
      <alignment vertical="center"/>
    </xf>
    <xf numFmtId="178" fontId="54" fillId="0" borderId="0" xfId="6" applyNumberFormat="1" applyFont="1" applyAlignment="1">
      <alignment horizontal="left" vertical="center"/>
    </xf>
    <xf numFmtId="0" fontId="163" fillId="0" borderId="0" xfId="6" applyAlignment="1">
      <alignment vertical="center"/>
    </xf>
    <xf numFmtId="0" fontId="25" fillId="0" borderId="0" xfId="6" applyFont="1" applyAlignment="1">
      <alignment horizontal="right" vertical="center"/>
    </xf>
    <xf numFmtId="0" fontId="25" fillId="0" borderId="0" xfId="6" applyFont="1" applyBorder="1" applyAlignment="1">
      <alignment vertical="center"/>
    </xf>
    <xf numFmtId="0" fontId="163" fillId="0" borderId="0" xfId="6" applyAlignment="1">
      <alignment vertical="center" shrinkToFit="1"/>
    </xf>
    <xf numFmtId="0" fontId="52" fillId="0" borderId="0" xfId="6" applyFont="1" applyAlignment="1">
      <alignment horizontal="left" vertical="center"/>
    </xf>
    <xf numFmtId="0" fontId="59" fillId="0" borderId="0" xfId="6" applyFont="1" applyBorder="1" applyAlignment="1">
      <alignment horizontal="left" vertical="center" shrinkToFit="1"/>
    </xf>
    <xf numFmtId="0" fontId="163" fillId="0" borderId="0" xfId="6" applyBorder="1" applyAlignment="1">
      <alignment horizontal="left" vertical="center" shrinkToFit="1"/>
    </xf>
    <xf numFmtId="0" fontId="50" fillId="0" borderId="0" xfId="6" applyFont="1" applyBorder="1" applyAlignment="1">
      <alignment horizontal="left" vertical="center"/>
    </xf>
    <xf numFmtId="0" fontId="163" fillId="0" borderId="0" xfId="6" applyBorder="1" applyAlignment="1">
      <alignment horizontal="left" vertical="center"/>
    </xf>
    <xf numFmtId="0" fontId="25" fillId="0" borderId="0" xfId="6" applyFont="1" applyBorder="1" applyAlignment="1">
      <alignment vertical="center" shrinkToFit="1"/>
    </xf>
    <xf numFmtId="0" fontId="25" fillId="0" borderId="0" xfId="6" applyFont="1" applyAlignment="1">
      <alignment horizontal="left" vertical="center"/>
    </xf>
    <xf numFmtId="0" fontId="25" fillId="0" borderId="1" xfId="6" applyFont="1" applyBorder="1" applyAlignment="1">
      <alignment horizontal="center" vertical="center" wrapText="1"/>
    </xf>
    <xf numFmtId="0" fontId="25" fillId="0" borderId="93" xfId="6" applyFont="1" applyBorder="1" applyAlignment="1">
      <alignment horizontal="center" vertical="center" wrapText="1"/>
    </xf>
    <xf numFmtId="0" fontId="25" fillId="0" borderId="55" xfId="6" applyFont="1" applyBorder="1" applyAlignment="1">
      <alignment horizontal="center" vertical="center" wrapText="1"/>
    </xf>
    <xf numFmtId="0" fontId="25" fillId="0" borderId="56" xfId="6" applyFont="1" applyBorder="1" applyAlignment="1">
      <alignment horizontal="center" vertical="center" wrapText="1"/>
    </xf>
    <xf numFmtId="0" fontId="25" fillId="0" borderId="57" xfId="6" applyFont="1" applyBorder="1" applyAlignment="1">
      <alignment horizontal="center" vertical="center" wrapText="1"/>
    </xf>
    <xf numFmtId="0" fontId="25" fillId="0" borderId="58" xfId="6" applyFont="1" applyBorder="1" applyAlignment="1">
      <alignment horizontal="center" vertical="center" wrapText="1"/>
    </xf>
    <xf numFmtId="0" fontId="25" fillId="0" borderId="59" xfId="6" applyFont="1" applyBorder="1" applyAlignment="1">
      <alignment horizontal="center" vertical="center" wrapText="1"/>
    </xf>
    <xf numFmtId="0" fontId="25" fillId="0" borderId="60" xfId="6" applyFont="1" applyBorder="1" applyAlignment="1">
      <alignment horizontal="center" vertical="center" wrapText="1"/>
    </xf>
    <xf numFmtId="0" fontId="52" fillId="0" borderId="0" xfId="6" applyFont="1" applyAlignment="1">
      <alignment vertical="center"/>
    </xf>
    <xf numFmtId="0" fontId="25" fillId="0" borderId="55" xfId="6" applyFont="1" applyBorder="1" applyAlignment="1">
      <alignment vertical="center"/>
    </xf>
    <xf numFmtId="0" fontId="25" fillId="0" borderId="61" xfId="6" applyFont="1" applyBorder="1" applyAlignment="1">
      <alignment vertical="center"/>
    </xf>
    <xf numFmtId="0" fontId="163" fillId="0" borderId="58" xfId="6" applyBorder="1" applyAlignment="1">
      <alignment vertical="center" shrinkToFit="1"/>
    </xf>
    <xf numFmtId="176" fontId="51" fillId="0" borderId="93" xfId="6" applyNumberFormat="1" applyFont="1" applyBorder="1" applyAlignment="1">
      <alignment horizontal="center" vertical="center"/>
    </xf>
    <xf numFmtId="176" fontId="51" fillId="0" borderId="94" xfId="6" applyNumberFormat="1" applyFont="1" applyBorder="1" applyAlignment="1">
      <alignment horizontal="center" vertical="center"/>
    </xf>
    <xf numFmtId="176" fontId="42" fillId="0" borderId="93" xfId="6" applyNumberFormat="1" applyFont="1" applyBorder="1" applyAlignment="1">
      <alignment horizontal="center" vertical="center"/>
    </xf>
    <xf numFmtId="176" fontId="42" fillId="0" borderId="94" xfId="6" applyNumberFormat="1" applyFont="1" applyBorder="1" applyAlignment="1">
      <alignment horizontal="center" vertical="center"/>
    </xf>
    <xf numFmtId="0" fontId="25" fillId="0" borderId="0" xfId="6" applyFont="1" applyBorder="1" applyAlignment="1">
      <alignment horizontal="center" vertical="center"/>
    </xf>
    <xf numFmtId="176" fontId="51" fillId="0" borderId="54" xfId="6" applyNumberFormat="1" applyFont="1" applyBorder="1" applyAlignment="1">
      <alignment horizontal="center" vertical="center"/>
    </xf>
    <xf numFmtId="0" fontId="25" fillId="0" borderId="53" xfId="6" applyFont="1" applyBorder="1" applyAlignment="1">
      <alignment vertical="center"/>
    </xf>
    <xf numFmtId="0" fontId="25" fillId="0" borderId="58" xfId="6" applyFont="1" applyBorder="1" applyAlignment="1">
      <alignment horizontal="left" vertical="center"/>
    </xf>
    <xf numFmtId="0" fontId="163" fillId="0" borderId="0" xfId="6" applyFont="1" applyAlignment="1">
      <alignment horizontal="center" vertical="center"/>
    </xf>
    <xf numFmtId="0" fontId="163" fillId="0" borderId="0" xfId="6" applyFont="1" applyAlignment="1">
      <alignment vertical="center"/>
    </xf>
    <xf numFmtId="0" fontId="211" fillId="0" borderId="0" xfId="6" applyFont="1" applyAlignment="1">
      <alignment vertical="center" shrinkToFit="1"/>
    </xf>
    <xf numFmtId="0" fontId="45" fillId="0" borderId="0" xfId="6" applyFont="1" applyAlignment="1">
      <alignment vertical="center"/>
    </xf>
    <xf numFmtId="0" fontId="23" fillId="0" borderId="0" xfId="6" applyFont="1" applyAlignment="1">
      <alignment vertical="center"/>
    </xf>
    <xf numFmtId="0" fontId="336" fillId="0" borderId="0" xfId="6" applyFont="1" applyAlignment="1">
      <alignment horizontal="center" vertical="center"/>
    </xf>
    <xf numFmtId="0" fontId="332" fillId="0" borderId="1" xfId="9" applyFont="1" applyBorder="1" applyAlignment="1">
      <alignment horizontal="center" vertical="center"/>
    </xf>
    <xf numFmtId="0" fontId="327" fillId="0" borderId="74" xfId="9" applyFont="1" applyBorder="1" applyAlignment="1">
      <alignment horizontal="center" vertical="center"/>
    </xf>
    <xf numFmtId="0" fontId="327" fillId="0" borderId="1" xfId="9" applyFont="1" applyBorder="1" applyAlignment="1">
      <alignment horizontal="center" vertical="center"/>
    </xf>
    <xf numFmtId="0" fontId="328" fillId="0" borderId="0" xfId="9" applyFont="1" applyAlignment="1">
      <alignment horizontal="center" vertical="center"/>
    </xf>
    <xf numFmtId="0" fontId="329" fillId="0" borderId="0" xfId="9" applyFont="1" applyAlignment="1">
      <alignment horizontal="center" vertical="center"/>
    </xf>
    <xf numFmtId="0" fontId="327" fillId="0" borderId="1" xfId="9" applyFont="1" applyBorder="1" applyAlignment="1">
      <alignment horizontal="center"/>
    </xf>
    <xf numFmtId="0" fontId="327" fillId="0" borderId="74" xfId="9" applyFont="1" applyBorder="1" applyAlignment="1">
      <alignment horizontal="center"/>
    </xf>
    <xf numFmtId="0" fontId="332" fillId="47" borderId="47" xfId="9" applyFont="1" applyFill="1" applyBorder="1" applyAlignment="1">
      <alignment horizontal="center" vertical="center"/>
    </xf>
    <xf numFmtId="0" fontId="327" fillId="47" borderId="47" xfId="9" applyFont="1" applyFill="1" applyBorder="1" applyAlignment="1">
      <alignment horizontal="center" vertical="center"/>
    </xf>
    <xf numFmtId="0" fontId="327" fillId="47" borderId="48" xfId="9" applyFont="1" applyFill="1" applyBorder="1" applyAlignment="1">
      <alignment horizontal="center" vertical="center"/>
    </xf>
    <xf numFmtId="0" fontId="331" fillId="0" borderId="151" xfId="9" applyFont="1" applyBorder="1" applyAlignment="1">
      <alignment horizontal="left" vertical="center"/>
    </xf>
    <xf numFmtId="0" fontId="326" fillId="0" borderId="93" xfId="9" applyBorder="1" applyAlignment="1">
      <alignment vertical="center"/>
    </xf>
    <xf numFmtId="0" fontId="326" fillId="0" borderId="54" xfId="9" applyBorder="1" applyAlignment="1">
      <alignment vertical="center"/>
    </xf>
    <xf numFmtId="0" fontId="326" fillId="0" borderId="118" xfId="9" applyBorder="1" applyAlignment="1">
      <alignment vertical="center"/>
    </xf>
    <xf numFmtId="0" fontId="326" fillId="0" borderId="74" xfId="9" applyBorder="1" applyAlignment="1">
      <alignment horizontal="center"/>
    </xf>
    <xf numFmtId="0" fontId="326" fillId="0" borderId="36" xfId="9" applyBorder="1" applyAlignment="1">
      <alignment horizontal="center"/>
    </xf>
    <xf numFmtId="0" fontId="333" fillId="0" borderId="74" xfId="9" applyFont="1" applyBorder="1" applyAlignment="1">
      <alignment horizontal="center" vertical="center"/>
    </xf>
    <xf numFmtId="0" fontId="333" fillId="0" borderId="36" xfId="9" applyFont="1" applyBorder="1" applyAlignment="1">
      <alignment horizontal="center" vertical="center"/>
    </xf>
    <xf numFmtId="0" fontId="332" fillId="0" borderId="74" xfId="9" applyFont="1" applyBorder="1" applyAlignment="1">
      <alignment horizontal="center" vertical="center"/>
    </xf>
    <xf numFmtId="0" fontId="332" fillId="0" borderId="36" xfId="9" applyFont="1" applyBorder="1" applyAlignment="1">
      <alignment horizontal="center" vertical="center"/>
    </xf>
    <xf numFmtId="0" fontId="332" fillId="3" borderId="74" xfId="9" applyFont="1" applyFill="1" applyBorder="1" applyAlignment="1">
      <alignment horizontal="center" vertical="center"/>
    </xf>
    <xf numFmtId="0" fontId="332" fillId="3" borderId="36" xfId="9" applyFont="1" applyFill="1" applyBorder="1" applyAlignment="1">
      <alignment horizontal="center" vertical="center"/>
    </xf>
    <xf numFmtId="0" fontId="330" fillId="0" borderId="1" xfId="9" applyFont="1" applyBorder="1" applyAlignment="1">
      <alignment horizontal="center" vertical="center"/>
    </xf>
    <xf numFmtId="0" fontId="327" fillId="0" borderId="46" xfId="9" applyFont="1" applyBorder="1" applyAlignment="1">
      <alignment horizontal="center" vertical="center"/>
    </xf>
    <xf numFmtId="0" fontId="326" fillId="0" borderId="1" xfId="9" applyBorder="1" applyAlignment="1">
      <alignment horizontal="center"/>
    </xf>
    <xf numFmtId="0" fontId="326" fillId="0" borderId="46" xfId="9" applyBorder="1" applyAlignment="1">
      <alignment horizontal="center"/>
    </xf>
    <xf numFmtId="0" fontId="332" fillId="47" borderId="156" xfId="9" applyFont="1" applyFill="1" applyBorder="1" applyAlignment="1">
      <alignment horizontal="center" vertical="center"/>
    </xf>
    <xf numFmtId="0" fontId="332" fillId="47" borderId="62" xfId="9" applyFont="1" applyFill="1" applyBorder="1" applyAlignment="1">
      <alignment horizontal="center" vertical="center"/>
    </xf>
    <xf numFmtId="0" fontId="332" fillId="47" borderId="188" xfId="9" applyFont="1" applyFill="1" applyBorder="1" applyAlignment="1">
      <alignment horizontal="center" vertical="center"/>
    </xf>
    <xf numFmtId="0" fontId="15" fillId="34" borderId="0" xfId="5" applyFont="1" applyFill="1" applyAlignment="1" applyProtection="1">
      <alignment horizontal="center" vertical="center"/>
      <protection locked="0"/>
    </xf>
    <xf numFmtId="0" fontId="15" fillId="35" borderId="0" xfId="5" applyFont="1" applyFill="1" applyAlignment="1" applyProtection="1">
      <alignment horizontal="center" vertical="center"/>
      <protection locked="0"/>
    </xf>
    <xf numFmtId="0" fontId="15" fillId="36" borderId="0" xfId="5" applyFont="1" applyFill="1" applyAlignment="1" applyProtection="1">
      <alignment horizontal="center" vertical="center"/>
      <protection locked="0"/>
    </xf>
    <xf numFmtId="0" fontId="15" fillId="30" borderId="0" xfId="5" applyFont="1" applyFill="1" applyAlignment="1" applyProtection="1">
      <alignment horizontal="center" vertical="center"/>
      <protection locked="0"/>
    </xf>
    <xf numFmtId="0" fontId="323" fillId="37" borderId="93" xfId="5" applyFont="1" applyFill="1" applyBorder="1" applyAlignment="1" applyProtection="1">
      <alignment horizontal="center" vertical="center"/>
      <protection locked="0"/>
    </xf>
    <xf numFmtId="0" fontId="324" fillId="37" borderId="54" xfId="5" applyFont="1" applyFill="1" applyBorder="1" applyAlignment="1" applyProtection="1">
      <alignment horizontal="center" vertical="center"/>
      <protection locked="0"/>
    </xf>
    <xf numFmtId="0" fontId="324" fillId="37" borderId="94" xfId="5" applyFont="1" applyFill="1" applyBorder="1" applyAlignment="1" applyProtection="1">
      <alignment horizontal="center" vertical="center"/>
      <protection locked="0"/>
    </xf>
    <xf numFmtId="0" fontId="137" fillId="34" borderId="61" xfId="5" applyFont="1" applyFill="1" applyBorder="1" applyAlignment="1" applyProtection="1">
      <alignment horizontal="left" vertical="center"/>
      <protection locked="0"/>
    </xf>
    <xf numFmtId="0" fontId="138" fillId="37" borderId="0" xfId="5" applyFont="1" applyFill="1" applyAlignment="1" applyProtection="1">
      <alignment horizontal="center" vertical="center"/>
      <protection locked="0"/>
    </xf>
    <xf numFmtId="0" fontId="324" fillId="37" borderId="0" xfId="5" applyFont="1" applyFill="1" applyAlignment="1" applyProtection="1">
      <alignment horizontal="center" vertical="center"/>
      <protection locked="0"/>
    </xf>
    <xf numFmtId="0" fontId="137" fillId="34" borderId="0" xfId="5" applyFont="1" applyFill="1" applyAlignment="1" applyProtection="1">
      <alignment horizontal="left" vertical="center"/>
      <protection locked="0"/>
    </xf>
    <xf numFmtId="0" fontId="15" fillId="34" borderId="0" xfId="5" applyFont="1" applyFill="1" applyAlignment="1" applyProtection="1">
      <alignment horizontal="left" vertical="center"/>
      <protection locked="0"/>
    </xf>
    <xf numFmtId="0" fontId="137" fillId="0" borderId="0" xfId="5" applyFont="1" applyFill="1" applyAlignment="1" applyProtection="1">
      <alignment horizontal="left" vertical="center"/>
      <protection locked="0"/>
    </xf>
    <xf numFmtId="0" fontId="15" fillId="0" borderId="0" xfId="5" applyFont="1" applyFill="1" applyAlignment="1" applyProtection="1">
      <alignment horizontal="left" vertical="center"/>
      <protection locked="0"/>
    </xf>
    <xf numFmtId="0" fontId="322" fillId="10" borderId="158" xfId="5" applyFont="1" applyFill="1" applyBorder="1" applyAlignment="1">
      <alignment horizontal="center" vertical="center"/>
    </xf>
    <xf numFmtId="0" fontId="322" fillId="10" borderId="159" xfId="5" applyFont="1" applyFill="1" applyBorder="1" applyAlignment="1">
      <alignment horizontal="center" vertical="center"/>
    </xf>
    <xf numFmtId="0" fontId="322" fillId="10" borderId="285" xfId="5" applyFont="1" applyFill="1" applyBorder="1" applyAlignment="1">
      <alignment horizontal="center" vertical="center"/>
    </xf>
    <xf numFmtId="0" fontId="322" fillId="13" borderId="158" xfId="5" applyFont="1" applyFill="1" applyBorder="1" applyAlignment="1">
      <alignment horizontal="center" vertical="center"/>
    </xf>
    <xf numFmtId="0" fontId="322" fillId="13" borderId="159" xfId="5" applyFont="1" applyFill="1" applyBorder="1" applyAlignment="1">
      <alignment horizontal="center" vertical="center"/>
    </xf>
    <xf numFmtId="0" fontId="322" fillId="13" borderId="160" xfId="5" applyFont="1" applyFill="1" applyBorder="1" applyAlignment="1">
      <alignment horizontal="center" vertical="center"/>
    </xf>
    <xf numFmtId="0" fontId="15" fillId="34" borderId="0" xfId="5" applyNumberFormat="1" applyFont="1" applyFill="1" applyBorder="1" applyAlignment="1" applyProtection="1">
      <alignment horizontal="left" vertical="center"/>
      <protection locked="0"/>
    </xf>
    <xf numFmtId="0" fontId="139" fillId="0" borderId="0" xfId="5" applyNumberFormat="1" applyFont="1" applyFill="1" applyBorder="1" applyAlignment="1" applyProtection="1">
      <alignment horizontal="right" vertical="center"/>
      <protection locked="0"/>
    </xf>
    <xf numFmtId="0" fontId="140" fillId="0" borderId="0" xfId="5" applyNumberFormat="1" applyFont="1" applyFill="1" applyBorder="1" applyAlignment="1" applyProtection="1">
      <alignment horizontal="center" vertical="center"/>
      <protection locked="0"/>
    </xf>
    <xf numFmtId="0" fontId="136" fillId="37" borderId="0" xfId="5" applyNumberFormat="1" applyFont="1" applyFill="1" applyBorder="1" applyAlignment="1" applyProtection="1">
      <alignment horizontal="center" vertical="center"/>
      <protection locked="0"/>
    </xf>
    <xf numFmtId="0" fontId="26" fillId="37" borderId="0" xfId="5" applyNumberFormat="1" applyFont="1" applyFill="1" applyBorder="1" applyAlignment="1" applyProtection="1">
      <alignment horizontal="center" vertical="center"/>
      <protection locked="0"/>
    </xf>
    <xf numFmtId="0" fontId="137" fillId="34" borderId="0" xfId="5" applyNumberFormat="1" applyFont="1" applyFill="1" applyBorder="1" applyAlignment="1" applyProtection="1">
      <alignment horizontal="left" vertical="center"/>
      <protection locked="0"/>
    </xf>
    <xf numFmtId="0" fontId="15" fillId="20" borderId="1" xfId="5" applyNumberFormat="1" applyFont="1" applyFill="1" applyBorder="1" applyAlignment="1" applyProtection="1">
      <alignment horizontal="center" vertical="center"/>
      <protection locked="0"/>
    </xf>
    <xf numFmtId="0" fontId="163" fillId="0" borderId="276" xfId="5" applyBorder="1" applyAlignment="1">
      <alignment horizontal="left"/>
    </xf>
    <xf numFmtId="0" fontId="163" fillId="0" borderId="277" xfId="5" applyBorder="1" applyAlignment="1">
      <alignment horizontal="left"/>
    </xf>
    <xf numFmtId="0" fontId="163" fillId="0" borderId="277" xfId="5" applyBorder="1" applyAlignment="1">
      <alignment horizontal="center"/>
    </xf>
    <xf numFmtId="0" fontId="163" fillId="0" borderId="282" xfId="5" applyBorder="1" applyAlignment="1">
      <alignment horizontal="center"/>
    </xf>
    <xf numFmtId="0" fontId="163" fillId="0" borderId="278" xfId="5" applyBorder="1" applyAlignment="1">
      <alignment horizontal="left"/>
    </xf>
    <xf numFmtId="0" fontId="163" fillId="0" borderId="279" xfId="5" applyBorder="1" applyAlignment="1">
      <alignment horizontal="left"/>
    </xf>
    <xf numFmtId="0" fontId="163" fillId="0" borderId="60" xfId="5" applyBorder="1" applyAlignment="1">
      <alignment horizontal="center"/>
    </xf>
    <xf numFmtId="0" fontId="163" fillId="0" borderId="36" xfId="5" applyBorder="1" applyAlignment="1">
      <alignment horizontal="center"/>
    </xf>
    <xf numFmtId="0" fontId="163" fillId="0" borderId="59" xfId="5" applyBorder="1" applyAlignment="1">
      <alignment horizontal="center"/>
    </xf>
    <xf numFmtId="0" fontId="163" fillId="0" borderId="274" xfId="5" applyBorder="1" applyAlignment="1">
      <alignment horizontal="left"/>
    </xf>
    <xf numFmtId="0" fontId="163" fillId="0" borderId="275" xfId="5" applyBorder="1" applyAlignment="1">
      <alignment horizontal="left"/>
    </xf>
    <xf numFmtId="0" fontId="163" fillId="0" borderId="53" xfId="5" applyBorder="1" applyAlignment="1">
      <alignment horizontal="center"/>
    </xf>
    <xf numFmtId="0" fontId="163" fillId="0" borderId="279" xfId="5" applyBorder="1" applyAlignment="1">
      <alignment horizontal="center"/>
    </xf>
    <xf numFmtId="0" fontId="163" fillId="0" borderId="279" xfId="5" applyFont="1" applyBorder="1" applyAlignment="1">
      <alignment horizontal="center"/>
    </xf>
    <xf numFmtId="186" fontId="163" fillId="0" borderId="277" xfId="5" applyNumberFormat="1" applyFont="1" applyBorder="1" applyAlignment="1">
      <alignment horizontal="center"/>
    </xf>
    <xf numFmtId="0" fontId="20" fillId="0" borderId="277" xfId="5" applyFont="1" applyBorder="1" applyAlignment="1">
      <alignment horizontal="center"/>
    </xf>
    <xf numFmtId="0" fontId="163" fillId="0" borderId="277" xfId="5" applyFont="1" applyBorder="1" applyAlignment="1">
      <alignment horizontal="center"/>
    </xf>
    <xf numFmtId="0" fontId="163" fillId="0" borderId="275" xfId="5" applyBorder="1" applyAlignment="1">
      <alignment horizontal="center"/>
    </xf>
    <xf numFmtId="0" fontId="163" fillId="0" borderId="281" xfId="5" applyBorder="1" applyAlignment="1">
      <alignment horizontal="center"/>
    </xf>
    <xf numFmtId="0" fontId="19" fillId="0" borderId="0" xfId="5" applyFont="1" applyAlignment="1">
      <alignment horizontal="center"/>
    </xf>
    <xf numFmtId="0" fontId="163" fillId="0" borderId="275" xfId="5" applyFont="1" applyBorder="1" applyAlignment="1">
      <alignment horizontal="center"/>
    </xf>
    <xf numFmtId="0" fontId="30" fillId="62" borderId="125" xfId="0" applyFont="1" applyFill="1" applyBorder="1" applyAlignment="1">
      <alignment horizontal="center" vertical="center"/>
    </xf>
    <xf numFmtId="0" fontId="30" fillId="2" borderId="125" xfId="0" applyFont="1" applyFill="1" applyBorder="1" applyAlignment="1">
      <alignment horizontal="center" vertical="center" wrapText="1"/>
    </xf>
    <xf numFmtId="0" fontId="30" fillId="2" borderId="125" xfId="0" applyFont="1" applyFill="1" applyBorder="1" applyAlignment="1">
      <alignment horizontal="left" vertical="center"/>
    </xf>
    <xf numFmtId="11" fontId="30" fillId="2" borderId="125" xfId="0" applyNumberFormat="1" applyFont="1" applyFill="1" applyBorder="1" applyAlignment="1">
      <alignment horizontal="center" vertical="center" wrapText="1"/>
    </xf>
    <xf numFmtId="176" fontId="30" fillId="2" borderId="125" xfId="0" applyNumberFormat="1" applyFont="1" applyFill="1" applyBorder="1" applyAlignment="1">
      <alignment horizontal="center" vertical="center"/>
    </xf>
    <xf numFmtId="0" fontId="291" fillId="44" borderId="0" xfId="0" applyFont="1" applyFill="1" applyAlignment="1">
      <alignment horizontal="center" vertical="center"/>
    </xf>
    <xf numFmtId="0" fontId="277" fillId="0" borderId="2" xfId="8" applyFont="1" applyBorder="1" applyAlignment="1">
      <alignment horizontal="center" vertical="center"/>
    </xf>
    <xf numFmtId="0" fontId="277" fillId="0" borderId="3" xfId="8" applyFont="1" applyBorder="1" applyAlignment="1">
      <alignment horizontal="center" vertical="center"/>
    </xf>
    <xf numFmtId="0" fontId="277" fillId="0" borderId="29" xfId="8" applyFont="1" applyBorder="1" applyAlignment="1">
      <alignment horizontal="center" vertical="center"/>
    </xf>
    <xf numFmtId="0" fontId="277" fillId="0" borderId="22" xfId="8" applyFont="1" applyBorder="1" applyAlignment="1">
      <alignment horizontal="center" vertical="center"/>
    </xf>
    <xf numFmtId="0" fontId="277" fillId="0" borderId="23" xfId="8" applyFont="1" applyBorder="1" applyAlignment="1">
      <alignment horizontal="center" vertical="center"/>
    </xf>
    <xf numFmtId="0" fontId="277" fillId="0" borderId="35" xfId="8" applyFont="1" applyBorder="1" applyAlignment="1">
      <alignment horizontal="center" vertical="center"/>
    </xf>
    <xf numFmtId="0" fontId="278" fillId="2" borderId="2" xfId="8" applyFont="1" applyFill="1" applyBorder="1" applyAlignment="1">
      <alignment horizontal="center" vertical="center"/>
    </xf>
    <xf numFmtId="0" fontId="278" fillId="2" borderId="3" xfId="8" applyFont="1" applyFill="1" applyBorder="1" applyAlignment="1">
      <alignment horizontal="center" vertical="center"/>
    </xf>
    <xf numFmtId="0" fontId="278" fillId="2" borderId="29" xfId="8" applyFont="1" applyFill="1" applyBorder="1" applyAlignment="1">
      <alignment horizontal="center" vertical="center"/>
    </xf>
    <xf numFmtId="0" fontId="278" fillId="2" borderId="22" xfId="8" applyFont="1" applyFill="1" applyBorder="1" applyAlignment="1">
      <alignment horizontal="center" vertical="center"/>
    </xf>
    <xf numFmtId="0" fontId="278" fillId="2" borderId="23" xfId="8" applyFont="1" applyFill="1" applyBorder="1" applyAlignment="1">
      <alignment horizontal="center" vertical="center"/>
    </xf>
    <xf numFmtId="0" fontId="278" fillId="2" borderId="35" xfId="8" applyFont="1" applyFill="1" applyBorder="1" applyAlignment="1">
      <alignment horizontal="center" vertical="center"/>
    </xf>
    <xf numFmtId="0" fontId="14" fillId="56" borderId="45" xfId="8" applyFont="1" applyFill="1" applyBorder="1" applyAlignment="1">
      <alignment horizontal="center" vertical="center"/>
    </xf>
    <xf numFmtId="0" fontId="14" fillId="56" borderId="48" xfId="8" applyFont="1" applyFill="1" applyBorder="1" applyAlignment="1">
      <alignment horizontal="center" vertical="center"/>
    </xf>
    <xf numFmtId="0" fontId="14" fillId="60" borderId="120" xfId="8" applyFont="1" applyFill="1" applyBorder="1" applyAlignment="1">
      <alignment horizontal="center" vertical="center"/>
    </xf>
    <xf numFmtId="0" fontId="14" fillId="60" borderId="273" xfId="8" applyFont="1" applyFill="1" applyBorder="1" applyAlignment="1">
      <alignment horizontal="center" vertical="center"/>
    </xf>
    <xf numFmtId="0" fontId="14" fillId="58" borderId="157" xfId="8" applyFont="1" applyFill="1" applyBorder="1" applyAlignment="1">
      <alignment horizontal="center" vertical="center"/>
    </xf>
    <xf numFmtId="0" fontId="14" fillId="58" borderId="273" xfId="8" applyFont="1" applyFill="1" applyBorder="1" applyAlignment="1">
      <alignment horizontal="center" vertical="center"/>
    </xf>
    <xf numFmtId="0" fontId="14" fillId="60" borderId="157" xfId="8" applyFont="1" applyFill="1" applyBorder="1" applyAlignment="1">
      <alignment horizontal="center" vertical="center" wrapText="1"/>
    </xf>
    <xf numFmtId="0" fontId="14" fillId="58" borderId="157" xfId="8" applyFont="1" applyFill="1" applyBorder="1" applyAlignment="1">
      <alignment horizontal="center" vertical="center" wrapText="1"/>
    </xf>
    <xf numFmtId="0" fontId="14" fillId="58" borderId="120" xfId="8" applyFont="1" applyFill="1" applyBorder="1" applyAlignment="1">
      <alignment horizontal="center" vertical="center"/>
    </xf>
    <xf numFmtId="197" fontId="279" fillId="56" borderId="95" xfId="8" applyNumberFormat="1" applyFont="1" applyFill="1" applyBorder="1" applyAlignment="1">
      <alignment horizontal="center" vertical="center"/>
    </xf>
    <xf numFmtId="197" fontId="279" fillId="56" borderId="96" xfId="8" applyNumberFormat="1" applyFont="1" applyFill="1" applyBorder="1" applyAlignment="1">
      <alignment horizontal="center" vertical="center"/>
    </xf>
    <xf numFmtId="197" fontId="280" fillId="60" borderId="63" xfId="8" applyNumberFormat="1" applyFont="1" applyFill="1" applyBorder="1" applyAlignment="1">
      <alignment horizontal="center" vertical="center"/>
    </xf>
    <xf numFmtId="197" fontId="280" fillId="60" borderId="96" xfId="8" applyNumberFormat="1" applyFont="1" applyFill="1" applyBorder="1" applyAlignment="1">
      <alignment horizontal="center" vertical="center"/>
    </xf>
    <xf numFmtId="197" fontId="280" fillId="58" borderId="95" xfId="8" applyNumberFormat="1" applyFont="1" applyFill="1" applyBorder="1" applyAlignment="1">
      <alignment horizontal="center" vertical="center"/>
    </xf>
    <xf numFmtId="197" fontId="280" fillId="58" borderId="96" xfId="8" applyNumberFormat="1" applyFont="1" applyFill="1" applyBorder="1" applyAlignment="1">
      <alignment horizontal="center" vertical="center"/>
    </xf>
    <xf numFmtId="197" fontId="280" fillId="60" borderId="95" xfId="8" applyNumberFormat="1" applyFont="1" applyFill="1" applyBorder="1" applyAlignment="1">
      <alignment horizontal="center" vertical="center"/>
    </xf>
    <xf numFmtId="197" fontId="280" fillId="58" borderId="63" xfId="8" applyNumberFormat="1" applyFont="1" applyFill="1" applyBorder="1" applyAlignment="1">
      <alignment horizontal="center" vertical="center"/>
    </xf>
    <xf numFmtId="0" fontId="14" fillId="58" borderId="95" xfId="8" applyFont="1" applyFill="1" applyBorder="1" applyAlignment="1">
      <alignment horizontal="center" vertical="center" wrapText="1"/>
    </xf>
    <xf numFmtId="0" fontId="14" fillId="58" borderId="96" xfId="8" applyFont="1" applyFill="1" applyBorder="1" applyAlignment="1">
      <alignment horizontal="center" vertical="center"/>
    </xf>
    <xf numFmtId="0" fontId="14" fillId="60" borderId="95" xfId="8" applyFont="1" applyFill="1" applyBorder="1" applyAlignment="1">
      <alignment horizontal="center" vertical="center" wrapText="1"/>
    </xf>
    <xf numFmtId="0" fontId="14" fillId="60" borderId="63" xfId="8" applyFont="1" applyFill="1" applyBorder="1" applyAlignment="1">
      <alignment horizontal="center" vertical="center"/>
    </xf>
    <xf numFmtId="0" fontId="14" fillId="60" borderId="96" xfId="8" applyFont="1" applyFill="1" applyBorder="1" applyAlignment="1">
      <alignment horizontal="center" vertical="center"/>
    </xf>
    <xf numFmtId="0" fontId="14" fillId="58" borderId="63" xfId="8" applyFont="1" applyFill="1" applyBorder="1" applyAlignment="1">
      <alignment horizontal="center" vertical="center"/>
    </xf>
    <xf numFmtId="0" fontId="14" fillId="56" borderId="162" xfId="8" applyFont="1" applyFill="1" applyBorder="1" applyAlignment="1">
      <alignment horizontal="center" vertical="center"/>
    </xf>
    <xf numFmtId="0" fontId="14" fillId="56" borderId="153" xfId="8" applyFont="1" applyFill="1" applyBorder="1" applyAlignment="1">
      <alignment horizontal="center" vertical="center"/>
    </xf>
    <xf numFmtId="0" fontId="14" fillId="60" borderId="58" xfId="8" applyFont="1" applyFill="1" applyBorder="1" applyAlignment="1">
      <alignment horizontal="center" vertical="center"/>
    </xf>
    <xf numFmtId="0" fontId="14" fillId="60" borderId="186" xfId="8" applyFont="1" applyFill="1" applyBorder="1" applyAlignment="1">
      <alignment horizontal="center" vertical="center"/>
    </xf>
    <xf numFmtId="0" fontId="14" fillId="60" borderId="95" xfId="8" applyFont="1" applyFill="1" applyBorder="1" applyAlignment="1">
      <alignment horizontal="center" vertical="center"/>
    </xf>
    <xf numFmtId="0" fontId="14" fillId="58" borderId="95" xfId="8" applyFont="1" applyFill="1" applyBorder="1" applyAlignment="1">
      <alignment horizontal="center" vertical="center"/>
    </xf>
    <xf numFmtId="0" fontId="14" fillId="59" borderId="38" xfId="8" applyFont="1" applyFill="1" applyBorder="1" applyAlignment="1">
      <alignment horizontal="center" vertical="center"/>
    </xf>
    <xf numFmtId="0" fontId="14" fillId="59" borderId="40" xfId="8" applyFont="1" applyFill="1" applyBorder="1" applyAlignment="1">
      <alignment horizontal="center" vertical="center"/>
    </xf>
    <xf numFmtId="0" fontId="279" fillId="59" borderId="95" xfId="8" applyFont="1" applyFill="1" applyBorder="1" applyAlignment="1">
      <alignment horizontal="center" vertical="center"/>
    </xf>
    <xf numFmtId="0" fontId="279" fillId="59" borderId="96" xfId="8" applyFont="1" applyFill="1" applyBorder="1" applyAlignment="1">
      <alignment horizontal="center" vertical="center"/>
    </xf>
    <xf numFmtId="0" fontId="14" fillId="59" borderId="157" xfId="8" applyFont="1" applyFill="1" applyBorder="1" applyAlignment="1">
      <alignment horizontal="center" vertical="center"/>
    </xf>
    <xf numFmtId="0" fontId="14" fillId="59" borderId="273" xfId="8" applyFont="1" applyFill="1" applyBorder="1" applyAlignment="1">
      <alignment horizontal="center" vertical="center"/>
    </xf>
    <xf numFmtId="0" fontId="14" fillId="56" borderId="154" xfId="8" applyFont="1" applyFill="1" applyBorder="1" applyAlignment="1">
      <alignment horizontal="center" vertical="center"/>
    </xf>
    <xf numFmtId="0" fontId="14" fillId="56" borderId="264" xfId="8" applyFont="1" applyFill="1" applyBorder="1" applyAlignment="1">
      <alignment horizontal="center" vertical="center"/>
    </xf>
    <xf numFmtId="0" fontId="14" fillId="60" borderId="257" xfId="8" applyFont="1" applyFill="1" applyBorder="1" applyAlignment="1">
      <alignment horizontal="center" vertical="center" wrapText="1"/>
    </xf>
    <xf numFmtId="0" fontId="19" fillId="2" borderId="0" xfId="0" applyFont="1" applyFill="1" applyBorder="1" applyAlignment="1">
      <alignment horizontal="center" vertical="center"/>
    </xf>
    <xf numFmtId="0" fontId="285" fillId="54" borderId="1" xfId="0" applyFont="1" applyFill="1" applyBorder="1" applyAlignment="1">
      <alignment horizontal="center" vertical="center" wrapText="1"/>
    </xf>
    <xf numFmtId="0" fontId="286" fillId="54" borderId="1" xfId="0" applyFont="1" applyFill="1" applyBorder="1" applyAlignment="1">
      <alignment horizontal="center" vertical="center" wrapText="1"/>
    </xf>
    <xf numFmtId="0" fontId="283" fillId="2" borderId="2" xfId="0" applyFont="1" applyFill="1" applyBorder="1" applyAlignment="1">
      <alignment horizontal="center"/>
    </xf>
    <xf numFmtId="0" fontId="283" fillId="2" borderId="3" xfId="0" applyFont="1" applyFill="1" applyBorder="1" applyAlignment="1">
      <alignment horizontal="center"/>
    </xf>
    <xf numFmtId="0" fontId="283" fillId="2" borderId="29" xfId="0" applyFont="1" applyFill="1" applyBorder="1" applyAlignment="1">
      <alignment horizontal="center"/>
    </xf>
    <xf numFmtId="0" fontId="164" fillId="2" borderId="55" xfId="0" applyFont="1" applyFill="1" applyBorder="1" applyAlignment="1">
      <alignment horizontal="center"/>
    </xf>
    <xf numFmtId="0" fontId="164" fillId="2" borderId="56" xfId="0" applyFont="1" applyFill="1" applyBorder="1" applyAlignment="1">
      <alignment horizontal="center"/>
    </xf>
    <xf numFmtId="0" fontId="164" fillId="2" borderId="99" xfId="0" applyFont="1" applyFill="1" applyBorder="1" applyAlignment="1">
      <alignment horizontal="center"/>
    </xf>
    <xf numFmtId="0" fontId="14" fillId="56" borderId="45" xfId="0" applyFont="1" applyFill="1" applyBorder="1" applyAlignment="1">
      <alignment horizontal="center" vertical="center"/>
    </xf>
    <xf numFmtId="0" fontId="14" fillId="56" borderId="116" xfId="0" applyFont="1" applyFill="1" applyBorder="1" applyAlignment="1">
      <alignment horizontal="center" vertical="center"/>
    </xf>
    <xf numFmtId="0" fontId="14" fillId="5" borderId="157" xfId="0" applyFont="1" applyFill="1" applyBorder="1" applyAlignment="1">
      <alignment horizontal="center" vertical="center" wrapText="1"/>
    </xf>
    <xf numFmtId="0" fontId="14" fillId="5" borderId="120" xfId="0" applyFont="1" applyFill="1" applyBorder="1" applyAlignment="1">
      <alignment horizontal="center" vertical="center" wrapText="1"/>
    </xf>
    <xf numFmtId="0" fontId="14" fillId="5" borderId="273" xfId="0" applyFont="1" applyFill="1" applyBorder="1" applyAlignment="1">
      <alignment horizontal="center" vertical="center" wrapText="1"/>
    </xf>
    <xf numFmtId="0" fontId="277" fillId="0" borderId="2" xfId="0" applyFont="1" applyFill="1" applyBorder="1" applyAlignment="1">
      <alignment horizontal="center" vertical="center"/>
    </xf>
    <xf numFmtId="0" fontId="277" fillId="0" borderId="3" xfId="0" applyFont="1" applyFill="1" applyBorder="1" applyAlignment="1">
      <alignment horizontal="center" vertical="center"/>
    </xf>
    <xf numFmtId="0" fontId="277" fillId="0" borderId="29" xfId="0" applyFont="1" applyFill="1" applyBorder="1" applyAlignment="1">
      <alignment horizontal="center" vertical="center"/>
    </xf>
    <xf numFmtId="0" fontId="277" fillId="0" borderId="22" xfId="0" applyFont="1" applyFill="1" applyBorder="1" applyAlignment="1">
      <alignment horizontal="center" vertical="center"/>
    </xf>
    <xf numFmtId="0" fontId="277" fillId="0" borderId="23" xfId="0" applyFont="1" applyFill="1" applyBorder="1" applyAlignment="1">
      <alignment horizontal="center" vertical="center"/>
    </xf>
    <xf numFmtId="0" fontId="277" fillId="0" borderId="35" xfId="0" applyFont="1" applyFill="1" applyBorder="1" applyAlignment="1">
      <alignment horizontal="center" vertical="center"/>
    </xf>
    <xf numFmtId="0" fontId="278" fillId="2" borderId="2" xfId="0" applyFont="1" applyFill="1" applyBorder="1" applyAlignment="1">
      <alignment horizontal="center" vertical="center"/>
    </xf>
    <xf numFmtId="0" fontId="278" fillId="2" borderId="3" xfId="0" applyFont="1" applyFill="1" applyBorder="1" applyAlignment="1">
      <alignment horizontal="center" vertical="center"/>
    </xf>
    <xf numFmtId="0" fontId="278" fillId="2" borderId="29" xfId="0" applyFont="1" applyFill="1" applyBorder="1" applyAlignment="1">
      <alignment horizontal="center" vertical="center"/>
    </xf>
    <xf numFmtId="0" fontId="278" fillId="2" borderId="22" xfId="0" applyFont="1" applyFill="1" applyBorder="1" applyAlignment="1">
      <alignment horizontal="center" vertical="center"/>
    </xf>
    <xf numFmtId="0" fontId="278" fillId="2" borderId="23" xfId="0" applyFont="1" applyFill="1" applyBorder="1" applyAlignment="1">
      <alignment horizontal="center" vertical="center"/>
    </xf>
    <xf numFmtId="0" fontId="278" fillId="2" borderId="35" xfId="0" applyFont="1" applyFill="1" applyBorder="1" applyAlignment="1">
      <alignment horizontal="center" vertical="center"/>
    </xf>
    <xf numFmtId="181" fontId="280" fillId="5" borderId="74" xfId="0" applyNumberFormat="1" applyFont="1" applyFill="1" applyBorder="1" applyAlignment="1">
      <alignment horizontal="center" vertical="center"/>
    </xf>
    <xf numFmtId="181" fontId="280" fillId="5" borderId="36" xfId="0" applyNumberFormat="1" applyFont="1" applyFill="1" applyBorder="1" applyAlignment="1">
      <alignment horizontal="center" vertical="center"/>
    </xf>
    <xf numFmtId="181" fontId="280" fillId="5" borderId="96" xfId="0" applyNumberFormat="1" applyFont="1" applyFill="1" applyBorder="1" applyAlignment="1">
      <alignment horizontal="center" vertical="center"/>
    </xf>
    <xf numFmtId="189" fontId="279" fillId="56" borderId="95" xfId="0" applyNumberFormat="1" applyFont="1" applyFill="1" applyBorder="1" applyAlignment="1">
      <alignment horizontal="center" vertical="center"/>
    </xf>
    <xf numFmtId="189" fontId="279" fillId="56" borderId="63" xfId="0" applyNumberFormat="1" applyFont="1" applyFill="1" applyBorder="1" applyAlignment="1">
      <alignment horizontal="center" vertical="center"/>
    </xf>
    <xf numFmtId="181" fontId="280" fillId="5" borderId="95" xfId="0" applyNumberFormat="1" applyFont="1" applyFill="1" applyBorder="1" applyAlignment="1">
      <alignment horizontal="center" vertical="center"/>
    </xf>
    <xf numFmtId="0" fontId="14" fillId="5" borderId="74" xfId="0" applyFont="1" applyFill="1" applyBorder="1" applyAlignment="1">
      <alignment horizontal="center" vertical="center"/>
    </xf>
    <xf numFmtId="0" fontId="14" fillId="5" borderId="36" xfId="0" applyFont="1" applyFill="1" applyBorder="1" applyAlignment="1">
      <alignment horizontal="center" vertical="center"/>
    </xf>
    <xf numFmtId="0" fontId="14" fillId="5" borderId="96" xfId="0" applyFont="1" applyFill="1" applyBorder="1" applyAlignment="1">
      <alignment horizontal="center" vertical="center"/>
    </xf>
    <xf numFmtId="0" fontId="14" fillId="56" borderId="162" xfId="0" applyFont="1" applyFill="1" applyBorder="1" applyAlignment="1">
      <alignment horizontal="center" vertical="center"/>
    </xf>
    <xf numFmtId="0" fontId="14" fillId="56" borderId="56" xfId="0" applyFont="1" applyFill="1" applyBorder="1" applyAlignment="1">
      <alignment horizontal="center" vertical="center"/>
    </xf>
    <xf numFmtId="0" fontId="14" fillId="5" borderId="95" xfId="0" applyFont="1" applyFill="1" applyBorder="1" applyAlignment="1">
      <alignment horizontal="center" vertical="center"/>
    </xf>
    <xf numFmtId="0" fontId="14" fillId="0" borderId="0" xfId="0" applyFont="1" applyFill="1" applyAlignment="1">
      <alignment horizontal="left" vertical="center"/>
    </xf>
    <xf numFmtId="0" fontId="14" fillId="0" borderId="42" xfId="0" applyFont="1" applyFill="1" applyBorder="1" applyAlignment="1">
      <alignment horizontal="center" vertical="center"/>
    </xf>
    <xf numFmtId="0" fontId="14" fillId="55" borderId="38" xfId="0" applyFont="1" applyFill="1" applyBorder="1" applyAlignment="1">
      <alignment horizontal="center" vertical="center"/>
    </xf>
    <xf numFmtId="0" fontId="14" fillId="55" borderId="115" xfId="0" applyFont="1" applyFill="1" applyBorder="1" applyAlignment="1">
      <alignment horizontal="center" vertical="center"/>
    </xf>
    <xf numFmtId="0" fontId="14" fillId="5" borderId="154" xfId="0" applyFont="1" applyFill="1" applyBorder="1" applyAlignment="1">
      <alignment horizontal="center" vertical="center"/>
    </xf>
    <xf numFmtId="0" fontId="14" fillId="5" borderId="119" xfId="0" applyFont="1" applyFill="1" applyBorder="1" applyAlignment="1">
      <alignment horizontal="center" vertical="center"/>
    </xf>
    <xf numFmtId="0" fontId="14" fillId="5" borderId="52" xfId="0" applyFont="1" applyFill="1" applyBorder="1" applyAlignment="1">
      <alignment horizontal="center" vertical="center"/>
    </xf>
    <xf numFmtId="0" fontId="14" fillId="5" borderId="115" xfId="0" applyFont="1" applyFill="1" applyBorder="1" applyAlignment="1">
      <alignment horizontal="center" vertical="center"/>
    </xf>
    <xf numFmtId="0" fontId="14" fillId="5" borderId="264" xfId="0" applyFont="1" applyFill="1" applyBorder="1" applyAlignment="1">
      <alignment horizontal="center" vertical="center"/>
    </xf>
    <xf numFmtId="0" fontId="279" fillId="55" borderId="95" xfId="0" applyFont="1" applyFill="1" applyBorder="1" applyAlignment="1">
      <alignment horizontal="center" vertical="center"/>
    </xf>
    <xf numFmtId="0" fontId="279" fillId="55" borderId="63" xfId="0" applyFont="1" applyFill="1" applyBorder="1" applyAlignment="1">
      <alignment horizontal="center" vertical="center"/>
    </xf>
    <xf numFmtId="0" fontId="280" fillId="5" borderId="95" xfId="0" applyFont="1" applyFill="1" applyBorder="1" applyAlignment="1">
      <alignment horizontal="center" vertical="center"/>
    </xf>
    <xf numFmtId="0" fontId="280" fillId="5" borderId="63" xfId="0" applyFont="1" applyFill="1" applyBorder="1" applyAlignment="1">
      <alignment horizontal="center" vertical="center"/>
    </xf>
    <xf numFmtId="0" fontId="280" fillId="5" borderId="36" xfId="0" applyFont="1" applyFill="1" applyBorder="1" applyAlignment="1">
      <alignment horizontal="center" vertical="center"/>
    </xf>
    <xf numFmtId="0" fontId="280" fillId="5" borderId="74" xfId="0" applyFont="1" applyFill="1" applyBorder="1" applyAlignment="1">
      <alignment horizontal="center" vertical="center"/>
    </xf>
    <xf numFmtId="0" fontId="280" fillId="5" borderId="96" xfId="0" applyFont="1" applyFill="1" applyBorder="1" applyAlignment="1">
      <alignment horizontal="center" vertical="center"/>
    </xf>
    <xf numFmtId="0" fontId="14" fillId="55" borderId="157" xfId="0" applyFont="1" applyFill="1" applyBorder="1" applyAlignment="1">
      <alignment horizontal="center" vertical="center"/>
    </xf>
    <xf numFmtId="0" fontId="14" fillId="55" borderId="120" xfId="0" applyFont="1" applyFill="1" applyBorder="1" applyAlignment="1">
      <alignment horizontal="center" vertical="center"/>
    </xf>
    <xf numFmtId="0" fontId="14" fillId="5" borderId="44" xfId="0" applyFont="1" applyFill="1" applyBorder="1" applyAlignment="1">
      <alignment horizontal="center" vertical="center"/>
    </xf>
    <xf numFmtId="0" fontId="14" fillId="5" borderId="1" xfId="0" applyFont="1" applyFill="1" applyBorder="1" applyAlignment="1">
      <alignment horizontal="center" vertical="center"/>
    </xf>
    <xf numFmtId="0" fontId="14" fillId="5" borderId="47" xfId="0" applyFont="1" applyFill="1" applyBorder="1" applyAlignment="1">
      <alignment horizontal="center" vertical="center"/>
    </xf>
    <xf numFmtId="0" fontId="14" fillId="56" borderId="154" xfId="0" applyFont="1" applyFill="1" applyBorder="1" applyAlignment="1">
      <alignment horizontal="center" vertical="center"/>
    </xf>
    <xf numFmtId="0" fontId="14" fillId="56" borderId="119" xfId="0" applyFont="1" applyFill="1" applyBorder="1" applyAlignment="1">
      <alignment horizontal="center" vertical="center"/>
    </xf>
    <xf numFmtId="0" fontId="14" fillId="5" borderId="63" xfId="0" applyFont="1" applyFill="1" applyBorder="1" applyAlignment="1">
      <alignment horizontal="center" vertical="center"/>
    </xf>
    <xf numFmtId="0" fontId="14" fillId="56" borderId="48" xfId="0" applyFont="1" applyFill="1" applyBorder="1" applyAlignment="1">
      <alignment horizontal="center" vertical="center"/>
    </xf>
    <xf numFmtId="0" fontId="278" fillId="2" borderId="4" xfId="0" applyFont="1" applyFill="1" applyBorder="1" applyAlignment="1">
      <alignment horizontal="center" vertical="center"/>
    </xf>
    <xf numFmtId="0" fontId="278" fillId="2" borderId="0" xfId="0" applyFont="1" applyFill="1" applyBorder="1" applyAlignment="1">
      <alignment horizontal="center" vertical="center"/>
    </xf>
    <xf numFmtId="0" fontId="278" fillId="2" borderId="30" xfId="0" applyFont="1" applyFill="1" applyBorder="1" applyAlignment="1">
      <alignment horizontal="center" vertical="center"/>
    </xf>
    <xf numFmtId="189" fontId="279" fillId="56" borderId="96" xfId="0" applyNumberFormat="1" applyFont="1" applyFill="1" applyBorder="1" applyAlignment="1">
      <alignment horizontal="center" vertical="center"/>
    </xf>
    <xf numFmtId="181" fontId="280" fillId="5" borderId="63" xfId="0" applyNumberFormat="1" applyFont="1" applyFill="1" applyBorder="1" applyAlignment="1">
      <alignment horizontal="center" vertical="center"/>
    </xf>
    <xf numFmtId="0" fontId="14" fillId="56" borderId="153" xfId="0" applyFont="1" applyFill="1" applyBorder="1" applyAlignment="1">
      <alignment horizontal="center" vertical="center"/>
    </xf>
    <xf numFmtId="0" fontId="14" fillId="55" borderId="40" xfId="0" applyFont="1" applyFill="1" applyBorder="1" applyAlignment="1">
      <alignment horizontal="center" vertical="center"/>
    </xf>
    <xf numFmtId="0" fontId="279" fillId="55" borderId="96" xfId="0" applyFont="1" applyFill="1" applyBorder="1" applyAlignment="1">
      <alignment horizontal="center" vertical="center"/>
    </xf>
    <xf numFmtId="0" fontId="14" fillId="55" borderId="262" xfId="0" applyFont="1" applyFill="1" applyBorder="1" applyAlignment="1">
      <alignment horizontal="center" vertical="center"/>
    </xf>
    <xf numFmtId="0" fontId="14" fillId="55" borderId="187" xfId="0" applyFont="1" applyFill="1" applyBorder="1" applyAlignment="1">
      <alignment horizontal="center" vertical="center"/>
    </xf>
    <xf numFmtId="0" fontId="14" fillId="56" borderId="264" xfId="0" applyFont="1" applyFill="1" applyBorder="1" applyAlignment="1">
      <alignment horizontal="center" vertical="center"/>
    </xf>
    <xf numFmtId="0" fontId="14" fillId="5" borderId="116" xfId="0" applyFont="1" applyFill="1" applyBorder="1" applyAlignment="1">
      <alignment horizontal="center" vertical="center" wrapText="1"/>
    </xf>
    <xf numFmtId="0" fontId="14" fillId="5" borderId="64" xfId="0" applyFont="1" applyFill="1" applyBorder="1" applyAlignment="1">
      <alignment horizontal="center" vertical="center" wrapText="1"/>
    </xf>
    <xf numFmtId="0" fontId="14" fillId="0" borderId="0" xfId="0" applyFont="1" applyFill="1" applyAlignment="1">
      <alignment horizontal="left" vertical="center" wrapText="1"/>
    </xf>
    <xf numFmtId="197" fontId="280" fillId="57" borderId="95" xfId="0" applyNumberFormat="1" applyFont="1" applyFill="1" applyBorder="1" applyAlignment="1">
      <alignment horizontal="center" vertical="center"/>
    </xf>
    <xf numFmtId="197" fontId="280" fillId="57" borderId="63" xfId="0" applyNumberFormat="1" applyFont="1" applyFill="1" applyBorder="1" applyAlignment="1">
      <alignment horizontal="center" vertical="center"/>
    </xf>
    <xf numFmtId="197" fontId="280" fillId="57" borderId="96" xfId="0" applyNumberFormat="1" applyFont="1" applyFill="1" applyBorder="1" applyAlignment="1">
      <alignment horizontal="center" vertical="center"/>
    </xf>
    <xf numFmtId="0" fontId="14" fillId="57" borderId="45" xfId="0" applyFont="1" applyFill="1" applyBorder="1" applyAlignment="1">
      <alignment horizontal="center" vertical="center"/>
    </xf>
    <xf numFmtId="0" fontId="14" fillId="57" borderId="46" xfId="0" applyFont="1" applyFill="1" applyBorder="1" applyAlignment="1">
      <alignment horizontal="center" vertical="center"/>
    </xf>
    <xf numFmtId="0" fontId="14" fillId="58" borderId="157" xfId="0" applyFont="1" applyFill="1" applyBorder="1" applyAlignment="1">
      <alignment horizontal="center" vertical="center" wrapText="1"/>
    </xf>
    <xf numFmtId="0" fontId="14" fillId="58" borderId="120" xfId="0" applyFont="1" applyFill="1" applyBorder="1" applyAlignment="1">
      <alignment horizontal="center" vertical="center" wrapText="1"/>
    </xf>
    <xf numFmtId="0" fontId="14" fillId="58" borderId="273" xfId="0" applyFont="1" applyFill="1" applyBorder="1" applyAlignment="1">
      <alignment horizontal="center" vertical="center"/>
    </xf>
    <xf numFmtId="0" fontId="14" fillId="57" borderId="157" xfId="0" applyFont="1" applyFill="1" applyBorder="1" applyAlignment="1">
      <alignment horizontal="center" vertical="center" wrapText="1"/>
    </xf>
    <xf numFmtId="0" fontId="14" fillId="57" borderId="120" xfId="0" applyFont="1" applyFill="1" applyBorder="1" applyAlignment="1">
      <alignment horizontal="center" vertical="center" wrapText="1"/>
    </xf>
    <xf numFmtId="0" fontId="14" fillId="57" borderId="120" xfId="0" applyFont="1" applyFill="1" applyBorder="1" applyAlignment="1">
      <alignment horizontal="center" vertical="center"/>
    </xf>
    <xf numFmtId="0" fontId="14" fillId="57" borderId="273" xfId="0" applyFont="1" applyFill="1" applyBorder="1" applyAlignment="1">
      <alignment horizontal="center" vertical="center"/>
    </xf>
    <xf numFmtId="0" fontId="14" fillId="58" borderId="157" xfId="0" applyFont="1" applyFill="1" applyBorder="1" applyAlignment="1">
      <alignment horizontal="center" vertical="center"/>
    </xf>
    <xf numFmtId="0" fontId="14" fillId="58" borderId="120" xfId="0" applyFont="1" applyFill="1" applyBorder="1" applyAlignment="1">
      <alignment horizontal="center" vertical="center"/>
    </xf>
    <xf numFmtId="197" fontId="279" fillId="56" borderId="95" xfId="0" applyNumberFormat="1" applyFont="1" applyFill="1" applyBorder="1" applyAlignment="1">
      <alignment horizontal="center" vertical="center"/>
    </xf>
    <xf numFmtId="197" fontId="279" fillId="56" borderId="63" xfId="0" applyNumberFormat="1" applyFont="1" applyFill="1" applyBorder="1" applyAlignment="1">
      <alignment horizontal="center" vertical="center"/>
    </xf>
    <xf numFmtId="197" fontId="280" fillId="57" borderId="44" xfId="0" applyNumberFormat="1" applyFont="1" applyFill="1" applyBorder="1" applyAlignment="1">
      <alignment horizontal="center" vertical="center"/>
    </xf>
    <xf numFmtId="197" fontId="280" fillId="57" borderId="1" xfId="0" applyNumberFormat="1" applyFont="1" applyFill="1" applyBorder="1" applyAlignment="1">
      <alignment horizontal="center" vertical="center"/>
    </xf>
    <xf numFmtId="197" fontId="280" fillId="58" borderId="95" xfId="0" applyNumberFormat="1" applyFont="1" applyFill="1" applyBorder="1" applyAlignment="1">
      <alignment horizontal="center" vertical="center"/>
    </xf>
    <xf numFmtId="197" fontId="280" fillId="58" borderId="63" xfId="0" applyNumberFormat="1" applyFont="1" applyFill="1" applyBorder="1" applyAlignment="1">
      <alignment horizontal="center" vertical="center"/>
    </xf>
    <xf numFmtId="197" fontId="280" fillId="58" borderId="96" xfId="0" applyNumberFormat="1" applyFont="1" applyFill="1" applyBorder="1" applyAlignment="1">
      <alignment horizontal="center" vertical="center"/>
    </xf>
    <xf numFmtId="0" fontId="14" fillId="57" borderId="95" xfId="0" applyFont="1" applyFill="1" applyBorder="1" applyAlignment="1">
      <alignment horizontal="center" vertical="center"/>
    </xf>
    <xf numFmtId="0" fontId="14" fillId="57" borderId="63" xfId="0" applyFont="1" applyFill="1" applyBorder="1" applyAlignment="1">
      <alignment horizontal="center" vertical="center"/>
    </xf>
    <xf numFmtId="0" fontId="14" fillId="57" borderId="96" xfId="0" applyFont="1" applyFill="1" applyBorder="1" applyAlignment="1">
      <alignment horizontal="center" vertical="center"/>
    </xf>
    <xf numFmtId="0" fontId="14" fillId="57" borderId="44" xfId="0" applyFont="1" applyFill="1" applyBorder="1" applyAlignment="1">
      <alignment horizontal="center" vertical="center"/>
    </xf>
    <xf numFmtId="0" fontId="14" fillId="57" borderId="1" xfId="0" applyFont="1" applyFill="1" applyBorder="1" applyAlignment="1">
      <alignment horizontal="center" vertical="center"/>
    </xf>
    <xf numFmtId="0" fontId="14" fillId="58" borderId="95" xfId="0" applyFont="1" applyFill="1" applyBorder="1" applyAlignment="1">
      <alignment horizontal="center" vertical="center"/>
    </xf>
    <xf numFmtId="0" fontId="14" fillId="58" borderId="63" xfId="0" applyFont="1" applyFill="1" applyBorder="1" applyAlignment="1">
      <alignment horizontal="center" vertical="center"/>
    </xf>
    <xf numFmtId="0" fontId="14" fillId="58" borderId="96" xfId="0" applyFont="1" applyFill="1" applyBorder="1" applyAlignment="1">
      <alignment horizontal="center" vertical="center"/>
    </xf>
    <xf numFmtId="0" fontId="0" fillId="0" borderId="0" xfId="0"/>
    <xf numFmtId="0" fontId="0" fillId="0" borderId="2" xfId="0" applyBorder="1"/>
    <xf numFmtId="0" fontId="0" fillId="0" borderId="29" xfId="0" applyBorder="1"/>
    <xf numFmtId="0" fontId="0" fillId="0" borderId="4" xfId="0" applyBorder="1"/>
    <xf numFmtId="0" fontId="0" fillId="25" borderId="0" xfId="0" applyFill="1"/>
    <xf numFmtId="0" fontId="273" fillId="2" borderId="0" xfId="0" applyFont="1" applyFill="1" applyAlignment="1">
      <alignment horizontal="center" vertical="center"/>
    </xf>
    <xf numFmtId="0" fontId="158" fillId="0" borderId="0" xfId="0" applyFont="1" applyFill="1" applyAlignment="1">
      <alignment horizontal="center" vertical="center"/>
    </xf>
    <xf numFmtId="0" fontId="270" fillId="0" borderId="1" xfId="0" applyFont="1" applyFill="1" applyBorder="1" applyAlignment="1">
      <alignment horizontal="center" vertical="center"/>
    </xf>
    <xf numFmtId="0" fontId="0" fillId="0" borderId="1" xfId="0" applyFill="1" applyBorder="1" applyAlignment="1">
      <alignment horizontal="left" vertical="center"/>
    </xf>
    <xf numFmtId="0" fontId="265" fillId="0" borderId="0" xfId="0" applyFont="1" applyAlignment="1">
      <alignment horizontal="center" vertical="center"/>
    </xf>
    <xf numFmtId="0" fontId="30" fillId="0" borderId="0" xfId="0" applyFont="1" applyAlignment="1">
      <alignment horizontal="center" vertical="center"/>
    </xf>
    <xf numFmtId="0" fontId="231" fillId="20" borderId="1" xfId="0" applyFont="1" applyFill="1" applyBorder="1" applyAlignment="1">
      <alignment horizontal="left" vertical="center" wrapText="1" shrinkToFit="1"/>
    </xf>
    <xf numFmtId="0" fontId="263" fillId="17" borderId="1" xfId="0" applyFont="1" applyFill="1" applyBorder="1" applyAlignment="1">
      <alignment horizontal="center" vertical="center"/>
    </xf>
    <xf numFmtId="0" fontId="264" fillId="20" borderId="1" xfId="0" applyFont="1" applyFill="1" applyBorder="1" applyAlignment="1">
      <alignment horizontal="left" vertical="center" wrapText="1" shrinkToFit="1"/>
    </xf>
    <xf numFmtId="0" fontId="260" fillId="0" borderId="0" xfId="0" applyFont="1" applyAlignment="1">
      <alignment horizontal="center" vertical="center"/>
    </xf>
    <xf numFmtId="0" fontId="265" fillId="0" borderId="0" xfId="0" applyFont="1" applyAlignment="1">
      <alignment horizontal="center"/>
    </xf>
    <xf numFmtId="0" fontId="231" fillId="20" borderId="1" xfId="0" applyFont="1" applyFill="1" applyBorder="1" applyAlignment="1">
      <alignment horizontal="left" vertical="center" wrapText="1"/>
    </xf>
    <xf numFmtId="0" fontId="264" fillId="20" borderId="1" xfId="0" applyFont="1" applyFill="1" applyBorder="1" applyAlignment="1">
      <alignment horizontal="left" vertical="center" wrapText="1"/>
    </xf>
    <xf numFmtId="0" fontId="4" fillId="41" borderId="0" xfId="0" applyFont="1" applyFill="1" applyAlignment="1">
      <alignment horizontal="center" vertical="center"/>
    </xf>
    <xf numFmtId="0" fontId="256" fillId="46" borderId="0" xfId="0" applyFont="1" applyFill="1" applyAlignment="1">
      <alignment horizontal="center" vertical="center"/>
    </xf>
    <xf numFmtId="0" fontId="257" fillId="46" borderId="0" xfId="0" applyFont="1" applyFill="1" applyAlignment="1">
      <alignment horizontal="center" vertical="center"/>
    </xf>
    <xf numFmtId="0" fontId="0" fillId="0" borderId="265" xfId="0" applyFont="1" applyFill="1" applyBorder="1" applyAlignment="1">
      <alignment horizontal="center" vertical="center"/>
    </xf>
    <xf numFmtId="0" fontId="258" fillId="0" borderId="267" xfId="0" applyFont="1" applyFill="1" applyBorder="1" applyAlignment="1">
      <alignment horizontal="center" vertical="center"/>
    </xf>
    <xf numFmtId="0" fontId="258" fillId="0" borderId="268" xfId="0" applyFont="1" applyFill="1" applyBorder="1" applyAlignment="1">
      <alignment horizontal="center" vertical="center"/>
    </xf>
    <xf numFmtId="0" fontId="29" fillId="15" borderId="23" xfId="0" applyFont="1" applyFill="1" applyBorder="1" applyAlignment="1">
      <alignment horizontal="center" vertical="center"/>
    </xf>
    <xf numFmtId="0" fontId="93" fillId="0" borderId="44" xfId="0" applyFont="1" applyBorder="1" applyAlignment="1">
      <alignment horizontal="center" vertical="center"/>
    </xf>
    <xf numFmtId="0" fontId="93" fillId="0" borderId="45" xfId="0" applyFont="1" applyBorder="1" applyAlignment="1">
      <alignment horizontal="center" vertical="center"/>
    </xf>
    <xf numFmtId="0" fontId="211" fillId="0" borderId="154" xfId="0" applyFont="1" applyBorder="1" applyAlignment="1">
      <alignment horizontal="center" vertical="center"/>
    </xf>
    <xf numFmtId="0" fontId="211" fillId="0" borderId="264" xfId="0" applyFont="1" applyBorder="1" applyAlignment="1">
      <alignment horizontal="center" vertical="center"/>
    </xf>
    <xf numFmtId="0" fontId="187" fillId="8" borderId="0" xfId="0" applyFont="1" applyFill="1" applyAlignment="1">
      <alignment horizontal="center" vertical="center"/>
    </xf>
    <xf numFmtId="0" fontId="187" fillId="0" borderId="0" xfId="0" applyFont="1" applyFill="1" applyAlignment="1">
      <alignment horizontal="center" vertical="center"/>
    </xf>
    <xf numFmtId="0" fontId="19" fillId="38" borderId="0" xfId="0" applyFont="1" applyFill="1" applyAlignment="1">
      <alignment horizontal="left" vertical="center"/>
    </xf>
    <xf numFmtId="0" fontId="0" fillId="38" borderId="0" xfId="0" applyFont="1" applyFill="1" applyAlignment="1">
      <alignment horizontal="left" vertical="center"/>
    </xf>
    <xf numFmtId="0" fontId="0" fillId="0" borderId="1" xfId="0" applyFont="1" applyFill="1" applyBorder="1" applyAlignment="1">
      <alignment horizontal="left" vertical="center"/>
    </xf>
    <xf numFmtId="0" fontId="0" fillId="0" borderId="1" xfId="0" applyFont="1" applyFill="1" applyBorder="1" applyAlignment="1">
      <alignment horizontal="center" vertical="center"/>
    </xf>
    <xf numFmtId="0" fontId="122" fillId="13" borderId="0" xfId="0" applyNumberFormat="1" applyFont="1" applyFill="1" applyAlignment="1">
      <alignment horizontal="center" vertical="center" textRotation="255"/>
    </xf>
    <xf numFmtId="0" fontId="251" fillId="8" borderId="2" xfId="0" applyFont="1" applyFill="1" applyBorder="1" applyAlignment="1" applyProtection="1">
      <alignment horizontal="center" vertical="center"/>
    </xf>
    <xf numFmtId="0" fontId="251" fillId="8" borderId="3" xfId="0" applyFont="1" applyFill="1" applyBorder="1" applyAlignment="1" applyProtection="1">
      <alignment horizontal="center" vertical="center"/>
    </xf>
    <xf numFmtId="0" fontId="249" fillId="8" borderId="0" xfId="0" applyFont="1" applyFill="1" applyAlignment="1">
      <alignment horizontal="center" vertical="center"/>
    </xf>
    <xf numFmtId="0" fontId="0" fillId="8" borderId="0" xfId="0" applyFill="1" applyAlignment="1">
      <alignment horizontal="center" vertical="center"/>
    </xf>
    <xf numFmtId="0" fontId="19" fillId="14" borderId="0" xfId="0" applyFont="1" applyFill="1" applyAlignment="1">
      <alignment horizontal="left" vertical="center"/>
    </xf>
    <xf numFmtId="0" fontId="0" fillId="14" borderId="0" xfId="0" applyFill="1" applyAlignment="1">
      <alignment horizontal="left" vertical="center"/>
    </xf>
    <xf numFmtId="0" fontId="248" fillId="8" borderId="0" xfId="0" applyFont="1" applyFill="1" applyAlignment="1">
      <alignment horizontal="center" vertical="center"/>
    </xf>
    <xf numFmtId="0" fontId="152" fillId="8" borderId="0" xfId="0" applyFont="1" applyFill="1" applyAlignment="1">
      <alignment horizontal="center" vertical="center"/>
    </xf>
    <xf numFmtId="0" fontId="161" fillId="0" borderId="146" xfId="0" applyFont="1" applyBorder="1" applyAlignment="1">
      <alignment horizontal="center"/>
    </xf>
    <xf numFmtId="0" fontId="245" fillId="0" borderId="146" xfId="0" applyFont="1" applyBorder="1" applyAlignment="1">
      <alignment horizontal="center"/>
    </xf>
    <xf numFmtId="0" fontId="0" fillId="0" borderId="146" xfId="0" applyBorder="1" applyAlignment="1">
      <alignment horizontal="center"/>
    </xf>
    <xf numFmtId="0" fontId="243" fillId="0" borderId="41" xfId="0" applyFont="1" applyBorder="1" applyAlignment="1">
      <alignment horizontal="center"/>
    </xf>
    <xf numFmtId="0" fontId="152" fillId="0" borderId="42" xfId="0" applyFont="1" applyBorder="1" applyAlignment="1">
      <alignment horizontal="center"/>
    </xf>
    <xf numFmtId="0" fontId="152" fillId="0" borderId="43"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29" xfId="0" applyBorder="1" applyAlignment="1">
      <alignment horizontal="center"/>
    </xf>
    <xf numFmtId="0" fontId="152" fillId="0" borderId="41" xfId="0" applyFont="1" applyBorder="1" applyAlignment="1">
      <alignment horizontal="center"/>
    </xf>
    <xf numFmtId="0" fontId="45" fillId="0" borderId="41" xfId="0" applyFont="1" applyBorder="1" applyAlignment="1">
      <alignment horizontal="center"/>
    </xf>
    <xf numFmtId="0" fontId="73" fillId="0" borderId="41" xfId="0" applyFont="1" applyBorder="1" applyAlignment="1">
      <alignment horizontal="center"/>
    </xf>
    <xf numFmtId="0" fontId="73" fillId="0" borderId="42" xfId="0" applyFont="1" applyBorder="1" applyAlignment="1">
      <alignment horizontal="center"/>
    </xf>
    <xf numFmtId="0" fontId="73" fillId="0" borderId="43" xfId="0" applyFont="1" applyBorder="1" applyAlignment="1">
      <alignment horizontal="center"/>
    </xf>
    <xf numFmtId="0" fontId="241" fillId="32" borderId="41" xfId="0" applyFont="1" applyFill="1" applyBorder="1" applyAlignment="1">
      <alignment horizontal="center"/>
    </xf>
    <xf numFmtId="0" fontId="161" fillId="32" borderId="42" xfId="0" applyFont="1" applyFill="1" applyBorder="1" applyAlignment="1">
      <alignment horizontal="center"/>
    </xf>
    <xf numFmtId="0" fontId="161" fillId="32" borderId="43" xfId="0" applyFont="1" applyFill="1" applyBorder="1" applyAlignment="1">
      <alignment horizontal="center"/>
    </xf>
    <xf numFmtId="0" fontId="0" fillId="10" borderId="2" xfId="0" applyFill="1" applyBorder="1" applyAlignment="1">
      <alignment horizontal="center"/>
    </xf>
    <xf numFmtId="0" fontId="0" fillId="10" borderId="3" xfId="0" applyFill="1" applyBorder="1" applyAlignment="1">
      <alignment horizontal="center"/>
    </xf>
    <xf numFmtId="0" fontId="0" fillId="10" borderId="29" xfId="0" applyFill="1" applyBorder="1" applyAlignment="1">
      <alignment horizontal="center"/>
    </xf>
    <xf numFmtId="0" fontId="236" fillId="32" borderId="0" xfId="0" applyFont="1" applyFill="1" applyAlignment="1">
      <alignment horizontal="center" vertical="center"/>
    </xf>
    <xf numFmtId="0" fontId="0" fillId="32" borderId="0" xfId="0" applyFill="1" applyAlignment="1">
      <alignment horizontal="center" vertical="center"/>
    </xf>
    <xf numFmtId="0" fontId="161" fillId="0" borderId="37" xfId="0" applyFont="1" applyBorder="1" applyAlignment="1">
      <alignment horizontal="center"/>
    </xf>
    <xf numFmtId="0" fontId="115" fillId="0" borderId="55" xfId="0" applyFont="1" applyFill="1" applyBorder="1" applyAlignment="1">
      <alignment horizontal="center" vertical="center"/>
    </xf>
    <xf numFmtId="0" fontId="115" fillId="0" borderId="56" xfId="0" applyFont="1" applyFill="1" applyBorder="1" applyAlignment="1">
      <alignment horizontal="center" vertical="center"/>
    </xf>
    <xf numFmtId="0" fontId="0" fillId="0" borderId="54" xfId="0" applyFill="1" applyBorder="1" applyAlignment="1">
      <alignment horizontal="center" vertical="center"/>
    </xf>
    <xf numFmtId="0" fontId="0" fillId="0" borderId="94" xfId="0" applyFill="1" applyBorder="1" applyAlignment="1">
      <alignment horizontal="center" vertical="center"/>
    </xf>
    <xf numFmtId="0" fontId="0" fillId="0" borderId="93" xfId="0" applyFill="1" applyBorder="1" applyAlignment="1">
      <alignment horizontal="center" vertical="center"/>
    </xf>
    <xf numFmtId="179" fontId="0" fillId="0" borderId="93" xfId="0" applyNumberFormat="1" applyFill="1" applyBorder="1" applyAlignment="1">
      <alignment horizontal="center" vertical="center"/>
    </xf>
    <xf numFmtId="179" fontId="0" fillId="0" borderId="54" xfId="0" applyNumberFormat="1" applyFill="1" applyBorder="1" applyAlignment="1">
      <alignment horizontal="center" vertical="center"/>
    </xf>
    <xf numFmtId="179" fontId="0" fillId="0" borderId="94" xfId="0" applyNumberFormat="1" applyFill="1" applyBorder="1" applyAlignment="1">
      <alignment horizontal="center" vertical="center"/>
    </xf>
    <xf numFmtId="0" fontId="30" fillId="0" borderId="55" xfId="0" applyFont="1" applyFill="1" applyBorder="1" applyAlignment="1">
      <alignment horizontal="center" vertical="center"/>
    </xf>
    <xf numFmtId="0" fontId="30" fillId="0" borderId="56" xfId="0" applyFont="1" applyFill="1" applyBorder="1" applyAlignment="1">
      <alignment horizontal="center" vertical="center"/>
    </xf>
    <xf numFmtId="0" fontId="30" fillId="0" borderId="57" xfId="0" applyFont="1" applyFill="1" applyBorder="1" applyAlignment="1">
      <alignment horizontal="center" vertical="center"/>
    </xf>
    <xf numFmtId="0" fontId="30" fillId="0" borderId="58" xfId="0" applyFont="1" applyFill="1" applyBorder="1" applyAlignment="1">
      <alignment horizontal="center" vertical="center"/>
    </xf>
    <xf numFmtId="0" fontId="30" fillId="0" borderId="59" xfId="0" applyFont="1" applyFill="1" applyBorder="1" applyAlignment="1">
      <alignment horizontal="center" vertical="center"/>
    </xf>
    <xf numFmtId="0" fontId="30" fillId="0" borderId="60" xfId="0" applyFont="1" applyFill="1" applyBorder="1" applyAlignment="1">
      <alignment horizontal="center" vertical="center"/>
    </xf>
    <xf numFmtId="0" fontId="0" fillId="0" borderId="1" xfId="0" applyFill="1" applyBorder="1" applyAlignment="1">
      <alignment horizontal="center" vertical="center"/>
    </xf>
    <xf numFmtId="0" fontId="25" fillId="0" borderId="1" xfId="0" applyFont="1" applyFill="1" applyBorder="1" applyAlignment="1">
      <alignment horizontal="left" vertical="center"/>
    </xf>
    <xf numFmtId="0" fontId="25" fillId="34" borderId="74" xfId="0" applyFont="1" applyFill="1" applyBorder="1" applyAlignment="1">
      <alignment horizontal="center" vertical="center" wrapText="1"/>
    </xf>
    <xf numFmtId="0" fontId="25" fillId="34" borderId="63" xfId="0" applyFont="1" applyFill="1" applyBorder="1" applyAlignment="1">
      <alignment horizontal="center" vertical="center" wrapText="1"/>
    </xf>
    <xf numFmtId="0" fontId="25" fillId="34" borderId="36" xfId="0" applyFont="1" applyFill="1" applyBorder="1" applyAlignment="1">
      <alignment horizontal="center" vertical="center" wrapText="1"/>
    </xf>
    <xf numFmtId="0" fontId="25" fillId="34" borderId="97" xfId="0" applyFont="1" applyFill="1" applyBorder="1" applyAlignment="1">
      <alignment horizontal="center" vertical="center" wrapText="1"/>
    </xf>
    <xf numFmtId="0" fontId="25" fillId="34" borderId="4" xfId="0" applyFont="1" applyFill="1" applyBorder="1" applyAlignment="1">
      <alignment horizontal="center" vertical="center" wrapText="1"/>
    </xf>
    <xf numFmtId="0" fontId="25" fillId="34" borderId="22" xfId="0" applyFont="1" applyFill="1" applyBorder="1" applyAlignment="1">
      <alignment horizontal="center" vertical="center" wrapText="1"/>
    </xf>
    <xf numFmtId="0" fontId="0" fillId="0" borderId="39" xfId="0" applyFill="1" applyBorder="1" applyAlignment="1">
      <alignment horizontal="center" vertical="center" wrapText="1"/>
    </xf>
    <xf numFmtId="0" fontId="25" fillId="15" borderId="1" xfId="0" applyFont="1" applyFill="1" applyBorder="1" applyAlignment="1">
      <alignment vertical="center" wrapText="1"/>
    </xf>
    <xf numFmtId="0" fontId="25" fillId="15" borderId="46" xfId="0" applyFont="1" applyFill="1" applyBorder="1" applyAlignment="1">
      <alignment vertical="center" wrapText="1"/>
    </xf>
    <xf numFmtId="0" fontId="25" fillId="15" borderId="46" xfId="0" applyFont="1" applyFill="1" applyBorder="1" applyAlignment="1">
      <alignment vertical="center"/>
    </xf>
    <xf numFmtId="0" fontId="25" fillId="15" borderId="1" xfId="0" applyFont="1" applyFill="1" applyBorder="1" applyAlignment="1">
      <alignment vertical="center"/>
    </xf>
    <xf numFmtId="0" fontId="25" fillId="34" borderId="93" xfId="0" applyFont="1" applyFill="1" applyBorder="1" applyAlignment="1">
      <alignment horizontal="center" vertical="center"/>
    </xf>
    <xf numFmtId="0" fontId="25" fillId="34" borderId="94" xfId="0" applyFont="1" applyFill="1" applyBorder="1" applyAlignment="1">
      <alignment horizontal="center" vertical="center"/>
    </xf>
    <xf numFmtId="0" fontId="0" fillId="0" borderId="39" xfId="0" applyFill="1" applyBorder="1" applyAlignment="1">
      <alignment horizontal="center" vertical="center"/>
    </xf>
    <xf numFmtId="0" fontId="19" fillId="8" borderId="4" xfId="0" applyFont="1" applyFill="1" applyBorder="1" applyAlignment="1">
      <alignment horizontal="center" vertical="center"/>
    </xf>
    <xf numFmtId="0" fontId="19" fillId="8" borderId="0" xfId="0" applyFont="1" applyFill="1" applyAlignment="1">
      <alignment horizontal="center" vertical="center"/>
    </xf>
    <xf numFmtId="0" fontId="157" fillId="15" borderId="54" xfId="0" applyFont="1" applyFill="1" applyBorder="1" applyAlignment="1">
      <alignment horizontal="center" vertical="center"/>
    </xf>
    <xf numFmtId="0" fontId="157" fillId="15" borderId="94" xfId="0" applyFont="1" applyFill="1" applyBorder="1" applyAlignment="1">
      <alignment horizontal="center" vertical="center"/>
    </xf>
    <xf numFmtId="0" fontId="25" fillId="15" borderId="39" xfId="0" applyFont="1" applyFill="1" applyBorder="1" applyAlignment="1">
      <alignment vertical="center"/>
    </xf>
    <xf numFmtId="0" fontId="0" fillId="0" borderId="93" xfId="0" applyFont="1" applyFill="1" applyBorder="1" applyAlignment="1">
      <alignment horizontal="center" vertical="center" wrapText="1"/>
    </xf>
    <xf numFmtId="0" fontId="0" fillId="0" borderId="54" xfId="0" applyFont="1" applyFill="1" applyBorder="1" applyAlignment="1">
      <alignment horizontal="center" vertical="center" wrapText="1"/>
    </xf>
    <xf numFmtId="0" fontId="0" fillId="0" borderId="94"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74" xfId="0" applyFont="1" applyFill="1" applyBorder="1" applyAlignment="1">
      <alignment horizontal="center" vertical="center" wrapText="1"/>
    </xf>
    <xf numFmtId="0" fontId="0" fillId="0" borderId="63" xfId="0" applyFont="1" applyFill="1" applyBorder="1" applyAlignment="1">
      <alignment horizontal="center" vertical="center" wrapText="1"/>
    </xf>
    <xf numFmtId="0" fontId="31" fillId="34" borderId="0" xfId="0" applyFont="1" applyFill="1" applyBorder="1" applyAlignment="1">
      <alignment horizontal="center" vertical="center"/>
    </xf>
    <xf numFmtId="0" fontId="90" fillId="0" borderId="162" xfId="0" applyFont="1" applyFill="1" applyBorder="1" applyAlignment="1">
      <alignment horizontal="center" vertical="center"/>
    </xf>
    <xf numFmtId="0" fontId="25" fillId="0" borderId="44" xfId="0" applyFont="1" applyFill="1" applyBorder="1" applyAlignment="1">
      <alignment horizontal="center" vertical="center"/>
    </xf>
    <xf numFmtId="0" fontId="0" fillId="0" borderId="39" xfId="0" applyFill="1" applyBorder="1" applyAlignment="1">
      <alignment vertical="center"/>
    </xf>
    <xf numFmtId="0" fontId="0" fillId="0" borderId="1" xfId="0" applyFill="1" applyBorder="1" applyAlignment="1">
      <alignment vertical="center"/>
    </xf>
    <xf numFmtId="0" fontId="0" fillId="0" borderId="40" xfId="0" applyFill="1" applyBorder="1" applyAlignment="1">
      <alignment vertical="center"/>
    </xf>
    <xf numFmtId="0" fontId="0" fillId="0" borderId="47" xfId="0" applyFill="1" applyBorder="1" applyAlignment="1">
      <alignment vertical="center"/>
    </xf>
    <xf numFmtId="0" fontId="0" fillId="0" borderId="52" xfId="0" applyFill="1" applyBorder="1" applyAlignment="1">
      <alignment vertical="center" wrapText="1"/>
    </xf>
    <xf numFmtId="0" fontId="0" fillId="0" borderId="63" xfId="0" applyFill="1" applyBorder="1" applyAlignment="1">
      <alignment horizontal="center" vertical="center"/>
    </xf>
    <xf numFmtId="0" fontId="0" fillId="0" borderId="36" xfId="0" applyFill="1" applyBorder="1" applyAlignment="1">
      <alignment horizontal="center" vertical="center"/>
    </xf>
    <xf numFmtId="0" fontId="0" fillId="15" borderId="1" xfId="0" applyFill="1" applyBorder="1" applyAlignment="1">
      <alignment horizontal="center" vertical="center"/>
    </xf>
    <xf numFmtId="0" fontId="38" fillId="0" borderId="36" xfId="0" applyFont="1" applyFill="1" applyBorder="1" applyAlignment="1">
      <alignment vertical="center" wrapText="1"/>
    </xf>
    <xf numFmtId="0" fontId="38" fillId="0" borderId="1" xfId="0" applyFont="1" applyFill="1" applyBorder="1" applyAlignment="1">
      <alignment vertical="center" wrapText="1"/>
    </xf>
    <xf numFmtId="0" fontId="0" fillId="15" borderId="39" xfId="0" applyFill="1" applyBorder="1" applyAlignment="1">
      <alignment horizontal="center" vertical="center" wrapText="1"/>
    </xf>
    <xf numFmtId="0" fontId="0" fillId="15" borderId="1" xfId="0" applyFill="1" applyBorder="1" applyAlignment="1">
      <alignment horizontal="center" vertical="center" wrapText="1"/>
    </xf>
    <xf numFmtId="0" fontId="0" fillId="0" borderId="39" xfId="0" applyFill="1" applyBorder="1" applyAlignment="1">
      <alignment vertical="center" wrapText="1"/>
    </xf>
    <xf numFmtId="0" fontId="0" fillId="0" borderId="1" xfId="0" applyFill="1" applyBorder="1" applyAlignment="1">
      <alignment vertical="center" wrapText="1"/>
    </xf>
    <xf numFmtId="0" fontId="0" fillId="15" borderId="117" xfId="0" applyFill="1" applyBorder="1" applyAlignment="1">
      <alignment horizontal="center" vertical="center"/>
    </xf>
    <xf numFmtId="0" fontId="0" fillId="15" borderId="54" xfId="0" applyFill="1" applyBorder="1" applyAlignment="1">
      <alignment horizontal="center" vertical="center"/>
    </xf>
    <xf numFmtId="0" fontId="0" fillId="15" borderId="94" xfId="0" applyFill="1" applyBorder="1" applyAlignment="1">
      <alignment horizontal="center" vertical="center"/>
    </xf>
    <xf numFmtId="0" fontId="90" fillId="0" borderId="47" xfId="0" applyFont="1" applyBorder="1" applyAlignment="1">
      <alignment horizontal="center" shrinkToFit="1"/>
    </xf>
    <xf numFmtId="0" fontId="90" fillId="0" borderId="48" xfId="0" applyFont="1" applyBorder="1" applyAlignment="1">
      <alignment horizontal="center" shrinkToFit="1"/>
    </xf>
    <xf numFmtId="0" fontId="211" fillId="0" borderId="59" xfId="0" applyFont="1" applyBorder="1" applyAlignment="1">
      <alignment horizontal="center"/>
    </xf>
    <xf numFmtId="0" fontId="211" fillId="0" borderId="53" xfId="0" applyFont="1" applyBorder="1" applyAlignment="1">
      <alignment horizontal="center"/>
    </xf>
    <xf numFmtId="0" fontId="30" fillId="0" borderId="53" xfId="0" applyFont="1" applyBorder="1" applyAlignment="1">
      <alignment horizontal="center"/>
    </xf>
    <xf numFmtId="0" fontId="30" fillId="0" borderId="60" xfId="0" applyFont="1" applyBorder="1" applyAlignment="1">
      <alignment horizontal="center"/>
    </xf>
    <xf numFmtId="0" fontId="211" fillId="0" borderId="93" xfId="0" applyFont="1" applyBorder="1" applyAlignment="1">
      <alignment horizontal="center"/>
    </xf>
    <xf numFmtId="0" fontId="211" fillId="0" borderId="54" xfId="0" applyFont="1" applyBorder="1" applyAlignment="1">
      <alignment horizontal="center"/>
    </xf>
    <xf numFmtId="0" fontId="30" fillId="0" borderId="54" xfId="0" applyFont="1" applyBorder="1" applyAlignment="1">
      <alignment horizontal="center"/>
    </xf>
    <xf numFmtId="0" fontId="30" fillId="0" borderId="94" xfId="0" applyFont="1" applyBorder="1" applyAlignment="1">
      <alignment horizontal="center"/>
    </xf>
    <xf numFmtId="0" fontId="211" fillId="10" borderId="2" xfId="0" applyFont="1" applyFill="1" applyBorder="1" applyAlignment="1">
      <alignment horizontal="center" vertical="center"/>
    </xf>
    <xf numFmtId="0" fontId="211" fillId="10" borderId="257" xfId="0" applyFont="1" applyFill="1" applyBorder="1" applyAlignment="1">
      <alignment horizontal="center" vertical="center"/>
    </xf>
    <xf numFmtId="0" fontId="211" fillId="10" borderId="98" xfId="0" applyFont="1" applyFill="1" applyBorder="1" applyAlignment="1">
      <alignment horizontal="center" vertical="center"/>
    </xf>
    <xf numFmtId="0" fontId="211" fillId="10" borderId="60" xfId="0" applyFont="1" applyFill="1" applyBorder="1" applyAlignment="1">
      <alignment horizontal="center" vertical="center"/>
    </xf>
    <xf numFmtId="0" fontId="211" fillId="15" borderId="258" xfId="0" applyFont="1" applyFill="1" applyBorder="1" applyAlignment="1">
      <alignment horizontal="center" vertical="center"/>
    </xf>
    <xf numFmtId="0" fontId="211" fillId="15" borderId="257" xfId="0" applyFont="1" applyFill="1" applyBorder="1" applyAlignment="1">
      <alignment horizontal="center" vertical="center"/>
    </xf>
    <xf numFmtId="0" fontId="211" fillId="15" borderId="259" xfId="0" applyFont="1" applyFill="1" applyBorder="1" applyAlignment="1">
      <alignment horizontal="center" vertical="center"/>
    </xf>
    <xf numFmtId="0" fontId="211" fillId="15" borderId="60" xfId="0" applyFont="1" applyFill="1" applyBorder="1" applyAlignment="1">
      <alignment horizontal="center" vertical="center"/>
    </xf>
    <xf numFmtId="0" fontId="211" fillId="14" borderId="38" xfId="0" applyFont="1" applyFill="1" applyBorder="1" applyAlignment="1">
      <alignment horizontal="center" vertical="center" shrinkToFit="1"/>
    </xf>
    <xf numFmtId="0" fontId="211" fillId="14" borderId="44" xfId="0" applyFont="1" applyFill="1" applyBorder="1" applyAlignment="1">
      <alignment horizontal="center" vertical="center" shrinkToFit="1"/>
    </xf>
    <xf numFmtId="0" fontId="211" fillId="14" borderId="39" xfId="0" applyFont="1" applyFill="1" applyBorder="1" applyAlignment="1">
      <alignment horizontal="center" vertical="center" shrinkToFit="1"/>
    </xf>
    <xf numFmtId="0" fontId="211" fillId="14" borderId="1" xfId="0" applyFont="1" applyFill="1" applyBorder="1" applyAlignment="1">
      <alignment horizontal="center" vertical="center" shrinkToFit="1"/>
    </xf>
    <xf numFmtId="0" fontId="22" fillId="0" borderId="155" xfId="0" applyFont="1" applyBorder="1" applyAlignment="1">
      <alignment horizontal="center" shrinkToFit="1"/>
    </xf>
    <xf numFmtId="0" fontId="90" fillId="0" borderId="153" xfId="0" applyFont="1" applyBorder="1" applyAlignment="1">
      <alignment horizontal="center" shrinkToFit="1"/>
    </xf>
    <xf numFmtId="0" fontId="90" fillId="0" borderId="156" xfId="0" applyFont="1" applyBorder="1" applyAlignment="1">
      <alignment horizontal="center" shrinkToFit="1"/>
    </xf>
    <xf numFmtId="178" fontId="90" fillId="0" borderId="156" xfId="0" applyNumberFormat="1" applyFont="1" applyBorder="1" applyAlignment="1">
      <alignment horizontal="center" shrinkToFit="1"/>
    </xf>
    <xf numFmtId="178" fontId="90" fillId="0" borderId="153" xfId="0" applyNumberFormat="1" applyFont="1" applyBorder="1" applyAlignment="1">
      <alignment horizontal="center" shrinkToFit="1"/>
    </xf>
    <xf numFmtId="178" fontId="90" fillId="0" borderId="62" xfId="0" applyNumberFormat="1" applyFont="1" applyBorder="1" applyAlignment="1">
      <alignment horizontal="center" shrinkToFit="1"/>
    </xf>
    <xf numFmtId="0" fontId="22" fillId="0" borderId="260" xfId="0" applyFont="1" applyBorder="1" applyAlignment="1">
      <alignment horizontal="center" shrinkToFit="1"/>
    </xf>
    <xf numFmtId="0" fontId="90" fillId="0" borderId="62" xfId="0" applyFont="1" applyBorder="1" applyAlignment="1">
      <alignment horizontal="center" shrinkToFit="1"/>
    </xf>
    <xf numFmtId="0" fontId="22" fillId="0" borderId="40" xfId="0" applyFont="1" applyBorder="1" applyAlignment="1">
      <alignment horizontal="center" shrinkToFit="1"/>
    </xf>
    <xf numFmtId="0" fontId="90" fillId="0" borderId="1" xfId="0" applyFont="1" applyBorder="1" applyAlignment="1">
      <alignment horizontal="center" shrinkToFit="1"/>
    </xf>
    <xf numFmtId="0" fontId="90" fillId="0" borderId="46" xfId="0" applyFont="1" applyBorder="1" applyAlignment="1">
      <alignment horizontal="center" shrinkToFit="1"/>
    </xf>
    <xf numFmtId="0" fontId="22" fillId="10" borderId="117" xfId="0" applyFont="1" applyFill="1" applyBorder="1" applyAlignment="1">
      <alignment horizontal="center" shrinkToFit="1"/>
    </xf>
    <xf numFmtId="0" fontId="90" fillId="10" borderId="94" xfId="0" applyFont="1" applyFill="1" applyBorder="1" applyAlignment="1">
      <alignment horizontal="center" shrinkToFit="1"/>
    </xf>
    <xf numFmtId="0" fontId="90" fillId="10" borderId="93" xfId="0" applyFont="1" applyFill="1" applyBorder="1" applyAlignment="1">
      <alignment horizontal="center" shrinkToFit="1"/>
    </xf>
    <xf numFmtId="178" fontId="90" fillId="10" borderId="93" xfId="0" applyNumberFormat="1" applyFont="1" applyFill="1" applyBorder="1" applyAlignment="1">
      <alignment horizontal="center" shrinkToFit="1"/>
    </xf>
    <xf numFmtId="178" fontId="90" fillId="10" borderId="94" xfId="0" applyNumberFormat="1" applyFont="1" applyFill="1" applyBorder="1" applyAlignment="1">
      <alignment horizontal="center" shrinkToFit="1"/>
    </xf>
    <xf numFmtId="178" fontId="90" fillId="10" borderId="54" xfId="0" applyNumberFormat="1" applyFont="1" applyFill="1" applyBorder="1" applyAlignment="1">
      <alignment horizontal="center" shrinkToFit="1"/>
    </xf>
    <xf numFmtId="0" fontId="22" fillId="15" borderId="130" xfId="0" applyFont="1" applyFill="1" applyBorder="1" applyAlignment="1">
      <alignment horizontal="center" shrinkToFit="1"/>
    </xf>
    <xf numFmtId="0" fontId="90" fillId="15" borderId="94" xfId="0" applyFont="1" applyFill="1" applyBorder="1" applyAlignment="1">
      <alignment horizontal="center" shrinkToFit="1"/>
    </xf>
    <xf numFmtId="0" fontId="90" fillId="15" borderId="93" xfId="0" applyFont="1" applyFill="1" applyBorder="1" applyAlignment="1">
      <alignment horizontal="center" shrinkToFit="1"/>
    </xf>
    <xf numFmtId="0" fontId="90" fillId="15" borderId="54" xfId="0" applyFont="1" applyFill="1" applyBorder="1" applyAlignment="1">
      <alignment horizontal="center" shrinkToFit="1"/>
    </xf>
    <xf numFmtId="0" fontId="22" fillId="14" borderId="39" xfId="0" applyFont="1" applyFill="1" applyBorder="1" applyAlignment="1">
      <alignment horizontal="center" shrinkToFit="1"/>
    </xf>
    <xf numFmtId="0" fontId="90" fillId="14" borderId="1" xfId="0" applyFont="1" applyFill="1" applyBorder="1" applyAlignment="1">
      <alignment horizontal="center" shrinkToFit="1"/>
    </xf>
    <xf numFmtId="0" fontId="90" fillId="14" borderId="46" xfId="0" applyFont="1" applyFill="1" applyBorder="1" applyAlignment="1">
      <alignment horizontal="center" shrinkToFit="1"/>
    </xf>
    <xf numFmtId="0" fontId="22" fillId="0" borderId="117" xfId="0" applyFont="1" applyBorder="1" applyAlignment="1">
      <alignment horizontal="center" shrinkToFit="1"/>
    </xf>
    <xf numFmtId="0" fontId="90" fillId="0" borderId="94" xfId="0" applyFont="1" applyBorder="1" applyAlignment="1">
      <alignment horizontal="center" shrinkToFit="1"/>
    </xf>
    <xf numFmtId="0" fontId="90" fillId="0" borderId="93" xfId="0" applyFont="1" applyBorder="1" applyAlignment="1">
      <alignment horizontal="center" shrinkToFit="1"/>
    </xf>
    <xf numFmtId="178" fontId="90" fillId="0" borderId="93" xfId="0" applyNumberFormat="1" applyFont="1" applyBorder="1" applyAlignment="1">
      <alignment horizontal="center" shrinkToFit="1"/>
    </xf>
    <xf numFmtId="178" fontId="90" fillId="0" borderId="94" xfId="0" applyNumberFormat="1" applyFont="1" applyBorder="1" applyAlignment="1">
      <alignment horizontal="center" shrinkToFit="1"/>
    </xf>
    <xf numFmtId="178" fontId="90" fillId="0" borderId="54" xfId="0" applyNumberFormat="1" applyFont="1" applyBorder="1" applyAlignment="1">
      <alignment horizontal="center" shrinkToFit="1"/>
    </xf>
    <xf numFmtId="0" fontId="22" fillId="0" borderId="130" xfId="0" applyFont="1" applyBorder="1" applyAlignment="1">
      <alignment horizontal="center" shrinkToFit="1"/>
    </xf>
    <xf numFmtId="0" fontId="90" fillId="0" borderId="54" xfId="0" applyFont="1" applyBorder="1" applyAlignment="1">
      <alignment horizontal="center" shrinkToFit="1"/>
    </xf>
    <xf numFmtId="0" fontId="22" fillId="0" borderId="39" xfId="0" applyFont="1" applyBorder="1" applyAlignment="1">
      <alignment horizontal="center" shrinkToFit="1"/>
    </xf>
    <xf numFmtId="0" fontId="90" fillId="0" borderId="1" xfId="0" applyFont="1" applyFill="1" applyBorder="1" applyAlignment="1">
      <alignment horizontal="center" shrinkToFit="1"/>
    </xf>
    <xf numFmtId="0" fontId="90" fillId="0" borderId="46" xfId="0" applyFont="1" applyFill="1" applyBorder="1" applyAlignment="1">
      <alignment horizontal="center" shrinkToFit="1"/>
    </xf>
    <xf numFmtId="0" fontId="22" fillId="0" borderId="39" xfId="0" applyFont="1" applyFill="1" applyBorder="1" applyAlignment="1">
      <alignment horizontal="center" shrinkToFit="1"/>
    </xf>
    <xf numFmtId="0" fontId="90" fillId="14" borderId="39" xfId="0" applyFont="1" applyFill="1" applyBorder="1" applyAlignment="1">
      <alignment horizontal="center" shrinkToFit="1"/>
    </xf>
    <xf numFmtId="0" fontId="228" fillId="32" borderId="2" xfId="0" applyFont="1" applyFill="1" applyBorder="1" applyAlignment="1">
      <alignment horizontal="center" vertical="center"/>
    </xf>
    <xf numFmtId="0" fontId="228" fillId="32" borderId="3" xfId="0" applyFont="1" applyFill="1" applyBorder="1" applyAlignment="1">
      <alignment horizontal="center" vertical="center"/>
    </xf>
    <xf numFmtId="0" fontId="228" fillId="32" borderId="29" xfId="0" applyFont="1" applyFill="1" applyBorder="1" applyAlignment="1">
      <alignment horizontal="center" vertical="center"/>
    </xf>
    <xf numFmtId="0" fontId="90" fillId="10" borderId="161" xfId="0" applyFont="1" applyFill="1" applyBorder="1" applyAlignment="1">
      <alignment horizontal="center"/>
    </xf>
    <xf numFmtId="0" fontId="90" fillId="10" borderId="151" xfId="0" applyFont="1" applyFill="1" applyBorder="1" applyAlignment="1">
      <alignment horizontal="center"/>
    </xf>
    <xf numFmtId="0" fontId="90" fillId="15" borderId="161" xfId="0" applyFont="1" applyFill="1" applyBorder="1" applyAlignment="1">
      <alignment horizontal="center"/>
    </xf>
    <xf numFmtId="0" fontId="90" fillId="15" borderId="151" xfId="0" applyFont="1" applyFill="1" applyBorder="1" applyAlignment="1">
      <alignment horizontal="center"/>
    </xf>
    <xf numFmtId="0" fontId="90" fillId="14" borderId="44" xfId="0" applyFont="1" applyFill="1" applyBorder="1" applyAlignment="1">
      <alignment horizontal="center"/>
    </xf>
    <xf numFmtId="0" fontId="90" fillId="14" borderId="45" xfId="0" applyFont="1" applyFill="1" applyBorder="1" applyAlignment="1">
      <alignment horizontal="center"/>
    </xf>
    <xf numFmtId="0" fontId="90" fillId="10" borderId="54" xfId="0" applyFont="1" applyFill="1" applyBorder="1" applyAlignment="1">
      <alignment horizontal="center"/>
    </xf>
    <xf numFmtId="0" fontId="90" fillId="10" borderId="94" xfId="0" applyFont="1" applyFill="1" applyBorder="1" applyAlignment="1">
      <alignment horizontal="center"/>
    </xf>
    <xf numFmtId="0" fontId="22" fillId="10" borderId="93" xfId="0" applyFont="1" applyFill="1" applyBorder="1" applyAlignment="1">
      <alignment horizontal="center"/>
    </xf>
    <xf numFmtId="0" fontId="90" fillId="15" borderId="54" xfId="0" applyFont="1" applyFill="1" applyBorder="1" applyAlignment="1">
      <alignment horizontal="center"/>
    </xf>
    <xf numFmtId="0" fontId="90" fillId="15" borderId="94" xfId="0" applyFont="1" applyFill="1" applyBorder="1" applyAlignment="1">
      <alignment horizontal="center"/>
    </xf>
    <xf numFmtId="0" fontId="22" fillId="15" borderId="93" xfId="0" applyFont="1" applyFill="1" applyBorder="1" applyAlignment="1">
      <alignment horizontal="center"/>
    </xf>
    <xf numFmtId="0" fontId="90" fillId="14" borderId="1" xfId="0" applyFont="1" applyFill="1" applyBorder="1" applyAlignment="1">
      <alignment horizontal="center"/>
    </xf>
    <xf numFmtId="0" fontId="22" fillId="14" borderId="1" xfId="0" applyFont="1" applyFill="1" applyBorder="1" applyAlignment="1">
      <alignment horizontal="center"/>
    </xf>
    <xf numFmtId="0" fontId="90" fillId="14" borderId="46" xfId="0" applyFont="1" applyFill="1" applyBorder="1" applyAlignment="1">
      <alignment horizontal="center"/>
    </xf>
    <xf numFmtId="0" fontId="227" fillId="0" borderId="250" xfId="0" applyFont="1" applyFill="1" applyBorder="1" applyAlignment="1">
      <alignment vertical="center" wrapText="1"/>
    </xf>
    <xf numFmtId="0" fontId="227" fillId="0" borderId="126" xfId="0" applyFont="1" applyFill="1" applyBorder="1" applyAlignment="1">
      <alignment vertical="center" wrapText="1"/>
    </xf>
    <xf numFmtId="0" fontId="227" fillId="0" borderId="251" xfId="0" applyFont="1" applyFill="1" applyBorder="1" applyAlignment="1">
      <alignment vertical="center" wrapText="1"/>
    </xf>
    <xf numFmtId="0" fontId="227" fillId="0" borderId="252" xfId="0" applyFont="1" applyFill="1" applyBorder="1" applyAlignment="1">
      <alignment vertical="center" wrapText="1"/>
    </xf>
    <xf numFmtId="0" fontId="227" fillId="0" borderId="0" xfId="0" applyFont="1" applyFill="1" applyBorder="1" applyAlignment="1">
      <alignment vertical="center" wrapText="1"/>
    </xf>
    <xf numFmtId="0" fontId="227" fillId="0" borderId="253" xfId="0" applyFont="1" applyFill="1" applyBorder="1" applyAlignment="1">
      <alignment vertical="center" wrapText="1"/>
    </xf>
    <xf numFmtId="0" fontId="227" fillId="0" borderId="254" xfId="0" applyFont="1" applyFill="1" applyBorder="1" applyAlignment="1">
      <alignment vertical="center" wrapText="1"/>
    </xf>
    <xf numFmtId="0" fontId="227" fillId="0" borderId="255" xfId="0" applyFont="1" applyFill="1" applyBorder="1" applyAlignment="1">
      <alignment vertical="center" wrapText="1"/>
    </xf>
    <xf numFmtId="0" fontId="227" fillId="0" borderId="256" xfId="0" applyFont="1" applyFill="1" applyBorder="1" applyAlignment="1">
      <alignment vertical="center" wrapText="1"/>
    </xf>
    <xf numFmtId="0" fontId="211" fillId="0" borderId="0" xfId="0" applyFont="1" applyFill="1" applyAlignment="1">
      <alignment horizontal="center" vertical="center"/>
    </xf>
    <xf numFmtId="0" fontId="93" fillId="0" borderId="0" xfId="0" applyFont="1" applyBorder="1" applyAlignment="1">
      <alignment horizontal="left" vertical="center"/>
    </xf>
    <xf numFmtId="0" fontId="15" fillId="0" borderId="0" xfId="0" applyFont="1" applyBorder="1" applyAlignment="1">
      <alignment vertical="center"/>
    </xf>
    <xf numFmtId="0" fontId="15" fillId="0" borderId="0" xfId="0" applyFont="1" applyBorder="1" applyAlignment="1">
      <alignment horizontal="left" vertical="center"/>
    </xf>
    <xf numFmtId="0" fontId="30" fillId="0" borderId="93" xfId="0" applyFont="1" applyBorder="1" applyAlignment="1">
      <alignment horizontal="center" vertical="center"/>
    </xf>
    <xf numFmtId="0" fontId="30" fillId="0" borderId="54" xfId="0" applyFont="1" applyBorder="1" applyAlignment="1">
      <alignment horizontal="center" vertical="center"/>
    </xf>
    <xf numFmtId="0" fontId="30" fillId="0" borderId="94" xfId="0" applyFont="1" applyBorder="1" applyAlignment="1">
      <alignment horizontal="center" vertical="center"/>
    </xf>
    <xf numFmtId="0" fontId="15" fillId="0" borderId="0" xfId="0" applyFont="1" applyBorder="1" applyAlignment="1">
      <alignment horizontal="center" vertical="center"/>
    </xf>
    <xf numFmtId="49" fontId="15" fillId="0" borderId="0" xfId="0" applyNumberFormat="1" applyFont="1" applyBorder="1" applyAlignment="1">
      <alignment vertical="center"/>
    </xf>
    <xf numFmtId="0" fontId="30" fillId="0" borderId="0" xfId="0" applyFont="1" applyBorder="1" applyAlignment="1">
      <alignment horizontal="center" vertical="center"/>
    </xf>
    <xf numFmtId="49" fontId="0" fillId="0" borderId="222" xfId="0" applyNumberFormat="1" applyFont="1" applyBorder="1" applyAlignment="1" applyProtection="1">
      <alignment horizontal="center" vertical="center"/>
      <protection hidden="1"/>
    </xf>
    <xf numFmtId="49" fontId="0" fillId="0" borderId="223" xfId="0" applyNumberFormat="1" applyFont="1" applyBorder="1" applyAlignment="1" applyProtection="1">
      <alignment horizontal="center" vertical="center"/>
      <protection hidden="1"/>
    </xf>
    <xf numFmtId="49" fontId="0" fillId="0" borderId="209" xfId="0" applyNumberFormat="1" applyFont="1" applyBorder="1" applyAlignment="1" applyProtection="1">
      <alignment horizontal="center" vertical="center"/>
      <protection hidden="1"/>
    </xf>
    <xf numFmtId="0" fontId="0" fillId="0" borderId="223" xfId="0" applyFont="1" applyBorder="1" applyAlignment="1" applyProtection="1">
      <alignment horizontal="center" vertical="center"/>
      <protection hidden="1"/>
    </xf>
    <xf numFmtId="0" fontId="0" fillId="0" borderId="224" xfId="0" applyFont="1" applyBorder="1" applyAlignment="1" applyProtection="1">
      <alignment horizontal="center" vertical="center"/>
      <protection hidden="1"/>
    </xf>
    <xf numFmtId="49" fontId="0" fillId="0" borderId="195" xfId="0" applyNumberFormat="1" applyFont="1" applyBorder="1" applyAlignment="1" applyProtection="1">
      <alignment horizontal="center" vertical="center"/>
      <protection hidden="1"/>
    </xf>
    <xf numFmtId="0" fontId="0" fillId="0" borderId="198" xfId="0" applyFont="1" applyBorder="1" applyAlignment="1" applyProtection="1">
      <alignment horizontal="center" vertical="center"/>
      <protection hidden="1"/>
    </xf>
    <xf numFmtId="49" fontId="0" fillId="0" borderId="211" xfId="0" applyNumberFormat="1" applyFont="1" applyBorder="1" applyAlignment="1" applyProtection="1">
      <alignment horizontal="center" vertical="center"/>
      <protection hidden="1"/>
    </xf>
    <xf numFmtId="0" fontId="0" fillId="0" borderId="243" xfId="0" applyFont="1" applyBorder="1" applyAlignment="1" applyProtection="1">
      <alignment horizontal="center" vertical="center"/>
      <protection hidden="1"/>
    </xf>
    <xf numFmtId="0" fontId="0" fillId="0" borderId="234" xfId="0" applyFont="1" applyBorder="1" applyAlignment="1" applyProtection="1">
      <alignment horizontal="center" vertical="center"/>
      <protection hidden="1"/>
    </xf>
    <xf numFmtId="49" fontId="0" fillId="0" borderId="199" xfId="0" applyNumberFormat="1" applyFont="1" applyBorder="1" applyAlignment="1" applyProtection="1">
      <alignment horizontal="center" vertical="center"/>
      <protection hidden="1"/>
    </xf>
    <xf numFmtId="0" fontId="0" fillId="0" borderId="202" xfId="0" applyFont="1" applyBorder="1" applyAlignment="1" applyProtection="1">
      <alignment horizontal="center" vertical="center"/>
      <protection hidden="1"/>
    </xf>
    <xf numFmtId="49" fontId="0" fillId="0" borderId="212" xfId="0" applyNumberFormat="1" applyFont="1" applyBorder="1" applyAlignment="1" applyProtection="1">
      <alignment horizontal="center" vertical="center"/>
      <protection hidden="1"/>
    </xf>
    <xf numFmtId="0" fontId="0" fillId="0" borderId="247" xfId="0" applyFont="1" applyBorder="1" applyAlignment="1" applyProtection="1">
      <alignment horizontal="center" vertical="center"/>
      <protection hidden="1"/>
    </xf>
    <xf numFmtId="0" fontId="0" fillId="0" borderId="249" xfId="0" applyFont="1" applyBorder="1" applyAlignment="1" applyProtection="1">
      <alignment horizontal="center" vertical="center"/>
      <protection hidden="1"/>
    </xf>
    <xf numFmtId="49" fontId="0" fillId="0" borderId="202" xfId="0" applyNumberFormat="1" applyFont="1" applyBorder="1" applyAlignment="1" applyProtection="1">
      <alignment horizontal="center" vertical="center"/>
      <protection hidden="1"/>
    </xf>
    <xf numFmtId="0" fontId="0" fillId="0" borderId="200" xfId="0" applyFont="1" applyBorder="1" applyAlignment="1" applyProtection="1">
      <alignment horizontal="center" vertical="center"/>
      <protection hidden="1"/>
    </xf>
    <xf numFmtId="49" fontId="0" fillId="0" borderId="53" xfId="0" applyNumberFormat="1" applyFont="1" applyBorder="1" applyAlignment="1" applyProtection="1">
      <alignment horizontal="center" vertical="center"/>
      <protection hidden="1"/>
    </xf>
    <xf numFmtId="0" fontId="0" fillId="0" borderId="53" xfId="0" applyFont="1" applyBorder="1" applyAlignment="1" applyProtection="1">
      <alignment horizontal="center" vertical="center"/>
      <protection hidden="1"/>
    </xf>
    <xf numFmtId="49" fontId="0" fillId="0" borderId="203" xfId="0" applyNumberFormat="1" applyFont="1" applyBorder="1" applyAlignment="1" applyProtection="1">
      <alignment horizontal="center" vertical="center"/>
      <protection hidden="1"/>
    </xf>
    <xf numFmtId="0" fontId="0" fillId="0" borderId="194" xfId="0" applyFont="1" applyBorder="1" applyAlignment="1" applyProtection="1">
      <alignment horizontal="center" vertical="center"/>
      <protection hidden="1"/>
    </xf>
    <xf numFmtId="49" fontId="0" fillId="0" borderId="210" xfId="0" applyNumberFormat="1" applyFont="1" applyBorder="1" applyAlignment="1" applyProtection="1">
      <alignment horizontal="center" vertical="center"/>
      <protection hidden="1"/>
    </xf>
    <xf numFmtId="0" fontId="0" fillId="0" borderId="248" xfId="0" applyFont="1" applyBorder="1" applyAlignment="1" applyProtection="1">
      <alignment horizontal="center" vertical="center"/>
      <protection hidden="1"/>
    </xf>
    <xf numFmtId="0" fontId="0" fillId="0" borderId="232" xfId="0" applyFont="1" applyBorder="1" applyAlignment="1" applyProtection="1">
      <alignment horizontal="center" vertical="center"/>
      <protection hidden="1"/>
    </xf>
    <xf numFmtId="49" fontId="0" fillId="0" borderId="194" xfId="0" applyNumberFormat="1" applyFont="1" applyBorder="1" applyAlignment="1" applyProtection="1">
      <alignment horizontal="center" vertical="center"/>
      <protection hidden="1"/>
    </xf>
    <xf numFmtId="0" fontId="0" fillId="0" borderId="215" xfId="0" applyFont="1" applyBorder="1" applyAlignment="1" applyProtection="1">
      <alignment horizontal="center" vertical="center"/>
      <protection hidden="1"/>
    </xf>
    <xf numFmtId="0" fontId="0" fillId="0" borderId="197" xfId="0" applyFont="1" applyBorder="1" applyAlignment="1" applyProtection="1">
      <alignment horizontal="center" vertical="center"/>
      <protection hidden="1"/>
    </xf>
    <xf numFmtId="49" fontId="0" fillId="0" borderId="198" xfId="0" applyNumberFormat="1" applyFont="1" applyBorder="1" applyAlignment="1" applyProtection="1">
      <alignment horizontal="center" vertical="center"/>
      <protection hidden="1"/>
    </xf>
    <xf numFmtId="0" fontId="0" fillId="0" borderId="196" xfId="0" applyFont="1" applyBorder="1" applyAlignment="1" applyProtection="1">
      <alignment horizontal="center" vertical="center"/>
      <protection hidden="1"/>
    </xf>
    <xf numFmtId="49" fontId="0" fillId="0" borderId="191" xfId="0" applyNumberFormat="1" applyFont="1" applyBorder="1" applyAlignment="1" applyProtection="1">
      <alignment horizontal="center" vertical="center"/>
      <protection hidden="1"/>
    </xf>
    <xf numFmtId="49" fontId="0" fillId="0" borderId="243" xfId="0" applyNumberFormat="1" applyFont="1" applyBorder="1" applyAlignment="1" applyProtection="1">
      <alignment horizontal="center" vertical="center"/>
      <protection hidden="1"/>
    </xf>
    <xf numFmtId="49" fontId="0" fillId="0" borderId="234" xfId="0" applyNumberFormat="1" applyFont="1" applyBorder="1" applyAlignment="1" applyProtection="1">
      <alignment horizontal="center" vertical="center"/>
      <protection hidden="1"/>
    </xf>
    <xf numFmtId="49" fontId="225" fillId="0" borderId="53" xfId="0" applyNumberFormat="1" applyFont="1" applyBorder="1" applyAlignment="1" applyProtection="1">
      <alignment horizontal="center" vertical="center"/>
      <protection hidden="1"/>
    </xf>
    <xf numFmtId="49" fontId="0" fillId="0" borderId="189" xfId="0" applyNumberFormat="1" applyFont="1" applyBorder="1" applyAlignment="1" applyProtection="1">
      <alignment horizontal="center" vertical="center"/>
      <protection hidden="1"/>
    </xf>
    <xf numFmtId="49" fontId="0" fillId="0" borderId="205" xfId="0" applyNumberFormat="1" applyFont="1" applyBorder="1" applyAlignment="1" applyProtection="1">
      <alignment horizontal="center" vertical="center"/>
      <protection hidden="1"/>
    </xf>
    <xf numFmtId="49" fontId="0" fillId="0" borderId="248" xfId="0" applyNumberFormat="1" applyFont="1" applyBorder="1" applyAlignment="1" applyProtection="1">
      <alignment horizontal="center" vertical="center"/>
      <protection hidden="1"/>
    </xf>
    <xf numFmtId="49" fontId="0" fillId="0" borderId="232" xfId="0" applyNumberFormat="1" applyFont="1" applyBorder="1" applyAlignment="1" applyProtection="1">
      <alignment horizontal="center" vertical="center"/>
      <protection hidden="1"/>
    </xf>
    <xf numFmtId="49" fontId="0" fillId="0" borderId="0" xfId="0" applyNumberFormat="1" applyFont="1" applyBorder="1" applyAlignment="1" applyProtection="1">
      <alignment horizontal="center" vertical="center"/>
      <protection hidden="1"/>
    </xf>
    <xf numFmtId="0" fontId="0" fillId="0" borderId="0" xfId="0" applyFont="1" applyAlignment="1" applyProtection="1">
      <alignment horizontal="center" vertical="center"/>
      <protection hidden="1"/>
    </xf>
    <xf numFmtId="0" fontId="0" fillId="0" borderId="243" xfId="0" applyFont="1" applyBorder="1" applyAlignment="1" applyProtection="1">
      <protection hidden="1"/>
    </xf>
    <xf numFmtId="49" fontId="0" fillId="0" borderId="0" xfId="0" applyNumberFormat="1" applyFont="1" applyAlignment="1" applyProtection="1">
      <alignment horizontal="center" vertical="center"/>
      <protection hidden="1"/>
    </xf>
    <xf numFmtId="49" fontId="225" fillId="0" borderId="0" xfId="0" applyNumberFormat="1" applyFont="1" applyAlignment="1" applyProtection="1">
      <alignment horizontal="center" vertical="center"/>
      <protection hidden="1"/>
    </xf>
    <xf numFmtId="49" fontId="0" fillId="0" borderId="190" xfId="0" applyNumberFormat="1" applyFont="1" applyBorder="1" applyAlignment="1" applyProtection="1">
      <alignment horizontal="center" vertical="center"/>
      <protection hidden="1"/>
    </xf>
    <xf numFmtId="49" fontId="0" fillId="0" borderId="197" xfId="0" applyNumberFormat="1" applyFont="1" applyBorder="1" applyAlignment="1" applyProtection="1">
      <alignment horizontal="center" vertical="center"/>
      <protection hidden="1"/>
    </xf>
    <xf numFmtId="49" fontId="0" fillId="0" borderId="192" xfId="0" applyNumberFormat="1" applyFont="1" applyBorder="1" applyAlignment="1" applyProtection="1">
      <alignment horizontal="center" vertical="center"/>
      <protection hidden="1"/>
    </xf>
    <xf numFmtId="49" fontId="20" fillId="0" borderId="195" xfId="0" applyNumberFormat="1" applyFont="1" applyBorder="1" applyAlignment="1" applyProtection="1">
      <alignment horizontal="center" vertical="center"/>
      <protection hidden="1"/>
    </xf>
    <xf numFmtId="49" fontId="0" fillId="0" borderId="196" xfId="0" applyNumberFormat="1" applyFont="1" applyBorder="1" applyAlignment="1" applyProtection="1">
      <alignment horizontal="center" vertical="center"/>
      <protection hidden="1"/>
    </xf>
    <xf numFmtId="49" fontId="20" fillId="0" borderId="198" xfId="0" applyNumberFormat="1" applyFont="1" applyBorder="1" applyAlignment="1" applyProtection="1">
      <alignment horizontal="center" vertical="center"/>
      <protection hidden="1"/>
    </xf>
    <xf numFmtId="49" fontId="20" fillId="0" borderId="196" xfId="0" applyNumberFormat="1" applyFont="1" applyBorder="1" applyAlignment="1" applyProtection="1">
      <alignment horizontal="center" vertical="center"/>
      <protection hidden="1"/>
    </xf>
    <xf numFmtId="0" fontId="0" fillId="0" borderId="58" xfId="0" applyFont="1" applyBorder="1" applyAlignment="1" applyProtection="1">
      <alignment horizontal="center" vertical="center"/>
      <protection hidden="1"/>
    </xf>
    <xf numFmtId="0" fontId="0" fillId="0" borderId="60" xfId="0" applyFont="1" applyBorder="1" applyAlignment="1" applyProtection="1">
      <alignment horizontal="center" vertical="center"/>
      <protection hidden="1"/>
    </xf>
    <xf numFmtId="49" fontId="0" fillId="0" borderId="227" xfId="0" applyNumberFormat="1" applyFont="1" applyBorder="1" applyAlignment="1" applyProtection="1">
      <alignment horizontal="center" vertical="center" wrapText="1"/>
      <protection hidden="1"/>
    </xf>
    <xf numFmtId="0" fontId="0" fillId="0" borderId="228" xfId="0" applyFont="1" applyBorder="1" applyAlignment="1" applyProtection="1">
      <alignment horizontal="center" vertical="center" wrapText="1"/>
      <protection hidden="1"/>
    </xf>
    <xf numFmtId="0" fontId="0" fillId="0" borderId="227" xfId="0" applyFont="1" applyBorder="1" applyAlignment="1" applyProtection="1">
      <alignment horizontal="center" vertical="center" wrapText="1"/>
      <protection hidden="1"/>
    </xf>
    <xf numFmtId="0" fontId="0" fillId="0" borderId="219" xfId="0" applyFont="1" applyBorder="1" applyAlignment="1" applyProtection="1">
      <alignment horizontal="center" vertical="center" wrapText="1"/>
      <protection hidden="1"/>
    </xf>
    <xf numFmtId="0" fontId="0" fillId="0" borderId="229" xfId="0" applyFont="1" applyBorder="1" applyAlignment="1" applyProtection="1">
      <alignment horizontal="center" vertical="center" wrapText="1"/>
      <protection hidden="1"/>
    </xf>
    <xf numFmtId="49" fontId="0" fillId="0" borderId="215" xfId="0" applyNumberFormat="1" applyFont="1" applyBorder="1" applyAlignment="1" applyProtection="1">
      <alignment horizontal="center" vertical="center"/>
      <protection hidden="1"/>
    </xf>
    <xf numFmtId="49" fontId="0" fillId="0" borderId="200" xfId="0" applyNumberFormat="1" applyFont="1" applyBorder="1" applyAlignment="1" applyProtection="1">
      <alignment horizontal="center" vertical="center"/>
      <protection hidden="1"/>
    </xf>
    <xf numFmtId="49" fontId="20" fillId="0" borderId="194" xfId="0" applyNumberFormat="1" applyFont="1" applyBorder="1" applyAlignment="1" applyProtection="1">
      <alignment horizontal="center" vertical="center"/>
      <protection hidden="1"/>
    </xf>
    <xf numFmtId="49" fontId="0" fillId="0" borderId="194" xfId="0" applyNumberFormat="1" applyFont="1" applyBorder="1" applyAlignment="1" applyProtection="1">
      <alignment horizontal="center" vertical="center" wrapText="1"/>
      <protection hidden="1"/>
    </xf>
    <xf numFmtId="49" fontId="0" fillId="0" borderId="198" xfId="0" applyNumberFormat="1" applyFont="1" applyBorder="1" applyAlignment="1" applyProtection="1">
      <alignment horizontal="center" vertical="center" wrapText="1"/>
      <protection hidden="1"/>
    </xf>
    <xf numFmtId="0" fontId="0" fillId="0" borderId="198" xfId="0" applyFont="1" applyBorder="1" applyAlignment="1" applyProtection="1">
      <alignment horizontal="center" vertical="center" wrapText="1"/>
      <protection hidden="1"/>
    </xf>
    <xf numFmtId="0" fontId="0" fillId="0" borderId="202" xfId="0" applyFont="1" applyBorder="1" applyAlignment="1" applyProtection="1">
      <alignment horizontal="center" vertical="center" wrapText="1"/>
      <protection hidden="1"/>
    </xf>
    <xf numFmtId="49" fontId="20" fillId="0" borderId="197" xfId="0" applyNumberFormat="1" applyFont="1" applyBorder="1" applyAlignment="1" applyProtection="1">
      <alignment horizontal="center" vertical="center"/>
      <protection hidden="1"/>
    </xf>
    <xf numFmtId="49" fontId="20" fillId="0" borderId="235" xfId="0" applyNumberFormat="1" applyFont="1" applyBorder="1" applyAlignment="1" applyProtection="1">
      <alignment horizontal="center" vertical="center" wrapText="1"/>
      <protection hidden="1"/>
    </xf>
    <xf numFmtId="0" fontId="0" fillId="0" borderId="236" xfId="0" applyFont="1" applyBorder="1" applyAlignment="1" applyProtection="1">
      <alignment horizontal="center" vertical="center" wrapText="1"/>
      <protection hidden="1"/>
    </xf>
    <xf numFmtId="0" fontId="0" fillId="0" borderId="57" xfId="0" applyFont="1" applyBorder="1" applyAlignment="1" applyProtection="1">
      <alignment horizontal="center" vertical="center" wrapText="1"/>
      <protection hidden="1"/>
    </xf>
    <xf numFmtId="0" fontId="0" fillId="0" borderId="58" xfId="0" applyFont="1" applyBorder="1" applyAlignment="1" applyProtection="1">
      <alignment horizontal="center" vertical="center" wrapText="1"/>
      <protection hidden="1"/>
    </xf>
    <xf numFmtId="0" fontId="0" fillId="0" borderId="59" xfId="0" applyFont="1" applyBorder="1" applyAlignment="1" applyProtection="1">
      <alignment horizontal="center" vertical="center" wrapText="1"/>
      <protection hidden="1"/>
    </xf>
    <xf numFmtId="0" fontId="0" fillId="0" borderId="60" xfId="0" applyFont="1" applyBorder="1" applyAlignment="1" applyProtection="1">
      <alignment horizontal="center" vertical="center" wrapText="1"/>
      <protection hidden="1"/>
    </xf>
    <xf numFmtId="49" fontId="20" fillId="0" borderId="236" xfId="0" applyNumberFormat="1" applyFont="1" applyBorder="1" applyAlignment="1" applyProtection="1">
      <alignment horizontal="center" vertical="center" wrapText="1"/>
      <protection hidden="1"/>
    </xf>
    <xf numFmtId="49" fontId="20" fillId="0" borderId="57" xfId="0" applyNumberFormat="1" applyFont="1" applyBorder="1" applyAlignment="1" applyProtection="1">
      <alignment horizontal="center" vertical="center" wrapText="1"/>
      <protection hidden="1"/>
    </xf>
    <xf numFmtId="49" fontId="20" fillId="0" borderId="58" xfId="0" applyNumberFormat="1" applyFont="1" applyBorder="1" applyAlignment="1" applyProtection="1">
      <alignment horizontal="center" vertical="center" wrapText="1"/>
      <protection hidden="1"/>
    </xf>
    <xf numFmtId="49" fontId="20" fillId="0" borderId="59" xfId="0" applyNumberFormat="1" applyFont="1" applyBorder="1" applyAlignment="1" applyProtection="1">
      <alignment horizontal="center" vertical="center" wrapText="1"/>
      <protection hidden="1"/>
    </xf>
    <xf numFmtId="49" fontId="20" fillId="0" borderId="60" xfId="0" applyNumberFormat="1" applyFont="1" applyBorder="1" applyAlignment="1" applyProtection="1">
      <alignment horizontal="center" vertical="center" wrapText="1"/>
      <protection hidden="1"/>
    </xf>
    <xf numFmtId="49" fontId="20" fillId="0" borderId="199" xfId="0" applyNumberFormat="1" applyFont="1" applyBorder="1" applyAlignment="1" applyProtection="1">
      <alignment horizontal="center" vertical="center"/>
      <protection hidden="1"/>
    </xf>
    <xf numFmtId="49" fontId="20" fillId="0" borderId="202" xfId="0" applyNumberFormat="1" applyFont="1" applyBorder="1" applyAlignment="1" applyProtection="1">
      <alignment horizontal="center" vertical="center"/>
      <protection hidden="1"/>
    </xf>
    <xf numFmtId="49" fontId="20" fillId="0" borderId="200" xfId="0" applyNumberFormat="1" applyFont="1" applyBorder="1" applyAlignment="1" applyProtection="1">
      <alignment horizontal="center" vertical="center"/>
      <protection hidden="1"/>
    </xf>
    <xf numFmtId="49" fontId="0" fillId="0" borderId="230" xfId="0" applyNumberFormat="1" applyFont="1" applyBorder="1" applyAlignment="1" applyProtection="1">
      <alignment horizontal="center" vertical="center"/>
      <protection hidden="1"/>
    </xf>
    <xf numFmtId="49" fontId="0" fillId="0" borderId="238" xfId="0" applyNumberFormat="1" applyFont="1" applyBorder="1" applyAlignment="1" applyProtection="1">
      <alignment horizontal="center" vertical="center"/>
      <protection hidden="1"/>
    </xf>
    <xf numFmtId="49" fontId="20" fillId="0" borderId="235" xfId="0" applyNumberFormat="1" applyFont="1" applyBorder="1" applyAlignment="1" applyProtection="1">
      <alignment horizontal="center" vertical="center"/>
      <protection hidden="1"/>
    </xf>
    <xf numFmtId="49" fontId="20" fillId="0" borderId="241" xfId="0" applyNumberFormat="1" applyFont="1" applyBorder="1" applyAlignment="1" applyProtection="1">
      <alignment horizontal="center" vertical="center"/>
      <protection hidden="1"/>
    </xf>
    <xf numFmtId="49" fontId="20" fillId="0" borderId="239" xfId="0" applyNumberFormat="1" applyFont="1" applyBorder="1" applyAlignment="1" applyProtection="1">
      <alignment horizontal="center" vertical="center"/>
      <protection hidden="1"/>
    </xf>
    <xf numFmtId="49" fontId="20" fillId="0" borderId="214" xfId="0" applyNumberFormat="1" applyFont="1" applyBorder="1" applyAlignment="1" applyProtection="1">
      <alignment horizontal="center" vertical="center"/>
      <protection hidden="1"/>
    </xf>
    <xf numFmtId="49" fontId="20" fillId="0" borderId="246" xfId="0" applyNumberFormat="1" applyFont="1" applyBorder="1" applyAlignment="1" applyProtection="1">
      <alignment horizontal="center" vertical="center"/>
      <protection hidden="1"/>
    </xf>
    <xf numFmtId="49" fontId="20" fillId="0" borderId="63" xfId="0" applyNumberFormat="1" applyFont="1" applyBorder="1" applyAlignment="1" applyProtection="1">
      <alignment horizontal="center" vertical="center"/>
      <protection hidden="1"/>
    </xf>
    <xf numFmtId="49" fontId="20" fillId="0" borderId="36" xfId="0" applyNumberFormat="1" applyFont="1" applyBorder="1" applyAlignment="1" applyProtection="1">
      <alignment horizontal="center" vertical="center"/>
      <protection hidden="1"/>
    </xf>
    <xf numFmtId="49" fontId="0" fillId="0" borderId="246" xfId="0" applyNumberFormat="1" applyFont="1" applyBorder="1" applyAlignment="1" applyProtection="1">
      <alignment horizontal="center" vertical="center"/>
      <protection hidden="1"/>
    </xf>
    <xf numFmtId="49" fontId="0" fillId="0" borderId="63" xfId="0" applyNumberFormat="1" applyFont="1" applyBorder="1" applyAlignment="1" applyProtection="1">
      <alignment horizontal="center" vertical="center"/>
      <protection hidden="1"/>
    </xf>
    <xf numFmtId="49" fontId="0" fillId="0" borderId="36" xfId="0" applyNumberFormat="1" applyFont="1" applyBorder="1" applyAlignment="1" applyProtection="1">
      <alignment horizontal="center" vertical="center"/>
      <protection hidden="1"/>
    </xf>
    <xf numFmtId="49" fontId="20" fillId="0" borderId="230" xfId="0" applyNumberFormat="1" applyFont="1" applyBorder="1" applyAlignment="1" applyProtection="1">
      <alignment horizontal="center" vertical="center"/>
      <protection hidden="1"/>
    </xf>
    <xf numFmtId="49" fontId="20" fillId="0" borderId="191" xfId="0" applyNumberFormat="1" applyFont="1" applyBorder="1" applyAlignment="1" applyProtection="1">
      <alignment horizontal="center" vertical="center"/>
      <protection hidden="1"/>
    </xf>
    <xf numFmtId="49" fontId="20" fillId="0" borderId="222" xfId="0" applyNumberFormat="1" applyFont="1" applyBorder="1" applyAlignment="1" applyProtection="1">
      <alignment horizontal="center" vertical="center"/>
      <protection hidden="1"/>
    </xf>
    <xf numFmtId="49" fontId="20" fillId="0" borderId="209" xfId="0" applyNumberFormat="1" applyFont="1" applyBorder="1" applyAlignment="1" applyProtection="1">
      <alignment horizontal="center" vertical="center"/>
      <protection hidden="1"/>
    </xf>
    <xf numFmtId="49" fontId="20" fillId="0" borderId="238" xfId="0" applyNumberFormat="1" applyFont="1" applyBorder="1" applyAlignment="1" applyProtection="1">
      <alignment horizontal="center" vertical="center"/>
      <protection hidden="1"/>
    </xf>
    <xf numFmtId="49" fontId="20" fillId="0" borderId="192" xfId="0" applyNumberFormat="1" applyFont="1" applyBorder="1" applyAlignment="1" applyProtection="1">
      <alignment horizontal="center" vertical="center"/>
      <protection hidden="1"/>
    </xf>
    <xf numFmtId="49" fontId="20" fillId="0" borderId="201" xfId="0" applyNumberFormat="1" applyFont="1" applyBorder="1" applyAlignment="1" applyProtection="1">
      <alignment horizontal="center" vertical="center"/>
      <protection hidden="1"/>
    </xf>
    <xf numFmtId="49" fontId="20" fillId="0" borderId="215" xfId="0" applyNumberFormat="1" applyFont="1" applyBorder="1" applyAlignment="1" applyProtection="1">
      <alignment horizontal="center" vertical="center"/>
      <protection hidden="1"/>
    </xf>
    <xf numFmtId="0" fontId="0" fillId="0" borderId="195" xfId="0" applyFont="1" applyBorder="1" applyAlignment="1" applyProtection="1">
      <alignment horizontal="center" vertical="center"/>
      <protection hidden="1"/>
    </xf>
    <xf numFmtId="0" fontId="0" fillId="0" borderId="199" xfId="0" applyFont="1" applyBorder="1" applyAlignment="1" applyProtection="1">
      <alignment horizontal="center" vertical="center"/>
      <protection hidden="1"/>
    </xf>
    <xf numFmtId="49" fontId="20" fillId="0" borderId="203" xfId="0" applyNumberFormat="1" applyFont="1" applyBorder="1" applyAlignment="1" applyProtection="1">
      <alignment horizontal="center" vertical="center"/>
      <protection hidden="1"/>
    </xf>
    <xf numFmtId="49" fontId="20" fillId="0" borderId="198" xfId="0" applyNumberFormat="1" applyFont="1" applyBorder="1" applyAlignment="1" applyProtection="1">
      <alignment horizontal="center" vertical="center" wrapText="1"/>
      <protection hidden="1"/>
    </xf>
    <xf numFmtId="49" fontId="20" fillId="0" borderId="223" xfId="0" applyNumberFormat="1" applyFont="1" applyBorder="1" applyAlignment="1" applyProtection="1">
      <alignment horizontal="center" vertical="center"/>
      <protection hidden="1"/>
    </xf>
    <xf numFmtId="49" fontId="0" fillId="0" borderId="61" xfId="0" applyNumberFormat="1" applyFont="1" applyBorder="1" applyAlignment="1" applyProtection="1">
      <alignment vertical="center"/>
      <protection hidden="1"/>
    </xf>
    <xf numFmtId="49" fontId="20" fillId="0" borderId="193" xfId="0" applyNumberFormat="1" applyFont="1" applyBorder="1" applyAlignment="1" applyProtection="1">
      <alignment horizontal="center" vertical="center"/>
      <protection hidden="1"/>
    </xf>
    <xf numFmtId="49" fontId="20" fillId="0" borderId="233" xfId="0" applyNumberFormat="1" applyFont="1" applyBorder="1" applyAlignment="1" applyProtection="1">
      <alignment horizontal="center" vertical="center"/>
      <protection hidden="1"/>
    </xf>
    <xf numFmtId="49" fontId="20" fillId="0" borderId="234" xfId="0" applyNumberFormat="1" applyFont="1" applyBorder="1" applyAlignment="1" applyProtection="1">
      <alignment horizontal="center" vertical="center"/>
      <protection hidden="1"/>
    </xf>
    <xf numFmtId="49" fontId="20" fillId="0" borderId="243" xfId="0" applyNumberFormat="1" applyFont="1" applyBorder="1" applyAlignment="1" applyProtection="1">
      <alignment horizontal="center" vertical="center"/>
      <protection hidden="1"/>
    </xf>
    <xf numFmtId="49" fontId="0" fillId="0" borderId="93" xfId="0" applyNumberFormat="1" applyFont="1" applyBorder="1" applyAlignment="1" applyProtection="1">
      <alignment horizontal="center" vertical="center"/>
      <protection hidden="1"/>
    </xf>
    <xf numFmtId="49" fontId="0" fillId="0" borderId="54" xfId="0" applyNumberFormat="1" applyFont="1" applyBorder="1" applyAlignment="1" applyProtection="1">
      <alignment horizontal="center" vertical="center"/>
      <protection hidden="1"/>
    </xf>
    <xf numFmtId="49" fontId="0" fillId="0" borderId="94" xfId="0" applyNumberFormat="1" applyFont="1" applyBorder="1" applyAlignment="1" applyProtection="1">
      <alignment horizontal="center" vertical="center"/>
      <protection hidden="1"/>
    </xf>
    <xf numFmtId="49" fontId="20" fillId="0" borderId="231" xfId="0" applyNumberFormat="1" applyFont="1" applyBorder="1" applyAlignment="1" applyProtection="1">
      <alignment horizontal="center" vertical="center"/>
      <protection hidden="1"/>
    </xf>
    <xf numFmtId="49" fontId="20" fillId="0" borderId="220" xfId="0" applyNumberFormat="1" applyFont="1" applyBorder="1" applyAlignment="1" applyProtection="1">
      <alignment horizontal="center" vertical="center"/>
      <protection hidden="1"/>
    </xf>
    <xf numFmtId="49" fontId="20" fillId="0" borderId="221" xfId="0" applyNumberFormat="1" applyFont="1" applyBorder="1" applyAlignment="1" applyProtection="1">
      <alignment horizontal="center" vertical="center"/>
      <protection hidden="1"/>
    </xf>
    <xf numFmtId="49" fontId="0" fillId="0" borderId="225" xfId="0" applyNumberFormat="1" applyFont="1" applyBorder="1" applyAlignment="1" applyProtection="1">
      <alignment horizontal="center" vertical="center"/>
      <protection hidden="1"/>
    </xf>
    <xf numFmtId="49" fontId="0" fillId="0" borderId="226" xfId="0" applyNumberFormat="1" applyFont="1" applyBorder="1" applyAlignment="1" applyProtection="1">
      <alignment horizontal="center" vertical="center"/>
      <protection hidden="1"/>
    </xf>
    <xf numFmtId="0" fontId="0" fillId="0" borderId="54" xfId="0" applyFont="1" applyBorder="1" applyAlignment="1" applyProtection="1">
      <alignment horizontal="center" vertical="center"/>
      <protection hidden="1"/>
    </xf>
    <xf numFmtId="49" fontId="20" fillId="0" borderId="53" xfId="0" applyNumberFormat="1" applyFont="1" applyBorder="1" applyAlignment="1" applyProtection="1">
      <alignment horizontal="center" vertical="center"/>
      <protection hidden="1"/>
    </xf>
    <xf numFmtId="0" fontId="0" fillId="0" borderId="94" xfId="0" applyFont="1" applyBorder="1" applyAlignment="1" applyProtection="1">
      <alignment horizontal="center" vertical="center"/>
      <protection hidden="1"/>
    </xf>
    <xf numFmtId="0" fontId="0" fillId="0" borderId="217" xfId="0" applyFont="1" applyBorder="1" applyAlignment="1" applyProtection="1">
      <alignment horizontal="center"/>
      <protection hidden="1"/>
    </xf>
    <xf numFmtId="0" fontId="0" fillId="0" borderId="213" xfId="0" applyFont="1" applyBorder="1" applyAlignment="1" applyProtection="1">
      <alignment horizontal="center"/>
      <protection hidden="1"/>
    </xf>
    <xf numFmtId="49" fontId="223" fillId="0" borderId="217" xfId="0" applyNumberFormat="1" applyFont="1" applyBorder="1" applyAlignment="1" applyProtection="1">
      <alignment horizontal="center" vertical="center"/>
      <protection hidden="1"/>
    </xf>
    <xf numFmtId="49" fontId="20" fillId="0" borderId="189" xfId="0" applyNumberFormat="1" applyFont="1" applyBorder="1" applyAlignment="1" applyProtection="1">
      <alignment horizontal="center" vertical="center"/>
      <protection hidden="1"/>
    </xf>
    <xf numFmtId="49" fontId="20" fillId="0" borderId="190" xfId="0" applyNumberFormat="1" applyFont="1" applyBorder="1" applyAlignment="1" applyProtection="1">
      <alignment horizontal="center" vertical="center"/>
      <protection hidden="1"/>
    </xf>
    <xf numFmtId="49" fontId="20" fillId="0" borderId="205" xfId="0" applyNumberFormat="1" applyFont="1" applyBorder="1" applyAlignment="1" applyProtection="1">
      <alignment horizontal="center" vertical="center"/>
      <protection hidden="1"/>
    </xf>
    <xf numFmtId="0" fontId="0" fillId="0" borderId="190" xfId="0" applyFont="1" applyBorder="1" applyAlignment="1" applyProtection="1">
      <protection hidden="1"/>
    </xf>
    <xf numFmtId="0" fontId="0" fillId="0" borderId="205" xfId="0" applyFont="1" applyBorder="1" applyAlignment="1" applyProtection="1">
      <alignment horizontal="center" vertical="center"/>
      <protection hidden="1"/>
    </xf>
    <xf numFmtId="49" fontId="20" fillId="0" borderId="207" xfId="0" applyNumberFormat="1" applyFont="1" applyBorder="1" applyAlignment="1" applyProtection="1">
      <alignment horizontal="center" vertical="center"/>
      <protection hidden="1"/>
    </xf>
    <xf numFmtId="0" fontId="0" fillId="0" borderId="204" xfId="0" applyFont="1" applyBorder="1" applyAlignment="1" applyProtection="1">
      <alignment horizontal="center" vertical="center"/>
      <protection hidden="1"/>
    </xf>
    <xf numFmtId="0" fontId="25" fillId="0" borderId="198" xfId="0" applyFont="1" applyBorder="1" applyAlignment="1" applyProtection="1">
      <alignment horizontal="center" vertical="center"/>
      <protection hidden="1"/>
    </xf>
    <xf numFmtId="0" fontId="25" fillId="0" borderId="196" xfId="0" applyFont="1" applyBorder="1" applyAlignment="1" applyProtection="1">
      <alignment horizontal="center" vertical="center"/>
      <protection hidden="1"/>
    </xf>
    <xf numFmtId="0" fontId="25" fillId="0" borderId="202" xfId="0" applyFont="1" applyBorder="1" applyAlignment="1" applyProtection="1">
      <alignment horizontal="center" vertical="center"/>
      <protection hidden="1"/>
    </xf>
    <xf numFmtId="0" fontId="25" fillId="0" borderId="200" xfId="0" applyFont="1" applyBorder="1" applyAlignment="1" applyProtection="1">
      <alignment horizontal="center" vertical="center"/>
      <protection hidden="1"/>
    </xf>
    <xf numFmtId="0" fontId="25" fillId="0" borderId="195" xfId="0" applyFont="1" applyBorder="1" applyAlignment="1" applyProtection="1">
      <alignment horizontal="center" vertical="center"/>
      <protection hidden="1"/>
    </xf>
    <xf numFmtId="0" fontId="0" fillId="0" borderId="93" xfId="0" applyFont="1" applyBorder="1" applyAlignment="1" applyProtection="1">
      <alignment horizontal="center"/>
      <protection hidden="1"/>
    </xf>
    <xf numFmtId="0" fontId="0" fillId="0" borderId="94" xfId="0" applyFont="1" applyBorder="1" applyAlignment="1" applyProtection="1">
      <alignment horizontal="center"/>
      <protection hidden="1"/>
    </xf>
    <xf numFmtId="0" fontId="25" fillId="0" borderId="203" xfId="0" applyFont="1" applyBorder="1" applyAlignment="1" applyProtection="1">
      <alignment horizontal="center" vertical="center" wrapText="1"/>
      <protection hidden="1"/>
    </xf>
    <xf numFmtId="0" fontId="25" fillId="0" borderId="195" xfId="0" applyFont="1" applyBorder="1" applyAlignment="1" applyProtection="1">
      <alignment horizontal="center" vertical="center" wrapText="1"/>
      <protection hidden="1"/>
    </xf>
    <xf numFmtId="0" fontId="25" fillId="0" borderId="199" xfId="0" applyFont="1" applyBorder="1" applyAlignment="1" applyProtection="1">
      <alignment horizontal="center" vertical="center"/>
      <protection hidden="1"/>
    </xf>
    <xf numFmtId="0" fontId="0" fillId="21" borderId="198" xfId="0" applyFont="1" applyFill="1" applyBorder="1" applyAlignment="1" applyProtection="1">
      <alignment horizontal="center" vertical="center"/>
      <protection hidden="1"/>
    </xf>
    <xf numFmtId="0" fontId="0" fillId="21" borderId="196" xfId="0" applyFont="1" applyFill="1" applyBorder="1" applyAlignment="1" applyProtection="1">
      <alignment horizontal="center" vertical="center"/>
      <protection hidden="1"/>
    </xf>
    <xf numFmtId="0" fontId="0" fillId="0" borderId="61" xfId="0" applyFont="1" applyBorder="1" applyAlignment="1" applyProtection="1">
      <alignment vertical="center"/>
      <protection hidden="1"/>
    </xf>
    <xf numFmtId="0" fontId="25" fillId="0" borderId="53" xfId="0" applyFont="1" applyBorder="1" applyAlignment="1" applyProtection="1">
      <alignment horizontal="center" vertical="center"/>
      <protection hidden="1"/>
    </xf>
    <xf numFmtId="0" fontId="25" fillId="0" borderId="194" xfId="0" applyFont="1" applyBorder="1" applyAlignment="1" applyProtection="1">
      <alignment horizontal="center" vertical="center"/>
      <protection hidden="1"/>
    </xf>
    <xf numFmtId="0" fontId="25" fillId="0" borderId="194" xfId="0" applyFont="1" applyBorder="1" applyAlignment="1" applyProtection="1">
      <alignment horizontal="center" vertical="center" wrapText="1"/>
      <protection hidden="1"/>
    </xf>
    <xf numFmtId="0" fontId="25" fillId="0" borderId="215" xfId="0" applyFont="1" applyBorder="1" applyAlignment="1" applyProtection="1">
      <alignment horizontal="center" vertical="center" wrapText="1"/>
      <protection hidden="1"/>
    </xf>
    <xf numFmtId="0" fontId="25" fillId="0" borderId="198" xfId="0" applyFont="1" applyBorder="1" applyAlignment="1" applyProtection="1">
      <alignment horizontal="center" vertical="center" wrapText="1"/>
      <protection hidden="1"/>
    </xf>
    <xf numFmtId="0" fontId="25" fillId="0" borderId="196" xfId="0" applyFont="1" applyBorder="1" applyAlignment="1" applyProtection="1">
      <alignment horizontal="center" vertical="center" wrapText="1"/>
      <protection hidden="1"/>
    </xf>
    <xf numFmtId="0" fontId="20" fillId="0" borderId="53" xfId="0" applyFont="1" applyBorder="1" applyAlignment="1" applyProtection="1">
      <alignment horizontal="center" vertical="center"/>
      <protection hidden="1"/>
    </xf>
    <xf numFmtId="0" fontId="0" fillId="0" borderId="189" xfId="0" applyFont="1" applyBorder="1" applyAlignment="1" applyProtection="1">
      <alignment horizontal="center" vertical="center"/>
      <protection hidden="1"/>
    </xf>
    <xf numFmtId="0" fontId="0" fillId="0" borderId="190" xfId="0" applyFont="1" applyBorder="1" applyAlignment="1" applyProtection="1">
      <alignment horizontal="center" vertical="center"/>
      <protection hidden="1"/>
    </xf>
    <xf numFmtId="0" fontId="20" fillId="0" borderId="191" xfId="0" applyFont="1" applyBorder="1" applyAlignment="1" applyProtection="1">
      <alignment horizontal="center" vertical="center"/>
      <protection hidden="1"/>
    </xf>
    <xf numFmtId="0" fontId="20" fillId="0" borderId="192" xfId="0" applyFont="1" applyBorder="1" applyAlignment="1" applyProtection="1">
      <alignment horizontal="center" vertical="center"/>
      <protection hidden="1"/>
    </xf>
    <xf numFmtId="0" fontId="20" fillId="0" borderId="197" xfId="0" applyFont="1" applyBorder="1" applyAlignment="1" applyProtection="1">
      <alignment horizontal="center" vertical="center"/>
      <protection hidden="1"/>
    </xf>
    <xf numFmtId="0" fontId="0" fillId="0" borderId="211" xfId="0" applyFont="1" applyBorder="1" applyAlignment="1" applyProtection="1">
      <alignment horizontal="center" vertical="center"/>
      <protection hidden="1"/>
    </xf>
    <xf numFmtId="0" fontId="20" fillId="0" borderId="195" xfId="0" applyFont="1" applyBorder="1" applyAlignment="1" applyProtection="1">
      <alignment horizontal="center" vertical="center"/>
      <protection hidden="1"/>
    </xf>
    <xf numFmtId="0" fontId="218" fillId="0" borderId="46" xfId="0" applyFont="1" applyFill="1" applyBorder="1" applyAlignment="1">
      <alignment horizontal="center"/>
    </xf>
    <xf numFmtId="0" fontId="52" fillId="0" borderId="46" xfId="0" applyFont="1" applyFill="1" applyBorder="1" applyAlignment="1">
      <alignment horizontal="center" vertical="top"/>
    </xf>
    <xf numFmtId="0" fontId="216" fillId="0" borderId="38" xfId="0" applyFont="1" applyFill="1" applyBorder="1" applyAlignment="1">
      <alignment horizontal="center" wrapText="1"/>
    </xf>
    <xf numFmtId="0" fontId="216" fillId="0" borderId="44" xfId="0" applyFont="1" applyFill="1" applyBorder="1" applyAlignment="1">
      <alignment horizontal="center"/>
    </xf>
    <xf numFmtId="0" fontId="216" fillId="0" borderId="40" xfId="0" applyFont="1" applyFill="1" applyBorder="1" applyAlignment="1">
      <alignment horizontal="center"/>
    </xf>
    <xf numFmtId="0" fontId="216" fillId="0" borderId="47" xfId="0" applyFont="1" applyFill="1" applyBorder="1" applyAlignment="1">
      <alignment horizontal="center"/>
    </xf>
    <xf numFmtId="0" fontId="52" fillId="0" borderId="97" xfId="0" applyFont="1" applyFill="1" applyBorder="1" applyAlignment="1">
      <alignment horizontal="center" vertical="center"/>
    </xf>
    <xf numFmtId="0" fontId="220" fillId="0" borderId="61" xfId="0" applyFont="1" applyFill="1" applyBorder="1" applyAlignment="1">
      <alignment horizontal="center" vertical="center"/>
    </xf>
    <xf numFmtId="0" fontId="220" fillId="0" borderId="56" xfId="0" applyFont="1" applyFill="1" applyBorder="1" applyAlignment="1">
      <alignment horizontal="center" vertical="center"/>
    </xf>
    <xf numFmtId="0" fontId="220" fillId="0" borderId="22" xfId="0" applyFont="1" applyFill="1" applyBorder="1" applyAlignment="1">
      <alignment horizontal="center" vertical="center"/>
    </xf>
    <xf numFmtId="0" fontId="220" fillId="0" borderId="23" xfId="0" applyFont="1" applyFill="1" applyBorder="1" applyAlignment="1">
      <alignment horizontal="center" vertical="center"/>
    </xf>
    <xf numFmtId="0" fontId="220" fillId="0" borderId="186" xfId="0" applyFont="1" applyFill="1" applyBorder="1" applyAlignment="1">
      <alignment horizontal="center" vertical="center"/>
    </xf>
    <xf numFmtId="0" fontId="216" fillId="0" borderId="1" xfId="0" applyFont="1" applyFill="1" applyBorder="1" applyAlignment="1">
      <alignment horizontal="center"/>
    </xf>
    <xf numFmtId="0" fontId="216" fillId="0" borderId="46" xfId="0" applyFont="1" applyFill="1" applyBorder="1" applyAlignment="1">
      <alignment horizontal="center"/>
    </xf>
    <xf numFmtId="0" fontId="216" fillId="0" borderId="48" xfId="0" applyFont="1" applyFill="1" applyBorder="1" applyAlignment="1">
      <alignment horizontal="center"/>
    </xf>
    <xf numFmtId="0" fontId="218" fillId="0" borderId="97" xfId="0" applyFont="1" applyFill="1" applyBorder="1" applyAlignment="1">
      <alignment horizontal="center" vertical="center" wrapText="1"/>
    </xf>
    <xf numFmtId="0" fontId="218" fillId="0" borderId="56" xfId="0" applyFont="1" applyFill="1" applyBorder="1" applyAlignment="1">
      <alignment horizontal="center" vertical="center" wrapText="1"/>
    </xf>
    <xf numFmtId="0" fontId="218" fillId="0" borderId="4" xfId="0" applyFont="1" applyFill="1" applyBorder="1" applyAlignment="1">
      <alignment horizontal="center" vertical="center" wrapText="1"/>
    </xf>
    <xf numFmtId="0" fontId="218" fillId="0" borderId="58" xfId="0" applyFont="1" applyFill="1" applyBorder="1" applyAlignment="1">
      <alignment horizontal="center" vertical="center" wrapText="1"/>
    </xf>
    <xf numFmtId="0" fontId="218" fillId="0" borderId="98" xfId="0" applyFont="1" applyFill="1" applyBorder="1" applyAlignment="1">
      <alignment horizontal="center" vertical="center" wrapText="1"/>
    </xf>
    <xf numFmtId="0" fontId="218" fillId="0" borderId="60" xfId="0" applyFont="1" applyFill="1" applyBorder="1" applyAlignment="1">
      <alignment horizontal="center" vertical="center" wrapText="1"/>
    </xf>
    <xf numFmtId="0" fontId="173" fillId="0" borderId="55" xfId="0" applyFont="1" applyFill="1" applyBorder="1" applyAlignment="1">
      <alignment horizontal="center"/>
    </xf>
    <xf numFmtId="0" fontId="173" fillId="0" borderId="61" xfId="0" applyFont="1" applyFill="1" applyBorder="1" applyAlignment="1">
      <alignment horizontal="center"/>
    </xf>
    <xf numFmtId="0" fontId="173" fillId="0" borderId="56" xfId="0" applyFont="1" applyFill="1" applyBorder="1" applyAlignment="1">
      <alignment horizontal="center"/>
    </xf>
    <xf numFmtId="0" fontId="173" fillId="0" borderId="57" xfId="0" applyFont="1" applyFill="1" applyBorder="1" applyAlignment="1">
      <alignment horizontal="center"/>
    </xf>
    <xf numFmtId="0" fontId="173" fillId="0" borderId="0" xfId="0" applyFont="1" applyFill="1" applyBorder="1" applyAlignment="1">
      <alignment horizontal="center"/>
    </xf>
    <xf numFmtId="0" fontId="173" fillId="0" borderId="58" xfId="0" applyFont="1" applyFill="1" applyBorder="1" applyAlignment="1">
      <alignment horizontal="center"/>
    </xf>
    <xf numFmtId="0" fontId="173" fillId="0" borderId="59" xfId="0" applyFont="1" applyFill="1" applyBorder="1" applyAlignment="1">
      <alignment horizontal="center"/>
    </xf>
    <xf numFmtId="0" fontId="173" fillId="0" borderId="53" xfId="0" applyFont="1" applyFill="1" applyBorder="1" applyAlignment="1">
      <alignment horizontal="center"/>
    </xf>
    <xf numFmtId="0" fontId="173" fillId="0" borderId="60" xfId="0" applyFont="1" applyFill="1" applyBorder="1" applyAlignment="1">
      <alignment horizontal="center"/>
    </xf>
    <xf numFmtId="0" fontId="218" fillId="0" borderId="39" xfId="0" applyFont="1" applyFill="1" applyBorder="1" applyAlignment="1">
      <alignment horizontal="center" vertical="center" wrapText="1"/>
    </xf>
    <xf numFmtId="0" fontId="218" fillId="0" borderId="1" xfId="0" applyFont="1" applyFill="1" applyBorder="1" applyAlignment="1">
      <alignment horizontal="center" vertical="center"/>
    </xf>
    <xf numFmtId="0" fontId="218" fillId="0" borderId="39" xfId="0" applyFont="1" applyFill="1" applyBorder="1" applyAlignment="1">
      <alignment horizontal="center" vertical="center"/>
    </xf>
    <xf numFmtId="0" fontId="173" fillId="0" borderId="1" xfId="0" applyFont="1" applyFill="1" applyBorder="1" applyAlignment="1">
      <alignment horizontal="center"/>
    </xf>
    <xf numFmtId="0" fontId="218" fillId="0" borderId="115" xfId="0" applyFont="1" applyFill="1" applyBorder="1" applyAlignment="1">
      <alignment horizontal="center" vertical="center"/>
    </xf>
    <xf numFmtId="0" fontId="218" fillId="0" borderId="74" xfId="0" applyFont="1" applyFill="1" applyBorder="1" applyAlignment="1">
      <alignment horizontal="center" vertical="center"/>
    </xf>
    <xf numFmtId="0" fontId="173" fillId="0" borderId="74" xfId="0" applyFont="1" applyFill="1" applyBorder="1" applyAlignment="1">
      <alignment horizontal="center"/>
    </xf>
    <xf numFmtId="0" fontId="218" fillId="0" borderId="1" xfId="0" applyFont="1" applyFill="1" applyBorder="1" applyAlignment="1">
      <alignment horizontal="center" vertical="center" wrapText="1"/>
    </xf>
    <xf numFmtId="0" fontId="218" fillId="0" borderId="40" xfId="0" applyFont="1" applyFill="1" applyBorder="1" applyAlignment="1">
      <alignment horizontal="center" vertical="center" wrapText="1"/>
    </xf>
    <xf numFmtId="0" fontId="218" fillId="0" borderId="47" xfId="0" applyFont="1" applyFill="1" applyBorder="1" applyAlignment="1">
      <alignment horizontal="center" vertical="center" wrapText="1"/>
    </xf>
    <xf numFmtId="0" fontId="173" fillId="0" borderId="47" xfId="0" applyFont="1" applyFill="1" applyBorder="1" applyAlignment="1">
      <alignment horizontal="center"/>
    </xf>
    <xf numFmtId="0" fontId="52" fillId="0" borderId="116" xfId="0" applyFont="1" applyFill="1" applyBorder="1" applyAlignment="1">
      <alignment horizontal="center" vertical="center"/>
    </xf>
    <xf numFmtId="0" fontId="52" fillId="0" borderId="120" xfId="0" applyFont="1" applyFill="1" applyBorder="1" applyAlignment="1">
      <alignment horizontal="center" vertical="center"/>
    </xf>
    <xf numFmtId="0" fontId="52" fillId="0" borderId="64" xfId="0" applyFont="1" applyFill="1" applyBorder="1" applyAlignment="1">
      <alignment horizontal="center" vertical="center"/>
    </xf>
    <xf numFmtId="0" fontId="52" fillId="0" borderId="116" xfId="0" applyFont="1" applyFill="1" applyBorder="1" applyAlignment="1">
      <alignment horizontal="center"/>
    </xf>
    <xf numFmtId="0" fontId="52" fillId="0" borderId="120" xfId="0" applyFont="1" applyFill="1" applyBorder="1" applyAlignment="1">
      <alignment horizontal="center"/>
    </xf>
    <xf numFmtId="0" fontId="52" fillId="0" borderId="64" xfId="0" applyFont="1" applyFill="1" applyBorder="1" applyAlignment="1">
      <alignment horizontal="center"/>
    </xf>
    <xf numFmtId="0" fontId="52" fillId="0" borderId="120" xfId="0" applyFont="1" applyFill="1" applyBorder="1" applyAlignment="1"/>
    <xf numFmtId="0" fontId="52" fillId="0" borderId="64" xfId="0" applyFont="1" applyFill="1" applyBorder="1" applyAlignment="1"/>
    <xf numFmtId="0" fontId="52" fillId="0" borderId="46" xfId="0" applyFont="1" applyFill="1" applyBorder="1" applyAlignment="1">
      <alignment horizontal="center"/>
    </xf>
    <xf numFmtId="0" fontId="218" fillId="0" borderId="116" xfId="0" applyFont="1" applyFill="1" applyBorder="1" applyAlignment="1">
      <alignment horizontal="center" textRotation="90"/>
    </xf>
    <xf numFmtId="0" fontId="218" fillId="0" borderId="64" xfId="0" applyFont="1" applyFill="1" applyBorder="1" applyAlignment="1">
      <alignment horizontal="center" textRotation="90"/>
    </xf>
    <xf numFmtId="0" fontId="218" fillId="0" borderId="116" xfId="0" applyFont="1" applyFill="1" applyBorder="1" applyAlignment="1">
      <alignment horizontal="center"/>
    </xf>
    <xf numFmtId="0" fontId="52" fillId="0" borderId="1" xfId="0" applyFont="1" applyFill="1" applyBorder="1" applyAlignment="1">
      <alignment horizontal="center"/>
    </xf>
    <xf numFmtId="0" fontId="52" fillId="0" borderId="1" xfId="0" applyFont="1" applyFill="1" applyBorder="1" applyAlignment="1">
      <alignment horizontal="center" vertical="top"/>
    </xf>
    <xf numFmtId="0" fontId="52" fillId="0" borderId="74" xfId="0" applyFont="1" applyFill="1" applyBorder="1" applyAlignment="1">
      <alignment horizontal="center" vertical="center"/>
    </xf>
    <xf numFmtId="0" fontId="52" fillId="0" borderId="63" xfId="0" applyFont="1" applyFill="1" applyBorder="1" applyAlignment="1">
      <alignment horizontal="center" vertical="center"/>
    </xf>
    <xf numFmtId="0" fontId="52" fillId="0" borderId="36" xfId="0" applyFont="1" applyFill="1" applyBorder="1" applyAlignment="1">
      <alignment horizontal="center" vertical="center"/>
    </xf>
    <xf numFmtId="0" fontId="52" fillId="0" borderId="74" xfId="0" applyFont="1" applyFill="1" applyBorder="1" applyAlignment="1">
      <alignment horizontal="center"/>
    </xf>
    <xf numFmtId="0" fontId="52" fillId="0" borderId="63" xfId="0" applyFont="1" applyFill="1" applyBorder="1" applyAlignment="1">
      <alignment horizontal="center"/>
    </xf>
    <xf numFmtId="0" fontId="52" fillId="0" borderId="36" xfId="0" applyFont="1" applyFill="1" applyBorder="1" applyAlignment="1">
      <alignment horizontal="center"/>
    </xf>
    <xf numFmtId="0" fontId="52" fillId="0" borderId="63" xfId="0" applyFont="1" applyFill="1" applyBorder="1" applyAlignment="1"/>
    <xf numFmtId="0" fontId="52" fillId="0" borderId="36" xfId="0" applyFont="1" applyFill="1" applyBorder="1" applyAlignment="1"/>
    <xf numFmtId="0" fontId="52" fillId="0" borderId="1" xfId="0" applyFont="1" applyFill="1" applyBorder="1" applyAlignment="1">
      <alignment horizontal="center" textRotation="90"/>
    </xf>
    <xf numFmtId="0" fontId="218" fillId="0" borderId="1" xfId="0" applyFont="1" applyFill="1" applyBorder="1" applyAlignment="1">
      <alignment horizontal="center" textRotation="90"/>
    </xf>
    <xf numFmtId="0" fontId="218" fillId="0" borderId="74" xfId="0" applyFont="1" applyFill="1" applyBorder="1" applyAlignment="1">
      <alignment horizontal="center" textRotation="90"/>
    </xf>
    <xf numFmtId="0" fontId="52" fillId="0" borderId="74" xfId="0" applyFont="1" applyFill="1" applyBorder="1" applyAlignment="1">
      <alignment horizontal="center" textRotation="90"/>
    </xf>
    <xf numFmtId="0" fontId="52" fillId="0" borderId="36" xfId="0" applyFont="1" applyFill="1" applyBorder="1" applyAlignment="1">
      <alignment horizontal="center" textRotation="90"/>
    </xf>
    <xf numFmtId="0" fontId="52" fillId="0" borderId="1" xfId="0" applyFont="1" applyFill="1" applyBorder="1" applyAlignment="1">
      <alignment horizontal="center" vertical="center"/>
    </xf>
    <xf numFmtId="0" fontId="52" fillId="0" borderId="1" xfId="0" applyFont="1" applyFill="1" applyBorder="1" applyAlignment="1">
      <alignment horizontal="center" vertical="center" textRotation="90"/>
    </xf>
    <xf numFmtId="0" fontId="52" fillId="0" borderId="47" xfId="0" applyFont="1" applyFill="1" applyBorder="1" applyAlignment="1">
      <alignment horizontal="center" vertical="center" textRotation="90"/>
    </xf>
    <xf numFmtId="0" fontId="218" fillId="0" borderId="36" xfId="0" applyFont="1" applyFill="1" applyBorder="1" applyAlignment="1">
      <alignment textRotation="90"/>
    </xf>
    <xf numFmtId="0" fontId="218" fillId="0" borderId="36" xfId="0" applyFont="1" applyFill="1" applyBorder="1" applyAlignment="1">
      <alignment horizontal="center" textRotation="90"/>
    </xf>
    <xf numFmtId="0" fontId="218" fillId="0" borderId="63" xfId="0" applyFont="1" applyFill="1" applyBorder="1" applyAlignment="1">
      <alignment horizontal="center" textRotation="90"/>
    </xf>
    <xf numFmtId="0" fontId="218" fillId="0" borderId="96" xfId="0" applyFont="1" applyFill="1" applyBorder="1" applyAlignment="1">
      <alignment horizontal="center" textRotation="90"/>
    </xf>
    <xf numFmtId="0" fontId="52" fillId="0" borderId="95" xfId="0" applyFont="1" applyFill="1" applyBorder="1" applyAlignment="1">
      <alignment horizontal="center" textRotation="90"/>
    </xf>
    <xf numFmtId="0" fontId="218" fillId="0" borderId="74" xfId="0" applyFont="1" applyFill="1" applyBorder="1" applyAlignment="1">
      <alignment horizontal="center"/>
    </xf>
    <xf numFmtId="0" fontId="218" fillId="0" borderId="63" xfId="0" applyFont="1" applyFill="1" applyBorder="1" applyAlignment="1">
      <alignment horizontal="center"/>
    </xf>
    <xf numFmtId="0" fontId="218" fillId="0" borderId="36" xfId="0" applyFont="1" applyFill="1" applyBorder="1" applyAlignment="1">
      <alignment horizontal="center"/>
    </xf>
    <xf numFmtId="0" fontId="218" fillId="0" borderId="63" xfId="0" applyFont="1" applyFill="1" applyBorder="1" applyAlignment="1"/>
    <xf numFmtId="0" fontId="218" fillId="0" borderId="36" xfId="0" applyFont="1" applyFill="1" applyBorder="1" applyAlignment="1"/>
    <xf numFmtId="0" fontId="218" fillId="0" borderId="1" xfId="0" applyFont="1" applyFill="1" applyBorder="1" applyAlignment="1">
      <alignment horizontal="center"/>
    </xf>
    <xf numFmtId="0" fontId="218" fillId="0" borderId="63" xfId="0" applyFont="1" applyFill="1" applyBorder="1" applyAlignment="1">
      <alignment vertical="center"/>
    </xf>
    <xf numFmtId="0" fontId="218" fillId="0" borderId="36" xfId="0" applyFont="1" applyFill="1" applyBorder="1" applyAlignment="1">
      <alignment vertical="center"/>
    </xf>
    <xf numFmtId="0" fontId="218" fillId="0" borderId="63" xfId="0" applyFont="1" applyFill="1" applyBorder="1" applyAlignment="1">
      <alignment horizontal="center" vertical="center"/>
    </xf>
    <xf numFmtId="0" fontId="218" fillId="0" borderId="36" xfId="0" applyFont="1" applyFill="1" applyBorder="1" applyAlignment="1">
      <alignment horizontal="center" vertical="center"/>
    </xf>
    <xf numFmtId="0" fontId="52" fillId="0" borderId="96" xfId="0" applyFont="1" applyFill="1" applyBorder="1" applyAlignment="1">
      <alignment horizontal="center" vertical="center"/>
    </xf>
    <xf numFmtId="0" fontId="216" fillId="0" borderId="38" xfId="0" applyFont="1" applyFill="1" applyBorder="1" applyAlignment="1">
      <alignment horizontal="center"/>
    </xf>
    <xf numFmtId="0" fontId="216" fillId="0" borderId="45" xfId="0" applyFont="1" applyFill="1" applyBorder="1" applyAlignment="1">
      <alignment horizontal="center"/>
    </xf>
    <xf numFmtId="0" fontId="217" fillId="0" borderId="44" xfId="0" applyFont="1" applyFill="1" applyBorder="1" applyAlignment="1">
      <alignment horizontal="center"/>
    </xf>
    <xf numFmtId="0" fontId="221" fillId="0" borderId="44" xfId="0" applyFont="1" applyFill="1" applyBorder="1" applyAlignment="1">
      <alignment horizontal="center"/>
    </xf>
    <xf numFmtId="0" fontId="221" fillId="0" borderId="45" xfId="0" applyFont="1" applyFill="1" applyBorder="1" applyAlignment="1">
      <alignment horizontal="center"/>
    </xf>
    <xf numFmtId="0" fontId="218" fillId="0" borderId="47" xfId="0" applyFont="1" applyFill="1" applyBorder="1" applyAlignment="1">
      <alignment horizontal="center"/>
    </xf>
    <xf numFmtId="0" fontId="218" fillId="0" borderId="48" xfId="0" applyFont="1" applyFill="1" applyBorder="1" applyAlignment="1">
      <alignment horizontal="center"/>
    </xf>
    <xf numFmtId="0" fontId="52" fillId="0" borderId="4" xfId="0" applyFont="1" applyFill="1" applyBorder="1" applyAlignment="1">
      <alignment horizontal="left"/>
    </xf>
    <xf numFmtId="0" fontId="218" fillId="0" borderId="0" xfId="0" applyFont="1" applyFill="1" applyBorder="1" applyAlignment="1">
      <alignment horizontal="left"/>
    </xf>
    <xf numFmtId="0" fontId="218" fillId="0" borderId="30" xfId="0" applyFont="1" applyFill="1" applyBorder="1" applyAlignment="1">
      <alignment horizontal="left"/>
    </xf>
    <xf numFmtId="0" fontId="218" fillId="0" borderId="4" xfId="0" applyFont="1" applyFill="1" applyBorder="1" applyAlignment="1">
      <alignment horizontal="center"/>
    </xf>
    <xf numFmtId="0" fontId="218" fillId="0" borderId="0" xfId="0" applyFont="1" applyFill="1" applyBorder="1" applyAlignment="1">
      <alignment horizontal="center"/>
    </xf>
    <xf numFmtId="0" fontId="218" fillId="0" borderId="30" xfId="0" applyFont="1" applyFill="1" applyBorder="1" applyAlignment="1">
      <alignment horizontal="center"/>
    </xf>
    <xf numFmtId="0" fontId="218" fillId="0" borderId="38" xfId="0" applyFont="1" applyFill="1" applyBorder="1" applyAlignment="1">
      <alignment horizontal="center"/>
    </xf>
    <xf numFmtId="0" fontId="218" fillId="0" borderId="44" xfId="0" applyFont="1" applyFill="1" applyBorder="1" applyAlignment="1">
      <alignment horizontal="center"/>
    </xf>
    <xf numFmtId="0" fontId="218" fillId="0" borderId="39" xfId="0" applyFont="1" applyFill="1" applyBorder="1" applyAlignment="1">
      <alignment horizontal="center"/>
    </xf>
    <xf numFmtId="0" fontId="52" fillId="0" borderId="55" xfId="0" applyFont="1" applyFill="1" applyBorder="1" applyAlignment="1">
      <alignment horizontal="center" vertical="center" wrapText="1"/>
    </xf>
    <xf numFmtId="0" fontId="52" fillId="0" borderId="56" xfId="0" applyFont="1" applyFill="1" applyBorder="1" applyAlignment="1">
      <alignment horizontal="center" vertical="center" wrapText="1"/>
    </xf>
    <xf numFmtId="0" fontId="52" fillId="0" borderId="59" xfId="0" applyFont="1" applyFill="1" applyBorder="1" applyAlignment="1">
      <alignment horizontal="center" vertical="center" wrapText="1"/>
    </xf>
    <xf numFmtId="0" fontId="52" fillId="0" borderId="60" xfId="0" applyFont="1" applyFill="1" applyBorder="1" applyAlignment="1">
      <alignment horizontal="center" vertical="center" wrapText="1"/>
    </xf>
    <xf numFmtId="0" fontId="52" fillId="0" borderId="57" xfId="0" applyFont="1" applyFill="1" applyBorder="1" applyAlignment="1">
      <alignment horizontal="center" vertical="center" wrapText="1"/>
    </xf>
    <xf numFmtId="0" fontId="52" fillId="0" borderId="58" xfId="0" applyFont="1" applyFill="1" applyBorder="1" applyAlignment="1">
      <alignment horizontal="center" vertical="center" wrapText="1"/>
    </xf>
    <xf numFmtId="0" fontId="173" fillId="0" borderId="55" xfId="0" applyFont="1" applyFill="1" applyBorder="1" applyAlignment="1">
      <alignment horizontal="center" vertical="center"/>
    </xf>
    <xf numFmtId="0" fontId="173" fillId="0" borderId="56" xfId="0" applyFont="1" applyFill="1" applyBorder="1" applyAlignment="1">
      <alignment horizontal="center" vertical="center"/>
    </xf>
    <xf numFmtId="0" fontId="173" fillId="0" borderId="59" xfId="0" applyFont="1" applyFill="1" applyBorder="1" applyAlignment="1">
      <alignment horizontal="center" vertical="center"/>
    </xf>
    <xf numFmtId="0" fontId="173" fillId="0" borderId="60" xfId="0" applyFont="1" applyFill="1" applyBorder="1" applyAlignment="1">
      <alignment horizontal="center" vertical="center"/>
    </xf>
    <xf numFmtId="0" fontId="52" fillId="0" borderId="4" xfId="0" applyFont="1" applyFill="1" applyBorder="1" applyAlignment="1">
      <alignment horizontal="left" vertical="center" wrapText="1"/>
    </xf>
    <xf numFmtId="0" fontId="218" fillId="0" borderId="0" xfId="0" applyFont="1" applyFill="1" applyBorder="1" applyAlignment="1">
      <alignment horizontal="left" vertical="center" wrapText="1"/>
    </xf>
    <xf numFmtId="0" fontId="218" fillId="0" borderId="30" xfId="0" applyFont="1" applyFill="1" applyBorder="1" applyAlignment="1">
      <alignment horizontal="left" vertical="center" wrapText="1"/>
    </xf>
    <xf numFmtId="0" fontId="218" fillId="0" borderId="4" xfId="0" applyFont="1" applyFill="1" applyBorder="1" applyAlignment="1">
      <alignment horizontal="left" vertical="center" wrapText="1"/>
    </xf>
    <xf numFmtId="0" fontId="218" fillId="0" borderId="22" xfId="0" applyFont="1" applyFill="1" applyBorder="1" applyAlignment="1">
      <alignment horizontal="left" vertical="center" wrapText="1"/>
    </xf>
    <xf numFmtId="0" fontId="218" fillId="0" borderId="23" xfId="0" applyFont="1" applyFill="1" applyBorder="1" applyAlignment="1">
      <alignment horizontal="left" vertical="center" wrapText="1"/>
    </xf>
    <xf numFmtId="0" fontId="218" fillId="0" borderId="35" xfId="0" applyFont="1" applyFill="1" applyBorder="1" applyAlignment="1">
      <alignment horizontal="left" vertical="center" wrapText="1"/>
    </xf>
    <xf numFmtId="0" fontId="52" fillId="0" borderId="46" xfId="0" applyFont="1" applyFill="1" applyBorder="1" applyAlignment="1">
      <alignment horizontal="center" vertical="center"/>
    </xf>
    <xf numFmtId="0" fontId="52" fillId="0" borderId="117" xfId="0" applyFont="1" applyFill="1" applyBorder="1" applyAlignment="1">
      <alignment horizontal="center" vertical="center" wrapText="1"/>
    </xf>
    <xf numFmtId="0" fontId="219" fillId="0" borderId="94" xfId="0" applyFont="1" applyFill="1" applyBorder="1" applyAlignment="1">
      <alignment horizontal="center" vertical="center" wrapText="1"/>
    </xf>
    <xf numFmtId="0" fontId="52" fillId="0" borderId="93" xfId="0" applyFont="1" applyFill="1" applyBorder="1" applyAlignment="1">
      <alignment horizontal="center" vertical="center" wrapText="1"/>
    </xf>
    <xf numFmtId="0" fontId="52" fillId="0" borderId="94" xfId="0" applyFont="1" applyFill="1" applyBorder="1" applyAlignment="1">
      <alignment horizontal="center" vertical="center" wrapText="1"/>
    </xf>
    <xf numFmtId="0" fontId="173" fillId="0" borderId="156" xfId="0" applyFont="1" applyFill="1" applyBorder="1" applyAlignment="1">
      <alignment horizontal="center" vertical="center"/>
    </xf>
    <xf numFmtId="0" fontId="173" fillId="0" borderId="153" xfId="0" applyFont="1" applyFill="1" applyBorder="1" applyAlignment="1">
      <alignment horizontal="center" vertical="center"/>
    </xf>
    <xf numFmtId="0" fontId="52" fillId="0" borderId="47" xfId="0" applyFont="1" applyFill="1" applyBorder="1" applyAlignment="1">
      <alignment horizontal="center"/>
    </xf>
    <xf numFmtId="0" fontId="52" fillId="0" borderId="47" xfId="0" applyFont="1" applyFill="1" applyBorder="1" applyAlignment="1">
      <alignment horizontal="center" vertical="center"/>
    </xf>
    <xf numFmtId="0" fontId="52" fillId="0" borderId="48" xfId="0" applyFont="1" applyFill="1" applyBorder="1" applyAlignment="1">
      <alignment horizontal="center" vertical="center"/>
    </xf>
    <xf numFmtId="0" fontId="20" fillId="0" borderId="93" xfId="0" applyFont="1" applyFill="1" applyBorder="1" applyAlignment="1">
      <alignment horizontal="center" vertical="center"/>
    </xf>
    <xf numFmtId="0" fontId="20" fillId="0" borderId="94" xfId="0" applyFont="1" applyFill="1" applyBorder="1" applyAlignment="1">
      <alignment horizontal="center" vertical="center"/>
    </xf>
    <xf numFmtId="0" fontId="52" fillId="0" borderId="55" xfId="0" applyFont="1" applyFill="1" applyBorder="1" applyAlignment="1">
      <alignment horizontal="center" vertical="center"/>
    </xf>
    <xf numFmtId="0" fontId="52" fillId="0" borderId="56" xfId="0" applyFont="1" applyFill="1" applyBorder="1" applyAlignment="1">
      <alignment horizontal="center" vertical="center"/>
    </xf>
    <xf numFmtId="0" fontId="52" fillId="0" borderId="57" xfId="0" applyFont="1" applyFill="1" applyBorder="1" applyAlignment="1">
      <alignment horizontal="center" vertical="center"/>
    </xf>
    <xf numFmtId="0" fontId="52" fillId="0" borderId="58" xfId="0" applyFont="1" applyFill="1" applyBorder="1" applyAlignment="1">
      <alignment horizontal="center" vertical="center"/>
    </xf>
    <xf numFmtId="0" fontId="52" fillId="0" borderId="59" xfId="0" applyFont="1" applyFill="1" applyBorder="1" applyAlignment="1">
      <alignment horizontal="center" vertical="center"/>
    </xf>
    <xf numFmtId="0" fontId="52" fillId="0" borderId="60" xfId="0" applyFont="1" applyFill="1" applyBorder="1" applyAlignment="1">
      <alignment horizontal="center" vertical="center"/>
    </xf>
    <xf numFmtId="0" fontId="52" fillId="0" borderId="0" xfId="0" applyFont="1" applyFill="1" applyBorder="1" applyAlignment="1">
      <alignment horizontal="left"/>
    </xf>
    <xf numFmtId="0" fontId="52" fillId="0" borderId="1" xfId="0" applyFont="1" applyFill="1" applyBorder="1" applyAlignment="1">
      <alignment horizontal="center" vertical="center" wrapText="1"/>
    </xf>
    <xf numFmtId="0" fontId="218" fillId="0" borderId="46" xfId="0" applyFont="1" applyFill="1" applyBorder="1" applyAlignment="1">
      <alignment horizontal="center" vertical="center" wrapText="1"/>
    </xf>
    <xf numFmtId="0" fontId="218" fillId="0" borderId="44" xfId="0" applyFont="1" applyFill="1" applyBorder="1" applyAlignment="1">
      <alignment horizontal="center" vertical="center" wrapText="1"/>
    </xf>
    <xf numFmtId="0" fontId="218" fillId="0" borderId="45" xfId="0" applyFont="1" applyFill="1" applyBorder="1" applyAlignment="1">
      <alignment horizontal="center" vertical="center" wrapText="1"/>
    </xf>
    <xf numFmtId="0" fontId="218" fillId="0" borderId="38" xfId="0" applyFont="1" applyFill="1" applyBorder="1" applyAlignment="1">
      <alignment horizontal="center" vertical="center" wrapText="1"/>
    </xf>
    <xf numFmtId="0" fontId="21" fillId="0" borderId="44" xfId="0" applyFont="1" applyFill="1" applyBorder="1" applyAlignment="1">
      <alignment horizontal="center" vertical="center"/>
    </xf>
    <xf numFmtId="0" fontId="21" fillId="0" borderId="1" xfId="0" applyFont="1" applyFill="1" applyBorder="1" applyAlignment="1">
      <alignment horizontal="center" vertical="center"/>
    </xf>
    <xf numFmtId="0" fontId="20" fillId="0" borderId="39" xfId="0" applyFont="1" applyFill="1" applyBorder="1" applyAlignment="1">
      <alignment horizontal="center" vertical="center" wrapText="1"/>
    </xf>
    <xf numFmtId="0" fontId="173" fillId="0" borderId="1" xfId="0" applyFont="1" applyFill="1" applyBorder="1" applyAlignment="1">
      <alignment horizontal="center" vertical="center" wrapText="1"/>
    </xf>
    <xf numFmtId="0" fontId="173" fillId="0" borderId="39" xfId="0" applyFont="1" applyFill="1" applyBorder="1" applyAlignment="1">
      <alignment horizontal="center" vertical="center" wrapText="1"/>
    </xf>
    <xf numFmtId="0" fontId="173" fillId="0" borderId="39" xfId="0" applyFont="1" applyFill="1" applyBorder="1" applyAlignment="1">
      <alignment horizontal="center" vertical="center"/>
    </xf>
    <xf numFmtId="0" fontId="173" fillId="0" borderId="1" xfId="0" applyFont="1" applyFill="1" applyBorder="1" applyAlignment="1">
      <alignment horizontal="center" vertical="center"/>
    </xf>
    <xf numFmtId="0" fontId="173" fillId="0" borderId="40" xfId="0" applyFont="1" applyFill="1" applyBorder="1" applyAlignment="1">
      <alignment horizontal="center" vertical="center"/>
    </xf>
    <xf numFmtId="0" fontId="173" fillId="0" borderId="47" xfId="0" applyFont="1" applyFill="1" applyBorder="1" applyAlignment="1">
      <alignment horizontal="center" vertical="center"/>
    </xf>
    <xf numFmtId="0" fontId="52" fillId="0" borderId="93" xfId="0" applyFont="1" applyFill="1" applyBorder="1" applyAlignment="1">
      <alignment horizontal="center"/>
    </xf>
    <xf numFmtId="0" fontId="52" fillId="0" borderId="118" xfId="0" applyFont="1" applyFill="1" applyBorder="1" applyAlignment="1">
      <alignment horizontal="center"/>
    </xf>
    <xf numFmtId="0" fontId="52" fillId="0" borderId="44" xfId="0" applyFont="1" applyFill="1" applyBorder="1" applyAlignment="1">
      <alignment horizontal="center"/>
    </xf>
    <xf numFmtId="0" fontId="52" fillId="0" borderId="44" xfId="0" applyFont="1" applyFill="1" applyBorder="1" applyAlignment="1">
      <alignment horizontal="center" vertical="top"/>
    </xf>
    <xf numFmtId="0" fontId="218" fillId="0" borderId="45" xfId="0" applyFont="1" applyFill="1" applyBorder="1" applyAlignment="1">
      <alignment horizontal="center" vertical="top"/>
    </xf>
    <xf numFmtId="0" fontId="218" fillId="0" borderId="38" xfId="0" applyFont="1" applyFill="1" applyBorder="1" applyAlignment="1">
      <alignment horizontal="center" vertical="center"/>
    </xf>
    <xf numFmtId="0" fontId="173" fillId="0" borderId="44" xfId="0" applyFont="1" applyFill="1" applyBorder="1" applyAlignment="1">
      <alignment horizontal="center" vertical="center"/>
    </xf>
    <xf numFmtId="0" fontId="52" fillId="0" borderId="39" xfId="0" applyFont="1" applyFill="1" applyBorder="1" applyAlignment="1">
      <alignment horizontal="center" vertical="center" wrapText="1"/>
    </xf>
    <xf numFmtId="0" fontId="52" fillId="0" borderId="40" xfId="0" applyFont="1" applyFill="1" applyBorder="1" applyAlignment="1">
      <alignment horizontal="center" vertical="center" wrapText="1"/>
    </xf>
    <xf numFmtId="0" fontId="52" fillId="0" borderId="47" xfId="0" applyFont="1" applyFill="1" applyBorder="1" applyAlignment="1">
      <alignment horizontal="center" vertical="center" wrapText="1"/>
    </xf>
    <xf numFmtId="0" fontId="52" fillId="0" borderId="30" xfId="0" applyFont="1" applyFill="1" applyBorder="1" applyAlignment="1">
      <alignment horizontal="left"/>
    </xf>
    <xf numFmtId="0" fontId="219" fillId="0" borderId="38" xfId="0" applyFont="1" applyFill="1" applyBorder="1" applyAlignment="1">
      <alignment horizontal="center" vertical="center" wrapText="1"/>
    </xf>
    <xf numFmtId="0" fontId="52" fillId="0" borderId="44" xfId="0" applyFont="1" applyFill="1" applyBorder="1" applyAlignment="1">
      <alignment horizontal="center" vertical="center" wrapText="1"/>
    </xf>
    <xf numFmtId="0" fontId="219" fillId="0" borderId="39" xfId="0" applyFont="1" applyFill="1" applyBorder="1" applyAlignment="1">
      <alignment horizontal="center" vertical="center" wrapText="1"/>
    </xf>
    <xf numFmtId="0" fontId="52" fillId="0" borderId="55" xfId="0" applyFont="1" applyFill="1" applyBorder="1" applyAlignment="1">
      <alignment horizontal="center"/>
    </xf>
    <xf numFmtId="0" fontId="52" fillId="0" borderId="61" xfId="0" applyFont="1" applyFill="1" applyBorder="1" applyAlignment="1">
      <alignment horizontal="center"/>
    </xf>
    <xf numFmtId="0" fontId="52" fillId="0" borderId="56" xfId="0" applyFont="1" applyFill="1" applyBorder="1" applyAlignment="1">
      <alignment horizontal="center"/>
    </xf>
    <xf numFmtId="0" fontId="52" fillId="0" borderId="59" xfId="0" applyFont="1" applyFill="1" applyBorder="1" applyAlignment="1">
      <alignment horizontal="center"/>
    </xf>
    <xf numFmtId="0" fontId="52" fillId="0" borderId="53" xfId="0" applyFont="1" applyFill="1" applyBorder="1" applyAlignment="1">
      <alignment horizontal="center"/>
    </xf>
    <xf numFmtId="0" fontId="52" fillId="0" borderId="60" xfId="0" applyFont="1" applyFill="1" applyBorder="1" applyAlignment="1">
      <alignment horizontal="center"/>
    </xf>
    <xf numFmtId="0" fontId="52" fillId="0" borderId="99" xfId="0" applyFont="1" applyFill="1" applyBorder="1" applyAlignment="1">
      <alignment horizontal="center"/>
    </xf>
    <xf numFmtId="0" fontId="52" fillId="0" borderId="100" xfId="0" applyFont="1" applyFill="1" applyBorder="1" applyAlignment="1">
      <alignment horizontal="center"/>
    </xf>
    <xf numFmtId="0" fontId="218" fillId="0" borderId="0" xfId="0" applyFont="1" applyFill="1" applyBorder="1" applyAlignment="1">
      <alignment horizontal="left" vertical="top" wrapText="1"/>
    </xf>
    <xf numFmtId="0" fontId="218" fillId="0" borderId="30" xfId="0" applyFont="1" applyFill="1" applyBorder="1" applyAlignment="1">
      <alignment horizontal="left" vertical="top" wrapText="1"/>
    </xf>
    <xf numFmtId="0" fontId="20" fillId="0" borderId="4" xfId="0" applyFont="1" applyFill="1" applyBorder="1" applyAlignment="1">
      <alignment horizontal="center"/>
    </xf>
    <xf numFmtId="0" fontId="20" fillId="0" borderId="0" xfId="0" applyFont="1" applyFill="1" applyBorder="1" applyAlignment="1">
      <alignment horizontal="center"/>
    </xf>
    <xf numFmtId="0" fontId="173" fillId="0" borderId="99" xfId="0" applyFont="1" applyFill="1" applyBorder="1" applyAlignment="1">
      <alignment horizontal="center"/>
    </xf>
    <xf numFmtId="0" fontId="173" fillId="0" borderId="100" xfId="0" applyFont="1" applyFill="1" applyBorder="1" applyAlignment="1">
      <alignment horizontal="center"/>
    </xf>
    <xf numFmtId="0" fontId="219" fillId="0" borderId="3" xfId="0" applyFont="1" applyFill="1" applyBorder="1" applyAlignment="1">
      <alignment horizontal="left" vertical="center"/>
    </xf>
    <xf numFmtId="0" fontId="219" fillId="0" borderId="29" xfId="0" applyFont="1" applyFill="1" applyBorder="1" applyAlignment="1">
      <alignment horizontal="left" vertical="center"/>
    </xf>
    <xf numFmtId="0" fontId="219" fillId="0" borderId="0" xfId="0" applyFont="1" applyFill="1" applyBorder="1" applyAlignment="1">
      <alignment horizontal="left" vertical="center"/>
    </xf>
    <xf numFmtId="0" fontId="219" fillId="0" borderId="30" xfId="0" applyFont="1" applyFill="1" applyBorder="1" applyAlignment="1">
      <alignment horizontal="left" vertical="center"/>
    </xf>
    <xf numFmtId="0" fontId="52" fillId="0" borderId="57" xfId="0" applyFont="1" applyFill="1" applyBorder="1" applyAlignment="1">
      <alignment horizontal="center"/>
    </xf>
    <xf numFmtId="0" fontId="52" fillId="0" borderId="0" xfId="0" applyFont="1" applyFill="1" applyBorder="1" applyAlignment="1">
      <alignment horizontal="center"/>
    </xf>
    <xf numFmtId="0" fontId="52" fillId="0" borderId="58" xfId="0" applyFont="1" applyFill="1" applyBorder="1" applyAlignment="1">
      <alignment horizontal="center"/>
    </xf>
    <xf numFmtId="0" fontId="52" fillId="0" borderId="99" xfId="0" applyFont="1" applyFill="1" applyBorder="1" applyAlignment="1">
      <alignment horizontal="center" vertical="center"/>
    </xf>
    <xf numFmtId="0" fontId="52" fillId="0" borderId="30" xfId="0" applyFont="1" applyFill="1" applyBorder="1" applyAlignment="1">
      <alignment horizontal="center" vertical="center"/>
    </xf>
    <xf numFmtId="0" fontId="52" fillId="0" borderId="100" xfId="0" applyFont="1" applyFill="1" applyBorder="1" applyAlignment="1">
      <alignment horizontal="center" vertical="center"/>
    </xf>
    <xf numFmtId="193" fontId="52" fillId="0" borderId="55" xfId="0" applyNumberFormat="1" applyFont="1" applyFill="1" applyBorder="1" applyAlignment="1">
      <alignment horizontal="center" wrapText="1"/>
    </xf>
    <xf numFmtId="193" fontId="52" fillId="0" borderId="56" xfId="0" applyNumberFormat="1" applyFont="1" applyFill="1" applyBorder="1" applyAlignment="1">
      <alignment horizontal="center" wrapText="1"/>
    </xf>
    <xf numFmtId="193" fontId="52" fillId="0" borderId="57" xfId="0" applyNumberFormat="1" applyFont="1" applyFill="1" applyBorder="1" applyAlignment="1">
      <alignment horizontal="center" wrapText="1"/>
    </xf>
    <xf numFmtId="193" fontId="52" fillId="0" borderId="58" xfId="0" applyNumberFormat="1" applyFont="1" applyFill="1" applyBorder="1" applyAlignment="1">
      <alignment horizontal="center" wrapText="1"/>
    </xf>
    <xf numFmtId="193" fontId="52" fillId="0" borderId="59" xfId="0" applyNumberFormat="1" applyFont="1" applyFill="1" applyBorder="1" applyAlignment="1">
      <alignment horizontal="center" wrapText="1"/>
    </xf>
    <xf numFmtId="193" fontId="52" fillId="0" borderId="60" xfId="0" applyNumberFormat="1" applyFont="1" applyFill="1" applyBorder="1" applyAlignment="1">
      <alignment horizontal="center" wrapText="1"/>
    </xf>
    <xf numFmtId="0" fontId="52" fillId="0" borderId="187" xfId="0" applyFont="1" applyFill="1" applyBorder="1" applyAlignment="1">
      <alignment horizontal="center"/>
    </xf>
    <xf numFmtId="0" fontId="52" fillId="0" borderId="186" xfId="0" applyFont="1" applyFill="1" applyBorder="1" applyAlignment="1">
      <alignment horizontal="center"/>
    </xf>
    <xf numFmtId="0" fontId="52" fillId="0" borderId="187" xfId="0" applyFont="1" applyFill="1" applyBorder="1" applyAlignment="1">
      <alignment horizontal="center" vertical="center"/>
    </xf>
    <xf numFmtId="0" fontId="52" fillId="0" borderId="186" xfId="0" applyFont="1" applyFill="1" applyBorder="1" applyAlignment="1">
      <alignment horizontal="center" vertical="center"/>
    </xf>
    <xf numFmtId="0" fontId="52" fillId="0" borderId="23" xfId="0" applyFont="1" applyFill="1" applyBorder="1" applyAlignment="1">
      <alignment horizontal="center"/>
    </xf>
    <xf numFmtId="0" fontId="218" fillId="0" borderId="97" xfId="0" applyFont="1" applyFill="1" applyBorder="1" applyAlignment="1">
      <alignment horizontal="center" vertical="top" wrapText="1"/>
    </xf>
    <xf numFmtId="0" fontId="218" fillId="0" borderId="56" xfId="0" applyFont="1" applyFill="1" applyBorder="1" applyAlignment="1">
      <alignment horizontal="center" vertical="top" wrapText="1"/>
    </xf>
    <xf numFmtId="0" fontId="218" fillId="0" borderId="98" xfId="0" applyFont="1" applyFill="1" applyBorder="1" applyAlignment="1">
      <alignment horizontal="center" vertical="top" wrapText="1"/>
    </xf>
    <xf numFmtId="0" fontId="218" fillId="0" borderId="60" xfId="0" applyFont="1" applyFill="1" applyBorder="1" applyAlignment="1">
      <alignment horizontal="center" vertical="top" wrapText="1"/>
    </xf>
    <xf numFmtId="0" fontId="52" fillId="0" borderId="35" xfId="0" applyFont="1" applyFill="1" applyBorder="1" applyAlignment="1">
      <alignment horizontal="center" vertical="center"/>
    </xf>
    <xf numFmtId="0" fontId="219" fillId="0" borderId="1" xfId="0" applyFont="1" applyFill="1" applyBorder="1" applyAlignment="1">
      <alignment horizontal="center" vertical="top" wrapText="1"/>
    </xf>
    <xf numFmtId="0" fontId="219" fillId="0" borderId="1" xfId="0" applyFont="1" applyFill="1" applyBorder="1" applyAlignment="1">
      <alignment horizontal="center" vertical="top"/>
    </xf>
    <xf numFmtId="0" fontId="52" fillId="0" borderId="4" xfId="0" applyFont="1" applyFill="1" applyBorder="1" applyAlignment="1">
      <alignment horizontal="left" vertical="top" wrapText="1"/>
    </xf>
    <xf numFmtId="0" fontId="219" fillId="0" borderId="0" xfId="0" applyFont="1" applyFill="1" applyBorder="1" applyAlignment="1">
      <alignment horizontal="left" vertical="top"/>
    </xf>
    <xf numFmtId="0" fontId="219" fillId="0" borderId="4" xfId="0" applyFont="1" applyFill="1" applyBorder="1" applyAlignment="1">
      <alignment horizontal="left" vertical="top"/>
    </xf>
    <xf numFmtId="0" fontId="52" fillId="0" borderId="44" xfId="0" applyFont="1" applyFill="1" applyBorder="1" applyAlignment="1">
      <alignment horizontal="center" vertical="center"/>
    </xf>
    <xf numFmtId="0" fontId="52" fillId="0" borderId="45" xfId="0" applyFont="1" applyFill="1" applyBorder="1" applyAlignment="1">
      <alignment horizontal="center" vertical="center"/>
    </xf>
    <xf numFmtId="0" fontId="20" fillId="0" borderId="30" xfId="0" applyFont="1" applyFill="1" applyBorder="1" applyAlignment="1">
      <alignment horizontal="center"/>
    </xf>
    <xf numFmtId="0" fontId="52" fillId="0" borderId="0" xfId="0" applyFont="1" applyFill="1" applyBorder="1" applyAlignment="1">
      <alignment horizontal="left" vertical="top" wrapText="1"/>
    </xf>
    <xf numFmtId="0" fontId="52" fillId="0" borderId="30" xfId="0" applyFont="1" applyFill="1" applyBorder="1" applyAlignment="1">
      <alignment horizontal="left" vertical="top" wrapText="1"/>
    </xf>
    <xf numFmtId="0" fontId="52" fillId="0" borderId="38" xfId="0" applyFont="1" applyFill="1" applyBorder="1" applyAlignment="1">
      <alignment horizontal="center" vertical="top" wrapText="1"/>
    </xf>
    <xf numFmtId="0" fontId="219" fillId="0" borderId="44" xfId="0" applyFont="1" applyFill="1" applyBorder="1" applyAlignment="1">
      <alignment horizontal="center" vertical="top"/>
    </xf>
    <xf numFmtId="0" fontId="219" fillId="0" borderId="39" xfId="0" applyFont="1" applyFill="1" applyBorder="1" applyAlignment="1">
      <alignment horizontal="center" vertical="top"/>
    </xf>
    <xf numFmtId="0" fontId="52" fillId="0" borderId="40" xfId="0" applyFont="1" applyFill="1" applyBorder="1" applyAlignment="1">
      <alignment horizontal="center"/>
    </xf>
    <xf numFmtId="0" fontId="52" fillId="0" borderId="156" xfId="0" applyFont="1" applyFill="1" applyBorder="1" applyAlignment="1">
      <alignment horizontal="center"/>
    </xf>
    <xf numFmtId="0" fontId="52" fillId="0" borderId="153" xfId="0" applyFont="1" applyFill="1" applyBorder="1" applyAlignment="1">
      <alignment horizontal="center"/>
    </xf>
    <xf numFmtId="0" fontId="52" fillId="0" borderId="62" xfId="0" applyFont="1" applyFill="1" applyBorder="1" applyAlignment="1">
      <alignment horizontal="center"/>
    </xf>
    <xf numFmtId="0" fontId="218" fillId="0" borderId="2" xfId="0" applyFont="1" applyFill="1" applyBorder="1" applyAlignment="1">
      <alignment horizontal="left" vertical="center" wrapText="1"/>
    </xf>
    <xf numFmtId="0" fontId="218" fillId="0" borderId="3" xfId="0" applyFont="1" applyFill="1" applyBorder="1" applyAlignment="1">
      <alignment horizontal="left" vertical="center" wrapText="1"/>
    </xf>
    <xf numFmtId="0" fontId="218" fillId="0" borderId="29" xfId="0" applyFont="1" applyFill="1" applyBorder="1" applyAlignment="1">
      <alignment horizontal="left" vertical="center" wrapText="1"/>
    </xf>
    <xf numFmtId="0" fontId="52" fillId="0" borderId="39" xfId="0" applyFont="1" applyFill="1" applyBorder="1" applyAlignment="1">
      <alignment horizontal="center"/>
    </xf>
    <xf numFmtId="0" fontId="52" fillId="0" borderId="94" xfId="0" applyFont="1" applyFill="1" applyBorder="1" applyAlignment="1">
      <alignment horizontal="center"/>
    </xf>
    <xf numFmtId="0" fontId="52" fillId="0" borderId="93" xfId="0" applyFont="1" applyFill="1" applyBorder="1" applyAlignment="1">
      <alignment horizontal="center" vertical="center"/>
    </xf>
    <xf numFmtId="0" fontId="52" fillId="0" borderId="94" xfId="0" applyFont="1" applyFill="1" applyBorder="1" applyAlignment="1">
      <alignment horizontal="center" vertical="center"/>
    </xf>
    <xf numFmtId="0" fontId="52" fillId="0" borderId="54" xfId="0" applyFont="1" applyFill="1" applyBorder="1" applyAlignment="1">
      <alignment horizontal="center"/>
    </xf>
    <xf numFmtId="0" fontId="218" fillId="0" borderId="45" xfId="0" applyFont="1" applyFill="1" applyBorder="1" applyAlignment="1">
      <alignment horizontal="center"/>
    </xf>
    <xf numFmtId="0" fontId="218" fillId="0" borderId="22" xfId="0" applyFont="1" applyFill="1" applyBorder="1" applyAlignment="1">
      <alignment horizontal="center"/>
    </xf>
    <xf numFmtId="0" fontId="218" fillId="0" borderId="23" xfId="0" applyFont="1" applyFill="1" applyBorder="1" applyAlignment="1">
      <alignment horizontal="center"/>
    </xf>
    <xf numFmtId="0" fontId="218" fillId="0" borderId="35" xfId="0" applyFont="1" applyFill="1" applyBorder="1" applyAlignment="1">
      <alignment horizontal="center"/>
    </xf>
    <xf numFmtId="0" fontId="52" fillId="0" borderId="39" xfId="0" applyFont="1" applyFill="1" applyBorder="1" applyAlignment="1">
      <alignment horizontal="center" vertical="top"/>
    </xf>
    <xf numFmtId="0" fontId="52" fillId="0" borderId="115" xfId="0" applyFont="1" applyFill="1" applyBorder="1" applyAlignment="1">
      <alignment horizontal="center" vertical="top"/>
    </xf>
    <xf numFmtId="0" fontId="219" fillId="0" borderId="74" xfId="0" applyFont="1" applyFill="1" applyBorder="1" applyAlignment="1">
      <alignment horizontal="center" vertical="top"/>
    </xf>
    <xf numFmtId="0" fontId="219" fillId="0" borderId="0" xfId="0" applyFont="1" applyFill="1" applyBorder="1" applyAlignment="1">
      <alignment horizontal="center" vertical="center"/>
    </xf>
    <xf numFmtId="0" fontId="52" fillId="0" borderId="0" xfId="0" applyFont="1" applyFill="1" applyBorder="1" applyAlignment="1">
      <alignment horizontal="center" vertical="center"/>
    </xf>
    <xf numFmtId="0" fontId="52" fillId="0" borderId="115" xfId="0" applyFont="1" applyFill="1" applyBorder="1" applyAlignment="1">
      <alignment horizontal="center" vertical="center"/>
    </xf>
    <xf numFmtId="0" fontId="219" fillId="0" borderId="119" xfId="0" applyFont="1" applyFill="1" applyBorder="1" applyAlignment="1">
      <alignment horizontal="center" vertical="center"/>
    </xf>
    <xf numFmtId="0" fontId="219" fillId="0" borderId="52" xfId="0" applyFont="1" applyFill="1" applyBorder="1" applyAlignment="1">
      <alignment horizontal="center" vertical="center"/>
    </xf>
    <xf numFmtId="0" fontId="52" fillId="0" borderId="48" xfId="0" applyFont="1" applyFill="1" applyBorder="1" applyAlignment="1">
      <alignment horizontal="center"/>
    </xf>
    <xf numFmtId="0" fontId="52" fillId="0" borderId="115" xfId="0" applyFont="1" applyFill="1" applyBorder="1" applyAlignment="1">
      <alignment horizontal="center"/>
    </xf>
    <xf numFmtId="193" fontId="52" fillId="0" borderId="1" xfId="0" applyNumberFormat="1" applyFont="1" applyFill="1" applyBorder="1" applyAlignment="1">
      <alignment horizontal="center"/>
    </xf>
    <xf numFmtId="0" fontId="173" fillId="0" borderId="93" xfId="0" applyFont="1" applyFill="1" applyBorder="1" applyAlignment="1">
      <alignment horizontal="center"/>
    </xf>
    <xf numFmtId="0" fontId="173" fillId="0" borderId="54" xfId="0" applyFont="1" applyFill="1" applyBorder="1" applyAlignment="1">
      <alignment horizontal="center"/>
    </xf>
    <xf numFmtId="0" fontId="173" fillId="0" borderId="118" xfId="0" applyFont="1" applyFill="1" applyBorder="1" applyAlignment="1">
      <alignment horizontal="center"/>
    </xf>
    <xf numFmtId="0" fontId="20" fillId="0" borderId="117" xfId="0" applyFont="1" applyFill="1" applyBorder="1" applyAlignment="1">
      <alignment horizontal="center"/>
    </xf>
    <xf numFmtId="0" fontId="20" fillId="0" borderId="54" xfId="0" applyFont="1" applyFill="1" applyBorder="1" applyAlignment="1">
      <alignment horizontal="center"/>
    </xf>
    <xf numFmtId="0" fontId="20" fillId="0" borderId="94" xfId="0" applyFont="1" applyFill="1" applyBorder="1" applyAlignment="1">
      <alignment horizontal="center"/>
    </xf>
    <xf numFmtId="0" fontId="20" fillId="0" borderId="155" xfId="0" applyFont="1" applyFill="1" applyBorder="1" applyAlignment="1">
      <alignment horizontal="center"/>
    </xf>
    <xf numFmtId="0" fontId="20" fillId="0" borderId="62" xfId="0" applyFont="1" applyFill="1" applyBorder="1" applyAlignment="1">
      <alignment horizontal="center"/>
    </xf>
    <xf numFmtId="0" fontId="20" fillId="0" borderId="153" xfId="0" applyFont="1" applyFill="1" applyBorder="1" applyAlignment="1">
      <alignment horizontal="center"/>
    </xf>
    <xf numFmtId="0" fontId="173" fillId="0" borderId="156" xfId="0" applyFont="1" applyFill="1" applyBorder="1" applyAlignment="1">
      <alignment horizontal="center"/>
    </xf>
    <xf numFmtId="0" fontId="173" fillId="0" borderId="62" xfId="0" applyFont="1" applyFill="1" applyBorder="1" applyAlignment="1">
      <alignment horizontal="center"/>
    </xf>
    <xf numFmtId="0" fontId="173" fillId="0" borderId="188" xfId="0" applyFont="1" applyFill="1" applyBorder="1" applyAlignment="1">
      <alignment horizontal="center"/>
    </xf>
    <xf numFmtId="0" fontId="20" fillId="0" borderId="1" xfId="0" applyFont="1" applyFill="1" applyBorder="1" applyAlignment="1">
      <alignment horizontal="center"/>
    </xf>
    <xf numFmtId="0" fontId="173" fillId="0" borderId="117" xfId="0" applyFont="1" applyFill="1" applyBorder="1" applyAlignment="1">
      <alignment horizontal="center"/>
    </xf>
    <xf numFmtId="0" fontId="173" fillId="0" borderId="94" xfId="0" applyFont="1" applyFill="1" applyBorder="1" applyAlignment="1">
      <alignment horizontal="center"/>
    </xf>
    <xf numFmtId="0" fontId="52" fillId="0" borderId="150" xfId="0" applyFont="1" applyFill="1" applyBorder="1" applyAlignment="1">
      <alignment horizontal="center"/>
    </xf>
    <xf numFmtId="0" fontId="52" fillId="0" borderId="151" xfId="0" applyFont="1" applyFill="1" applyBorder="1" applyAlignment="1">
      <alignment horizontal="center"/>
    </xf>
    <xf numFmtId="0" fontId="52" fillId="0" borderId="162" xfId="0" applyFont="1" applyFill="1" applyBorder="1" applyAlignment="1">
      <alignment horizontal="center"/>
    </xf>
    <xf numFmtId="0" fontId="218" fillId="0" borderId="161" xfId="0" applyFont="1" applyFill="1" applyBorder="1" applyAlignment="1">
      <alignment horizontal="center"/>
    </xf>
    <xf numFmtId="0" fontId="218" fillId="0" borderId="151" xfId="0" applyFont="1" applyFill="1" applyBorder="1" applyAlignment="1">
      <alignment horizontal="center"/>
    </xf>
    <xf numFmtId="0" fontId="218" fillId="0" borderId="152" xfId="0" applyFont="1" applyFill="1" applyBorder="1" applyAlignment="1">
      <alignment horizontal="center"/>
    </xf>
    <xf numFmtId="0" fontId="20" fillId="0" borderId="150" xfId="0" applyFont="1" applyFill="1" applyBorder="1" applyAlignment="1">
      <alignment horizontal="center"/>
    </xf>
    <xf numFmtId="0" fontId="20" fillId="0" borderId="151" xfId="0" applyFont="1" applyFill="1" applyBorder="1" applyAlignment="1">
      <alignment horizontal="center"/>
    </xf>
    <xf numFmtId="0" fontId="20" fillId="0" borderId="162" xfId="0" applyFont="1" applyFill="1" applyBorder="1" applyAlignment="1">
      <alignment horizontal="center"/>
    </xf>
    <xf numFmtId="0" fontId="52" fillId="0" borderId="38" xfId="0" applyFont="1" applyFill="1" applyBorder="1" applyAlignment="1">
      <alignment horizontal="center"/>
    </xf>
    <xf numFmtId="0" fontId="52" fillId="0" borderId="45" xfId="0" applyFont="1" applyFill="1" applyBorder="1" applyAlignment="1">
      <alignment horizontal="center"/>
    </xf>
    <xf numFmtId="0" fontId="218" fillId="0" borderId="44" xfId="0" applyFont="1" applyFill="1" applyBorder="1" applyAlignment="1">
      <alignment horizontal="center" vertical="top"/>
    </xf>
    <xf numFmtId="0" fontId="218" fillId="0" borderId="52" xfId="0" applyFont="1" applyFill="1" applyBorder="1" applyAlignment="1">
      <alignment horizontal="center" vertical="center" wrapText="1"/>
    </xf>
    <xf numFmtId="0" fontId="218" fillId="0" borderId="36" xfId="0" applyFont="1" applyFill="1" applyBorder="1" applyAlignment="1">
      <alignment horizontal="center" vertical="center" wrapText="1"/>
    </xf>
    <xf numFmtId="0" fontId="218" fillId="0" borderId="36" xfId="0" applyFont="1" applyFill="1" applyBorder="1" applyAlignment="1">
      <alignment horizontal="center" vertical="top"/>
    </xf>
    <xf numFmtId="0" fontId="218" fillId="0" borderId="64" xfId="0" applyFont="1" applyFill="1" applyBorder="1" applyAlignment="1">
      <alignment horizontal="center" vertical="top"/>
    </xf>
    <xf numFmtId="0" fontId="219" fillId="0" borderId="22" xfId="0" applyFont="1" applyFill="1" applyBorder="1" applyAlignment="1">
      <alignment horizontal="center"/>
    </xf>
    <xf numFmtId="0" fontId="173" fillId="0" borderId="23" xfId="0" applyFont="1" applyFill="1" applyBorder="1" applyAlignment="1">
      <alignment horizontal="center" vertical="top"/>
    </xf>
    <xf numFmtId="0" fontId="173" fillId="0" borderId="35" xfId="0" applyFont="1" applyFill="1" applyBorder="1" applyAlignment="1">
      <alignment horizontal="center" vertical="top"/>
    </xf>
    <xf numFmtId="0" fontId="29" fillId="15" borderId="41" xfId="0" applyFont="1" applyFill="1" applyBorder="1" applyAlignment="1">
      <alignment horizontal="center" vertical="center"/>
    </xf>
    <xf numFmtId="0" fontId="29" fillId="15" borderId="42" xfId="0" applyFont="1" applyFill="1" applyBorder="1" applyAlignment="1">
      <alignment horizontal="center" vertical="center"/>
    </xf>
    <xf numFmtId="0" fontId="29" fillId="15" borderId="43" xfId="0" applyFont="1" applyFill="1" applyBorder="1" applyAlignment="1">
      <alignment horizontal="center" vertical="center"/>
    </xf>
    <xf numFmtId="0" fontId="211" fillId="0" borderId="0" xfId="0" applyFont="1" applyAlignment="1">
      <alignment horizontal="center" vertical="center"/>
    </xf>
    <xf numFmtId="0" fontId="0" fillId="0" borderId="61" xfId="0" applyBorder="1" applyAlignment="1">
      <alignment vertical="center"/>
    </xf>
    <xf numFmtId="0" fontId="0" fillId="0" borderId="102" xfId="0" applyBorder="1" applyAlignment="1">
      <alignment horizontal="center" vertical="center"/>
    </xf>
    <xf numFmtId="0" fontId="0" fillId="0" borderId="185" xfId="0" applyBorder="1" applyAlignment="1">
      <alignment horizontal="center" vertical="center"/>
    </xf>
    <xf numFmtId="0" fontId="208" fillId="0" borderId="68" xfId="0" applyFont="1" applyBorder="1" applyAlignment="1">
      <alignment horizontal="center" vertical="center"/>
    </xf>
    <xf numFmtId="0" fontId="60" fillId="0" borderId="68" xfId="0" applyFont="1" applyBorder="1" applyAlignment="1">
      <alignment horizontal="center" vertical="center"/>
    </xf>
    <xf numFmtId="0" fontId="60" fillId="0" borderId="70" xfId="0" applyFont="1" applyBorder="1" applyAlignment="1">
      <alignment horizontal="center" vertical="center"/>
    </xf>
    <xf numFmtId="0" fontId="209" fillId="0" borderId="68" xfId="0" applyFont="1" applyBorder="1" applyAlignment="1">
      <alignment horizontal="center" vertical="center"/>
    </xf>
    <xf numFmtId="0" fontId="209" fillId="0" borderId="70" xfId="0" applyFont="1" applyBorder="1" applyAlignment="1">
      <alignment horizontal="center" vertical="center"/>
    </xf>
    <xf numFmtId="0" fontId="208" fillId="0" borderId="65" xfId="0" applyFont="1" applyBorder="1" applyAlignment="1">
      <alignment horizontal="center" vertical="center" wrapText="1"/>
    </xf>
    <xf numFmtId="0" fontId="208" fillId="0" borderId="68" xfId="0" applyFont="1" applyBorder="1" applyAlignment="1">
      <alignment horizontal="center" vertical="center" wrapText="1"/>
    </xf>
    <xf numFmtId="0" fontId="0" fillId="0" borderId="73" xfId="0" applyBorder="1" applyAlignment="1">
      <alignment horizontal="center" vertical="center"/>
    </xf>
    <xf numFmtId="0" fontId="0" fillId="0" borderId="183" xfId="0" applyBorder="1" applyAlignment="1">
      <alignment horizontal="center" vertical="center"/>
    </xf>
    <xf numFmtId="0" fontId="208" fillId="0" borderId="66" xfId="0" applyFont="1" applyBorder="1" applyAlignment="1">
      <alignment horizontal="center" vertical="center" wrapText="1"/>
    </xf>
    <xf numFmtId="0" fontId="208" fillId="0" borderId="1" xfId="0" applyFont="1" applyBorder="1" applyAlignment="1">
      <alignment horizontal="center" vertical="center" wrapText="1"/>
    </xf>
    <xf numFmtId="0" fontId="0" fillId="0" borderId="180" xfId="0" applyBorder="1" applyAlignment="1">
      <alignment horizontal="center" vertical="center"/>
    </xf>
    <xf numFmtId="0" fontId="0" fillId="0" borderId="36" xfId="0" applyBorder="1" applyAlignment="1">
      <alignment horizontal="center" vertical="center"/>
    </xf>
    <xf numFmtId="0" fontId="0" fillId="0" borderId="74" xfId="0" applyBorder="1" applyAlignment="1">
      <alignment horizontal="center" vertical="center"/>
    </xf>
    <xf numFmtId="0" fontId="0" fillId="0" borderId="184" xfId="0" applyBorder="1" applyAlignment="1">
      <alignment horizontal="center" vertical="center"/>
    </xf>
    <xf numFmtId="0" fontId="60" fillId="0" borderId="70" xfId="0" applyFont="1" applyBorder="1" applyAlignment="1">
      <alignment horizontal="center" vertical="center" wrapText="1"/>
    </xf>
    <xf numFmtId="0" fontId="60" fillId="0" borderId="71" xfId="0" applyFont="1" applyBorder="1" applyAlignment="1">
      <alignment horizontal="center" vertical="center" wrapText="1"/>
    </xf>
    <xf numFmtId="0" fontId="60" fillId="0" borderId="72" xfId="0" applyFont="1" applyBorder="1" applyAlignment="1">
      <alignment horizontal="center" vertical="center" wrapText="1"/>
    </xf>
    <xf numFmtId="0" fontId="0" fillId="0" borderId="65" xfId="0"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181" xfId="0" applyBorder="1" applyAlignment="1">
      <alignment horizontal="center" vertical="center"/>
    </xf>
    <xf numFmtId="0" fontId="0" fillId="0" borderId="90" xfId="0" applyBorder="1" applyAlignment="1">
      <alignment horizontal="center" vertical="center"/>
    </xf>
    <xf numFmtId="0" fontId="0" fillId="0" borderId="93" xfId="0" applyBorder="1" applyAlignment="1">
      <alignment horizontal="center" vertical="center"/>
    </xf>
    <xf numFmtId="0" fontId="0" fillId="0" borderId="182" xfId="0" applyBorder="1" applyAlignment="1">
      <alignment horizontal="center" vertical="center"/>
    </xf>
    <xf numFmtId="0" fontId="0" fillId="0" borderId="70" xfId="0" applyBorder="1" applyAlignment="1">
      <alignment vertical="center"/>
    </xf>
    <xf numFmtId="0" fontId="0" fillId="0" borderId="71" xfId="0" applyBorder="1" applyAlignment="1">
      <alignment vertical="center"/>
    </xf>
    <xf numFmtId="0" fontId="0" fillId="0" borderId="72" xfId="0" applyBorder="1" applyAlignment="1">
      <alignment vertical="center"/>
    </xf>
    <xf numFmtId="0" fontId="60" fillId="0" borderId="66" xfId="0" applyFont="1" applyBorder="1" applyAlignment="1">
      <alignment horizontal="center" vertical="center"/>
    </xf>
    <xf numFmtId="0" fontId="60" fillId="0" borderId="67" xfId="0" applyFont="1" applyBorder="1" applyAlignment="1">
      <alignment horizontal="center" vertical="center"/>
    </xf>
    <xf numFmtId="0" fontId="0" fillId="0" borderId="177" xfId="0" applyBorder="1" applyAlignment="1">
      <alignment horizontal="center" vertical="center"/>
    </xf>
    <xf numFmtId="0" fontId="0" fillId="0" borderId="178" xfId="0" applyBorder="1" applyAlignment="1">
      <alignment horizontal="center" vertical="center"/>
    </xf>
    <xf numFmtId="0" fontId="0" fillId="0" borderId="179" xfId="0" applyBorder="1" applyAlignment="1">
      <alignment horizontal="center" vertical="center"/>
    </xf>
    <xf numFmtId="0" fontId="209" fillId="0" borderId="65" xfId="0" applyFont="1" applyBorder="1" applyAlignment="1">
      <alignment horizontal="center" vertical="center"/>
    </xf>
    <xf numFmtId="0" fontId="209" fillId="0" borderId="66" xfId="0" applyFont="1" applyBorder="1" applyAlignment="1">
      <alignment horizontal="center" vertical="center"/>
    </xf>
    <xf numFmtId="0" fontId="209" fillId="0" borderId="67" xfId="0" applyFont="1" applyBorder="1" applyAlignment="1">
      <alignment horizontal="center" vertical="center"/>
    </xf>
    <xf numFmtId="0" fontId="209" fillId="0" borderId="59" xfId="0" applyFont="1" applyBorder="1" applyAlignment="1">
      <alignment horizontal="center" vertical="center"/>
    </xf>
    <xf numFmtId="0" fontId="209" fillId="0" borderId="53" xfId="0" applyFont="1" applyBorder="1" applyAlignment="1">
      <alignment horizontal="center" vertical="center"/>
    </xf>
    <xf numFmtId="0" fontId="209" fillId="0" borderId="60" xfId="0" applyFont="1" applyBorder="1" applyAlignment="1">
      <alignment horizontal="center" vertical="center"/>
    </xf>
    <xf numFmtId="0" fontId="19" fillId="0" borderId="0" xfId="0" applyFont="1" applyAlignment="1">
      <alignment horizontal="center" vertical="center"/>
    </xf>
    <xf numFmtId="0" fontId="208" fillId="0" borderId="65" xfId="0" applyFont="1" applyBorder="1" applyAlignment="1">
      <alignment horizontal="left" vertical="center"/>
    </xf>
    <xf numFmtId="0" fontId="208" fillId="0" borderId="66" xfId="0" applyFont="1" applyBorder="1" applyAlignment="1">
      <alignment horizontal="left" vertical="center"/>
    </xf>
    <xf numFmtId="0" fontId="208" fillId="0" borderId="67" xfId="0" applyFont="1" applyBorder="1" applyAlignment="1">
      <alignment horizontal="left" vertical="center"/>
    </xf>
    <xf numFmtId="0" fontId="208" fillId="0" borderId="68" xfId="0" applyFont="1" applyBorder="1" applyAlignment="1">
      <alignment vertical="center"/>
    </xf>
    <xf numFmtId="0" fontId="208" fillId="0" borderId="1" xfId="0" applyFont="1" applyBorder="1" applyAlignment="1">
      <alignment vertical="center"/>
    </xf>
    <xf numFmtId="0" fontId="208" fillId="0" borderId="69" xfId="0" applyFont="1" applyBorder="1" applyAlignment="1">
      <alignment vertical="center"/>
    </xf>
    <xf numFmtId="0" fontId="208" fillId="0" borderId="70" xfId="0" applyFont="1" applyBorder="1" applyAlignment="1">
      <alignment vertical="center"/>
    </xf>
    <xf numFmtId="0" fontId="208" fillId="0" borderId="71" xfId="0" applyFont="1" applyBorder="1" applyAlignment="1">
      <alignment vertical="center"/>
    </xf>
    <xf numFmtId="0" fontId="208" fillId="0" borderId="72" xfId="0" applyFont="1" applyBorder="1" applyAlignment="1">
      <alignment vertical="center"/>
    </xf>
    <xf numFmtId="0" fontId="45" fillId="0" borderId="65" xfId="0" applyFont="1" applyBorder="1" applyAlignment="1">
      <alignment vertical="center"/>
    </xf>
    <xf numFmtId="0" fontId="45" fillId="0" borderId="66" xfId="0" applyFont="1" applyBorder="1" applyAlignment="1">
      <alignment vertical="center"/>
    </xf>
    <xf numFmtId="0" fontId="45" fillId="0" borderId="67" xfId="0" applyFont="1" applyBorder="1" applyAlignment="1">
      <alignment vertical="center"/>
    </xf>
    <xf numFmtId="0" fontId="204" fillId="33" borderId="74" xfId="0" applyFont="1" applyFill="1" applyBorder="1" applyAlignment="1">
      <alignment horizontal="center" vertical="center" wrapText="1"/>
    </xf>
    <xf numFmtId="0" fontId="204" fillId="33" borderId="63" xfId="0" applyFont="1" applyFill="1" applyBorder="1" applyAlignment="1">
      <alignment horizontal="center" vertical="center" wrapText="1"/>
    </xf>
    <xf numFmtId="0" fontId="204" fillId="33" borderId="36" xfId="0" applyFont="1" applyFill="1" applyBorder="1" applyAlignment="1">
      <alignment horizontal="center" vertical="center" wrapText="1"/>
    </xf>
    <xf numFmtId="0" fontId="205" fillId="33" borderId="1" xfId="0" applyFont="1" applyFill="1" applyBorder="1" applyAlignment="1">
      <alignment horizontal="center" vertical="center" wrapText="1"/>
    </xf>
    <xf numFmtId="0" fontId="206" fillId="33" borderId="1" xfId="0" applyFont="1" applyFill="1" applyBorder="1" applyAlignment="1">
      <alignment horizontal="center" vertical="center"/>
    </xf>
    <xf numFmtId="0" fontId="204" fillId="33" borderId="1" xfId="0" applyFont="1" applyFill="1" applyBorder="1" applyAlignment="1">
      <alignment horizontal="center" vertical="center" wrapText="1"/>
    </xf>
    <xf numFmtId="0" fontId="203" fillId="14" borderId="1" xfId="0" applyFont="1" applyFill="1" applyBorder="1" applyAlignment="1">
      <alignment horizontal="center" vertical="center"/>
    </xf>
    <xf numFmtId="0" fontId="30" fillId="14" borderId="1" xfId="0" applyFont="1" applyFill="1" applyBorder="1" applyAlignment="1">
      <alignment horizontal="center" vertical="center"/>
    </xf>
    <xf numFmtId="0" fontId="30" fillId="14" borderId="36" xfId="0" applyFont="1" applyFill="1" applyBorder="1" applyAlignment="1">
      <alignment horizontal="center" vertical="center"/>
    </xf>
    <xf numFmtId="0" fontId="30" fillId="14" borderId="74" xfId="0" applyFont="1" applyFill="1" applyBorder="1" applyAlignment="1">
      <alignment horizontal="center" vertical="center"/>
    </xf>
    <xf numFmtId="0" fontId="201" fillId="34" borderId="1" xfId="0" applyFont="1" applyFill="1" applyBorder="1" applyAlignment="1">
      <alignment horizontal="center" vertical="center" wrapText="1"/>
    </xf>
    <xf numFmtId="0" fontId="201" fillId="13" borderId="74" xfId="0" applyFont="1" applyFill="1" applyBorder="1" applyAlignment="1">
      <alignment horizontal="center" vertical="center" wrapText="1"/>
    </xf>
    <xf numFmtId="0" fontId="201" fillId="13" borderId="63" xfId="0" applyFont="1" applyFill="1" applyBorder="1" applyAlignment="1">
      <alignment horizontal="center" vertical="center" wrapText="1"/>
    </xf>
    <xf numFmtId="0" fontId="201" fillId="13" borderId="36" xfId="0" applyFont="1" applyFill="1" applyBorder="1" applyAlignment="1">
      <alignment horizontal="center" vertical="center" wrapText="1"/>
    </xf>
    <xf numFmtId="0" fontId="202" fillId="13" borderId="74" xfId="0" applyFont="1" applyFill="1" applyBorder="1" applyAlignment="1">
      <alignment horizontal="center" vertical="center" wrapText="1"/>
    </xf>
    <xf numFmtId="0" fontId="201" fillId="34" borderId="74" xfId="0" applyFont="1" applyFill="1" applyBorder="1" applyAlignment="1">
      <alignment horizontal="center" vertical="center" wrapText="1"/>
    </xf>
    <xf numFmtId="0" fontId="201" fillId="34" borderId="63" xfId="0" applyFont="1" applyFill="1" applyBorder="1" applyAlignment="1">
      <alignment horizontal="center" vertical="center" wrapText="1"/>
    </xf>
    <xf numFmtId="0" fontId="201" fillId="34" borderId="36" xfId="0" applyFont="1" applyFill="1" applyBorder="1" applyAlignment="1">
      <alignment horizontal="center" vertical="center" wrapText="1"/>
    </xf>
    <xf numFmtId="0" fontId="201" fillId="0" borderId="74" xfId="0" applyFont="1" applyFill="1" applyBorder="1" applyAlignment="1">
      <alignment horizontal="center" vertical="center" wrapText="1"/>
    </xf>
    <xf numFmtId="0" fontId="201" fillId="0" borderId="63" xfId="0" applyFont="1" applyFill="1" applyBorder="1" applyAlignment="1">
      <alignment horizontal="center" vertical="center" wrapText="1"/>
    </xf>
    <xf numFmtId="0" fontId="201" fillId="0" borderId="36" xfId="0" applyFont="1" applyFill="1" applyBorder="1" applyAlignment="1">
      <alignment horizontal="center" vertical="center" wrapText="1"/>
    </xf>
    <xf numFmtId="0" fontId="0" fillId="0" borderId="74" xfId="0" applyFill="1" applyBorder="1" applyAlignment="1">
      <alignment horizontal="center" vertical="center" wrapText="1"/>
    </xf>
    <xf numFmtId="0" fontId="0" fillId="0" borderId="63" xfId="0" applyFill="1" applyBorder="1" applyAlignment="1">
      <alignment horizontal="center" vertical="center" wrapText="1"/>
    </xf>
    <xf numFmtId="0" fontId="201" fillId="13" borderId="1" xfId="0" applyFont="1" applyFill="1" applyBorder="1" applyAlignment="1">
      <alignment horizontal="center" vertical="top" wrapText="1"/>
    </xf>
    <xf numFmtId="0" fontId="200" fillId="0" borderId="166" xfId="0" applyFont="1" applyBorder="1" applyAlignment="1">
      <alignment horizontal="center" vertical="center" wrapText="1"/>
    </xf>
    <xf numFmtId="0" fontId="200" fillId="0" borderId="169" xfId="0" applyFont="1" applyBorder="1" applyAlignment="1">
      <alignment horizontal="center" vertical="center" wrapText="1"/>
    </xf>
    <xf numFmtId="0" fontId="200" fillId="0" borderId="172" xfId="0" applyFont="1" applyBorder="1" applyAlignment="1">
      <alignment horizontal="center" vertical="center" wrapText="1"/>
    </xf>
    <xf numFmtId="0" fontId="122" fillId="0" borderId="0" xfId="0" applyFont="1" applyBorder="1" applyAlignment="1">
      <alignment horizontal="center"/>
    </xf>
    <xf numFmtId="0" fontId="122" fillId="0" borderId="163" xfId="0" applyFont="1" applyBorder="1" applyAlignment="1">
      <alignment horizontal="center"/>
    </xf>
    <xf numFmtId="0" fontId="152" fillId="14" borderId="36" xfId="0" applyFont="1" applyFill="1" applyBorder="1" applyAlignment="1">
      <alignment horizontal="center" vertical="center" wrapText="1"/>
    </xf>
    <xf numFmtId="0" fontId="152" fillId="14" borderId="1" xfId="0" applyFont="1" applyFill="1" applyBorder="1" applyAlignment="1">
      <alignment horizontal="center" vertical="center" wrapText="1"/>
    </xf>
    <xf numFmtId="0" fontId="152" fillId="14" borderId="173" xfId="0" applyFont="1" applyFill="1" applyBorder="1" applyAlignment="1">
      <alignment horizontal="center" vertical="center" wrapText="1"/>
    </xf>
    <xf numFmtId="0" fontId="152" fillId="14" borderId="174" xfId="0" applyFont="1" applyFill="1" applyBorder="1" applyAlignment="1">
      <alignment horizontal="center" vertical="center" wrapText="1"/>
    </xf>
    <xf numFmtId="0" fontId="152" fillId="14" borderId="167" xfId="0" applyFont="1" applyFill="1" applyBorder="1" applyAlignment="1">
      <alignment horizontal="center" vertical="center" wrapText="1"/>
    </xf>
    <xf numFmtId="0" fontId="152" fillId="14" borderId="168" xfId="0" applyFont="1" applyFill="1" applyBorder="1" applyAlignment="1">
      <alignment horizontal="center" vertical="center" wrapText="1"/>
    </xf>
    <xf numFmtId="0" fontId="152" fillId="14" borderId="175" xfId="0" applyFont="1" applyFill="1" applyBorder="1" applyAlignment="1">
      <alignment horizontal="center" vertical="center" wrapText="1"/>
    </xf>
    <xf numFmtId="0" fontId="152" fillId="14" borderId="163" xfId="0" applyFont="1" applyFill="1" applyBorder="1" applyAlignment="1">
      <alignment horizontal="center" vertical="center" wrapText="1"/>
    </xf>
    <xf numFmtId="0" fontId="152" fillId="14" borderId="166" xfId="0" applyFont="1" applyFill="1" applyBorder="1" applyAlignment="1">
      <alignment vertical="center" wrapText="1"/>
    </xf>
    <xf numFmtId="0" fontId="200" fillId="14" borderId="169" xfId="0" applyFont="1" applyFill="1" applyBorder="1" applyAlignment="1">
      <alignment vertical="center" wrapText="1"/>
    </xf>
    <xf numFmtId="0" fontId="200" fillId="14" borderId="172" xfId="0" applyFont="1" applyFill="1" applyBorder="1" applyAlignment="1">
      <alignment vertical="center" wrapText="1"/>
    </xf>
    <xf numFmtId="0" fontId="152" fillId="14" borderId="166" xfId="0" applyFont="1" applyFill="1" applyBorder="1" applyAlignment="1">
      <alignment horizontal="center" vertical="center" wrapText="1"/>
    </xf>
    <xf numFmtId="0" fontId="200" fillId="14" borderId="169" xfId="0" applyFont="1" applyFill="1" applyBorder="1" applyAlignment="1">
      <alignment horizontal="center" vertical="center" wrapText="1"/>
    </xf>
    <xf numFmtId="0" fontId="200" fillId="14" borderId="172" xfId="0" applyFont="1" applyFill="1" applyBorder="1" applyAlignment="1">
      <alignment horizontal="center" vertical="center" wrapText="1"/>
    </xf>
    <xf numFmtId="0" fontId="200" fillId="14" borderId="166" xfId="0" applyFont="1" applyFill="1" applyBorder="1" applyAlignment="1">
      <alignment horizontal="center" vertical="center" wrapText="1"/>
    </xf>
    <xf numFmtId="0" fontId="152" fillId="14" borderId="1" xfId="0" applyFont="1" applyFill="1" applyBorder="1" applyAlignment="1">
      <alignment horizontal="center" wrapText="1"/>
    </xf>
    <xf numFmtId="0" fontId="152" fillId="15" borderId="167" xfId="0" applyFont="1" applyFill="1" applyBorder="1" applyAlignment="1">
      <alignment horizontal="center" wrapText="1"/>
    </xf>
    <xf numFmtId="0" fontId="152" fillId="15" borderId="163" xfId="0" applyFont="1" applyFill="1" applyBorder="1" applyAlignment="1">
      <alignment horizontal="center" wrapText="1"/>
    </xf>
    <xf numFmtId="0" fontId="152" fillId="15" borderId="168" xfId="0" applyFont="1" applyFill="1" applyBorder="1" applyAlignment="1">
      <alignment horizontal="center" wrapText="1"/>
    </xf>
    <xf numFmtId="0" fontId="152" fillId="14" borderId="165" xfId="0" applyFont="1" applyFill="1" applyBorder="1" applyAlignment="1">
      <alignment horizontal="center" wrapText="1"/>
    </xf>
    <xf numFmtId="0" fontId="152" fillId="14" borderId="170" xfId="0" applyFont="1" applyFill="1" applyBorder="1" applyAlignment="1">
      <alignment horizontal="center" wrapText="1"/>
    </xf>
    <xf numFmtId="0" fontId="152" fillId="14" borderId="171" xfId="0" applyFont="1" applyFill="1" applyBorder="1" applyAlignment="1">
      <alignment horizontal="center" wrapText="1"/>
    </xf>
    <xf numFmtId="0" fontId="0" fillId="0" borderId="1" xfId="0" applyFont="1" applyBorder="1" applyAlignment="1">
      <alignment horizontal="center" vertical="center" wrapText="1"/>
    </xf>
    <xf numFmtId="0" fontId="0" fillId="0" borderId="74" xfId="0" applyFont="1" applyBorder="1" applyAlignment="1">
      <alignment horizontal="center" vertical="center" wrapText="1"/>
    </xf>
    <xf numFmtId="0" fontId="0" fillId="0" borderId="63" xfId="0" applyFont="1" applyBorder="1" applyAlignment="1">
      <alignment horizontal="center" vertical="center" wrapText="1"/>
    </xf>
    <xf numFmtId="0" fontId="0" fillId="0" borderId="36" xfId="0" applyFont="1" applyBorder="1" applyAlignment="1">
      <alignment horizontal="center" vertical="center" wrapText="1"/>
    </xf>
    <xf numFmtId="0" fontId="0" fillId="0" borderId="74" xfId="0" applyFont="1" applyBorder="1" applyAlignment="1">
      <alignment horizontal="center" vertical="center"/>
    </xf>
    <xf numFmtId="0" fontId="0" fillId="0" borderId="63" xfId="0" applyFont="1" applyBorder="1" applyAlignment="1">
      <alignment horizontal="center" vertical="center"/>
    </xf>
    <xf numFmtId="0" fontId="0" fillId="0" borderId="36" xfId="0" applyFont="1" applyBorder="1" applyAlignment="1">
      <alignment horizontal="center" vertical="center"/>
    </xf>
    <xf numFmtId="0" fontId="45" fillId="33" borderId="1" xfId="0" applyFont="1" applyFill="1" applyBorder="1" applyAlignment="1">
      <alignment horizontal="center" vertical="center"/>
    </xf>
    <xf numFmtId="0" fontId="45" fillId="33" borderId="74" xfId="0" applyFont="1" applyFill="1" applyBorder="1" applyAlignment="1">
      <alignment horizontal="center" vertical="center"/>
    </xf>
    <xf numFmtId="0" fontId="45" fillId="33" borderId="63" xfId="0" applyFont="1" applyFill="1" applyBorder="1" applyAlignment="1">
      <alignment horizontal="center" vertical="center"/>
    </xf>
    <xf numFmtId="0" fontId="45" fillId="33" borderId="36" xfId="0" applyFont="1" applyFill="1" applyBorder="1" applyAlignment="1">
      <alignment horizontal="center" vertical="center"/>
    </xf>
    <xf numFmtId="0" fontId="0" fillId="0" borderId="1" xfId="0" applyFont="1" applyBorder="1" applyAlignment="1">
      <alignment horizontal="center" vertical="center"/>
    </xf>
    <xf numFmtId="0" fontId="199" fillId="0" borderId="0" xfId="0" applyFont="1" applyAlignment="1">
      <alignment horizontal="center" vertical="center"/>
    </xf>
    <xf numFmtId="0" fontId="45" fillId="39" borderId="1" xfId="0" applyFont="1" applyFill="1" applyBorder="1" applyAlignment="1">
      <alignment horizontal="center" vertical="center"/>
    </xf>
    <xf numFmtId="0" fontId="45" fillId="39" borderId="93" xfId="0" applyFont="1" applyFill="1" applyBorder="1" applyAlignment="1">
      <alignment horizontal="center" vertical="center"/>
    </xf>
    <xf numFmtId="0" fontId="45" fillId="39" borderId="54" xfId="0" applyFont="1" applyFill="1" applyBorder="1" applyAlignment="1">
      <alignment horizontal="center" vertical="center"/>
    </xf>
    <xf numFmtId="0" fontId="45" fillId="39" borderId="94" xfId="0" applyFont="1" applyFill="1" applyBorder="1" applyAlignment="1">
      <alignment horizontal="center" vertical="center"/>
    </xf>
    <xf numFmtId="0" fontId="160" fillId="39" borderId="1" xfId="0" applyFont="1" applyFill="1" applyBorder="1" applyAlignment="1">
      <alignment horizontal="center" vertical="center"/>
    </xf>
    <xf numFmtId="0" fontId="160" fillId="39" borderId="93" xfId="0" applyFont="1" applyFill="1" applyBorder="1" applyAlignment="1">
      <alignment horizontal="center" vertical="center"/>
    </xf>
    <xf numFmtId="0" fontId="160" fillId="39" borderId="94" xfId="0" applyFont="1" applyFill="1" applyBorder="1" applyAlignment="1">
      <alignment horizontal="center" vertical="center"/>
    </xf>
    <xf numFmtId="0" fontId="116" fillId="39" borderId="1" xfId="0" applyFont="1" applyFill="1" applyBorder="1" applyAlignment="1">
      <alignment horizontal="center" vertical="center" wrapText="1"/>
    </xf>
    <xf numFmtId="0" fontId="45" fillId="39" borderId="1" xfId="0" applyFont="1" applyFill="1" applyBorder="1" applyAlignment="1">
      <alignment horizontal="center" vertical="center" wrapText="1"/>
    </xf>
    <xf numFmtId="0" fontId="30" fillId="0" borderId="1" xfId="0" applyFont="1" applyBorder="1" applyAlignment="1">
      <alignment horizontal="center" vertical="center"/>
    </xf>
    <xf numFmtId="0" fontId="30" fillId="33" borderId="74" xfId="0" applyFont="1" applyFill="1" applyBorder="1" applyAlignment="1">
      <alignment horizontal="center" vertical="center"/>
    </xf>
    <xf numFmtId="0" fontId="30" fillId="33" borderId="63" xfId="0" applyFont="1" applyFill="1" applyBorder="1" applyAlignment="1">
      <alignment horizontal="center" vertical="center"/>
    </xf>
    <xf numFmtId="0" fontId="30" fillId="33" borderId="36" xfId="0" applyFont="1" applyFill="1" applyBorder="1" applyAlignment="1">
      <alignment horizontal="center" vertical="center"/>
    </xf>
    <xf numFmtId="0" fontId="30" fillId="0" borderId="74" xfId="0" applyFont="1" applyBorder="1" applyAlignment="1">
      <alignment horizontal="center" vertical="center" wrapText="1"/>
    </xf>
    <xf numFmtId="0" fontId="30" fillId="0" borderId="63" xfId="0" applyFont="1" applyBorder="1" applyAlignment="1">
      <alignment horizontal="center" vertical="center" wrapText="1"/>
    </xf>
    <xf numFmtId="0" fontId="30" fillId="0" borderId="36" xfId="0" applyFont="1" applyBorder="1" applyAlignment="1">
      <alignment horizontal="center" vertical="center" wrapText="1"/>
    </xf>
    <xf numFmtId="0" fontId="39" fillId="0" borderId="74" xfId="0" applyFont="1" applyBorder="1" applyAlignment="1">
      <alignment horizontal="center" vertical="center" wrapText="1"/>
    </xf>
    <xf numFmtId="0" fontId="30" fillId="0" borderId="74" xfId="0" applyFont="1" applyBorder="1" applyAlignment="1">
      <alignment horizontal="center" vertical="center"/>
    </xf>
    <xf numFmtId="0" fontId="30" fillId="0" borderId="63" xfId="0" applyFont="1" applyBorder="1" applyAlignment="1">
      <alignment horizontal="center" vertical="center"/>
    </xf>
    <xf numFmtId="0" fontId="30" fillId="0" borderId="36" xfId="0" applyFont="1" applyBorder="1" applyAlignment="1">
      <alignment horizontal="center" vertical="center"/>
    </xf>
    <xf numFmtId="0" fontId="30" fillId="39" borderId="74" xfId="0" applyFont="1" applyFill="1" applyBorder="1" applyAlignment="1">
      <alignment horizontal="center" vertical="center"/>
    </xf>
    <xf numFmtId="0" fontId="30" fillId="39" borderId="36" xfId="0" applyFont="1" applyFill="1" applyBorder="1" applyAlignment="1">
      <alignment horizontal="center" vertical="center"/>
    </xf>
    <xf numFmtId="0" fontId="122" fillId="0" borderId="0" xfId="0" applyFont="1" applyAlignment="1">
      <alignment horizontal="center" vertical="center"/>
    </xf>
    <xf numFmtId="0" fontId="30" fillId="39" borderId="1" xfId="0" applyFont="1" applyFill="1" applyBorder="1" applyAlignment="1">
      <alignment horizontal="center" vertical="center"/>
    </xf>
    <xf numFmtId="0" fontId="30" fillId="39" borderId="93" xfId="0" applyFont="1" applyFill="1" applyBorder="1" applyAlignment="1">
      <alignment horizontal="center" vertical="center"/>
    </xf>
    <xf numFmtId="0" fontId="30" fillId="39" borderId="74" xfId="0" applyFont="1" applyFill="1" applyBorder="1" applyAlignment="1">
      <alignment horizontal="center" vertical="center" wrapText="1"/>
    </xf>
    <xf numFmtId="0" fontId="30" fillId="39" borderId="36" xfId="0" applyFont="1" applyFill="1" applyBorder="1" applyAlignment="1">
      <alignment horizontal="center" vertical="center" wrapText="1"/>
    </xf>
    <xf numFmtId="0" fontId="30" fillId="33" borderId="1" xfId="0" applyFont="1" applyFill="1" applyBorder="1" applyAlignment="1">
      <alignment horizontal="center" vertical="center"/>
    </xf>
    <xf numFmtId="0" fontId="30"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39" fillId="33" borderId="1" xfId="0" applyFont="1" applyFill="1" applyBorder="1" applyAlignment="1">
      <alignment horizontal="center" vertical="center"/>
    </xf>
    <xf numFmtId="0" fontId="195" fillId="0" borderId="0" xfId="0" applyFont="1" applyFill="1" applyAlignment="1">
      <alignment horizontal="center" vertical="center"/>
    </xf>
    <xf numFmtId="0" fontId="177" fillId="0" borderId="0" xfId="0" applyNumberFormat="1" applyFont="1" applyFill="1" applyAlignment="1">
      <alignment horizontal="center" vertical="center" textRotation="255"/>
    </xf>
    <xf numFmtId="0" fontId="175" fillId="0" borderId="0" xfId="0" applyNumberFormat="1" applyFont="1" applyFill="1" applyAlignment="1">
      <alignment horizontal="center" textRotation="255"/>
    </xf>
    <xf numFmtId="0" fontId="190" fillId="40" borderId="0" xfId="0" applyFont="1" applyFill="1" applyAlignment="1">
      <alignment horizontal="center" vertical="center"/>
    </xf>
    <xf numFmtId="49" fontId="183" fillId="41" borderId="41" xfId="0" applyNumberFormat="1" applyFont="1" applyFill="1" applyBorder="1" applyAlignment="1">
      <alignment horizontal="center" vertical="center"/>
    </xf>
    <xf numFmtId="49" fontId="183" fillId="41" borderId="42" xfId="0" applyNumberFormat="1" applyFont="1" applyFill="1" applyBorder="1" applyAlignment="1">
      <alignment horizontal="center" vertical="center"/>
    </xf>
    <xf numFmtId="49" fontId="183" fillId="41" borderId="43" xfId="0" applyNumberFormat="1" applyFont="1" applyFill="1" applyBorder="1" applyAlignment="1">
      <alignment horizontal="center" vertical="center"/>
    </xf>
    <xf numFmtId="0" fontId="176" fillId="41" borderId="74" xfId="0" applyFont="1" applyFill="1" applyBorder="1" applyAlignment="1">
      <alignment horizontal="center" vertical="center" textRotation="255"/>
    </xf>
    <xf numFmtId="0" fontId="176" fillId="41" borderId="63" xfId="0" applyFont="1" applyFill="1" applyBorder="1" applyAlignment="1">
      <alignment horizontal="center" vertical="center" textRotation="255"/>
    </xf>
    <xf numFmtId="0" fontId="31" fillId="15" borderId="1" xfId="0" applyNumberFormat="1" applyFont="1" applyFill="1" applyBorder="1" applyAlignment="1">
      <alignment horizontal="center" vertical="center" wrapText="1"/>
    </xf>
    <xf numFmtId="0" fontId="150" fillId="15" borderId="1" xfId="0" applyFont="1" applyFill="1" applyBorder="1" applyAlignment="1">
      <alignment horizontal="center" vertical="center"/>
    </xf>
    <xf numFmtId="0" fontId="183" fillId="15" borderId="1" xfId="0" applyFont="1" applyFill="1" applyBorder="1" applyAlignment="1">
      <alignment horizontal="center" vertical="center"/>
    </xf>
    <xf numFmtId="0" fontId="188" fillId="15" borderId="1" xfId="0" applyFont="1" applyFill="1" applyBorder="1" applyAlignment="1">
      <alignment horizontal="center" vertical="center"/>
    </xf>
    <xf numFmtId="0" fontId="184" fillId="13" borderId="1" xfId="0" applyFont="1" applyFill="1" applyBorder="1" applyAlignment="1">
      <alignment horizontal="center"/>
    </xf>
    <xf numFmtId="0" fontId="176" fillId="33" borderId="0" xfId="0" applyFont="1" applyFill="1" applyAlignment="1">
      <alignment horizontal="center" vertical="center"/>
    </xf>
    <xf numFmtId="0" fontId="176" fillId="13" borderId="0" xfId="0" applyNumberFormat="1" applyFont="1" applyFill="1" applyAlignment="1">
      <alignment horizontal="center" vertical="center" textRotation="255"/>
    </xf>
    <xf numFmtId="0" fontId="181" fillId="20" borderId="74" xfId="0" applyNumberFormat="1" applyFont="1" applyFill="1" applyBorder="1" applyAlignment="1">
      <alignment horizontal="center" vertical="center" wrapText="1"/>
    </xf>
    <xf numFmtId="0" fontId="181" fillId="20" borderId="63" xfId="0" applyNumberFormat="1" applyFont="1" applyFill="1" applyBorder="1" applyAlignment="1">
      <alignment horizontal="center" vertical="center" wrapText="1"/>
    </xf>
    <xf numFmtId="0" fontId="181" fillId="20" borderId="36" xfId="0" applyNumberFormat="1" applyFont="1" applyFill="1" applyBorder="1" applyAlignment="1">
      <alignment horizontal="center" vertical="center" wrapText="1"/>
    </xf>
    <xf numFmtId="0" fontId="183" fillId="15" borderId="1" xfId="0" applyNumberFormat="1" applyFont="1" applyFill="1" applyBorder="1" applyAlignment="1">
      <alignment horizontal="center" vertical="center" textRotation="255"/>
    </xf>
    <xf numFmtId="0" fontId="178" fillId="15" borderId="1" xfId="0" applyFont="1" applyFill="1" applyBorder="1" applyAlignment="1">
      <alignment horizontal="center" vertical="center"/>
    </xf>
    <xf numFmtId="0" fontId="178" fillId="15" borderId="74" xfId="0" applyFont="1" applyFill="1" applyBorder="1" applyAlignment="1">
      <alignment horizontal="center" vertical="center"/>
    </xf>
    <xf numFmtId="0" fontId="178" fillId="15" borderId="36" xfId="0" applyFont="1" applyFill="1" applyBorder="1" applyAlignment="1">
      <alignment horizontal="center" vertical="center"/>
    </xf>
    <xf numFmtId="0" fontId="178" fillId="15" borderId="94" xfId="0" applyFont="1" applyFill="1" applyBorder="1" applyAlignment="1">
      <alignment horizontal="center" vertical="center"/>
    </xf>
    <xf numFmtId="0" fontId="175" fillId="15" borderId="94" xfId="0" applyFont="1" applyFill="1" applyBorder="1" applyAlignment="1">
      <alignment horizontal="center" vertical="center"/>
    </xf>
    <xf numFmtId="0" fontId="185" fillId="13" borderId="1" xfId="0" applyFont="1" applyFill="1" applyBorder="1" applyAlignment="1">
      <alignment horizontal="left" vertical="center"/>
    </xf>
    <xf numFmtId="0" fontId="183" fillId="13" borderId="1" xfId="0" applyFont="1" applyFill="1" applyBorder="1" applyAlignment="1">
      <alignment horizontal="left"/>
    </xf>
    <xf numFmtId="0" fontId="175" fillId="10" borderId="93" xfId="0" applyFont="1" applyFill="1" applyBorder="1" applyAlignment="1">
      <alignment horizontal="left"/>
    </xf>
    <xf numFmtId="0" fontId="175" fillId="10" borderId="94" xfId="0" applyFont="1" applyFill="1" applyBorder="1" applyAlignment="1">
      <alignment horizontal="left"/>
    </xf>
    <xf numFmtId="0" fontId="175" fillId="0" borderId="57" xfId="0" applyFont="1" applyFill="1" applyBorder="1" applyAlignment="1">
      <alignment horizontal="left"/>
    </xf>
    <xf numFmtId="0" fontId="175" fillId="0" borderId="0" xfId="0" applyFont="1" applyFill="1" applyAlignment="1">
      <alignment horizontal="left"/>
    </xf>
    <xf numFmtId="0" fontId="176" fillId="8" borderId="0" xfId="0" applyFont="1" applyFill="1" applyAlignment="1">
      <alignment horizontal="center" vertical="center"/>
    </xf>
    <xf numFmtId="0" fontId="177" fillId="18" borderId="1" xfId="0" applyFont="1" applyFill="1" applyBorder="1" applyAlignment="1">
      <alignment horizontal="left" vertical="center"/>
    </xf>
    <xf numFmtId="0" fontId="177" fillId="20" borderId="0" xfId="0" applyFont="1" applyFill="1" applyAlignment="1">
      <alignment horizontal="left" vertical="center"/>
    </xf>
    <xf numFmtId="0" fontId="184" fillId="13" borderId="93" xfId="0" applyFont="1" applyFill="1" applyBorder="1" applyAlignment="1">
      <alignment horizontal="center" vertical="top"/>
    </xf>
    <xf numFmtId="0" fontId="184" fillId="13" borderId="94" xfId="0" applyFont="1" applyFill="1" applyBorder="1" applyAlignment="1">
      <alignment horizontal="center" vertical="top"/>
    </xf>
    <xf numFmtId="0" fontId="175" fillId="13" borderId="93" xfId="0" applyFont="1" applyFill="1" applyBorder="1" applyAlignment="1">
      <alignment horizontal="left" vertical="center"/>
    </xf>
    <xf numFmtId="0" fontId="175" fillId="13" borderId="94" xfId="0" applyFont="1" applyFill="1" applyBorder="1" applyAlignment="1">
      <alignment horizontal="left" vertical="center"/>
    </xf>
    <xf numFmtId="0" fontId="77" fillId="0" borderId="1" xfId="5" applyFont="1" applyFill="1" applyBorder="1" applyAlignment="1">
      <alignment horizontal="center" vertical="center" wrapText="1"/>
    </xf>
    <xf numFmtId="0" fontId="77" fillId="0" borderId="93" xfId="5" applyFont="1" applyFill="1" applyBorder="1" applyAlignment="1">
      <alignment horizontal="center"/>
    </xf>
    <xf numFmtId="0" fontId="77" fillId="0" borderId="54" xfId="5" applyFont="1" applyFill="1" applyBorder="1" applyAlignment="1">
      <alignment horizontal="center"/>
    </xf>
    <xf numFmtId="0" fontId="77" fillId="0" borderId="118" xfId="5" applyFont="1" applyFill="1" applyBorder="1" applyAlignment="1">
      <alignment horizontal="center"/>
    </xf>
    <xf numFmtId="0" fontId="77" fillId="0" borderId="156" xfId="5" applyFont="1" applyFill="1" applyBorder="1" applyAlignment="1">
      <alignment horizontal="center"/>
    </xf>
    <xf numFmtId="0" fontId="77" fillId="0" borderId="153" xfId="5" applyFont="1" applyFill="1" applyBorder="1" applyAlignment="1">
      <alignment horizontal="center"/>
    </xf>
    <xf numFmtId="0" fontId="164" fillId="23" borderId="161" xfId="5" applyFont="1" applyFill="1" applyBorder="1" applyAlignment="1">
      <alignment horizontal="center"/>
    </xf>
    <xf numFmtId="0" fontId="77" fillId="23" borderId="162" xfId="5" applyFont="1" applyFill="1" applyBorder="1" applyAlignment="1">
      <alignment horizontal="center"/>
    </xf>
    <xf numFmtId="0" fontId="164" fillId="0" borderId="93" xfId="5" applyFont="1" applyFill="1" applyBorder="1" applyAlignment="1">
      <alignment horizontal="center"/>
    </xf>
    <xf numFmtId="0" fontId="77" fillId="0" borderId="94" xfId="5" applyFont="1" applyFill="1" applyBorder="1" applyAlignment="1">
      <alignment horizontal="center"/>
    </xf>
    <xf numFmtId="0" fontId="161" fillId="0" borderId="0" xfId="0" applyFont="1" applyFill="1" applyAlignment="1">
      <alignment horizontal="left" vertical="center"/>
    </xf>
    <xf numFmtId="0" fontId="0" fillId="0" borderId="0" xfId="0" applyFill="1" applyAlignment="1">
      <alignment horizontal="center" vertical="center"/>
    </xf>
    <xf numFmtId="0" fontId="90" fillId="8" borderId="40" xfId="0" applyFont="1" applyFill="1" applyBorder="1" applyAlignment="1">
      <alignment horizontal="center" vertical="center"/>
    </xf>
    <xf numFmtId="0" fontId="90" fillId="8" borderId="47" xfId="0" applyFont="1" applyFill="1" applyBorder="1" applyAlignment="1">
      <alignment horizontal="center" vertical="center"/>
    </xf>
    <xf numFmtId="0" fontId="159" fillId="0" borderId="150" xfId="0" applyFont="1" applyFill="1" applyBorder="1" applyAlignment="1">
      <alignment horizontal="center" vertical="center"/>
    </xf>
    <xf numFmtId="0" fontId="159" fillId="0" borderId="151" xfId="0" applyFont="1" applyFill="1" applyBorder="1" applyAlignment="1">
      <alignment horizontal="center" vertical="center"/>
    </xf>
    <xf numFmtId="0" fontId="159" fillId="0" borderId="152" xfId="0" applyFont="1" applyFill="1" applyBorder="1" applyAlignment="1">
      <alignment horizontal="center" vertical="center"/>
    </xf>
    <xf numFmtId="0" fontId="90" fillId="0" borderId="97" xfId="0" applyFont="1" applyFill="1" applyBorder="1" applyAlignment="1">
      <alignment horizontal="center" vertical="center"/>
    </xf>
    <xf numFmtId="0" fontId="90" fillId="0" borderId="94" xfId="0" applyFont="1" applyFill="1" applyBorder="1" applyAlignment="1">
      <alignment horizontal="center" vertical="center"/>
    </xf>
    <xf numFmtId="0" fontId="159" fillId="0" borderId="154" xfId="0" applyFont="1" applyFill="1" applyBorder="1" applyAlignment="1">
      <alignment horizontal="center" vertical="center"/>
    </xf>
    <xf numFmtId="0" fontId="159" fillId="0" borderId="95" xfId="0" applyFont="1" applyFill="1" applyBorder="1" applyAlignment="1">
      <alignment horizontal="center" vertical="center"/>
    </xf>
    <xf numFmtId="0" fontId="159" fillId="0" borderId="157" xfId="0" applyFont="1" applyFill="1" applyBorder="1" applyAlignment="1">
      <alignment horizontal="center" vertical="center"/>
    </xf>
    <xf numFmtId="0" fontId="160" fillId="0" borderId="38" xfId="0" applyFont="1" applyFill="1" applyBorder="1" applyAlignment="1">
      <alignment horizontal="center" vertical="center"/>
    </xf>
    <xf numFmtId="0" fontId="160" fillId="0" borderId="44" xfId="0" applyFont="1" applyFill="1" applyBorder="1" applyAlignment="1">
      <alignment horizontal="center" vertical="center"/>
    </xf>
    <xf numFmtId="0" fontId="90" fillId="0" borderId="39" xfId="0" applyFont="1" applyFill="1" applyBorder="1" applyAlignment="1">
      <alignment horizontal="center" vertical="center"/>
    </xf>
    <xf numFmtId="0" fontId="90" fillId="0" borderId="1" xfId="0" applyFont="1" applyFill="1" applyBorder="1" applyAlignment="1">
      <alignment horizontal="center" vertical="center"/>
    </xf>
    <xf numFmtId="0" fontId="90" fillId="8" borderId="39" xfId="0" applyFont="1" applyFill="1" applyBorder="1" applyAlignment="1">
      <alignment horizontal="center" vertical="center"/>
    </xf>
    <xf numFmtId="0" fontId="90" fillId="8" borderId="1" xfId="0" applyFont="1" applyFill="1" applyBorder="1" applyAlignment="1">
      <alignment horizontal="center" vertical="center"/>
    </xf>
    <xf numFmtId="0" fontId="122" fillId="15" borderId="1" xfId="0" applyFont="1" applyFill="1" applyBorder="1" applyAlignment="1">
      <alignment horizontal="right" vertical="center"/>
    </xf>
    <xf numFmtId="0" fontId="29" fillId="15" borderId="1" xfId="0" applyFont="1" applyFill="1" applyBorder="1" applyAlignment="1">
      <alignment horizontal="right" vertical="center"/>
    </xf>
    <xf numFmtId="0" fontId="0" fillId="15" borderId="1" xfId="0" applyFont="1" applyFill="1" applyBorder="1" applyAlignment="1">
      <alignment horizontal="right" vertical="center"/>
    </xf>
    <xf numFmtId="0" fontId="152" fillId="15" borderId="1" xfId="0" applyFont="1" applyFill="1" applyBorder="1" applyAlignment="1">
      <alignment horizontal="right" vertical="center"/>
    </xf>
    <xf numFmtId="0" fontId="156" fillId="15" borderId="1" xfId="0" applyFont="1" applyFill="1" applyBorder="1" applyAlignment="1">
      <alignment horizontal="right" vertical="center"/>
    </xf>
    <xf numFmtId="0" fontId="152" fillId="15" borderId="55" xfId="0" applyFont="1" applyFill="1" applyBorder="1" applyAlignment="1">
      <alignment horizontal="right" vertical="center"/>
    </xf>
    <xf numFmtId="0" fontId="152" fillId="15" borderId="56" xfId="0" applyFont="1" applyFill="1" applyBorder="1" applyAlignment="1">
      <alignment horizontal="right" vertical="center"/>
    </xf>
    <xf numFmtId="0" fontId="152" fillId="15" borderId="59" xfId="0" applyFont="1" applyFill="1" applyBorder="1" applyAlignment="1">
      <alignment horizontal="right" vertical="center"/>
    </xf>
    <xf numFmtId="0" fontId="152" fillId="15" borderId="60" xfId="0" applyFont="1" applyFill="1" applyBorder="1" applyAlignment="1">
      <alignment horizontal="right" vertical="center"/>
    </xf>
    <xf numFmtId="0" fontId="157" fillId="15" borderId="55" xfId="0" applyFont="1" applyFill="1" applyBorder="1" applyAlignment="1">
      <alignment horizontal="right" vertical="center"/>
    </xf>
    <xf numFmtId="0" fontId="157" fillId="15" borderId="56" xfId="0" applyFont="1" applyFill="1" applyBorder="1" applyAlignment="1">
      <alignment horizontal="right" vertical="center"/>
    </xf>
    <xf numFmtId="0" fontId="157" fillId="15" borderId="59" xfId="0" applyFont="1" applyFill="1" applyBorder="1" applyAlignment="1">
      <alignment horizontal="right" vertical="center"/>
    </xf>
    <xf numFmtId="0" fontId="157" fillId="15" borderId="60" xfId="0" applyFont="1" applyFill="1" applyBorder="1" applyAlignment="1">
      <alignment horizontal="right" vertical="center"/>
    </xf>
    <xf numFmtId="0" fontId="158" fillId="33" borderId="0" xfId="0" applyFont="1" applyFill="1" applyAlignment="1">
      <alignment horizontal="center" vertical="center"/>
    </xf>
    <xf numFmtId="0" fontId="150" fillId="13" borderId="37" xfId="0" applyNumberFormat="1" applyFont="1" applyFill="1" applyBorder="1" applyAlignment="1">
      <alignment horizontal="center" vertical="center" textRotation="255"/>
    </xf>
    <xf numFmtId="0" fontId="150" fillId="13" borderId="146" xfId="0" applyNumberFormat="1" applyFont="1" applyFill="1" applyBorder="1" applyAlignment="1">
      <alignment horizontal="center" vertical="center" textRotation="255"/>
    </xf>
    <xf numFmtId="0" fontId="150" fillId="13" borderId="147" xfId="0" applyNumberFormat="1" applyFont="1" applyFill="1" applyBorder="1" applyAlignment="1">
      <alignment horizontal="center" vertical="center" textRotation="255"/>
    </xf>
    <xf numFmtId="0" fontId="19" fillId="7" borderId="1" xfId="0" applyNumberFormat="1" applyFont="1" applyFill="1" applyBorder="1" applyAlignment="1">
      <alignment vertical="center" textRotation="255"/>
    </xf>
    <xf numFmtId="0" fontId="155" fillId="7" borderId="1" xfId="0" applyNumberFormat="1" applyFont="1" applyFill="1" applyBorder="1" applyAlignment="1">
      <alignment horizontal="center" vertical="center" textRotation="255"/>
    </xf>
    <xf numFmtId="0" fontId="0" fillId="15" borderId="94" xfId="0" applyFont="1" applyFill="1" applyBorder="1" applyAlignment="1">
      <alignment horizontal="right" vertical="center"/>
    </xf>
    <xf numFmtId="0" fontId="0" fillId="15" borderId="56" xfId="0" applyFont="1" applyFill="1" applyBorder="1" applyAlignment="1">
      <alignment horizontal="right" vertical="center"/>
    </xf>
    <xf numFmtId="0" fontId="0" fillId="15" borderId="60" xfId="0" applyFont="1" applyFill="1" applyBorder="1" applyAlignment="1">
      <alignment horizontal="right" vertical="center"/>
    </xf>
    <xf numFmtId="0" fontId="0" fillId="0" borderId="54" xfId="0" applyFont="1" applyFill="1" applyBorder="1" applyAlignment="1">
      <alignment horizontal="right"/>
    </xf>
    <xf numFmtId="0" fontId="0" fillId="0" borderId="94" xfId="0" applyFont="1" applyFill="1" applyBorder="1" applyAlignment="1">
      <alignment horizontal="right"/>
    </xf>
    <xf numFmtId="0" fontId="0" fillId="15" borderId="54" xfId="0" applyFont="1" applyFill="1" applyBorder="1" applyAlignment="1">
      <alignment horizontal="right"/>
    </xf>
    <xf numFmtId="0" fontId="0" fillId="15" borderId="94" xfId="0" applyFont="1" applyFill="1" applyBorder="1" applyAlignment="1">
      <alignment horizontal="right"/>
    </xf>
    <xf numFmtId="0" fontId="136" fillId="7" borderId="0" xfId="0" applyFont="1" applyFill="1" applyAlignment="1">
      <alignment horizontal="left" vertical="center"/>
    </xf>
    <xf numFmtId="0" fontId="152" fillId="15" borderId="93" xfId="0" applyFont="1" applyFill="1" applyBorder="1" applyAlignment="1">
      <alignment horizontal="center"/>
    </xf>
    <xf numFmtId="0" fontId="152" fillId="15" borderId="54" xfId="0" applyFont="1" applyFill="1" applyBorder="1" applyAlignment="1">
      <alignment horizontal="center"/>
    </xf>
    <xf numFmtId="0" fontId="152" fillId="15" borderId="94" xfId="0" applyFont="1" applyFill="1" applyBorder="1" applyAlignment="1">
      <alignment horizontal="center"/>
    </xf>
    <xf numFmtId="0" fontId="156" fillId="34" borderId="0" xfId="0" applyFont="1" applyFill="1" applyBorder="1" applyAlignment="1">
      <alignment horizontal="center"/>
    </xf>
    <xf numFmtId="0" fontId="156" fillId="34" borderId="0" xfId="0" applyFont="1" applyFill="1" applyAlignment="1">
      <alignment horizontal="center"/>
    </xf>
    <xf numFmtId="0" fontId="0" fillId="0" borderId="0" xfId="0" applyFont="1" applyFill="1" applyAlignment="1">
      <alignment horizontal="left"/>
    </xf>
    <xf numFmtId="0" fontId="0" fillId="0" borderId="54" xfId="0" applyNumberFormat="1" applyFont="1" applyFill="1" applyBorder="1" applyAlignment="1">
      <alignment horizontal="right" wrapText="1"/>
    </xf>
    <xf numFmtId="0" fontId="0" fillId="0" borderId="94" xfId="0" applyNumberFormat="1" applyFont="1" applyFill="1" applyBorder="1" applyAlignment="1">
      <alignment horizontal="right" wrapText="1"/>
    </xf>
    <xf numFmtId="0" fontId="0" fillId="0" borderId="0" xfId="0" applyAlignment="1">
      <alignment horizontal="right"/>
    </xf>
    <xf numFmtId="0" fontId="0" fillId="15" borderId="0" xfId="0" applyFill="1" applyAlignment="1">
      <alignment horizontal="right"/>
    </xf>
    <xf numFmtId="0" fontId="0" fillId="0" borderId="0" xfId="0" applyNumberFormat="1" applyFont="1" applyFill="1" applyAlignment="1" applyProtection="1">
      <alignment horizontal="left"/>
      <protection locked="0"/>
    </xf>
    <xf numFmtId="0" fontId="149" fillId="8" borderId="0" xfId="0" applyFont="1" applyFill="1" applyAlignment="1">
      <alignment horizontal="left" vertical="center"/>
    </xf>
    <xf numFmtId="0" fontId="0" fillId="13" borderId="1" xfId="0" applyFill="1" applyBorder="1" applyAlignment="1">
      <alignment horizontal="left"/>
    </xf>
    <xf numFmtId="0" fontId="0" fillId="14" borderId="1" xfId="0" applyFill="1" applyBorder="1" applyAlignment="1">
      <alignment horizontal="center"/>
    </xf>
    <xf numFmtId="0" fontId="0" fillId="14" borderId="46" xfId="0" applyFill="1" applyBorder="1" applyAlignment="1">
      <alignment horizontal="center"/>
    </xf>
    <xf numFmtId="0" fontId="0" fillId="13" borderId="47" xfId="0" applyFill="1" applyBorder="1" applyAlignment="1">
      <alignment horizontal="left"/>
    </xf>
    <xf numFmtId="0" fontId="0" fillId="14" borderId="47" xfId="0" applyFill="1" applyBorder="1" applyAlignment="1">
      <alignment horizontal="center"/>
    </xf>
    <xf numFmtId="0" fontId="0" fillId="14" borderId="48" xfId="0" applyFill="1" applyBorder="1" applyAlignment="1">
      <alignment horizontal="center"/>
    </xf>
    <xf numFmtId="0" fontId="0" fillId="13" borderId="39" xfId="0" applyFill="1" applyBorder="1" applyAlignment="1">
      <alignment horizontal="center" vertical="center"/>
    </xf>
    <xf numFmtId="0" fontId="0" fillId="13" borderId="40" xfId="0" applyFill="1" applyBorder="1" applyAlignment="1">
      <alignment horizontal="center" vertical="center"/>
    </xf>
    <xf numFmtId="0" fontId="30" fillId="12" borderId="144" xfId="0" applyFont="1" applyFill="1" applyBorder="1" applyAlignment="1">
      <alignment horizontal="center"/>
    </xf>
    <xf numFmtId="0" fontId="30" fillId="12" borderId="129" xfId="0" applyFont="1" applyFill="1" applyBorder="1" applyAlignment="1">
      <alignment horizontal="center"/>
    </xf>
    <xf numFmtId="0" fontId="30" fillId="12" borderId="23" xfId="0" applyFont="1" applyFill="1" applyBorder="1" applyAlignment="1">
      <alignment horizontal="left"/>
    </xf>
    <xf numFmtId="0" fontId="0" fillId="0" borderId="0" xfId="0" applyAlignment="1">
      <alignment horizontal="center"/>
    </xf>
    <xf numFmtId="0" fontId="145" fillId="38" borderId="41" xfId="0" applyFont="1" applyFill="1" applyBorder="1" applyAlignment="1">
      <alignment horizontal="center" vertical="center"/>
    </xf>
    <xf numFmtId="0" fontId="146" fillId="38" borderId="42" xfId="0" applyFont="1" applyFill="1" applyBorder="1" applyAlignment="1">
      <alignment horizontal="center" vertical="center"/>
    </xf>
    <xf numFmtId="0" fontId="146" fillId="38" borderId="43" xfId="0" applyFont="1" applyFill="1" applyBorder="1" applyAlignment="1">
      <alignment horizontal="center" vertical="center"/>
    </xf>
    <xf numFmtId="0" fontId="148" fillId="0" borderId="42" xfId="0" applyFont="1" applyFill="1" applyBorder="1" applyAlignment="1">
      <alignment horizontal="center"/>
    </xf>
    <xf numFmtId="0" fontId="148" fillId="0" borderId="43" xfId="0" applyFont="1" applyFill="1" applyBorder="1" applyAlignment="1">
      <alignment horizontal="center"/>
    </xf>
    <xf numFmtId="0" fontId="30" fillId="0" borderId="103" xfId="0" applyFont="1" applyFill="1" applyBorder="1" applyAlignment="1">
      <alignment horizontal="center" vertical="center"/>
    </xf>
    <xf numFmtId="0" fontId="30" fillId="0" borderId="144" xfId="0" applyFont="1" applyFill="1" applyBorder="1" applyAlignment="1">
      <alignment horizontal="center"/>
    </xf>
    <xf numFmtId="0" fontId="30" fillId="0" borderId="103" xfId="0" applyFont="1" applyFill="1" applyBorder="1" applyAlignment="1">
      <alignment horizontal="center"/>
    </xf>
    <xf numFmtId="0" fontId="15" fillId="34" borderId="0" xfId="0" applyNumberFormat="1" applyFont="1" applyFill="1" applyBorder="1" applyAlignment="1" applyProtection="1">
      <alignment horizontal="left" vertical="center"/>
      <protection locked="0"/>
    </xf>
    <xf numFmtId="0" fontId="139" fillId="0" borderId="0" xfId="0" applyNumberFormat="1" applyFont="1" applyFill="1" applyBorder="1" applyAlignment="1" applyProtection="1">
      <alignment horizontal="right" vertical="center"/>
      <protection locked="0"/>
    </xf>
    <xf numFmtId="0" fontId="140" fillId="0" borderId="0" xfId="0" applyNumberFormat="1" applyFont="1" applyFill="1" applyBorder="1" applyAlignment="1" applyProtection="1">
      <alignment horizontal="center" vertical="center"/>
      <protection locked="0"/>
    </xf>
    <xf numFmtId="0" fontId="136" fillId="37" borderId="0" xfId="0" applyNumberFormat="1" applyFont="1" applyFill="1" applyBorder="1" applyAlignment="1" applyProtection="1">
      <alignment horizontal="center" vertical="center"/>
      <protection locked="0"/>
    </xf>
    <xf numFmtId="0" fontId="26" fillId="37" borderId="0" xfId="0" applyNumberFormat="1" applyFont="1" applyFill="1" applyBorder="1" applyAlignment="1" applyProtection="1">
      <alignment horizontal="center" vertical="center"/>
      <protection locked="0"/>
    </xf>
    <xf numFmtId="0" fontId="137" fillId="34" borderId="0" xfId="0" applyNumberFormat="1" applyFont="1" applyFill="1" applyBorder="1" applyAlignment="1" applyProtection="1">
      <alignment horizontal="left" vertical="center"/>
      <protection locked="0"/>
    </xf>
    <xf numFmtId="0" fontId="15" fillId="20" borderId="1" xfId="0" applyNumberFormat="1" applyFont="1" applyFill="1" applyBorder="1" applyAlignment="1" applyProtection="1">
      <alignment horizontal="center" vertical="center"/>
      <protection locked="0"/>
    </xf>
    <xf numFmtId="0" fontId="64" fillId="34" borderId="110" xfId="0" applyFont="1" applyFill="1" applyBorder="1" applyAlignment="1" applyProtection="1">
      <alignment horizontal="center" vertical="center" wrapText="1"/>
      <protection locked="0"/>
    </xf>
    <xf numFmtId="0" fontId="64" fillId="34" borderId="1" xfId="0" applyFont="1" applyFill="1" applyBorder="1" applyAlignment="1" applyProtection="1">
      <alignment horizontal="center" vertical="center" wrapText="1"/>
      <protection locked="0"/>
    </xf>
    <xf numFmtId="0" fontId="64" fillId="34" borderId="109" xfId="0" applyFont="1" applyFill="1" applyBorder="1" applyAlignment="1" applyProtection="1">
      <alignment horizontal="center" vertical="center" wrapText="1"/>
      <protection locked="0"/>
    </xf>
    <xf numFmtId="0" fontId="64" fillId="34" borderId="111" xfId="0" applyFont="1" applyFill="1" applyBorder="1" applyAlignment="1" applyProtection="1">
      <alignment horizontal="center" vertical="center" wrapText="1"/>
      <protection locked="0"/>
    </xf>
    <xf numFmtId="0" fontId="64" fillId="34" borderId="81" xfId="0" applyFont="1" applyFill="1" applyBorder="1" applyAlignment="1" applyProtection="1">
      <alignment horizontal="center" vertical="center" wrapText="1"/>
      <protection locked="0"/>
    </xf>
    <xf numFmtId="0" fontId="64" fillId="34" borderId="112" xfId="0" applyFont="1" applyFill="1" applyBorder="1" applyAlignment="1" applyProtection="1">
      <alignment horizontal="center" vertical="center" wrapText="1"/>
      <protection locked="0"/>
    </xf>
    <xf numFmtId="0" fontId="15" fillId="34" borderId="93" xfId="0" applyFont="1" applyFill="1" applyBorder="1" applyAlignment="1" applyProtection="1">
      <alignment horizontal="center" vertical="center"/>
      <protection locked="0"/>
    </xf>
    <xf numFmtId="0" fontId="15" fillId="34" borderId="54" xfId="0" applyFont="1" applyFill="1" applyBorder="1" applyAlignment="1" applyProtection="1">
      <alignment horizontal="center" vertical="center"/>
      <protection locked="0"/>
    </xf>
    <xf numFmtId="0" fontId="15" fillId="34" borderId="140" xfId="0" applyFont="1" applyFill="1" applyBorder="1" applyAlignment="1" applyProtection="1">
      <alignment horizontal="center" vertical="center"/>
      <protection locked="0"/>
    </xf>
    <xf numFmtId="0" fontId="15" fillId="34" borderId="1" xfId="0" applyFont="1" applyFill="1" applyBorder="1" applyAlignment="1" applyProtection="1">
      <alignment horizontal="center" vertical="center"/>
      <protection locked="0"/>
    </xf>
    <xf numFmtId="0" fontId="15" fillId="34" borderId="109" xfId="0" applyFont="1" applyFill="1" applyBorder="1" applyAlignment="1" applyProtection="1">
      <alignment horizontal="center" vertical="center"/>
      <protection locked="0"/>
    </xf>
    <xf numFmtId="0" fontId="15" fillId="34" borderId="93" xfId="0" applyFont="1" applyFill="1" applyBorder="1" applyAlignment="1" applyProtection="1">
      <alignment horizontal="left" vertical="center"/>
      <protection locked="0"/>
    </xf>
    <xf numFmtId="0" fontId="15" fillId="34" borderId="54" xfId="0" applyFont="1" applyFill="1" applyBorder="1" applyAlignment="1" applyProtection="1">
      <alignment horizontal="left" vertical="center"/>
      <protection locked="0"/>
    </xf>
    <xf numFmtId="0" fontId="15" fillId="34" borderId="94" xfId="0" applyFont="1" applyFill="1" applyBorder="1" applyAlignment="1" applyProtection="1">
      <alignment horizontal="left" vertical="center"/>
      <protection locked="0"/>
    </xf>
    <xf numFmtId="0" fontId="15" fillId="34" borderId="94" xfId="0" applyFont="1" applyFill="1" applyBorder="1" applyAlignment="1" applyProtection="1">
      <alignment horizontal="center" vertical="center"/>
      <protection locked="0"/>
    </xf>
    <xf numFmtId="0" fontId="135" fillId="34" borderId="133" xfId="0" applyFont="1" applyFill="1" applyBorder="1" applyAlignment="1" applyProtection="1">
      <alignment horizontal="center" vertical="center"/>
      <protection locked="0"/>
    </xf>
    <xf numFmtId="0" fontId="135" fillId="34" borderId="134" xfId="0" applyFont="1" applyFill="1" applyBorder="1" applyAlignment="1" applyProtection="1">
      <alignment horizontal="center" vertical="center"/>
      <protection locked="0"/>
    </xf>
    <xf numFmtId="0" fontId="135" fillId="34" borderId="107" xfId="0" applyFont="1" applyFill="1" applyBorder="1" applyAlignment="1" applyProtection="1">
      <alignment horizontal="center" vertical="center"/>
      <protection locked="0"/>
    </xf>
    <xf numFmtId="0" fontId="45" fillId="34" borderId="131" xfId="0" applyFont="1" applyFill="1" applyBorder="1" applyAlignment="1" applyProtection="1">
      <alignment horizontal="left" vertical="center" wrapText="1"/>
      <protection locked="0"/>
    </xf>
    <xf numFmtId="0" fontId="45" fillId="34" borderId="61" xfId="0" applyFont="1" applyFill="1" applyBorder="1" applyAlignment="1" applyProtection="1">
      <alignment horizontal="left" vertical="center" wrapText="1"/>
      <protection locked="0"/>
    </xf>
    <xf numFmtId="0" fontId="45" fillId="34" borderId="138" xfId="0" applyFont="1" applyFill="1" applyBorder="1" applyAlignment="1" applyProtection="1">
      <alignment horizontal="left" vertical="center" wrapText="1"/>
      <protection locked="0"/>
    </xf>
    <xf numFmtId="0" fontId="45" fillId="34" borderId="132" xfId="0" applyFont="1" applyFill="1" applyBorder="1" applyAlignment="1" applyProtection="1">
      <alignment horizontal="left" vertical="center" wrapText="1"/>
      <protection locked="0"/>
    </xf>
    <xf numFmtId="0" fontId="45" fillId="34" borderId="103" xfId="0" applyFont="1" applyFill="1" applyBorder="1" applyAlignment="1" applyProtection="1">
      <alignment horizontal="left" vertical="center" wrapText="1"/>
      <protection locked="0"/>
    </xf>
    <xf numFmtId="0" fontId="45" fillId="34" borderId="139" xfId="0" applyFont="1" applyFill="1" applyBorder="1" applyAlignment="1" applyProtection="1">
      <alignment horizontal="left" vertical="center" wrapText="1"/>
      <protection locked="0"/>
    </xf>
    <xf numFmtId="0" fontId="134" fillId="34" borderId="0" xfId="0" applyFont="1" applyFill="1" applyAlignment="1" applyProtection="1">
      <alignment horizontal="center" vertical="center"/>
      <protection locked="0"/>
    </xf>
    <xf numFmtId="0" fontId="135" fillId="34" borderId="130" xfId="0" applyFont="1" applyFill="1" applyBorder="1" applyAlignment="1" applyProtection="1">
      <alignment horizontal="center" vertical="center"/>
      <protection locked="0"/>
    </xf>
    <xf numFmtId="0" fontId="135" fillId="34" borderId="54" xfId="0" applyFont="1" applyFill="1" applyBorder="1" applyAlignment="1" applyProtection="1">
      <alignment horizontal="center" vertical="center"/>
      <protection locked="0"/>
    </xf>
    <xf numFmtId="0" fontId="135" fillId="34" borderId="94" xfId="0" applyFont="1" applyFill="1" applyBorder="1" applyAlignment="1" applyProtection="1">
      <alignment horizontal="center" vertical="center"/>
      <protection locked="0"/>
    </xf>
    <xf numFmtId="0" fontId="91" fillId="0" borderId="1" xfId="0" applyFont="1" applyFill="1" applyBorder="1" applyAlignment="1">
      <alignment horizontal="center" vertical="center"/>
    </xf>
    <xf numFmtId="184" fontId="91" fillId="0" borderId="1" xfId="0" applyNumberFormat="1" applyFont="1" applyFill="1" applyBorder="1" applyAlignment="1">
      <alignment horizontal="center" vertical="center"/>
    </xf>
    <xf numFmtId="0" fontId="92" fillId="0" borderId="0" xfId="0" applyFont="1" applyFill="1" applyAlignment="1">
      <alignment horizontal="center" vertical="center"/>
    </xf>
    <xf numFmtId="0" fontId="98" fillId="0" borderId="0" xfId="0" applyFont="1" applyFill="1" applyAlignment="1">
      <alignment horizontal="center" vertical="center"/>
    </xf>
    <xf numFmtId="0" fontId="0" fillId="0" borderId="121" xfId="0" applyFill="1" applyBorder="1" applyAlignment="1">
      <alignment horizontal="center" wrapText="1"/>
    </xf>
    <xf numFmtId="0" fontId="0" fillId="0" borderId="124" xfId="0" applyFill="1" applyBorder="1" applyAlignment="1">
      <alignment horizontal="center" wrapText="1"/>
    </xf>
    <xf numFmtId="0" fontId="19" fillId="33" borderId="121" xfId="0" applyFont="1" applyFill="1" applyBorder="1" applyAlignment="1">
      <alignment horizontal="center" vertical="center" wrapText="1"/>
    </xf>
    <xf numFmtId="0" fontId="19" fillId="33" borderId="124" xfId="0" applyFont="1" applyFill="1" applyBorder="1" applyAlignment="1">
      <alignment horizontal="center" vertical="center" wrapText="1"/>
    </xf>
    <xf numFmtId="0" fontId="0" fillId="15" borderId="4" xfId="0" applyFill="1" applyBorder="1" applyAlignment="1">
      <alignment horizontal="left" wrapText="1"/>
    </xf>
    <xf numFmtId="0" fontId="0" fillId="15" borderId="0" xfId="0" applyFill="1" applyAlignment="1">
      <alignment horizontal="left" wrapText="1"/>
    </xf>
    <xf numFmtId="0" fontId="0" fillId="15" borderId="30" xfId="0" applyFill="1" applyBorder="1" applyAlignment="1">
      <alignment horizontal="left" wrapText="1"/>
    </xf>
    <xf numFmtId="0" fontId="0" fillId="15" borderId="22" xfId="0" applyFill="1" applyBorder="1" applyAlignment="1">
      <alignment horizontal="left" wrapText="1"/>
    </xf>
    <xf numFmtId="0" fontId="0" fillId="15" borderId="23" xfId="0" applyFill="1" applyBorder="1" applyAlignment="1">
      <alignment horizontal="left" wrapText="1"/>
    </xf>
    <xf numFmtId="0" fontId="0" fillId="15" borderId="35" xfId="0" applyFill="1" applyBorder="1" applyAlignment="1">
      <alignment horizontal="left" wrapText="1"/>
    </xf>
    <xf numFmtId="0" fontId="133" fillId="32" borderId="0" xfId="0" applyFont="1" applyFill="1" applyAlignment="1">
      <alignment horizontal="center" vertical="center" wrapText="1"/>
    </xf>
    <xf numFmtId="0" fontId="0" fillId="0" borderId="122" xfId="0" applyFill="1" applyBorder="1" applyAlignment="1">
      <alignment horizontal="center" wrapText="1"/>
    </xf>
    <xf numFmtId="0" fontId="0" fillId="0" borderId="123" xfId="0" applyFill="1" applyBorder="1" applyAlignment="1">
      <alignment horizontal="center" wrapText="1"/>
    </xf>
    <xf numFmtId="0" fontId="0" fillId="0" borderId="127" xfId="0" applyFill="1" applyBorder="1" applyAlignment="1">
      <alignment horizontal="center" wrapText="1"/>
    </xf>
    <xf numFmtId="0" fontId="0" fillId="0" borderId="126" xfId="0" applyBorder="1" applyAlignment="1">
      <alignment wrapText="1"/>
    </xf>
    <xf numFmtId="0" fontId="0" fillId="15" borderId="2" xfId="0" applyFill="1" applyBorder="1" applyAlignment="1">
      <alignment horizontal="left" wrapText="1"/>
    </xf>
    <xf numFmtId="0" fontId="0" fillId="15" borderId="3" xfId="0" applyFill="1" applyBorder="1" applyAlignment="1">
      <alignment horizontal="left" wrapText="1"/>
    </xf>
    <xf numFmtId="0" fontId="0" fillId="15" borderId="29" xfId="0" applyFill="1" applyBorder="1" applyAlignment="1">
      <alignment horizontal="left" wrapText="1"/>
    </xf>
    <xf numFmtId="0" fontId="132" fillId="0" borderId="0" xfId="0" applyFont="1" applyAlignment="1">
      <alignment horizontal="center"/>
    </xf>
    <xf numFmtId="0" fontId="45" fillId="0" borderId="0" xfId="0" applyFont="1" applyAlignment="1">
      <alignment horizontal="center"/>
    </xf>
    <xf numFmtId="0" fontId="30" fillId="0" borderId="2" xfId="0" applyFont="1" applyBorder="1" applyAlignment="1">
      <alignment horizontal="left" wrapText="1"/>
    </xf>
    <xf numFmtId="0" fontId="30" fillId="0" borderId="3" xfId="0" applyFont="1" applyBorder="1" applyAlignment="1">
      <alignment horizontal="left" wrapText="1"/>
    </xf>
    <xf numFmtId="0" fontId="30" fillId="0" borderId="29" xfId="0" applyFont="1" applyBorder="1" applyAlignment="1">
      <alignment horizontal="left" wrapText="1"/>
    </xf>
    <xf numFmtId="0" fontId="0" fillId="0" borderId="61" xfId="0" applyFill="1" applyBorder="1" applyAlignment="1">
      <alignment horizontal="center" vertical="center"/>
    </xf>
    <xf numFmtId="0" fontId="0" fillId="0" borderId="61" xfId="0" applyNumberFormat="1" applyFill="1" applyBorder="1" applyAlignment="1">
      <alignment horizontal="center" vertical="center"/>
    </xf>
    <xf numFmtId="182" fontId="0" fillId="0" borderId="53" xfId="0" applyNumberFormat="1" applyFill="1" applyBorder="1" applyAlignment="1">
      <alignment horizontal="center" vertical="center"/>
    </xf>
    <xf numFmtId="0" fontId="0" fillId="0" borderId="53" xfId="0" applyFill="1" applyBorder="1" applyAlignment="1">
      <alignment horizontal="center" vertical="center"/>
    </xf>
    <xf numFmtId="0" fontId="127" fillId="32" borderId="0" xfId="0" applyFont="1" applyFill="1" applyAlignment="1">
      <alignment horizontal="center" vertical="center"/>
    </xf>
    <xf numFmtId="0" fontId="75" fillId="32" borderId="0" xfId="0" applyFont="1" applyFill="1" applyAlignment="1">
      <alignment horizontal="center" vertical="center"/>
    </xf>
    <xf numFmtId="0" fontId="0" fillId="0" borderId="0" xfId="0" applyFill="1" applyAlignment="1">
      <alignment horizontal="left" vertical="top"/>
    </xf>
    <xf numFmtId="0" fontId="20" fillId="0" borderId="0" xfId="0" applyFont="1" applyAlignment="1">
      <alignment horizontal="left"/>
    </xf>
    <xf numFmtId="0" fontId="0" fillId="0" borderId="104" xfId="0" applyBorder="1" applyAlignment="1">
      <alignment horizontal="center" vertical="center"/>
    </xf>
    <xf numFmtId="0" fontId="0" fillId="0" borderId="108" xfId="0" applyBorder="1" applyAlignment="1">
      <alignment horizontal="center" vertical="center"/>
    </xf>
    <xf numFmtId="0" fontId="0" fillId="0" borderId="105" xfId="0" applyBorder="1" applyAlignment="1">
      <alignment horizontal="center" vertical="center" wrapText="1"/>
    </xf>
    <xf numFmtId="0" fontId="0" fillId="0" borderId="36" xfId="0" applyBorder="1" applyAlignment="1">
      <alignment horizontal="center" vertical="center" wrapText="1"/>
    </xf>
    <xf numFmtId="0" fontId="121" fillId="0" borderId="113" xfId="0" applyFont="1" applyBorder="1" applyAlignment="1">
      <alignment horizontal="center" vertical="center"/>
    </xf>
    <xf numFmtId="0" fontId="121" fillId="0" borderId="83" xfId="0" applyFont="1" applyBorder="1" applyAlignment="1">
      <alignment horizontal="center" vertical="center"/>
    </xf>
    <xf numFmtId="0" fontId="121" fillId="0" borderId="114" xfId="0" applyFont="1" applyBorder="1" applyAlignment="1">
      <alignment horizontal="center" vertical="center"/>
    </xf>
    <xf numFmtId="0" fontId="121" fillId="0" borderId="110" xfId="0" applyFont="1" applyBorder="1" applyAlignment="1">
      <alignment horizontal="center" vertical="center"/>
    </xf>
    <xf numFmtId="0" fontId="121" fillId="0" borderId="1" xfId="0" applyFont="1" applyBorder="1" applyAlignment="1">
      <alignment horizontal="center" vertical="center"/>
    </xf>
    <xf numFmtId="0" fontId="121" fillId="0" borderId="109" xfId="0" applyFont="1" applyBorder="1" applyAlignment="1">
      <alignment horizontal="center" vertical="center"/>
    </xf>
    <xf numFmtId="0" fontId="90" fillId="0" borderId="103" xfId="0" applyFont="1" applyBorder="1" applyAlignment="1">
      <alignment horizontal="center"/>
    </xf>
    <xf numFmtId="0" fontId="19" fillId="0" borderId="103" xfId="0" applyFont="1" applyBorder="1" applyAlignment="1">
      <alignment horizontal="center"/>
    </xf>
    <xf numFmtId="0" fontId="0" fillId="0" borderId="106" xfId="0" applyBorder="1" applyAlignment="1">
      <alignment horizontal="center" vertical="center" wrapText="1"/>
    </xf>
    <xf numFmtId="0" fontId="0" fillId="0" borderId="107" xfId="0" applyBorder="1" applyAlignment="1">
      <alignment horizontal="center" vertical="center" wrapText="1"/>
    </xf>
    <xf numFmtId="0" fontId="0" fillId="0" borderId="0" xfId="0" applyAlignment="1">
      <alignment horizontal="left"/>
    </xf>
    <xf numFmtId="0" fontId="0" fillId="0" borderId="106" xfId="0" applyBorder="1" applyAlignment="1">
      <alignment horizontal="center" vertical="center"/>
    </xf>
    <xf numFmtId="0" fontId="0" fillId="0" borderId="107" xfId="0" applyBorder="1" applyAlignment="1">
      <alignment horizontal="center" vertical="center"/>
    </xf>
    <xf numFmtId="0" fontId="19" fillId="0" borderId="0" xfId="0" applyFont="1" applyAlignment="1" applyProtection="1">
      <alignment horizontal="center" vertical="center"/>
    </xf>
    <xf numFmtId="0" fontId="20" fillId="0" borderId="0" xfId="0" applyFont="1" applyAlignment="1" applyProtection="1">
      <alignment horizontal="left"/>
    </xf>
    <xf numFmtId="0" fontId="20" fillId="0" borderId="0" xfId="0" applyFont="1" applyAlignment="1" applyProtection="1">
      <alignment horizontal="left"/>
      <protection locked="0"/>
    </xf>
    <xf numFmtId="0" fontId="0" fillId="0" borderId="0" xfId="0" applyAlignment="1" applyProtection="1">
      <alignment horizontal="left"/>
      <protection locked="0"/>
    </xf>
    <xf numFmtId="0" fontId="70" fillId="28" borderId="0" xfId="0" applyFont="1" applyFill="1" applyAlignment="1">
      <alignment horizontal="center" vertical="center"/>
    </xf>
    <xf numFmtId="0" fontId="91" fillId="29" borderId="53" xfId="0" applyFont="1" applyFill="1" applyBorder="1" applyAlignment="1">
      <alignment horizontal="left" vertical="center"/>
    </xf>
    <xf numFmtId="0" fontId="17" fillId="2" borderId="0" xfId="0" applyNumberFormat="1" applyFont="1" applyFill="1" applyAlignment="1">
      <alignment horizontal="center" vertical="center" textRotation="255"/>
    </xf>
    <xf numFmtId="0" fontId="0" fillId="0" borderId="1" xfId="0" applyFont="1" applyFill="1" applyBorder="1" applyAlignment="1">
      <alignment horizontal="center" vertical="center" textRotation="255" wrapText="1"/>
    </xf>
    <xf numFmtId="0" fontId="0" fillId="0" borderId="74" xfId="0" applyFont="1" applyFill="1" applyBorder="1" applyAlignment="1">
      <alignment horizontal="center" vertical="center"/>
    </xf>
    <xf numFmtId="0" fontId="0" fillId="0" borderId="36" xfId="0" applyFont="1" applyFill="1" applyBorder="1" applyAlignment="1">
      <alignment horizontal="center" vertical="center"/>
    </xf>
    <xf numFmtId="0" fontId="0" fillId="0" borderId="55" xfId="0" applyFont="1" applyFill="1" applyBorder="1" applyAlignment="1">
      <alignment horizontal="center" vertical="center"/>
    </xf>
    <xf numFmtId="0" fontId="0" fillId="0" borderId="61" xfId="0" applyFont="1" applyFill="1" applyBorder="1" applyAlignment="1">
      <alignment horizontal="center" vertical="center"/>
    </xf>
    <xf numFmtId="0" fontId="0" fillId="0" borderId="56" xfId="0" applyFont="1" applyFill="1" applyBorder="1" applyAlignment="1">
      <alignment horizontal="center" vertical="center"/>
    </xf>
    <xf numFmtId="0" fontId="0" fillId="0" borderId="59" xfId="0" applyFont="1" applyFill="1" applyBorder="1" applyAlignment="1">
      <alignment horizontal="center" vertical="center"/>
    </xf>
    <xf numFmtId="0" fontId="0" fillId="0" borderId="53" xfId="0" applyFont="1" applyFill="1" applyBorder="1" applyAlignment="1">
      <alignment horizontal="center" vertical="center"/>
    </xf>
    <xf numFmtId="0" fontId="0" fillId="0" borderId="60" xfId="0" applyFont="1" applyFill="1" applyBorder="1" applyAlignment="1">
      <alignment horizontal="center" vertical="center"/>
    </xf>
    <xf numFmtId="0" fontId="0" fillId="0" borderId="93" xfId="0" applyFont="1" applyFill="1" applyBorder="1" applyAlignment="1">
      <alignment horizontal="center" vertical="center"/>
    </xf>
    <xf numFmtId="0" fontId="0" fillId="0" borderId="54" xfId="0" applyFont="1" applyFill="1" applyBorder="1" applyAlignment="1">
      <alignment horizontal="center" vertical="center"/>
    </xf>
    <xf numFmtId="0" fontId="0" fillId="0" borderId="94" xfId="0" applyFont="1" applyFill="1" applyBorder="1" applyAlignment="1">
      <alignment horizontal="center" vertical="center"/>
    </xf>
    <xf numFmtId="0" fontId="0" fillId="22" borderId="93" xfId="0" applyFont="1" applyFill="1" applyBorder="1" applyAlignment="1">
      <alignment horizontal="center" vertical="center" wrapText="1"/>
    </xf>
    <xf numFmtId="0" fontId="0" fillId="22" borderId="54" xfId="0" applyFont="1" applyFill="1" applyBorder="1" applyAlignment="1">
      <alignment horizontal="center" vertical="center" wrapText="1"/>
    </xf>
    <xf numFmtId="0" fontId="0" fillId="22" borderId="94" xfId="0" applyFont="1" applyFill="1" applyBorder="1" applyAlignment="1">
      <alignment horizontal="center" vertical="center" wrapText="1"/>
    </xf>
    <xf numFmtId="0" fontId="0" fillId="27" borderId="93" xfId="0" applyFont="1" applyFill="1" applyBorder="1" applyAlignment="1">
      <alignment horizontal="center" vertical="center"/>
    </xf>
    <xf numFmtId="0" fontId="0" fillId="27" borderId="54" xfId="0" applyFont="1" applyFill="1" applyBorder="1" applyAlignment="1">
      <alignment horizontal="center" vertical="center"/>
    </xf>
    <xf numFmtId="0" fontId="0" fillId="27" borderId="94" xfId="0" applyFont="1" applyFill="1" applyBorder="1" applyAlignment="1">
      <alignment horizontal="center" vertical="center"/>
    </xf>
    <xf numFmtId="0" fontId="0" fillId="22" borderId="93" xfId="0" applyFont="1" applyFill="1" applyBorder="1" applyAlignment="1">
      <alignment horizontal="center" vertical="center"/>
    </xf>
    <xf numFmtId="0" fontId="0" fillId="22" borderId="54" xfId="0" applyFont="1" applyFill="1" applyBorder="1" applyAlignment="1">
      <alignment horizontal="center" vertical="center"/>
    </xf>
    <xf numFmtId="0" fontId="0" fillId="22" borderId="94" xfId="0" applyFont="1" applyFill="1" applyBorder="1" applyAlignment="1">
      <alignment horizontal="center" vertical="center"/>
    </xf>
    <xf numFmtId="0" fontId="31" fillId="0" borderId="0" xfId="0" applyFont="1" applyFill="1" applyAlignment="1">
      <alignment horizontal="center" vertical="center"/>
    </xf>
    <xf numFmtId="0" fontId="69" fillId="0" borderId="1" xfId="0" applyFont="1" applyFill="1" applyBorder="1" applyAlignment="1">
      <alignment horizontal="center" vertical="center"/>
    </xf>
    <xf numFmtId="0" fontId="69" fillId="0" borderId="74" xfId="0" applyFont="1" applyFill="1" applyBorder="1" applyAlignment="1">
      <alignment horizontal="center" vertical="center"/>
    </xf>
    <xf numFmtId="0" fontId="69" fillId="0" borderId="63" xfId="0" applyFont="1" applyFill="1" applyBorder="1" applyAlignment="1">
      <alignment horizontal="center" vertical="center"/>
    </xf>
    <xf numFmtId="0" fontId="69" fillId="0" borderId="36" xfId="0" applyFont="1" applyFill="1" applyBorder="1" applyAlignment="1">
      <alignment horizontal="center" vertical="center"/>
    </xf>
    <xf numFmtId="0" fontId="79" fillId="10" borderId="93" xfId="0" applyFont="1" applyFill="1" applyBorder="1" applyAlignment="1">
      <alignment horizontal="center" vertical="center"/>
    </xf>
    <xf numFmtId="0" fontId="79" fillId="10" borderId="54" xfId="0" applyFont="1" applyFill="1" applyBorder="1" applyAlignment="1">
      <alignment horizontal="center" vertical="center"/>
    </xf>
    <xf numFmtId="0" fontId="79" fillId="10" borderId="94" xfId="0" applyFont="1" applyFill="1" applyBorder="1" applyAlignment="1">
      <alignment horizontal="center" vertical="center"/>
    </xf>
    <xf numFmtId="0" fontId="69" fillId="0" borderId="93" xfId="0" applyFont="1" applyFill="1" applyBorder="1" applyAlignment="1">
      <alignment horizontal="center" vertical="center"/>
    </xf>
    <xf numFmtId="0" fontId="69" fillId="0" borderId="54" xfId="0" applyFont="1" applyFill="1" applyBorder="1" applyAlignment="1">
      <alignment horizontal="center" vertical="center"/>
    </xf>
    <xf numFmtId="0" fontId="69" fillId="0" borderId="94" xfId="0" applyFont="1" applyFill="1" applyBorder="1" applyAlignment="1">
      <alignment horizontal="center" vertical="center"/>
    </xf>
    <xf numFmtId="0" fontId="79" fillId="10" borderId="1" xfId="0" applyFont="1" applyFill="1" applyBorder="1" applyAlignment="1">
      <alignment horizontal="center" vertical="center"/>
    </xf>
    <xf numFmtId="0" fontId="78" fillId="0" borderId="0" xfId="0" applyFont="1" applyFill="1" applyAlignment="1">
      <alignment horizontal="center" vertical="center"/>
    </xf>
    <xf numFmtId="0" fontId="23" fillId="0" borderId="93" xfId="0" applyFont="1" applyFill="1" applyBorder="1" applyAlignment="1">
      <alignment horizontal="center" vertical="center"/>
    </xf>
    <xf numFmtId="0" fontId="23" fillId="0" borderId="94" xfId="0" applyFont="1" applyFill="1" applyBorder="1" applyAlignment="1">
      <alignment horizontal="center" vertical="center"/>
    </xf>
    <xf numFmtId="0" fontId="23" fillId="0" borderId="74" xfId="0" applyFont="1" applyFill="1" applyBorder="1" applyAlignment="1">
      <alignment horizontal="center" vertical="center" textRotation="255"/>
    </xf>
    <xf numFmtId="0" fontId="23" fillId="0" borderId="63" xfId="0" applyFont="1" applyFill="1" applyBorder="1" applyAlignment="1">
      <alignment horizontal="center" vertical="center" textRotation="255"/>
    </xf>
    <xf numFmtId="0" fontId="23" fillId="0" borderId="36" xfId="0" applyFont="1" applyFill="1" applyBorder="1" applyAlignment="1">
      <alignment horizontal="center" vertical="center" textRotation="255"/>
    </xf>
    <xf numFmtId="0" fontId="23" fillId="0" borderId="74" xfId="0" applyFont="1" applyFill="1" applyBorder="1" applyAlignment="1">
      <alignment horizontal="left" vertical="center"/>
    </xf>
    <xf numFmtId="0" fontId="23" fillId="0" borderId="36" xfId="0" applyFont="1" applyFill="1" applyBorder="1" applyAlignment="1">
      <alignment horizontal="left" vertical="center"/>
    </xf>
    <xf numFmtId="0" fontId="118" fillId="0" borderId="0" xfId="0" applyFont="1" applyFill="1" applyAlignment="1">
      <alignment horizontal="center" vertical="center"/>
    </xf>
    <xf numFmtId="0" fontId="116" fillId="0" borderId="74" xfId="0" applyFont="1" applyFill="1" applyBorder="1" applyAlignment="1">
      <alignment horizontal="center" vertical="center"/>
    </xf>
    <xf numFmtId="0" fontId="116" fillId="0" borderId="63" xfId="0" applyFont="1" applyFill="1" applyBorder="1" applyAlignment="1">
      <alignment horizontal="center" vertical="center"/>
    </xf>
    <xf numFmtId="0" fontId="116" fillId="0" borderId="36" xfId="0" applyFont="1" applyFill="1" applyBorder="1" applyAlignment="1">
      <alignment horizontal="center" vertical="center"/>
    </xf>
    <xf numFmtId="0" fontId="117" fillId="0" borderId="74" xfId="0" applyFont="1" applyFill="1" applyBorder="1" applyAlignment="1">
      <alignment horizontal="center" vertical="center"/>
    </xf>
    <xf numFmtId="0" fontId="117" fillId="0" borderId="63" xfId="0" applyFont="1" applyFill="1" applyBorder="1" applyAlignment="1">
      <alignment horizontal="center" vertical="center"/>
    </xf>
    <xf numFmtId="0" fontId="117" fillId="0" borderId="36" xfId="0" applyFont="1" applyFill="1" applyBorder="1" applyAlignment="1">
      <alignment horizontal="center" vertical="center"/>
    </xf>
    <xf numFmtId="0" fontId="117" fillId="0" borderId="1" xfId="0" applyFont="1" applyFill="1" applyBorder="1" applyAlignment="1">
      <alignment horizontal="center" vertical="center"/>
    </xf>
    <xf numFmtId="0" fontId="115" fillId="0" borderId="0" xfId="0" applyFont="1" applyFill="1" applyAlignment="1">
      <alignment horizontal="center" vertical="center"/>
    </xf>
    <xf numFmtId="0" fontId="112" fillId="26" borderId="1" xfId="0" applyFont="1" applyFill="1" applyBorder="1" applyAlignment="1">
      <alignment horizontal="center" vertical="center" wrapText="1"/>
    </xf>
    <xf numFmtId="0" fontId="15" fillId="26" borderId="1" xfId="0" applyFont="1" applyFill="1" applyBorder="1" applyAlignment="1">
      <alignment horizontal="center" vertical="center" wrapText="1"/>
    </xf>
    <xf numFmtId="0" fontId="110" fillId="15" borderId="1" xfId="0" applyFont="1" applyFill="1" applyBorder="1" applyAlignment="1">
      <alignment horizontal="center" vertical="center" wrapText="1"/>
    </xf>
    <xf numFmtId="0" fontId="111" fillId="15" borderId="1" xfId="0" applyFont="1" applyFill="1" applyBorder="1" applyAlignment="1">
      <alignment horizontal="center" vertical="center" wrapText="1"/>
    </xf>
    <xf numFmtId="0" fontId="113" fillId="5" borderId="1" xfId="2" applyFont="1" applyFill="1" applyBorder="1" applyAlignment="1" applyProtection="1">
      <alignment horizontal="center" vertical="center"/>
    </xf>
    <xf numFmtId="0" fontId="114" fillId="5" borderId="1" xfId="2" applyFont="1" applyFill="1" applyBorder="1" applyAlignment="1" applyProtection="1">
      <alignment horizontal="center" vertical="center"/>
    </xf>
    <xf numFmtId="0" fontId="106" fillId="13" borderId="0" xfId="0" applyFont="1" applyFill="1" applyAlignment="1">
      <alignment horizontal="center" vertical="center"/>
    </xf>
    <xf numFmtId="0" fontId="15" fillId="0" borderId="0" xfId="0" applyFont="1" applyFill="1" applyAlignment="1">
      <alignment horizontal="center" vertical="center"/>
    </xf>
    <xf numFmtId="0" fontId="109" fillId="15" borderId="93" xfId="0" applyFont="1" applyFill="1" applyBorder="1" applyAlignment="1">
      <alignment horizontal="center" vertical="center" wrapText="1"/>
    </xf>
    <xf numFmtId="0" fontId="109" fillId="15" borderId="54" xfId="0" applyFont="1" applyFill="1" applyBorder="1" applyAlignment="1">
      <alignment horizontal="center" vertical="center" wrapText="1"/>
    </xf>
    <xf numFmtId="0" fontId="109" fillId="15" borderId="94" xfId="0" applyFont="1" applyFill="1" applyBorder="1" applyAlignment="1">
      <alignment horizontal="center" vertical="center" wrapText="1"/>
    </xf>
    <xf numFmtId="0" fontId="26" fillId="26" borderId="1" xfId="0" applyFont="1" applyFill="1" applyBorder="1" applyAlignment="1">
      <alignment horizontal="center" vertical="center"/>
    </xf>
    <xf numFmtId="0" fontId="108" fillId="26" borderId="93" xfId="0" applyNumberFormat="1" applyFont="1" applyFill="1" applyBorder="1" applyAlignment="1">
      <alignment horizontal="center" vertical="center"/>
    </xf>
    <xf numFmtId="0" fontId="0" fillId="0" borderId="68" xfId="0" applyFont="1" applyBorder="1" applyAlignment="1">
      <alignment horizontal="center" vertical="center"/>
    </xf>
    <xf numFmtId="0" fontId="0" fillId="25" borderId="1" xfId="0" applyFont="1" applyFill="1" applyBorder="1" applyAlignment="1">
      <alignment horizontal="center" vertical="center"/>
    </xf>
    <xf numFmtId="0" fontId="23" fillId="0" borderId="65" xfId="0" applyFont="1" applyBorder="1" applyAlignment="1">
      <alignment horizontal="center" vertical="center"/>
    </xf>
    <xf numFmtId="0" fontId="23" fillId="0" borderId="66" xfId="0" applyFont="1" applyBorder="1" applyAlignment="1">
      <alignment horizontal="center" vertical="center"/>
    </xf>
    <xf numFmtId="0" fontId="23" fillId="0" borderId="67" xfId="0" applyFont="1" applyBorder="1" applyAlignment="1">
      <alignment horizontal="center" vertical="center"/>
    </xf>
    <xf numFmtId="0" fontId="0" fillId="0" borderId="93" xfId="0" applyFont="1" applyBorder="1" applyAlignment="1">
      <alignment horizontal="center" vertical="center"/>
    </xf>
    <xf numFmtId="0" fontId="0" fillId="0" borderId="69" xfId="0" applyFont="1" applyBorder="1" applyAlignment="1">
      <alignment horizontal="center" vertical="center"/>
    </xf>
    <xf numFmtId="0" fontId="0" fillId="2" borderId="68" xfId="0" applyFont="1" applyFill="1" applyBorder="1" applyAlignment="1">
      <alignment horizontal="center" vertical="center"/>
    </xf>
    <xf numFmtId="0" fontId="0" fillId="2" borderId="1" xfId="0" applyFont="1" applyFill="1" applyBorder="1" applyAlignment="1">
      <alignment horizontal="center" vertical="center"/>
    </xf>
    <xf numFmtId="0" fontId="0" fillId="25" borderId="68" xfId="0" applyFont="1" applyFill="1" applyBorder="1" applyAlignment="1">
      <alignment horizontal="center" vertical="center"/>
    </xf>
    <xf numFmtId="0" fontId="29" fillId="0" borderId="0" xfId="0" applyFont="1" applyAlignment="1">
      <alignment horizontal="center" vertical="center"/>
    </xf>
    <xf numFmtId="0" fontId="0" fillId="2" borderId="69" xfId="0" applyFont="1" applyFill="1" applyBorder="1" applyAlignment="1">
      <alignment horizontal="center" vertical="center"/>
    </xf>
    <xf numFmtId="0" fontId="0" fillId="25" borderId="69" xfId="0" applyFont="1" applyFill="1" applyBorder="1" applyAlignment="1">
      <alignment horizontal="center" vertical="center"/>
    </xf>
    <xf numFmtId="0" fontId="105" fillId="3" borderId="0" xfId="0" applyFont="1" applyFill="1" applyAlignment="1">
      <alignment horizontal="center" vertical="center"/>
    </xf>
    <xf numFmtId="0" fontId="23" fillId="2" borderId="65" xfId="0" applyFont="1" applyFill="1" applyBorder="1" applyAlignment="1">
      <alignment horizontal="center" vertical="center"/>
    </xf>
    <xf numFmtId="0" fontId="23" fillId="2" borderId="66" xfId="0" applyFont="1" applyFill="1" applyBorder="1" applyAlignment="1">
      <alignment horizontal="center" vertical="center"/>
    </xf>
    <xf numFmtId="0" fontId="23" fillId="2" borderId="67" xfId="0" applyFont="1" applyFill="1" applyBorder="1" applyAlignment="1">
      <alignment horizontal="center" vertical="center"/>
    </xf>
    <xf numFmtId="0" fontId="23" fillId="25" borderId="65" xfId="0" applyFont="1" applyFill="1" applyBorder="1" applyAlignment="1">
      <alignment horizontal="center" vertical="center"/>
    </xf>
    <xf numFmtId="0" fontId="23" fillId="25" borderId="66" xfId="0" applyFont="1" applyFill="1" applyBorder="1" applyAlignment="1">
      <alignment horizontal="center" vertical="center"/>
    </xf>
    <xf numFmtId="0" fontId="23" fillId="25" borderId="67" xfId="0" applyFont="1" applyFill="1" applyBorder="1" applyAlignment="1">
      <alignment horizontal="center" vertical="center"/>
    </xf>
    <xf numFmtId="0" fontId="23" fillId="2" borderId="101" xfId="0" applyFont="1" applyFill="1" applyBorder="1" applyAlignment="1">
      <alignment horizontal="center" vertical="center"/>
    </xf>
    <xf numFmtId="0" fontId="23" fillId="25" borderId="101" xfId="0" applyFont="1" applyFill="1" applyBorder="1" applyAlignment="1">
      <alignment horizontal="center" vertical="center"/>
    </xf>
    <xf numFmtId="0" fontId="104" fillId="0" borderId="65" xfId="0" applyFont="1" applyBorder="1" applyAlignment="1">
      <alignment horizontal="center" vertical="center"/>
    </xf>
    <xf numFmtId="0" fontId="104" fillId="0" borderId="66" xfId="0" applyFont="1" applyBorder="1" applyAlignment="1">
      <alignment horizontal="center" vertical="center"/>
    </xf>
    <xf numFmtId="0" fontId="104" fillId="0" borderId="67" xfId="0" applyFont="1" applyBorder="1" applyAlignment="1">
      <alignment horizontal="center" vertical="center"/>
    </xf>
    <xf numFmtId="0" fontId="23" fillId="0" borderId="1" xfId="0" applyFont="1" applyBorder="1" applyAlignment="1">
      <alignment horizontal="center" vertical="center"/>
    </xf>
    <xf numFmtId="0" fontId="23" fillId="0" borderId="69" xfId="0" applyFont="1" applyBorder="1" applyAlignment="1">
      <alignment horizontal="center" vertical="center"/>
    </xf>
    <xf numFmtId="0" fontId="23" fillId="0" borderId="68" xfId="0" applyFont="1"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49" fillId="0" borderId="74" xfId="0" applyFont="1" applyBorder="1" applyAlignment="1">
      <alignment horizontal="center" vertical="center" wrapText="1"/>
    </xf>
    <xf numFmtId="0" fontId="49" fillId="0" borderId="36"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69" xfId="0" applyFont="1" applyBorder="1" applyAlignment="1">
      <alignment horizontal="center" vertical="center" wrapText="1"/>
    </xf>
    <xf numFmtId="0" fontId="103" fillId="0" borderId="0" xfId="0" applyFont="1" applyAlignment="1">
      <alignment horizontal="center" vertical="center"/>
    </xf>
    <xf numFmtId="0" fontId="101" fillId="0" borderId="0" xfId="0" applyFont="1" applyAlignment="1">
      <alignment horizontal="center" vertical="center"/>
    </xf>
    <xf numFmtId="0" fontId="102" fillId="0" borderId="65" xfId="0" applyFont="1" applyBorder="1" applyAlignment="1">
      <alignment horizontal="center" vertical="center"/>
    </xf>
    <xf numFmtId="0" fontId="102" fillId="0" borderId="66" xfId="0" applyFont="1" applyBorder="1" applyAlignment="1">
      <alignment horizontal="center" vertical="center"/>
    </xf>
    <xf numFmtId="0" fontId="102" fillId="0" borderId="67" xfId="0" applyFont="1" applyBorder="1" applyAlignment="1">
      <alignment horizontal="center" vertical="center"/>
    </xf>
    <xf numFmtId="0" fontId="95" fillId="0" borderId="2" xfId="0" applyFont="1" applyFill="1" applyBorder="1" applyAlignment="1">
      <alignment horizontal="center" vertical="center"/>
    </xf>
    <xf numFmtId="0" fontId="95" fillId="0" borderId="3" xfId="0" applyFont="1" applyFill="1" applyBorder="1" applyAlignment="1">
      <alignment horizontal="center" vertical="center"/>
    </xf>
    <xf numFmtId="0" fontId="95" fillId="0" borderId="29" xfId="0" applyFont="1" applyFill="1" applyBorder="1" applyAlignment="1">
      <alignment horizontal="center" vertical="center"/>
    </xf>
    <xf numFmtId="0" fontId="96" fillId="0" borderId="97" xfId="0" applyFont="1" applyFill="1" applyBorder="1" applyAlignment="1">
      <alignment horizontal="right" vertical="center"/>
    </xf>
    <xf numFmtId="0" fontId="96" fillId="0" borderId="4" xfId="0" applyFont="1" applyFill="1" applyBorder="1" applyAlignment="1">
      <alignment horizontal="right" vertical="center"/>
    </xf>
    <xf numFmtId="0" fontId="96" fillId="0" borderId="61" xfId="0" applyFont="1" applyFill="1" applyBorder="1" applyAlignment="1">
      <alignment horizontal="left" vertical="center"/>
    </xf>
    <xf numFmtId="0" fontId="96" fillId="0" borderId="0" xfId="0" applyFont="1" applyFill="1" applyBorder="1" applyAlignment="1">
      <alignment horizontal="left" vertical="center"/>
    </xf>
    <xf numFmtId="0" fontId="96" fillId="0" borderId="61" xfId="0" applyFont="1" applyFill="1" applyBorder="1" applyAlignment="1">
      <alignment horizontal="right" vertical="center"/>
    </xf>
    <xf numFmtId="0" fontId="96" fillId="0" borderId="0" xfId="0" applyFont="1" applyFill="1" applyBorder="1" applyAlignment="1">
      <alignment horizontal="right" vertical="center"/>
    </xf>
    <xf numFmtId="0" fontId="96" fillId="0" borderId="61" xfId="0" applyFont="1" applyFill="1" applyBorder="1" applyAlignment="1">
      <alignment horizontal="center" vertical="center"/>
    </xf>
    <xf numFmtId="0" fontId="96" fillId="0" borderId="0" xfId="0" applyFont="1" applyFill="1" applyBorder="1" applyAlignment="1">
      <alignment horizontal="center" vertical="center"/>
    </xf>
    <xf numFmtId="0" fontId="94" fillId="0" borderId="44" xfId="0" applyFont="1" applyFill="1" applyBorder="1" applyAlignment="1">
      <alignment horizontal="center" vertical="center"/>
    </xf>
    <xf numFmtId="0" fontId="94" fillId="0" borderId="45" xfId="0" applyFont="1" applyFill="1" applyBorder="1" applyAlignment="1">
      <alignment horizontal="center" vertical="center"/>
    </xf>
    <xf numFmtId="0" fontId="93" fillId="0" borderId="38" xfId="0" applyFont="1" applyFill="1" applyBorder="1" applyAlignment="1">
      <alignment horizontal="center" vertical="center"/>
    </xf>
    <xf numFmtId="0" fontId="93" fillId="0" borderId="39" xfId="0" applyFont="1" applyFill="1" applyBorder="1" applyAlignment="1">
      <alignment horizontal="center" vertical="center"/>
    </xf>
    <xf numFmtId="0" fontId="91" fillId="0" borderId="95" xfId="0" applyFont="1" applyFill="1" applyBorder="1" applyAlignment="1">
      <alignment horizontal="center" vertical="center"/>
    </xf>
    <xf numFmtId="0" fontId="91" fillId="0" borderId="63" xfId="0" applyFont="1" applyFill="1" applyBorder="1" applyAlignment="1">
      <alignment horizontal="center" vertical="center"/>
    </xf>
    <xf numFmtId="0" fontId="91" fillId="0" borderId="96" xfId="0" applyFont="1" applyFill="1" applyBorder="1" applyAlignment="1">
      <alignment horizontal="center" vertical="center"/>
    </xf>
    <xf numFmtId="0" fontId="93" fillId="0" borderId="44" xfId="0" applyFont="1" applyFill="1" applyBorder="1" applyAlignment="1">
      <alignment horizontal="center" vertical="center"/>
    </xf>
    <xf numFmtId="0" fontId="93" fillId="0" borderId="1" xfId="0" applyFont="1" applyFill="1" applyBorder="1" applyAlignment="1">
      <alignment horizontal="center" vertical="center"/>
    </xf>
    <xf numFmtId="0" fontId="0" fillId="17" borderId="1" xfId="0" applyFill="1" applyBorder="1" applyAlignment="1">
      <alignment horizontal="center" vertical="center"/>
    </xf>
    <xf numFmtId="0" fontId="0" fillId="17" borderId="69" xfId="0" applyFill="1" applyBorder="1" applyAlignment="1">
      <alignment horizontal="center" vertical="center"/>
    </xf>
    <xf numFmtId="0" fontId="0" fillId="12" borderId="73" xfId="0" applyFill="1" applyBorder="1" applyAlignment="1">
      <alignment horizontal="center" vertical="center" textRotation="255"/>
    </xf>
    <xf numFmtId="0" fontId="0" fillId="12" borderId="91" xfId="0" applyFill="1" applyBorder="1" applyAlignment="1">
      <alignment horizontal="center" vertical="center" textRotation="255"/>
    </xf>
    <xf numFmtId="0" fontId="0" fillId="12" borderId="92" xfId="0" applyFill="1" applyBorder="1" applyAlignment="1">
      <alignment horizontal="center" vertical="center" textRotation="255"/>
    </xf>
    <xf numFmtId="0" fontId="0" fillId="17" borderId="68" xfId="0" applyFill="1" applyBorder="1" applyAlignment="1">
      <alignment horizontal="center" vertical="center" textRotation="255"/>
    </xf>
    <xf numFmtId="0" fontId="0" fillId="17" borderId="70" xfId="0" applyFill="1" applyBorder="1" applyAlignment="1">
      <alignment horizontal="center" vertical="center" textRotation="255"/>
    </xf>
    <xf numFmtId="0" fontId="0" fillId="12" borderId="1" xfId="0" applyFill="1" applyBorder="1" applyAlignment="1">
      <alignment horizontal="center" vertical="center"/>
    </xf>
    <xf numFmtId="0" fontId="0" fillId="12" borderId="69" xfId="0" applyFill="1" applyBorder="1" applyAlignment="1">
      <alignment horizontal="center" vertical="center"/>
    </xf>
    <xf numFmtId="0" fontId="0" fillId="0" borderId="82" xfId="0" applyFill="1" applyBorder="1" applyAlignment="1">
      <alignment horizontal="center" vertical="center"/>
    </xf>
    <xf numFmtId="0" fontId="0" fillId="0" borderId="68" xfId="0" applyFill="1" applyBorder="1" applyAlignment="1">
      <alignment horizontal="center" vertical="center"/>
    </xf>
    <xf numFmtId="0" fontId="0" fillId="0" borderId="80" xfId="0" applyFill="1" applyBorder="1" applyAlignment="1">
      <alignment horizontal="center" vertical="center"/>
    </xf>
    <xf numFmtId="0" fontId="0" fillId="0" borderId="70" xfId="0" applyFill="1" applyBorder="1" applyAlignment="1">
      <alignment horizontal="center" vertical="center"/>
    </xf>
    <xf numFmtId="0" fontId="0" fillId="0" borderId="66" xfId="0" applyFill="1" applyBorder="1" applyAlignment="1">
      <alignment horizontal="center" vertical="top" textRotation="255"/>
    </xf>
    <xf numFmtId="0" fontId="0" fillId="0" borderId="1" xfId="0" applyFill="1" applyBorder="1" applyAlignment="1">
      <alignment horizontal="center" vertical="top" textRotation="255"/>
    </xf>
    <xf numFmtId="0" fontId="70" fillId="0" borderId="0" xfId="0" applyFont="1" applyFill="1" applyAlignment="1">
      <alignment horizontal="center"/>
    </xf>
    <xf numFmtId="0" fontId="0" fillId="0" borderId="66" xfId="0" applyFill="1" applyBorder="1" applyAlignment="1">
      <alignment horizontal="center"/>
    </xf>
    <xf numFmtId="0" fontId="0" fillId="0" borderId="67" xfId="0" applyFill="1" applyBorder="1" applyAlignment="1">
      <alignment horizontal="center"/>
    </xf>
    <xf numFmtId="0" fontId="0" fillId="0" borderId="65" xfId="0" applyFill="1" applyBorder="1" applyAlignment="1">
      <alignment horizontal="center" vertical="top" textRotation="255"/>
    </xf>
    <xf numFmtId="0" fontId="0" fillId="0" borderId="68" xfId="0" applyFill="1" applyBorder="1" applyAlignment="1">
      <alignment horizontal="center" vertical="top" textRotation="255"/>
    </xf>
    <xf numFmtId="0" fontId="0" fillId="0" borderId="80" xfId="0" applyFill="1" applyBorder="1" applyAlignment="1">
      <alignment horizontal="center" vertical="top" textRotation="255"/>
    </xf>
    <xf numFmtId="0" fontId="39" fillId="0" borderId="68" xfId="0" applyFont="1" applyFill="1" applyBorder="1" applyAlignment="1">
      <alignment horizontal="left" vertical="center"/>
    </xf>
    <xf numFmtId="0" fontId="39" fillId="0" borderId="1" xfId="0" applyFont="1" applyFill="1" applyBorder="1" applyAlignment="1">
      <alignment horizontal="left" vertical="center"/>
    </xf>
    <xf numFmtId="0" fontId="20" fillId="0" borderId="86" xfId="0" applyFont="1" applyFill="1" applyBorder="1" applyAlignment="1">
      <alignment horizontal="left"/>
    </xf>
    <xf numFmtId="0" fontId="20" fillId="0" borderId="0" xfId="0" applyFont="1" applyFill="1" applyAlignment="1">
      <alignment horizontal="left"/>
    </xf>
    <xf numFmtId="0" fontId="20" fillId="0" borderId="87" xfId="0" applyFont="1" applyFill="1" applyBorder="1" applyAlignment="1">
      <alignment horizontal="center"/>
    </xf>
    <xf numFmtId="0" fontId="20" fillId="0" borderId="88" xfId="0" applyFont="1" applyFill="1" applyBorder="1" applyAlignment="1">
      <alignment horizontal="center"/>
    </xf>
    <xf numFmtId="0" fontId="20" fillId="0" borderId="90" xfId="0" applyFont="1" applyFill="1" applyBorder="1" applyAlignment="1">
      <alignment horizontal="center"/>
    </xf>
    <xf numFmtId="0" fontId="0" fillId="0" borderId="76" xfId="0" applyFill="1" applyBorder="1" applyAlignment="1">
      <alignment horizontal="center" vertical="center"/>
    </xf>
    <xf numFmtId="0" fontId="0" fillId="0" borderId="77" xfId="0" applyFill="1" applyBorder="1" applyAlignment="1">
      <alignment horizontal="center" vertical="center"/>
    </xf>
    <xf numFmtId="0" fontId="0" fillId="0" borderId="78" xfId="0" applyFill="1" applyBorder="1" applyAlignment="1">
      <alignment horizontal="center" vertical="center"/>
    </xf>
    <xf numFmtId="0" fontId="0" fillId="0" borderId="87" xfId="0" applyFill="1" applyBorder="1" applyAlignment="1">
      <alignment horizontal="left" vertical="center"/>
    </xf>
    <xf numFmtId="0" fontId="0" fillId="0" borderId="89" xfId="0" applyFill="1" applyBorder="1" applyAlignment="1">
      <alignment horizontal="left" vertical="center"/>
    </xf>
    <xf numFmtId="0" fontId="0" fillId="0" borderId="0" xfId="0" applyFill="1" applyAlignment="1">
      <alignment horizontal="left" vertical="center"/>
    </xf>
    <xf numFmtId="0" fontId="39" fillId="19" borderId="65" xfId="0" applyFont="1" applyFill="1" applyBorder="1" applyAlignment="1">
      <alignment horizontal="left" vertical="center"/>
    </xf>
    <xf numFmtId="0" fontId="39" fillId="19" borderId="66" xfId="0" applyFont="1" applyFill="1" applyBorder="1" applyAlignment="1">
      <alignment horizontal="left" vertical="center"/>
    </xf>
    <xf numFmtId="0" fontId="39" fillId="19" borderId="67" xfId="0" applyFont="1" applyFill="1" applyBorder="1" applyAlignment="1">
      <alignment horizontal="left" vertical="center"/>
    </xf>
    <xf numFmtId="0" fontId="39" fillId="19" borderId="68" xfId="0" applyFont="1" applyFill="1" applyBorder="1" applyAlignment="1">
      <alignment horizontal="left" vertical="center"/>
    </xf>
    <xf numFmtId="0" fontId="39" fillId="19" borderId="1" xfId="0" applyFont="1" applyFill="1" applyBorder="1" applyAlignment="1">
      <alignment horizontal="left" vertical="center"/>
    </xf>
    <xf numFmtId="0" fontId="39" fillId="19" borderId="69" xfId="0" applyFont="1" applyFill="1" applyBorder="1" applyAlignment="1">
      <alignment horizontal="left" vertical="center"/>
    </xf>
    <xf numFmtId="0" fontId="0" fillId="0" borderId="68" xfId="0" applyFont="1" applyFill="1" applyBorder="1" applyAlignment="1">
      <alignment horizontal="center" vertical="center" wrapText="1"/>
    </xf>
    <xf numFmtId="0" fontId="0" fillId="0" borderId="69" xfId="0" applyFont="1" applyFill="1" applyBorder="1" applyAlignment="1">
      <alignment horizontal="center" vertical="center" wrapText="1"/>
    </xf>
    <xf numFmtId="0" fontId="28" fillId="16" borderId="0" xfId="0" applyNumberFormat="1" applyFont="1" applyFill="1" applyAlignment="1">
      <alignment textRotation="255" shrinkToFit="1"/>
    </xf>
    <xf numFmtId="0" fontId="17" fillId="2" borderId="0" xfId="0" applyFont="1" applyFill="1" applyAlignment="1">
      <alignment horizontal="center" vertical="center"/>
    </xf>
    <xf numFmtId="0" fontId="0" fillId="0" borderId="0" xfId="0" applyProtection="1">
      <protection locked="0"/>
    </xf>
    <xf numFmtId="0" fontId="0" fillId="0" borderId="0" xfId="0" applyProtection="1"/>
    <xf numFmtId="0" fontId="16" fillId="2" borderId="1" xfId="0" applyFont="1" applyFill="1" applyBorder="1" applyAlignment="1" applyProtection="1">
      <alignment horizontal="center" vertical="center"/>
    </xf>
    <xf numFmtId="0" fontId="17" fillId="5" borderId="0" xfId="0" applyFont="1" applyFill="1" applyAlignment="1" applyProtection="1">
      <alignment horizontal="center" vertical="center"/>
    </xf>
    <xf numFmtId="0" fontId="17" fillId="5" borderId="36" xfId="0" applyFont="1" applyFill="1" applyBorder="1" applyAlignment="1" applyProtection="1">
      <alignment horizontal="center" vertical="center"/>
    </xf>
    <xf numFmtId="0" fontId="17" fillId="5" borderId="1" xfId="0" applyFont="1" applyFill="1" applyBorder="1" applyAlignment="1" applyProtection="1">
      <alignment horizontal="center" vertical="center"/>
    </xf>
    <xf numFmtId="0" fontId="12" fillId="0" borderId="18"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13" fillId="0" borderId="18"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9"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30" xfId="0" applyFont="1" applyFill="1" applyBorder="1" applyAlignment="1">
      <alignment horizontal="center" vertical="center"/>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7" fillId="2" borderId="33"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11" fillId="0" borderId="21"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32" xfId="0" applyFont="1" applyFill="1" applyBorder="1" applyAlignment="1">
      <alignment horizontal="center" vertical="center"/>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35" xfId="0" applyFont="1" applyFill="1" applyBorder="1" applyAlignment="1">
      <alignment horizontal="center" vertical="center"/>
    </xf>
    <xf numFmtId="0" fontId="7" fillId="2" borderId="2" xfId="0" applyFont="1" applyFill="1" applyBorder="1" applyAlignment="1">
      <alignment horizontal="center" vertical="center" wrapText="1"/>
    </xf>
    <xf numFmtId="0" fontId="5" fillId="2" borderId="5" xfId="0" applyFont="1" applyFill="1" applyBorder="1" applyAlignment="1">
      <alignment vertical="center"/>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31"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5" fillId="2" borderId="8" xfId="0" applyFont="1" applyFill="1" applyBorder="1" applyAlignment="1">
      <alignment vertical="center"/>
    </xf>
    <xf numFmtId="0" fontId="9" fillId="2" borderId="4" xfId="0" applyFont="1" applyFill="1" applyBorder="1" applyAlignment="1">
      <alignment vertical="center" wrapText="1"/>
    </xf>
    <xf numFmtId="0" fontId="9" fillId="2" borderId="12" xfId="0" applyFont="1" applyFill="1" applyBorder="1" applyAlignment="1">
      <alignment vertical="center" wrapText="1"/>
    </xf>
    <xf numFmtId="0" fontId="5" fillId="2" borderId="13" xfId="0" applyFont="1" applyFill="1" applyBorder="1" applyAlignment="1">
      <alignment vertical="center"/>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3" fillId="2" borderId="0" xfId="0" applyFont="1" applyFill="1" applyAlignment="1" applyProtection="1">
      <alignment horizontal="center" vertical="center"/>
    </xf>
    <xf numFmtId="0" fontId="4" fillId="2" borderId="0" xfId="0" applyFont="1" applyFill="1" applyAlignment="1" applyProtection="1">
      <alignment horizontal="center" vertical="center"/>
    </xf>
    <xf numFmtId="0" fontId="1" fillId="0" borderId="0" xfId="0" applyFont="1" applyAlignment="1">
      <alignment horizontal="center" vertical="center"/>
    </xf>
    <xf numFmtId="0" fontId="515" fillId="0" borderId="0" xfId="0" applyFont="1" applyAlignment="1">
      <alignment vertical="center" wrapText="1"/>
    </xf>
  </cellXfs>
  <cellStyles count="16">
    <cellStyle name="百分比" xfId="1" builtinId="5"/>
    <cellStyle name="常规" xfId="0" builtinId="0"/>
    <cellStyle name="常规 2" xfId="5" xr:uid="{00000000-0005-0000-0000-000031000000}"/>
    <cellStyle name="常规 3" xfId="6" xr:uid="{00000000-0005-0000-0000-000032000000}"/>
    <cellStyle name="常规 4" xfId="7" xr:uid="{00000000-0005-0000-0000-000033000000}"/>
    <cellStyle name="常规 5" xfId="8" xr:uid="{00000000-0005-0000-0000-000034000000}"/>
    <cellStyle name="常规 6" xfId="9" xr:uid="{00000000-0005-0000-0000-000035000000}"/>
    <cellStyle name="常规 7" xfId="10" xr:uid="{00000000-0005-0000-0000-000036000000}"/>
    <cellStyle name="常规 8" xfId="11" xr:uid="{00000000-0005-0000-0000-000037000000}"/>
    <cellStyle name="常规 9" xfId="12" xr:uid="{00000000-0005-0000-0000-000038000000}"/>
    <cellStyle name="常规_Book2" xfId="13" xr:uid="{00000000-0005-0000-0000-000039000000}"/>
    <cellStyle name="超链接" xfId="2" builtinId="8"/>
    <cellStyle name="超链接 2" xfId="14" xr:uid="{00000000-0005-0000-0000-00003A000000}"/>
    <cellStyle name="超链接 3" xfId="15" xr:uid="{00000000-0005-0000-0000-00003B000000}"/>
    <cellStyle name="好" xfId="4" builtinId="26"/>
    <cellStyle name="计算" xfId="3" builtinId="22"/>
  </cellStyles>
  <dxfs count="8">
    <dxf>
      <fill>
        <patternFill patternType="solid">
          <bgColor indexed="11"/>
        </patternFill>
      </fill>
    </dxf>
    <dxf>
      <fill>
        <patternFill patternType="solid">
          <bgColor indexed="11"/>
        </patternFill>
      </fill>
    </dxf>
    <dxf>
      <fill>
        <patternFill patternType="solid">
          <bgColor indexed="10"/>
        </patternFill>
      </fill>
    </dxf>
    <dxf>
      <fill>
        <patternFill patternType="solid">
          <bgColor indexed="11"/>
        </patternFill>
      </fill>
    </dxf>
    <dxf>
      <fill>
        <patternFill patternType="solid">
          <bgColor indexed="13"/>
        </patternFill>
      </fill>
    </dxf>
    <dxf>
      <fill>
        <patternFill patternType="solid">
          <bgColor indexed="53"/>
        </patternFill>
      </fill>
    </dxf>
    <dxf>
      <fill>
        <patternFill patternType="solid">
          <bgColor theme="0" tint="-0.14990691854609822"/>
        </patternFill>
      </fill>
    </dxf>
    <dxf>
      <fill>
        <patternFill patternType="solid">
          <bgColor theme="0" tint="-0.14990691854609822"/>
        </patternFill>
      </fill>
    </dxf>
  </dxfs>
  <tableStyles count="0" defaultTableStyle="TableStyleMedium2" defaultPivotStyle="PivotStyleLight16"/>
  <colors>
    <mruColors>
      <color rgb="FFCCCCFF"/>
      <color rgb="FFFFCC99"/>
      <color rgb="FF0000FF"/>
      <color rgb="FFC0C0C0"/>
      <color rgb="FF99CCFF"/>
      <color rgb="FFFF0000"/>
      <color rgb="FFFFFFFF"/>
      <color rgb="FF00FFFF"/>
      <color rgb="FF0000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externalLink" Target="externalLinks/externalLink4.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externalLink" Target="externalLinks/externalLink5.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externalLink" Target="externalLinks/externalLink6.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externalLink" Target="externalLinks/externalLink7.xml"/><Relationship Id="rId199"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externalLink" Target="externalLinks/externalLink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theme" Target="theme/theme1.xml"/><Relationship Id="rId190" Type="http://schemas.openxmlformats.org/officeDocument/2006/relationships/externalLink" Target="externalLinks/externalLink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tyles" Target="style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sharedStrings" Target="sharedStrings.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alcChain" Target="calcChain.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556036556036599E-2"/>
          <c:y val="4.3315613309706798E-2"/>
          <c:w val="0.82972582972583098"/>
          <c:h val="0.91336877338058797"/>
        </c:manualLayout>
      </c:layout>
      <c:scatterChart>
        <c:scatterStyle val="smoothMarker"/>
        <c:varyColors val="0"/>
        <c:ser>
          <c:idx val="0"/>
          <c:order val="0"/>
          <c:tx>
            <c:strRef>
              <c:f>正弦加速度凸轮!$D$2</c:f>
              <c:strCache>
                <c:ptCount val="1"/>
                <c:pt idx="0">
                  <c:v>y</c:v>
                </c:pt>
              </c:strCache>
            </c:strRef>
          </c:tx>
          <c:spPr>
            <a:ln w="12700" cap="rnd" cmpd="sng" algn="ctr">
              <a:solidFill>
                <a:srgbClr val="000080"/>
              </a:solidFill>
              <a:prstDash val="solid"/>
              <a:round/>
            </a:ln>
          </c:spPr>
          <c:marker>
            <c:symbol val="none"/>
          </c:marker>
          <c:xVal>
            <c:numRef>
              <c:f>正弦加速度凸轮!$C$3:$C$362</c:f>
              <c:numCache>
                <c:formatCode>General</c:formatCode>
                <c:ptCount val="360"/>
                <c:pt idx="0">
                  <c:v>1.74525658390671</c:v>
                </c:pt>
                <c:pt idx="1">
                  <c:v>3.4902042551123502</c:v>
                </c:pt>
                <c:pt idx="2">
                  <c:v>5.2348806047114103</c:v>
                </c:pt>
                <c:pt idx="3">
                  <c:v>6.9796915465437799</c:v>
                </c:pt>
                <c:pt idx="4">
                  <c:v>8.7253946224779302</c:v>
                </c:pt>
                <c:pt idx="5">
                  <c:v>10.473075944854999</c:v>
                </c:pt>
                <c:pt idx="6">
                  <c:v>12.224121148905001</c:v>
                </c:pt>
                <c:pt idx="7">
                  <c:v>13.980180824529</c:v>
                </c:pt>
                <c:pt idx="8">
                  <c:v>15.7431309861642</c:v>
                </c:pt>
                <c:pt idx="9">
                  <c:v>17.515029220139301</c:v>
                </c:pt>
                <c:pt idx="10">
                  <c:v>19.2980672197193</c:v>
                </c:pt>
                <c:pt idx="11">
                  <c:v>21.094520477835999</c:v>
                </c:pt>
                <c:pt idx="12">
                  <c:v>22.9066959553674</c:v>
                </c:pt>
                <c:pt idx="13">
                  <c:v>24.736878578006898</c:v>
                </c:pt>
                <c:pt idx="14">
                  <c:v>26.587277436689298</c:v>
                </c:pt>
                <c:pt idx="15">
                  <c:v>28.4599725748627</c:v>
                </c:pt>
                <c:pt idx="16">
                  <c:v>30.3568632404493</c:v>
                </c:pt>
                <c:pt idx="17">
                  <c:v>32.279618461186303</c:v>
                </c:pt>
                <c:pt idx="18">
                  <c:v>34.229630769448001</c:v>
                </c:pt>
                <c:pt idx="19">
                  <c:v>36.207973857085499</c:v>
                </c:pt>
                <c:pt idx="20">
                  <c:v>38.215364882958497</c:v>
                </c:pt>
                <c:pt idx="21">
                  <c:v>40.252132086524199</c:v>
                </c:pt>
                <c:pt idx="22">
                  <c:v>42.318188281130503</c:v>
                </c:pt>
                <c:pt idx="23">
                  <c:v>44.413010711724901</c:v>
                </c:pt>
                <c:pt idx="24">
                  <c:v>46.535627664874603</c:v>
                </c:pt>
                <c:pt idx="25">
                  <c:v>48.684612115751499</c:v>
                </c:pt>
                <c:pt idx="26">
                  <c:v>50.858082588633899</c:v>
                </c:pt>
                <c:pt idx="27">
                  <c:v>53.053711296146297</c:v>
                </c:pt>
                <c:pt idx="28">
                  <c:v>55.268739509586403</c:v>
                </c:pt>
                <c:pt idx="29">
                  <c:v>57.5</c:v>
                </c:pt>
                <c:pt idx="30">
                  <c:v>59.743946278863497</c:v>
                </c:pt>
                <c:pt idx="31">
                  <c:v>61.996688260028101</c:v>
                </c:pt>
                <c:pt idx="32">
                  <c:v>64.254033862599499</c:v>
                </c:pt>
                <c:pt idx="33">
                  <c:v>66.511535979249103</c:v>
                </c:pt>
                <c:pt idx="34">
                  <c:v>68.764544147542495</c:v>
                </c:pt>
                <c:pt idx="35">
                  <c:v>71.008260184577694</c:v>
                </c:pt>
                <c:pt idx="36">
                  <c:v>73.2377969787577</c:v>
                </c:pt>
                <c:pt idx="37">
                  <c:v>75.448239577924497</c:v>
                </c:pt>
                <c:pt idx="38">
                  <c:v>77.634707671228597</c:v>
                </c:pt>
                <c:pt idx="39">
                  <c:v>79.792418533679395</c:v>
                </c:pt>
                <c:pt idx="40">
                  <c:v>81.916749487801894</c:v>
                </c:pt>
                <c:pt idx="41">
                  <c:v>84.003298936485294</c:v>
                </c:pt>
                <c:pt idx="42">
                  <c:v>86.047945035016994</c:v>
                </c:pt>
                <c:pt idx="43">
                  <c:v>88.046901098294498</c:v>
                </c:pt>
                <c:pt idx="44">
                  <c:v>89.996766880941195</c:v>
                </c:pt>
                <c:pt idx="45">
                  <c:v>91.894574922942795</c:v>
                </c:pt>
                <c:pt idx="46">
                  <c:v>93.737831220714298</c:v>
                </c:pt>
                <c:pt idx="47">
                  <c:v>95.524549562230604</c:v>
                </c:pt>
                <c:pt idx="48">
                  <c:v>97.253278953896299</c:v>
                </c:pt>
                <c:pt idx="49">
                  <c:v>98.923123664888195</c:v>
                </c:pt>
                <c:pt idx="50">
                  <c:v>100.533755520372</c:v>
                </c:pt>
                <c:pt idx="51">
                  <c:v>102.08541818671</c:v>
                </c:pt>
                <c:pt idx="52">
                  <c:v>103.578923307926</c:v>
                </c:pt>
                <c:pt idx="53">
                  <c:v>105.01563847154</c:v>
                </c:pt>
                <c:pt idx="54">
                  <c:v>106.397467101733</c:v>
                </c:pt>
                <c:pt idx="55">
                  <c:v>107.726820496771</c:v>
                </c:pt>
                <c:pt idx="56">
                  <c:v>109.006582344118</c:v>
                </c:pt>
                <c:pt idx="57">
                  <c:v>110.24006615875</c:v>
                </c:pt>
                <c:pt idx="58">
                  <c:v>111.430966196394</c:v>
                </c:pt>
                <c:pt idx="59">
                  <c:v>112.58330249197699</c:v>
                </c:pt>
                <c:pt idx="60">
                  <c:v>113.700561928121</c:v>
                </c:pt>
                <c:pt idx="61">
                  <c:v>114.78318707166</c:v>
                </c:pt>
                <c:pt idx="62">
                  <c:v>115.830848144488</c:v>
                </c:pt>
                <c:pt idx="63">
                  <c:v>116.843226018892</c:v>
                </c:pt>
                <c:pt idx="64">
                  <c:v>117.820012314764</c:v>
                </c:pt>
                <c:pt idx="65">
                  <c:v>118.76090949353799</c:v>
                </c:pt>
                <c:pt idx="66">
                  <c:v>119.665630948817</c:v>
                </c:pt>
                <c:pt idx="67">
                  <c:v>120.533901093682</c:v>
                </c:pt>
                <c:pt idx="68">
                  <c:v>121.365455444636</c:v>
                </c:pt>
                <c:pt idx="69">
                  <c:v>122.160040702168</c:v>
                </c:pt>
                <c:pt idx="70">
                  <c:v>122.917414827911</c:v>
                </c:pt>
                <c:pt idx="71">
                  <c:v>123.63734711837</c:v>
                </c:pt>
                <c:pt idx="72">
                  <c:v>124.319618275195</c:v>
                </c:pt>
                <c:pt idx="73">
                  <c:v>124.964020471981</c:v>
                </c:pt>
                <c:pt idx="74">
                  <c:v>125.570357417579</c:v>
                </c:pt>
                <c:pt idx="75">
                  <c:v>126.13844441588</c:v>
                </c:pt>
                <c:pt idx="76">
                  <c:v>126.668108422081</c:v>
                </c:pt>
                <c:pt idx="77">
                  <c:v>127.159188095395</c:v>
                </c:pt>
                <c:pt idx="78">
                  <c:v>127.611533848196</c:v>
                </c:pt>
                <c:pt idx="79">
                  <c:v>128.02500789158699</c:v>
                </c:pt>
                <c:pt idx="80">
                  <c:v>128.399484277368</c:v>
                </c:pt>
                <c:pt idx="81">
                  <c:v>128.73484893640401</c:v>
                </c:pt>
                <c:pt idx="82">
                  <c:v>129.03099971337201</c:v>
                </c:pt>
                <c:pt idx="83">
                  <c:v>129.287846397876</c:v>
                </c:pt>
                <c:pt idx="84">
                  <c:v>129.505310751927</c:v>
                </c:pt>
                <c:pt idx="85">
                  <c:v>129.68332653377701</c:v>
                </c:pt>
                <c:pt idx="86">
                  <c:v>129.821839518095</c:v>
                </c:pt>
                <c:pt idx="87">
                  <c:v>129.92080751248201</c:v>
                </c:pt>
                <c:pt idx="88">
                  <c:v>129.980200370331</c:v>
                </c:pt>
                <c:pt idx="89">
                  <c:v>130</c:v>
                </c:pt>
                <c:pt idx="90">
                  <c:v>129.980200370331</c:v>
                </c:pt>
                <c:pt idx="91">
                  <c:v>129.92080751248201</c:v>
                </c:pt>
                <c:pt idx="92">
                  <c:v>129.821839518095</c:v>
                </c:pt>
                <c:pt idx="93">
                  <c:v>129.68332653377701</c:v>
                </c:pt>
                <c:pt idx="94">
                  <c:v>129.505310751927</c:v>
                </c:pt>
                <c:pt idx="95">
                  <c:v>129.287846397876</c:v>
                </c:pt>
                <c:pt idx="96">
                  <c:v>129.03099971337201</c:v>
                </c:pt>
                <c:pt idx="97">
                  <c:v>128.73484893640401</c:v>
                </c:pt>
                <c:pt idx="98">
                  <c:v>128.399484277368</c:v>
                </c:pt>
                <c:pt idx="99">
                  <c:v>128.02500789158699</c:v>
                </c:pt>
                <c:pt idx="100">
                  <c:v>127.611533848196</c:v>
                </c:pt>
                <c:pt idx="101">
                  <c:v>127.159188095395</c:v>
                </c:pt>
                <c:pt idx="102">
                  <c:v>126.668108422081</c:v>
                </c:pt>
                <c:pt idx="103">
                  <c:v>126.13844441588</c:v>
                </c:pt>
                <c:pt idx="104">
                  <c:v>125.570357417579</c:v>
                </c:pt>
                <c:pt idx="105">
                  <c:v>124.964020471981</c:v>
                </c:pt>
                <c:pt idx="106">
                  <c:v>124.319618275195</c:v>
                </c:pt>
                <c:pt idx="107">
                  <c:v>123.63734711837</c:v>
                </c:pt>
                <c:pt idx="108">
                  <c:v>122.917414827911</c:v>
                </c:pt>
                <c:pt idx="109">
                  <c:v>122.160040702168</c:v>
                </c:pt>
                <c:pt idx="110">
                  <c:v>121.365455444636</c:v>
                </c:pt>
                <c:pt idx="111">
                  <c:v>120.533901093682</c:v>
                </c:pt>
                <c:pt idx="112">
                  <c:v>119.665630948817</c:v>
                </c:pt>
                <c:pt idx="113">
                  <c:v>118.76090949353799</c:v>
                </c:pt>
                <c:pt idx="114">
                  <c:v>117.82001231476499</c:v>
                </c:pt>
                <c:pt idx="115">
                  <c:v>116.843226018892</c:v>
                </c:pt>
                <c:pt idx="116">
                  <c:v>115.830848144488</c:v>
                </c:pt>
                <c:pt idx="117">
                  <c:v>114.783187071661</c:v>
                </c:pt>
                <c:pt idx="118">
                  <c:v>113.700561928121</c:v>
                </c:pt>
                <c:pt idx="119">
                  <c:v>112.58330249197699</c:v>
                </c:pt>
                <c:pt idx="120">
                  <c:v>111.43174909127499</c:v>
                </c:pt>
                <c:pt idx="121">
                  <c:v>110.246252500335</c:v>
                </c:pt>
                <c:pt idx="122">
                  <c:v>109.02717383290501</c:v>
                </c:pt>
                <c:pt idx="123">
                  <c:v>107.77488443215501</c:v>
                </c:pt>
                <c:pt idx="124">
                  <c:v>106.489765757569</c:v>
                </c:pt>
                <c:pt idx="125">
                  <c:v>105.172209268743</c:v>
                </c:pt>
                <c:pt idx="126">
                  <c:v>103.82261630614801</c:v>
                </c:pt>
                <c:pt idx="127">
                  <c:v>102.441397968874</c:v>
                </c:pt>
                <c:pt idx="128">
                  <c:v>101.028974989406</c:v>
                </c:pt>
                <c:pt idx="129">
                  <c:v>99.585777605467101</c:v>
                </c:pt>
                <c:pt idx="130">
                  <c:v>98.112245428960307</c:v>
                </c:pt>
                <c:pt idx="131">
                  <c:v>96.608827312061294</c:v>
                </c:pt>
                <c:pt idx="132">
                  <c:v>95.075981210492202</c:v>
                </c:pt>
                <c:pt idx="133">
                  <c:v>93.514174044024699</c:v>
                </c:pt>
                <c:pt idx="134">
                  <c:v>91.923881554251196</c:v>
                </c:pt>
                <c:pt idx="135">
                  <c:v>90.305588159669597</c:v>
                </c:pt>
                <c:pt idx="136">
                  <c:v>88.659786808124807</c:v>
                </c:pt>
                <c:pt idx="137">
                  <c:v>86.986978826651594</c:v>
                </c:pt>
                <c:pt idx="138">
                  <c:v>85.287673768765899</c:v>
                </c:pt>
                <c:pt idx="139">
                  <c:v>83.562389259250097</c:v>
                </c:pt>
                <c:pt idx="140">
                  <c:v>81.811650836478904</c:v>
                </c:pt>
                <c:pt idx="141">
                  <c:v>80.035991792335594</c:v>
                </c:pt>
                <c:pt idx="142">
                  <c:v>78.235953009766305</c:v>
                </c:pt>
                <c:pt idx="143">
                  <c:v>76.412082798021501</c:v>
                </c:pt>
                <c:pt idx="144">
                  <c:v>74.564936725636002</c:v>
                </c:pt>
                <c:pt idx="145">
                  <c:v>72.695077451197093</c:v>
                </c:pt>
                <c:pt idx="146">
                  <c:v>70.8030745519535</c:v>
                </c:pt>
                <c:pt idx="147">
                  <c:v>68.889504350316599</c:v>
                </c:pt>
                <c:pt idx="148">
                  <c:v>66.954949738307107</c:v>
                </c:pt>
                <c:pt idx="149">
                  <c:v>65</c:v>
                </c:pt>
                <c:pt idx="150">
                  <c:v>63.025250632023798</c:v>
                </c:pt>
                <c:pt idx="151">
                  <c:v>61.031303162165798</c:v>
                </c:pt>
                <c:pt idx="152">
                  <c:v>59.018764966141099</c:v>
                </c:pt>
                <c:pt idx="153">
                  <c:v>56.988249082579998</c:v>
                </c:pt>
                <c:pt idx="154">
                  <c:v>54.940374026290897</c:v>
                </c:pt>
                <c:pt idx="155">
                  <c:v>52.875763599854103</c:v>
                </c:pt>
                <c:pt idx="156">
                  <c:v>50.7950467036056</c:v>
                </c:pt>
                <c:pt idx="157">
                  <c:v>48.698857144068597</c:v>
                </c:pt>
                <c:pt idx="158">
                  <c:v>46.587833440889</c:v>
                </c:pt>
                <c:pt idx="159">
                  <c:v>44.462618632336998</c:v>
                </c:pt>
                <c:pt idx="160">
                  <c:v>42.323860079430403</c:v>
                </c:pt>
                <c:pt idx="161">
                  <c:v>40.172209268743202</c:v>
                </c:pt>
                <c:pt idx="162">
                  <c:v>38.0083216139558</c:v>
                </c:pt>
                <c:pt idx="163">
                  <c:v>35.83285625621</c:v>
                </c:pt>
                <c:pt idx="164">
                  <c:v>33.646475863327701</c:v>
                </c:pt>
                <c:pt idx="165">
                  <c:v>31.4498464279568</c:v>
                </c:pt>
                <c:pt idx="166">
                  <c:v>29.243637064702401</c:v>
                </c:pt>
                <c:pt idx="167">
                  <c:v>27.028519806308701</c:v>
                </c:pt>
                <c:pt idx="168">
                  <c:v>24.805169398950799</c:v>
                </c:pt>
                <c:pt idx="169">
                  <c:v>22.5742630967009</c:v>
                </c:pt>
                <c:pt idx="170">
                  <c:v>20.336480455229999</c:v>
                </c:pt>
                <c:pt idx="171">
                  <c:v>18.092503124808498</c:v>
                </c:pt>
                <c:pt idx="172">
                  <c:v>15.8430146426692</c:v>
                </c:pt>
                <c:pt idx="173">
                  <c:v>13.588700224795</c:v>
                </c:pt>
                <c:pt idx="174">
                  <c:v>11.330246557195601</c:v>
                </c:pt>
                <c:pt idx="175">
                  <c:v>9.0683415867363202</c:v>
                </c:pt>
                <c:pt idx="176">
                  <c:v>6.8036743115826903</c:v>
                </c:pt>
                <c:pt idx="177">
                  <c:v>4.5369345713250899</c:v>
                </c:pt>
                <c:pt idx="178">
                  <c:v>2.2688128368468501</c:v>
                </c:pt>
                <c:pt idx="179">
                  <c:v>1.5920408388915601E-14</c:v>
                </c:pt>
                <c:pt idx="180">
                  <c:v>-2.2687968966684502</c:v>
                </c:pt>
                <c:pt idx="181">
                  <c:v>-4.5366799864628602</c:v>
                </c:pt>
                <c:pt idx="182">
                  <c:v>-6.8023893311656298</c:v>
                </c:pt>
                <c:pt idx="183">
                  <c:v>-9.0642974146049795</c:v>
                </c:pt>
                <c:pt idx="184">
                  <c:v>-11.320426209483401</c:v>
                </c:pt>
                <c:pt idx="185">
                  <c:v>-13.568470606705301</c:v>
                </c:pt>
                <c:pt idx="186">
                  <c:v>-15.805827834278899</c:v>
                </c:pt>
                <c:pt idx="187">
                  <c:v>-18.029632396286001</c:v>
                </c:pt>
                <c:pt idx="188">
                  <c:v>-20.236795973088899</c:v>
                </c:pt>
                <c:pt idx="189">
                  <c:v>-22.4240516432547</c:v>
                </c:pt>
                <c:pt idx="190">
                  <c:v>-24.588001716886001</c:v>
                </c:pt>
                <c:pt idx="191">
                  <c:v>-26.7251684102486</c:v>
                </c:pt>
                <c:pt idx="192">
                  <c:v>-28.8320465437215</c:v>
                </c:pt>
                <c:pt idx="193">
                  <c:v>-30.905157409916601</c:v>
                </c:pt>
                <c:pt idx="194">
                  <c:v>-32.941102936890502</c:v>
                </c:pt>
                <c:pt idx="195">
                  <c:v>-34.936619263047099</c:v>
                </c:pt>
                <c:pt idx="196">
                  <c:v>-36.888628845780097</c:v>
                </c:pt>
                <c:pt idx="197">
                  <c:v>-38.794290245051599</c:v>
                </c:pt>
                <c:pt idx="198">
                  <c:v>-40.651044755698102</c:v>
                </c:pt>
                <c:pt idx="199">
                  <c:v>-42.456659107818297</c:v>
                </c:pt>
                <c:pt idx="200">
                  <c:v>-44.209263512460602</c:v>
                </c:pt>
                <c:pt idx="201">
                  <c:v>-45.907384399135502</c:v>
                </c:pt>
                <c:pt idx="202">
                  <c:v>-47.549971271402498</c:v>
                </c:pt>
                <c:pt idx="203">
                  <c:v>-49.1364171957091</c:v>
                </c:pt>
                <c:pt idx="204">
                  <c:v>-50.666572535486203</c:v>
                </c:pt>
                <c:pt idx="205">
                  <c:v>-52.140751645736302</c:v>
                </c:pt>
                <c:pt idx="206">
                  <c:v>-53.559732351461797</c:v>
                </c:pt>
                <c:pt idx="207">
                  <c:v>-54.9247481446086</c:v>
                </c:pt>
                <c:pt idx="208">
                  <c:v>-56.2374731470711</c:v>
                </c:pt>
                <c:pt idx="209">
                  <c:v>-57.5</c:v>
                </c:pt>
                <c:pt idx="210">
                  <c:v>-58.714810950448999</c:v>
                </c:pt>
                <c:pt idx="211">
                  <c:v>-59.884742513608998</c:v>
                </c:pt>
                <c:pt idx="212">
                  <c:v>-61.0129441908567</c:v>
                </c:pt>
                <c:pt idx="213">
                  <c:v>-62.102831819022697</c:v>
                </c:pt>
                <c:pt idx="214">
                  <c:v>-63.158036213198102</c:v>
                </c:pt>
                <c:pt idx="215">
                  <c:v>-64.1823478426912</c:v>
                </c:pt>
                <c:pt idx="216">
                  <c:v>-65.179658346213401</c:v>
                </c:pt>
                <c:pt idx="217">
                  <c:v>-66.153899746976904</c:v>
                </c:pt>
                <c:pt idx="218">
                  <c:v>-67.108982270234094</c:v>
                </c:pt>
                <c:pt idx="219">
                  <c:v>-68.0487316942246</c:v>
                </c:pt>
                <c:pt idx="220">
                  <c:v>-68.976827180014794</c:v>
                </c:pt>
                <c:pt idx="221">
                  <c:v>-69.896740526052099</c:v>
                </c:pt>
                <c:pt idx="222">
                  <c:v>-70.811677779357694</c:v>
                </c:pt>
                <c:pt idx="223">
                  <c:v>-71.724524107274803</c:v>
                </c:pt>
                <c:pt idx="224">
                  <c:v>-72.637792791964699</c:v>
                </c:pt>
                <c:pt idx="225">
                  <c:v>-73.553579154946902</c:v>
                </c:pt>
                <c:pt idx="226">
                  <c:v>-74.473520151694899</c:v>
                </c:pt>
                <c:pt idx="227">
                  <c:v>-75.398760297570007</c:v>
                </c:pt>
                <c:pt idx="228">
                  <c:v>-76.329924497341295</c:v>
                </c:pt>
                <c:pt idx="229">
                  <c:v>-77.267098252476799</c:v>
                </c:pt>
                <c:pt idx="230">
                  <c:v>-78.209815614731397</c:v>
                </c:pt>
                <c:pt idx="231">
                  <c:v>-79.157055142835901</c:v>
                </c:pt>
                <c:pt idx="232">
                  <c:v>-80.107244002951703</c:v>
                </c:pt>
                <c:pt idx="233">
                  <c:v>-81.058270234697602</c:v>
                </c:pt>
                <c:pt idx="234">
                  <c:v>-82.007503084735305</c:v>
                </c:pt>
                <c:pt idx="235">
                  <c:v>-82.951821190888595</c:v>
                </c:pt>
                <c:pt idx="236">
                  <c:v>-83.887648283329696</c:v>
                </c:pt>
                <c:pt idx="237">
                  <c:v>-84.810995957227505</c:v>
                </c:pt>
                <c:pt idx="238">
                  <c:v>-85.717512965092098</c:v>
                </c:pt>
                <c:pt idx="239">
                  <c:v>-86.602540378443805</c:v>
                </c:pt>
                <c:pt idx="240">
                  <c:v>-87.461970713939607</c:v>
                </c:pt>
                <c:pt idx="241">
                  <c:v>-88.294759285892695</c:v>
                </c:pt>
                <c:pt idx="242">
                  <c:v>-89.100652418836802</c:v>
                </c:pt>
                <c:pt idx="243">
                  <c:v>-89.879404629916706</c:v>
                </c:pt>
                <c:pt idx="244">
                  <c:v>-90.630778703665001</c:v>
                </c:pt>
                <c:pt idx="245">
                  <c:v>-91.354545764260095</c:v>
                </c:pt>
                <c:pt idx="246">
                  <c:v>-92.050485345243999</c:v>
                </c:pt>
                <c:pt idx="247">
                  <c:v>-92.718385456678703</c:v>
                </c:pt>
                <c:pt idx="248">
                  <c:v>-93.358042649720204</c:v>
                </c:pt>
                <c:pt idx="249">
                  <c:v>-93.969262078590802</c:v>
                </c:pt>
                <c:pt idx="250">
                  <c:v>-94.551857559931705</c:v>
                </c:pt>
                <c:pt idx="251">
                  <c:v>-95.105651629515293</c:v>
                </c:pt>
                <c:pt idx="252">
                  <c:v>-95.630475596303498</c:v>
                </c:pt>
                <c:pt idx="253">
                  <c:v>-96.126169593831904</c:v>
                </c:pt>
                <c:pt idx="254">
                  <c:v>-96.592582628906797</c:v>
                </c:pt>
                <c:pt idx="255">
                  <c:v>-97.029572627599606</c:v>
                </c:pt>
                <c:pt idx="256">
                  <c:v>-97.4370064785235</c:v>
                </c:pt>
                <c:pt idx="257">
                  <c:v>-97.814760073380597</c:v>
                </c:pt>
                <c:pt idx="258">
                  <c:v>-98.162718344766404</c:v>
                </c:pt>
                <c:pt idx="259">
                  <c:v>-98.480775301220802</c:v>
                </c:pt>
                <c:pt idx="260">
                  <c:v>-98.768834059513793</c:v>
                </c:pt>
                <c:pt idx="261">
                  <c:v>-99.026806874157003</c:v>
                </c:pt>
                <c:pt idx="262">
                  <c:v>-99.254615164132204</c:v>
                </c:pt>
                <c:pt idx="263">
                  <c:v>-99.452189536827305</c:v>
                </c:pt>
                <c:pt idx="264">
                  <c:v>-99.619469809174603</c:v>
                </c:pt>
                <c:pt idx="265">
                  <c:v>-99.756405025982403</c:v>
                </c:pt>
                <c:pt idx="266">
                  <c:v>-99.862953475457402</c:v>
                </c:pt>
                <c:pt idx="267">
                  <c:v>-99.939082701909598</c:v>
                </c:pt>
                <c:pt idx="268">
                  <c:v>-99.984769515639101</c:v>
                </c:pt>
                <c:pt idx="269">
                  <c:v>-100</c:v>
                </c:pt>
                <c:pt idx="270">
                  <c:v>-99.984769515639101</c:v>
                </c:pt>
                <c:pt idx="271">
                  <c:v>-99.939082701909598</c:v>
                </c:pt>
                <c:pt idx="272">
                  <c:v>-99.862953475457402</c:v>
                </c:pt>
                <c:pt idx="273">
                  <c:v>-99.756405025982403</c:v>
                </c:pt>
                <c:pt idx="274">
                  <c:v>-99.619469809174603</c:v>
                </c:pt>
                <c:pt idx="275">
                  <c:v>-99.452189536827305</c:v>
                </c:pt>
                <c:pt idx="276">
                  <c:v>-99.254615164132204</c:v>
                </c:pt>
                <c:pt idx="277">
                  <c:v>-99.026806874157003</c:v>
                </c:pt>
                <c:pt idx="278">
                  <c:v>-98.768834059513793</c:v>
                </c:pt>
                <c:pt idx="279">
                  <c:v>-98.480775301220802</c:v>
                </c:pt>
                <c:pt idx="280">
                  <c:v>-98.162718344766404</c:v>
                </c:pt>
                <c:pt idx="281">
                  <c:v>-97.814760073380597</c:v>
                </c:pt>
                <c:pt idx="282">
                  <c:v>-97.4370064785235</c:v>
                </c:pt>
                <c:pt idx="283">
                  <c:v>-97.029572627599705</c:v>
                </c:pt>
                <c:pt idx="284">
                  <c:v>-96.592582628906797</c:v>
                </c:pt>
                <c:pt idx="285">
                  <c:v>-96.126169593831904</c:v>
                </c:pt>
                <c:pt idx="286">
                  <c:v>-95.630475596303498</c:v>
                </c:pt>
                <c:pt idx="287">
                  <c:v>-95.105651629515407</c:v>
                </c:pt>
                <c:pt idx="288">
                  <c:v>-94.551857559931705</c:v>
                </c:pt>
                <c:pt idx="289">
                  <c:v>-93.969262078590901</c:v>
                </c:pt>
                <c:pt idx="290">
                  <c:v>-93.358042649720204</c:v>
                </c:pt>
                <c:pt idx="291">
                  <c:v>-92.718385456678703</c:v>
                </c:pt>
                <c:pt idx="292">
                  <c:v>-92.050485345244098</c:v>
                </c:pt>
                <c:pt idx="293">
                  <c:v>-91.354545764260095</c:v>
                </c:pt>
                <c:pt idx="294">
                  <c:v>-90.630778703665001</c:v>
                </c:pt>
                <c:pt idx="295">
                  <c:v>-89.879404629916706</c:v>
                </c:pt>
                <c:pt idx="296">
                  <c:v>-89.100652418836802</c:v>
                </c:pt>
                <c:pt idx="297">
                  <c:v>-88.294759285892695</c:v>
                </c:pt>
                <c:pt idx="298">
                  <c:v>-87.461970713939607</c:v>
                </c:pt>
                <c:pt idx="299">
                  <c:v>-86.602540378443905</c:v>
                </c:pt>
                <c:pt idx="300">
                  <c:v>-85.716730070211199</c:v>
                </c:pt>
                <c:pt idx="301">
                  <c:v>-84.804809615642597</c:v>
                </c:pt>
                <c:pt idx="302">
                  <c:v>-83.867056794542407</c:v>
                </c:pt>
                <c:pt idx="303">
                  <c:v>-82.903757255504203</c:v>
                </c:pt>
                <c:pt idx="304">
                  <c:v>-81.915204428899202</c:v>
                </c:pt>
                <c:pt idx="305">
                  <c:v>-80.901699437494798</c:v>
                </c:pt>
                <c:pt idx="306">
                  <c:v>-79.863551004729302</c:v>
                </c:pt>
                <c:pt idx="307">
                  <c:v>-78.801075360672201</c:v>
                </c:pt>
                <c:pt idx="308">
                  <c:v>-77.714596145697101</c:v>
                </c:pt>
                <c:pt idx="309">
                  <c:v>-76.604444311897794</c:v>
                </c:pt>
                <c:pt idx="310">
                  <c:v>-75.470958022277202</c:v>
                </c:pt>
                <c:pt idx="311">
                  <c:v>-74.314482547739502</c:v>
                </c:pt>
                <c:pt idx="312">
                  <c:v>-73.135370161917095</c:v>
                </c:pt>
                <c:pt idx="313">
                  <c:v>-71.933980033865197</c:v>
                </c:pt>
                <c:pt idx="314">
                  <c:v>-70.710678118654798</c:v>
                </c:pt>
                <c:pt idx="315">
                  <c:v>-69.465837045899804</c:v>
                </c:pt>
                <c:pt idx="316">
                  <c:v>-68.199836006249797</c:v>
                </c:pt>
                <c:pt idx="317">
                  <c:v>-66.913060635885799</c:v>
                </c:pt>
                <c:pt idx="318">
                  <c:v>-65.605902899050704</c:v>
                </c:pt>
                <c:pt idx="319">
                  <c:v>-64.278760968653998</c:v>
                </c:pt>
                <c:pt idx="320">
                  <c:v>-62.932039104983801</c:v>
                </c:pt>
                <c:pt idx="321">
                  <c:v>-61.5661475325659</c:v>
                </c:pt>
                <c:pt idx="322">
                  <c:v>-60.181502315204803</c:v>
                </c:pt>
                <c:pt idx="323">
                  <c:v>-58.7785252292473</c:v>
                </c:pt>
                <c:pt idx="324">
                  <c:v>-57.357643635104701</c:v>
                </c:pt>
                <c:pt idx="325">
                  <c:v>-55.9192903470747</c:v>
                </c:pt>
                <c:pt idx="326">
                  <c:v>-54.463903501502699</c:v>
                </c:pt>
                <c:pt idx="327">
                  <c:v>-52.991926423320599</c:v>
                </c:pt>
                <c:pt idx="328">
                  <c:v>-51.503807491005396</c:v>
                </c:pt>
                <c:pt idx="329">
                  <c:v>-50</c:v>
                </c:pt>
                <c:pt idx="330">
                  <c:v>-48.480962024633698</c:v>
                </c:pt>
                <c:pt idx="331">
                  <c:v>-46.947156278589098</c:v>
                </c:pt>
                <c:pt idx="332">
                  <c:v>-45.399049973954703</c:v>
                </c:pt>
                <c:pt idx="333">
                  <c:v>-43.837114678907703</c:v>
                </c:pt>
                <c:pt idx="334">
                  <c:v>-42.261826174070002</c:v>
                </c:pt>
                <c:pt idx="335">
                  <c:v>-40.673664307579998</c:v>
                </c:pt>
                <c:pt idx="336">
                  <c:v>-39.073112848927501</c:v>
                </c:pt>
                <c:pt idx="337">
                  <c:v>-37.460659341591203</c:v>
                </c:pt>
                <c:pt idx="338">
                  <c:v>-35.836794954530099</c:v>
                </c:pt>
                <c:pt idx="339">
                  <c:v>-34.202014332566897</c:v>
                </c:pt>
                <c:pt idx="340">
                  <c:v>-32.556815445715799</c:v>
                </c:pt>
                <c:pt idx="341">
                  <c:v>-30.901699437494798</c:v>
                </c:pt>
                <c:pt idx="342">
                  <c:v>-29.237170472273601</c:v>
                </c:pt>
                <c:pt idx="343">
                  <c:v>-27.563735581700001</c:v>
                </c:pt>
                <c:pt idx="344">
                  <c:v>-25.881904510252099</c:v>
                </c:pt>
                <c:pt idx="345">
                  <c:v>-24.192189559966799</c:v>
                </c:pt>
                <c:pt idx="346">
                  <c:v>-22.495105434386499</c:v>
                </c:pt>
                <c:pt idx="347">
                  <c:v>-20.791169081776001</c:v>
                </c:pt>
                <c:pt idx="348">
                  <c:v>-19.080899537654499</c:v>
                </c:pt>
                <c:pt idx="349">
                  <c:v>-17.364817766693101</c:v>
                </c:pt>
                <c:pt idx="350">
                  <c:v>-15.6434465040231</c:v>
                </c:pt>
                <c:pt idx="351">
                  <c:v>-13.917310096006601</c:v>
                </c:pt>
                <c:pt idx="352">
                  <c:v>-12.186934340514799</c:v>
                </c:pt>
                <c:pt idx="353">
                  <c:v>-10.4528463267653</c:v>
                </c:pt>
                <c:pt idx="354">
                  <c:v>-8.7155742747658298</c:v>
                </c:pt>
                <c:pt idx="355">
                  <c:v>-6.9756473744124801</c:v>
                </c:pt>
                <c:pt idx="356">
                  <c:v>-5.2335956242944404</c:v>
                </c:pt>
                <c:pt idx="357">
                  <c:v>-3.4899496702500801</c:v>
                </c:pt>
                <c:pt idx="358">
                  <c:v>-1.74524064372844</c:v>
                </c:pt>
                <c:pt idx="359">
                  <c:v>-2.4492935982947099E-14</c:v>
                </c:pt>
              </c:numCache>
            </c:numRef>
          </c:xVal>
          <c:yVal>
            <c:numRef>
              <c:f>正弦加速度凸轮!$D$3:$D$362</c:f>
              <c:numCache>
                <c:formatCode>General</c:formatCode>
                <c:ptCount val="360"/>
                <c:pt idx="0">
                  <c:v>99.985682727845898</c:v>
                </c:pt>
                <c:pt idx="1">
                  <c:v>99.946373058507106</c:v>
                </c:pt>
                <c:pt idx="2">
                  <c:v>99.887472362435801</c:v>
                </c:pt>
                <c:pt idx="3">
                  <c:v>99.814239381916096</c:v>
                </c:pt>
                <c:pt idx="4">
                  <c:v>99.731716897155295</c:v>
                </c:pt>
                <c:pt idx="5">
                  <c:v>99.644661496101605</c:v>
                </c:pt>
                <c:pt idx="6">
                  <c:v>99.557477414213295</c:v>
                </c:pt>
                <c:pt idx="7">
                  <c:v>99.474155352310206</c:v>
                </c:pt>
                <c:pt idx="8">
                  <c:v>99.398217109621697</c:v>
                </c:pt>
                <c:pt idx="9">
                  <c:v>99.332666786249106</c:v>
                </c:pt>
                <c:pt idx="10">
                  <c:v>99.279949215672104</c:v>
                </c:pt>
                <c:pt idx="11">
                  <c:v>99.241916185036999</c:v>
                </c:pt>
                <c:pt idx="12">
                  <c:v>99.219800890236499</c:v>
                </c:pt>
                <c:pt idx="13">
                  <c:v>99.2142009558615</c:v>
                </c:pt>
                <c:pt idx="14">
                  <c:v>99.225070228654005</c:v>
                </c:pt>
                <c:pt idx="15">
                  <c:v>99.251719428892201</c:v>
                </c:pt>
                <c:pt idx="16">
                  <c:v>99.292825618988402</c:v>
                </c:pt>
                <c:pt idx="17">
                  <c:v>99.346450324291496</c:v>
                </c:pt>
                <c:pt idx="18">
                  <c:v>99.410066019457901</c:v>
                </c:pt>
                <c:pt idx="19">
                  <c:v>99.480590576545694</c:v>
                </c:pt>
                <c:pt idx="20">
                  <c:v>99.554429159878694</c:v>
                </c:pt>
                <c:pt idx="21">
                  <c:v>99.627522949332402</c:v>
                </c:pt>
                <c:pt idx="22">
                  <c:v>99.695403979476296</c:v>
                </c:pt>
                <c:pt idx="23">
                  <c:v>99.753255298336001</c:v>
                </c:pt>
                <c:pt idx="24">
                  <c:v>99.795975577579696</c:v>
                </c:pt>
                <c:pt idx="25">
                  <c:v>99.818247246723303</c:v>
                </c:pt>
                <c:pt idx="26">
                  <c:v>99.8146071783015</c:v>
                </c:pt>
                <c:pt idx="27">
                  <c:v>99.779518919506003</c:v>
                </c:pt>
                <c:pt idx="28">
                  <c:v>99.707445448950395</c:v>
                </c:pt>
                <c:pt idx="29">
                  <c:v>99.592921435210499</c:v>
                </c:pt>
                <c:pt idx="30">
                  <c:v>99.4306239865641</c:v>
                </c:pt>
                <c:pt idx="31">
                  <c:v>99.2154409087169</c:v>
                </c:pt>
                <c:pt idx="32">
                  <c:v>98.942535528772794</c:v>
                </c:pt>
                <c:pt idx="33">
                  <c:v>98.607407198665499</c:v>
                </c:pt>
                <c:pt idx="34">
                  <c:v>98.205946658842905</c:v>
                </c:pt>
                <c:pt idx="35">
                  <c:v>97.734485522165798</c:v>
                </c:pt>
                <c:pt idx="36">
                  <c:v>97.189839227547296</c:v>
                </c:pt>
                <c:pt idx="37">
                  <c:v>96.569342911463096</c:v>
                </c:pt>
                <c:pt idx="38">
                  <c:v>95.870879751630099</c:v>
                </c:pt>
                <c:pt idx="39">
                  <c:v>95.092901449293294</c:v>
                </c:pt>
                <c:pt idx="40">
                  <c:v>94.234440633005207</c:v>
                </c:pt>
                <c:pt idx="41">
                  <c:v>93.2951150857984</c:v>
                </c:pt>
                <c:pt idx="42">
                  <c:v>92.275123817475901</c:v>
                </c:pt>
                <c:pt idx="43">
                  <c:v>91.175235122604207</c:v>
                </c:pt>
                <c:pt idx="44">
                  <c:v>89.996766880941195</c:v>
                </c:pt>
                <c:pt idx="45">
                  <c:v>88.741559468753493</c:v>
                </c:pt>
                <c:pt idx="46">
                  <c:v>87.411941755141996</c:v>
                </c:pt>
                <c:pt idx="47">
                  <c:v>86.010690755561896</c:v>
                </c:pt>
                <c:pt idx="48">
                  <c:v>84.540985603764</c:v>
                </c:pt>
                <c:pt idx="49">
                  <c:v>83.006356582112105</c:v>
                </c:pt>
                <c:pt idx="50">
                  <c:v>81.410630017527595</c:v>
                </c:pt>
                <c:pt idx="51">
                  <c:v>79.757869905204103</c:v>
                </c:pt>
                <c:pt idx="52">
                  <c:v>78.052317163974095</c:v>
                </c:pt>
                <c:pt idx="53">
                  <c:v>76.2983274552099</c:v>
                </c:pt>
                <c:pt idx="54">
                  <c:v>74.500308511052907</c:v>
                </c:pt>
                <c:pt idx="55">
                  <c:v>72.662657917427296</c:v>
                </c:pt>
                <c:pt idx="56">
                  <c:v>70.7897022827798</c:v>
                </c:pt>
                <c:pt idx="57">
                  <c:v>68.885638695059797</c:v>
                </c:pt>
                <c:pt idx="58">
                  <c:v>66.954479327604304</c:v>
                </c:pt>
                <c:pt idx="59">
                  <c:v>65</c:v>
                </c:pt>
                <c:pt idx="60">
                  <c:v>63.025250632023798</c:v>
                </c:pt>
                <c:pt idx="61">
                  <c:v>61.031303162165798</c:v>
                </c:pt>
                <c:pt idx="62">
                  <c:v>59.018764966141099</c:v>
                </c:pt>
                <c:pt idx="63">
                  <c:v>56.988249082580097</c:v>
                </c:pt>
                <c:pt idx="64">
                  <c:v>54.940374026290897</c:v>
                </c:pt>
                <c:pt idx="65">
                  <c:v>52.875763599853997</c:v>
                </c:pt>
                <c:pt idx="66">
                  <c:v>50.7950467036056</c:v>
                </c:pt>
                <c:pt idx="67">
                  <c:v>48.698857144068597</c:v>
                </c:pt>
                <c:pt idx="68">
                  <c:v>46.587833440889</c:v>
                </c:pt>
                <c:pt idx="69">
                  <c:v>44.462618632336898</c:v>
                </c:pt>
                <c:pt idx="70">
                  <c:v>42.323860079430403</c:v>
                </c:pt>
                <c:pt idx="71">
                  <c:v>40.172209268743202</c:v>
                </c:pt>
                <c:pt idx="72">
                  <c:v>38.0083216139558</c:v>
                </c:pt>
                <c:pt idx="73">
                  <c:v>35.832856256209901</c:v>
                </c:pt>
                <c:pt idx="74">
                  <c:v>33.646475863327701</c:v>
                </c:pt>
                <c:pt idx="75">
                  <c:v>31.4498464279568</c:v>
                </c:pt>
                <c:pt idx="76">
                  <c:v>29.243637064702401</c:v>
                </c:pt>
                <c:pt idx="77">
                  <c:v>27.028519806308701</c:v>
                </c:pt>
                <c:pt idx="78">
                  <c:v>24.805169398950799</c:v>
                </c:pt>
                <c:pt idx="79">
                  <c:v>22.574263096700999</c:v>
                </c:pt>
                <c:pt idx="80">
                  <c:v>20.336480455229999</c:v>
                </c:pt>
                <c:pt idx="81">
                  <c:v>18.092503124808498</c:v>
                </c:pt>
                <c:pt idx="82">
                  <c:v>15.8430146426692</c:v>
                </c:pt>
                <c:pt idx="83">
                  <c:v>13.5887002247949</c:v>
                </c:pt>
                <c:pt idx="84">
                  <c:v>11.330246557195601</c:v>
                </c:pt>
                <c:pt idx="85">
                  <c:v>9.0683415867363095</c:v>
                </c:pt>
                <c:pt idx="86">
                  <c:v>6.8036743115827196</c:v>
                </c:pt>
                <c:pt idx="87">
                  <c:v>4.5369345713251397</c:v>
                </c:pt>
                <c:pt idx="88">
                  <c:v>2.2688128368468399</c:v>
                </c:pt>
                <c:pt idx="89">
                  <c:v>7.9602041944578004E-15</c:v>
                </c:pt>
                <c:pt idx="90">
                  <c:v>-2.2688128368468501</c:v>
                </c:pt>
                <c:pt idx="91">
                  <c:v>-4.5369345713250997</c:v>
                </c:pt>
                <c:pt idx="92">
                  <c:v>-6.8036743115826699</c:v>
                </c:pt>
                <c:pt idx="93">
                  <c:v>-9.06834158673629</c:v>
                </c:pt>
                <c:pt idx="94">
                  <c:v>-11.330246557195601</c:v>
                </c:pt>
                <c:pt idx="95">
                  <c:v>-13.5887002247949</c:v>
                </c:pt>
                <c:pt idx="96">
                  <c:v>-15.8430146426692</c:v>
                </c:pt>
                <c:pt idx="97">
                  <c:v>-18.092503124808498</c:v>
                </c:pt>
                <c:pt idx="98">
                  <c:v>-20.336480455229999</c:v>
                </c:pt>
                <c:pt idx="99">
                  <c:v>-22.5742630967009</c:v>
                </c:pt>
                <c:pt idx="100">
                  <c:v>-24.805169398950799</c:v>
                </c:pt>
                <c:pt idx="101">
                  <c:v>-27.028519806308701</c:v>
                </c:pt>
                <c:pt idx="102">
                  <c:v>-29.243637064702401</c:v>
                </c:pt>
                <c:pt idx="103">
                  <c:v>-31.4498464279568</c:v>
                </c:pt>
                <c:pt idx="104">
                  <c:v>-33.646475863327701</c:v>
                </c:pt>
                <c:pt idx="105">
                  <c:v>-35.832856256209901</c:v>
                </c:pt>
                <c:pt idx="106">
                  <c:v>-38.0083216139558</c:v>
                </c:pt>
                <c:pt idx="107">
                  <c:v>-40.172209268743202</c:v>
                </c:pt>
                <c:pt idx="108">
                  <c:v>-42.323860079430297</c:v>
                </c:pt>
                <c:pt idx="109">
                  <c:v>-44.462618632336898</c:v>
                </c:pt>
                <c:pt idx="110">
                  <c:v>-46.587833440889</c:v>
                </c:pt>
                <c:pt idx="111">
                  <c:v>-48.698857144068597</c:v>
                </c:pt>
                <c:pt idx="112">
                  <c:v>-50.7950467036056</c:v>
                </c:pt>
                <c:pt idx="113">
                  <c:v>-52.875763599853997</c:v>
                </c:pt>
                <c:pt idx="114">
                  <c:v>-54.940374026290897</c:v>
                </c:pt>
                <c:pt idx="115">
                  <c:v>-56.988249082580097</c:v>
                </c:pt>
                <c:pt idx="116">
                  <c:v>-59.018764966141099</c:v>
                </c:pt>
                <c:pt idx="117">
                  <c:v>-61.031303162165798</c:v>
                </c:pt>
                <c:pt idx="118">
                  <c:v>-63.025250632023798</c:v>
                </c:pt>
                <c:pt idx="119">
                  <c:v>-65</c:v>
                </c:pt>
                <c:pt idx="120">
                  <c:v>-66.954949738307107</c:v>
                </c:pt>
                <c:pt idx="121">
                  <c:v>-68.889504350316599</c:v>
                </c:pt>
                <c:pt idx="122">
                  <c:v>-70.8030745519535</c:v>
                </c:pt>
                <c:pt idx="123">
                  <c:v>-72.695077451197093</c:v>
                </c:pt>
                <c:pt idx="124">
                  <c:v>-74.564936725636002</c:v>
                </c:pt>
                <c:pt idx="125">
                  <c:v>-76.412082798021501</c:v>
                </c:pt>
                <c:pt idx="126">
                  <c:v>-78.235953009766305</c:v>
                </c:pt>
                <c:pt idx="127">
                  <c:v>-80.035991792335594</c:v>
                </c:pt>
                <c:pt idx="128">
                  <c:v>-81.811650836478805</c:v>
                </c:pt>
                <c:pt idx="129">
                  <c:v>-83.562389259250097</c:v>
                </c:pt>
                <c:pt idx="130">
                  <c:v>-85.287673768765998</c:v>
                </c:pt>
                <c:pt idx="131">
                  <c:v>-86.986978826651594</c:v>
                </c:pt>
                <c:pt idx="132">
                  <c:v>-88.659786808124807</c:v>
                </c:pt>
                <c:pt idx="133">
                  <c:v>-90.305588159669597</c:v>
                </c:pt>
                <c:pt idx="134">
                  <c:v>-91.923881554251196</c:v>
                </c:pt>
                <c:pt idx="135">
                  <c:v>-93.514174044024699</c:v>
                </c:pt>
                <c:pt idx="136">
                  <c:v>-95.075981210492202</c:v>
                </c:pt>
                <c:pt idx="137">
                  <c:v>-96.608827312061194</c:v>
                </c:pt>
                <c:pt idx="138">
                  <c:v>-98.112245428960406</c:v>
                </c:pt>
                <c:pt idx="139">
                  <c:v>-99.585777605467101</c:v>
                </c:pt>
                <c:pt idx="140">
                  <c:v>-101.028974989406</c:v>
                </c:pt>
                <c:pt idx="141">
                  <c:v>-102.441397968874</c:v>
                </c:pt>
                <c:pt idx="142">
                  <c:v>-103.82261630614801</c:v>
                </c:pt>
                <c:pt idx="143">
                  <c:v>-105.172209268743</c:v>
                </c:pt>
                <c:pt idx="144">
                  <c:v>-106.489765757569</c:v>
                </c:pt>
                <c:pt idx="145">
                  <c:v>-107.77488443215501</c:v>
                </c:pt>
                <c:pt idx="146">
                  <c:v>-109.02717383290501</c:v>
                </c:pt>
                <c:pt idx="147">
                  <c:v>-110.246252500335</c:v>
                </c:pt>
                <c:pt idx="148">
                  <c:v>-111.43174909127499</c:v>
                </c:pt>
                <c:pt idx="149">
                  <c:v>-112.58330249197699</c:v>
                </c:pt>
                <c:pt idx="150">
                  <c:v>-113.700561928121</c:v>
                </c:pt>
                <c:pt idx="151">
                  <c:v>-114.78318707166</c:v>
                </c:pt>
                <c:pt idx="152">
                  <c:v>-115.830848144488</c:v>
                </c:pt>
                <c:pt idx="153">
                  <c:v>-116.843226018892</c:v>
                </c:pt>
                <c:pt idx="154">
                  <c:v>-117.820012314764</c:v>
                </c:pt>
                <c:pt idx="155">
                  <c:v>-118.76090949353799</c:v>
                </c:pt>
                <c:pt idx="156">
                  <c:v>-119.665630948817</c:v>
                </c:pt>
                <c:pt idx="157">
                  <c:v>-120.533901093682</c:v>
                </c:pt>
                <c:pt idx="158">
                  <c:v>-121.365455444636</c:v>
                </c:pt>
                <c:pt idx="159">
                  <c:v>-122.160040702168</c:v>
                </c:pt>
                <c:pt idx="160">
                  <c:v>-122.917414827911</c:v>
                </c:pt>
                <c:pt idx="161">
                  <c:v>-123.63734711837</c:v>
                </c:pt>
                <c:pt idx="162">
                  <c:v>-124.319618275195</c:v>
                </c:pt>
                <c:pt idx="163">
                  <c:v>-124.964020471981</c:v>
                </c:pt>
                <c:pt idx="164">
                  <c:v>-125.570357417579</c:v>
                </c:pt>
                <c:pt idx="165">
                  <c:v>-126.13844441588</c:v>
                </c:pt>
                <c:pt idx="166">
                  <c:v>-126.668108422081</c:v>
                </c:pt>
                <c:pt idx="167">
                  <c:v>-127.159188095395</c:v>
                </c:pt>
                <c:pt idx="168">
                  <c:v>-127.611533848196</c:v>
                </c:pt>
                <c:pt idx="169">
                  <c:v>-128.02500789158699</c:v>
                </c:pt>
                <c:pt idx="170">
                  <c:v>-128.399484277368</c:v>
                </c:pt>
                <c:pt idx="171">
                  <c:v>-128.73484893640401</c:v>
                </c:pt>
                <c:pt idx="172">
                  <c:v>-129.03099971337201</c:v>
                </c:pt>
                <c:pt idx="173">
                  <c:v>-129.287846397876</c:v>
                </c:pt>
                <c:pt idx="174">
                  <c:v>-129.505310751927</c:v>
                </c:pt>
                <c:pt idx="175">
                  <c:v>-129.68332653377701</c:v>
                </c:pt>
                <c:pt idx="176">
                  <c:v>-129.821839518095</c:v>
                </c:pt>
                <c:pt idx="177">
                  <c:v>-129.92080751248201</c:v>
                </c:pt>
                <c:pt idx="178">
                  <c:v>-129.980200370331</c:v>
                </c:pt>
                <c:pt idx="179">
                  <c:v>-130</c:v>
                </c:pt>
                <c:pt idx="180">
                  <c:v>-129.97928715812401</c:v>
                </c:pt>
                <c:pt idx="181">
                  <c:v>-129.91351715588499</c:v>
                </c:pt>
                <c:pt idx="182">
                  <c:v>-129.79732063111601</c:v>
                </c:pt>
                <c:pt idx="183">
                  <c:v>-129.625492177843</c:v>
                </c:pt>
                <c:pt idx="184">
                  <c:v>-129.39306366394601</c:v>
                </c:pt>
                <c:pt idx="185">
                  <c:v>-129.095374438601</c:v>
                </c:pt>
                <c:pt idx="186">
                  <c:v>-128.72813746329101</c:v>
                </c:pt>
                <c:pt idx="187">
                  <c:v>-128.287500458251</c:v>
                </c:pt>
                <c:pt idx="188">
                  <c:v>-127.77010122726</c:v>
                </c:pt>
                <c:pt idx="189">
                  <c:v>-127.173116406559</c:v>
                </c:pt>
                <c:pt idx="190">
                  <c:v>-126.494302977291</c:v>
                </c:pt>
                <c:pt idx="191">
                  <c:v>-125.732031983738</c:v>
                </c:pt>
                <c:pt idx="192">
                  <c:v>-124.88531401036801</c:v>
                </c:pt>
                <c:pt idx="193">
                  <c:v>-123.95381608761799</c:v>
                </c:pt>
                <c:pt idx="194">
                  <c:v>-122.937869817832</c:v>
                </c:pt>
                <c:pt idx="195">
                  <c:v>-121.838470636921</c:v>
                </c:pt>
                <c:pt idx="196">
                  <c:v>-120.65726825250999</c:v>
                </c:pt>
                <c:pt idx="197">
                  <c:v>-119.396548423594</c:v>
                </c:pt>
                <c:pt idx="198">
                  <c:v>-118.05920636838501</c:v>
                </c:pt>
                <c:pt idx="199">
                  <c:v>-116.648712204213</c:v>
                </c:pt>
                <c:pt idx="200">
                  <c:v>-115.16906893447801</c:v>
                </c:pt>
                <c:pt idx="201">
                  <c:v>-113.624763601029</c:v>
                </c:pt>
                <c:pt idx="202">
                  <c:v>-112.020712314585</c:v>
                </c:pt>
                <c:pt idx="203">
                  <c:v>-110.362199959462</c:v>
                </c:pt>
                <c:pt idx="204">
                  <c:v>-108.65481544085</c:v>
                </c:pt>
                <c:pt idx="205">
                  <c:v>-106.904383402085</c:v>
                </c:pt>
                <c:pt idx="206">
                  <c:v>-105.116893385023</c:v>
                </c:pt>
                <c:pt idx="207">
                  <c:v>-103.298427438047</c:v>
                </c:pt>
                <c:pt idx="208">
                  <c:v>-101.455087193111</c:v>
                </c:pt>
                <c:pt idx="209">
                  <c:v>-99.5929214352104</c:v>
                </c:pt>
                <c:pt idx="210">
                  <c:v>-97.717855174921695</c:v>
                </c:pt>
                <c:pt idx="211">
                  <c:v>-95.835621207261099</c:v>
                </c:pt>
                <c:pt idx="212">
                  <c:v>-93.951695098674804</c:v>
                </c:pt>
                <c:pt idx="213">
                  <c:v>-92.071234488994094</c:v>
                </c:pt>
                <c:pt idx="214">
                  <c:v>-90.199023527625201</c:v>
                </c:pt>
                <c:pt idx="215">
                  <c:v>-88.339423184072203</c:v>
                </c:pt>
                <c:pt idx="216">
                  <c:v>-86.496328083330098</c:v>
                </c:pt>
                <c:pt idx="217">
                  <c:v>-84.673130418082906</c:v>
                </c:pt>
                <c:pt idx="218">
                  <c:v>-82.872691383473196</c:v>
                </c:pt>
                <c:pt idx="219">
                  <c:v>-81.0973204680717</c:v>
                </c:pt>
                <c:pt idx="220">
                  <c:v>-79.348762818232402</c:v>
                </c:pt>
                <c:pt idx="221">
                  <c:v>-77.628194774002296</c:v>
                </c:pt>
                <c:pt idx="222">
                  <c:v>-75.936227554933296</c:v>
                </c:pt>
                <c:pt idx="223">
                  <c:v>-74.272918955285604</c:v>
                </c:pt>
                <c:pt idx="224">
                  <c:v>-72.637792791964699</c:v>
                </c:pt>
                <c:pt idx="225">
                  <c:v>-71.029865736815907</c:v>
                </c:pt>
                <c:pt idx="226">
                  <c:v>-69.447681059232707</c:v>
                </c:pt>
                <c:pt idx="227">
                  <c:v>-67.889348706975497</c:v>
                </c:pt>
                <c:pt idx="228">
                  <c:v>-66.352591064052703</c:v>
                </c:pt>
                <c:pt idx="229">
                  <c:v>-64.834793645791905</c:v>
                </c:pt>
                <c:pt idx="230">
                  <c:v>-63.333059923934997</c:v>
                </c:pt>
                <c:pt idx="231">
                  <c:v>-61.844269419697298</c:v>
                </c:pt>
                <c:pt idx="232">
                  <c:v>-60.365138160996999</c:v>
                </c:pt>
                <c:pt idx="233">
                  <c:v>-58.892280572058901</c:v>
                </c:pt>
                <c:pt idx="234">
                  <c:v>-57.422271849687696</c:v>
                </c:pt>
                <c:pt idx="235">
                  <c:v>-55.951709880844497</c:v>
                </c:pt>
                <c:pt idx="236">
                  <c:v>-54.4772757706764</c:v>
                </c:pt>
                <c:pt idx="237">
                  <c:v>-52.995792078577402</c:v>
                </c:pt>
                <c:pt idx="238">
                  <c:v>-51.5042779017082</c:v>
                </c:pt>
                <c:pt idx="239">
                  <c:v>-50</c:v>
                </c:pt>
                <c:pt idx="240">
                  <c:v>-48.480962024633698</c:v>
                </c:pt>
                <c:pt idx="241">
                  <c:v>-46.947156278589098</c:v>
                </c:pt>
                <c:pt idx="242">
                  <c:v>-45.399049973954703</c:v>
                </c:pt>
                <c:pt idx="243">
                  <c:v>-43.837114678907803</c:v>
                </c:pt>
                <c:pt idx="244">
                  <c:v>-42.261826174070002</c:v>
                </c:pt>
                <c:pt idx="245">
                  <c:v>-40.673664307579998</c:v>
                </c:pt>
                <c:pt idx="246">
                  <c:v>-39.073112848927401</c:v>
                </c:pt>
                <c:pt idx="247">
                  <c:v>-37.460659341591203</c:v>
                </c:pt>
                <c:pt idx="248">
                  <c:v>-35.836794954530099</c:v>
                </c:pt>
                <c:pt idx="249">
                  <c:v>-34.202014332566897</c:v>
                </c:pt>
                <c:pt idx="250">
                  <c:v>-32.556815445715699</c:v>
                </c:pt>
                <c:pt idx="251">
                  <c:v>-30.901699437494798</c:v>
                </c:pt>
                <c:pt idx="252">
                  <c:v>-29.2371704722737</c:v>
                </c:pt>
                <c:pt idx="253">
                  <c:v>-27.563735581699898</c:v>
                </c:pt>
                <c:pt idx="254">
                  <c:v>-25.881904510252099</c:v>
                </c:pt>
                <c:pt idx="255">
                  <c:v>-24.192189559966799</c:v>
                </c:pt>
                <c:pt idx="256">
                  <c:v>-22.495105434386499</c:v>
                </c:pt>
                <c:pt idx="257">
                  <c:v>-20.791169081776001</c:v>
                </c:pt>
                <c:pt idx="258">
                  <c:v>-19.080899537654499</c:v>
                </c:pt>
                <c:pt idx="259">
                  <c:v>-17.364817766693001</c:v>
                </c:pt>
                <c:pt idx="260">
                  <c:v>-15.6434465040231</c:v>
                </c:pt>
                <c:pt idx="261">
                  <c:v>-13.917310096006499</c:v>
                </c:pt>
                <c:pt idx="262">
                  <c:v>-12.1869343405147</c:v>
                </c:pt>
                <c:pt idx="263">
                  <c:v>-10.4528463267653</c:v>
                </c:pt>
                <c:pt idx="264">
                  <c:v>-8.7155742747658191</c:v>
                </c:pt>
                <c:pt idx="265">
                  <c:v>-6.97564737441256</c:v>
                </c:pt>
                <c:pt idx="266">
                  <c:v>-5.2335956242944297</c:v>
                </c:pt>
                <c:pt idx="267">
                  <c:v>-3.48994967025016</c:v>
                </c:pt>
                <c:pt idx="268">
                  <c:v>-1.7452406437283501</c:v>
                </c:pt>
                <c:pt idx="269">
                  <c:v>-1.8369701987210301E-14</c:v>
                </c:pt>
                <c:pt idx="270">
                  <c:v>1.7452406437283099</c:v>
                </c:pt>
                <c:pt idx="271">
                  <c:v>3.4899496702501298</c:v>
                </c:pt>
                <c:pt idx="272">
                  <c:v>5.2335956242943897</c:v>
                </c:pt>
                <c:pt idx="273">
                  <c:v>6.97564737441252</c:v>
                </c:pt>
                <c:pt idx="274">
                  <c:v>8.7155742747657907</c:v>
                </c:pt>
                <c:pt idx="275">
                  <c:v>10.4528463267653</c:v>
                </c:pt>
                <c:pt idx="276">
                  <c:v>12.186934340514799</c:v>
                </c:pt>
                <c:pt idx="277">
                  <c:v>13.917310096006499</c:v>
                </c:pt>
                <c:pt idx="278">
                  <c:v>15.6434465040231</c:v>
                </c:pt>
                <c:pt idx="279">
                  <c:v>17.364817766693001</c:v>
                </c:pt>
                <c:pt idx="280">
                  <c:v>19.0808995376544</c:v>
                </c:pt>
                <c:pt idx="281">
                  <c:v>20.791169081775902</c:v>
                </c:pt>
                <c:pt idx="282">
                  <c:v>22.495105434386499</c:v>
                </c:pt>
                <c:pt idx="283">
                  <c:v>24.1921895599667</c:v>
                </c:pt>
                <c:pt idx="284">
                  <c:v>25.881904510252099</c:v>
                </c:pt>
                <c:pt idx="285">
                  <c:v>27.563735581699898</c:v>
                </c:pt>
                <c:pt idx="286">
                  <c:v>29.2371704722737</c:v>
                </c:pt>
                <c:pt idx="287">
                  <c:v>30.901699437494699</c:v>
                </c:pt>
                <c:pt idx="288">
                  <c:v>32.5568154457156</c:v>
                </c:pt>
                <c:pt idx="289">
                  <c:v>34.202014332566797</c:v>
                </c:pt>
                <c:pt idx="290">
                  <c:v>35.836794954529999</c:v>
                </c:pt>
                <c:pt idx="291">
                  <c:v>37.460659341591203</c:v>
                </c:pt>
                <c:pt idx="292">
                  <c:v>39.073112848927401</c:v>
                </c:pt>
                <c:pt idx="293">
                  <c:v>40.673664307580097</c:v>
                </c:pt>
                <c:pt idx="294">
                  <c:v>42.261826174070002</c:v>
                </c:pt>
                <c:pt idx="295">
                  <c:v>43.837114678907703</c:v>
                </c:pt>
                <c:pt idx="296">
                  <c:v>45.399049973954703</c:v>
                </c:pt>
                <c:pt idx="297">
                  <c:v>46.947156278588999</c:v>
                </c:pt>
                <c:pt idx="298">
                  <c:v>48.480962024633598</c:v>
                </c:pt>
                <c:pt idx="299">
                  <c:v>50</c:v>
                </c:pt>
                <c:pt idx="300">
                  <c:v>51.503807491005396</c:v>
                </c:pt>
                <c:pt idx="301">
                  <c:v>52.9919264233205</c:v>
                </c:pt>
                <c:pt idx="302">
                  <c:v>54.463903501502699</c:v>
                </c:pt>
                <c:pt idx="303">
                  <c:v>55.9192903470746</c:v>
                </c:pt>
                <c:pt idx="304">
                  <c:v>57.357643635104601</c:v>
                </c:pt>
                <c:pt idx="305">
                  <c:v>58.7785252292473</c:v>
                </c:pt>
                <c:pt idx="306">
                  <c:v>60.181502315204803</c:v>
                </c:pt>
                <c:pt idx="307">
                  <c:v>61.5661475325659</c:v>
                </c:pt>
                <c:pt idx="308">
                  <c:v>62.932039104983801</c:v>
                </c:pt>
                <c:pt idx="309">
                  <c:v>64.278760968653899</c:v>
                </c:pt>
                <c:pt idx="310">
                  <c:v>65.605902899050704</c:v>
                </c:pt>
                <c:pt idx="311">
                  <c:v>66.913060635885799</c:v>
                </c:pt>
                <c:pt idx="312">
                  <c:v>68.199836006249797</c:v>
                </c:pt>
                <c:pt idx="313">
                  <c:v>69.465837045899704</c:v>
                </c:pt>
                <c:pt idx="314">
                  <c:v>70.710678118654698</c:v>
                </c:pt>
                <c:pt idx="315">
                  <c:v>71.933980033865097</c:v>
                </c:pt>
                <c:pt idx="316">
                  <c:v>73.135370161917095</c:v>
                </c:pt>
                <c:pt idx="317">
                  <c:v>74.314482547739402</c:v>
                </c:pt>
                <c:pt idx="318">
                  <c:v>75.470958022277202</c:v>
                </c:pt>
                <c:pt idx="319">
                  <c:v>76.604444311897794</c:v>
                </c:pt>
                <c:pt idx="320">
                  <c:v>77.714596145697101</c:v>
                </c:pt>
                <c:pt idx="321">
                  <c:v>78.801075360672201</c:v>
                </c:pt>
                <c:pt idx="322">
                  <c:v>79.863551004729302</c:v>
                </c:pt>
                <c:pt idx="323">
                  <c:v>80.901699437494699</c:v>
                </c:pt>
                <c:pt idx="324">
                  <c:v>81.915204428899202</c:v>
                </c:pt>
                <c:pt idx="325">
                  <c:v>82.903757255504104</c:v>
                </c:pt>
                <c:pt idx="326">
                  <c:v>83.867056794542407</c:v>
                </c:pt>
                <c:pt idx="327">
                  <c:v>84.804809615642498</c:v>
                </c:pt>
                <c:pt idx="328">
                  <c:v>85.716730070211199</c:v>
                </c:pt>
                <c:pt idx="329">
                  <c:v>86.602540378443805</c:v>
                </c:pt>
                <c:pt idx="330">
                  <c:v>87.461970713939607</c:v>
                </c:pt>
                <c:pt idx="331">
                  <c:v>88.294759285892695</c:v>
                </c:pt>
                <c:pt idx="332">
                  <c:v>89.100652418836802</c:v>
                </c:pt>
                <c:pt idx="333">
                  <c:v>89.879404629916706</c:v>
                </c:pt>
                <c:pt idx="334">
                  <c:v>90.630778703665001</c:v>
                </c:pt>
                <c:pt idx="335">
                  <c:v>91.354545764260095</c:v>
                </c:pt>
                <c:pt idx="336">
                  <c:v>92.050485345243999</c:v>
                </c:pt>
                <c:pt idx="337">
                  <c:v>92.718385456678703</c:v>
                </c:pt>
                <c:pt idx="338">
                  <c:v>93.358042649720105</c:v>
                </c:pt>
                <c:pt idx="339">
                  <c:v>93.969262078590802</c:v>
                </c:pt>
                <c:pt idx="340">
                  <c:v>94.551857559931605</c:v>
                </c:pt>
                <c:pt idx="341">
                  <c:v>95.105651629515293</c:v>
                </c:pt>
                <c:pt idx="342">
                  <c:v>95.630475596303597</c:v>
                </c:pt>
                <c:pt idx="343">
                  <c:v>96.126169593831904</c:v>
                </c:pt>
                <c:pt idx="344">
                  <c:v>96.592582628906797</c:v>
                </c:pt>
                <c:pt idx="345">
                  <c:v>97.029572627599606</c:v>
                </c:pt>
                <c:pt idx="346">
                  <c:v>97.4370064785235</c:v>
                </c:pt>
                <c:pt idx="347">
                  <c:v>97.814760073380597</c:v>
                </c:pt>
                <c:pt idx="348">
                  <c:v>98.162718344766404</c:v>
                </c:pt>
                <c:pt idx="349">
                  <c:v>98.480775301220802</c:v>
                </c:pt>
                <c:pt idx="350">
                  <c:v>98.768834059513793</c:v>
                </c:pt>
                <c:pt idx="351">
                  <c:v>99.026806874157003</c:v>
                </c:pt>
                <c:pt idx="352">
                  <c:v>99.254615164132204</c:v>
                </c:pt>
                <c:pt idx="353">
                  <c:v>99.452189536827305</c:v>
                </c:pt>
                <c:pt idx="354">
                  <c:v>99.619469809174603</c:v>
                </c:pt>
                <c:pt idx="355">
                  <c:v>99.756405025982403</c:v>
                </c:pt>
                <c:pt idx="356">
                  <c:v>99.862953475457402</c:v>
                </c:pt>
                <c:pt idx="357">
                  <c:v>99.939082701909598</c:v>
                </c:pt>
                <c:pt idx="358">
                  <c:v>99.984769515639101</c:v>
                </c:pt>
                <c:pt idx="359">
                  <c:v>100</c:v>
                </c:pt>
              </c:numCache>
            </c:numRef>
          </c:yVal>
          <c:smooth val="1"/>
          <c:extLst>
            <c:ext xmlns:c16="http://schemas.microsoft.com/office/drawing/2014/chart" uri="{C3380CC4-5D6E-409C-BE32-E72D297353CC}">
              <c16:uniqueId val="{00000000-2B06-483C-A25A-F2CA9F498326}"/>
            </c:ext>
          </c:extLst>
        </c:ser>
        <c:dLbls>
          <c:showLegendKey val="0"/>
          <c:showVal val="0"/>
          <c:showCatName val="0"/>
          <c:showSerName val="0"/>
          <c:showPercent val="0"/>
          <c:showBubbleSize val="0"/>
        </c:dLbls>
        <c:axId val="213640320"/>
        <c:axId val="215104512"/>
      </c:scatterChart>
      <c:valAx>
        <c:axId val="213640320"/>
        <c:scaling>
          <c:orientation val="minMax"/>
        </c:scaling>
        <c:delete val="0"/>
        <c:axPos val="b"/>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075"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5104512"/>
        <c:crosses val="autoZero"/>
        <c:crossBetween val="midCat"/>
      </c:valAx>
      <c:valAx>
        <c:axId val="215104512"/>
        <c:scaling>
          <c:orientation val="minMax"/>
        </c:scaling>
        <c:delete val="0"/>
        <c:axPos val="l"/>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075"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640320"/>
        <c:crosses val="autoZero"/>
        <c:crossBetween val="midCat"/>
      </c:valAx>
      <c:spPr>
        <a:solidFill>
          <a:srgbClr val="C0C0C0">
            <a:alpha val="100000"/>
          </a:srgbClr>
        </a:solidFill>
        <a:ln w="12700">
          <a:solidFill>
            <a:srgbClr val="808080">
              <a:alpha val="100000"/>
            </a:srgbClr>
          </a:solidFill>
          <a:prstDash val="solid"/>
        </a:ln>
      </c:spPr>
    </c:plotArea>
    <c:legend>
      <c:legendPos val="r"/>
      <c:layout>
        <c:manualLayout>
          <c:xMode val="edge"/>
          <c:yMode val="edge"/>
          <c:x val="0.91399995455113703"/>
          <c:y val="0.46824984642876999"/>
          <c:w val="7.8E-2"/>
          <c:h val="6.0999999999999999E-2"/>
        </c:manualLayout>
      </c:layout>
      <c:overlay val="0"/>
      <c:spPr>
        <a:solidFill>
          <a:srgbClr val="FFFFFF"/>
        </a:solidFill>
        <a:ln>
          <a:solidFill>
            <a:srgbClr val="000000"/>
          </a:solidFill>
        </a:ln>
      </c:spPr>
      <c:txPr>
        <a:bodyPr rot="0" spcFirstLastPara="0" vertOverflow="ellipsis" vert="horz" wrap="square" anchor="ctr" anchorCtr="1"/>
        <a:lstStyle/>
        <a:p>
          <a:pPr>
            <a:defRPr lang="zh-CN" sz="98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12700" cap="flat" cmpd="sng" algn="ctr">
      <a:solidFill>
        <a:srgbClr val="000000">
          <a:alpha val="100000"/>
        </a:srgbClr>
      </a:solidFill>
      <a:prstDash val="solid"/>
      <a:round/>
    </a:ln>
    <a:effectLst>
      <a:outerShdw dist="35921" dir="2700000" algn="br" rotWithShape="0">
        <a:srgbClr val="000000"/>
      </a:outerShdw>
    </a:effectLst>
  </c:spPr>
  <c:txPr>
    <a:bodyPr rot="0" wrap="square" anchor="ctr" anchorCtr="1"/>
    <a:lstStyle/>
    <a:p>
      <a:pPr>
        <a:defRPr lang="zh-CN" sz="1075"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正弦加速度凸轮!$B$2</c:f>
              <c:strCache>
                <c:ptCount val="1"/>
                <c:pt idx="0">
                  <c:v>s</c:v>
                </c:pt>
              </c:strCache>
            </c:strRef>
          </c:tx>
          <c:spPr>
            <a:ln w="12700" cap="rnd" cmpd="sng" algn="ctr">
              <a:solidFill>
                <a:srgbClr val="000080"/>
              </a:solidFill>
              <a:prstDash val="solid"/>
              <a:round/>
            </a:ln>
          </c:spPr>
          <c:marker>
            <c:symbol val="none"/>
          </c:marker>
          <c:val>
            <c:numRef>
              <c:f>正弦加速度凸轮!$B$3:$B$362</c:f>
              <c:numCache>
                <c:formatCode>General</c:formatCode>
                <c:ptCount val="360"/>
                <c:pt idx="0">
                  <c:v>9.1335131460021401E-4</c:v>
                </c:pt>
                <c:pt idx="1">
                  <c:v>7.2948003927932699E-3</c:v>
                </c:pt>
                <c:pt idx="2">
                  <c:v>2.4552535374801301E-2</c:v>
                </c:pt>
                <c:pt idx="3">
                  <c:v>5.7975581536474502E-2</c:v>
                </c:pt>
                <c:pt idx="4">
                  <c:v>0.11267585362157</c:v>
                </c:pt>
                <c:pt idx="5">
                  <c:v>0.193532148634083</c:v>
                </c:pt>
                <c:pt idx="6">
                  <c:v>0.30513669271731497</c:v>
                </c:pt>
                <c:pt idx="7">
                  <c:v>0.45174482776326502</c:v>
                </c:pt>
                <c:pt idx="8">
                  <c:v>0.63722838899637102</c:v>
                </c:pt>
                <c:pt idx="9">
                  <c:v>0.86503328433655902</c:v>
                </c:pt>
                <c:pt idx="10">
                  <c:v>1.1381417403109699</c:v>
                </c:pt>
                <c:pt idx="11">
                  <c:v>1.45903962815606</c:v>
                </c:pt>
                <c:pt idx="12">
                  <c:v>1.82968922809212</c:v>
                </c:pt>
                <c:pt idx="13">
                  <c:v>2.2515077301705602</c:v>
                </c:pt>
                <c:pt idx="14">
                  <c:v>2.7253517072431399</c:v>
                </c:pt>
                <c:pt idx="15">
                  <c:v>3.2515077301705602</c:v>
                </c:pt>
                <c:pt idx="16">
                  <c:v>3.8296892280921102</c:v>
                </c:pt>
                <c:pt idx="17">
                  <c:v>4.4590396281560603</c:v>
                </c:pt>
                <c:pt idx="18">
                  <c:v>5.1381417403109699</c:v>
                </c:pt>
                <c:pt idx="19">
                  <c:v>5.86503328433656</c:v>
                </c:pt>
                <c:pt idx="20">
                  <c:v>6.6372283889963697</c:v>
                </c:pt>
                <c:pt idx="21">
                  <c:v>7.4517448277632603</c:v>
                </c:pt>
                <c:pt idx="22">
                  <c:v>8.3051366927173191</c:v>
                </c:pt>
                <c:pt idx="23">
                  <c:v>9.1935321486340804</c:v>
                </c:pt>
                <c:pt idx="24">
                  <c:v>10.112675853621599</c:v>
                </c:pt>
                <c:pt idx="25">
                  <c:v>11.0579755815365</c:v>
                </c:pt>
                <c:pt idx="26">
                  <c:v>12.0245525353748</c:v>
                </c:pt>
                <c:pt idx="27">
                  <c:v>13.007294800392801</c:v>
                </c:pt>
                <c:pt idx="28">
                  <c:v>14.000913351314599</c:v>
                </c:pt>
                <c:pt idx="29">
                  <c:v>15</c:v>
                </c:pt>
                <c:pt idx="30">
                  <c:v>15.999086648685401</c:v>
                </c:pt>
                <c:pt idx="31">
                  <c:v>16.992705199607201</c:v>
                </c:pt>
                <c:pt idx="32">
                  <c:v>17.975447464625201</c:v>
                </c:pt>
                <c:pt idx="33">
                  <c:v>18.9420244184635</c:v>
                </c:pt>
                <c:pt idx="34">
                  <c:v>19.887324146378401</c:v>
                </c:pt>
                <c:pt idx="35">
                  <c:v>20.806467851365898</c:v>
                </c:pt>
                <c:pt idx="36">
                  <c:v>21.694863307282699</c:v>
                </c:pt>
                <c:pt idx="37">
                  <c:v>22.548255172236701</c:v>
                </c:pt>
                <c:pt idx="38">
                  <c:v>23.362771611003598</c:v>
                </c:pt>
                <c:pt idx="39">
                  <c:v>24.134966715663399</c:v>
                </c:pt>
                <c:pt idx="40">
                  <c:v>24.861858259689001</c:v>
                </c:pt>
                <c:pt idx="41">
                  <c:v>25.540960371843902</c:v>
                </c:pt>
                <c:pt idx="42">
                  <c:v>26.1703107719079</c:v>
                </c:pt>
                <c:pt idx="43">
                  <c:v>26.748492269829399</c:v>
                </c:pt>
                <c:pt idx="44">
                  <c:v>27.274648292756901</c:v>
                </c:pt>
                <c:pt idx="45">
                  <c:v>27.748492269829399</c:v>
                </c:pt>
                <c:pt idx="46">
                  <c:v>28.1703107719079</c:v>
                </c:pt>
                <c:pt idx="47">
                  <c:v>28.540960371843902</c:v>
                </c:pt>
                <c:pt idx="48">
                  <c:v>28.861858259689001</c:v>
                </c:pt>
                <c:pt idx="49">
                  <c:v>29.134966715663399</c:v>
                </c:pt>
                <c:pt idx="50">
                  <c:v>29.362771611003598</c:v>
                </c:pt>
                <c:pt idx="51">
                  <c:v>29.548255172236701</c:v>
                </c:pt>
                <c:pt idx="52">
                  <c:v>29.694863307282699</c:v>
                </c:pt>
                <c:pt idx="53">
                  <c:v>29.806467851365898</c:v>
                </c:pt>
                <c:pt idx="54">
                  <c:v>29.887324146378401</c:v>
                </c:pt>
                <c:pt idx="55">
                  <c:v>29.9420244184635</c:v>
                </c:pt>
                <c:pt idx="56">
                  <c:v>29.975447464625201</c:v>
                </c:pt>
                <c:pt idx="57">
                  <c:v>29.992705199607201</c:v>
                </c:pt>
                <c:pt idx="58">
                  <c:v>29.999086648685399</c:v>
                </c:pt>
                <c:pt idx="59">
                  <c:v>30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30</c:v>
                </c:pt>
                <c:pt idx="75">
                  <c:v>30</c:v>
                </c:pt>
                <c:pt idx="76">
                  <c:v>30</c:v>
                </c:pt>
                <c:pt idx="77">
                  <c:v>30</c:v>
                </c:pt>
                <c:pt idx="78">
                  <c:v>30</c:v>
                </c:pt>
                <c:pt idx="79">
                  <c:v>30</c:v>
                </c:pt>
                <c:pt idx="80">
                  <c:v>30</c:v>
                </c:pt>
                <c:pt idx="81">
                  <c:v>30</c:v>
                </c:pt>
                <c:pt idx="82">
                  <c:v>30</c:v>
                </c:pt>
                <c:pt idx="83">
                  <c:v>30</c:v>
                </c:pt>
                <c:pt idx="84">
                  <c:v>30</c:v>
                </c:pt>
                <c:pt idx="85">
                  <c:v>30</c:v>
                </c:pt>
                <c:pt idx="86">
                  <c:v>30</c:v>
                </c:pt>
                <c:pt idx="87">
                  <c:v>30</c:v>
                </c:pt>
                <c:pt idx="88">
                  <c:v>30</c:v>
                </c:pt>
                <c:pt idx="89">
                  <c:v>30</c:v>
                </c:pt>
                <c:pt idx="90">
                  <c:v>30</c:v>
                </c:pt>
                <c:pt idx="91">
                  <c:v>30</c:v>
                </c:pt>
                <c:pt idx="92">
                  <c:v>30</c:v>
                </c:pt>
                <c:pt idx="93">
                  <c:v>30</c:v>
                </c:pt>
                <c:pt idx="94">
                  <c:v>30</c:v>
                </c:pt>
                <c:pt idx="95">
                  <c:v>30</c:v>
                </c:pt>
                <c:pt idx="96">
                  <c:v>30</c:v>
                </c:pt>
                <c:pt idx="97">
                  <c:v>30</c:v>
                </c:pt>
                <c:pt idx="98">
                  <c:v>30</c:v>
                </c:pt>
                <c:pt idx="99">
                  <c:v>30</c:v>
                </c:pt>
                <c:pt idx="100">
                  <c:v>30</c:v>
                </c:pt>
                <c:pt idx="101">
                  <c:v>30</c:v>
                </c:pt>
                <c:pt idx="102">
                  <c:v>30</c:v>
                </c:pt>
                <c:pt idx="103">
                  <c:v>30</c:v>
                </c:pt>
                <c:pt idx="104">
                  <c:v>30</c:v>
                </c:pt>
                <c:pt idx="105">
                  <c:v>30</c:v>
                </c:pt>
                <c:pt idx="106">
                  <c:v>30</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30</c:v>
                </c:pt>
                <c:pt idx="120">
                  <c:v>30</c:v>
                </c:pt>
                <c:pt idx="121">
                  <c:v>30</c:v>
                </c:pt>
                <c:pt idx="122">
                  <c:v>30</c:v>
                </c:pt>
                <c:pt idx="123">
                  <c:v>30</c:v>
                </c:pt>
                <c:pt idx="124">
                  <c:v>30</c:v>
                </c:pt>
                <c:pt idx="125">
                  <c:v>30</c:v>
                </c:pt>
                <c:pt idx="126">
                  <c:v>30</c:v>
                </c:pt>
                <c:pt idx="127">
                  <c:v>30</c:v>
                </c:pt>
                <c:pt idx="128">
                  <c:v>30</c:v>
                </c:pt>
                <c:pt idx="129">
                  <c:v>30</c:v>
                </c:pt>
                <c:pt idx="130">
                  <c:v>30</c:v>
                </c:pt>
                <c:pt idx="131">
                  <c:v>30</c:v>
                </c:pt>
                <c:pt idx="132">
                  <c:v>30</c:v>
                </c:pt>
                <c:pt idx="133">
                  <c:v>30</c:v>
                </c:pt>
                <c:pt idx="134">
                  <c:v>30</c:v>
                </c:pt>
                <c:pt idx="135">
                  <c:v>30</c:v>
                </c:pt>
                <c:pt idx="136">
                  <c:v>30</c:v>
                </c:pt>
                <c:pt idx="137">
                  <c:v>30</c:v>
                </c:pt>
                <c:pt idx="138">
                  <c:v>30</c:v>
                </c:pt>
                <c:pt idx="139">
                  <c:v>30</c:v>
                </c:pt>
                <c:pt idx="140">
                  <c:v>30</c:v>
                </c:pt>
                <c:pt idx="141">
                  <c:v>30</c:v>
                </c:pt>
                <c:pt idx="142">
                  <c:v>30</c:v>
                </c:pt>
                <c:pt idx="143">
                  <c:v>30</c:v>
                </c:pt>
                <c:pt idx="144">
                  <c:v>30</c:v>
                </c:pt>
                <c:pt idx="145">
                  <c:v>30</c:v>
                </c:pt>
                <c:pt idx="146">
                  <c:v>30</c:v>
                </c:pt>
                <c:pt idx="147">
                  <c:v>30</c:v>
                </c:pt>
                <c:pt idx="148">
                  <c:v>30</c:v>
                </c:pt>
                <c:pt idx="149">
                  <c:v>30</c:v>
                </c:pt>
                <c:pt idx="150">
                  <c:v>30</c:v>
                </c:pt>
                <c:pt idx="151">
                  <c:v>30</c:v>
                </c:pt>
                <c:pt idx="152">
                  <c:v>30</c:v>
                </c:pt>
                <c:pt idx="153">
                  <c:v>30</c:v>
                </c:pt>
                <c:pt idx="154">
                  <c:v>30</c:v>
                </c:pt>
                <c:pt idx="155">
                  <c:v>30</c:v>
                </c:pt>
                <c:pt idx="156">
                  <c:v>30</c:v>
                </c:pt>
                <c:pt idx="157">
                  <c:v>30</c:v>
                </c:pt>
                <c:pt idx="158">
                  <c:v>30</c:v>
                </c:pt>
                <c:pt idx="159">
                  <c:v>30</c:v>
                </c:pt>
                <c:pt idx="160">
                  <c:v>30</c:v>
                </c:pt>
                <c:pt idx="161">
                  <c:v>30</c:v>
                </c:pt>
                <c:pt idx="162">
                  <c:v>30</c:v>
                </c:pt>
                <c:pt idx="163">
                  <c:v>30</c:v>
                </c:pt>
                <c:pt idx="164">
                  <c:v>30</c:v>
                </c:pt>
                <c:pt idx="165">
                  <c:v>30</c:v>
                </c:pt>
                <c:pt idx="166">
                  <c:v>30</c:v>
                </c:pt>
                <c:pt idx="167">
                  <c:v>30</c:v>
                </c:pt>
                <c:pt idx="168">
                  <c:v>30</c:v>
                </c:pt>
                <c:pt idx="169">
                  <c:v>30</c:v>
                </c:pt>
                <c:pt idx="170">
                  <c:v>30</c:v>
                </c:pt>
                <c:pt idx="171">
                  <c:v>30</c:v>
                </c:pt>
                <c:pt idx="172">
                  <c:v>30</c:v>
                </c:pt>
                <c:pt idx="173">
                  <c:v>30</c:v>
                </c:pt>
                <c:pt idx="174">
                  <c:v>30</c:v>
                </c:pt>
                <c:pt idx="175">
                  <c:v>30</c:v>
                </c:pt>
                <c:pt idx="176">
                  <c:v>30</c:v>
                </c:pt>
                <c:pt idx="177">
                  <c:v>30</c:v>
                </c:pt>
                <c:pt idx="178">
                  <c:v>30</c:v>
                </c:pt>
                <c:pt idx="179">
                  <c:v>30</c:v>
                </c:pt>
                <c:pt idx="180">
                  <c:v>29.999086648685399</c:v>
                </c:pt>
                <c:pt idx="181">
                  <c:v>29.992705199607201</c:v>
                </c:pt>
                <c:pt idx="182">
                  <c:v>29.975447464625201</c:v>
                </c:pt>
                <c:pt idx="183">
                  <c:v>29.9420244184635</c:v>
                </c:pt>
                <c:pt idx="184">
                  <c:v>29.887324146378401</c:v>
                </c:pt>
                <c:pt idx="185">
                  <c:v>29.806467851365898</c:v>
                </c:pt>
                <c:pt idx="186">
                  <c:v>29.694863307282699</c:v>
                </c:pt>
                <c:pt idx="187">
                  <c:v>29.548255172236701</c:v>
                </c:pt>
                <c:pt idx="188">
                  <c:v>29.362771611003598</c:v>
                </c:pt>
                <c:pt idx="189">
                  <c:v>29.134966715663399</c:v>
                </c:pt>
                <c:pt idx="190">
                  <c:v>28.861858259689001</c:v>
                </c:pt>
                <c:pt idx="191">
                  <c:v>28.540960371843902</c:v>
                </c:pt>
                <c:pt idx="192">
                  <c:v>28.1703107719079</c:v>
                </c:pt>
                <c:pt idx="193">
                  <c:v>27.748492269829399</c:v>
                </c:pt>
                <c:pt idx="194">
                  <c:v>27.274648292756901</c:v>
                </c:pt>
                <c:pt idx="195">
                  <c:v>26.748492269829399</c:v>
                </c:pt>
                <c:pt idx="196">
                  <c:v>26.1703107719079</c:v>
                </c:pt>
                <c:pt idx="197">
                  <c:v>25.540960371843902</c:v>
                </c:pt>
                <c:pt idx="198">
                  <c:v>24.861858259689001</c:v>
                </c:pt>
                <c:pt idx="199">
                  <c:v>24.134966715663399</c:v>
                </c:pt>
                <c:pt idx="200">
                  <c:v>23.362771611003598</c:v>
                </c:pt>
                <c:pt idx="201">
                  <c:v>22.548255172236701</c:v>
                </c:pt>
                <c:pt idx="202">
                  <c:v>21.694863307282699</c:v>
                </c:pt>
                <c:pt idx="203">
                  <c:v>20.806467851365898</c:v>
                </c:pt>
                <c:pt idx="204">
                  <c:v>19.887324146378401</c:v>
                </c:pt>
                <c:pt idx="205">
                  <c:v>18.9420244184635</c:v>
                </c:pt>
                <c:pt idx="206">
                  <c:v>17.975447464625201</c:v>
                </c:pt>
                <c:pt idx="207">
                  <c:v>16.992705199607201</c:v>
                </c:pt>
                <c:pt idx="208">
                  <c:v>15.999086648685401</c:v>
                </c:pt>
                <c:pt idx="209">
                  <c:v>15</c:v>
                </c:pt>
                <c:pt idx="210">
                  <c:v>14.000913351314599</c:v>
                </c:pt>
                <c:pt idx="211">
                  <c:v>13.007294800392801</c:v>
                </c:pt>
                <c:pt idx="212">
                  <c:v>12.0245525353748</c:v>
                </c:pt>
                <c:pt idx="213">
                  <c:v>11.0579755815365</c:v>
                </c:pt>
                <c:pt idx="214">
                  <c:v>10.112675853621599</c:v>
                </c:pt>
                <c:pt idx="215">
                  <c:v>9.1935321486340804</c:v>
                </c:pt>
                <c:pt idx="216">
                  <c:v>8.3051366927173103</c:v>
                </c:pt>
                <c:pt idx="217">
                  <c:v>7.4517448277632701</c:v>
                </c:pt>
                <c:pt idx="218">
                  <c:v>6.6372283889963697</c:v>
                </c:pt>
                <c:pt idx="219">
                  <c:v>5.86503328433656</c:v>
                </c:pt>
                <c:pt idx="220">
                  <c:v>5.1381417403109699</c:v>
                </c:pt>
                <c:pt idx="221">
                  <c:v>4.4590396281560603</c:v>
                </c:pt>
                <c:pt idx="222">
                  <c:v>3.82968922809212</c:v>
                </c:pt>
                <c:pt idx="223">
                  <c:v>3.2515077301705602</c:v>
                </c:pt>
                <c:pt idx="224">
                  <c:v>2.7253517072431399</c:v>
                </c:pt>
                <c:pt idx="225">
                  <c:v>2.2515077301705499</c:v>
                </c:pt>
                <c:pt idx="226">
                  <c:v>1.82968922809212</c:v>
                </c:pt>
                <c:pt idx="227">
                  <c:v>1.45903962815606</c:v>
                </c:pt>
                <c:pt idx="228">
                  <c:v>1.1381417403109699</c:v>
                </c:pt>
                <c:pt idx="229">
                  <c:v>0.86503328433655802</c:v>
                </c:pt>
                <c:pt idx="230">
                  <c:v>0.63722838899637102</c:v>
                </c:pt>
                <c:pt idx="231">
                  <c:v>0.45174482776326502</c:v>
                </c:pt>
                <c:pt idx="232">
                  <c:v>0.30513669271731603</c:v>
                </c:pt>
                <c:pt idx="233">
                  <c:v>0.193532148634081</c:v>
                </c:pt>
                <c:pt idx="234">
                  <c:v>0.11267585362157299</c:v>
                </c:pt>
                <c:pt idx="235">
                  <c:v>5.79755815364741E-2</c:v>
                </c:pt>
                <c:pt idx="236">
                  <c:v>2.4552535374801499E-2</c:v>
                </c:pt>
                <c:pt idx="237">
                  <c:v>7.2948003927947296E-3</c:v>
                </c:pt>
                <c:pt idx="238">
                  <c:v>9.1335131460198299E-4</c:v>
                </c:pt>
                <c:pt idx="239">
                  <c:v>-5.4101911250405004E-15</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0-3952-420D-9C7E-8C33F496D095}"/>
            </c:ext>
          </c:extLst>
        </c:ser>
        <c:ser>
          <c:idx val="1"/>
          <c:order val="1"/>
          <c:tx>
            <c:strRef>
              <c:f>正弦加速度凸轮!$C$2</c:f>
              <c:strCache>
                <c:ptCount val="1"/>
                <c:pt idx="0">
                  <c:v>x</c:v>
                </c:pt>
              </c:strCache>
            </c:strRef>
          </c:tx>
          <c:spPr>
            <a:ln w="12700" cap="rnd" cmpd="sng" algn="ctr">
              <a:solidFill>
                <a:srgbClr val="FF00FF"/>
              </a:solidFill>
              <a:prstDash val="solid"/>
              <a:round/>
            </a:ln>
          </c:spPr>
          <c:marker>
            <c:symbol val="none"/>
          </c:marker>
          <c:val>
            <c:numRef>
              <c:f>正弦加速度凸轮!$C$3:$C$362</c:f>
              <c:numCache>
                <c:formatCode>General</c:formatCode>
                <c:ptCount val="360"/>
                <c:pt idx="0">
                  <c:v>1.74525658390671</c:v>
                </c:pt>
                <c:pt idx="1">
                  <c:v>3.4902042551123502</c:v>
                </c:pt>
                <c:pt idx="2">
                  <c:v>5.2348806047114103</c:v>
                </c:pt>
                <c:pt idx="3">
                  <c:v>6.9796915465437799</c:v>
                </c:pt>
                <c:pt idx="4">
                  <c:v>8.7253946224779302</c:v>
                </c:pt>
                <c:pt idx="5">
                  <c:v>10.473075944854999</c:v>
                </c:pt>
                <c:pt idx="6">
                  <c:v>12.224121148905001</c:v>
                </c:pt>
                <c:pt idx="7">
                  <c:v>13.980180824529</c:v>
                </c:pt>
                <c:pt idx="8">
                  <c:v>15.7431309861642</c:v>
                </c:pt>
                <c:pt idx="9">
                  <c:v>17.515029220139301</c:v>
                </c:pt>
                <c:pt idx="10">
                  <c:v>19.2980672197193</c:v>
                </c:pt>
                <c:pt idx="11">
                  <c:v>21.094520477835999</c:v>
                </c:pt>
                <c:pt idx="12">
                  <c:v>22.9066959553674</c:v>
                </c:pt>
                <c:pt idx="13">
                  <c:v>24.736878578006898</c:v>
                </c:pt>
                <c:pt idx="14">
                  <c:v>26.587277436689298</c:v>
                </c:pt>
                <c:pt idx="15">
                  <c:v>28.4599725748627</c:v>
                </c:pt>
                <c:pt idx="16">
                  <c:v>30.3568632404493</c:v>
                </c:pt>
                <c:pt idx="17">
                  <c:v>32.279618461186303</c:v>
                </c:pt>
                <c:pt idx="18">
                  <c:v>34.229630769448001</c:v>
                </c:pt>
                <c:pt idx="19">
                  <c:v>36.207973857085499</c:v>
                </c:pt>
                <c:pt idx="20">
                  <c:v>38.215364882958497</c:v>
                </c:pt>
                <c:pt idx="21">
                  <c:v>40.252132086524199</c:v>
                </c:pt>
                <c:pt idx="22">
                  <c:v>42.318188281130503</c:v>
                </c:pt>
                <c:pt idx="23">
                  <c:v>44.413010711724901</c:v>
                </c:pt>
                <c:pt idx="24">
                  <c:v>46.535627664874603</c:v>
                </c:pt>
                <c:pt idx="25">
                  <c:v>48.684612115751499</c:v>
                </c:pt>
                <c:pt idx="26">
                  <c:v>50.858082588633899</c:v>
                </c:pt>
                <c:pt idx="27">
                  <c:v>53.053711296146297</c:v>
                </c:pt>
                <c:pt idx="28">
                  <c:v>55.268739509586403</c:v>
                </c:pt>
                <c:pt idx="29">
                  <c:v>57.5</c:v>
                </c:pt>
                <c:pt idx="30">
                  <c:v>59.743946278863497</c:v>
                </c:pt>
                <c:pt idx="31">
                  <c:v>61.996688260028101</c:v>
                </c:pt>
                <c:pt idx="32">
                  <c:v>64.254033862599499</c:v>
                </c:pt>
                <c:pt idx="33">
                  <c:v>66.511535979249103</c:v>
                </c:pt>
                <c:pt idx="34">
                  <c:v>68.764544147542495</c:v>
                </c:pt>
                <c:pt idx="35">
                  <c:v>71.008260184577694</c:v>
                </c:pt>
                <c:pt idx="36">
                  <c:v>73.2377969787577</c:v>
                </c:pt>
                <c:pt idx="37">
                  <c:v>75.448239577924497</c:v>
                </c:pt>
                <c:pt idx="38">
                  <c:v>77.634707671228597</c:v>
                </c:pt>
                <c:pt idx="39">
                  <c:v>79.792418533679395</c:v>
                </c:pt>
                <c:pt idx="40">
                  <c:v>81.916749487801894</c:v>
                </c:pt>
                <c:pt idx="41">
                  <c:v>84.003298936485294</c:v>
                </c:pt>
                <c:pt idx="42">
                  <c:v>86.047945035016994</c:v>
                </c:pt>
                <c:pt idx="43">
                  <c:v>88.046901098294498</c:v>
                </c:pt>
                <c:pt idx="44">
                  <c:v>89.996766880941195</c:v>
                </c:pt>
                <c:pt idx="45">
                  <c:v>91.894574922942795</c:v>
                </c:pt>
                <c:pt idx="46">
                  <c:v>93.737831220714298</c:v>
                </c:pt>
                <c:pt idx="47">
                  <c:v>95.524549562230604</c:v>
                </c:pt>
                <c:pt idx="48">
                  <c:v>97.253278953896299</c:v>
                </c:pt>
                <c:pt idx="49">
                  <c:v>98.923123664888195</c:v>
                </c:pt>
                <c:pt idx="50">
                  <c:v>100.533755520372</c:v>
                </c:pt>
                <c:pt idx="51">
                  <c:v>102.08541818671</c:v>
                </c:pt>
                <c:pt idx="52">
                  <c:v>103.578923307926</c:v>
                </c:pt>
                <c:pt idx="53">
                  <c:v>105.01563847154</c:v>
                </c:pt>
                <c:pt idx="54">
                  <c:v>106.397467101733</c:v>
                </c:pt>
                <c:pt idx="55">
                  <c:v>107.726820496771</c:v>
                </c:pt>
                <c:pt idx="56">
                  <c:v>109.006582344118</c:v>
                </c:pt>
                <c:pt idx="57">
                  <c:v>110.24006615875</c:v>
                </c:pt>
                <c:pt idx="58">
                  <c:v>111.430966196394</c:v>
                </c:pt>
                <c:pt idx="59">
                  <c:v>112.58330249197699</c:v>
                </c:pt>
                <c:pt idx="60">
                  <c:v>113.700561928121</c:v>
                </c:pt>
                <c:pt idx="61">
                  <c:v>114.78318707166</c:v>
                </c:pt>
                <c:pt idx="62">
                  <c:v>115.830848144488</c:v>
                </c:pt>
                <c:pt idx="63">
                  <c:v>116.843226018892</c:v>
                </c:pt>
                <c:pt idx="64">
                  <c:v>117.820012314764</c:v>
                </c:pt>
                <c:pt idx="65">
                  <c:v>118.76090949353799</c:v>
                </c:pt>
                <c:pt idx="66">
                  <c:v>119.665630948817</c:v>
                </c:pt>
                <c:pt idx="67">
                  <c:v>120.533901093682</c:v>
                </c:pt>
                <c:pt idx="68">
                  <c:v>121.365455444636</c:v>
                </c:pt>
                <c:pt idx="69">
                  <c:v>122.160040702168</c:v>
                </c:pt>
                <c:pt idx="70">
                  <c:v>122.917414827911</c:v>
                </c:pt>
                <c:pt idx="71">
                  <c:v>123.63734711837</c:v>
                </c:pt>
                <c:pt idx="72">
                  <c:v>124.319618275195</c:v>
                </c:pt>
                <c:pt idx="73">
                  <c:v>124.964020471981</c:v>
                </c:pt>
                <c:pt idx="74">
                  <c:v>125.570357417579</c:v>
                </c:pt>
                <c:pt idx="75">
                  <c:v>126.13844441588</c:v>
                </c:pt>
                <c:pt idx="76">
                  <c:v>126.668108422081</c:v>
                </c:pt>
                <c:pt idx="77">
                  <c:v>127.159188095395</c:v>
                </c:pt>
                <c:pt idx="78">
                  <c:v>127.611533848196</c:v>
                </c:pt>
                <c:pt idx="79">
                  <c:v>128.02500789158699</c:v>
                </c:pt>
                <c:pt idx="80">
                  <c:v>128.399484277368</c:v>
                </c:pt>
                <c:pt idx="81">
                  <c:v>128.73484893640401</c:v>
                </c:pt>
                <c:pt idx="82">
                  <c:v>129.03099971337201</c:v>
                </c:pt>
                <c:pt idx="83">
                  <c:v>129.287846397876</c:v>
                </c:pt>
                <c:pt idx="84">
                  <c:v>129.505310751927</c:v>
                </c:pt>
                <c:pt idx="85">
                  <c:v>129.68332653377701</c:v>
                </c:pt>
                <c:pt idx="86">
                  <c:v>129.821839518095</c:v>
                </c:pt>
                <c:pt idx="87">
                  <c:v>129.92080751248201</c:v>
                </c:pt>
                <c:pt idx="88">
                  <c:v>129.980200370331</c:v>
                </c:pt>
                <c:pt idx="89">
                  <c:v>130</c:v>
                </c:pt>
                <c:pt idx="90">
                  <c:v>129.980200370331</c:v>
                </c:pt>
                <c:pt idx="91">
                  <c:v>129.92080751248201</c:v>
                </c:pt>
                <c:pt idx="92">
                  <c:v>129.821839518095</c:v>
                </c:pt>
                <c:pt idx="93">
                  <c:v>129.68332653377701</c:v>
                </c:pt>
                <c:pt idx="94">
                  <c:v>129.505310751927</c:v>
                </c:pt>
                <c:pt idx="95">
                  <c:v>129.287846397876</c:v>
                </c:pt>
                <c:pt idx="96">
                  <c:v>129.03099971337201</c:v>
                </c:pt>
                <c:pt idx="97">
                  <c:v>128.73484893640401</c:v>
                </c:pt>
                <c:pt idx="98">
                  <c:v>128.399484277368</c:v>
                </c:pt>
                <c:pt idx="99">
                  <c:v>128.02500789158699</c:v>
                </c:pt>
                <c:pt idx="100">
                  <c:v>127.611533848196</c:v>
                </c:pt>
                <c:pt idx="101">
                  <c:v>127.159188095395</c:v>
                </c:pt>
                <c:pt idx="102">
                  <c:v>126.668108422081</c:v>
                </c:pt>
                <c:pt idx="103">
                  <c:v>126.13844441588</c:v>
                </c:pt>
                <c:pt idx="104">
                  <c:v>125.570357417579</c:v>
                </c:pt>
                <c:pt idx="105">
                  <c:v>124.964020471981</c:v>
                </c:pt>
                <c:pt idx="106">
                  <c:v>124.319618275195</c:v>
                </c:pt>
                <c:pt idx="107">
                  <c:v>123.63734711837</c:v>
                </c:pt>
                <c:pt idx="108">
                  <c:v>122.917414827911</c:v>
                </c:pt>
                <c:pt idx="109">
                  <c:v>122.160040702168</c:v>
                </c:pt>
                <c:pt idx="110">
                  <c:v>121.365455444636</c:v>
                </c:pt>
                <c:pt idx="111">
                  <c:v>120.533901093682</c:v>
                </c:pt>
                <c:pt idx="112">
                  <c:v>119.665630948817</c:v>
                </c:pt>
                <c:pt idx="113">
                  <c:v>118.76090949353799</c:v>
                </c:pt>
                <c:pt idx="114">
                  <c:v>117.82001231476499</c:v>
                </c:pt>
                <c:pt idx="115">
                  <c:v>116.843226018892</c:v>
                </c:pt>
                <c:pt idx="116">
                  <c:v>115.830848144488</c:v>
                </c:pt>
                <c:pt idx="117">
                  <c:v>114.783187071661</c:v>
                </c:pt>
                <c:pt idx="118">
                  <c:v>113.700561928121</c:v>
                </c:pt>
                <c:pt idx="119">
                  <c:v>112.58330249197699</c:v>
                </c:pt>
                <c:pt idx="120">
                  <c:v>111.43174909127499</c:v>
                </c:pt>
                <c:pt idx="121">
                  <c:v>110.246252500335</c:v>
                </c:pt>
                <c:pt idx="122">
                  <c:v>109.02717383290501</c:v>
                </c:pt>
                <c:pt idx="123">
                  <c:v>107.77488443215501</c:v>
                </c:pt>
                <c:pt idx="124">
                  <c:v>106.489765757569</c:v>
                </c:pt>
                <c:pt idx="125">
                  <c:v>105.172209268743</c:v>
                </c:pt>
                <c:pt idx="126">
                  <c:v>103.82261630614801</c:v>
                </c:pt>
                <c:pt idx="127">
                  <c:v>102.441397968874</c:v>
                </c:pt>
                <c:pt idx="128">
                  <c:v>101.028974989406</c:v>
                </c:pt>
                <c:pt idx="129">
                  <c:v>99.585777605467101</c:v>
                </c:pt>
                <c:pt idx="130">
                  <c:v>98.112245428960307</c:v>
                </c:pt>
                <c:pt idx="131">
                  <c:v>96.608827312061294</c:v>
                </c:pt>
                <c:pt idx="132">
                  <c:v>95.075981210492202</c:v>
                </c:pt>
                <c:pt idx="133">
                  <c:v>93.514174044024699</c:v>
                </c:pt>
                <c:pt idx="134">
                  <c:v>91.923881554251196</c:v>
                </c:pt>
                <c:pt idx="135">
                  <c:v>90.305588159669597</c:v>
                </c:pt>
                <c:pt idx="136">
                  <c:v>88.659786808124807</c:v>
                </c:pt>
                <c:pt idx="137">
                  <c:v>86.986978826651594</c:v>
                </c:pt>
                <c:pt idx="138">
                  <c:v>85.287673768765899</c:v>
                </c:pt>
                <c:pt idx="139">
                  <c:v>83.562389259250097</c:v>
                </c:pt>
                <c:pt idx="140">
                  <c:v>81.811650836478904</c:v>
                </c:pt>
                <c:pt idx="141">
                  <c:v>80.035991792335594</c:v>
                </c:pt>
                <c:pt idx="142">
                  <c:v>78.235953009766305</c:v>
                </c:pt>
                <c:pt idx="143">
                  <c:v>76.412082798021501</c:v>
                </c:pt>
                <c:pt idx="144">
                  <c:v>74.564936725636002</c:v>
                </c:pt>
                <c:pt idx="145">
                  <c:v>72.695077451197093</c:v>
                </c:pt>
                <c:pt idx="146">
                  <c:v>70.8030745519535</c:v>
                </c:pt>
                <c:pt idx="147">
                  <c:v>68.889504350316599</c:v>
                </c:pt>
                <c:pt idx="148">
                  <c:v>66.954949738307107</c:v>
                </c:pt>
                <c:pt idx="149">
                  <c:v>65</c:v>
                </c:pt>
                <c:pt idx="150">
                  <c:v>63.025250632023798</c:v>
                </c:pt>
                <c:pt idx="151">
                  <c:v>61.031303162165798</c:v>
                </c:pt>
                <c:pt idx="152">
                  <c:v>59.018764966141099</c:v>
                </c:pt>
                <c:pt idx="153">
                  <c:v>56.988249082579998</c:v>
                </c:pt>
                <c:pt idx="154">
                  <c:v>54.940374026290897</c:v>
                </c:pt>
                <c:pt idx="155">
                  <c:v>52.875763599854103</c:v>
                </c:pt>
                <c:pt idx="156">
                  <c:v>50.7950467036056</c:v>
                </c:pt>
                <c:pt idx="157">
                  <c:v>48.698857144068597</c:v>
                </c:pt>
                <c:pt idx="158">
                  <c:v>46.587833440889</c:v>
                </c:pt>
                <c:pt idx="159">
                  <c:v>44.462618632336998</c:v>
                </c:pt>
                <c:pt idx="160">
                  <c:v>42.323860079430403</c:v>
                </c:pt>
                <c:pt idx="161">
                  <c:v>40.172209268743202</c:v>
                </c:pt>
                <c:pt idx="162">
                  <c:v>38.0083216139558</c:v>
                </c:pt>
                <c:pt idx="163">
                  <c:v>35.83285625621</c:v>
                </c:pt>
                <c:pt idx="164">
                  <c:v>33.646475863327701</c:v>
                </c:pt>
                <c:pt idx="165">
                  <c:v>31.4498464279568</c:v>
                </c:pt>
                <c:pt idx="166">
                  <c:v>29.243637064702401</c:v>
                </c:pt>
                <c:pt idx="167">
                  <c:v>27.028519806308701</c:v>
                </c:pt>
                <c:pt idx="168">
                  <c:v>24.805169398950799</c:v>
                </c:pt>
                <c:pt idx="169">
                  <c:v>22.5742630967009</c:v>
                </c:pt>
                <c:pt idx="170">
                  <c:v>20.336480455229999</c:v>
                </c:pt>
                <c:pt idx="171">
                  <c:v>18.092503124808498</c:v>
                </c:pt>
                <c:pt idx="172">
                  <c:v>15.8430146426692</c:v>
                </c:pt>
                <c:pt idx="173">
                  <c:v>13.588700224795</c:v>
                </c:pt>
                <c:pt idx="174">
                  <c:v>11.330246557195601</c:v>
                </c:pt>
                <c:pt idx="175">
                  <c:v>9.0683415867363202</c:v>
                </c:pt>
                <c:pt idx="176">
                  <c:v>6.8036743115826903</c:v>
                </c:pt>
                <c:pt idx="177">
                  <c:v>4.5369345713250899</c:v>
                </c:pt>
                <c:pt idx="178">
                  <c:v>2.2688128368468501</c:v>
                </c:pt>
                <c:pt idx="179">
                  <c:v>1.5920408388915601E-14</c:v>
                </c:pt>
                <c:pt idx="180">
                  <c:v>-2.2687968966684502</c:v>
                </c:pt>
                <c:pt idx="181">
                  <c:v>-4.5366799864628602</c:v>
                </c:pt>
                <c:pt idx="182">
                  <c:v>-6.8023893311656298</c:v>
                </c:pt>
                <c:pt idx="183">
                  <c:v>-9.0642974146049795</c:v>
                </c:pt>
                <c:pt idx="184">
                  <c:v>-11.320426209483401</c:v>
                </c:pt>
                <c:pt idx="185">
                  <c:v>-13.568470606705301</c:v>
                </c:pt>
                <c:pt idx="186">
                  <c:v>-15.805827834278899</c:v>
                </c:pt>
                <c:pt idx="187">
                  <c:v>-18.029632396286001</c:v>
                </c:pt>
                <c:pt idx="188">
                  <c:v>-20.236795973088899</c:v>
                </c:pt>
                <c:pt idx="189">
                  <c:v>-22.4240516432547</c:v>
                </c:pt>
                <c:pt idx="190">
                  <c:v>-24.588001716886001</c:v>
                </c:pt>
                <c:pt idx="191">
                  <c:v>-26.7251684102486</c:v>
                </c:pt>
                <c:pt idx="192">
                  <c:v>-28.8320465437215</c:v>
                </c:pt>
                <c:pt idx="193">
                  <c:v>-30.905157409916601</c:v>
                </c:pt>
                <c:pt idx="194">
                  <c:v>-32.941102936890502</c:v>
                </c:pt>
                <c:pt idx="195">
                  <c:v>-34.936619263047099</c:v>
                </c:pt>
                <c:pt idx="196">
                  <c:v>-36.888628845780097</c:v>
                </c:pt>
                <c:pt idx="197">
                  <c:v>-38.794290245051599</c:v>
                </c:pt>
                <c:pt idx="198">
                  <c:v>-40.651044755698102</c:v>
                </c:pt>
                <c:pt idx="199">
                  <c:v>-42.456659107818297</c:v>
                </c:pt>
                <c:pt idx="200">
                  <c:v>-44.209263512460602</c:v>
                </c:pt>
                <c:pt idx="201">
                  <c:v>-45.907384399135502</c:v>
                </c:pt>
                <c:pt idx="202">
                  <c:v>-47.549971271402498</c:v>
                </c:pt>
                <c:pt idx="203">
                  <c:v>-49.1364171957091</c:v>
                </c:pt>
                <c:pt idx="204">
                  <c:v>-50.666572535486203</c:v>
                </c:pt>
                <c:pt idx="205">
                  <c:v>-52.140751645736302</c:v>
                </c:pt>
                <c:pt idx="206">
                  <c:v>-53.559732351461797</c:v>
                </c:pt>
                <c:pt idx="207">
                  <c:v>-54.9247481446086</c:v>
                </c:pt>
                <c:pt idx="208">
                  <c:v>-56.2374731470711</c:v>
                </c:pt>
                <c:pt idx="209">
                  <c:v>-57.5</c:v>
                </c:pt>
                <c:pt idx="210">
                  <c:v>-58.714810950448999</c:v>
                </c:pt>
                <c:pt idx="211">
                  <c:v>-59.884742513608998</c:v>
                </c:pt>
                <c:pt idx="212">
                  <c:v>-61.0129441908567</c:v>
                </c:pt>
                <c:pt idx="213">
                  <c:v>-62.102831819022697</c:v>
                </c:pt>
                <c:pt idx="214">
                  <c:v>-63.158036213198102</c:v>
                </c:pt>
                <c:pt idx="215">
                  <c:v>-64.1823478426912</c:v>
                </c:pt>
                <c:pt idx="216">
                  <c:v>-65.179658346213401</c:v>
                </c:pt>
                <c:pt idx="217">
                  <c:v>-66.153899746976904</c:v>
                </c:pt>
                <c:pt idx="218">
                  <c:v>-67.108982270234094</c:v>
                </c:pt>
                <c:pt idx="219">
                  <c:v>-68.0487316942246</c:v>
                </c:pt>
                <c:pt idx="220">
                  <c:v>-68.976827180014794</c:v>
                </c:pt>
                <c:pt idx="221">
                  <c:v>-69.896740526052099</c:v>
                </c:pt>
                <c:pt idx="222">
                  <c:v>-70.811677779357694</c:v>
                </c:pt>
                <c:pt idx="223">
                  <c:v>-71.724524107274803</c:v>
                </c:pt>
                <c:pt idx="224">
                  <c:v>-72.637792791964699</c:v>
                </c:pt>
                <c:pt idx="225">
                  <c:v>-73.553579154946902</c:v>
                </c:pt>
                <c:pt idx="226">
                  <c:v>-74.473520151694899</c:v>
                </c:pt>
                <c:pt idx="227">
                  <c:v>-75.398760297570007</c:v>
                </c:pt>
                <c:pt idx="228">
                  <c:v>-76.329924497341295</c:v>
                </c:pt>
                <c:pt idx="229">
                  <c:v>-77.267098252476799</c:v>
                </c:pt>
                <c:pt idx="230">
                  <c:v>-78.209815614731397</c:v>
                </c:pt>
                <c:pt idx="231">
                  <c:v>-79.157055142835901</c:v>
                </c:pt>
                <c:pt idx="232">
                  <c:v>-80.107244002951703</c:v>
                </c:pt>
                <c:pt idx="233">
                  <c:v>-81.058270234697602</c:v>
                </c:pt>
                <c:pt idx="234">
                  <c:v>-82.007503084735305</c:v>
                </c:pt>
                <c:pt idx="235">
                  <c:v>-82.951821190888595</c:v>
                </c:pt>
                <c:pt idx="236">
                  <c:v>-83.887648283329696</c:v>
                </c:pt>
                <c:pt idx="237">
                  <c:v>-84.810995957227505</c:v>
                </c:pt>
                <c:pt idx="238">
                  <c:v>-85.717512965092098</c:v>
                </c:pt>
                <c:pt idx="239">
                  <c:v>-86.602540378443805</c:v>
                </c:pt>
                <c:pt idx="240">
                  <c:v>-87.461970713939607</c:v>
                </c:pt>
                <c:pt idx="241">
                  <c:v>-88.294759285892695</c:v>
                </c:pt>
                <c:pt idx="242">
                  <c:v>-89.100652418836802</c:v>
                </c:pt>
                <c:pt idx="243">
                  <c:v>-89.879404629916706</c:v>
                </c:pt>
                <c:pt idx="244">
                  <c:v>-90.630778703665001</c:v>
                </c:pt>
                <c:pt idx="245">
                  <c:v>-91.354545764260095</c:v>
                </c:pt>
                <c:pt idx="246">
                  <c:v>-92.050485345243999</c:v>
                </c:pt>
                <c:pt idx="247">
                  <c:v>-92.718385456678703</c:v>
                </c:pt>
                <c:pt idx="248">
                  <c:v>-93.358042649720204</c:v>
                </c:pt>
                <c:pt idx="249">
                  <c:v>-93.969262078590802</c:v>
                </c:pt>
                <c:pt idx="250">
                  <c:v>-94.551857559931705</c:v>
                </c:pt>
                <c:pt idx="251">
                  <c:v>-95.105651629515293</c:v>
                </c:pt>
                <c:pt idx="252">
                  <c:v>-95.630475596303498</c:v>
                </c:pt>
                <c:pt idx="253">
                  <c:v>-96.126169593831904</c:v>
                </c:pt>
                <c:pt idx="254">
                  <c:v>-96.592582628906797</c:v>
                </c:pt>
                <c:pt idx="255">
                  <c:v>-97.029572627599606</c:v>
                </c:pt>
                <c:pt idx="256">
                  <c:v>-97.4370064785235</c:v>
                </c:pt>
                <c:pt idx="257">
                  <c:v>-97.814760073380597</c:v>
                </c:pt>
                <c:pt idx="258">
                  <c:v>-98.162718344766404</c:v>
                </c:pt>
                <c:pt idx="259">
                  <c:v>-98.480775301220802</c:v>
                </c:pt>
                <c:pt idx="260">
                  <c:v>-98.768834059513793</c:v>
                </c:pt>
                <c:pt idx="261">
                  <c:v>-99.026806874157003</c:v>
                </c:pt>
                <c:pt idx="262">
                  <c:v>-99.254615164132204</c:v>
                </c:pt>
                <c:pt idx="263">
                  <c:v>-99.452189536827305</c:v>
                </c:pt>
                <c:pt idx="264">
                  <c:v>-99.619469809174603</c:v>
                </c:pt>
                <c:pt idx="265">
                  <c:v>-99.756405025982403</c:v>
                </c:pt>
                <c:pt idx="266">
                  <c:v>-99.862953475457402</c:v>
                </c:pt>
                <c:pt idx="267">
                  <c:v>-99.939082701909598</c:v>
                </c:pt>
                <c:pt idx="268">
                  <c:v>-99.984769515639101</c:v>
                </c:pt>
                <c:pt idx="269">
                  <c:v>-100</c:v>
                </c:pt>
                <c:pt idx="270">
                  <c:v>-99.984769515639101</c:v>
                </c:pt>
                <c:pt idx="271">
                  <c:v>-99.939082701909598</c:v>
                </c:pt>
                <c:pt idx="272">
                  <c:v>-99.862953475457402</c:v>
                </c:pt>
                <c:pt idx="273">
                  <c:v>-99.756405025982403</c:v>
                </c:pt>
                <c:pt idx="274">
                  <c:v>-99.619469809174603</c:v>
                </c:pt>
                <c:pt idx="275">
                  <c:v>-99.452189536827305</c:v>
                </c:pt>
                <c:pt idx="276">
                  <c:v>-99.254615164132204</c:v>
                </c:pt>
                <c:pt idx="277">
                  <c:v>-99.026806874157003</c:v>
                </c:pt>
                <c:pt idx="278">
                  <c:v>-98.768834059513793</c:v>
                </c:pt>
                <c:pt idx="279">
                  <c:v>-98.480775301220802</c:v>
                </c:pt>
                <c:pt idx="280">
                  <c:v>-98.162718344766404</c:v>
                </c:pt>
                <c:pt idx="281">
                  <c:v>-97.814760073380597</c:v>
                </c:pt>
                <c:pt idx="282">
                  <c:v>-97.4370064785235</c:v>
                </c:pt>
                <c:pt idx="283">
                  <c:v>-97.029572627599705</c:v>
                </c:pt>
                <c:pt idx="284">
                  <c:v>-96.592582628906797</c:v>
                </c:pt>
                <c:pt idx="285">
                  <c:v>-96.126169593831904</c:v>
                </c:pt>
                <c:pt idx="286">
                  <c:v>-95.630475596303498</c:v>
                </c:pt>
                <c:pt idx="287">
                  <c:v>-95.105651629515407</c:v>
                </c:pt>
                <c:pt idx="288">
                  <c:v>-94.551857559931705</c:v>
                </c:pt>
                <c:pt idx="289">
                  <c:v>-93.969262078590901</c:v>
                </c:pt>
                <c:pt idx="290">
                  <c:v>-93.358042649720204</c:v>
                </c:pt>
                <c:pt idx="291">
                  <c:v>-92.718385456678703</c:v>
                </c:pt>
                <c:pt idx="292">
                  <c:v>-92.050485345244098</c:v>
                </c:pt>
                <c:pt idx="293">
                  <c:v>-91.354545764260095</c:v>
                </c:pt>
                <c:pt idx="294">
                  <c:v>-90.630778703665001</c:v>
                </c:pt>
                <c:pt idx="295">
                  <c:v>-89.879404629916706</c:v>
                </c:pt>
                <c:pt idx="296">
                  <c:v>-89.100652418836802</c:v>
                </c:pt>
                <c:pt idx="297">
                  <c:v>-88.294759285892695</c:v>
                </c:pt>
                <c:pt idx="298">
                  <c:v>-87.461970713939607</c:v>
                </c:pt>
                <c:pt idx="299">
                  <c:v>-86.602540378443905</c:v>
                </c:pt>
                <c:pt idx="300">
                  <c:v>-85.716730070211199</c:v>
                </c:pt>
                <c:pt idx="301">
                  <c:v>-84.804809615642597</c:v>
                </c:pt>
                <c:pt idx="302">
                  <c:v>-83.867056794542407</c:v>
                </c:pt>
                <c:pt idx="303">
                  <c:v>-82.903757255504203</c:v>
                </c:pt>
                <c:pt idx="304">
                  <c:v>-81.915204428899202</c:v>
                </c:pt>
                <c:pt idx="305">
                  <c:v>-80.901699437494798</c:v>
                </c:pt>
                <c:pt idx="306">
                  <c:v>-79.863551004729302</c:v>
                </c:pt>
                <c:pt idx="307">
                  <c:v>-78.801075360672201</c:v>
                </c:pt>
                <c:pt idx="308">
                  <c:v>-77.714596145697101</c:v>
                </c:pt>
                <c:pt idx="309">
                  <c:v>-76.604444311897794</c:v>
                </c:pt>
                <c:pt idx="310">
                  <c:v>-75.470958022277202</c:v>
                </c:pt>
                <c:pt idx="311">
                  <c:v>-74.314482547739502</c:v>
                </c:pt>
                <c:pt idx="312">
                  <c:v>-73.135370161917095</c:v>
                </c:pt>
                <c:pt idx="313">
                  <c:v>-71.933980033865197</c:v>
                </c:pt>
                <c:pt idx="314">
                  <c:v>-70.710678118654798</c:v>
                </c:pt>
                <c:pt idx="315">
                  <c:v>-69.465837045899804</c:v>
                </c:pt>
                <c:pt idx="316">
                  <c:v>-68.199836006249797</c:v>
                </c:pt>
                <c:pt idx="317">
                  <c:v>-66.913060635885799</c:v>
                </c:pt>
                <c:pt idx="318">
                  <c:v>-65.605902899050704</c:v>
                </c:pt>
                <c:pt idx="319">
                  <c:v>-64.278760968653998</c:v>
                </c:pt>
                <c:pt idx="320">
                  <c:v>-62.932039104983801</c:v>
                </c:pt>
                <c:pt idx="321">
                  <c:v>-61.5661475325659</c:v>
                </c:pt>
                <c:pt idx="322">
                  <c:v>-60.181502315204803</c:v>
                </c:pt>
                <c:pt idx="323">
                  <c:v>-58.7785252292473</c:v>
                </c:pt>
                <c:pt idx="324">
                  <c:v>-57.357643635104701</c:v>
                </c:pt>
                <c:pt idx="325">
                  <c:v>-55.9192903470747</c:v>
                </c:pt>
                <c:pt idx="326">
                  <c:v>-54.463903501502699</c:v>
                </c:pt>
                <c:pt idx="327">
                  <c:v>-52.991926423320599</c:v>
                </c:pt>
                <c:pt idx="328">
                  <c:v>-51.503807491005396</c:v>
                </c:pt>
                <c:pt idx="329">
                  <c:v>-50</c:v>
                </c:pt>
                <c:pt idx="330">
                  <c:v>-48.480962024633698</c:v>
                </c:pt>
                <c:pt idx="331">
                  <c:v>-46.947156278589098</c:v>
                </c:pt>
                <c:pt idx="332">
                  <c:v>-45.399049973954703</c:v>
                </c:pt>
                <c:pt idx="333">
                  <c:v>-43.837114678907703</c:v>
                </c:pt>
                <c:pt idx="334">
                  <c:v>-42.261826174070002</c:v>
                </c:pt>
                <c:pt idx="335">
                  <c:v>-40.673664307579998</c:v>
                </c:pt>
                <c:pt idx="336">
                  <c:v>-39.073112848927501</c:v>
                </c:pt>
                <c:pt idx="337">
                  <c:v>-37.460659341591203</c:v>
                </c:pt>
                <c:pt idx="338">
                  <c:v>-35.836794954530099</c:v>
                </c:pt>
                <c:pt idx="339">
                  <c:v>-34.202014332566897</c:v>
                </c:pt>
                <c:pt idx="340">
                  <c:v>-32.556815445715799</c:v>
                </c:pt>
                <c:pt idx="341">
                  <c:v>-30.901699437494798</c:v>
                </c:pt>
                <c:pt idx="342">
                  <c:v>-29.237170472273601</c:v>
                </c:pt>
                <c:pt idx="343">
                  <c:v>-27.563735581700001</c:v>
                </c:pt>
                <c:pt idx="344">
                  <c:v>-25.881904510252099</c:v>
                </c:pt>
                <c:pt idx="345">
                  <c:v>-24.192189559966799</c:v>
                </c:pt>
                <c:pt idx="346">
                  <c:v>-22.495105434386499</c:v>
                </c:pt>
                <c:pt idx="347">
                  <c:v>-20.791169081776001</c:v>
                </c:pt>
                <c:pt idx="348">
                  <c:v>-19.080899537654499</c:v>
                </c:pt>
                <c:pt idx="349">
                  <c:v>-17.364817766693101</c:v>
                </c:pt>
                <c:pt idx="350">
                  <c:v>-15.6434465040231</c:v>
                </c:pt>
                <c:pt idx="351">
                  <c:v>-13.917310096006601</c:v>
                </c:pt>
                <c:pt idx="352">
                  <c:v>-12.186934340514799</c:v>
                </c:pt>
                <c:pt idx="353">
                  <c:v>-10.4528463267653</c:v>
                </c:pt>
                <c:pt idx="354">
                  <c:v>-8.7155742747658298</c:v>
                </c:pt>
                <c:pt idx="355">
                  <c:v>-6.9756473744124801</c:v>
                </c:pt>
                <c:pt idx="356">
                  <c:v>-5.2335956242944404</c:v>
                </c:pt>
                <c:pt idx="357">
                  <c:v>-3.4899496702500801</c:v>
                </c:pt>
                <c:pt idx="358">
                  <c:v>-1.74524064372844</c:v>
                </c:pt>
                <c:pt idx="359">
                  <c:v>-2.4492935982947099E-14</c:v>
                </c:pt>
              </c:numCache>
            </c:numRef>
          </c:val>
          <c:smooth val="0"/>
          <c:extLst>
            <c:ext xmlns:c16="http://schemas.microsoft.com/office/drawing/2014/chart" uri="{C3380CC4-5D6E-409C-BE32-E72D297353CC}">
              <c16:uniqueId val="{00000001-3952-420D-9C7E-8C33F496D095}"/>
            </c:ext>
          </c:extLst>
        </c:ser>
        <c:ser>
          <c:idx val="2"/>
          <c:order val="2"/>
          <c:tx>
            <c:strRef>
              <c:f>正弦加速度凸轮!$D$2</c:f>
              <c:strCache>
                <c:ptCount val="1"/>
                <c:pt idx="0">
                  <c:v>y</c:v>
                </c:pt>
              </c:strCache>
            </c:strRef>
          </c:tx>
          <c:spPr>
            <a:ln w="12700" cap="rnd" cmpd="sng" algn="ctr">
              <a:solidFill>
                <a:srgbClr val="FFFF00"/>
              </a:solidFill>
              <a:prstDash val="solid"/>
              <a:round/>
            </a:ln>
          </c:spPr>
          <c:marker>
            <c:symbol val="none"/>
          </c:marker>
          <c:val>
            <c:numRef>
              <c:f>正弦加速度凸轮!$D$3:$D$362</c:f>
              <c:numCache>
                <c:formatCode>General</c:formatCode>
                <c:ptCount val="360"/>
                <c:pt idx="0">
                  <c:v>99.985682727845898</c:v>
                </c:pt>
                <c:pt idx="1">
                  <c:v>99.946373058507106</c:v>
                </c:pt>
                <c:pt idx="2">
                  <c:v>99.887472362435801</c:v>
                </c:pt>
                <c:pt idx="3">
                  <c:v>99.814239381916096</c:v>
                </c:pt>
                <c:pt idx="4">
                  <c:v>99.731716897155295</c:v>
                </c:pt>
                <c:pt idx="5">
                  <c:v>99.644661496101605</c:v>
                </c:pt>
                <c:pt idx="6">
                  <c:v>99.557477414213295</c:v>
                </c:pt>
                <c:pt idx="7">
                  <c:v>99.474155352310206</c:v>
                </c:pt>
                <c:pt idx="8">
                  <c:v>99.398217109621697</c:v>
                </c:pt>
                <c:pt idx="9">
                  <c:v>99.332666786249106</c:v>
                </c:pt>
                <c:pt idx="10">
                  <c:v>99.279949215672104</c:v>
                </c:pt>
                <c:pt idx="11">
                  <c:v>99.241916185036999</c:v>
                </c:pt>
                <c:pt idx="12">
                  <c:v>99.219800890236499</c:v>
                </c:pt>
                <c:pt idx="13">
                  <c:v>99.2142009558615</c:v>
                </c:pt>
                <c:pt idx="14">
                  <c:v>99.225070228654005</c:v>
                </c:pt>
                <c:pt idx="15">
                  <c:v>99.251719428892201</c:v>
                </c:pt>
                <c:pt idx="16">
                  <c:v>99.292825618988402</c:v>
                </c:pt>
                <c:pt idx="17">
                  <c:v>99.346450324291496</c:v>
                </c:pt>
                <c:pt idx="18">
                  <c:v>99.410066019457901</c:v>
                </c:pt>
                <c:pt idx="19">
                  <c:v>99.480590576545694</c:v>
                </c:pt>
                <c:pt idx="20">
                  <c:v>99.554429159878694</c:v>
                </c:pt>
                <c:pt idx="21">
                  <c:v>99.627522949332402</c:v>
                </c:pt>
                <c:pt idx="22">
                  <c:v>99.695403979476296</c:v>
                </c:pt>
                <c:pt idx="23">
                  <c:v>99.753255298336001</c:v>
                </c:pt>
                <c:pt idx="24">
                  <c:v>99.795975577579696</c:v>
                </c:pt>
                <c:pt idx="25">
                  <c:v>99.818247246723303</c:v>
                </c:pt>
                <c:pt idx="26">
                  <c:v>99.8146071783015</c:v>
                </c:pt>
                <c:pt idx="27">
                  <c:v>99.779518919506003</c:v>
                </c:pt>
                <c:pt idx="28">
                  <c:v>99.707445448950395</c:v>
                </c:pt>
                <c:pt idx="29">
                  <c:v>99.592921435210499</c:v>
                </c:pt>
                <c:pt idx="30">
                  <c:v>99.4306239865641</c:v>
                </c:pt>
                <c:pt idx="31">
                  <c:v>99.2154409087169</c:v>
                </c:pt>
                <c:pt idx="32">
                  <c:v>98.942535528772794</c:v>
                </c:pt>
                <c:pt idx="33">
                  <c:v>98.607407198665499</c:v>
                </c:pt>
                <c:pt idx="34">
                  <c:v>98.205946658842905</c:v>
                </c:pt>
                <c:pt idx="35">
                  <c:v>97.734485522165798</c:v>
                </c:pt>
                <c:pt idx="36">
                  <c:v>97.189839227547296</c:v>
                </c:pt>
                <c:pt idx="37">
                  <c:v>96.569342911463096</c:v>
                </c:pt>
                <c:pt idx="38">
                  <c:v>95.870879751630099</c:v>
                </c:pt>
                <c:pt idx="39">
                  <c:v>95.092901449293294</c:v>
                </c:pt>
                <c:pt idx="40">
                  <c:v>94.234440633005207</c:v>
                </c:pt>
                <c:pt idx="41">
                  <c:v>93.2951150857984</c:v>
                </c:pt>
                <c:pt idx="42">
                  <c:v>92.275123817475901</c:v>
                </c:pt>
                <c:pt idx="43">
                  <c:v>91.175235122604207</c:v>
                </c:pt>
                <c:pt idx="44">
                  <c:v>89.996766880941195</c:v>
                </c:pt>
                <c:pt idx="45">
                  <c:v>88.741559468753493</c:v>
                </c:pt>
                <c:pt idx="46">
                  <c:v>87.411941755141996</c:v>
                </c:pt>
                <c:pt idx="47">
                  <c:v>86.010690755561896</c:v>
                </c:pt>
                <c:pt idx="48">
                  <c:v>84.540985603764</c:v>
                </c:pt>
                <c:pt idx="49">
                  <c:v>83.006356582112105</c:v>
                </c:pt>
                <c:pt idx="50">
                  <c:v>81.410630017527595</c:v>
                </c:pt>
                <c:pt idx="51">
                  <c:v>79.757869905204103</c:v>
                </c:pt>
                <c:pt idx="52">
                  <c:v>78.052317163974095</c:v>
                </c:pt>
                <c:pt idx="53">
                  <c:v>76.2983274552099</c:v>
                </c:pt>
                <c:pt idx="54">
                  <c:v>74.500308511052907</c:v>
                </c:pt>
                <c:pt idx="55">
                  <c:v>72.662657917427296</c:v>
                </c:pt>
                <c:pt idx="56">
                  <c:v>70.7897022827798</c:v>
                </c:pt>
                <c:pt idx="57">
                  <c:v>68.885638695059797</c:v>
                </c:pt>
                <c:pt idx="58">
                  <c:v>66.954479327604304</c:v>
                </c:pt>
                <c:pt idx="59">
                  <c:v>65</c:v>
                </c:pt>
                <c:pt idx="60">
                  <c:v>63.025250632023798</c:v>
                </c:pt>
                <c:pt idx="61">
                  <c:v>61.031303162165798</c:v>
                </c:pt>
                <c:pt idx="62">
                  <c:v>59.018764966141099</c:v>
                </c:pt>
                <c:pt idx="63">
                  <c:v>56.988249082580097</c:v>
                </c:pt>
                <c:pt idx="64">
                  <c:v>54.940374026290897</c:v>
                </c:pt>
                <c:pt idx="65">
                  <c:v>52.875763599853997</c:v>
                </c:pt>
                <c:pt idx="66">
                  <c:v>50.7950467036056</c:v>
                </c:pt>
                <c:pt idx="67">
                  <c:v>48.698857144068597</c:v>
                </c:pt>
                <c:pt idx="68">
                  <c:v>46.587833440889</c:v>
                </c:pt>
                <c:pt idx="69">
                  <c:v>44.462618632336898</c:v>
                </c:pt>
                <c:pt idx="70">
                  <c:v>42.323860079430403</c:v>
                </c:pt>
                <c:pt idx="71">
                  <c:v>40.172209268743202</c:v>
                </c:pt>
                <c:pt idx="72">
                  <c:v>38.0083216139558</c:v>
                </c:pt>
                <c:pt idx="73">
                  <c:v>35.832856256209901</c:v>
                </c:pt>
                <c:pt idx="74">
                  <c:v>33.646475863327701</c:v>
                </c:pt>
                <c:pt idx="75">
                  <c:v>31.4498464279568</c:v>
                </c:pt>
                <c:pt idx="76">
                  <c:v>29.243637064702401</c:v>
                </c:pt>
                <c:pt idx="77">
                  <c:v>27.028519806308701</c:v>
                </c:pt>
                <c:pt idx="78">
                  <c:v>24.805169398950799</c:v>
                </c:pt>
                <c:pt idx="79">
                  <c:v>22.574263096700999</c:v>
                </c:pt>
                <c:pt idx="80">
                  <c:v>20.336480455229999</c:v>
                </c:pt>
                <c:pt idx="81">
                  <c:v>18.092503124808498</c:v>
                </c:pt>
                <c:pt idx="82">
                  <c:v>15.8430146426692</c:v>
                </c:pt>
                <c:pt idx="83">
                  <c:v>13.5887002247949</c:v>
                </c:pt>
                <c:pt idx="84">
                  <c:v>11.330246557195601</c:v>
                </c:pt>
                <c:pt idx="85">
                  <c:v>9.0683415867363095</c:v>
                </c:pt>
                <c:pt idx="86">
                  <c:v>6.8036743115827196</c:v>
                </c:pt>
                <c:pt idx="87">
                  <c:v>4.5369345713251397</c:v>
                </c:pt>
                <c:pt idx="88">
                  <c:v>2.2688128368468399</c:v>
                </c:pt>
                <c:pt idx="89">
                  <c:v>7.9602041944578004E-15</c:v>
                </c:pt>
                <c:pt idx="90">
                  <c:v>-2.2688128368468501</c:v>
                </c:pt>
                <c:pt idx="91">
                  <c:v>-4.5369345713250997</c:v>
                </c:pt>
                <c:pt idx="92">
                  <c:v>-6.8036743115826699</c:v>
                </c:pt>
                <c:pt idx="93">
                  <c:v>-9.06834158673629</c:v>
                </c:pt>
                <c:pt idx="94">
                  <c:v>-11.330246557195601</c:v>
                </c:pt>
                <c:pt idx="95">
                  <c:v>-13.5887002247949</c:v>
                </c:pt>
                <c:pt idx="96">
                  <c:v>-15.8430146426692</c:v>
                </c:pt>
                <c:pt idx="97">
                  <c:v>-18.092503124808498</c:v>
                </c:pt>
                <c:pt idx="98">
                  <c:v>-20.336480455229999</c:v>
                </c:pt>
                <c:pt idx="99">
                  <c:v>-22.5742630967009</c:v>
                </c:pt>
                <c:pt idx="100">
                  <c:v>-24.805169398950799</c:v>
                </c:pt>
                <c:pt idx="101">
                  <c:v>-27.028519806308701</c:v>
                </c:pt>
                <c:pt idx="102">
                  <c:v>-29.243637064702401</c:v>
                </c:pt>
                <c:pt idx="103">
                  <c:v>-31.4498464279568</c:v>
                </c:pt>
                <c:pt idx="104">
                  <c:v>-33.646475863327701</c:v>
                </c:pt>
                <c:pt idx="105">
                  <c:v>-35.832856256209901</c:v>
                </c:pt>
                <c:pt idx="106">
                  <c:v>-38.0083216139558</c:v>
                </c:pt>
                <c:pt idx="107">
                  <c:v>-40.172209268743202</c:v>
                </c:pt>
                <c:pt idx="108">
                  <c:v>-42.323860079430297</c:v>
                </c:pt>
                <c:pt idx="109">
                  <c:v>-44.462618632336898</c:v>
                </c:pt>
                <c:pt idx="110">
                  <c:v>-46.587833440889</c:v>
                </c:pt>
                <c:pt idx="111">
                  <c:v>-48.698857144068597</c:v>
                </c:pt>
                <c:pt idx="112">
                  <c:v>-50.7950467036056</c:v>
                </c:pt>
                <c:pt idx="113">
                  <c:v>-52.875763599853997</c:v>
                </c:pt>
                <c:pt idx="114">
                  <c:v>-54.940374026290897</c:v>
                </c:pt>
                <c:pt idx="115">
                  <c:v>-56.988249082580097</c:v>
                </c:pt>
                <c:pt idx="116">
                  <c:v>-59.018764966141099</c:v>
                </c:pt>
                <c:pt idx="117">
                  <c:v>-61.031303162165798</c:v>
                </c:pt>
                <c:pt idx="118">
                  <c:v>-63.025250632023798</c:v>
                </c:pt>
                <c:pt idx="119">
                  <c:v>-65</c:v>
                </c:pt>
                <c:pt idx="120">
                  <c:v>-66.954949738307107</c:v>
                </c:pt>
                <c:pt idx="121">
                  <c:v>-68.889504350316599</c:v>
                </c:pt>
                <c:pt idx="122">
                  <c:v>-70.8030745519535</c:v>
                </c:pt>
                <c:pt idx="123">
                  <c:v>-72.695077451197093</c:v>
                </c:pt>
                <c:pt idx="124">
                  <c:v>-74.564936725636002</c:v>
                </c:pt>
                <c:pt idx="125">
                  <c:v>-76.412082798021501</c:v>
                </c:pt>
                <c:pt idx="126">
                  <c:v>-78.235953009766305</c:v>
                </c:pt>
                <c:pt idx="127">
                  <c:v>-80.035991792335594</c:v>
                </c:pt>
                <c:pt idx="128">
                  <c:v>-81.811650836478805</c:v>
                </c:pt>
                <c:pt idx="129">
                  <c:v>-83.562389259250097</c:v>
                </c:pt>
                <c:pt idx="130">
                  <c:v>-85.287673768765998</c:v>
                </c:pt>
                <c:pt idx="131">
                  <c:v>-86.986978826651594</c:v>
                </c:pt>
                <c:pt idx="132">
                  <c:v>-88.659786808124807</c:v>
                </c:pt>
                <c:pt idx="133">
                  <c:v>-90.305588159669597</c:v>
                </c:pt>
                <c:pt idx="134">
                  <c:v>-91.923881554251196</c:v>
                </c:pt>
                <c:pt idx="135">
                  <c:v>-93.514174044024699</c:v>
                </c:pt>
                <c:pt idx="136">
                  <c:v>-95.075981210492202</c:v>
                </c:pt>
                <c:pt idx="137">
                  <c:v>-96.608827312061194</c:v>
                </c:pt>
                <c:pt idx="138">
                  <c:v>-98.112245428960406</c:v>
                </c:pt>
                <c:pt idx="139">
                  <c:v>-99.585777605467101</c:v>
                </c:pt>
                <c:pt idx="140">
                  <c:v>-101.028974989406</c:v>
                </c:pt>
                <c:pt idx="141">
                  <c:v>-102.441397968874</c:v>
                </c:pt>
                <c:pt idx="142">
                  <c:v>-103.82261630614801</c:v>
                </c:pt>
                <c:pt idx="143">
                  <c:v>-105.172209268743</c:v>
                </c:pt>
                <c:pt idx="144">
                  <c:v>-106.489765757569</c:v>
                </c:pt>
                <c:pt idx="145">
                  <c:v>-107.77488443215501</c:v>
                </c:pt>
                <c:pt idx="146">
                  <c:v>-109.02717383290501</c:v>
                </c:pt>
                <c:pt idx="147">
                  <c:v>-110.246252500335</c:v>
                </c:pt>
                <c:pt idx="148">
                  <c:v>-111.43174909127499</c:v>
                </c:pt>
                <c:pt idx="149">
                  <c:v>-112.58330249197699</c:v>
                </c:pt>
                <c:pt idx="150">
                  <c:v>-113.700561928121</c:v>
                </c:pt>
                <c:pt idx="151">
                  <c:v>-114.78318707166</c:v>
                </c:pt>
                <c:pt idx="152">
                  <c:v>-115.830848144488</c:v>
                </c:pt>
                <c:pt idx="153">
                  <c:v>-116.843226018892</c:v>
                </c:pt>
                <c:pt idx="154">
                  <c:v>-117.820012314764</c:v>
                </c:pt>
                <c:pt idx="155">
                  <c:v>-118.76090949353799</c:v>
                </c:pt>
                <c:pt idx="156">
                  <c:v>-119.665630948817</c:v>
                </c:pt>
                <c:pt idx="157">
                  <c:v>-120.533901093682</c:v>
                </c:pt>
                <c:pt idx="158">
                  <c:v>-121.365455444636</c:v>
                </c:pt>
                <c:pt idx="159">
                  <c:v>-122.160040702168</c:v>
                </c:pt>
                <c:pt idx="160">
                  <c:v>-122.917414827911</c:v>
                </c:pt>
                <c:pt idx="161">
                  <c:v>-123.63734711837</c:v>
                </c:pt>
                <c:pt idx="162">
                  <c:v>-124.319618275195</c:v>
                </c:pt>
                <c:pt idx="163">
                  <c:v>-124.964020471981</c:v>
                </c:pt>
                <c:pt idx="164">
                  <c:v>-125.570357417579</c:v>
                </c:pt>
                <c:pt idx="165">
                  <c:v>-126.13844441588</c:v>
                </c:pt>
                <c:pt idx="166">
                  <c:v>-126.668108422081</c:v>
                </c:pt>
                <c:pt idx="167">
                  <c:v>-127.159188095395</c:v>
                </c:pt>
                <c:pt idx="168">
                  <c:v>-127.611533848196</c:v>
                </c:pt>
                <c:pt idx="169">
                  <c:v>-128.02500789158699</c:v>
                </c:pt>
                <c:pt idx="170">
                  <c:v>-128.399484277368</c:v>
                </c:pt>
                <c:pt idx="171">
                  <c:v>-128.73484893640401</c:v>
                </c:pt>
                <c:pt idx="172">
                  <c:v>-129.03099971337201</c:v>
                </c:pt>
                <c:pt idx="173">
                  <c:v>-129.287846397876</c:v>
                </c:pt>
                <c:pt idx="174">
                  <c:v>-129.505310751927</c:v>
                </c:pt>
                <c:pt idx="175">
                  <c:v>-129.68332653377701</c:v>
                </c:pt>
                <c:pt idx="176">
                  <c:v>-129.821839518095</c:v>
                </c:pt>
                <c:pt idx="177">
                  <c:v>-129.92080751248201</c:v>
                </c:pt>
                <c:pt idx="178">
                  <c:v>-129.980200370331</c:v>
                </c:pt>
                <c:pt idx="179">
                  <c:v>-130</c:v>
                </c:pt>
                <c:pt idx="180">
                  <c:v>-129.97928715812401</c:v>
                </c:pt>
                <c:pt idx="181">
                  <c:v>-129.91351715588499</c:v>
                </c:pt>
                <c:pt idx="182">
                  <c:v>-129.79732063111601</c:v>
                </c:pt>
                <c:pt idx="183">
                  <c:v>-129.625492177843</c:v>
                </c:pt>
                <c:pt idx="184">
                  <c:v>-129.39306366394601</c:v>
                </c:pt>
                <c:pt idx="185">
                  <c:v>-129.095374438601</c:v>
                </c:pt>
                <c:pt idx="186">
                  <c:v>-128.72813746329101</c:v>
                </c:pt>
                <c:pt idx="187">
                  <c:v>-128.287500458251</c:v>
                </c:pt>
                <c:pt idx="188">
                  <c:v>-127.77010122726</c:v>
                </c:pt>
                <c:pt idx="189">
                  <c:v>-127.173116406559</c:v>
                </c:pt>
                <c:pt idx="190">
                  <c:v>-126.494302977291</c:v>
                </c:pt>
                <c:pt idx="191">
                  <c:v>-125.732031983738</c:v>
                </c:pt>
                <c:pt idx="192">
                  <c:v>-124.88531401036801</c:v>
                </c:pt>
                <c:pt idx="193">
                  <c:v>-123.95381608761799</c:v>
                </c:pt>
                <c:pt idx="194">
                  <c:v>-122.937869817832</c:v>
                </c:pt>
                <c:pt idx="195">
                  <c:v>-121.838470636921</c:v>
                </c:pt>
                <c:pt idx="196">
                  <c:v>-120.65726825250999</c:v>
                </c:pt>
                <c:pt idx="197">
                  <c:v>-119.396548423594</c:v>
                </c:pt>
                <c:pt idx="198">
                  <c:v>-118.05920636838501</c:v>
                </c:pt>
                <c:pt idx="199">
                  <c:v>-116.648712204213</c:v>
                </c:pt>
                <c:pt idx="200">
                  <c:v>-115.16906893447801</c:v>
                </c:pt>
                <c:pt idx="201">
                  <c:v>-113.624763601029</c:v>
                </c:pt>
                <c:pt idx="202">
                  <c:v>-112.020712314585</c:v>
                </c:pt>
                <c:pt idx="203">
                  <c:v>-110.362199959462</c:v>
                </c:pt>
                <c:pt idx="204">
                  <c:v>-108.65481544085</c:v>
                </c:pt>
                <c:pt idx="205">
                  <c:v>-106.904383402085</c:v>
                </c:pt>
                <c:pt idx="206">
                  <c:v>-105.116893385023</c:v>
                </c:pt>
                <c:pt idx="207">
                  <c:v>-103.298427438047</c:v>
                </c:pt>
                <c:pt idx="208">
                  <c:v>-101.455087193111</c:v>
                </c:pt>
                <c:pt idx="209">
                  <c:v>-99.5929214352104</c:v>
                </c:pt>
                <c:pt idx="210">
                  <c:v>-97.717855174921695</c:v>
                </c:pt>
                <c:pt idx="211">
                  <c:v>-95.835621207261099</c:v>
                </c:pt>
                <c:pt idx="212">
                  <c:v>-93.951695098674804</c:v>
                </c:pt>
                <c:pt idx="213">
                  <c:v>-92.071234488994094</c:v>
                </c:pt>
                <c:pt idx="214">
                  <c:v>-90.199023527625201</c:v>
                </c:pt>
                <c:pt idx="215">
                  <c:v>-88.339423184072203</c:v>
                </c:pt>
                <c:pt idx="216">
                  <c:v>-86.496328083330098</c:v>
                </c:pt>
                <c:pt idx="217">
                  <c:v>-84.673130418082906</c:v>
                </c:pt>
                <c:pt idx="218">
                  <c:v>-82.872691383473196</c:v>
                </c:pt>
                <c:pt idx="219">
                  <c:v>-81.0973204680717</c:v>
                </c:pt>
                <c:pt idx="220">
                  <c:v>-79.348762818232402</c:v>
                </c:pt>
                <c:pt idx="221">
                  <c:v>-77.628194774002296</c:v>
                </c:pt>
                <c:pt idx="222">
                  <c:v>-75.936227554933296</c:v>
                </c:pt>
                <c:pt idx="223">
                  <c:v>-74.272918955285604</c:v>
                </c:pt>
                <c:pt idx="224">
                  <c:v>-72.637792791964699</c:v>
                </c:pt>
                <c:pt idx="225">
                  <c:v>-71.029865736815907</c:v>
                </c:pt>
                <c:pt idx="226">
                  <c:v>-69.447681059232707</c:v>
                </c:pt>
                <c:pt idx="227">
                  <c:v>-67.889348706975497</c:v>
                </c:pt>
                <c:pt idx="228">
                  <c:v>-66.352591064052703</c:v>
                </c:pt>
                <c:pt idx="229">
                  <c:v>-64.834793645791905</c:v>
                </c:pt>
                <c:pt idx="230">
                  <c:v>-63.333059923934997</c:v>
                </c:pt>
                <c:pt idx="231">
                  <c:v>-61.844269419697298</c:v>
                </c:pt>
                <c:pt idx="232">
                  <c:v>-60.365138160996999</c:v>
                </c:pt>
                <c:pt idx="233">
                  <c:v>-58.892280572058901</c:v>
                </c:pt>
                <c:pt idx="234">
                  <c:v>-57.422271849687696</c:v>
                </c:pt>
                <c:pt idx="235">
                  <c:v>-55.951709880844497</c:v>
                </c:pt>
                <c:pt idx="236">
                  <c:v>-54.4772757706764</c:v>
                </c:pt>
                <c:pt idx="237">
                  <c:v>-52.995792078577402</c:v>
                </c:pt>
                <c:pt idx="238">
                  <c:v>-51.5042779017082</c:v>
                </c:pt>
                <c:pt idx="239">
                  <c:v>-50</c:v>
                </c:pt>
                <c:pt idx="240">
                  <c:v>-48.480962024633698</c:v>
                </c:pt>
                <c:pt idx="241">
                  <c:v>-46.947156278589098</c:v>
                </c:pt>
                <c:pt idx="242">
                  <c:v>-45.399049973954703</c:v>
                </c:pt>
                <c:pt idx="243">
                  <c:v>-43.837114678907803</c:v>
                </c:pt>
                <c:pt idx="244">
                  <c:v>-42.261826174070002</c:v>
                </c:pt>
                <c:pt idx="245">
                  <c:v>-40.673664307579998</c:v>
                </c:pt>
                <c:pt idx="246">
                  <c:v>-39.073112848927401</c:v>
                </c:pt>
                <c:pt idx="247">
                  <c:v>-37.460659341591203</c:v>
                </c:pt>
                <c:pt idx="248">
                  <c:v>-35.836794954530099</c:v>
                </c:pt>
                <c:pt idx="249">
                  <c:v>-34.202014332566897</c:v>
                </c:pt>
                <c:pt idx="250">
                  <c:v>-32.556815445715699</c:v>
                </c:pt>
                <c:pt idx="251">
                  <c:v>-30.901699437494798</c:v>
                </c:pt>
                <c:pt idx="252">
                  <c:v>-29.2371704722737</c:v>
                </c:pt>
                <c:pt idx="253">
                  <c:v>-27.563735581699898</c:v>
                </c:pt>
                <c:pt idx="254">
                  <c:v>-25.881904510252099</c:v>
                </c:pt>
                <c:pt idx="255">
                  <c:v>-24.192189559966799</c:v>
                </c:pt>
                <c:pt idx="256">
                  <c:v>-22.495105434386499</c:v>
                </c:pt>
                <c:pt idx="257">
                  <c:v>-20.791169081776001</c:v>
                </c:pt>
                <c:pt idx="258">
                  <c:v>-19.080899537654499</c:v>
                </c:pt>
                <c:pt idx="259">
                  <c:v>-17.364817766693001</c:v>
                </c:pt>
                <c:pt idx="260">
                  <c:v>-15.6434465040231</c:v>
                </c:pt>
                <c:pt idx="261">
                  <c:v>-13.917310096006499</c:v>
                </c:pt>
                <c:pt idx="262">
                  <c:v>-12.1869343405147</c:v>
                </c:pt>
                <c:pt idx="263">
                  <c:v>-10.4528463267653</c:v>
                </c:pt>
                <c:pt idx="264">
                  <c:v>-8.7155742747658191</c:v>
                </c:pt>
                <c:pt idx="265">
                  <c:v>-6.97564737441256</c:v>
                </c:pt>
                <c:pt idx="266">
                  <c:v>-5.2335956242944297</c:v>
                </c:pt>
                <c:pt idx="267">
                  <c:v>-3.48994967025016</c:v>
                </c:pt>
                <c:pt idx="268">
                  <c:v>-1.7452406437283501</c:v>
                </c:pt>
                <c:pt idx="269">
                  <c:v>-1.8369701987210301E-14</c:v>
                </c:pt>
                <c:pt idx="270">
                  <c:v>1.7452406437283099</c:v>
                </c:pt>
                <c:pt idx="271">
                  <c:v>3.4899496702501298</c:v>
                </c:pt>
                <c:pt idx="272">
                  <c:v>5.2335956242943897</c:v>
                </c:pt>
                <c:pt idx="273">
                  <c:v>6.97564737441252</c:v>
                </c:pt>
                <c:pt idx="274">
                  <c:v>8.7155742747657907</c:v>
                </c:pt>
                <c:pt idx="275">
                  <c:v>10.4528463267653</c:v>
                </c:pt>
                <c:pt idx="276">
                  <c:v>12.186934340514799</c:v>
                </c:pt>
                <c:pt idx="277">
                  <c:v>13.917310096006499</c:v>
                </c:pt>
                <c:pt idx="278">
                  <c:v>15.6434465040231</c:v>
                </c:pt>
                <c:pt idx="279">
                  <c:v>17.364817766693001</c:v>
                </c:pt>
                <c:pt idx="280">
                  <c:v>19.0808995376544</c:v>
                </c:pt>
                <c:pt idx="281">
                  <c:v>20.791169081775902</c:v>
                </c:pt>
                <c:pt idx="282">
                  <c:v>22.495105434386499</c:v>
                </c:pt>
                <c:pt idx="283">
                  <c:v>24.1921895599667</c:v>
                </c:pt>
                <c:pt idx="284">
                  <c:v>25.881904510252099</c:v>
                </c:pt>
                <c:pt idx="285">
                  <c:v>27.563735581699898</c:v>
                </c:pt>
                <c:pt idx="286">
                  <c:v>29.2371704722737</c:v>
                </c:pt>
                <c:pt idx="287">
                  <c:v>30.901699437494699</c:v>
                </c:pt>
                <c:pt idx="288">
                  <c:v>32.5568154457156</c:v>
                </c:pt>
                <c:pt idx="289">
                  <c:v>34.202014332566797</c:v>
                </c:pt>
                <c:pt idx="290">
                  <c:v>35.836794954529999</c:v>
                </c:pt>
                <c:pt idx="291">
                  <c:v>37.460659341591203</c:v>
                </c:pt>
                <c:pt idx="292">
                  <c:v>39.073112848927401</c:v>
                </c:pt>
                <c:pt idx="293">
                  <c:v>40.673664307580097</c:v>
                </c:pt>
                <c:pt idx="294">
                  <c:v>42.261826174070002</c:v>
                </c:pt>
                <c:pt idx="295">
                  <c:v>43.837114678907703</c:v>
                </c:pt>
                <c:pt idx="296">
                  <c:v>45.399049973954703</c:v>
                </c:pt>
                <c:pt idx="297">
                  <c:v>46.947156278588999</c:v>
                </c:pt>
                <c:pt idx="298">
                  <c:v>48.480962024633598</c:v>
                </c:pt>
                <c:pt idx="299">
                  <c:v>50</c:v>
                </c:pt>
                <c:pt idx="300">
                  <c:v>51.503807491005396</c:v>
                </c:pt>
                <c:pt idx="301">
                  <c:v>52.9919264233205</c:v>
                </c:pt>
                <c:pt idx="302">
                  <c:v>54.463903501502699</c:v>
                </c:pt>
                <c:pt idx="303">
                  <c:v>55.9192903470746</c:v>
                </c:pt>
                <c:pt idx="304">
                  <c:v>57.357643635104601</c:v>
                </c:pt>
                <c:pt idx="305">
                  <c:v>58.7785252292473</c:v>
                </c:pt>
                <c:pt idx="306">
                  <c:v>60.181502315204803</c:v>
                </c:pt>
                <c:pt idx="307">
                  <c:v>61.5661475325659</c:v>
                </c:pt>
                <c:pt idx="308">
                  <c:v>62.932039104983801</c:v>
                </c:pt>
                <c:pt idx="309">
                  <c:v>64.278760968653899</c:v>
                </c:pt>
                <c:pt idx="310">
                  <c:v>65.605902899050704</c:v>
                </c:pt>
                <c:pt idx="311">
                  <c:v>66.913060635885799</c:v>
                </c:pt>
                <c:pt idx="312">
                  <c:v>68.199836006249797</c:v>
                </c:pt>
                <c:pt idx="313">
                  <c:v>69.465837045899704</c:v>
                </c:pt>
                <c:pt idx="314">
                  <c:v>70.710678118654698</c:v>
                </c:pt>
                <c:pt idx="315">
                  <c:v>71.933980033865097</c:v>
                </c:pt>
                <c:pt idx="316">
                  <c:v>73.135370161917095</c:v>
                </c:pt>
                <c:pt idx="317">
                  <c:v>74.314482547739402</c:v>
                </c:pt>
                <c:pt idx="318">
                  <c:v>75.470958022277202</c:v>
                </c:pt>
                <c:pt idx="319">
                  <c:v>76.604444311897794</c:v>
                </c:pt>
                <c:pt idx="320">
                  <c:v>77.714596145697101</c:v>
                </c:pt>
                <c:pt idx="321">
                  <c:v>78.801075360672201</c:v>
                </c:pt>
                <c:pt idx="322">
                  <c:v>79.863551004729302</c:v>
                </c:pt>
                <c:pt idx="323">
                  <c:v>80.901699437494699</c:v>
                </c:pt>
                <c:pt idx="324">
                  <c:v>81.915204428899202</c:v>
                </c:pt>
                <c:pt idx="325">
                  <c:v>82.903757255504104</c:v>
                </c:pt>
                <c:pt idx="326">
                  <c:v>83.867056794542407</c:v>
                </c:pt>
                <c:pt idx="327">
                  <c:v>84.804809615642498</c:v>
                </c:pt>
                <c:pt idx="328">
                  <c:v>85.716730070211199</c:v>
                </c:pt>
                <c:pt idx="329">
                  <c:v>86.602540378443805</c:v>
                </c:pt>
                <c:pt idx="330">
                  <c:v>87.461970713939607</c:v>
                </c:pt>
                <c:pt idx="331">
                  <c:v>88.294759285892695</c:v>
                </c:pt>
                <c:pt idx="332">
                  <c:v>89.100652418836802</c:v>
                </c:pt>
                <c:pt idx="333">
                  <c:v>89.879404629916706</c:v>
                </c:pt>
                <c:pt idx="334">
                  <c:v>90.630778703665001</c:v>
                </c:pt>
                <c:pt idx="335">
                  <c:v>91.354545764260095</c:v>
                </c:pt>
                <c:pt idx="336">
                  <c:v>92.050485345243999</c:v>
                </c:pt>
                <c:pt idx="337">
                  <c:v>92.718385456678703</c:v>
                </c:pt>
                <c:pt idx="338">
                  <c:v>93.358042649720105</c:v>
                </c:pt>
                <c:pt idx="339">
                  <c:v>93.969262078590802</c:v>
                </c:pt>
                <c:pt idx="340">
                  <c:v>94.551857559931605</c:v>
                </c:pt>
                <c:pt idx="341">
                  <c:v>95.105651629515293</c:v>
                </c:pt>
                <c:pt idx="342">
                  <c:v>95.630475596303597</c:v>
                </c:pt>
                <c:pt idx="343">
                  <c:v>96.126169593831904</c:v>
                </c:pt>
                <c:pt idx="344">
                  <c:v>96.592582628906797</c:v>
                </c:pt>
                <c:pt idx="345">
                  <c:v>97.029572627599606</c:v>
                </c:pt>
                <c:pt idx="346">
                  <c:v>97.4370064785235</c:v>
                </c:pt>
                <c:pt idx="347">
                  <c:v>97.814760073380597</c:v>
                </c:pt>
                <c:pt idx="348">
                  <c:v>98.162718344766404</c:v>
                </c:pt>
                <c:pt idx="349">
                  <c:v>98.480775301220802</c:v>
                </c:pt>
                <c:pt idx="350">
                  <c:v>98.768834059513793</c:v>
                </c:pt>
                <c:pt idx="351">
                  <c:v>99.026806874157003</c:v>
                </c:pt>
                <c:pt idx="352">
                  <c:v>99.254615164132204</c:v>
                </c:pt>
                <c:pt idx="353">
                  <c:v>99.452189536827305</c:v>
                </c:pt>
                <c:pt idx="354">
                  <c:v>99.619469809174603</c:v>
                </c:pt>
                <c:pt idx="355">
                  <c:v>99.756405025982403</c:v>
                </c:pt>
                <c:pt idx="356">
                  <c:v>99.862953475457402</c:v>
                </c:pt>
                <c:pt idx="357">
                  <c:v>99.939082701909598</c:v>
                </c:pt>
                <c:pt idx="358">
                  <c:v>99.984769515639101</c:v>
                </c:pt>
                <c:pt idx="359">
                  <c:v>100</c:v>
                </c:pt>
              </c:numCache>
            </c:numRef>
          </c:val>
          <c:smooth val="0"/>
          <c:extLst>
            <c:ext xmlns:c16="http://schemas.microsoft.com/office/drawing/2014/chart" uri="{C3380CC4-5D6E-409C-BE32-E72D297353CC}">
              <c16:uniqueId val="{00000002-3952-420D-9C7E-8C33F496D095}"/>
            </c:ext>
          </c:extLst>
        </c:ser>
        <c:dLbls>
          <c:showLegendKey val="0"/>
          <c:showVal val="0"/>
          <c:showCatName val="0"/>
          <c:showSerName val="0"/>
          <c:showPercent val="0"/>
          <c:showBubbleSize val="0"/>
        </c:dLbls>
        <c:smooth val="0"/>
        <c:axId val="215171072"/>
        <c:axId val="215172608"/>
      </c:lineChart>
      <c:catAx>
        <c:axId val="215171072"/>
        <c:scaling>
          <c:orientation val="minMax"/>
        </c:scaling>
        <c:delete val="0"/>
        <c:axPos val="b"/>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075"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5172608"/>
        <c:crosses val="autoZero"/>
        <c:auto val="1"/>
        <c:lblAlgn val="ctr"/>
        <c:lblOffset val="100"/>
        <c:noMultiLvlLbl val="0"/>
      </c:catAx>
      <c:valAx>
        <c:axId val="215172608"/>
        <c:scaling>
          <c:orientation val="minMax"/>
        </c:scaling>
        <c:delete val="0"/>
        <c:axPos val="l"/>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1075"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5171072"/>
        <c:crosses val="autoZero"/>
        <c:crossBetween val="between"/>
      </c:valAx>
      <c:spPr>
        <a:solidFill>
          <a:srgbClr val="C0C0C0">
            <a:alpha val="100000"/>
          </a:srgbClr>
        </a:solidFill>
        <a:ln w="12700">
          <a:solidFill>
            <a:srgbClr val="808080">
              <a:alpha val="100000"/>
            </a:srgbClr>
          </a:solidFill>
          <a:prstDash val="solid"/>
        </a:ln>
      </c:spPr>
    </c:plotArea>
    <c:legend>
      <c:legendPos val="r"/>
      <c:layout>
        <c:manualLayout>
          <c:xMode val="edge"/>
          <c:yMode val="edge"/>
          <c:x val="0.90750007674479305"/>
          <c:y val="0.40650011711922801"/>
          <c:w val="8.6500000000000105E-2"/>
          <c:h val="0.184"/>
        </c:manualLayout>
      </c:layout>
      <c:overlay val="0"/>
      <c:spPr>
        <a:solidFill>
          <a:srgbClr val="FFFFFF"/>
        </a:solidFill>
        <a:ln>
          <a:solidFill>
            <a:srgbClr val="000000"/>
          </a:solidFill>
        </a:ln>
      </c:spPr>
      <c:txPr>
        <a:bodyPr rot="0" spcFirstLastPara="0" vertOverflow="ellipsis" vert="horz" wrap="square" anchor="ctr" anchorCtr="1"/>
        <a:lstStyle/>
        <a:p>
          <a:pPr>
            <a:defRPr lang="zh-CN" sz="98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3175" cap="flat" cmpd="sng" algn="ctr">
      <a:solidFill>
        <a:srgbClr val="000000">
          <a:alpha val="100000"/>
        </a:srgbClr>
      </a:solidFill>
      <a:prstDash val="solid"/>
      <a:round/>
    </a:ln>
    <a:effectLst>
      <a:outerShdw dist="35921" dir="2700000" algn="br" rotWithShape="0">
        <a:srgbClr val="000000"/>
      </a:outerShdw>
    </a:effectLst>
  </c:spPr>
  <c:txPr>
    <a:bodyPr rot="0" wrap="square" anchor="ctr" anchorCtr="1"/>
    <a:lstStyle/>
    <a:p>
      <a:pPr>
        <a:defRPr lang="zh-CN" sz="1075"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800" b="1" i="0" u="none" strike="noStrike" kern="1200" baseline="0">
                <a:solidFill>
                  <a:srgbClr val="808080">
                    <a:alpha val="100000"/>
                  </a:srgbClr>
                </a:solidFill>
                <a:latin typeface="宋体" panose="02010600030101010101" pitchFamily="7" charset="-122"/>
                <a:ea typeface="宋体" panose="02010600030101010101" pitchFamily="7" charset="-122"/>
                <a:cs typeface="宋体" panose="02010600030101010101" pitchFamily="7" charset="-122"/>
              </a:defRPr>
            </a:pPr>
            <a:r>
              <a:rPr lang="zh-CN" altLang="en-US"/>
              <a:t>凸轮轮廓曲线</a:t>
            </a:r>
            <a:endParaRPr lang="zh-CN" altLang="en-US" sz="1800" b="1" i="0" u="none" strike="noStrike" baseline="0">
              <a:solidFill>
                <a:srgbClr val="808080">
                  <a:alpha val="100000"/>
                </a:srgbClr>
              </a:solidFill>
              <a:latin typeface="宋体" panose="02010600030101010101" pitchFamily="7" charset="-122"/>
              <a:ea typeface="宋体" panose="02010600030101010101" pitchFamily="7" charset="-122"/>
              <a:cs typeface="宋体" panose="02010600030101010101" pitchFamily="7" charset="-122"/>
            </a:endParaRPr>
          </a:p>
        </c:rich>
      </c:tx>
      <c:overlay val="0"/>
    </c:title>
    <c:autoTitleDeleted val="0"/>
    <c:plotArea>
      <c:layout/>
      <c:scatterChart>
        <c:scatterStyle val="lineMarker"/>
        <c:varyColors val="0"/>
        <c:ser>
          <c:idx val="0"/>
          <c:order val="0"/>
          <c:spPr>
            <a:ln w="28575" cap="rnd" cmpd="sng" algn="ctr">
              <a:noFill/>
              <a:prstDash val="solid"/>
              <a:round/>
            </a:ln>
          </c:spPr>
          <c:marker>
            <c:symbol val="diamond"/>
            <c:size val="7"/>
          </c:marker>
          <c:xVal>
            <c:numRef>
              <c:f>凸轮的轮廓曲线设计!$G$3:$G$363</c:f>
              <c:numCache>
                <c:formatCode>General</c:formatCode>
                <c:ptCount val="361"/>
                <c:pt idx="0">
                  <c:v>0</c:v>
                </c:pt>
                <c:pt idx="1">
                  <c:v>0.82286002063019303</c:v>
                </c:pt>
                <c:pt idx="2">
                  <c:v>1.6496154503351299</c:v>
                </c:pt>
                <c:pt idx="3">
                  <c:v>2.4800125569106299</c:v>
                </c:pt>
                <c:pt idx="4">
                  <c:v>3.3137952365094199</c:v>
                </c:pt>
                <c:pt idx="5">
                  <c:v>4.1507050926144702</c:v>
                </c:pt>
                <c:pt idx="6">
                  <c:v>4.9904815160949303</c:v>
                </c:pt>
                <c:pt idx="7">
                  <c:v>5.8328617663198097</c:v>
                </c:pt>
                <c:pt idx="8">
                  <c:v>6.6775810533043201</c:v>
                </c:pt>
                <c:pt idx="9">
                  <c:v>7.5243726208630699</c:v>
                </c:pt>
                <c:pt idx="10">
                  <c:v>8.3729678307440505</c:v>
                </c:pt>
                <c:pt idx="11">
                  <c:v>9.2230962477169705</c:v>
                </c:pt>
                <c:pt idx="12">
                  <c:v>10.074485725589</c:v>
                </c:pt>
                <c:pt idx="13">
                  <c:v>10.9268624941206</c:v>
                </c:pt>
                <c:pt idx="14">
                  <c:v>11.779951246813701</c:v>
                </c:pt>
                <c:pt idx="15">
                  <c:v>12.633475229544199</c:v>
                </c:pt>
                <c:pt idx="16">
                  <c:v>13.4871563300104</c:v>
                </c:pt>
                <c:pt idx="17">
                  <c:v>14.3407151679683</c:v>
                </c:pt>
                <c:pt idx="18">
                  <c:v>15.1938711862252</c:v>
                </c:pt>
                <c:pt idx="19">
                  <c:v>16.0463427423608</c:v>
                </c:pt>
                <c:pt idx="20">
                  <c:v>16.897847201148</c:v>
                </c:pt>
                <c:pt idx="21">
                  <c:v>17.748101027641098</c:v>
                </c:pt>
                <c:pt idx="22">
                  <c:v>18.596819880902199</c:v>
                </c:pt>
                <c:pt idx="23">
                  <c:v>19.4437187083346</c:v>
                </c:pt>
                <c:pt idx="24">
                  <c:v>20.288511840592601</c:v>
                </c:pt>
                <c:pt idx="25">
                  <c:v>21.143591634887201</c:v>
                </c:pt>
                <c:pt idx="26">
                  <c:v>21.931708473857501</c:v>
                </c:pt>
                <c:pt idx="27">
                  <c:v>22.713144701969501</c:v>
                </c:pt>
                <c:pt idx="28">
                  <c:v>23.4876622861781</c:v>
                </c:pt>
                <c:pt idx="29">
                  <c:v>24.255025300924199</c:v>
                </c:pt>
                <c:pt idx="30">
                  <c:v>25.015000000000001</c:v>
                </c:pt>
                <c:pt idx="31">
                  <c:v>25.767354887749999</c:v>
                </c:pt>
                <c:pt idx="32">
                  <c:v>26.5118607895872</c:v>
                </c:pt>
                <c:pt idx="33">
                  <c:v>27.2482909218018</c:v>
                </c:pt>
                <c:pt idx="34">
                  <c:v>27.976420960641502</c:v>
                </c:pt>
                <c:pt idx="35">
                  <c:v>28.696029110642801</c:v>
                </c:pt>
                <c:pt idx="36">
                  <c:v>29.4068961721924</c:v>
                </c:pt>
                <c:pt idx="37">
                  <c:v>30.108805608297001</c:v>
                </c:pt>
                <c:pt idx="38">
                  <c:v>30.801543610542701</c:v>
                </c:pt>
                <c:pt idx="39">
                  <c:v>31.4848991642234</c:v>
                </c:pt>
                <c:pt idx="40">
                  <c:v>32.1586641126176</c:v>
                </c:pt>
                <c:pt idx="41">
                  <c:v>32.822633220395097</c:v>
                </c:pt>
                <c:pt idx="42">
                  <c:v>33.476604236133703</c:v>
                </c:pt>
                <c:pt idx="43">
                  <c:v>34.120377953926798</c:v>
                </c:pt>
                <c:pt idx="44">
                  <c:v>34.7537582740636</c:v>
                </c:pt>
                <c:pt idx="45">
                  <c:v>35.376552262762999</c:v>
                </c:pt>
                <c:pt idx="46">
                  <c:v>35.988570210942697</c:v>
                </c:pt>
                <c:pt idx="47">
                  <c:v>36.589625692007097</c:v>
                </c:pt>
                <c:pt idx="48">
                  <c:v>37.179535618633999</c:v>
                </c:pt>
                <c:pt idx="49">
                  <c:v>37.7581202985453</c:v>
                </c:pt>
                <c:pt idx="50">
                  <c:v>38.325203489242497</c:v>
                </c:pt>
                <c:pt idx="51">
                  <c:v>38.880612451692301</c:v>
                </c:pt>
                <c:pt idx="52">
                  <c:v>39.424178002944302</c:v>
                </c:pt>
                <c:pt idx="53">
                  <c:v>39.955734567666099</c:v>
                </c:pt>
                <c:pt idx="54">
                  <c:v>40.475120228578596</c:v>
                </c:pt>
                <c:pt idx="55">
                  <c:v>40.982176775778299</c:v>
                </c:pt>
                <c:pt idx="56">
                  <c:v>41.476749754928697</c:v>
                </c:pt>
                <c:pt idx="57">
                  <c:v>41.9586885143096</c:v>
                </c:pt>
                <c:pt idx="58">
                  <c:v>42.427846250705997</c:v>
                </c:pt>
                <c:pt idx="59">
                  <c:v>42.884080054126699</c:v>
                </c:pt>
                <c:pt idx="60">
                  <c:v>43.3272509513355</c:v>
                </c:pt>
                <c:pt idx="61">
                  <c:v>43.757223948183999</c:v>
                </c:pt>
                <c:pt idx="62">
                  <c:v>44.173868070732098</c:v>
                </c:pt>
                <c:pt idx="63">
                  <c:v>44.577056405143999</c:v>
                </c:pt>
                <c:pt idx="64">
                  <c:v>44.9666661363473</c:v>
                </c:pt>
                <c:pt idx="65">
                  <c:v>45.342578585443597</c:v>
                </c:pt>
                <c:pt idx="66">
                  <c:v>45.704679245859303</c:v>
                </c:pt>
                <c:pt idx="67">
                  <c:v>46.052857818225597</c:v>
                </c:pt>
                <c:pt idx="68">
                  <c:v>46.387008243976403</c:v>
                </c:pt>
                <c:pt idx="69">
                  <c:v>46.707028737655001</c:v>
                </c:pt>
                <c:pt idx="70">
                  <c:v>47.012821817918997</c:v>
                </c:pt>
                <c:pt idx="71">
                  <c:v>47.304294337233799</c:v>
                </c:pt>
                <c:pt idx="72">
                  <c:v>47.581357510246498</c:v>
                </c:pt>
                <c:pt idx="73">
                  <c:v>47.843926940830698</c:v>
                </c:pt>
                <c:pt idx="74">
                  <c:v>48.0919226477941</c:v>
                </c:pt>
                <c:pt idx="75">
                  <c:v>48.325269089242099</c:v>
                </c:pt>
                <c:pt idx="76">
                  <c:v>48.543895185588099</c:v>
                </c:pt>
                <c:pt idx="77">
                  <c:v>48.747734341205302</c:v>
                </c:pt>
                <c:pt idx="78">
                  <c:v>48.936724464712299</c:v>
                </c:pt>
                <c:pt idx="79">
                  <c:v>49.110807987886602</c:v>
                </c:pt>
                <c:pt idx="80">
                  <c:v>49.269931883200798</c:v>
                </c:pt>
                <c:pt idx="81">
                  <c:v>49.414047679974701</c:v>
                </c:pt>
                <c:pt idx="82">
                  <c:v>49.543111479140798</c:v>
                </c:pt>
                <c:pt idx="83">
                  <c:v>49.657083966615303</c:v>
                </c:pt>
                <c:pt idx="84">
                  <c:v>49.755930425274698</c:v>
                </c:pt>
                <c:pt idx="85">
                  <c:v>49.839620745529999</c:v>
                </c:pt>
                <c:pt idx="86">
                  <c:v>49.908129434499003</c:v>
                </c:pt>
                <c:pt idx="87">
                  <c:v>49.961435623771301</c:v>
                </c:pt>
                <c:pt idx="88">
                  <c:v>49.999523075765403</c:v>
                </c:pt>
                <c:pt idx="89">
                  <c:v>50.022380188674298</c:v>
                </c:pt>
                <c:pt idx="90">
                  <c:v>50.03</c:v>
                </c:pt>
                <c:pt idx="91">
                  <c:v>50.022380188674298</c:v>
                </c:pt>
                <c:pt idx="92">
                  <c:v>49.999523075765403</c:v>
                </c:pt>
                <c:pt idx="93">
                  <c:v>49.961435623771301</c:v>
                </c:pt>
                <c:pt idx="94">
                  <c:v>49.908129434499003</c:v>
                </c:pt>
                <c:pt idx="95">
                  <c:v>49.839620745529999</c:v>
                </c:pt>
                <c:pt idx="96">
                  <c:v>49.755930425274698</c:v>
                </c:pt>
                <c:pt idx="97">
                  <c:v>49.657083966615303</c:v>
                </c:pt>
                <c:pt idx="98">
                  <c:v>49.543111479140798</c:v>
                </c:pt>
                <c:pt idx="99">
                  <c:v>49.414047679974701</c:v>
                </c:pt>
                <c:pt idx="100">
                  <c:v>49.269931883200798</c:v>
                </c:pt>
                <c:pt idx="101">
                  <c:v>49.110807987886602</c:v>
                </c:pt>
                <c:pt idx="102">
                  <c:v>48.936724464712299</c:v>
                </c:pt>
                <c:pt idx="103">
                  <c:v>48.625152300796898</c:v>
                </c:pt>
                <c:pt idx="104">
                  <c:v>48.3288651327005</c:v>
                </c:pt>
                <c:pt idx="105">
                  <c:v>48.018665536639404</c:v>
                </c:pt>
                <c:pt idx="106">
                  <c:v>47.694704508278903</c:v>
                </c:pt>
                <c:pt idx="107">
                  <c:v>47.357136971505</c:v>
                </c:pt>
                <c:pt idx="108">
                  <c:v>47.006121714100303</c:v>
                </c:pt>
                <c:pt idx="109">
                  <c:v>46.641821322330003</c:v>
                </c:pt>
                <c:pt idx="110">
                  <c:v>46.2644021144608</c:v>
                </c:pt>
                <c:pt idx="111">
                  <c:v>45.874034073238498</c:v>
                </c:pt>
                <c:pt idx="112">
                  <c:v>45.470890777351201</c:v>
                </c:pt>
                <c:pt idx="113">
                  <c:v>45.055149331903003</c:v>
                </c:pt>
                <c:pt idx="114">
                  <c:v>44.626990297924202</c:v>
                </c:pt>
                <c:pt idx="115">
                  <c:v>44.186597620945903</c:v>
                </c:pt>
                <c:pt idx="116">
                  <c:v>43.734158558664198</c:v>
                </c:pt>
                <c:pt idx="117">
                  <c:v>43.269863607721902</c:v>
                </c:pt>
                <c:pt idx="118">
                  <c:v>42.793906429634902</c:v>
                </c:pt>
                <c:pt idx="119">
                  <c:v>42.3064837758902</c:v>
                </c:pt>
                <c:pt idx="120">
                  <c:v>41.807795412243998</c:v>
                </c:pt>
                <c:pt idx="121">
                  <c:v>41.2980440422469</c:v>
                </c:pt>
                <c:pt idx="122">
                  <c:v>40.7774352300248</c:v>
                </c:pt>
                <c:pt idx="123">
                  <c:v>40.246177322343598</c:v>
                </c:pt>
                <c:pt idx="124">
                  <c:v>39.704481369986098</c:v>
                </c:pt>
                <c:pt idx="125">
                  <c:v>39.1525610484696</c:v>
                </c:pt>
                <c:pt idx="126">
                  <c:v>38.590632578132997</c:v>
                </c:pt>
                <c:pt idx="127">
                  <c:v>38.018914643622303</c:v>
                </c:pt>
                <c:pt idx="128">
                  <c:v>37.437628312803497</c:v>
                </c:pt>
                <c:pt idx="129">
                  <c:v>36.846996955131303</c:v>
                </c:pt>
                <c:pt idx="130">
                  <c:v>36.247246159504598</c:v>
                </c:pt>
                <c:pt idx="131">
                  <c:v>35.638603651635798</c:v>
                </c:pt>
                <c:pt idx="132">
                  <c:v>35.021299210965303</c:v>
                </c:pt>
                <c:pt idx="133">
                  <c:v>34.3955645871496</c:v>
                </c:pt>
                <c:pt idx="134">
                  <c:v>33.830550809926798</c:v>
                </c:pt>
                <c:pt idx="135">
                  <c:v>33.255231919203297</c:v>
                </c:pt>
                <c:pt idx="136">
                  <c:v>32.669783162686599</c:v>
                </c:pt>
                <c:pt idx="137">
                  <c:v>32.074382873739303</c:v>
                </c:pt>
                <c:pt idx="138">
                  <c:v>31.469212417057101</c:v>
                </c:pt>
                <c:pt idx="139">
                  <c:v>30.8544561334236</c:v>
                </c:pt>
                <c:pt idx="140">
                  <c:v>30.230301283557999</c:v>
                </c:pt>
                <c:pt idx="141">
                  <c:v>29.596937991073901</c:v>
                </c:pt>
                <c:pt idx="142">
                  <c:v>28.954559184565699</c:v>
                </c:pt>
                <c:pt idx="143">
                  <c:v>28.303360538840799</c:v>
                </c:pt>
                <c:pt idx="144">
                  <c:v>27.643540415315002</c:v>
                </c:pt>
                <c:pt idx="145">
                  <c:v>26.975299801589699</c:v>
                </c:pt>
                <c:pt idx="146">
                  <c:v>26.2988422502292</c:v>
                </c:pt>
                <c:pt idx="147">
                  <c:v>25.6143738167567</c:v>
                </c:pt>
                <c:pt idx="148">
                  <c:v>24.922102996887599</c:v>
                </c:pt>
                <c:pt idx="149">
                  <c:v>24.2222406630199</c:v>
                </c:pt>
                <c:pt idx="150">
                  <c:v>23.515000000000001</c:v>
                </c:pt>
                <c:pt idx="151">
                  <c:v>22.800596440185199</c:v>
                </c:pt>
                <c:pt idx="152">
                  <c:v>22.079247597820501</c:v>
                </c:pt>
                <c:pt idx="153">
                  <c:v>21.3511732027509</c:v>
                </c:pt>
                <c:pt idx="154">
                  <c:v>20.616595033490299</c:v>
                </c:pt>
                <c:pt idx="155">
                  <c:v>19.875736849665099</c:v>
                </c:pt>
                <c:pt idx="156">
                  <c:v>19.1288243238549</c:v>
                </c:pt>
                <c:pt idx="157">
                  <c:v>18.376084972850599</c:v>
                </c:pt>
                <c:pt idx="158">
                  <c:v>17.6177480883504</c:v>
                </c:pt>
                <c:pt idx="159">
                  <c:v>16.854044667115499</c:v>
                </c:pt>
                <c:pt idx="160">
                  <c:v>16.0852073406062</c:v>
                </c:pt>
                <c:pt idx="161">
                  <c:v>15.3114703041201</c:v>
                </c:pt>
                <c:pt idx="162">
                  <c:v>14.533069245453801</c:v>
                </c:pt>
                <c:pt idx="163">
                  <c:v>13.7502412731103</c:v>
                </c:pt>
                <c:pt idx="164">
                  <c:v>12.963224844073499</c:v>
                </c:pt>
                <c:pt idx="165">
                  <c:v>12.1722596911716</c:v>
                </c:pt>
                <c:pt idx="166">
                  <c:v>11.3775867500524</c:v>
                </c:pt>
                <c:pt idx="167">
                  <c:v>10.579448085792</c:v>
                </c:pt>
                <c:pt idx="168">
                  <c:v>9.7780868191592205</c:v>
                </c:pt>
                <c:pt idx="169">
                  <c:v>8.9737470525589096</c:v>
                </c:pt>
                <c:pt idx="170">
                  <c:v>8.1666737956757292</c:v>
                </c:pt>
                <c:pt idx="171">
                  <c:v>7.3571128908420604</c:v>
                </c:pt>
                <c:pt idx="172">
                  <c:v>6.5453109381518901</c:v>
                </c:pt>
                <c:pt idx="173">
                  <c:v>5.7315152203440896</c:v>
                </c:pt>
                <c:pt idx="174">
                  <c:v>4.9159736274777597</c:v>
                </c:pt>
                <c:pt idx="175">
                  <c:v>4.0989345814223901</c:v>
                </c:pt>
                <c:pt idx="176">
                  <c:v>3.2806469601862198</c:v>
                </c:pt>
                <c:pt idx="177">
                  <c:v>2.4613600221056502</c:v>
                </c:pt>
                <c:pt idx="178">
                  <c:v>1.6413233299186101</c:v>
                </c:pt>
                <c:pt idx="179">
                  <c:v>0.82078667474543998</c:v>
                </c:pt>
                <c:pt idx="180">
                  <c:v>5.7595138963900002E-15</c:v>
                </c:pt>
                <c:pt idx="181">
                  <c:v>-0.82078667474542899</c:v>
                </c:pt>
                <c:pt idx="182">
                  <c:v>-1.6413233299186201</c:v>
                </c:pt>
                <c:pt idx="183">
                  <c:v>-2.46136002210564</c:v>
                </c:pt>
                <c:pt idx="184">
                  <c:v>-3.2806469601861901</c:v>
                </c:pt>
                <c:pt idx="185">
                  <c:v>-4.0989345814223501</c:v>
                </c:pt>
                <c:pt idx="186">
                  <c:v>-4.9159736274777197</c:v>
                </c:pt>
                <c:pt idx="187">
                  <c:v>-5.7315152203441002</c:v>
                </c:pt>
                <c:pt idx="188">
                  <c:v>-6.5453109381518804</c:v>
                </c:pt>
                <c:pt idx="189">
                  <c:v>-7.3571128908420498</c:v>
                </c:pt>
                <c:pt idx="190">
                  <c:v>-8.1666737956757398</c:v>
                </c:pt>
                <c:pt idx="191">
                  <c:v>-8.9737470525589007</c:v>
                </c:pt>
                <c:pt idx="192">
                  <c:v>-9.7780868191592099</c:v>
                </c:pt>
                <c:pt idx="193">
                  <c:v>-10.579448085792</c:v>
                </c:pt>
                <c:pt idx="194">
                  <c:v>-11.3775867500524</c:v>
                </c:pt>
                <c:pt idx="195">
                  <c:v>-12.172259691171501</c:v>
                </c:pt>
                <c:pt idx="196">
                  <c:v>-12.963224844073499</c:v>
                </c:pt>
                <c:pt idx="197">
                  <c:v>-13.7502412731103</c:v>
                </c:pt>
                <c:pt idx="198">
                  <c:v>-14.533069245453801</c:v>
                </c:pt>
                <c:pt idx="199">
                  <c:v>-15.3114703041201</c:v>
                </c:pt>
                <c:pt idx="200">
                  <c:v>-16.0852073406062</c:v>
                </c:pt>
                <c:pt idx="201">
                  <c:v>-16.854044667115499</c:v>
                </c:pt>
                <c:pt idx="202">
                  <c:v>-17.6177480883503</c:v>
                </c:pt>
                <c:pt idx="203">
                  <c:v>-18.376084972850499</c:v>
                </c:pt>
                <c:pt idx="204">
                  <c:v>-19.1288243238549</c:v>
                </c:pt>
                <c:pt idx="205">
                  <c:v>-19.875736849665099</c:v>
                </c:pt>
                <c:pt idx="206">
                  <c:v>-20.616595033490299</c:v>
                </c:pt>
                <c:pt idx="207">
                  <c:v>-21.3511732027509</c:v>
                </c:pt>
                <c:pt idx="208">
                  <c:v>-22.079247597820402</c:v>
                </c:pt>
                <c:pt idx="209">
                  <c:v>-22.800596440185199</c:v>
                </c:pt>
                <c:pt idx="210">
                  <c:v>-23.515000000000001</c:v>
                </c:pt>
                <c:pt idx="211">
                  <c:v>-24.2222406630198</c:v>
                </c:pt>
                <c:pt idx="212">
                  <c:v>-24.922102996887599</c:v>
                </c:pt>
                <c:pt idx="213">
                  <c:v>-25.6143738167567</c:v>
                </c:pt>
                <c:pt idx="214">
                  <c:v>-26.2988422502292</c:v>
                </c:pt>
                <c:pt idx="215">
                  <c:v>-26.975299801589699</c:v>
                </c:pt>
                <c:pt idx="216">
                  <c:v>-27.643540415315002</c:v>
                </c:pt>
                <c:pt idx="217">
                  <c:v>-28.303360538840799</c:v>
                </c:pt>
                <c:pt idx="218">
                  <c:v>-28.954559184565699</c:v>
                </c:pt>
                <c:pt idx="219">
                  <c:v>-29.596937991073901</c:v>
                </c:pt>
                <c:pt idx="220">
                  <c:v>-30.2303012835579</c:v>
                </c:pt>
                <c:pt idx="221">
                  <c:v>-30.8544561334236</c:v>
                </c:pt>
                <c:pt idx="222">
                  <c:v>-31.469212417057101</c:v>
                </c:pt>
                <c:pt idx="223">
                  <c:v>-32.074382873739303</c:v>
                </c:pt>
                <c:pt idx="224">
                  <c:v>-32.669783162686599</c:v>
                </c:pt>
                <c:pt idx="225">
                  <c:v>-33.255231919203297</c:v>
                </c:pt>
                <c:pt idx="226">
                  <c:v>-33.830550809926699</c:v>
                </c:pt>
                <c:pt idx="227">
                  <c:v>-34.3955645871496</c:v>
                </c:pt>
                <c:pt idx="228">
                  <c:v>-34.950101142201802</c:v>
                </c:pt>
                <c:pt idx="229">
                  <c:v>-35.493991557877003</c:v>
                </c:pt>
                <c:pt idx="230">
                  <c:v>-36.027070159885497</c:v>
                </c:pt>
                <c:pt idx="231">
                  <c:v>-36.549174567321401</c:v>
                </c:pt>
                <c:pt idx="232">
                  <c:v>-37.060145742124099</c:v>
                </c:pt>
                <c:pt idx="233">
                  <c:v>-37.559828037524198</c:v>
                </c:pt>
                <c:pt idx="234">
                  <c:v>-38.048069245453803</c:v>
                </c:pt>
                <c:pt idx="235">
                  <c:v>-38.524720642911298</c:v>
                </c:pt>
                <c:pt idx="236">
                  <c:v>-38.989637037263599</c:v>
                </c:pt>
                <c:pt idx="237">
                  <c:v>-39.442676810473301</c:v>
                </c:pt>
                <c:pt idx="238">
                  <c:v>-39.8837019622367</c:v>
                </c:pt>
                <c:pt idx="239">
                  <c:v>-40.312578152020301</c:v>
                </c:pt>
                <c:pt idx="240">
                  <c:v>-40.729174739982099</c:v>
                </c:pt>
                <c:pt idx="241">
                  <c:v>-41.133364826765799</c:v>
                </c:pt>
                <c:pt idx="242">
                  <c:v>-41.525025292155298</c:v>
                </c:pt>
                <c:pt idx="243">
                  <c:v>-41.904036832578903</c:v>
                </c:pt>
                <c:pt idx="244">
                  <c:v>-42.270283997449802</c:v>
                </c:pt>
                <c:pt idx="245">
                  <c:v>-42.623655224333604</c:v>
                </c:pt>
                <c:pt idx="246">
                  <c:v>-42.9640428729315</c:v>
                </c:pt>
                <c:pt idx="247">
                  <c:v>-43.291343257868299</c:v>
                </c:pt>
                <c:pt idx="248">
                  <c:v>-43.605456680275999</c:v>
                </c:pt>
                <c:pt idx="249">
                  <c:v>-43.906287458163398</c:v>
                </c:pt>
                <c:pt idx="250">
                  <c:v>-44.193743955561303</c:v>
                </c:pt>
                <c:pt idx="251">
                  <c:v>-44.467738610435902</c:v>
                </c:pt>
                <c:pt idx="252">
                  <c:v>-44.728187961361101</c:v>
                </c:pt>
                <c:pt idx="253">
                  <c:v>-44.975012672941602</c:v>
                </c:pt>
                <c:pt idx="254">
                  <c:v>-45.2081375599791</c:v>
                </c:pt>
                <c:pt idx="255">
                  <c:v>-45.427491610374901</c:v>
                </c:pt>
                <c:pt idx="256">
                  <c:v>-45.6330080067601</c:v>
                </c:pt>
                <c:pt idx="257">
                  <c:v>-45.824624146849601</c:v>
                </c:pt>
                <c:pt idx="258">
                  <c:v>-46.002281662510903</c:v>
                </c:pt>
                <c:pt idx="259">
                  <c:v>-46.165926437543597</c:v>
                </c:pt>
                <c:pt idx="260">
                  <c:v>-46.315508624164103</c:v>
                </c:pt>
                <c:pt idx="261">
                  <c:v>-46.450982658189297</c:v>
                </c:pt>
                <c:pt idx="262">
                  <c:v>-46.572307272916099</c:v>
                </c:pt>
                <c:pt idx="263">
                  <c:v>-46.679445511691398</c:v>
                </c:pt>
                <c:pt idx="264">
                  <c:v>-46.772364739169902</c:v>
                </c:pt>
                <c:pt idx="265">
                  <c:v>-46.851036651254802</c:v>
                </c:pt>
                <c:pt idx="266">
                  <c:v>-46.915437283719498</c:v>
                </c:pt>
                <c:pt idx="267">
                  <c:v>-46.965547019507603</c:v>
                </c:pt>
                <c:pt idx="268">
                  <c:v>-47.0013505947081</c:v>
                </c:pt>
                <c:pt idx="269">
                  <c:v>-47.022837103205099</c:v>
                </c:pt>
                <c:pt idx="270">
                  <c:v>-47.03</c:v>
                </c:pt>
                <c:pt idx="271">
                  <c:v>-47.022837103205099</c:v>
                </c:pt>
                <c:pt idx="272">
                  <c:v>-47.0013505947081</c:v>
                </c:pt>
                <c:pt idx="273">
                  <c:v>-46.965547019507603</c:v>
                </c:pt>
                <c:pt idx="274">
                  <c:v>-46.915437283719498</c:v>
                </c:pt>
                <c:pt idx="275">
                  <c:v>-46.851036651254802</c:v>
                </c:pt>
                <c:pt idx="276">
                  <c:v>-46.772364739169902</c:v>
                </c:pt>
                <c:pt idx="277">
                  <c:v>-46.679445511691398</c:v>
                </c:pt>
                <c:pt idx="278">
                  <c:v>-46.572307272916099</c:v>
                </c:pt>
                <c:pt idx="279">
                  <c:v>-46.450982658189297</c:v>
                </c:pt>
                <c:pt idx="280">
                  <c:v>-46.315508624164202</c:v>
                </c:pt>
                <c:pt idx="281">
                  <c:v>-46.165926437543597</c:v>
                </c:pt>
                <c:pt idx="282">
                  <c:v>-46.002281662510903</c:v>
                </c:pt>
                <c:pt idx="283">
                  <c:v>-45.824624146849601</c:v>
                </c:pt>
                <c:pt idx="284">
                  <c:v>-45.6330080067601</c:v>
                </c:pt>
                <c:pt idx="285">
                  <c:v>-45.427491610374901</c:v>
                </c:pt>
                <c:pt idx="286">
                  <c:v>-45.2081375599791</c:v>
                </c:pt>
                <c:pt idx="287">
                  <c:v>-44.975012672941602</c:v>
                </c:pt>
                <c:pt idx="288">
                  <c:v>-44.728187961361101</c:v>
                </c:pt>
                <c:pt idx="289">
                  <c:v>-44.467738610435902</c:v>
                </c:pt>
                <c:pt idx="290">
                  <c:v>-44.193743955561303</c:v>
                </c:pt>
                <c:pt idx="291">
                  <c:v>-43.906287458163398</c:v>
                </c:pt>
                <c:pt idx="292">
                  <c:v>-43.605456680275999</c:v>
                </c:pt>
                <c:pt idx="293">
                  <c:v>-43.291343257868299</c:v>
                </c:pt>
                <c:pt idx="294">
                  <c:v>-42.9640428729315</c:v>
                </c:pt>
                <c:pt idx="295">
                  <c:v>-42.623655224333604</c:v>
                </c:pt>
                <c:pt idx="296">
                  <c:v>-42.270283997449802</c:v>
                </c:pt>
                <c:pt idx="297">
                  <c:v>-41.904036832578903</c:v>
                </c:pt>
                <c:pt idx="298">
                  <c:v>-41.525025292155298</c:v>
                </c:pt>
                <c:pt idx="299">
                  <c:v>-41.133364826765799</c:v>
                </c:pt>
                <c:pt idx="300">
                  <c:v>-40.729174739982099</c:v>
                </c:pt>
                <c:pt idx="301">
                  <c:v>-40.312578152020301</c:v>
                </c:pt>
                <c:pt idx="302">
                  <c:v>-39.8837019622367</c:v>
                </c:pt>
                <c:pt idx="303">
                  <c:v>-39.442676810473301</c:v>
                </c:pt>
                <c:pt idx="304">
                  <c:v>-38.989637037263599</c:v>
                </c:pt>
                <c:pt idx="305">
                  <c:v>-38.524720642911298</c:v>
                </c:pt>
                <c:pt idx="306">
                  <c:v>-38.048069245453803</c:v>
                </c:pt>
                <c:pt idx="307">
                  <c:v>-37.559828037524198</c:v>
                </c:pt>
                <c:pt idx="308">
                  <c:v>-37.060145742124099</c:v>
                </c:pt>
                <c:pt idx="309">
                  <c:v>-36.549174567321302</c:v>
                </c:pt>
                <c:pt idx="310">
                  <c:v>-36.027070159885497</c:v>
                </c:pt>
                <c:pt idx="311">
                  <c:v>-35.493991557877003</c:v>
                </c:pt>
                <c:pt idx="312">
                  <c:v>-34.950101142201902</c:v>
                </c:pt>
                <c:pt idx="313">
                  <c:v>-34.3955645871496</c:v>
                </c:pt>
                <c:pt idx="314">
                  <c:v>-33.830550809926798</c:v>
                </c:pt>
                <c:pt idx="315">
                  <c:v>-33.255231919203297</c:v>
                </c:pt>
                <c:pt idx="316">
                  <c:v>-32.669783162686699</c:v>
                </c:pt>
                <c:pt idx="317">
                  <c:v>-32.074382873739303</c:v>
                </c:pt>
                <c:pt idx="318">
                  <c:v>-31.469212417057101</c:v>
                </c:pt>
                <c:pt idx="319">
                  <c:v>-30.8544561334236</c:v>
                </c:pt>
                <c:pt idx="320">
                  <c:v>-30.230301283557999</c:v>
                </c:pt>
                <c:pt idx="321">
                  <c:v>-29.596937991073901</c:v>
                </c:pt>
                <c:pt idx="322">
                  <c:v>-28.954559184565699</c:v>
                </c:pt>
                <c:pt idx="323">
                  <c:v>-28.303360538840799</c:v>
                </c:pt>
                <c:pt idx="324">
                  <c:v>-27.643540415315002</c:v>
                </c:pt>
                <c:pt idx="325">
                  <c:v>-26.975299801589699</c:v>
                </c:pt>
                <c:pt idx="326">
                  <c:v>-26.2988422502292</c:v>
                </c:pt>
                <c:pt idx="327">
                  <c:v>-25.6143738167567</c:v>
                </c:pt>
                <c:pt idx="328">
                  <c:v>-24.922102996887698</c:v>
                </c:pt>
                <c:pt idx="329">
                  <c:v>-24.2222406630199</c:v>
                </c:pt>
                <c:pt idx="330">
                  <c:v>-23.515000000000001</c:v>
                </c:pt>
                <c:pt idx="331">
                  <c:v>-22.800596440185199</c:v>
                </c:pt>
                <c:pt idx="332">
                  <c:v>-22.079247597820402</c:v>
                </c:pt>
                <c:pt idx="333">
                  <c:v>-21.3511732027509</c:v>
                </c:pt>
                <c:pt idx="334">
                  <c:v>-20.616595033490299</c:v>
                </c:pt>
                <c:pt idx="335">
                  <c:v>-19.875736849665099</c:v>
                </c:pt>
                <c:pt idx="336">
                  <c:v>-19.1288243238549</c:v>
                </c:pt>
                <c:pt idx="337">
                  <c:v>-18.376084972850599</c:v>
                </c:pt>
                <c:pt idx="338">
                  <c:v>-17.6177480883504</c:v>
                </c:pt>
                <c:pt idx="339">
                  <c:v>-16.854044667115499</c:v>
                </c:pt>
                <c:pt idx="340">
                  <c:v>-16.0852073406062</c:v>
                </c:pt>
                <c:pt idx="341">
                  <c:v>-15.3114703041201</c:v>
                </c:pt>
                <c:pt idx="342">
                  <c:v>-14.533069245453801</c:v>
                </c:pt>
                <c:pt idx="343">
                  <c:v>-13.7502412731103</c:v>
                </c:pt>
                <c:pt idx="344">
                  <c:v>-12.963224844073499</c:v>
                </c:pt>
                <c:pt idx="345">
                  <c:v>-12.172259691171501</c:v>
                </c:pt>
                <c:pt idx="346">
                  <c:v>-11.3775867500524</c:v>
                </c:pt>
                <c:pt idx="347">
                  <c:v>-10.579448085792</c:v>
                </c:pt>
                <c:pt idx="348">
                  <c:v>-9.7780868191592507</c:v>
                </c:pt>
                <c:pt idx="349">
                  <c:v>-8.9737470525589007</c:v>
                </c:pt>
                <c:pt idx="350">
                  <c:v>-8.1666737956757807</c:v>
                </c:pt>
                <c:pt idx="351">
                  <c:v>-7.3571128908420702</c:v>
                </c:pt>
                <c:pt idx="352">
                  <c:v>-6.5453109381518999</c:v>
                </c:pt>
                <c:pt idx="353">
                  <c:v>-5.7315152203441198</c:v>
                </c:pt>
                <c:pt idx="354">
                  <c:v>-4.9159736274777401</c:v>
                </c:pt>
                <c:pt idx="355">
                  <c:v>-4.0989345814223697</c:v>
                </c:pt>
                <c:pt idx="356">
                  <c:v>-3.2806469601861901</c:v>
                </c:pt>
                <c:pt idx="357">
                  <c:v>-2.4613600221056702</c:v>
                </c:pt>
                <c:pt idx="358">
                  <c:v>-1.6413233299186101</c:v>
                </c:pt>
                <c:pt idx="359">
                  <c:v>-0.82078667474548805</c:v>
                </c:pt>
                <c:pt idx="360">
                  <c:v>0</c:v>
                </c:pt>
              </c:numCache>
            </c:numRef>
          </c:xVal>
          <c:yVal>
            <c:numRef>
              <c:f>凸轮的轮廓曲线设计!$H$3:$H$363</c:f>
              <c:numCache>
                <c:formatCode>General</c:formatCode>
                <c:ptCount val="361"/>
                <c:pt idx="0">
                  <c:v>47.03</c:v>
                </c:pt>
                <c:pt idx="1">
                  <c:v>47.1416190093897</c:v>
                </c:pt>
                <c:pt idx="2">
                  <c:v>47.238805855207801</c:v>
                </c:pt>
                <c:pt idx="3">
                  <c:v>47.321458585694103</c:v>
                </c:pt>
                <c:pt idx="4">
                  <c:v>47.389479720403003</c:v>
                </c:pt>
                <c:pt idx="5">
                  <c:v>47.442776301921299</c:v>
                </c:pt>
                <c:pt idx="6">
                  <c:v>47.481259946188402</c:v>
                </c:pt>
                <c:pt idx="7">
                  <c:v>47.504846891396298</c:v>
                </c:pt>
                <c:pt idx="8">
                  <c:v>47.513458045447997</c:v>
                </c:pt>
                <c:pt idx="9">
                  <c:v>47.507019031953703</c:v>
                </c:pt>
                <c:pt idx="10">
                  <c:v>47.485460234742597</c:v>
                </c:pt>
                <c:pt idx="11">
                  <c:v>47.448716840872997</c:v>
                </c:pt>
                <c:pt idx="12">
                  <c:v>47.396728882117003</c:v>
                </c:pt>
                <c:pt idx="13">
                  <c:v>47.3294412749039</c:v>
                </c:pt>
                <c:pt idx="14">
                  <c:v>47.2468038587024</c:v>
                </c:pt>
                <c:pt idx="15">
                  <c:v>47.148771432822002</c:v>
                </c:pt>
                <c:pt idx="16">
                  <c:v>47.035303791618702</c:v>
                </c:pt>
                <c:pt idx="17">
                  <c:v>46.906365758084497</c:v>
                </c:pt>
                <c:pt idx="18">
                  <c:v>46.761927215806601</c:v>
                </c:pt>
                <c:pt idx="19">
                  <c:v>46.601963139278602</c:v>
                </c:pt>
                <c:pt idx="20">
                  <c:v>46.4264536225486</c:v>
                </c:pt>
                <c:pt idx="21">
                  <c:v>46.235383906188602</c:v>
                </c:pt>
                <c:pt idx="22">
                  <c:v>46.028744402571803</c:v>
                </c:pt>
                <c:pt idx="23">
                  <c:v>45.806530719441703</c:v>
                </c:pt>
                <c:pt idx="24">
                  <c:v>45.568743681762101</c:v>
                </c:pt>
                <c:pt idx="25">
                  <c:v>45.342578585443597</c:v>
                </c:pt>
                <c:pt idx="26">
                  <c:v>44.9666661363473</c:v>
                </c:pt>
                <c:pt idx="27">
                  <c:v>44.577056405143999</c:v>
                </c:pt>
                <c:pt idx="28">
                  <c:v>44.173868070732098</c:v>
                </c:pt>
                <c:pt idx="29">
                  <c:v>43.757223948183999</c:v>
                </c:pt>
                <c:pt idx="30">
                  <c:v>43.3272509513355</c:v>
                </c:pt>
                <c:pt idx="31">
                  <c:v>42.884080054126699</c:v>
                </c:pt>
                <c:pt idx="32">
                  <c:v>42.427846250705997</c:v>
                </c:pt>
                <c:pt idx="33">
                  <c:v>41.9586885143096</c:v>
                </c:pt>
                <c:pt idx="34">
                  <c:v>41.476749754928697</c:v>
                </c:pt>
                <c:pt idx="35">
                  <c:v>40.982176775778299</c:v>
                </c:pt>
                <c:pt idx="36">
                  <c:v>40.475120228578596</c:v>
                </c:pt>
                <c:pt idx="37">
                  <c:v>39.955734567666099</c:v>
                </c:pt>
                <c:pt idx="38">
                  <c:v>39.424178002944302</c:v>
                </c:pt>
                <c:pt idx="39">
                  <c:v>38.880612451692301</c:v>
                </c:pt>
                <c:pt idx="40">
                  <c:v>38.325203489242497</c:v>
                </c:pt>
                <c:pt idx="41">
                  <c:v>37.7581202985453</c:v>
                </c:pt>
                <c:pt idx="42">
                  <c:v>37.179535618633999</c:v>
                </c:pt>
                <c:pt idx="43">
                  <c:v>36.589625692007097</c:v>
                </c:pt>
                <c:pt idx="44">
                  <c:v>35.988570210942697</c:v>
                </c:pt>
                <c:pt idx="45">
                  <c:v>35.376552262762999</c:v>
                </c:pt>
                <c:pt idx="46">
                  <c:v>34.7537582740636</c:v>
                </c:pt>
                <c:pt idx="47">
                  <c:v>34.120377953926798</c:v>
                </c:pt>
                <c:pt idx="48">
                  <c:v>33.476604236133703</c:v>
                </c:pt>
                <c:pt idx="49">
                  <c:v>32.822633220395097</c:v>
                </c:pt>
                <c:pt idx="50">
                  <c:v>32.1586641126176</c:v>
                </c:pt>
                <c:pt idx="51">
                  <c:v>31.4848991642234</c:v>
                </c:pt>
                <c:pt idx="52">
                  <c:v>30.801543610542701</c:v>
                </c:pt>
                <c:pt idx="53">
                  <c:v>30.108805608297001</c:v>
                </c:pt>
                <c:pt idx="54">
                  <c:v>29.4068961721924</c:v>
                </c:pt>
                <c:pt idx="55">
                  <c:v>28.696029110642801</c:v>
                </c:pt>
                <c:pt idx="56">
                  <c:v>27.976420960641502</c:v>
                </c:pt>
                <c:pt idx="57">
                  <c:v>27.2482909218018</c:v>
                </c:pt>
                <c:pt idx="58">
                  <c:v>26.5118607895872</c:v>
                </c:pt>
                <c:pt idx="59">
                  <c:v>25.767354887749999</c:v>
                </c:pt>
                <c:pt idx="60">
                  <c:v>25.015000000000001</c:v>
                </c:pt>
                <c:pt idx="61">
                  <c:v>24.255025300924199</c:v>
                </c:pt>
                <c:pt idx="62">
                  <c:v>23.4876622861781</c:v>
                </c:pt>
                <c:pt idx="63">
                  <c:v>22.713144701969501</c:v>
                </c:pt>
                <c:pt idx="64">
                  <c:v>21.931708473857501</c:v>
                </c:pt>
                <c:pt idx="65">
                  <c:v>21.143591634887201</c:v>
                </c:pt>
                <c:pt idx="66">
                  <c:v>20.349034253082301</c:v>
                </c:pt>
                <c:pt idx="67">
                  <c:v>19.548278358318399</c:v>
                </c:pt>
                <c:pt idx="68">
                  <c:v>18.7415678685981</c:v>
                </c:pt>
                <c:pt idx="69">
                  <c:v>17.9291485157514</c:v>
                </c:pt>
                <c:pt idx="70">
                  <c:v>17.111267770583201</c:v>
                </c:pt>
                <c:pt idx="71">
                  <c:v>16.288174767491601</c:v>
                </c:pt>
                <c:pt idx="72">
                  <c:v>15.460120228578599</c:v>
                </c:pt>
                <c:pt idx="73">
                  <c:v>14.6273563872785</c:v>
                </c:pt>
                <c:pt idx="74">
                  <c:v>13.790136911524501</c:v>
                </c:pt>
                <c:pt idx="75">
                  <c:v>12.948716826479099</c:v>
                </c:pt>
                <c:pt idx="76">
                  <c:v>12.1033524368514</c:v>
                </c:pt>
                <c:pt idx="77">
                  <c:v>11.2543012488236</c:v>
                </c:pt>
                <c:pt idx="78">
                  <c:v>10.401821891612499</c:v>
                </c:pt>
                <c:pt idx="79">
                  <c:v>9.5461740386885392</c:v>
                </c:pt>
                <c:pt idx="80">
                  <c:v>8.6876183286765301</c:v>
                </c:pt>
                <c:pt idx="81">
                  <c:v>7.8264162859627504</c:v>
                </c:pt>
                <c:pt idx="82">
                  <c:v>6.9628302410320897</c:v>
                </c:pt>
                <c:pt idx="83">
                  <c:v>6.0971232505595303</c:v>
                </c:pt>
                <c:pt idx="84">
                  <c:v>5.2295590172806996</c:v>
                </c:pt>
                <c:pt idx="85">
                  <c:v>4.3604018096653396</c:v>
                </c:pt>
                <c:pt idx="86">
                  <c:v>3.4899163814185998</c:v>
                </c:pt>
                <c:pt idx="87">
                  <c:v>2.6183678908344898</c:v>
                </c:pt>
                <c:pt idx="88">
                  <c:v>1.7460218200261299</c:v>
                </c:pt>
                <c:pt idx="89">
                  <c:v>0.87314389405728698</c:v>
                </c:pt>
                <c:pt idx="90">
                  <c:v>3.0634539680671001E-15</c:v>
                </c:pt>
                <c:pt idx="91">
                  <c:v>-0.87314389405729198</c:v>
                </c:pt>
                <c:pt idx="92">
                  <c:v>-1.7460218200261099</c:v>
                </c:pt>
                <c:pt idx="93">
                  <c:v>-2.6183678908344699</c:v>
                </c:pt>
                <c:pt idx="94">
                  <c:v>-3.4899163814185901</c:v>
                </c:pt>
                <c:pt idx="95">
                  <c:v>-4.3604018096653396</c:v>
                </c:pt>
                <c:pt idx="96">
                  <c:v>-5.2295590172806996</c:v>
                </c:pt>
                <c:pt idx="97">
                  <c:v>-6.0971232505595196</c:v>
                </c:pt>
                <c:pt idx="98">
                  <c:v>-6.9628302410320702</c:v>
                </c:pt>
                <c:pt idx="99">
                  <c:v>-7.8264162859627602</c:v>
                </c:pt>
                <c:pt idx="100">
                  <c:v>-8.6876183286765194</c:v>
                </c:pt>
                <c:pt idx="101">
                  <c:v>-9.5461740386885392</c:v>
                </c:pt>
                <c:pt idx="102">
                  <c:v>-10.401821891612499</c:v>
                </c:pt>
                <c:pt idx="103">
                  <c:v>-11.226000954890001</c:v>
                </c:pt>
                <c:pt idx="104">
                  <c:v>-12.0497394232136</c:v>
                </c:pt>
                <c:pt idx="105">
                  <c:v>-12.866562652162701</c:v>
                </c:pt>
                <c:pt idx="106">
                  <c:v>-13.6762364428788</c:v>
                </c:pt>
                <c:pt idx="107">
                  <c:v>-14.4785297582293</c:v>
                </c:pt>
                <c:pt idx="108">
                  <c:v>-15.273214788432499</c:v>
                </c:pt>
                <c:pt idx="109">
                  <c:v>-16.0600670154009</c:v>
                </c:pt>
                <c:pt idx="110">
                  <c:v>-16.838865275786102</c:v>
                </c:pt>
                <c:pt idx="111">
                  <c:v>-17.609391822705501</c:v>
                </c:pt>
                <c:pt idx="112">
                  <c:v>-18.371432386135801</c:v>
                </c:pt>
                <c:pt idx="113">
                  <c:v>-19.124776231955799</c:v>
                </c:pt>
                <c:pt idx="114">
                  <c:v>-19.869216219621599</c:v>
                </c:pt>
                <c:pt idx="115">
                  <c:v>-20.6045488584605</c:v>
                </c:pt>
                <c:pt idx="116">
                  <c:v>-21.330574362567098</c:v>
                </c:pt>
                <c:pt idx="117">
                  <c:v>-22.0470967042871</c:v>
                </c:pt>
                <c:pt idx="118">
                  <c:v>-22.7539236662756</c:v>
                </c:pt>
                <c:pt idx="119">
                  <c:v>-23.450866892115599</c:v>
                </c:pt>
                <c:pt idx="120">
                  <c:v>-24.137741935483898</c:v>
                </c:pt>
                <c:pt idx="121">
                  <c:v>-24.8143683078519</c:v>
                </c:pt>
                <c:pt idx="122">
                  <c:v>-25.480569524710202</c:v>
                </c:pt>
                <c:pt idx="123">
                  <c:v>-26.136173150303399</c:v>
                </c:pt>
                <c:pt idx="124">
                  <c:v>-26.781010840867101</c:v>
                </c:pt>
                <c:pt idx="125">
                  <c:v>-27.414918386354199</c:v>
                </c:pt>
                <c:pt idx="126">
                  <c:v>-28.037735750642799</c:v>
                </c:pt>
                <c:pt idx="127">
                  <c:v>-28.649307110214</c:v>
                </c:pt>
                <c:pt idx="128">
                  <c:v>-29.249480891294301</c:v>
                </c:pt>
                <c:pt idx="129">
                  <c:v>-29.838109805450401</c:v>
                </c:pt>
                <c:pt idx="130">
                  <c:v>-30.4150508836324</c:v>
                </c:pt>
                <c:pt idx="131">
                  <c:v>-30.980165508655901</c:v>
                </c:pt>
                <c:pt idx="132">
                  <c:v>-31.5333194461179</c:v>
                </c:pt>
                <c:pt idx="133">
                  <c:v>-32.074382873739303</c:v>
                </c:pt>
                <c:pt idx="134">
                  <c:v>-32.669783162686599</c:v>
                </c:pt>
                <c:pt idx="135">
                  <c:v>-33.255231919203297</c:v>
                </c:pt>
                <c:pt idx="136">
                  <c:v>-33.830550809926798</c:v>
                </c:pt>
                <c:pt idx="137">
                  <c:v>-34.3955645871496</c:v>
                </c:pt>
                <c:pt idx="138">
                  <c:v>-34.950101142201802</c:v>
                </c:pt>
                <c:pt idx="139">
                  <c:v>-35.493991557877003</c:v>
                </c:pt>
                <c:pt idx="140">
                  <c:v>-36.027070159885497</c:v>
                </c:pt>
                <c:pt idx="141">
                  <c:v>-36.549174567321302</c:v>
                </c:pt>
                <c:pt idx="142">
                  <c:v>-37.060145742124099</c:v>
                </c:pt>
                <c:pt idx="143">
                  <c:v>-37.559828037524198</c:v>
                </c:pt>
                <c:pt idx="144">
                  <c:v>-38.048069245453803</c:v>
                </c:pt>
                <c:pt idx="145">
                  <c:v>-38.524720642911298</c:v>
                </c:pt>
                <c:pt idx="146">
                  <c:v>-38.989637037263599</c:v>
                </c:pt>
                <c:pt idx="147">
                  <c:v>-39.442676810473301</c:v>
                </c:pt>
                <c:pt idx="148">
                  <c:v>-39.8837019622367</c:v>
                </c:pt>
                <c:pt idx="149">
                  <c:v>-40.312578152020301</c:v>
                </c:pt>
                <c:pt idx="150">
                  <c:v>-40.729174739982199</c:v>
                </c:pt>
                <c:pt idx="151">
                  <c:v>-41.133364826765799</c:v>
                </c:pt>
                <c:pt idx="152">
                  <c:v>-41.525025292155298</c:v>
                </c:pt>
                <c:pt idx="153">
                  <c:v>-41.904036832578903</c:v>
                </c:pt>
                <c:pt idx="154">
                  <c:v>-42.270283997449802</c:v>
                </c:pt>
                <c:pt idx="155">
                  <c:v>-42.623655224333604</c:v>
                </c:pt>
                <c:pt idx="156">
                  <c:v>-42.9640428729315</c:v>
                </c:pt>
                <c:pt idx="157">
                  <c:v>-43.291343257868299</c:v>
                </c:pt>
                <c:pt idx="158">
                  <c:v>-43.605456680275999</c:v>
                </c:pt>
                <c:pt idx="159">
                  <c:v>-43.906287458163398</c:v>
                </c:pt>
                <c:pt idx="160">
                  <c:v>-44.193743955561303</c:v>
                </c:pt>
                <c:pt idx="161">
                  <c:v>-44.467738610435902</c:v>
                </c:pt>
                <c:pt idx="162">
                  <c:v>-44.728187961361101</c:v>
                </c:pt>
                <c:pt idx="163">
                  <c:v>-44.975012672941602</c:v>
                </c:pt>
                <c:pt idx="164">
                  <c:v>-45.2081375599791</c:v>
                </c:pt>
                <c:pt idx="165">
                  <c:v>-45.427491610374901</c:v>
                </c:pt>
                <c:pt idx="166">
                  <c:v>-45.6330080067601</c:v>
                </c:pt>
                <c:pt idx="167">
                  <c:v>-45.824624146849601</c:v>
                </c:pt>
                <c:pt idx="168">
                  <c:v>-46.002281662510903</c:v>
                </c:pt>
                <c:pt idx="169">
                  <c:v>-46.165926437543597</c:v>
                </c:pt>
                <c:pt idx="170">
                  <c:v>-46.315508624164103</c:v>
                </c:pt>
                <c:pt idx="171">
                  <c:v>-46.450982658189297</c:v>
                </c:pt>
                <c:pt idx="172">
                  <c:v>-46.572307272915999</c:v>
                </c:pt>
                <c:pt idx="173">
                  <c:v>-46.679445511691398</c:v>
                </c:pt>
                <c:pt idx="174">
                  <c:v>-46.772364739169902</c:v>
                </c:pt>
                <c:pt idx="175">
                  <c:v>-46.851036651254802</c:v>
                </c:pt>
                <c:pt idx="176">
                  <c:v>-46.915437283719498</c:v>
                </c:pt>
                <c:pt idx="177">
                  <c:v>-46.965547019507603</c:v>
                </c:pt>
                <c:pt idx="178">
                  <c:v>-47.0013505947081</c:v>
                </c:pt>
                <c:pt idx="179">
                  <c:v>-47.022837103205099</c:v>
                </c:pt>
                <c:pt idx="180">
                  <c:v>-47.03</c:v>
                </c:pt>
                <c:pt idx="181">
                  <c:v>-47.022837103205099</c:v>
                </c:pt>
                <c:pt idx="182">
                  <c:v>-47.0013505947081</c:v>
                </c:pt>
                <c:pt idx="183">
                  <c:v>-46.965547019507603</c:v>
                </c:pt>
                <c:pt idx="184">
                  <c:v>-46.915437283719498</c:v>
                </c:pt>
                <c:pt idx="185">
                  <c:v>-46.851036651254802</c:v>
                </c:pt>
                <c:pt idx="186">
                  <c:v>-46.772364739169902</c:v>
                </c:pt>
                <c:pt idx="187">
                  <c:v>-46.679445511691398</c:v>
                </c:pt>
                <c:pt idx="188">
                  <c:v>-46.572307272915999</c:v>
                </c:pt>
                <c:pt idx="189">
                  <c:v>-46.450982658189297</c:v>
                </c:pt>
                <c:pt idx="190">
                  <c:v>-46.315508624164103</c:v>
                </c:pt>
                <c:pt idx="191">
                  <c:v>-46.165926437543597</c:v>
                </c:pt>
                <c:pt idx="192">
                  <c:v>-46.002281662510903</c:v>
                </c:pt>
                <c:pt idx="193">
                  <c:v>-45.824624146849601</c:v>
                </c:pt>
                <c:pt idx="194">
                  <c:v>-45.6330080067601</c:v>
                </c:pt>
                <c:pt idx="195">
                  <c:v>-45.427491610374901</c:v>
                </c:pt>
                <c:pt idx="196">
                  <c:v>-45.2081375599791</c:v>
                </c:pt>
                <c:pt idx="197">
                  <c:v>-44.975012672941602</c:v>
                </c:pt>
                <c:pt idx="198">
                  <c:v>-44.728187961361101</c:v>
                </c:pt>
                <c:pt idx="199">
                  <c:v>-44.467738610435902</c:v>
                </c:pt>
                <c:pt idx="200">
                  <c:v>-44.193743955561303</c:v>
                </c:pt>
                <c:pt idx="201">
                  <c:v>-43.906287458163398</c:v>
                </c:pt>
                <c:pt idx="202">
                  <c:v>-43.605456680275999</c:v>
                </c:pt>
                <c:pt idx="203">
                  <c:v>-43.291343257868299</c:v>
                </c:pt>
                <c:pt idx="204">
                  <c:v>-42.9640428729315</c:v>
                </c:pt>
                <c:pt idx="205">
                  <c:v>-42.623655224333703</c:v>
                </c:pt>
                <c:pt idx="206">
                  <c:v>-42.270283997449802</c:v>
                </c:pt>
                <c:pt idx="207">
                  <c:v>-41.904036832579003</c:v>
                </c:pt>
                <c:pt idx="208">
                  <c:v>-41.525025292155298</c:v>
                </c:pt>
                <c:pt idx="209">
                  <c:v>-41.133364826765799</c:v>
                </c:pt>
                <c:pt idx="210">
                  <c:v>-40.729174739982099</c:v>
                </c:pt>
                <c:pt idx="211">
                  <c:v>-40.312578152020301</c:v>
                </c:pt>
                <c:pt idx="212">
                  <c:v>-39.8837019622367</c:v>
                </c:pt>
                <c:pt idx="213">
                  <c:v>-39.442676810473301</c:v>
                </c:pt>
                <c:pt idx="214">
                  <c:v>-38.989637037263599</c:v>
                </c:pt>
                <c:pt idx="215">
                  <c:v>-38.524720642911298</c:v>
                </c:pt>
                <c:pt idx="216">
                  <c:v>-38.048069245453803</c:v>
                </c:pt>
                <c:pt idx="217">
                  <c:v>-37.559828037524198</c:v>
                </c:pt>
                <c:pt idx="218">
                  <c:v>-37.060145742124099</c:v>
                </c:pt>
                <c:pt idx="219">
                  <c:v>-36.549174567321302</c:v>
                </c:pt>
                <c:pt idx="220">
                  <c:v>-36.027070159885497</c:v>
                </c:pt>
                <c:pt idx="221">
                  <c:v>-35.493991557877003</c:v>
                </c:pt>
                <c:pt idx="222">
                  <c:v>-34.950101142201902</c:v>
                </c:pt>
                <c:pt idx="223">
                  <c:v>-34.3955645871496</c:v>
                </c:pt>
                <c:pt idx="224">
                  <c:v>-33.830550809926798</c:v>
                </c:pt>
                <c:pt idx="225">
                  <c:v>-33.255231919203297</c:v>
                </c:pt>
                <c:pt idx="226">
                  <c:v>-32.669783162686699</c:v>
                </c:pt>
                <c:pt idx="227">
                  <c:v>-32.074382873739303</c:v>
                </c:pt>
                <c:pt idx="228">
                  <c:v>-31.469212417057101</c:v>
                </c:pt>
                <c:pt idx="229">
                  <c:v>-30.8544561334236</c:v>
                </c:pt>
                <c:pt idx="230">
                  <c:v>-30.230301283557999</c:v>
                </c:pt>
                <c:pt idx="231">
                  <c:v>-29.596937991073801</c:v>
                </c:pt>
                <c:pt idx="232">
                  <c:v>-28.954559184565699</c:v>
                </c:pt>
                <c:pt idx="233">
                  <c:v>-28.303360538840799</c:v>
                </c:pt>
                <c:pt idx="234">
                  <c:v>-27.643540415315002</c:v>
                </c:pt>
                <c:pt idx="235">
                  <c:v>-26.975299801589699</c:v>
                </c:pt>
                <c:pt idx="236">
                  <c:v>-26.2988422502292</c:v>
                </c:pt>
                <c:pt idx="237">
                  <c:v>-25.6143738167567</c:v>
                </c:pt>
                <c:pt idx="238">
                  <c:v>-24.922102996887599</c:v>
                </c:pt>
                <c:pt idx="239">
                  <c:v>-24.2222406630199</c:v>
                </c:pt>
                <c:pt idx="240">
                  <c:v>-23.515000000000001</c:v>
                </c:pt>
                <c:pt idx="241">
                  <c:v>-22.800596440185199</c:v>
                </c:pt>
                <c:pt idx="242">
                  <c:v>-22.079247597820402</c:v>
                </c:pt>
                <c:pt idx="243">
                  <c:v>-21.3511732027509</c:v>
                </c:pt>
                <c:pt idx="244">
                  <c:v>-20.616595033490299</c:v>
                </c:pt>
                <c:pt idx="245">
                  <c:v>-19.875736849665099</c:v>
                </c:pt>
                <c:pt idx="246">
                  <c:v>-19.1288243238549</c:v>
                </c:pt>
                <c:pt idx="247">
                  <c:v>-18.376084972850499</c:v>
                </c:pt>
                <c:pt idx="248">
                  <c:v>-17.6177480883504</c:v>
                </c:pt>
                <c:pt idx="249">
                  <c:v>-16.854044667115499</c:v>
                </c:pt>
                <c:pt idx="250">
                  <c:v>-16.0852073406062</c:v>
                </c:pt>
                <c:pt idx="251">
                  <c:v>-15.3114703041201</c:v>
                </c:pt>
                <c:pt idx="252">
                  <c:v>-14.533069245453801</c:v>
                </c:pt>
                <c:pt idx="253">
                  <c:v>-13.7502412731103</c:v>
                </c:pt>
                <c:pt idx="254">
                  <c:v>-12.963224844073499</c:v>
                </c:pt>
                <c:pt idx="255">
                  <c:v>-12.172259691171501</c:v>
                </c:pt>
                <c:pt idx="256">
                  <c:v>-11.3775867500524</c:v>
                </c:pt>
                <c:pt idx="257">
                  <c:v>-10.579448085792</c:v>
                </c:pt>
                <c:pt idx="258">
                  <c:v>-9.7780868191592401</c:v>
                </c:pt>
                <c:pt idx="259">
                  <c:v>-8.9737470525589291</c:v>
                </c:pt>
                <c:pt idx="260">
                  <c:v>-8.1666737956757292</c:v>
                </c:pt>
                <c:pt idx="261">
                  <c:v>-7.3571128908420702</c:v>
                </c:pt>
                <c:pt idx="262">
                  <c:v>-6.5453109381518502</c:v>
                </c:pt>
                <c:pt idx="263">
                  <c:v>-5.73151522034407</c:v>
                </c:pt>
                <c:pt idx="264">
                  <c:v>-4.9159736274777401</c:v>
                </c:pt>
                <c:pt idx="265">
                  <c:v>-4.0989345814223697</c:v>
                </c:pt>
                <c:pt idx="266">
                  <c:v>-3.28064696018623</c:v>
                </c:pt>
                <c:pt idx="267">
                  <c:v>-2.4613600221056702</c:v>
                </c:pt>
                <c:pt idx="268">
                  <c:v>-1.64132332991865</c:v>
                </c:pt>
                <c:pt idx="269">
                  <c:v>-0.82078667474544298</c:v>
                </c:pt>
                <c:pt idx="270">
                  <c:v>-8.6392708445850003E-15</c:v>
                </c:pt>
                <c:pt idx="271">
                  <c:v>0.82078667474542599</c:v>
                </c:pt>
                <c:pt idx="272">
                  <c:v>1.6413233299186401</c:v>
                </c:pt>
                <c:pt idx="273">
                  <c:v>2.4613600221056502</c:v>
                </c:pt>
                <c:pt idx="274">
                  <c:v>3.28064696018621</c:v>
                </c:pt>
                <c:pt idx="275">
                  <c:v>4.0989345814223501</c:v>
                </c:pt>
                <c:pt idx="276">
                  <c:v>4.9159736274777197</c:v>
                </c:pt>
                <c:pt idx="277">
                  <c:v>5.7315152203441002</c:v>
                </c:pt>
                <c:pt idx="278">
                  <c:v>6.5453109381518804</c:v>
                </c:pt>
                <c:pt idx="279">
                  <c:v>7.3571128908420498</c:v>
                </c:pt>
                <c:pt idx="280">
                  <c:v>8.1666737956757203</c:v>
                </c:pt>
                <c:pt idx="281">
                  <c:v>8.9737470525588794</c:v>
                </c:pt>
                <c:pt idx="282">
                  <c:v>9.7780868191591797</c:v>
                </c:pt>
                <c:pt idx="283">
                  <c:v>10.579448085792</c:v>
                </c:pt>
                <c:pt idx="284">
                  <c:v>11.3775867500524</c:v>
                </c:pt>
                <c:pt idx="285">
                  <c:v>12.1722596911716</c:v>
                </c:pt>
                <c:pt idx="286">
                  <c:v>12.963224844073499</c:v>
                </c:pt>
                <c:pt idx="287">
                  <c:v>13.7502412731103</c:v>
                </c:pt>
                <c:pt idx="288">
                  <c:v>14.533069245453801</c:v>
                </c:pt>
                <c:pt idx="289">
                  <c:v>15.3114703041201</c:v>
                </c:pt>
                <c:pt idx="290">
                  <c:v>16.0852073406062</c:v>
                </c:pt>
                <c:pt idx="291">
                  <c:v>16.854044667115399</c:v>
                </c:pt>
                <c:pt idx="292">
                  <c:v>17.6177480883503</c:v>
                </c:pt>
                <c:pt idx="293">
                  <c:v>18.376084972850499</c:v>
                </c:pt>
                <c:pt idx="294">
                  <c:v>19.1288243238549</c:v>
                </c:pt>
                <c:pt idx="295">
                  <c:v>19.875736849665099</c:v>
                </c:pt>
                <c:pt idx="296">
                  <c:v>20.616595033490299</c:v>
                </c:pt>
                <c:pt idx="297">
                  <c:v>21.3511732027509</c:v>
                </c:pt>
                <c:pt idx="298">
                  <c:v>22.079247597820402</c:v>
                </c:pt>
                <c:pt idx="299">
                  <c:v>22.800596440185199</c:v>
                </c:pt>
                <c:pt idx="300">
                  <c:v>23.515000000000001</c:v>
                </c:pt>
                <c:pt idx="301">
                  <c:v>24.2222406630198</c:v>
                </c:pt>
                <c:pt idx="302">
                  <c:v>24.922102996887599</c:v>
                </c:pt>
                <c:pt idx="303">
                  <c:v>25.6143738167567</c:v>
                </c:pt>
                <c:pt idx="304">
                  <c:v>26.2988422502292</c:v>
                </c:pt>
                <c:pt idx="305">
                  <c:v>26.975299801589699</c:v>
                </c:pt>
                <c:pt idx="306">
                  <c:v>27.643540415315002</c:v>
                </c:pt>
                <c:pt idx="307">
                  <c:v>28.303360538840799</c:v>
                </c:pt>
                <c:pt idx="308">
                  <c:v>28.954559184565699</c:v>
                </c:pt>
                <c:pt idx="309">
                  <c:v>29.596937991073901</c:v>
                </c:pt>
                <c:pt idx="310">
                  <c:v>30.2303012835579</c:v>
                </c:pt>
                <c:pt idx="311">
                  <c:v>30.854456133423501</c:v>
                </c:pt>
                <c:pt idx="312">
                  <c:v>31.469212417057101</c:v>
                </c:pt>
                <c:pt idx="313">
                  <c:v>32.074382873739303</c:v>
                </c:pt>
                <c:pt idx="314">
                  <c:v>32.669783162686599</c:v>
                </c:pt>
                <c:pt idx="315">
                  <c:v>33.255231919203297</c:v>
                </c:pt>
                <c:pt idx="316">
                  <c:v>33.830550809926699</c:v>
                </c:pt>
                <c:pt idx="317">
                  <c:v>34.3955645871496</c:v>
                </c:pt>
                <c:pt idx="318">
                  <c:v>34.950101142201902</c:v>
                </c:pt>
                <c:pt idx="319">
                  <c:v>35.493991557877003</c:v>
                </c:pt>
                <c:pt idx="320">
                  <c:v>36.027070159885497</c:v>
                </c:pt>
                <c:pt idx="321">
                  <c:v>36.549174567321302</c:v>
                </c:pt>
                <c:pt idx="322">
                  <c:v>37.060145742124099</c:v>
                </c:pt>
                <c:pt idx="323">
                  <c:v>37.559828037524198</c:v>
                </c:pt>
                <c:pt idx="324">
                  <c:v>38.048069245453803</c:v>
                </c:pt>
                <c:pt idx="325">
                  <c:v>38.524720642911298</c:v>
                </c:pt>
                <c:pt idx="326">
                  <c:v>38.989637037263599</c:v>
                </c:pt>
                <c:pt idx="327">
                  <c:v>39.442676810473301</c:v>
                </c:pt>
                <c:pt idx="328">
                  <c:v>39.8837019622367</c:v>
                </c:pt>
                <c:pt idx="329">
                  <c:v>40.312578152020301</c:v>
                </c:pt>
                <c:pt idx="330">
                  <c:v>40.729174739982099</c:v>
                </c:pt>
                <c:pt idx="331">
                  <c:v>41.133364826765799</c:v>
                </c:pt>
                <c:pt idx="332">
                  <c:v>41.525025292155298</c:v>
                </c:pt>
                <c:pt idx="333">
                  <c:v>41.904036832578903</c:v>
                </c:pt>
                <c:pt idx="334">
                  <c:v>42.270283997449802</c:v>
                </c:pt>
                <c:pt idx="335">
                  <c:v>42.623655224333604</c:v>
                </c:pt>
                <c:pt idx="336">
                  <c:v>42.9640428729315</c:v>
                </c:pt>
                <c:pt idx="337">
                  <c:v>43.291343257868199</c:v>
                </c:pt>
                <c:pt idx="338">
                  <c:v>43.605456680275999</c:v>
                </c:pt>
                <c:pt idx="339">
                  <c:v>43.906287458163398</c:v>
                </c:pt>
                <c:pt idx="340">
                  <c:v>44.193743955561303</c:v>
                </c:pt>
                <c:pt idx="341">
                  <c:v>44.467738610435902</c:v>
                </c:pt>
                <c:pt idx="342">
                  <c:v>44.728187961361101</c:v>
                </c:pt>
                <c:pt idx="343">
                  <c:v>44.975012672941602</c:v>
                </c:pt>
                <c:pt idx="344">
                  <c:v>45.2081375599791</c:v>
                </c:pt>
                <c:pt idx="345">
                  <c:v>45.427491610374901</c:v>
                </c:pt>
                <c:pt idx="346">
                  <c:v>45.6330080067601</c:v>
                </c:pt>
                <c:pt idx="347">
                  <c:v>45.824624146849601</c:v>
                </c:pt>
                <c:pt idx="348">
                  <c:v>46.002281662510903</c:v>
                </c:pt>
                <c:pt idx="349">
                  <c:v>46.165926437543597</c:v>
                </c:pt>
                <c:pt idx="350">
                  <c:v>46.315508624164103</c:v>
                </c:pt>
                <c:pt idx="351">
                  <c:v>46.450982658189297</c:v>
                </c:pt>
                <c:pt idx="352">
                  <c:v>46.572307272915999</c:v>
                </c:pt>
                <c:pt idx="353">
                  <c:v>46.679445511691398</c:v>
                </c:pt>
                <c:pt idx="354">
                  <c:v>46.772364739169902</c:v>
                </c:pt>
                <c:pt idx="355">
                  <c:v>46.851036651254802</c:v>
                </c:pt>
                <c:pt idx="356">
                  <c:v>46.915437283719498</c:v>
                </c:pt>
                <c:pt idx="357">
                  <c:v>46.965547019507603</c:v>
                </c:pt>
                <c:pt idx="358">
                  <c:v>47.0013505947081</c:v>
                </c:pt>
                <c:pt idx="359">
                  <c:v>47.022837103205099</c:v>
                </c:pt>
                <c:pt idx="360">
                  <c:v>47.03</c:v>
                </c:pt>
              </c:numCache>
            </c:numRef>
          </c:yVal>
          <c:smooth val="0"/>
          <c:extLst>
            <c:ext xmlns:c16="http://schemas.microsoft.com/office/drawing/2014/chart" uri="{C3380CC4-5D6E-409C-BE32-E72D297353CC}">
              <c16:uniqueId val="{00000000-1C16-459D-9D5E-7E4AA9ACFFDA}"/>
            </c:ext>
          </c:extLst>
        </c:ser>
        <c:dLbls>
          <c:showLegendKey val="0"/>
          <c:showVal val="0"/>
          <c:showCatName val="0"/>
          <c:showSerName val="0"/>
          <c:showPercent val="0"/>
          <c:showBubbleSize val="0"/>
        </c:dLbls>
        <c:axId val="215594112"/>
        <c:axId val="215595648"/>
      </c:scatterChart>
      <c:valAx>
        <c:axId val="215594112"/>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zh-CN" sz="10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5595648"/>
        <c:crosses val="autoZero"/>
        <c:crossBetween val="midCat"/>
      </c:valAx>
      <c:valAx>
        <c:axId val="215595648"/>
        <c:scaling>
          <c:orientation val="minMax"/>
        </c:scaling>
        <c:delete val="0"/>
        <c:axPos val="l"/>
        <c:majorGridlines/>
        <c:numFmt formatCode="General" sourceLinked="1"/>
        <c:majorTickMark val="none"/>
        <c:minorTickMark val="none"/>
        <c:tickLblPos val="nextTo"/>
        <c:txPr>
          <a:bodyPr rot="0" spcFirstLastPara="0" vertOverflow="ellipsis" vert="horz" wrap="square" anchor="ctr" anchorCtr="1"/>
          <a:lstStyle/>
          <a:p>
            <a:pPr>
              <a:defRPr lang="zh-CN" sz="10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5594112"/>
        <c:crosses val="autoZero"/>
        <c:crossBetween val="midCat"/>
      </c:valAx>
    </c:plotArea>
    <c:plotVisOnly val="1"/>
    <c:dispBlanksAs val="gap"/>
    <c:showDLblsOverMax val="0"/>
  </c:chart>
  <c:txPr>
    <a:bodyPr rot="0" wrap="square" anchor="ctr" anchorCtr="1"/>
    <a:lstStyle/>
    <a:p>
      <a:pPr>
        <a:defRPr lang="zh-CN" sz="10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2700" cap="rnd" cmpd="sng" algn="ctr">
              <a:solidFill>
                <a:srgbClr val="000080"/>
              </a:solidFill>
              <a:prstDash val="solid"/>
              <a:round/>
            </a:ln>
          </c:spPr>
          <c:marker>
            <c:symbol val="diamond"/>
            <c:size val="5"/>
            <c:spPr>
              <a:solidFill>
                <a:srgbClr val="000080"/>
              </a:solidFill>
              <a:ln w="6350" cap="flat" cmpd="sng" algn="ctr">
                <a:solidFill>
                  <a:srgbClr val="000080"/>
                </a:solidFill>
                <a:prstDash val="solid"/>
                <a:round/>
              </a:ln>
            </c:spPr>
          </c:marker>
          <c:xVal>
            <c:numLit>
              <c:formatCode>General</c:formatCode>
              <c:ptCount val="1"/>
              <c:pt idx="0">
                <c:v>0</c:v>
              </c:pt>
            </c:numLit>
          </c:xVal>
          <c:yVal>
            <c:numLit>
              <c:formatCode>General</c:formatCode>
              <c:ptCount val="1"/>
              <c:pt idx="0">
                <c:v>0</c:v>
              </c:pt>
            </c:numLit>
          </c:yVal>
          <c:smooth val="0"/>
          <c:extLst>
            <c:ext xmlns:c16="http://schemas.microsoft.com/office/drawing/2014/chart" uri="{C3380CC4-5D6E-409C-BE32-E72D297353CC}">
              <c16:uniqueId val="{00000000-CF16-4902-BFCC-2B6DA39CF7B9}"/>
            </c:ext>
          </c:extLst>
        </c:ser>
        <c:dLbls>
          <c:showLegendKey val="0"/>
          <c:showVal val="0"/>
          <c:showCatName val="0"/>
          <c:showSerName val="0"/>
          <c:showPercent val="0"/>
          <c:showBubbleSize val="0"/>
        </c:dLbls>
        <c:axId val="213505152"/>
        <c:axId val="213507072"/>
      </c:scatterChart>
      <c:valAx>
        <c:axId val="213505152"/>
        <c:scaling>
          <c:orientation val="minMax"/>
          <c:max val="14"/>
        </c:scaling>
        <c:delete val="0"/>
        <c:axPos val="b"/>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507072"/>
        <c:crosses val="autoZero"/>
        <c:crossBetween val="midCat"/>
        <c:majorUnit val="2"/>
        <c:minorUnit val="2"/>
      </c:valAx>
      <c:valAx>
        <c:axId val="213507072"/>
        <c:scaling>
          <c:orientation val="minMax"/>
          <c:max val="8"/>
        </c:scaling>
        <c:delete val="0"/>
        <c:axPos val="l"/>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505152"/>
        <c:crosses val="autoZero"/>
        <c:crossBetween val="midCat"/>
        <c:majorUnit val="2"/>
        <c:minorUnit val="2"/>
      </c:valAx>
      <c:spPr>
        <a:solidFill>
          <a:srgbClr val="FFFFFF">
            <a:alpha val="100000"/>
          </a:srgbClr>
        </a:solidFill>
        <a:ln w="12700">
          <a:solidFill>
            <a:srgbClr val="808080">
              <a:alpha val="100000"/>
            </a:srgbClr>
          </a:solidFill>
          <a:prstDash val="solid"/>
        </a:ln>
      </c:spPr>
    </c:plotArea>
    <c:legend>
      <c:legendPos val="r"/>
      <c:overlay val="0"/>
      <c:spPr>
        <a:solidFill>
          <a:srgbClr val="FFFFFF"/>
        </a:solidFill>
        <a:ln>
          <a:solidFill>
            <a:srgbClr val="000000"/>
          </a:solidFill>
        </a:ln>
      </c:spPr>
      <c:txPr>
        <a:bodyPr rot="0" spcFirstLastPara="0" vertOverflow="ellipsis" vert="horz" wrap="square" anchor="ctr" anchorCtr="1"/>
        <a:lstStyle/>
        <a:p>
          <a:pPr>
            <a:defRPr lang="zh-CN" sz="16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3175" cap="flat" cmpd="sng" algn="ctr">
      <a:solidFill>
        <a:srgbClr val="000000">
          <a:alpha val="100000"/>
        </a:srgbClr>
      </a:solidFill>
      <a:prstDash val="solid"/>
      <a:round/>
    </a:ln>
  </c:spPr>
  <c:txPr>
    <a:bodyPr rot="0" wrap="square" anchor="ctr" anchorCtr="1"/>
    <a:lstStyle/>
    <a:p>
      <a:pPr>
        <a:defRPr lang="zh-CN" sz="2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2700" cap="rnd" cmpd="sng" algn="ctr">
              <a:solidFill>
                <a:srgbClr val="000080"/>
              </a:solidFill>
              <a:prstDash val="solid"/>
              <a:round/>
            </a:ln>
          </c:spPr>
          <c:marker>
            <c:symbol val="diamond"/>
            <c:size val="5"/>
            <c:spPr>
              <a:solidFill>
                <a:srgbClr val="000080"/>
              </a:solidFill>
              <a:ln w="6350" cap="flat" cmpd="sng" algn="ctr">
                <a:solidFill>
                  <a:srgbClr val="000080"/>
                </a:solidFill>
                <a:prstDash val="solid"/>
                <a:round/>
              </a:ln>
            </c:spPr>
          </c:marker>
          <c:xVal>
            <c:numLit>
              <c:formatCode>General</c:formatCode>
              <c:ptCount val="1"/>
              <c:pt idx="0">
                <c:v>0</c:v>
              </c:pt>
            </c:numLit>
          </c:xVal>
          <c:yVal>
            <c:numLit>
              <c:formatCode>General</c:formatCode>
              <c:ptCount val="1"/>
              <c:pt idx="0">
                <c:v>0</c:v>
              </c:pt>
            </c:numLit>
          </c:yVal>
          <c:smooth val="0"/>
          <c:extLst>
            <c:ext xmlns:c16="http://schemas.microsoft.com/office/drawing/2014/chart" uri="{C3380CC4-5D6E-409C-BE32-E72D297353CC}">
              <c16:uniqueId val="{00000000-72BF-41D3-91AC-54154317926B}"/>
            </c:ext>
          </c:extLst>
        </c:ser>
        <c:ser>
          <c:idx val="1"/>
          <c:order val="1"/>
          <c:spPr>
            <a:ln w="12700" cap="rnd" cmpd="sng" algn="ctr">
              <a:solidFill>
                <a:srgbClr val="FF00FF"/>
              </a:solidFill>
              <a:prstDash val="solid"/>
              <a:round/>
            </a:ln>
          </c:spPr>
          <c:marker>
            <c:symbol val="square"/>
            <c:size val="5"/>
            <c:spPr>
              <a:solidFill>
                <a:srgbClr val="FF00FF"/>
              </a:solidFill>
              <a:ln w="6350" cap="flat" cmpd="sng" algn="ctr">
                <a:solidFill>
                  <a:srgbClr val="FF00FF"/>
                </a:solidFill>
                <a:prstDash val="solid"/>
                <a:round/>
              </a:ln>
            </c:spPr>
          </c:marker>
          <c:xVal>
            <c:numLit>
              <c:formatCode>General</c:formatCode>
              <c:ptCount val="1"/>
              <c:pt idx="0">
                <c:v>0</c:v>
              </c:pt>
            </c:numLit>
          </c:xVal>
          <c:yVal>
            <c:numLit>
              <c:formatCode>General</c:formatCode>
              <c:ptCount val="1"/>
              <c:pt idx="0">
                <c:v>0</c:v>
              </c:pt>
            </c:numLit>
          </c:yVal>
          <c:smooth val="0"/>
          <c:extLst>
            <c:ext xmlns:c16="http://schemas.microsoft.com/office/drawing/2014/chart" uri="{C3380CC4-5D6E-409C-BE32-E72D297353CC}">
              <c16:uniqueId val="{00000001-72BF-41D3-91AC-54154317926B}"/>
            </c:ext>
          </c:extLst>
        </c:ser>
        <c:dLbls>
          <c:showLegendKey val="0"/>
          <c:showVal val="0"/>
          <c:showCatName val="0"/>
          <c:showSerName val="0"/>
          <c:showPercent val="0"/>
          <c:showBubbleSize val="0"/>
        </c:dLbls>
        <c:axId val="213424768"/>
        <c:axId val="213435136"/>
      </c:scatterChart>
      <c:valAx>
        <c:axId val="213424768"/>
        <c:scaling>
          <c:orientation val="minMax"/>
          <c:max val="14"/>
        </c:scaling>
        <c:delete val="0"/>
        <c:axPos val="b"/>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435136"/>
        <c:crosses val="autoZero"/>
        <c:crossBetween val="midCat"/>
        <c:majorUnit val="2"/>
        <c:minorUnit val="2"/>
      </c:valAx>
      <c:valAx>
        <c:axId val="213435136"/>
        <c:scaling>
          <c:orientation val="minMax"/>
        </c:scaling>
        <c:delete val="0"/>
        <c:axPos val="l"/>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424768"/>
        <c:crosses val="autoZero"/>
        <c:crossBetween val="midCat"/>
        <c:majorUnit val="2"/>
        <c:minorUnit val="2"/>
      </c:valAx>
      <c:spPr>
        <a:solidFill>
          <a:srgbClr val="FFFFFF">
            <a:alpha val="100000"/>
          </a:srgbClr>
        </a:solidFill>
        <a:ln w="12700">
          <a:solidFill>
            <a:srgbClr val="808080">
              <a:alpha val="100000"/>
            </a:srgbClr>
          </a:solidFill>
          <a:prstDash val="solid"/>
        </a:ln>
      </c:spPr>
    </c:plotArea>
    <c:legend>
      <c:legendPos val="r"/>
      <c:overlay val="0"/>
      <c:spPr>
        <a:solidFill>
          <a:srgbClr val="FFFFFF"/>
        </a:solidFill>
        <a:ln>
          <a:solidFill>
            <a:srgbClr val="000000"/>
          </a:solidFill>
        </a:ln>
      </c:spPr>
      <c:txPr>
        <a:bodyPr rot="0" spcFirstLastPara="0" vertOverflow="ellipsis" vert="horz" wrap="square" anchor="ctr" anchorCtr="1"/>
        <a:lstStyle/>
        <a:p>
          <a:pPr>
            <a:defRPr lang="zh-CN" sz="16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3175" cap="flat" cmpd="sng" algn="ctr">
      <a:solidFill>
        <a:srgbClr val="000000">
          <a:alpha val="100000"/>
        </a:srgbClr>
      </a:solidFill>
      <a:prstDash val="solid"/>
      <a:round/>
    </a:ln>
  </c:spPr>
  <c:txPr>
    <a:bodyPr rot="0" wrap="square" anchor="ctr" anchorCtr="1"/>
    <a:lstStyle/>
    <a:p>
      <a:pPr>
        <a:defRPr lang="zh-CN" sz="2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2700" cap="rnd" cmpd="sng" algn="ctr">
              <a:solidFill>
                <a:srgbClr val="000080"/>
              </a:solidFill>
              <a:prstDash val="solid"/>
              <a:round/>
            </a:ln>
          </c:spPr>
          <c:marker>
            <c:symbol val="diamond"/>
            <c:size val="5"/>
            <c:spPr>
              <a:solidFill>
                <a:srgbClr val="000080"/>
              </a:solidFill>
              <a:ln w="6350" cap="flat" cmpd="sng" algn="ctr">
                <a:solidFill>
                  <a:srgbClr val="000080"/>
                </a:solidFill>
                <a:prstDash val="solid"/>
                <a:round/>
              </a:ln>
            </c:spPr>
          </c:marker>
          <c:xVal>
            <c:numLit>
              <c:formatCode>General</c:formatCode>
              <c:ptCount val="1"/>
              <c:pt idx="0">
                <c:v>0</c:v>
              </c:pt>
            </c:numLit>
          </c:xVal>
          <c:yVal>
            <c:numLit>
              <c:formatCode>General</c:formatCode>
              <c:ptCount val="1"/>
              <c:pt idx="0">
                <c:v>0</c:v>
              </c:pt>
            </c:numLit>
          </c:yVal>
          <c:smooth val="0"/>
          <c:extLst>
            <c:ext xmlns:c16="http://schemas.microsoft.com/office/drawing/2014/chart" uri="{C3380CC4-5D6E-409C-BE32-E72D297353CC}">
              <c16:uniqueId val="{00000000-1B52-4B2B-9E61-DC62807DA558}"/>
            </c:ext>
          </c:extLst>
        </c:ser>
        <c:ser>
          <c:idx val="1"/>
          <c:order val="1"/>
          <c:spPr>
            <a:ln w="12700" cap="rnd" cmpd="sng" algn="ctr">
              <a:solidFill>
                <a:srgbClr val="FF00FF"/>
              </a:solidFill>
              <a:prstDash val="solid"/>
              <a:round/>
            </a:ln>
          </c:spPr>
          <c:marker>
            <c:symbol val="square"/>
            <c:size val="5"/>
            <c:spPr>
              <a:solidFill>
                <a:srgbClr val="FF00FF"/>
              </a:solidFill>
              <a:ln w="6350" cap="flat" cmpd="sng" algn="ctr">
                <a:solidFill>
                  <a:srgbClr val="FF00FF"/>
                </a:solidFill>
                <a:prstDash val="solid"/>
                <a:round/>
              </a:ln>
            </c:spPr>
          </c:marker>
          <c:xVal>
            <c:numLit>
              <c:formatCode>General</c:formatCode>
              <c:ptCount val="1"/>
              <c:pt idx="0">
                <c:v>0</c:v>
              </c:pt>
            </c:numLit>
          </c:xVal>
          <c:yVal>
            <c:numLit>
              <c:formatCode>General</c:formatCode>
              <c:ptCount val="1"/>
              <c:pt idx="0">
                <c:v>0</c:v>
              </c:pt>
            </c:numLit>
          </c:yVal>
          <c:smooth val="0"/>
          <c:extLst>
            <c:ext xmlns:c16="http://schemas.microsoft.com/office/drawing/2014/chart" uri="{C3380CC4-5D6E-409C-BE32-E72D297353CC}">
              <c16:uniqueId val="{00000001-1B52-4B2B-9E61-DC62807DA558}"/>
            </c:ext>
          </c:extLst>
        </c:ser>
        <c:dLbls>
          <c:showLegendKey val="0"/>
          <c:showVal val="0"/>
          <c:showCatName val="0"/>
          <c:showSerName val="0"/>
          <c:showPercent val="0"/>
          <c:showBubbleSize val="0"/>
        </c:dLbls>
        <c:axId val="213782912"/>
        <c:axId val="213784832"/>
      </c:scatterChart>
      <c:valAx>
        <c:axId val="213782912"/>
        <c:scaling>
          <c:orientation val="minMax"/>
          <c:max val="14"/>
        </c:scaling>
        <c:delete val="0"/>
        <c:axPos val="b"/>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784832"/>
        <c:crosses val="autoZero"/>
        <c:crossBetween val="midCat"/>
        <c:minorUnit val="2"/>
      </c:valAx>
      <c:valAx>
        <c:axId val="213784832"/>
        <c:scaling>
          <c:orientation val="minMax"/>
        </c:scaling>
        <c:delete val="0"/>
        <c:axPos val="l"/>
        <c:majorGridlines>
          <c:spPr>
            <a:ln w="3175" cap="flat" cmpd="sng" algn="ctr">
              <a:solidFill>
                <a:srgbClr val="000000">
                  <a:alpha val="100000"/>
                </a:srgbClr>
              </a:solidFill>
              <a:prstDash val="solid"/>
              <a:round/>
            </a:ln>
          </c:spPr>
        </c:majorGridlines>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2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782912"/>
        <c:crosses val="autoZero"/>
        <c:crossBetween val="midCat"/>
        <c:majorUnit val="2"/>
        <c:minorUnit val="2"/>
      </c:valAx>
      <c:spPr>
        <a:solidFill>
          <a:srgbClr val="FFFFFF">
            <a:alpha val="100000"/>
          </a:srgbClr>
        </a:solidFill>
        <a:ln w="12700">
          <a:solidFill>
            <a:srgbClr val="808080">
              <a:alpha val="100000"/>
            </a:srgbClr>
          </a:solidFill>
          <a:prstDash val="solid"/>
        </a:ln>
      </c:spPr>
    </c:plotArea>
    <c:legend>
      <c:legendPos val="r"/>
      <c:overlay val="0"/>
      <c:spPr>
        <a:solidFill>
          <a:srgbClr val="FFFFFF"/>
        </a:solidFill>
        <a:ln>
          <a:solidFill>
            <a:srgbClr val="000000"/>
          </a:solidFill>
        </a:ln>
      </c:spPr>
      <c:txPr>
        <a:bodyPr rot="0" spcFirstLastPara="0" vertOverflow="ellipsis" vert="horz" wrap="square" anchor="ctr" anchorCtr="1"/>
        <a:lstStyle/>
        <a:p>
          <a:pPr>
            <a:defRPr lang="zh-CN" sz="16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alpha val="100000"/>
      </a:srgbClr>
    </a:solidFill>
    <a:ln w="3175" cap="flat" cmpd="sng" algn="ctr">
      <a:solidFill>
        <a:srgbClr val="000000">
          <a:alpha val="100000"/>
        </a:srgbClr>
      </a:solidFill>
      <a:prstDash val="solid"/>
      <a:round/>
    </a:ln>
  </c:spPr>
  <c:txPr>
    <a:bodyPr rot="0" wrap="square" anchor="ctr" anchorCtr="1"/>
    <a:lstStyle/>
    <a:p>
      <a:pPr>
        <a:defRPr lang="zh-CN" sz="2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2700" cap="rnd" cmpd="sng" algn="ctr">
              <a:solidFill>
                <a:srgbClr val="000080"/>
              </a:solidFill>
              <a:prstDash val="solid"/>
              <a:round/>
            </a:ln>
          </c:spPr>
          <c:marker>
            <c:symbol val="diamond"/>
            <c:size val="5"/>
            <c:spPr>
              <a:solidFill>
                <a:srgbClr val="000080"/>
              </a:solidFill>
              <a:ln w="6350" cap="flat" cmpd="sng" algn="ctr">
                <a:solidFill>
                  <a:srgbClr val="000080"/>
                </a:solidFill>
                <a:prstDash val="solid"/>
                <a:round/>
              </a:ln>
            </c:spPr>
          </c:marker>
          <c:xVal>
            <c:numRef>
              <c:f>弹簧刚度计算大全!$J$73:$J$78</c:f>
              <c:numCache>
                <c:formatCode>General</c:formatCode>
                <c:ptCount val="6"/>
                <c:pt idx="0">
                  <c:v>0</c:v>
                </c:pt>
                <c:pt idx="1">
                  <c:v>10</c:v>
                </c:pt>
                <c:pt idx="2">
                  <c:v>20</c:v>
                </c:pt>
                <c:pt idx="3">
                  <c:v>30</c:v>
                </c:pt>
                <c:pt idx="4">
                  <c:v>40</c:v>
                </c:pt>
                <c:pt idx="5">
                  <c:v>50</c:v>
                </c:pt>
              </c:numCache>
            </c:numRef>
          </c:xVal>
          <c:yVal>
            <c:numRef>
              <c:f>弹簧刚度计算大全!$N$73:$N$78</c:f>
              <c:numCache>
                <c:formatCode>0.00_ </c:formatCode>
                <c:ptCount val="6"/>
                <c:pt idx="0">
                  <c:v>0</c:v>
                </c:pt>
                <c:pt idx="1">
                  <c:v>4.1666666666666696</c:v>
                </c:pt>
                <c:pt idx="2">
                  <c:v>8.3666666666666707</c:v>
                </c:pt>
                <c:pt idx="3">
                  <c:v>12.633333333333301</c:v>
                </c:pt>
                <c:pt idx="4">
                  <c:v>16.899999999999999</c:v>
                </c:pt>
                <c:pt idx="5">
                  <c:v>21.1</c:v>
                </c:pt>
              </c:numCache>
            </c:numRef>
          </c:yVal>
          <c:smooth val="1"/>
          <c:extLst>
            <c:ext xmlns:c16="http://schemas.microsoft.com/office/drawing/2014/chart" uri="{C3380CC4-5D6E-409C-BE32-E72D297353CC}">
              <c16:uniqueId val="{00000000-FCD1-4DDA-AACB-AF5072A3CE14}"/>
            </c:ext>
          </c:extLst>
        </c:ser>
        <c:dLbls>
          <c:showLegendKey val="0"/>
          <c:showVal val="0"/>
          <c:showCatName val="0"/>
          <c:showSerName val="0"/>
          <c:showPercent val="0"/>
          <c:showBubbleSize val="0"/>
        </c:dLbls>
        <c:axId val="213816448"/>
        <c:axId val="213818368"/>
      </c:scatterChart>
      <c:valAx>
        <c:axId val="213816448"/>
        <c:scaling>
          <c:orientation val="minMax"/>
        </c:scaling>
        <c:delete val="0"/>
        <c:axPos val="b"/>
        <c:numFmt formatCode="General"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8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818368"/>
        <c:crosses val="autoZero"/>
        <c:crossBetween val="midCat"/>
      </c:valAx>
      <c:valAx>
        <c:axId val="213818368"/>
        <c:scaling>
          <c:orientation val="minMax"/>
        </c:scaling>
        <c:delete val="0"/>
        <c:axPos val="l"/>
        <c:majorGridlines>
          <c:spPr>
            <a:ln w="3175" cap="flat" cmpd="sng" algn="ctr">
              <a:solidFill>
                <a:srgbClr val="000000">
                  <a:alpha val="100000"/>
                </a:srgbClr>
              </a:solidFill>
              <a:prstDash val="solid"/>
              <a:round/>
            </a:ln>
          </c:spPr>
        </c:majorGridlines>
        <c:numFmt formatCode="0.00_ " sourceLinked="1"/>
        <c:majorTickMark val="in"/>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zh-CN" sz="800" b="0" i="0" u="none" strike="noStrike" kern="1200"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crossAx val="213816448"/>
        <c:crosses val="autoZero"/>
        <c:crossBetween val="midCat"/>
      </c:valAx>
      <c:spPr>
        <a:solidFill>
          <a:srgbClr val="C0C0C0">
            <a:alpha val="100000"/>
          </a:srgbClr>
        </a:solidFill>
        <a:ln w="12700">
          <a:solidFill>
            <a:srgbClr val="808080">
              <a:alpha val="100000"/>
            </a:srgbClr>
          </a:solidFill>
          <a:prstDash val="solid"/>
        </a:ln>
      </c:spPr>
    </c:plotArea>
    <c:legend>
      <c:legendPos val="r"/>
      <c:layout>
        <c:manualLayout>
          <c:xMode val="edge"/>
          <c:yMode val="edge"/>
          <c:x val="0.76674983808842501"/>
          <c:y val="0.40700029163021401"/>
          <c:w val="0.22850000000000001"/>
          <c:h val="9.4E-2"/>
        </c:manualLayout>
      </c:layout>
      <c:overlay val="0"/>
      <c:spPr>
        <a:solidFill>
          <a:srgbClr val="FFFFFF"/>
        </a:solidFill>
        <a:ln>
          <a:solidFill>
            <a:srgbClr val="000000"/>
          </a:solidFill>
        </a:ln>
      </c:spPr>
      <c:txPr>
        <a:bodyPr rot="0" spcFirstLastPara="0" vertOverflow="ellipsis" vert="horz" wrap="square" anchor="ctr" anchorCtr="1"/>
        <a:lstStyle/>
        <a:p>
          <a:pPr>
            <a:defRPr lang="zh-CN" sz="6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endParaRPr lang="zh-CN"/>
        </a:p>
      </c:txPr>
    </c:legend>
    <c:plotVisOnly val="1"/>
    <c:dispBlanksAs val="gap"/>
    <c:showDLblsOverMax val="0"/>
  </c:chart>
  <c:spPr>
    <a:solidFill>
      <a:srgbClr val="FFFFFF"/>
    </a:solidFill>
    <a:ln w="3175" cap="flat" cmpd="sng" algn="ctr">
      <a:solidFill>
        <a:srgbClr val="000000">
          <a:alpha val="100000"/>
        </a:srgbClr>
      </a:solidFill>
      <a:prstDash val="solid"/>
      <a:round/>
    </a:ln>
  </c:spPr>
  <c:txPr>
    <a:bodyPr rot="0" wrap="square" anchor="ctr" anchorCtr="1"/>
    <a:lstStyle/>
    <a:p>
      <a:pPr>
        <a:defRPr lang="zh-CN" sz="800" b="0" i="0" u="none" strike="noStrike" baseline="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9.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26" Type="http://schemas.openxmlformats.org/officeDocument/2006/relationships/image" Target="../media/image35.png"/><Relationship Id="rId3" Type="http://schemas.openxmlformats.org/officeDocument/2006/relationships/image" Target="../media/image12.png"/><Relationship Id="rId21" Type="http://schemas.openxmlformats.org/officeDocument/2006/relationships/image" Target="../media/image30.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5" Type="http://schemas.openxmlformats.org/officeDocument/2006/relationships/image" Target="../media/image34.png"/><Relationship Id="rId2" Type="http://schemas.openxmlformats.org/officeDocument/2006/relationships/image" Target="../media/image11.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24" Type="http://schemas.openxmlformats.org/officeDocument/2006/relationships/image" Target="../media/image33.png"/><Relationship Id="rId5" Type="http://schemas.openxmlformats.org/officeDocument/2006/relationships/image" Target="../media/image14.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hyperlink" Target="#&#24635;&#30446;&#24405;!A1"/><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 Id="rId22" Type="http://schemas.openxmlformats.org/officeDocument/2006/relationships/image" Target="../media/image31.png"/><Relationship Id="rId27" Type="http://schemas.openxmlformats.org/officeDocument/2006/relationships/image" Target="../media/image9.jpeg"/></Relationships>
</file>

<file path=xl/drawings/_rels/drawing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9.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hyperlink" Target="#&#24635;&#30446;&#24405;!A1"/></Relationships>
</file>

<file path=xl/drawings/_rels/drawing1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hyperlink" Target="http://tongji.baidu.com/hm-web/welcome/ico?s=53aec48e111cf33cf1f7c50e826a0c98" TargetMode="External"/><Relationship Id="rId1" Type="http://schemas.openxmlformats.org/officeDocument/2006/relationships/image" Target="../media/image46.jpeg"/><Relationship Id="rId5" Type="http://schemas.openxmlformats.org/officeDocument/2006/relationships/hyperlink" Target="#&#24635;&#30446;&#24405;!A1"/><Relationship Id="rId4" Type="http://schemas.openxmlformats.org/officeDocument/2006/relationships/image" Target="../media/image48.jpeg"/></Relationships>
</file>

<file path=xl/drawings/_rels/drawing2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5.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50.jpeg"/></Relationships>
</file>

<file path=xl/drawings/_rels/drawing2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2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30.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54.png"/><Relationship Id="rId1" Type="http://schemas.openxmlformats.org/officeDocument/2006/relationships/image" Target="../media/image53.png"/></Relationships>
</file>

<file path=xl/drawings/_rels/drawing3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32.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55.emf"/></Relationships>
</file>

<file path=xl/drawings/_rels/drawing33.xml.rels><?xml version="1.0" encoding="UTF-8" standalone="yes"?>
<Relationships xmlns="http://schemas.openxmlformats.org/package/2006/relationships"><Relationship Id="rId8" Type="http://schemas.openxmlformats.org/officeDocument/2006/relationships/image" Target="../media/image66.png"/><Relationship Id="rId13" Type="http://schemas.openxmlformats.org/officeDocument/2006/relationships/image" Target="../media/image71.png"/><Relationship Id="rId18" Type="http://schemas.openxmlformats.org/officeDocument/2006/relationships/image" Target="../media/image76.png"/><Relationship Id="rId3" Type="http://schemas.openxmlformats.org/officeDocument/2006/relationships/image" Target="../media/image61.png"/><Relationship Id="rId21" Type="http://schemas.openxmlformats.org/officeDocument/2006/relationships/image" Target="../media/image79.png"/><Relationship Id="rId7" Type="http://schemas.openxmlformats.org/officeDocument/2006/relationships/image" Target="../media/image65.png"/><Relationship Id="rId12" Type="http://schemas.openxmlformats.org/officeDocument/2006/relationships/image" Target="../media/image70.png"/><Relationship Id="rId17" Type="http://schemas.openxmlformats.org/officeDocument/2006/relationships/image" Target="../media/image75.png"/><Relationship Id="rId2" Type="http://schemas.openxmlformats.org/officeDocument/2006/relationships/image" Target="../media/image60.png"/><Relationship Id="rId16" Type="http://schemas.openxmlformats.org/officeDocument/2006/relationships/image" Target="../media/image74.png"/><Relationship Id="rId20" Type="http://schemas.openxmlformats.org/officeDocument/2006/relationships/image" Target="../media/image78.png"/><Relationship Id="rId1" Type="http://schemas.openxmlformats.org/officeDocument/2006/relationships/image" Target="../media/image59.png"/><Relationship Id="rId6" Type="http://schemas.openxmlformats.org/officeDocument/2006/relationships/image" Target="../media/image64.png"/><Relationship Id="rId11" Type="http://schemas.openxmlformats.org/officeDocument/2006/relationships/image" Target="../media/image69.png"/><Relationship Id="rId5" Type="http://schemas.openxmlformats.org/officeDocument/2006/relationships/image" Target="../media/image63.png"/><Relationship Id="rId15" Type="http://schemas.openxmlformats.org/officeDocument/2006/relationships/image" Target="../media/image73.png"/><Relationship Id="rId23" Type="http://schemas.openxmlformats.org/officeDocument/2006/relationships/hyperlink" Target="#&#24635;&#30446;&#24405;!A1"/><Relationship Id="rId10" Type="http://schemas.openxmlformats.org/officeDocument/2006/relationships/image" Target="../media/image68.png"/><Relationship Id="rId19" Type="http://schemas.openxmlformats.org/officeDocument/2006/relationships/image" Target="../media/image77.png"/><Relationship Id="rId4" Type="http://schemas.openxmlformats.org/officeDocument/2006/relationships/image" Target="../media/image62.png"/><Relationship Id="rId9" Type="http://schemas.openxmlformats.org/officeDocument/2006/relationships/image" Target="../media/image67.png"/><Relationship Id="rId14" Type="http://schemas.openxmlformats.org/officeDocument/2006/relationships/image" Target="../media/image72.png"/><Relationship Id="rId22" Type="http://schemas.openxmlformats.org/officeDocument/2006/relationships/image" Target="../media/image80.png"/></Relationships>
</file>

<file path=xl/drawings/_rels/drawing34.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81.png"/><Relationship Id="rId5" Type="http://schemas.openxmlformats.org/officeDocument/2006/relationships/hyperlink" Target="#&#24635;&#30446;&#24405;!A1"/><Relationship Id="rId4" Type="http://schemas.openxmlformats.org/officeDocument/2006/relationships/image" Target="../media/image84.png"/></Relationships>
</file>

<file path=xl/drawings/_rels/drawing3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3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3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38.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91.png"/></Relationships>
</file>

<file path=xl/drawings/_rels/drawing3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48.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92.png"/></Relationships>
</file>

<file path=xl/drawings/_rels/drawing49.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95.jpeg"/></Relationships>
</file>

<file path=xl/drawings/_rels/drawing5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4.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119.png"/></Relationships>
</file>

<file path=xl/drawings/_rels/drawing5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58.xml.rels><?xml version="1.0" encoding="UTF-8" standalone="yes"?>
<Relationships xmlns="http://schemas.openxmlformats.org/package/2006/relationships"><Relationship Id="rId8" Type="http://schemas.openxmlformats.org/officeDocument/2006/relationships/image" Target="../media/image131.png"/><Relationship Id="rId3" Type="http://schemas.openxmlformats.org/officeDocument/2006/relationships/image" Target="../media/image126.png"/><Relationship Id="rId7" Type="http://schemas.openxmlformats.org/officeDocument/2006/relationships/image" Target="../media/image130.png"/><Relationship Id="rId2" Type="http://schemas.openxmlformats.org/officeDocument/2006/relationships/image" Target="../media/image125.png"/><Relationship Id="rId1" Type="http://schemas.openxmlformats.org/officeDocument/2006/relationships/image" Target="../media/image124.png"/><Relationship Id="rId6" Type="http://schemas.openxmlformats.org/officeDocument/2006/relationships/image" Target="../media/image129.png"/><Relationship Id="rId5" Type="http://schemas.openxmlformats.org/officeDocument/2006/relationships/image" Target="../media/image128.png"/><Relationship Id="rId10" Type="http://schemas.openxmlformats.org/officeDocument/2006/relationships/hyperlink" Target="#&#24635;&#30446;&#24405;!A1"/><Relationship Id="rId4" Type="http://schemas.openxmlformats.org/officeDocument/2006/relationships/image" Target="../media/image127.png"/><Relationship Id="rId9" Type="http://schemas.openxmlformats.org/officeDocument/2006/relationships/image" Target="../media/image132.png"/></Relationships>
</file>

<file path=xl/drawings/_rels/drawing59.xml.rels><?xml version="1.0" encoding="UTF-8" standalone="yes"?>
<Relationships xmlns="http://schemas.openxmlformats.org/package/2006/relationships"><Relationship Id="rId8" Type="http://schemas.openxmlformats.org/officeDocument/2006/relationships/image" Target="../media/image140.png"/><Relationship Id="rId3" Type="http://schemas.openxmlformats.org/officeDocument/2006/relationships/image" Target="../media/image135.png"/><Relationship Id="rId7" Type="http://schemas.openxmlformats.org/officeDocument/2006/relationships/image" Target="../media/image139.png"/><Relationship Id="rId2" Type="http://schemas.openxmlformats.org/officeDocument/2006/relationships/image" Target="../media/image134.png"/><Relationship Id="rId1" Type="http://schemas.openxmlformats.org/officeDocument/2006/relationships/image" Target="../media/image133.png"/><Relationship Id="rId6" Type="http://schemas.openxmlformats.org/officeDocument/2006/relationships/image" Target="../media/image138.png"/><Relationship Id="rId5" Type="http://schemas.openxmlformats.org/officeDocument/2006/relationships/image" Target="../media/image137.png"/><Relationship Id="rId4" Type="http://schemas.openxmlformats.org/officeDocument/2006/relationships/image" Target="../media/image136.png"/><Relationship Id="rId9" Type="http://schemas.openxmlformats.org/officeDocument/2006/relationships/hyperlink" Target="#&#24635;&#30446;&#24405;!A1"/></Relationships>
</file>

<file path=xl/drawings/_rels/drawing60.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143.png"/><Relationship Id="rId7" Type="http://schemas.openxmlformats.org/officeDocument/2006/relationships/image" Target="../media/image147.png"/><Relationship Id="rId2" Type="http://schemas.openxmlformats.org/officeDocument/2006/relationships/image" Target="../media/image142.png"/><Relationship Id="rId1" Type="http://schemas.openxmlformats.org/officeDocument/2006/relationships/image" Target="../media/image141.png"/><Relationship Id="rId6" Type="http://schemas.openxmlformats.org/officeDocument/2006/relationships/image" Target="../media/image146.png"/><Relationship Id="rId5" Type="http://schemas.openxmlformats.org/officeDocument/2006/relationships/image" Target="../media/image145.png"/><Relationship Id="rId4" Type="http://schemas.openxmlformats.org/officeDocument/2006/relationships/image" Target="../media/image144.png"/></Relationships>
</file>

<file path=xl/drawings/_rels/drawing61.xml.rels><?xml version="1.0" encoding="UTF-8" standalone="yes"?>
<Relationships xmlns="http://schemas.openxmlformats.org/package/2006/relationships"><Relationship Id="rId8" Type="http://schemas.openxmlformats.org/officeDocument/2006/relationships/image" Target="../media/image155.png"/><Relationship Id="rId3" Type="http://schemas.openxmlformats.org/officeDocument/2006/relationships/image" Target="../media/image150.png"/><Relationship Id="rId7" Type="http://schemas.openxmlformats.org/officeDocument/2006/relationships/image" Target="../media/image154.png"/><Relationship Id="rId2" Type="http://schemas.openxmlformats.org/officeDocument/2006/relationships/image" Target="../media/image149.png"/><Relationship Id="rId1" Type="http://schemas.openxmlformats.org/officeDocument/2006/relationships/image" Target="../media/image148.png"/><Relationship Id="rId6" Type="http://schemas.openxmlformats.org/officeDocument/2006/relationships/image" Target="../media/image153.png"/><Relationship Id="rId5" Type="http://schemas.openxmlformats.org/officeDocument/2006/relationships/image" Target="../media/image152.png"/><Relationship Id="rId4" Type="http://schemas.openxmlformats.org/officeDocument/2006/relationships/image" Target="../media/image151.png"/><Relationship Id="rId9" Type="http://schemas.openxmlformats.org/officeDocument/2006/relationships/hyperlink" Target="#&#24635;&#30446;&#24405;!A1"/></Relationships>
</file>

<file path=xl/drawings/_rels/drawing62.xml.rels><?xml version="1.0" encoding="UTF-8" standalone="yes"?>
<Relationships xmlns="http://schemas.openxmlformats.org/package/2006/relationships"><Relationship Id="rId8" Type="http://schemas.openxmlformats.org/officeDocument/2006/relationships/image" Target="../media/image163.png"/><Relationship Id="rId3" Type="http://schemas.openxmlformats.org/officeDocument/2006/relationships/image" Target="../media/image158.png"/><Relationship Id="rId7" Type="http://schemas.openxmlformats.org/officeDocument/2006/relationships/image" Target="../media/image162.png"/><Relationship Id="rId2" Type="http://schemas.openxmlformats.org/officeDocument/2006/relationships/image" Target="../media/image157.png"/><Relationship Id="rId1" Type="http://schemas.openxmlformats.org/officeDocument/2006/relationships/image" Target="../media/image156.png"/><Relationship Id="rId6" Type="http://schemas.openxmlformats.org/officeDocument/2006/relationships/image" Target="../media/image161.png"/><Relationship Id="rId11" Type="http://schemas.openxmlformats.org/officeDocument/2006/relationships/hyperlink" Target="#&#24635;&#30446;&#24405;!A1"/><Relationship Id="rId5" Type="http://schemas.openxmlformats.org/officeDocument/2006/relationships/image" Target="../media/image160.png"/><Relationship Id="rId10" Type="http://schemas.openxmlformats.org/officeDocument/2006/relationships/image" Target="../media/image165.png"/><Relationship Id="rId4" Type="http://schemas.openxmlformats.org/officeDocument/2006/relationships/image" Target="../media/image159.png"/><Relationship Id="rId9" Type="http://schemas.openxmlformats.org/officeDocument/2006/relationships/image" Target="../media/image164.png"/></Relationships>
</file>

<file path=xl/drawings/_rels/drawing63.xml.rels><?xml version="1.0" encoding="UTF-8" standalone="yes"?>
<Relationships xmlns="http://schemas.openxmlformats.org/package/2006/relationships"><Relationship Id="rId8" Type="http://schemas.openxmlformats.org/officeDocument/2006/relationships/image" Target="../media/image173.png"/><Relationship Id="rId3" Type="http://schemas.openxmlformats.org/officeDocument/2006/relationships/image" Target="../media/image168.png"/><Relationship Id="rId7" Type="http://schemas.openxmlformats.org/officeDocument/2006/relationships/image" Target="../media/image172.png"/><Relationship Id="rId2" Type="http://schemas.openxmlformats.org/officeDocument/2006/relationships/image" Target="../media/image167.png"/><Relationship Id="rId1" Type="http://schemas.openxmlformats.org/officeDocument/2006/relationships/image" Target="../media/image166.png"/><Relationship Id="rId6" Type="http://schemas.openxmlformats.org/officeDocument/2006/relationships/image" Target="../media/image171.png"/><Relationship Id="rId5" Type="http://schemas.openxmlformats.org/officeDocument/2006/relationships/image" Target="../media/image170.png"/><Relationship Id="rId10" Type="http://schemas.openxmlformats.org/officeDocument/2006/relationships/hyperlink" Target="#&#24635;&#30446;&#24405;!A1"/><Relationship Id="rId4" Type="http://schemas.openxmlformats.org/officeDocument/2006/relationships/image" Target="../media/image169.png"/><Relationship Id="rId9" Type="http://schemas.openxmlformats.org/officeDocument/2006/relationships/image" Target="../media/image174.png"/></Relationships>
</file>

<file path=xl/drawings/_rels/drawing64.xml.rels><?xml version="1.0" encoding="UTF-8" standalone="yes"?>
<Relationships xmlns="http://schemas.openxmlformats.org/package/2006/relationships"><Relationship Id="rId8" Type="http://schemas.openxmlformats.org/officeDocument/2006/relationships/image" Target="../media/image182.png"/><Relationship Id="rId3" Type="http://schemas.openxmlformats.org/officeDocument/2006/relationships/image" Target="../media/image177.png"/><Relationship Id="rId7" Type="http://schemas.openxmlformats.org/officeDocument/2006/relationships/image" Target="../media/image181.png"/><Relationship Id="rId2" Type="http://schemas.openxmlformats.org/officeDocument/2006/relationships/image" Target="../media/image176.png"/><Relationship Id="rId1" Type="http://schemas.openxmlformats.org/officeDocument/2006/relationships/image" Target="../media/image175.png"/><Relationship Id="rId6" Type="http://schemas.openxmlformats.org/officeDocument/2006/relationships/image" Target="../media/image180.png"/><Relationship Id="rId5" Type="http://schemas.openxmlformats.org/officeDocument/2006/relationships/image" Target="../media/image179.png"/><Relationship Id="rId4" Type="http://schemas.openxmlformats.org/officeDocument/2006/relationships/image" Target="../media/image178.png"/><Relationship Id="rId9" Type="http://schemas.openxmlformats.org/officeDocument/2006/relationships/hyperlink" Target="#&#24635;&#30446;&#24405;!A1"/></Relationships>
</file>

<file path=xl/drawings/_rels/drawing65.xml.rels><?xml version="1.0" encoding="UTF-8" standalone="yes"?>
<Relationships xmlns="http://schemas.openxmlformats.org/package/2006/relationships"><Relationship Id="rId8" Type="http://schemas.openxmlformats.org/officeDocument/2006/relationships/image" Target="../media/image190.png"/><Relationship Id="rId3" Type="http://schemas.openxmlformats.org/officeDocument/2006/relationships/image" Target="../media/image185.png"/><Relationship Id="rId7" Type="http://schemas.openxmlformats.org/officeDocument/2006/relationships/image" Target="../media/image189.png"/><Relationship Id="rId2" Type="http://schemas.openxmlformats.org/officeDocument/2006/relationships/image" Target="../media/image184.png"/><Relationship Id="rId1" Type="http://schemas.openxmlformats.org/officeDocument/2006/relationships/image" Target="../media/image183.png"/><Relationship Id="rId6" Type="http://schemas.openxmlformats.org/officeDocument/2006/relationships/image" Target="../media/image188.png"/><Relationship Id="rId5" Type="http://schemas.openxmlformats.org/officeDocument/2006/relationships/image" Target="../media/image187.png"/><Relationship Id="rId4" Type="http://schemas.openxmlformats.org/officeDocument/2006/relationships/image" Target="../media/image186.png"/><Relationship Id="rId9" Type="http://schemas.openxmlformats.org/officeDocument/2006/relationships/hyperlink" Target="#&#24635;&#30446;&#24405;!A1"/></Relationships>
</file>

<file path=xl/drawings/_rels/drawing66.xml.rels><?xml version="1.0" encoding="UTF-8" standalone="yes"?>
<Relationships xmlns="http://schemas.openxmlformats.org/package/2006/relationships"><Relationship Id="rId3" Type="http://schemas.openxmlformats.org/officeDocument/2006/relationships/image" Target="../media/image193.png"/><Relationship Id="rId7" Type="http://schemas.openxmlformats.org/officeDocument/2006/relationships/hyperlink" Target="#&#24635;&#30446;&#24405;!A1"/><Relationship Id="rId2" Type="http://schemas.openxmlformats.org/officeDocument/2006/relationships/image" Target="../media/image192.png"/><Relationship Id="rId1" Type="http://schemas.openxmlformats.org/officeDocument/2006/relationships/image" Target="../media/image191.png"/><Relationship Id="rId6" Type="http://schemas.openxmlformats.org/officeDocument/2006/relationships/image" Target="../media/image196.png"/><Relationship Id="rId5" Type="http://schemas.openxmlformats.org/officeDocument/2006/relationships/image" Target="../media/image195.png"/><Relationship Id="rId4" Type="http://schemas.openxmlformats.org/officeDocument/2006/relationships/image" Target="../media/image194.png"/></Relationships>
</file>

<file path=xl/drawings/_rels/drawing67.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199.png"/><Relationship Id="rId7" Type="http://schemas.openxmlformats.org/officeDocument/2006/relationships/image" Target="../media/image203.png"/><Relationship Id="rId2" Type="http://schemas.openxmlformats.org/officeDocument/2006/relationships/image" Target="../media/image198.png"/><Relationship Id="rId1" Type="http://schemas.openxmlformats.org/officeDocument/2006/relationships/image" Target="../media/image197.png"/><Relationship Id="rId6" Type="http://schemas.openxmlformats.org/officeDocument/2006/relationships/image" Target="../media/image202.png"/><Relationship Id="rId5" Type="http://schemas.openxmlformats.org/officeDocument/2006/relationships/image" Target="../media/image201.png"/><Relationship Id="rId4" Type="http://schemas.openxmlformats.org/officeDocument/2006/relationships/image" Target="../media/image200.png"/></Relationships>
</file>

<file path=xl/drawings/_rels/drawing68.xml.rels><?xml version="1.0" encoding="UTF-8" standalone="yes"?>
<Relationships xmlns="http://schemas.openxmlformats.org/package/2006/relationships"><Relationship Id="rId8" Type="http://schemas.openxmlformats.org/officeDocument/2006/relationships/image" Target="../media/image211.png"/><Relationship Id="rId3" Type="http://schemas.openxmlformats.org/officeDocument/2006/relationships/image" Target="../media/image206.png"/><Relationship Id="rId7" Type="http://schemas.openxmlformats.org/officeDocument/2006/relationships/image" Target="../media/image210.png"/><Relationship Id="rId2" Type="http://schemas.openxmlformats.org/officeDocument/2006/relationships/image" Target="../media/image205.png"/><Relationship Id="rId1" Type="http://schemas.openxmlformats.org/officeDocument/2006/relationships/image" Target="../media/image204.png"/><Relationship Id="rId6" Type="http://schemas.openxmlformats.org/officeDocument/2006/relationships/image" Target="../media/image209.png"/><Relationship Id="rId11" Type="http://schemas.openxmlformats.org/officeDocument/2006/relationships/hyperlink" Target="#&#24635;&#30446;&#24405;!A1"/><Relationship Id="rId5" Type="http://schemas.openxmlformats.org/officeDocument/2006/relationships/image" Target="../media/image208.png"/><Relationship Id="rId10" Type="http://schemas.openxmlformats.org/officeDocument/2006/relationships/image" Target="../media/image213.png"/><Relationship Id="rId4" Type="http://schemas.openxmlformats.org/officeDocument/2006/relationships/image" Target="../media/image207.png"/><Relationship Id="rId9" Type="http://schemas.openxmlformats.org/officeDocument/2006/relationships/image" Target="../media/image212.png"/></Relationships>
</file>

<file path=xl/drawings/_rels/drawing69.xml.rels><?xml version="1.0" encoding="UTF-8" standalone="yes"?>
<Relationships xmlns="http://schemas.openxmlformats.org/package/2006/relationships"><Relationship Id="rId8" Type="http://schemas.openxmlformats.org/officeDocument/2006/relationships/image" Target="../media/image221.png"/><Relationship Id="rId3" Type="http://schemas.openxmlformats.org/officeDocument/2006/relationships/image" Target="../media/image216.png"/><Relationship Id="rId7" Type="http://schemas.openxmlformats.org/officeDocument/2006/relationships/image" Target="../media/image220.png"/><Relationship Id="rId2" Type="http://schemas.openxmlformats.org/officeDocument/2006/relationships/image" Target="../media/image215.png"/><Relationship Id="rId1" Type="http://schemas.openxmlformats.org/officeDocument/2006/relationships/image" Target="../media/image214.png"/><Relationship Id="rId6" Type="http://schemas.openxmlformats.org/officeDocument/2006/relationships/image" Target="../media/image219.png"/><Relationship Id="rId11" Type="http://schemas.openxmlformats.org/officeDocument/2006/relationships/hyperlink" Target="#&#24635;&#30446;&#24405;!A1"/><Relationship Id="rId5" Type="http://schemas.openxmlformats.org/officeDocument/2006/relationships/image" Target="../media/image218.png"/><Relationship Id="rId10" Type="http://schemas.openxmlformats.org/officeDocument/2006/relationships/image" Target="../media/image223.png"/><Relationship Id="rId4" Type="http://schemas.openxmlformats.org/officeDocument/2006/relationships/image" Target="../media/image217.png"/><Relationship Id="rId9" Type="http://schemas.openxmlformats.org/officeDocument/2006/relationships/image" Target="../media/image222.png"/></Relationships>
</file>

<file path=xl/drawings/_rels/drawing70.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226.png"/><Relationship Id="rId7" Type="http://schemas.openxmlformats.org/officeDocument/2006/relationships/image" Target="../media/image230.png"/><Relationship Id="rId2" Type="http://schemas.openxmlformats.org/officeDocument/2006/relationships/image" Target="../media/image225.png"/><Relationship Id="rId1" Type="http://schemas.openxmlformats.org/officeDocument/2006/relationships/image" Target="../media/image224.png"/><Relationship Id="rId6" Type="http://schemas.openxmlformats.org/officeDocument/2006/relationships/image" Target="../media/image229.png"/><Relationship Id="rId5" Type="http://schemas.openxmlformats.org/officeDocument/2006/relationships/image" Target="../media/image228.png"/><Relationship Id="rId4" Type="http://schemas.openxmlformats.org/officeDocument/2006/relationships/image" Target="../media/image227.png"/></Relationships>
</file>

<file path=xl/drawings/_rels/drawing71.xml.rels><?xml version="1.0" encoding="UTF-8" standalone="yes"?>
<Relationships xmlns="http://schemas.openxmlformats.org/package/2006/relationships"><Relationship Id="rId3" Type="http://schemas.openxmlformats.org/officeDocument/2006/relationships/image" Target="../media/image233.png"/><Relationship Id="rId7" Type="http://schemas.openxmlformats.org/officeDocument/2006/relationships/hyperlink" Target="#&#24635;&#30446;&#24405;!A1"/><Relationship Id="rId2" Type="http://schemas.openxmlformats.org/officeDocument/2006/relationships/image" Target="../media/image232.png"/><Relationship Id="rId1" Type="http://schemas.openxmlformats.org/officeDocument/2006/relationships/image" Target="../media/image231.png"/><Relationship Id="rId6" Type="http://schemas.openxmlformats.org/officeDocument/2006/relationships/image" Target="../media/image236.png"/><Relationship Id="rId5" Type="http://schemas.openxmlformats.org/officeDocument/2006/relationships/image" Target="../media/image235.png"/><Relationship Id="rId4" Type="http://schemas.openxmlformats.org/officeDocument/2006/relationships/image" Target="../media/image234.png"/></Relationships>
</file>

<file path=xl/drawings/_rels/drawing72.xml.rels><?xml version="1.0" encoding="UTF-8" standalone="yes"?>
<Relationships xmlns="http://schemas.openxmlformats.org/package/2006/relationships"><Relationship Id="rId8" Type="http://schemas.openxmlformats.org/officeDocument/2006/relationships/image" Target="../media/image244.png"/><Relationship Id="rId3" Type="http://schemas.openxmlformats.org/officeDocument/2006/relationships/image" Target="../media/image239.png"/><Relationship Id="rId7" Type="http://schemas.openxmlformats.org/officeDocument/2006/relationships/image" Target="../media/image243.png"/><Relationship Id="rId2" Type="http://schemas.openxmlformats.org/officeDocument/2006/relationships/image" Target="../media/image238.png"/><Relationship Id="rId1" Type="http://schemas.openxmlformats.org/officeDocument/2006/relationships/image" Target="../media/image237.png"/><Relationship Id="rId6" Type="http://schemas.openxmlformats.org/officeDocument/2006/relationships/image" Target="../media/image242.png"/><Relationship Id="rId5" Type="http://schemas.openxmlformats.org/officeDocument/2006/relationships/image" Target="../media/image241.png"/><Relationship Id="rId10" Type="http://schemas.openxmlformats.org/officeDocument/2006/relationships/hyperlink" Target="#&#24635;&#30446;&#24405;!A1"/><Relationship Id="rId4" Type="http://schemas.openxmlformats.org/officeDocument/2006/relationships/image" Target="../media/image240.png"/><Relationship Id="rId9" Type="http://schemas.openxmlformats.org/officeDocument/2006/relationships/image" Target="../media/image245.png"/></Relationships>
</file>

<file path=xl/drawings/_rels/drawing73.xml.rels><?xml version="1.0" encoding="UTF-8" standalone="yes"?>
<Relationships xmlns="http://schemas.openxmlformats.org/package/2006/relationships"><Relationship Id="rId3" Type="http://schemas.openxmlformats.org/officeDocument/2006/relationships/image" Target="../media/image248.png"/><Relationship Id="rId7" Type="http://schemas.openxmlformats.org/officeDocument/2006/relationships/hyperlink" Target="#&#24635;&#30446;&#24405;!A1"/><Relationship Id="rId2" Type="http://schemas.openxmlformats.org/officeDocument/2006/relationships/image" Target="../media/image247.png"/><Relationship Id="rId1" Type="http://schemas.openxmlformats.org/officeDocument/2006/relationships/image" Target="../media/image246.png"/><Relationship Id="rId6" Type="http://schemas.openxmlformats.org/officeDocument/2006/relationships/image" Target="../media/image251.png"/><Relationship Id="rId5" Type="http://schemas.openxmlformats.org/officeDocument/2006/relationships/image" Target="../media/image250.png"/><Relationship Id="rId4" Type="http://schemas.openxmlformats.org/officeDocument/2006/relationships/image" Target="../media/image249.png"/></Relationships>
</file>

<file path=xl/drawings/_rels/drawing74.xml.rels><?xml version="1.0" encoding="UTF-8" standalone="yes"?>
<Relationships xmlns="http://schemas.openxmlformats.org/package/2006/relationships"><Relationship Id="rId8" Type="http://schemas.openxmlformats.org/officeDocument/2006/relationships/image" Target="../media/image259.png"/><Relationship Id="rId3" Type="http://schemas.openxmlformats.org/officeDocument/2006/relationships/image" Target="../media/image254.png"/><Relationship Id="rId7" Type="http://schemas.openxmlformats.org/officeDocument/2006/relationships/image" Target="../media/image258.png"/><Relationship Id="rId2" Type="http://schemas.openxmlformats.org/officeDocument/2006/relationships/image" Target="../media/image253.png"/><Relationship Id="rId1" Type="http://schemas.openxmlformats.org/officeDocument/2006/relationships/image" Target="../media/image252.png"/><Relationship Id="rId6" Type="http://schemas.openxmlformats.org/officeDocument/2006/relationships/image" Target="../media/image257.png"/><Relationship Id="rId5" Type="http://schemas.openxmlformats.org/officeDocument/2006/relationships/image" Target="../media/image256.png"/><Relationship Id="rId4" Type="http://schemas.openxmlformats.org/officeDocument/2006/relationships/image" Target="../media/image255.png"/><Relationship Id="rId9" Type="http://schemas.openxmlformats.org/officeDocument/2006/relationships/hyperlink" Target="#&#24635;&#30446;&#24405;!A1"/></Relationships>
</file>

<file path=xl/drawings/_rels/drawing75.xml.rels><?xml version="1.0" encoding="UTF-8" standalone="yes"?>
<Relationships xmlns="http://schemas.openxmlformats.org/package/2006/relationships"><Relationship Id="rId8" Type="http://schemas.openxmlformats.org/officeDocument/2006/relationships/image" Target="../media/image267.png"/><Relationship Id="rId3" Type="http://schemas.openxmlformats.org/officeDocument/2006/relationships/image" Target="../media/image262.png"/><Relationship Id="rId7" Type="http://schemas.openxmlformats.org/officeDocument/2006/relationships/image" Target="../media/image266.png"/><Relationship Id="rId2" Type="http://schemas.openxmlformats.org/officeDocument/2006/relationships/image" Target="../media/image261.png"/><Relationship Id="rId1" Type="http://schemas.openxmlformats.org/officeDocument/2006/relationships/image" Target="../media/image260.png"/><Relationship Id="rId6" Type="http://schemas.openxmlformats.org/officeDocument/2006/relationships/image" Target="../media/image265.png"/><Relationship Id="rId11" Type="http://schemas.openxmlformats.org/officeDocument/2006/relationships/hyperlink" Target="#&#24635;&#30446;&#24405;!A1"/><Relationship Id="rId5" Type="http://schemas.openxmlformats.org/officeDocument/2006/relationships/image" Target="../media/image264.png"/><Relationship Id="rId10" Type="http://schemas.openxmlformats.org/officeDocument/2006/relationships/image" Target="../media/image269.png"/><Relationship Id="rId4" Type="http://schemas.openxmlformats.org/officeDocument/2006/relationships/image" Target="../media/image263.png"/><Relationship Id="rId9" Type="http://schemas.openxmlformats.org/officeDocument/2006/relationships/image" Target="../media/image268.png"/></Relationships>
</file>

<file path=xl/drawings/_rels/drawing76.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272.png"/><Relationship Id="rId7" Type="http://schemas.openxmlformats.org/officeDocument/2006/relationships/image" Target="../media/image276.png"/><Relationship Id="rId2" Type="http://schemas.openxmlformats.org/officeDocument/2006/relationships/image" Target="../media/image271.png"/><Relationship Id="rId1" Type="http://schemas.openxmlformats.org/officeDocument/2006/relationships/image" Target="../media/image270.png"/><Relationship Id="rId6" Type="http://schemas.openxmlformats.org/officeDocument/2006/relationships/image" Target="../media/image275.png"/><Relationship Id="rId5" Type="http://schemas.openxmlformats.org/officeDocument/2006/relationships/image" Target="../media/image274.png"/><Relationship Id="rId4" Type="http://schemas.openxmlformats.org/officeDocument/2006/relationships/image" Target="../media/image273.png"/></Relationships>
</file>

<file path=xl/drawings/_rels/drawing7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7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7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3.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chart" Target="../charts/chart2.xml"/><Relationship Id="rId1" Type="http://schemas.openxmlformats.org/officeDocument/2006/relationships/chart" Target="../charts/chart1.xml"/></Relationships>
</file>

<file path=xl/drawings/_rels/drawing8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5.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chart" Target="../charts/chart3.xml"/></Relationships>
</file>

<file path=xl/drawings/_rels/drawing8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7.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277.png"/></Relationships>
</file>

<file path=xl/drawings/_rels/drawing8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8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90.xml.rels><?xml version="1.0" encoding="UTF-8" standalone="yes"?>
<Relationships xmlns="http://schemas.openxmlformats.org/package/2006/relationships"><Relationship Id="rId3" Type="http://schemas.openxmlformats.org/officeDocument/2006/relationships/image" Target="../media/image280.png"/><Relationship Id="rId2" Type="http://schemas.openxmlformats.org/officeDocument/2006/relationships/image" Target="../media/image279.png"/><Relationship Id="rId1" Type="http://schemas.openxmlformats.org/officeDocument/2006/relationships/image" Target="../media/image278.png"/><Relationship Id="rId6" Type="http://schemas.openxmlformats.org/officeDocument/2006/relationships/hyperlink" Target="#&#24635;&#30446;&#24405;!A1"/><Relationship Id="rId5" Type="http://schemas.openxmlformats.org/officeDocument/2006/relationships/image" Target="../media/image282.png"/><Relationship Id="rId4" Type="http://schemas.openxmlformats.org/officeDocument/2006/relationships/image" Target="../media/image281.png"/></Relationships>
</file>

<file path=xl/drawings/_rels/drawing91.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283.png"/></Relationships>
</file>

<file path=xl/drawings/_rels/drawing92.xml.rels><?xml version="1.0" encoding="UTF-8" standalone="yes"?>
<Relationships xmlns="http://schemas.openxmlformats.org/package/2006/relationships"><Relationship Id="rId3" Type="http://schemas.openxmlformats.org/officeDocument/2006/relationships/image" Target="../media/image280.png"/><Relationship Id="rId2" Type="http://schemas.openxmlformats.org/officeDocument/2006/relationships/image" Target="../media/image279.png"/><Relationship Id="rId1" Type="http://schemas.openxmlformats.org/officeDocument/2006/relationships/image" Target="../media/image278.png"/><Relationship Id="rId6" Type="http://schemas.openxmlformats.org/officeDocument/2006/relationships/hyperlink" Target="#&#24635;&#30446;&#24405;!A1"/><Relationship Id="rId5" Type="http://schemas.openxmlformats.org/officeDocument/2006/relationships/image" Target="../media/image282.png"/><Relationship Id="rId4" Type="http://schemas.openxmlformats.org/officeDocument/2006/relationships/image" Target="../media/image281.png"/></Relationships>
</file>

<file path=xl/drawings/_rels/drawing93.xml.rels><?xml version="1.0" encoding="UTF-8" standalone="yes"?>
<Relationships xmlns="http://schemas.openxmlformats.org/package/2006/relationships"><Relationship Id="rId3" Type="http://schemas.openxmlformats.org/officeDocument/2006/relationships/image" Target="../media/image280.png"/><Relationship Id="rId2" Type="http://schemas.openxmlformats.org/officeDocument/2006/relationships/image" Target="../media/image279.png"/><Relationship Id="rId1" Type="http://schemas.openxmlformats.org/officeDocument/2006/relationships/image" Target="../media/image278.png"/><Relationship Id="rId6" Type="http://schemas.openxmlformats.org/officeDocument/2006/relationships/hyperlink" Target="#&#24635;&#30446;&#24405;!A1"/><Relationship Id="rId5" Type="http://schemas.openxmlformats.org/officeDocument/2006/relationships/image" Target="../media/image282.png"/><Relationship Id="rId4" Type="http://schemas.openxmlformats.org/officeDocument/2006/relationships/image" Target="../media/image281.png"/></Relationships>
</file>

<file path=xl/drawings/_rels/drawing94.xml.rels><?xml version="1.0" encoding="UTF-8" standalone="yes"?>
<Relationships xmlns="http://schemas.openxmlformats.org/package/2006/relationships"><Relationship Id="rId3" Type="http://schemas.openxmlformats.org/officeDocument/2006/relationships/image" Target="../media/image280.png"/><Relationship Id="rId2" Type="http://schemas.openxmlformats.org/officeDocument/2006/relationships/image" Target="../media/image279.png"/><Relationship Id="rId1" Type="http://schemas.openxmlformats.org/officeDocument/2006/relationships/image" Target="../media/image278.png"/><Relationship Id="rId6" Type="http://schemas.openxmlformats.org/officeDocument/2006/relationships/hyperlink" Target="#&#24635;&#30446;&#24405;!A1"/><Relationship Id="rId5" Type="http://schemas.openxmlformats.org/officeDocument/2006/relationships/image" Target="../media/image282.png"/><Relationship Id="rId4" Type="http://schemas.openxmlformats.org/officeDocument/2006/relationships/image" Target="../media/image281.png"/></Relationships>
</file>

<file path=xl/drawings/_rels/drawing9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hyperlink" Target="#&#24635;&#30446;&#24405;!A1"/><Relationship Id="rId4" Type="http://schemas.openxmlformats.org/officeDocument/2006/relationships/chart" Target="../charts/chart7.xml"/></Relationships>
</file>

<file path=xl/drawings/_rels/drawing96.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286.png"/><Relationship Id="rId7" Type="http://schemas.openxmlformats.org/officeDocument/2006/relationships/image" Target="../media/image290.png"/><Relationship Id="rId2" Type="http://schemas.openxmlformats.org/officeDocument/2006/relationships/image" Target="../media/image285.png"/><Relationship Id="rId1" Type="http://schemas.openxmlformats.org/officeDocument/2006/relationships/image" Target="../media/image284.png"/><Relationship Id="rId6" Type="http://schemas.openxmlformats.org/officeDocument/2006/relationships/image" Target="../media/image289.png"/><Relationship Id="rId5" Type="http://schemas.openxmlformats.org/officeDocument/2006/relationships/image" Target="../media/image288.png"/><Relationship Id="rId4" Type="http://schemas.openxmlformats.org/officeDocument/2006/relationships/image" Target="../media/image287.png"/></Relationships>
</file>

<file path=xl/drawings/_rels/drawing97.xml.rels><?xml version="1.0" encoding="UTF-8" standalone="yes"?>
<Relationships xmlns="http://schemas.openxmlformats.org/package/2006/relationships"><Relationship Id="rId3" Type="http://schemas.openxmlformats.org/officeDocument/2006/relationships/image" Target="../media/image293.png"/><Relationship Id="rId2" Type="http://schemas.openxmlformats.org/officeDocument/2006/relationships/image" Target="../media/image292.png"/><Relationship Id="rId1" Type="http://schemas.openxmlformats.org/officeDocument/2006/relationships/image" Target="../media/image291.png"/><Relationship Id="rId6" Type="http://schemas.openxmlformats.org/officeDocument/2006/relationships/hyperlink" Target="#&#24635;&#30446;&#24405;!A1"/><Relationship Id="rId5" Type="http://schemas.openxmlformats.org/officeDocument/2006/relationships/image" Target="../media/image295.png"/><Relationship Id="rId4" Type="http://schemas.openxmlformats.org/officeDocument/2006/relationships/image" Target="../media/image294.png"/></Relationships>
</file>

<file path=xl/drawings/_rels/drawing98.xml.rels><?xml version="1.0" encoding="UTF-8" standalone="yes"?>
<Relationships xmlns="http://schemas.openxmlformats.org/package/2006/relationships"><Relationship Id="rId3" Type="http://schemas.openxmlformats.org/officeDocument/2006/relationships/image" Target="../media/image298.png"/><Relationship Id="rId2" Type="http://schemas.openxmlformats.org/officeDocument/2006/relationships/image" Target="../media/image297.png"/><Relationship Id="rId1" Type="http://schemas.openxmlformats.org/officeDocument/2006/relationships/image" Target="../media/image296.png"/><Relationship Id="rId4" Type="http://schemas.openxmlformats.org/officeDocument/2006/relationships/hyperlink" Target="#&#24635;&#30446;&#24405;!A1"/></Relationships>
</file>

<file path=xl/drawings/_rels/drawing99.xml.rels><?xml version="1.0" encoding="UTF-8" standalone="yes"?>
<Relationships xmlns="http://schemas.openxmlformats.org/package/2006/relationships"><Relationship Id="rId3" Type="http://schemas.openxmlformats.org/officeDocument/2006/relationships/image" Target="../media/image301.png"/><Relationship Id="rId2" Type="http://schemas.openxmlformats.org/officeDocument/2006/relationships/image" Target="../media/image300.png"/><Relationship Id="rId1" Type="http://schemas.openxmlformats.org/officeDocument/2006/relationships/image" Target="../media/image299.png"/><Relationship Id="rId4" Type="http://schemas.openxmlformats.org/officeDocument/2006/relationships/hyperlink" Target="#&#24635;&#30446;&#24405;!A1"/></Relationships>
</file>

<file path=xl/drawings/_rels/drawing100.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302.png"/></Relationships>
</file>

<file path=xl/drawings/_rels/drawing10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02.xml.rels><?xml version="1.0" encoding="UTF-8" standalone="yes"?>
<Relationships xmlns="http://schemas.openxmlformats.org/package/2006/relationships"><Relationship Id="rId3" Type="http://schemas.openxmlformats.org/officeDocument/2006/relationships/image" Target="../media/image304.GIF"/><Relationship Id="rId2" Type="http://schemas.openxmlformats.org/officeDocument/2006/relationships/image" Target="NULL" TargetMode="External"/><Relationship Id="rId1" Type="http://schemas.openxmlformats.org/officeDocument/2006/relationships/image" Target="../media/image303.GIF"/><Relationship Id="rId4" Type="http://schemas.openxmlformats.org/officeDocument/2006/relationships/hyperlink" Target="#&#24635;&#30446;&#24405;!A1"/></Relationships>
</file>

<file path=xl/drawings/_rels/drawing103.xml.rels><?xml version="1.0" encoding="UTF-8" standalone="yes"?>
<Relationships xmlns="http://schemas.openxmlformats.org/package/2006/relationships"><Relationship Id="rId3" Type="http://schemas.openxmlformats.org/officeDocument/2006/relationships/image" Target="../media/image305.GIF"/><Relationship Id="rId2" Type="http://schemas.openxmlformats.org/officeDocument/2006/relationships/image" Target="NULL" TargetMode="External"/><Relationship Id="rId1" Type="http://schemas.openxmlformats.org/officeDocument/2006/relationships/image" Target="../media/image303.GIF"/><Relationship Id="rId4" Type="http://schemas.openxmlformats.org/officeDocument/2006/relationships/hyperlink" Target="#&#24635;&#30446;&#24405;!A1"/></Relationships>
</file>

<file path=xl/drawings/_rels/drawing104.xml.rels><?xml version="1.0" encoding="UTF-8" standalone="yes"?>
<Relationships xmlns="http://schemas.openxmlformats.org/package/2006/relationships"><Relationship Id="rId3" Type="http://schemas.openxmlformats.org/officeDocument/2006/relationships/image" Target="../media/image306.GIF"/><Relationship Id="rId2" Type="http://schemas.openxmlformats.org/officeDocument/2006/relationships/image" Target="NULL" TargetMode="External"/><Relationship Id="rId1" Type="http://schemas.openxmlformats.org/officeDocument/2006/relationships/image" Target="../media/image303.GIF"/><Relationship Id="rId4" Type="http://schemas.openxmlformats.org/officeDocument/2006/relationships/hyperlink" Target="#&#24635;&#30446;&#24405;!A1"/></Relationships>
</file>

<file path=xl/drawings/_rels/drawing105.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307.png"/></Relationships>
</file>

<file path=xl/drawings/_rels/drawing106.xml.rels><?xml version="1.0" encoding="UTF-8" standalone="yes"?>
<Relationships xmlns="http://schemas.openxmlformats.org/package/2006/relationships"><Relationship Id="rId8" Type="http://schemas.openxmlformats.org/officeDocument/2006/relationships/hyperlink" Target="#&#24635;&#30446;&#24405;!A1"/><Relationship Id="rId3" Type="http://schemas.openxmlformats.org/officeDocument/2006/relationships/image" Target="../media/image310.png"/><Relationship Id="rId7" Type="http://schemas.openxmlformats.org/officeDocument/2006/relationships/image" Target="../media/image314.png"/><Relationship Id="rId2" Type="http://schemas.openxmlformats.org/officeDocument/2006/relationships/image" Target="../media/image309.png"/><Relationship Id="rId1" Type="http://schemas.openxmlformats.org/officeDocument/2006/relationships/image" Target="../media/image308.png"/><Relationship Id="rId6" Type="http://schemas.openxmlformats.org/officeDocument/2006/relationships/image" Target="../media/image313.png"/><Relationship Id="rId5" Type="http://schemas.openxmlformats.org/officeDocument/2006/relationships/image" Target="../media/image312.png"/><Relationship Id="rId4" Type="http://schemas.openxmlformats.org/officeDocument/2006/relationships/image" Target="../media/image311.png"/></Relationships>
</file>

<file path=xl/drawings/_rels/drawing10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0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0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5.xml.rels><?xml version="1.0" encoding="UTF-8" standalone="yes"?>
<Relationships xmlns="http://schemas.openxmlformats.org/package/2006/relationships"><Relationship Id="rId3" Type="http://schemas.openxmlformats.org/officeDocument/2006/relationships/image" Target="../media/image385.png"/><Relationship Id="rId2" Type="http://schemas.openxmlformats.org/officeDocument/2006/relationships/image" Target="../media/image384.png"/><Relationship Id="rId1" Type="http://schemas.openxmlformats.org/officeDocument/2006/relationships/image" Target="../media/image383.png"/><Relationship Id="rId4" Type="http://schemas.openxmlformats.org/officeDocument/2006/relationships/hyperlink" Target="#&#24635;&#30446;&#24405;!A1"/></Relationships>
</file>

<file path=xl/drawings/_rels/drawing11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19.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386.jpeg"/></Relationships>
</file>

<file path=xl/drawings/_rels/drawing12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5.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388.png"/><Relationship Id="rId1" Type="http://schemas.openxmlformats.org/officeDocument/2006/relationships/image" Target="../media/image387.emf"/></Relationships>
</file>

<file path=xl/drawings/_rels/drawing126.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390.tiff"/><Relationship Id="rId1" Type="http://schemas.openxmlformats.org/officeDocument/2006/relationships/image" Target="../media/image389.GIF"/></Relationships>
</file>

<file path=xl/drawings/_rels/drawing127.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393.png"/><Relationship Id="rId1" Type="http://schemas.openxmlformats.org/officeDocument/2006/relationships/image" Target="../media/image392.png"/></Relationships>
</file>

<file path=xl/drawings/_rels/drawing12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2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38.xml.rels><?xml version="1.0" encoding="UTF-8" standalone="yes"?>
<Relationships xmlns="http://schemas.openxmlformats.org/package/2006/relationships"><Relationship Id="rId3" Type="http://schemas.openxmlformats.org/officeDocument/2006/relationships/image" Target="../media/image396.tiff"/><Relationship Id="rId2" Type="http://schemas.openxmlformats.org/officeDocument/2006/relationships/image" Target="../media/image395.png"/><Relationship Id="rId1" Type="http://schemas.openxmlformats.org/officeDocument/2006/relationships/image" Target="../media/image394.GIF"/><Relationship Id="rId4" Type="http://schemas.openxmlformats.org/officeDocument/2006/relationships/hyperlink" Target="#&#24635;&#30446;&#24405;!A1"/></Relationships>
</file>

<file path=xl/drawings/_rels/drawing13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0.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91.png"/></Relationships>
</file>

<file path=xl/drawings/_rels/drawing141.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398.png"/><Relationship Id="rId1" Type="http://schemas.openxmlformats.org/officeDocument/2006/relationships/image" Target="../media/image397.png"/></Relationships>
</file>

<file path=xl/drawings/_rels/drawing14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5.xml.rels><?xml version="1.0" encoding="UTF-8" standalone="yes"?>
<Relationships xmlns="http://schemas.openxmlformats.org/package/2006/relationships"><Relationship Id="rId8" Type="http://schemas.openxmlformats.org/officeDocument/2006/relationships/image" Target="../media/image407.jpeg"/><Relationship Id="rId3" Type="http://schemas.openxmlformats.org/officeDocument/2006/relationships/image" Target="../media/image402.jpeg"/><Relationship Id="rId7" Type="http://schemas.openxmlformats.org/officeDocument/2006/relationships/image" Target="../media/image406.jpeg"/><Relationship Id="rId2" Type="http://schemas.openxmlformats.org/officeDocument/2006/relationships/image" Target="../media/image401.jpeg"/><Relationship Id="rId1" Type="http://schemas.openxmlformats.org/officeDocument/2006/relationships/image" Target="../media/image400.jpeg"/><Relationship Id="rId6" Type="http://schemas.openxmlformats.org/officeDocument/2006/relationships/image" Target="../media/image405.jpeg"/><Relationship Id="rId5" Type="http://schemas.openxmlformats.org/officeDocument/2006/relationships/image" Target="../media/image404.jpeg"/><Relationship Id="rId4" Type="http://schemas.openxmlformats.org/officeDocument/2006/relationships/image" Target="../media/image403.jpeg"/><Relationship Id="rId9" Type="http://schemas.openxmlformats.org/officeDocument/2006/relationships/hyperlink" Target="#&#24635;&#30446;&#24405;!A1"/></Relationships>
</file>

<file path=xl/drawings/_rels/drawing14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4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0.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08.jpeg"/></Relationships>
</file>

<file path=xl/drawings/_rels/drawing151.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09.jpeg"/></Relationships>
</file>

<file path=xl/drawings/_rels/drawing15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3.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10.jpeg"/></Relationships>
</file>

<file path=xl/drawings/_rels/drawing15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5.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11.png"/></Relationships>
</file>

<file path=xl/drawings/_rels/drawing15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5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3.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4.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5.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6.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7.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8.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6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7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71.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72.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73.xml.rels><?xml version="1.0" encoding="UTF-8" standalone="yes"?>
<Relationships xmlns="http://schemas.openxmlformats.org/package/2006/relationships"><Relationship Id="rId3" Type="http://schemas.openxmlformats.org/officeDocument/2006/relationships/image" Target="../media/image419.emf"/><Relationship Id="rId2" Type="http://schemas.openxmlformats.org/officeDocument/2006/relationships/image" Target="../media/image418.emf"/><Relationship Id="rId1" Type="http://schemas.openxmlformats.org/officeDocument/2006/relationships/image" Target="../media/image417.emf"/><Relationship Id="rId5" Type="http://schemas.openxmlformats.org/officeDocument/2006/relationships/hyperlink" Target="#&#24635;&#30446;&#24405;!A1"/><Relationship Id="rId4" Type="http://schemas.openxmlformats.org/officeDocument/2006/relationships/image" Target="../media/image420.emf"/></Relationships>
</file>

<file path=xl/drawings/_rels/drawing174.xml.rels><?xml version="1.0" encoding="UTF-8" standalone="yes"?>
<Relationships xmlns="http://schemas.openxmlformats.org/package/2006/relationships"><Relationship Id="rId3" Type="http://schemas.openxmlformats.org/officeDocument/2006/relationships/image" Target="../media/image430.png"/><Relationship Id="rId7" Type="http://schemas.openxmlformats.org/officeDocument/2006/relationships/hyperlink" Target="#&#24635;&#30446;&#24405;!A1"/><Relationship Id="rId2" Type="http://schemas.openxmlformats.org/officeDocument/2006/relationships/image" Target="../media/image429.png"/><Relationship Id="rId1" Type="http://schemas.openxmlformats.org/officeDocument/2006/relationships/image" Target="../media/image428.png"/><Relationship Id="rId6" Type="http://schemas.openxmlformats.org/officeDocument/2006/relationships/image" Target="../media/image280.png"/><Relationship Id="rId5" Type="http://schemas.openxmlformats.org/officeDocument/2006/relationships/image" Target="../media/image432.png"/><Relationship Id="rId4" Type="http://schemas.openxmlformats.org/officeDocument/2006/relationships/image" Target="../media/image431.png"/></Relationships>
</file>

<file path=xl/drawings/_rels/drawing175.xml.rels><?xml version="1.0" encoding="UTF-8" standalone="yes"?>
<Relationships xmlns="http://schemas.openxmlformats.org/package/2006/relationships"><Relationship Id="rId3" Type="http://schemas.openxmlformats.org/officeDocument/2006/relationships/image" Target="../media/image444.emf"/><Relationship Id="rId2" Type="http://schemas.openxmlformats.org/officeDocument/2006/relationships/image" Target="../media/image443.png"/><Relationship Id="rId1" Type="http://schemas.openxmlformats.org/officeDocument/2006/relationships/image" Target="../media/image442.emf"/><Relationship Id="rId4" Type="http://schemas.openxmlformats.org/officeDocument/2006/relationships/hyperlink" Target="#&#24635;&#30446;&#24405;!A1"/></Relationships>
</file>

<file path=xl/drawings/_rels/drawing176.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444.emf"/><Relationship Id="rId1" Type="http://schemas.openxmlformats.org/officeDocument/2006/relationships/image" Target="../media/image442.emf"/></Relationships>
</file>

<file path=xl/drawings/_rels/drawing177.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453.png"/><Relationship Id="rId1" Type="http://schemas.openxmlformats.org/officeDocument/2006/relationships/image" Target="../media/image452.png"/></Relationships>
</file>

<file path=xl/drawings/_rels/drawing178.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443.png"/><Relationship Id="rId1" Type="http://schemas.openxmlformats.org/officeDocument/2006/relationships/image" Target="../media/image442.emf"/></Relationships>
</file>

<file path=xl/drawings/_rels/drawing179.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80.xml.rels><?xml version="1.0" encoding="UTF-8" standalone="yes"?>
<Relationships xmlns="http://schemas.openxmlformats.org/package/2006/relationships"><Relationship Id="rId1" Type="http://schemas.openxmlformats.org/officeDocument/2006/relationships/hyperlink" Target="#&#24635;&#30446;&#24405;!A1"/></Relationships>
</file>

<file path=xl/drawings/_rels/drawing181.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458.png"/><Relationship Id="rId1" Type="http://schemas.openxmlformats.org/officeDocument/2006/relationships/image" Target="../media/image457.png"/></Relationships>
</file>

<file path=xl/drawings/_rels/drawing182.xml.rels><?xml version="1.0" encoding="UTF-8" standalone="yes"?>
<Relationships xmlns="http://schemas.openxmlformats.org/package/2006/relationships"><Relationship Id="rId3" Type="http://schemas.openxmlformats.org/officeDocument/2006/relationships/image" Target="../media/image461.png"/><Relationship Id="rId2" Type="http://schemas.openxmlformats.org/officeDocument/2006/relationships/image" Target="../media/image460.png"/><Relationship Id="rId1" Type="http://schemas.openxmlformats.org/officeDocument/2006/relationships/image" Target="../media/image459.png"/><Relationship Id="rId4" Type="http://schemas.openxmlformats.org/officeDocument/2006/relationships/hyperlink" Target="#&#24635;&#30446;&#24405;!A1"/></Relationships>
</file>

<file path=xl/drawings/_rels/drawing183.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62.jpeg"/></Relationships>
</file>

<file path=xl/drawings/_rels/drawing184.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63.png"/></Relationships>
</file>

<file path=xl/drawings/_rels/drawing185.xml.rels><?xml version="1.0" encoding="UTF-8" standalone="yes"?>
<Relationships xmlns="http://schemas.openxmlformats.org/package/2006/relationships"><Relationship Id="rId3" Type="http://schemas.openxmlformats.org/officeDocument/2006/relationships/hyperlink" Target="#&#24635;&#30446;&#24405;!A1"/><Relationship Id="rId2" Type="http://schemas.openxmlformats.org/officeDocument/2006/relationships/image" Target="../media/image465.GIF"/><Relationship Id="rId1" Type="http://schemas.openxmlformats.org/officeDocument/2006/relationships/image" Target="../media/image464.wmf"/></Relationships>
</file>

<file path=xl/drawings/_rels/drawing186.xml.rels><?xml version="1.0" encoding="UTF-8" standalone="yes"?>
<Relationships xmlns="http://schemas.openxmlformats.org/package/2006/relationships"><Relationship Id="rId2" Type="http://schemas.openxmlformats.org/officeDocument/2006/relationships/hyperlink" Target="#&#24635;&#30446;&#24405;!A1"/><Relationship Id="rId1" Type="http://schemas.openxmlformats.org/officeDocument/2006/relationships/image" Target="../media/image466.jpeg"/></Relationships>
</file>

<file path=xl/drawings/_rels/drawing187.xml.rels><?xml version="1.0" encoding="UTF-8" standalone="yes"?>
<Relationships xmlns="http://schemas.openxmlformats.org/package/2006/relationships"><Relationship Id="rId1" Type="http://schemas.openxmlformats.org/officeDocument/2006/relationships/hyperlink" Target="#&#24635;&#30446;&#24405;!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6.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1.emf"/><Relationship Id="rId1" Type="http://schemas.openxmlformats.org/officeDocument/2006/relationships/image" Target="../media/image40.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44.emf"/><Relationship Id="rId1" Type="http://schemas.openxmlformats.org/officeDocument/2006/relationships/image" Target="../media/image4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9.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52.emf"/><Relationship Id="rId1" Type="http://schemas.openxmlformats.org/officeDocument/2006/relationships/image" Target="../media/image51.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58.emf"/><Relationship Id="rId2" Type="http://schemas.openxmlformats.org/officeDocument/2006/relationships/image" Target="../media/image57.emf"/><Relationship Id="rId1" Type="http://schemas.openxmlformats.org/officeDocument/2006/relationships/image" Target="../media/image56.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86.emf"/><Relationship Id="rId1" Type="http://schemas.openxmlformats.org/officeDocument/2006/relationships/image" Target="../media/image85.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89.wmf"/><Relationship Id="rId2" Type="http://schemas.openxmlformats.org/officeDocument/2006/relationships/image" Target="../media/image88.wmf"/><Relationship Id="rId1" Type="http://schemas.openxmlformats.org/officeDocument/2006/relationships/image" Target="../media/image87.wmf"/><Relationship Id="rId4" Type="http://schemas.openxmlformats.org/officeDocument/2006/relationships/image" Target="../media/image90.w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94.emf"/><Relationship Id="rId1" Type="http://schemas.openxmlformats.org/officeDocument/2006/relationships/image" Target="../media/image93.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97.emf"/><Relationship Id="rId1" Type="http://schemas.openxmlformats.org/officeDocument/2006/relationships/image" Target="../media/image96.emf"/></Relationships>
</file>

<file path=xl/drawings/_rels/vmlDrawing14.vml.rels><?xml version="1.0" encoding="UTF-8" standalone="yes"?>
<Relationships xmlns="http://schemas.openxmlformats.org/package/2006/relationships"><Relationship Id="rId8" Type="http://schemas.openxmlformats.org/officeDocument/2006/relationships/image" Target="../media/image105.emf"/><Relationship Id="rId3" Type="http://schemas.openxmlformats.org/officeDocument/2006/relationships/image" Target="../media/image100.emf"/><Relationship Id="rId7" Type="http://schemas.openxmlformats.org/officeDocument/2006/relationships/image" Target="../media/image104.emf"/><Relationship Id="rId2" Type="http://schemas.openxmlformats.org/officeDocument/2006/relationships/image" Target="../media/image99.emf"/><Relationship Id="rId1" Type="http://schemas.openxmlformats.org/officeDocument/2006/relationships/image" Target="../media/image98.emf"/><Relationship Id="rId6" Type="http://schemas.openxmlformats.org/officeDocument/2006/relationships/image" Target="../media/image103.emf"/><Relationship Id="rId11" Type="http://schemas.openxmlformats.org/officeDocument/2006/relationships/image" Target="../media/image108.emf"/><Relationship Id="rId5" Type="http://schemas.openxmlformats.org/officeDocument/2006/relationships/image" Target="../media/image102.emf"/><Relationship Id="rId10" Type="http://schemas.openxmlformats.org/officeDocument/2006/relationships/image" Target="../media/image107.emf"/><Relationship Id="rId4" Type="http://schemas.openxmlformats.org/officeDocument/2006/relationships/image" Target="../media/image101.emf"/><Relationship Id="rId9" Type="http://schemas.openxmlformats.org/officeDocument/2006/relationships/image" Target="../media/image106.emf"/></Relationships>
</file>

<file path=xl/drawings/_rels/vmlDrawing15.vml.rels><?xml version="1.0" encoding="UTF-8" standalone="yes"?>
<Relationships xmlns="http://schemas.openxmlformats.org/package/2006/relationships"><Relationship Id="rId8" Type="http://schemas.openxmlformats.org/officeDocument/2006/relationships/image" Target="../media/image116.emf"/><Relationship Id="rId3" Type="http://schemas.openxmlformats.org/officeDocument/2006/relationships/image" Target="../media/image111.emf"/><Relationship Id="rId7" Type="http://schemas.openxmlformats.org/officeDocument/2006/relationships/image" Target="../media/image115.emf"/><Relationship Id="rId2" Type="http://schemas.openxmlformats.org/officeDocument/2006/relationships/image" Target="../media/image110.emf"/><Relationship Id="rId1" Type="http://schemas.openxmlformats.org/officeDocument/2006/relationships/image" Target="../media/image109.emf"/><Relationship Id="rId6" Type="http://schemas.openxmlformats.org/officeDocument/2006/relationships/image" Target="../media/image114.emf"/><Relationship Id="rId5" Type="http://schemas.openxmlformats.org/officeDocument/2006/relationships/image" Target="../media/image113.emf"/><Relationship Id="rId4" Type="http://schemas.openxmlformats.org/officeDocument/2006/relationships/image" Target="../media/image112.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18.emf"/><Relationship Id="rId1" Type="http://schemas.openxmlformats.org/officeDocument/2006/relationships/image" Target="../media/image117.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122.emf"/><Relationship Id="rId2" Type="http://schemas.openxmlformats.org/officeDocument/2006/relationships/image" Target="../media/image121.emf"/><Relationship Id="rId1" Type="http://schemas.openxmlformats.org/officeDocument/2006/relationships/image" Target="../media/image120.emf"/><Relationship Id="rId4" Type="http://schemas.openxmlformats.org/officeDocument/2006/relationships/image" Target="../media/image123.emf"/></Relationships>
</file>

<file path=xl/drawings/_rels/vmlDrawing20.vml.rels><?xml version="1.0" encoding="UTF-8" standalone="yes"?>
<Relationships xmlns="http://schemas.openxmlformats.org/package/2006/relationships"><Relationship Id="rId8" Type="http://schemas.openxmlformats.org/officeDocument/2006/relationships/image" Target="../media/image322.wmf"/><Relationship Id="rId13" Type="http://schemas.openxmlformats.org/officeDocument/2006/relationships/image" Target="../media/image327.emf"/><Relationship Id="rId3" Type="http://schemas.openxmlformats.org/officeDocument/2006/relationships/image" Target="../media/image317.wmf"/><Relationship Id="rId7" Type="http://schemas.openxmlformats.org/officeDocument/2006/relationships/image" Target="../media/image321.emf"/><Relationship Id="rId12" Type="http://schemas.openxmlformats.org/officeDocument/2006/relationships/image" Target="../media/image326.emf"/><Relationship Id="rId2" Type="http://schemas.openxmlformats.org/officeDocument/2006/relationships/image" Target="../media/image316.wmf"/><Relationship Id="rId1" Type="http://schemas.openxmlformats.org/officeDocument/2006/relationships/image" Target="../media/image315.wmf"/><Relationship Id="rId6" Type="http://schemas.openxmlformats.org/officeDocument/2006/relationships/image" Target="../media/image320.wmf"/><Relationship Id="rId11" Type="http://schemas.openxmlformats.org/officeDocument/2006/relationships/image" Target="../media/image325.emf"/><Relationship Id="rId5" Type="http://schemas.openxmlformats.org/officeDocument/2006/relationships/image" Target="../media/image319.wmf"/><Relationship Id="rId10" Type="http://schemas.openxmlformats.org/officeDocument/2006/relationships/image" Target="../media/image324.emf"/><Relationship Id="rId4" Type="http://schemas.openxmlformats.org/officeDocument/2006/relationships/image" Target="../media/image318.wmf"/><Relationship Id="rId9" Type="http://schemas.openxmlformats.org/officeDocument/2006/relationships/image" Target="../media/image323.emf"/></Relationships>
</file>

<file path=xl/drawings/_rels/vmlDrawing21.vml.rels><?xml version="1.0" encoding="UTF-8" standalone="yes"?>
<Relationships xmlns="http://schemas.openxmlformats.org/package/2006/relationships"><Relationship Id="rId8" Type="http://schemas.openxmlformats.org/officeDocument/2006/relationships/image" Target="../media/image335.wmf"/><Relationship Id="rId3" Type="http://schemas.openxmlformats.org/officeDocument/2006/relationships/image" Target="../media/image330.wmf"/><Relationship Id="rId7" Type="http://schemas.openxmlformats.org/officeDocument/2006/relationships/image" Target="../media/image334.emf"/><Relationship Id="rId2" Type="http://schemas.openxmlformats.org/officeDocument/2006/relationships/image" Target="../media/image329.wmf"/><Relationship Id="rId1" Type="http://schemas.openxmlformats.org/officeDocument/2006/relationships/image" Target="../media/image328.wmf"/><Relationship Id="rId6" Type="http://schemas.openxmlformats.org/officeDocument/2006/relationships/image" Target="../media/image333.emf"/><Relationship Id="rId5" Type="http://schemas.openxmlformats.org/officeDocument/2006/relationships/image" Target="../media/image332.wmf"/><Relationship Id="rId10" Type="http://schemas.openxmlformats.org/officeDocument/2006/relationships/image" Target="../media/image337.wmf"/><Relationship Id="rId4" Type="http://schemas.openxmlformats.org/officeDocument/2006/relationships/image" Target="../media/image331.wmf"/><Relationship Id="rId9" Type="http://schemas.openxmlformats.org/officeDocument/2006/relationships/image" Target="../media/image336.wmf"/></Relationships>
</file>

<file path=xl/drawings/_rels/vmlDrawing22.vml.rels><?xml version="1.0" encoding="UTF-8" standalone="yes"?>
<Relationships xmlns="http://schemas.openxmlformats.org/package/2006/relationships"><Relationship Id="rId8" Type="http://schemas.openxmlformats.org/officeDocument/2006/relationships/image" Target="../media/image345.wmf"/><Relationship Id="rId13" Type="http://schemas.openxmlformats.org/officeDocument/2006/relationships/image" Target="../media/image350.wmf"/><Relationship Id="rId18" Type="http://schemas.openxmlformats.org/officeDocument/2006/relationships/image" Target="../media/image355.emf"/><Relationship Id="rId3" Type="http://schemas.openxmlformats.org/officeDocument/2006/relationships/image" Target="../media/image340.wmf"/><Relationship Id="rId7" Type="http://schemas.openxmlformats.org/officeDocument/2006/relationships/image" Target="../media/image344.wmf"/><Relationship Id="rId12" Type="http://schemas.openxmlformats.org/officeDocument/2006/relationships/image" Target="../media/image349.wmf"/><Relationship Id="rId17" Type="http://schemas.openxmlformats.org/officeDocument/2006/relationships/image" Target="../media/image354.emf"/><Relationship Id="rId2" Type="http://schemas.openxmlformats.org/officeDocument/2006/relationships/image" Target="../media/image339.wmf"/><Relationship Id="rId16" Type="http://schemas.openxmlformats.org/officeDocument/2006/relationships/image" Target="../media/image353.emf"/><Relationship Id="rId1" Type="http://schemas.openxmlformats.org/officeDocument/2006/relationships/image" Target="../media/image338.wmf"/><Relationship Id="rId6" Type="http://schemas.openxmlformats.org/officeDocument/2006/relationships/image" Target="../media/image343.wmf"/><Relationship Id="rId11" Type="http://schemas.openxmlformats.org/officeDocument/2006/relationships/image" Target="../media/image348.wmf"/><Relationship Id="rId5" Type="http://schemas.openxmlformats.org/officeDocument/2006/relationships/image" Target="../media/image342.wmf"/><Relationship Id="rId15" Type="http://schemas.openxmlformats.org/officeDocument/2006/relationships/image" Target="../media/image352.emf"/><Relationship Id="rId10" Type="http://schemas.openxmlformats.org/officeDocument/2006/relationships/image" Target="../media/image347.wmf"/><Relationship Id="rId19" Type="http://schemas.openxmlformats.org/officeDocument/2006/relationships/image" Target="../media/image356.emf"/><Relationship Id="rId4" Type="http://schemas.openxmlformats.org/officeDocument/2006/relationships/image" Target="../media/image341.wmf"/><Relationship Id="rId9" Type="http://schemas.openxmlformats.org/officeDocument/2006/relationships/image" Target="../media/image346.wmf"/><Relationship Id="rId14" Type="http://schemas.openxmlformats.org/officeDocument/2006/relationships/image" Target="../media/image351.emf"/></Relationships>
</file>

<file path=xl/drawings/_rels/vmlDrawing23.vml.rels><?xml version="1.0" encoding="UTF-8" standalone="yes"?>
<Relationships xmlns="http://schemas.openxmlformats.org/package/2006/relationships"><Relationship Id="rId8" Type="http://schemas.openxmlformats.org/officeDocument/2006/relationships/image" Target="../media/image364.emf"/><Relationship Id="rId13" Type="http://schemas.openxmlformats.org/officeDocument/2006/relationships/image" Target="../media/image369.emf"/><Relationship Id="rId18" Type="http://schemas.openxmlformats.org/officeDocument/2006/relationships/image" Target="../media/image374.wmf"/><Relationship Id="rId26" Type="http://schemas.openxmlformats.org/officeDocument/2006/relationships/image" Target="../media/image382.wmf"/><Relationship Id="rId3" Type="http://schemas.openxmlformats.org/officeDocument/2006/relationships/image" Target="../media/image359.emf"/><Relationship Id="rId21" Type="http://schemas.openxmlformats.org/officeDocument/2006/relationships/image" Target="../media/image377.wmf"/><Relationship Id="rId7" Type="http://schemas.openxmlformats.org/officeDocument/2006/relationships/image" Target="../media/image363.wmf"/><Relationship Id="rId12" Type="http://schemas.openxmlformats.org/officeDocument/2006/relationships/image" Target="../media/image368.wmf"/><Relationship Id="rId17" Type="http://schemas.openxmlformats.org/officeDocument/2006/relationships/image" Target="../media/image373.wmf"/><Relationship Id="rId25" Type="http://schemas.openxmlformats.org/officeDocument/2006/relationships/image" Target="../media/image381.wmf"/><Relationship Id="rId2" Type="http://schemas.openxmlformats.org/officeDocument/2006/relationships/image" Target="../media/image358.emf"/><Relationship Id="rId16" Type="http://schemas.openxmlformats.org/officeDocument/2006/relationships/image" Target="../media/image372.wmf"/><Relationship Id="rId20" Type="http://schemas.openxmlformats.org/officeDocument/2006/relationships/image" Target="../media/image376.wmf"/><Relationship Id="rId1" Type="http://schemas.openxmlformats.org/officeDocument/2006/relationships/image" Target="../media/image357.emf"/><Relationship Id="rId6" Type="http://schemas.openxmlformats.org/officeDocument/2006/relationships/image" Target="../media/image362.wmf"/><Relationship Id="rId11" Type="http://schemas.openxmlformats.org/officeDocument/2006/relationships/image" Target="../media/image367.wmf"/><Relationship Id="rId24" Type="http://schemas.openxmlformats.org/officeDocument/2006/relationships/image" Target="../media/image380.wmf"/><Relationship Id="rId5" Type="http://schemas.openxmlformats.org/officeDocument/2006/relationships/image" Target="../media/image361.wmf"/><Relationship Id="rId15" Type="http://schemas.openxmlformats.org/officeDocument/2006/relationships/image" Target="../media/image371.wmf"/><Relationship Id="rId23" Type="http://schemas.openxmlformats.org/officeDocument/2006/relationships/image" Target="../media/image379.wmf"/><Relationship Id="rId10" Type="http://schemas.openxmlformats.org/officeDocument/2006/relationships/image" Target="../media/image366.wmf"/><Relationship Id="rId19" Type="http://schemas.openxmlformats.org/officeDocument/2006/relationships/image" Target="../media/image375.wmf"/><Relationship Id="rId4" Type="http://schemas.openxmlformats.org/officeDocument/2006/relationships/image" Target="../media/image360.wmf"/><Relationship Id="rId9" Type="http://schemas.openxmlformats.org/officeDocument/2006/relationships/image" Target="../media/image365.emf"/><Relationship Id="rId14" Type="http://schemas.openxmlformats.org/officeDocument/2006/relationships/image" Target="../media/image370.wmf"/><Relationship Id="rId22" Type="http://schemas.openxmlformats.org/officeDocument/2006/relationships/image" Target="../media/image378.w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391.emf"/></Relationships>
</file>

<file path=xl/drawings/_rels/vmlDrawing28.vml.rels><?xml version="1.0" encoding="UTF-8" standalone="yes"?>
<Relationships xmlns="http://schemas.openxmlformats.org/package/2006/relationships"><Relationship Id="rId3" Type="http://schemas.openxmlformats.org/officeDocument/2006/relationships/image" Target="../media/image89.wmf"/><Relationship Id="rId2" Type="http://schemas.openxmlformats.org/officeDocument/2006/relationships/image" Target="../media/image88.wmf"/><Relationship Id="rId1" Type="http://schemas.openxmlformats.org/officeDocument/2006/relationships/image" Target="../media/image87.wmf"/><Relationship Id="rId4" Type="http://schemas.openxmlformats.org/officeDocument/2006/relationships/image" Target="../media/image90.wmf"/></Relationships>
</file>

<file path=xl/drawings/_rels/vmlDrawing29.vml.rels><?xml version="1.0" encoding="UTF-8" standalone="yes"?>
<Relationships xmlns="http://schemas.openxmlformats.org/package/2006/relationships"><Relationship Id="rId1" Type="http://schemas.openxmlformats.org/officeDocument/2006/relationships/image" Target="../media/image399.emf"/></Relationships>
</file>

<file path=xl/drawings/_rels/vmlDrawing31.vml.rels><?xml version="1.0" encoding="UTF-8" standalone="yes"?>
<Relationships xmlns="http://schemas.openxmlformats.org/package/2006/relationships"><Relationship Id="rId1" Type="http://schemas.openxmlformats.org/officeDocument/2006/relationships/image" Target="../media/image45.emf"/></Relationships>
</file>

<file path=xl/drawings/_rels/vmlDrawing33.vml.rels><?xml version="1.0" encoding="UTF-8" standalone="yes"?>
<Relationships xmlns="http://schemas.openxmlformats.org/package/2006/relationships"><Relationship Id="rId3" Type="http://schemas.openxmlformats.org/officeDocument/2006/relationships/image" Target="../media/image414.emf"/><Relationship Id="rId2" Type="http://schemas.openxmlformats.org/officeDocument/2006/relationships/image" Target="../media/image413.emf"/><Relationship Id="rId1" Type="http://schemas.openxmlformats.org/officeDocument/2006/relationships/image" Target="../media/image412.emf"/><Relationship Id="rId5" Type="http://schemas.openxmlformats.org/officeDocument/2006/relationships/image" Target="../media/image416.emf"/><Relationship Id="rId4" Type="http://schemas.openxmlformats.org/officeDocument/2006/relationships/image" Target="../media/image415.emf"/></Relationships>
</file>

<file path=xl/drawings/_rels/vmlDrawing34.vml.rels><?xml version="1.0" encoding="UTF-8" standalone="yes"?>
<Relationships xmlns="http://schemas.openxmlformats.org/package/2006/relationships"><Relationship Id="rId3" Type="http://schemas.openxmlformats.org/officeDocument/2006/relationships/image" Target="../media/image423.emf"/><Relationship Id="rId7" Type="http://schemas.openxmlformats.org/officeDocument/2006/relationships/image" Target="../media/image427.emf"/><Relationship Id="rId2" Type="http://schemas.openxmlformats.org/officeDocument/2006/relationships/image" Target="../media/image422.emf"/><Relationship Id="rId1" Type="http://schemas.openxmlformats.org/officeDocument/2006/relationships/image" Target="../media/image421.emf"/><Relationship Id="rId6" Type="http://schemas.openxmlformats.org/officeDocument/2006/relationships/image" Target="../media/image426.emf"/><Relationship Id="rId5" Type="http://schemas.openxmlformats.org/officeDocument/2006/relationships/image" Target="../media/image425.emf"/><Relationship Id="rId4" Type="http://schemas.openxmlformats.org/officeDocument/2006/relationships/image" Target="../media/image424.emf"/></Relationships>
</file>

<file path=xl/drawings/_rels/vmlDrawing35.vml.rels><?xml version="1.0" encoding="UTF-8" standalone="yes"?>
<Relationships xmlns="http://schemas.openxmlformats.org/package/2006/relationships"><Relationship Id="rId8" Type="http://schemas.openxmlformats.org/officeDocument/2006/relationships/image" Target="../media/image440.emf"/><Relationship Id="rId3" Type="http://schemas.openxmlformats.org/officeDocument/2006/relationships/image" Target="../media/image435.emf"/><Relationship Id="rId7" Type="http://schemas.openxmlformats.org/officeDocument/2006/relationships/image" Target="../media/image439.emf"/><Relationship Id="rId2" Type="http://schemas.openxmlformats.org/officeDocument/2006/relationships/image" Target="../media/image434.emf"/><Relationship Id="rId1" Type="http://schemas.openxmlformats.org/officeDocument/2006/relationships/image" Target="../media/image433.emf"/><Relationship Id="rId6" Type="http://schemas.openxmlformats.org/officeDocument/2006/relationships/image" Target="../media/image438.emf"/><Relationship Id="rId5" Type="http://schemas.openxmlformats.org/officeDocument/2006/relationships/image" Target="../media/image437.emf"/><Relationship Id="rId4" Type="http://schemas.openxmlformats.org/officeDocument/2006/relationships/image" Target="../media/image436.emf"/><Relationship Id="rId9" Type="http://schemas.openxmlformats.org/officeDocument/2006/relationships/image" Target="../media/image441.emf"/></Relationships>
</file>

<file path=xl/drawings/_rels/vmlDrawing36.vml.rels><?xml version="1.0" encoding="UTF-8" standalone="yes"?>
<Relationships xmlns="http://schemas.openxmlformats.org/package/2006/relationships"><Relationship Id="rId3" Type="http://schemas.openxmlformats.org/officeDocument/2006/relationships/image" Target="../media/image435.emf"/><Relationship Id="rId2" Type="http://schemas.openxmlformats.org/officeDocument/2006/relationships/image" Target="../media/image434.emf"/><Relationship Id="rId1" Type="http://schemas.openxmlformats.org/officeDocument/2006/relationships/image" Target="../media/image433.emf"/><Relationship Id="rId6" Type="http://schemas.openxmlformats.org/officeDocument/2006/relationships/image" Target="../media/image439.emf"/><Relationship Id="rId5" Type="http://schemas.openxmlformats.org/officeDocument/2006/relationships/image" Target="../media/image437.emf"/><Relationship Id="rId4" Type="http://schemas.openxmlformats.org/officeDocument/2006/relationships/image" Target="../media/image436.emf"/></Relationships>
</file>

<file path=xl/drawings/_rels/vmlDrawing37.vml.rels><?xml version="1.0" encoding="UTF-8" standalone="yes"?>
<Relationships xmlns="http://schemas.openxmlformats.org/package/2006/relationships"><Relationship Id="rId8" Type="http://schemas.openxmlformats.org/officeDocument/2006/relationships/image" Target="../media/image451.emf"/><Relationship Id="rId3" Type="http://schemas.openxmlformats.org/officeDocument/2006/relationships/image" Target="../media/image446.emf"/><Relationship Id="rId7" Type="http://schemas.openxmlformats.org/officeDocument/2006/relationships/image" Target="../media/image450.emf"/><Relationship Id="rId2" Type="http://schemas.openxmlformats.org/officeDocument/2006/relationships/image" Target="../media/image445.emf"/><Relationship Id="rId1" Type="http://schemas.openxmlformats.org/officeDocument/2006/relationships/image" Target="../media/image439.emf"/><Relationship Id="rId6" Type="http://schemas.openxmlformats.org/officeDocument/2006/relationships/image" Target="../media/image449.emf"/><Relationship Id="rId5" Type="http://schemas.openxmlformats.org/officeDocument/2006/relationships/image" Target="../media/image448.emf"/><Relationship Id="rId4" Type="http://schemas.openxmlformats.org/officeDocument/2006/relationships/image" Target="../media/image447.emf"/></Relationships>
</file>

<file path=xl/drawings/_rels/vmlDrawing38.vml.rels><?xml version="1.0" encoding="UTF-8" standalone="yes"?>
<Relationships xmlns="http://schemas.openxmlformats.org/package/2006/relationships"><Relationship Id="rId2" Type="http://schemas.openxmlformats.org/officeDocument/2006/relationships/image" Target="../media/image455.emf"/><Relationship Id="rId1" Type="http://schemas.openxmlformats.org/officeDocument/2006/relationships/image" Target="../media/image454.emf"/></Relationships>
</file>

<file path=xl/drawings/_rels/vmlDrawing39.vml.rels><?xml version="1.0" encoding="UTF-8" standalone="yes"?>
<Relationships xmlns="http://schemas.openxmlformats.org/package/2006/relationships"><Relationship Id="rId1" Type="http://schemas.openxmlformats.org/officeDocument/2006/relationships/image" Target="../media/image456.emf"/></Relationships>
</file>

<file path=xl/drawings/drawing1.xml><?xml version="1.0" encoding="utf-8"?>
<xdr:wsDr xmlns:xdr="http://schemas.openxmlformats.org/drawingml/2006/spreadsheetDrawing" xmlns:a="http://schemas.openxmlformats.org/drawingml/2006/main">
  <xdr:twoCellAnchor editAs="absolute">
    <xdr:from>
      <xdr:col>7</xdr:col>
      <xdr:colOff>2229969</xdr:colOff>
      <xdr:row>0</xdr:row>
      <xdr:rowOff>0</xdr:rowOff>
    </xdr:from>
    <xdr:to>
      <xdr:col>9</xdr:col>
      <xdr:colOff>447477</xdr:colOff>
      <xdr:row>1</xdr:row>
      <xdr:rowOff>11206</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000-000002000000}"/>
            </a:ext>
          </a:extLst>
        </xdr:cNvPr>
        <xdr:cNvSpPr>
          <a:spLocks noChangeAspect="1"/>
        </xdr:cNvSpPr>
      </xdr:nvSpPr>
      <xdr:spPr>
        <a:xfrm flipH="1">
          <a:off x="14242675" y="0"/>
          <a:ext cx="1131037" cy="42582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456373</xdr:colOff>
      <xdr:row>5</xdr:row>
      <xdr:rowOff>69160</xdr:rowOff>
    </xdr:from>
    <xdr:to>
      <xdr:col>2</xdr:col>
      <xdr:colOff>1085850</xdr:colOff>
      <xdr:row>16</xdr:row>
      <xdr:rowOff>26400</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922655" y="925830"/>
          <a:ext cx="3182620" cy="1843405"/>
        </a:xfrm>
        <a:prstGeom prst="rect">
          <a:avLst/>
        </a:prstGeom>
      </xdr:spPr>
    </xdr:pic>
    <xdr:clientData/>
  </xdr:twoCellAnchor>
  <xdr:twoCellAnchor editAs="oneCell">
    <xdr:from>
      <xdr:col>15</xdr:col>
      <xdr:colOff>301073</xdr:colOff>
      <xdr:row>3</xdr:row>
      <xdr:rowOff>80834</xdr:rowOff>
    </xdr:from>
    <xdr:to>
      <xdr:col>18</xdr:col>
      <xdr:colOff>140946</xdr:colOff>
      <xdr:row>12</xdr:row>
      <xdr:rowOff>61564</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8446115" y="594995"/>
          <a:ext cx="1896745" cy="1523365"/>
        </a:xfrm>
        <a:prstGeom prst="rect">
          <a:avLst/>
        </a:prstGeom>
      </xdr:spPr>
    </xdr:pic>
    <xdr:clientData/>
  </xdr:twoCellAnchor>
  <xdr:twoCellAnchor editAs="oneCell">
    <xdr:from>
      <xdr:col>15</xdr:col>
      <xdr:colOff>299831</xdr:colOff>
      <xdr:row>13</xdr:row>
      <xdr:rowOff>47346</xdr:rowOff>
    </xdr:from>
    <xdr:to>
      <xdr:col>18</xdr:col>
      <xdr:colOff>132702</xdr:colOff>
      <xdr:row>22</xdr:row>
      <xdr:rowOff>93180</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8444845" y="2275840"/>
          <a:ext cx="1889760" cy="1588770"/>
        </a:xfrm>
        <a:prstGeom prst="rect">
          <a:avLst/>
        </a:prstGeom>
      </xdr:spPr>
    </xdr:pic>
    <xdr:clientData/>
  </xdr:twoCellAnchor>
  <xdr:twoCellAnchor editAs="oneCell">
    <xdr:from>
      <xdr:col>15</xdr:col>
      <xdr:colOff>279538</xdr:colOff>
      <xdr:row>24</xdr:row>
      <xdr:rowOff>162736</xdr:rowOff>
    </xdr:from>
    <xdr:to>
      <xdr:col>18</xdr:col>
      <xdr:colOff>197631</xdr:colOff>
      <xdr:row>34</xdr:row>
      <xdr:rowOff>126158</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stretch>
          <a:fillRect/>
        </a:stretch>
      </xdr:blipFill>
      <xdr:spPr>
        <a:xfrm>
          <a:off x="18424525" y="4429760"/>
          <a:ext cx="1975485" cy="1677670"/>
        </a:xfrm>
        <a:prstGeom prst="rect">
          <a:avLst/>
        </a:prstGeom>
      </xdr:spPr>
    </xdr:pic>
    <xdr:clientData/>
  </xdr:twoCellAnchor>
  <xdr:twoCellAnchor editAs="oneCell">
    <xdr:from>
      <xdr:col>15</xdr:col>
      <xdr:colOff>278640</xdr:colOff>
      <xdr:row>34</xdr:row>
      <xdr:rowOff>121340</xdr:rowOff>
    </xdr:from>
    <xdr:to>
      <xdr:col>18</xdr:col>
      <xdr:colOff>282600</xdr:colOff>
      <xdr:row>39</xdr:row>
      <xdr:rowOff>293149</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stretch>
          <a:fillRect/>
        </a:stretch>
      </xdr:blipFill>
      <xdr:spPr>
        <a:xfrm>
          <a:off x="18423255" y="6102985"/>
          <a:ext cx="2061845" cy="1676400"/>
        </a:xfrm>
        <a:prstGeom prst="rect">
          <a:avLst/>
        </a:prstGeom>
      </xdr:spPr>
    </xdr:pic>
    <xdr:clientData/>
  </xdr:twoCellAnchor>
  <xdr:twoCellAnchor editAs="oneCell">
    <xdr:from>
      <xdr:col>13</xdr:col>
      <xdr:colOff>176574</xdr:colOff>
      <xdr:row>9</xdr:row>
      <xdr:rowOff>115957</xdr:rowOff>
    </xdr:from>
    <xdr:to>
      <xdr:col>15</xdr:col>
      <xdr:colOff>49696</xdr:colOff>
      <xdr:row>33</xdr:row>
      <xdr:rowOff>105465</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4740255" y="1658620"/>
          <a:ext cx="3454400" cy="4257040"/>
        </a:xfrm>
        <a:prstGeom prst="rect">
          <a:avLst/>
        </a:prstGeom>
      </xdr:spPr>
    </xdr:pic>
    <xdr:clientData/>
  </xdr:twoCellAnchor>
  <xdr:oneCellAnchor>
    <xdr:from>
      <xdr:col>2</xdr:col>
      <xdr:colOff>48040</xdr:colOff>
      <xdr:row>22</xdr:row>
      <xdr:rowOff>163996</xdr:rowOff>
    </xdr:from>
    <xdr:ext cx="1065100" cy="320793"/>
    <xdr:sp macro="" textlink="">
      <xdr:nvSpPr>
        <xdr:cNvPr id="8" name="文本框 7">
          <a:extLst>
            <a:ext uri="{FF2B5EF4-FFF2-40B4-BE49-F238E27FC236}">
              <a16:creationId xmlns:a16="http://schemas.microsoft.com/office/drawing/2014/main" id="{00000000-0008-0000-0100-000008000000}"/>
            </a:ext>
          </a:extLst>
        </xdr:cNvPr>
        <xdr:cNvSpPr txBox="1"/>
      </xdr:nvSpPr>
      <xdr:spPr>
        <a:xfrm>
          <a:off x="3067050" y="3935730"/>
          <a:ext cx="1064895" cy="320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zh-CN" altLang="en-US" sz="1100" i="0">
              <a:latin typeface="Cambria Math" panose="02040503050406030204" pitchFamily="18" charset="0"/>
            </a:rPr>
            <a:t>𝜃</a:t>
          </a:r>
          <a:r>
            <a:rPr lang="en-US" altLang="zh-CN" sz="1100" i="0">
              <a:latin typeface="Cambria Math" panose="02040503050406030204" pitchFamily="18" charset="0"/>
            </a:rPr>
            <a:t>ℎ</a:t>
          </a:r>
          <a:r>
            <a:rPr lang="en-US" altLang="zh-CN" sz="1100" b="0" i="0">
              <a:latin typeface="Cambria Math" panose="02040503050406030204" pitchFamily="18" charset="0"/>
            </a:rPr>
            <a:t>=360∗1/(1+2)</a:t>
          </a:r>
          <a:endParaRPr lang="zh-CN" altLang="en-US" sz="1100"/>
        </a:p>
      </xdr:txBody>
    </xdr:sp>
    <xdr:clientData/>
  </xdr:oneCellAnchor>
  <xdr:oneCellAnchor>
    <xdr:from>
      <xdr:col>2</xdr:col>
      <xdr:colOff>107680</xdr:colOff>
      <xdr:row>35</xdr:row>
      <xdr:rowOff>24848</xdr:rowOff>
    </xdr:from>
    <xdr:ext cx="909638" cy="339837"/>
    <xdr:sp macro="" textlink="">
      <xdr:nvSpPr>
        <xdr:cNvPr id="9" name="文本框 8">
          <a:extLst>
            <a:ext uri="{FF2B5EF4-FFF2-40B4-BE49-F238E27FC236}">
              <a16:creationId xmlns:a16="http://schemas.microsoft.com/office/drawing/2014/main" id="{00000000-0008-0000-0100-000009000000}"/>
            </a:ext>
          </a:extLst>
        </xdr:cNvPr>
        <xdr:cNvSpPr txBox="1"/>
      </xdr:nvSpPr>
      <xdr:spPr>
        <a:xfrm>
          <a:off x="3126740" y="6177915"/>
          <a:ext cx="909955" cy="339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100" b="0" i="0">
              <a:latin typeface="Cambria Math" panose="02040503050406030204" pitchFamily="18" charset="0"/>
            </a:rPr>
            <a:t>𝐼1=(𝑊_1 𝑅^2)/2𝐺</a:t>
          </a:r>
          <a:endParaRPr lang="zh-CN" altLang="en-US" sz="1100"/>
        </a:p>
      </xdr:txBody>
    </xdr:sp>
    <xdr:clientData/>
  </xdr:oneCellAnchor>
  <xdr:oneCellAnchor>
    <xdr:from>
      <xdr:col>2</xdr:col>
      <xdr:colOff>107674</xdr:colOff>
      <xdr:row>36</xdr:row>
      <xdr:rowOff>0</xdr:rowOff>
    </xdr:from>
    <xdr:ext cx="909638" cy="339837"/>
    <xdr:sp macro="" textlink="">
      <xdr:nvSpPr>
        <xdr:cNvPr id="10" name="文本框 9">
          <a:extLst>
            <a:ext uri="{FF2B5EF4-FFF2-40B4-BE49-F238E27FC236}">
              <a16:creationId xmlns:a16="http://schemas.microsoft.com/office/drawing/2014/main" id="{00000000-0008-0000-0100-00000A000000}"/>
            </a:ext>
          </a:extLst>
        </xdr:cNvPr>
        <xdr:cNvSpPr txBox="1"/>
      </xdr:nvSpPr>
      <xdr:spPr>
        <a:xfrm>
          <a:off x="3126740" y="6553200"/>
          <a:ext cx="909955" cy="339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100" b="0" i="0">
              <a:latin typeface="Cambria Math" panose="02040503050406030204" pitchFamily="18" charset="0"/>
            </a:rPr>
            <a:t>𝐼2=(𝑊_2 〖𝑅e〗^2)/𝐺</a:t>
          </a:r>
          <a:endParaRPr lang="zh-CN" altLang="en-US" sz="1100"/>
        </a:p>
      </xdr:txBody>
    </xdr:sp>
    <xdr:clientData/>
  </xdr:oneCellAnchor>
  <xdr:oneCellAnchor>
    <xdr:from>
      <xdr:col>2</xdr:col>
      <xdr:colOff>99391</xdr:colOff>
      <xdr:row>37</xdr:row>
      <xdr:rowOff>41413</xdr:rowOff>
    </xdr:from>
    <xdr:ext cx="909638" cy="339837"/>
    <xdr:sp macro="" textlink="">
      <xdr:nvSpPr>
        <xdr:cNvPr id="11" name="文本框 10">
          <a:extLst>
            <a:ext uri="{FF2B5EF4-FFF2-40B4-BE49-F238E27FC236}">
              <a16:creationId xmlns:a16="http://schemas.microsoft.com/office/drawing/2014/main" id="{00000000-0008-0000-0100-00000B000000}"/>
            </a:ext>
          </a:extLst>
        </xdr:cNvPr>
        <xdr:cNvSpPr txBox="1"/>
      </xdr:nvSpPr>
      <xdr:spPr>
        <a:xfrm>
          <a:off x="3118485" y="6956425"/>
          <a:ext cx="909955" cy="339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100" b="0" i="0">
              <a:latin typeface="Cambria Math" panose="02040503050406030204" pitchFamily="18" charset="0"/>
            </a:rPr>
            <a:t>𝐼3=(𝑊_3 〖𝑅e〗^2)/𝐺</a:t>
          </a:r>
          <a:endParaRPr lang="zh-CN" altLang="en-US" sz="1100"/>
        </a:p>
      </xdr:txBody>
    </xdr:sp>
    <xdr:clientData/>
  </xdr:oneCellAnchor>
  <xdr:oneCellAnchor>
    <xdr:from>
      <xdr:col>2</xdr:col>
      <xdr:colOff>49698</xdr:colOff>
      <xdr:row>39</xdr:row>
      <xdr:rowOff>49698</xdr:rowOff>
    </xdr:from>
    <xdr:ext cx="1990725" cy="442913"/>
    <xdr:sp macro="" textlink="">
      <xdr:nvSpPr>
        <xdr:cNvPr id="12" name="文本框 11">
          <a:extLst>
            <a:ext uri="{FF2B5EF4-FFF2-40B4-BE49-F238E27FC236}">
              <a16:creationId xmlns:a16="http://schemas.microsoft.com/office/drawing/2014/main" id="{00000000-0008-0000-0100-00000C000000}"/>
            </a:ext>
          </a:extLst>
        </xdr:cNvPr>
        <xdr:cNvSpPr txBox="1"/>
      </xdr:nvSpPr>
      <xdr:spPr>
        <a:xfrm>
          <a:off x="3068955" y="7536180"/>
          <a:ext cx="1990725" cy="442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l-GR" altLang="zh-CN" sz="1100" b="0" i="0">
              <a:latin typeface="Cambria Math" panose="02040503050406030204" pitchFamily="18" charset="0"/>
            </a:rPr>
            <a:t>𝛼</a:t>
          </a:r>
          <a:r>
            <a:rPr lang="en-US" altLang="zh-CN" sz="1100" b="0" i="0">
              <a:latin typeface="Cambria Math" panose="02040503050406030204" pitchFamily="18" charset="0"/>
            </a:rPr>
            <a:t>=𝐴m∗2</a:t>
          </a:r>
          <a:r>
            <a:rPr lang="zh-CN" altLang="en-US" sz="1100" b="0" i="0">
              <a:latin typeface="Cambria Math" panose="02040503050406030204" pitchFamily="18" charset="0"/>
            </a:rPr>
            <a:t>𝜋</a:t>
          </a:r>
          <a:r>
            <a:rPr lang="en-US" altLang="zh-CN" sz="1100" b="0" i="0">
              <a:latin typeface="Cambria Math" panose="02040503050406030204" pitchFamily="18" charset="0"/>
            </a:rPr>
            <a:t>/𝑁  ∗〖</a:t>
          </a:r>
          <a:r>
            <a:rPr lang="en-US" altLang="zh-CN" sz="1100" b="0" i="0">
              <a:solidFill>
                <a:schemeClr val="tx1"/>
              </a:solidFill>
              <a:effectLst/>
              <a:latin typeface="Cambria Math" panose="02040503050406030204" pitchFamily="18" charset="0"/>
              <a:ea typeface="+mn-ea"/>
              <a:cs typeface="+mn-cs"/>
            </a:rPr>
            <a:t>(360/</a:t>
          </a:r>
          <a:r>
            <a:rPr lang="zh-CN" altLang="en-US" sz="1100" b="0" i="0">
              <a:solidFill>
                <a:schemeClr val="tx1"/>
              </a:solidFill>
              <a:effectLst/>
              <a:latin typeface="Cambria Math" panose="02040503050406030204" pitchFamily="18" charset="0"/>
              <a:ea typeface="+mn-ea"/>
              <a:cs typeface="+mn-cs"/>
            </a:rPr>
            <a:t>𝜃</a:t>
          </a:r>
          <a:r>
            <a:rPr lang="en-US" altLang="zh-CN" sz="1100" b="0" i="0">
              <a:solidFill>
                <a:schemeClr val="tx1"/>
              </a:solidFill>
              <a:effectLst/>
              <a:latin typeface="Cambria Math" panose="02040503050406030204" pitchFamily="18" charset="0"/>
              <a:ea typeface="+mn-ea"/>
              <a:cs typeface="+mn-cs"/>
            </a:rPr>
            <a:t>h∗𝑛/60</a:t>
          </a:r>
          <a:r>
            <a:rPr lang="en-US" altLang="zh-CN" sz="1100" b="0" i="0">
              <a:solidFill>
                <a:schemeClr val="tx1"/>
              </a:solidFill>
              <a:effectLst/>
              <a:latin typeface="+mn-lt"/>
              <a:ea typeface="+mn-ea"/>
              <a:cs typeface="+mn-cs"/>
            </a:rPr>
            <a:t> "</a:t>
          </a:r>
          <a:r>
            <a:rPr lang="en-US" altLang="zh-CN" sz="1100" i="0">
              <a:solidFill>
                <a:schemeClr val="tx1"/>
              </a:solidFill>
              <a:effectLst/>
              <a:latin typeface="+mn-lt"/>
              <a:ea typeface="+mn-ea"/>
              <a:cs typeface="+mn-cs"/>
            </a:rPr>
            <a:t>)</a:t>
          </a:r>
          <a:r>
            <a:rPr lang="en-US" altLang="zh-CN" sz="1100" i="0">
              <a:solidFill>
                <a:schemeClr val="tx1"/>
              </a:solidFill>
              <a:effectLst/>
              <a:latin typeface="Cambria Math" panose="02040503050406030204" pitchFamily="18" charset="0"/>
              <a:ea typeface="+mn-ea"/>
              <a:cs typeface="+mn-cs"/>
            </a:rPr>
            <a:t>" </a:t>
          </a:r>
          <a:r>
            <a:rPr lang="en-US" altLang="zh-CN" sz="1100" b="0" i="0">
              <a:solidFill>
                <a:schemeClr val="tx1"/>
              </a:solidFill>
              <a:effectLst/>
              <a:latin typeface="Cambria Math" panose="02040503050406030204" pitchFamily="18" charset="0"/>
              <a:ea typeface="+mn-ea"/>
              <a:cs typeface="+mn-cs"/>
            </a:rPr>
            <a:t>〗^</a:t>
          </a:r>
          <a:r>
            <a:rPr lang="en-US" altLang="zh-CN" sz="1100" b="0" i="0">
              <a:latin typeface="Cambria Math" panose="02040503050406030204" pitchFamily="18" charset="0"/>
            </a:rPr>
            <a:t>2</a:t>
          </a:r>
          <a:endParaRPr lang="zh-CN" altLang="en-US" sz="1100"/>
        </a:p>
      </xdr:txBody>
    </xdr:sp>
    <xdr:clientData/>
  </xdr:oneCellAnchor>
  <xdr:twoCellAnchor editAs="oneCell">
    <xdr:from>
      <xdr:col>13</xdr:col>
      <xdr:colOff>385142</xdr:colOff>
      <xdr:row>35</xdr:row>
      <xdr:rowOff>352425</xdr:rowOff>
    </xdr:from>
    <xdr:to>
      <xdr:col>14</xdr:col>
      <xdr:colOff>1174888</xdr:colOff>
      <xdr:row>40</xdr:row>
      <xdr:rowOff>216229</xdr:rowOff>
    </xdr:to>
    <xdr:pic>
      <xdr:nvPicPr>
        <xdr:cNvPr id="13" name="图片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7"/>
        <a:stretch>
          <a:fillRect/>
        </a:stretch>
      </xdr:blipFill>
      <xdr:spPr>
        <a:xfrm>
          <a:off x="14948535" y="6505575"/>
          <a:ext cx="3056890" cy="1616075"/>
        </a:xfrm>
        <a:prstGeom prst="rect">
          <a:avLst/>
        </a:prstGeom>
      </xdr:spPr>
    </xdr:pic>
    <xdr:clientData/>
  </xdr:twoCellAnchor>
  <xdr:oneCellAnchor>
    <xdr:from>
      <xdr:col>1</xdr:col>
      <xdr:colOff>2849217</xdr:colOff>
      <xdr:row>45</xdr:row>
      <xdr:rowOff>0</xdr:rowOff>
    </xdr:from>
    <xdr:ext cx="1990725" cy="442913"/>
    <xdr:sp macro="" textlink="">
      <xdr:nvSpPr>
        <xdr:cNvPr id="14" name="文本框 13">
          <a:extLst>
            <a:ext uri="{FF2B5EF4-FFF2-40B4-BE49-F238E27FC236}">
              <a16:creationId xmlns:a16="http://schemas.microsoft.com/office/drawing/2014/main" id="{00000000-0008-0000-0100-00000E000000}"/>
            </a:ext>
          </a:extLst>
        </xdr:cNvPr>
        <xdr:cNvSpPr txBox="1"/>
      </xdr:nvSpPr>
      <xdr:spPr>
        <a:xfrm>
          <a:off x="3019425" y="9286875"/>
          <a:ext cx="1990725" cy="442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altLang="zh-CN" sz="1400" b="0"/>
            <a:t>Tc</a:t>
          </a:r>
          <a:r>
            <a:rPr lang="en-US" altLang="zh-CN" sz="1400" b="0" i="0">
              <a:latin typeface="Cambria Math" panose="02040503050406030204" pitchFamily="18" charset="0"/>
            </a:rPr>
            <a:t>=</a:t>
          </a:r>
          <a:r>
            <a:rPr lang="en-US" altLang="zh-CN" sz="1400" b="0" i="0">
              <a:solidFill>
                <a:schemeClr val="tx1"/>
              </a:solidFill>
              <a:effectLst/>
              <a:latin typeface="Cambria Math" panose="02040503050406030204" pitchFamily="18" charset="0"/>
              <a:ea typeface="+mn-ea"/>
              <a:cs typeface="+mn-cs"/>
            </a:rPr>
            <a:t>360/(</a:t>
          </a:r>
          <a:r>
            <a:rPr lang="zh-CN" altLang="zh-CN" sz="1400" b="0" i="0">
              <a:solidFill>
                <a:schemeClr val="tx1"/>
              </a:solidFill>
              <a:effectLst/>
              <a:latin typeface="Cambria Math" panose="02040503050406030204" pitchFamily="18" charset="0"/>
              <a:ea typeface="+mn-ea"/>
              <a:cs typeface="+mn-cs"/>
            </a:rPr>
            <a:t>𝜃</a:t>
          </a:r>
          <a:r>
            <a:rPr lang="en-US" altLang="zh-CN" sz="1400" b="0" i="0">
              <a:solidFill>
                <a:schemeClr val="tx1"/>
              </a:solidFill>
              <a:effectLst/>
              <a:latin typeface="Cambria Math" panose="02040503050406030204" pitchFamily="18" charset="0"/>
              <a:ea typeface="+mn-ea"/>
              <a:cs typeface="+mn-cs"/>
            </a:rPr>
            <a:t>h∗𝑁)</a:t>
          </a:r>
          <a:r>
            <a:rPr lang="en-US" altLang="zh-CN" sz="1400"/>
            <a:t>*Qm*Te+Tca</a:t>
          </a:r>
          <a:endParaRPr lang="zh-CN" altLang="en-US" sz="1400"/>
        </a:p>
      </xdr:txBody>
    </xdr:sp>
    <xdr:clientData/>
  </xdr:oneCellAnchor>
  <xdr:twoCellAnchor editAs="absolute">
    <xdr:from>
      <xdr:col>10</xdr:col>
      <xdr:colOff>0</xdr:colOff>
      <xdr:row>0</xdr:row>
      <xdr:rowOff>0</xdr:rowOff>
    </xdr:from>
    <xdr:to>
      <xdr:col>11</xdr:col>
      <xdr:colOff>98612</xdr:colOff>
      <xdr:row>1</xdr:row>
      <xdr:rowOff>116381</xdr:rowOff>
    </xdr:to>
    <xdr:sp macro="" textlink="">
      <xdr:nvSpPr>
        <xdr:cNvPr id="15" name="五边形 1">
          <a:hlinkClick xmlns:r="http://schemas.openxmlformats.org/officeDocument/2006/relationships" r:id="rId8"/>
          <a:extLst>
            <a:ext uri="{FF2B5EF4-FFF2-40B4-BE49-F238E27FC236}">
              <a16:creationId xmlns:a16="http://schemas.microsoft.com/office/drawing/2014/main" id="{00000000-0008-0000-0100-00000F000000}"/>
            </a:ext>
          </a:extLst>
        </xdr:cNvPr>
        <xdr:cNvSpPr>
          <a:spLocks noChangeAspect="1"/>
        </xdr:cNvSpPr>
      </xdr:nvSpPr>
      <xdr:spPr>
        <a:xfrm flipH="1">
          <a:off x="12872357"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390525</xdr:colOff>
      <xdr:row>4</xdr:row>
      <xdr:rowOff>152401</xdr:rowOff>
    </xdr:from>
    <xdr:to>
      <xdr:col>2</xdr:col>
      <xdr:colOff>2447924</xdr:colOff>
      <xdr:row>24</xdr:row>
      <xdr:rowOff>120785</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390525" y="857250"/>
          <a:ext cx="5914390" cy="3397250"/>
        </a:xfrm>
        <a:prstGeom prst="rect">
          <a:avLst/>
        </a:prstGeom>
      </xdr:spPr>
    </xdr:pic>
    <xdr:clientData/>
  </xdr:twoCellAnchor>
  <xdr:oneCellAnchor>
    <xdr:from>
      <xdr:col>2</xdr:col>
      <xdr:colOff>252412</xdr:colOff>
      <xdr:row>30</xdr:row>
      <xdr:rowOff>71437</xdr:rowOff>
    </xdr:from>
    <xdr:ext cx="915572" cy="315792"/>
    <xdr:sp macro="" textlink="">
      <xdr:nvSpPr>
        <xdr:cNvPr id="3" name="文本框 5">
          <a:extLst>
            <a:ext uri="{FF2B5EF4-FFF2-40B4-BE49-F238E27FC236}">
              <a16:creationId xmlns:a16="http://schemas.microsoft.com/office/drawing/2014/main" id="{00000000-0008-0000-0200-000003000000}"/>
            </a:ext>
          </a:extLst>
        </xdr:cNvPr>
        <xdr:cNvSpPr txBox="1"/>
      </xdr:nvSpPr>
      <xdr:spPr>
        <a:xfrm>
          <a:off x="4109720" y="5233670"/>
          <a:ext cx="915670" cy="315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CN" sz="1100" b="0" i="0">
              <a:latin typeface="Cambria Math" panose="02040503050406030204" pitchFamily="18" charset="0"/>
            </a:rPr>
            <a:t>𝑁=(</a:t>
          </a:r>
          <a:r>
            <a:rPr lang="zh-CN" altLang="en-US" sz="1100" b="0" i="0">
              <a:latin typeface="Cambria Math" panose="02040503050406030204" pitchFamily="18" charset="0"/>
            </a:rPr>
            <a:t>𝜋</a:t>
          </a:r>
          <a:r>
            <a:rPr lang="en-US" altLang="zh-CN" sz="1100" b="0" i="0">
              <a:latin typeface="Cambria Math" panose="02040503050406030204" pitchFamily="18" charset="0"/>
            </a:rPr>
            <a:t>∗𝐷𝑐∗</a:t>
          </a:r>
          <a:r>
            <a:rPr lang="zh-CN" altLang="en-US" sz="1100" b="0" i="0">
              <a:latin typeface="Cambria Math" panose="02040503050406030204" pitchFamily="18" charset="0"/>
            </a:rPr>
            <a:t>𝛾</a:t>
          </a:r>
          <a:r>
            <a:rPr lang="en-US" altLang="zh-CN" sz="1100" b="0" i="0">
              <a:latin typeface="Cambria Math" panose="02040503050406030204" pitchFamily="18" charset="0"/>
            </a:rPr>
            <a:t>)/𝑃𝑐</a:t>
          </a:r>
          <a:endParaRPr lang="zh-CN" altLang="en-US" sz="1100"/>
        </a:p>
      </xdr:txBody>
    </xdr:sp>
    <xdr:clientData/>
  </xdr:oneCellAnchor>
  <xdr:oneCellAnchor>
    <xdr:from>
      <xdr:col>2</xdr:col>
      <xdr:colOff>80962</xdr:colOff>
      <xdr:row>37</xdr:row>
      <xdr:rowOff>52387</xdr:rowOff>
    </xdr:from>
    <xdr:ext cx="1046569" cy="338619"/>
    <xdr:sp macro="" textlink="">
      <xdr:nvSpPr>
        <xdr:cNvPr id="4" name="文本框 6">
          <a:extLst>
            <a:ext uri="{FF2B5EF4-FFF2-40B4-BE49-F238E27FC236}">
              <a16:creationId xmlns:a16="http://schemas.microsoft.com/office/drawing/2014/main" id="{00000000-0008-0000-0200-000004000000}"/>
            </a:ext>
          </a:extLst>
        </xdr:cNvPr>
        <xdr:cNvSpPr txBox="1"/>
      </xdr:nvSpPr>
      <xdr:spPr>
        <a:xfrm>
          <a:off x="3938270" y="6662420"/>
          <a:ext cx="1046480" cy="33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altLang="zh-CN" sz="1100" b="0" i="0">
              <a:latin typeface="Cambria Math" panose="02040503050406030204" pitchFamily="18" charset="0"/>
            </a:rPr>
            <a:t>𝐼𝐴=𝐼1=(𝑊1𝑅^2)/2𝐺</a:t>
          </a:r>
          <a:endParaRPr lang="zh-CN" altLang="en-US" sz="1100"/>
        </a:p>
      </xdr:txBody>
    </xdr:sp>
    <xdr:clientData/>
  </xdr:oneCellAnchor>
  <xdr:oneCellAnchor>
    <xdr:from>
      <xdr:col>1</xdr:col>
      <xdr:colOff>2719387</xdr:colOff>
      <xdr:row>39</xdr:row>
      <xdr:rowOff>71437</xdr:rowOff>
    </xdr:from>
    <xdr:ext cx="1338263" cy="339837"/>
    <xdr:sp macro="" textlink="">
      <xdr:nvSpPr>
        <xdr:cNvPr id="5" name="文本框 7">
          <a:extLst>
            <a:ext uri="{FF2B5EF4-FFF2-40B4-BE49-F238E27FC236}">
              <a16:creationId xmlns:a16="http://schemas.microsoft.com/office/drawing/2014/main" id="{00000000-0008-0000-0200-000005000000}"/>
            </a:ext>
          </a:extLst>
        </xdr:cNvPr>
        <xdr:cNvSpPr txBox="1"/>
      </xdr:nvSpPr>
      <xdr:spPr>
        <a:xfrm>
          <a:off x="3319145" y="7291070"/>
          <a:ext cx="1338580" cy="339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100" b="0" i="0">
              <a:latin typeface="Cambria Math" panose="02040503050406030204" pitchFamily="18" charset="0"/>
            </a:rPr>
            <a:t>𝐼2=(𝑊2(𝑅^2+r^2))/2𝐺</a:t>
          </a:r>
          <a:endParaRPr lang="zh-CN" altLang="en-US" sz="1100"/>
        </a:p>
      </xdr:txBody>
    </xdr:sp>
    <xdr:clientData/>
  </xdr:oneCellAnchor>
  <xdr:oneCellAnchor>
    <xdr:from>
      <xdr:col>2</xdr:col>
      <xdr:colOff>114300</xdr:colOff>
      <xdr:row>40</xdr:row>
      <xdr:rowOff>104775</xdr:rowOff>
    </xdr:from>
    <xdr:ext cx="1142999" cy="336246"/>
    <xdr:sp macro="" textlink="">
      <xdr:nvSpPr>
        <xdr:cNvPr id="6" name="文本框 8">
          <a:extLst>
            <a:ext uri="{FF2B5EF4-FFF2-40B4-BE49-F238E27FC236}">
              <a16:creationId xmlns:a16="http://schemas.microsoft.com/office/drawing/2014/main" id="{00000000-0008-0000-0200-000006000000}"/>
            </a:ext>
          </a:extLst>
        </xdr:cNvPr>
        <xdr:cNvSpPr txBox="1"/>
      </xdr:nvSpPr>
      <xdr:spPr>
        <a:xfrm>
          <a:off x="3971925" y="7810500"/>
          <a:ext cx="1142365" cy="335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𝐼3=(𝑊3r^2)/2𝐺</a:t>
          </a:r>
          <a:r>
            <a:rPr lang="en-US" altLang="zh-CN" sz="1400"/>
            <a:t>*N3</a:t>
          </a:r>
          <a:endParaRPr lang="zh-CN" altLang="en-US" sz="1400"/>
        </a:p>
      </xdr:txBody>
    </xdr:sp>
    <xdr:clientData/>
  </xdr:oneCellAnchor>
  <xdr:oneCellAnchor>
    <xdr:from>
      <xdr:col>2</xdr:col>
      <xdr:colOff>147637</xdr:colOff>
      <xdr:row>41</xdr:row>
      <xdr:rowOff>109537</xdr:rowOff>
    </xdr:from>
    <xdr:ext cx="1338263" cy="264047"/>
    <xdr:sp macro="" textlink="">
      <xdr:nvSpPr>
        <xdr:cNvPr id="7" name="文本框 9">
          <a:extLst>
            <a:ext uri="{FF2B5EF4-FFF2-40B4-BE49-F238E27FC236}">
              <a16:creationId xmlns:a16="http://schemas.microsoft.com/office/drawing/2014/main" id="{00000000-0008-0000-0200-000007000000}"/>
            </a:ext>
          </a:extLst>
        </xdr:cNvPr>
        <xdr:cNvSpPr txBox="1"/>
      </xdr:nvSpPr>
      <xdr:spPr>
        <a:xfrm>
          <a:off x="4004945" y="8338820"/>
          <a:ext cx="133858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100" b="0" i="0">
              <a:latin typeface="Cambria Math" panose="02040503050406030204" pitchFamily="18" charset="0"/>
            </a:rPr>
            <a:t>𝐼4=(𝑊4(〖𝑅𝑒〗^2+r^2))/2𝐺</a:t>
          </a:r>
          <a:r>
            <a:rPr lang="en-US" altLang="zh-CN" sz="1100"/>
            <a:t>*N4</a:t>
          </a:r>
          <a:endParaRPr lang="zh-CN" altLang="en-US" sz="1100"/>
        </a:p>
      </xdr:txBody>
    </xdr:sp>
    <xdr:clientData/>
  </xdr:oneCellAnchor>
  <xdr:oneCellAnchor>
    <xdr:from>
      <xdr:col>2</xdr:col>
      <xdr:colOff>123825</xdr:colOff>
      <xdr:row>42</xdr:row>
      <xdr:rowOff>85725</xdr:rowOff>
    </xdr:from>
    <xdr:ext cx="1142999" cy="336246"/>
    <xdr:sp macro="" textlink="">
      <xdr:nvSpPr>
        <xdr:cNvPr id="8" name="文本框 10">
          <a:extLst>
            <a:ext uri="{FF2B5EF4-FFF2-40B4-BE49-F238E27FC236}">
              <a16:creationId xmlns:a16="http://schemas.microsoft.com/office/drawing/2014/main" id="{00000000-0008-0000-0200-000008000000}"/>
            </a:ext>
          </a:extLst>
        </xdr:cNvPr>
        <xdr:cNvSpPr txBox="1"/>
      </xdr:nvSpPr>
      <xdr:spPr>
        <a:xfrm>
          <a:off x="3981450" y="8801100"/>
          <a:ext cx="1142365" cy="335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𝐼5=(𝑊5〖𝑅e〗^2)/𝐺</a:t>
          </a:r>
          <a:r>
            <a:rPr lang="en-US" altLang="zh-CN" sz="1400"/>
            <a:t>*N5</a:t>
          </a:r>
          <a:endParaRPr lang="zh-CN" altLang="en-US" sz="1400"/>
        </a:p>
      </xdr:txBody>
    </xdr:sp>
    <xdr:clientData/>
  </xdr:oneCellAnchor>
  <xdr:oneCellAnchor>
    <xdr:from>
      <xdr:col>2</xdr:col>
      <xdr:colOff>95250</xdr:colOff>
      <xdr:row>43</xdr:row>
      <xdr:rowOff>38100</xdr:rowOff>
    </xdr:from>
    <xdr:ext cx="1142999" cy="336246"/>
    <xdr:sp macro="" textlink="">
      <xdr:nvSpPr>
        <xdr:cNvPr id="9" name="文本框 11">
          <a:extLst>
            <a:ext uri="{FF2B5EF4-FFF2-40B4-BE49-F238E27FC236}">
              <a16:creationId xmlns:a16="http://schemas.microsoft.com/office/drawing/2014/main" id="{00000000-0008-0000-0200-000009000000}"/>
            </a:ext>
          </a:extLst>
        </xdr:cNvPr>
        <xdr:cNvSpPr txBox="1"/>
      </xdr:nvSpPr>
      <xdr:spPr>
        <a:xfrm>
          <a:off x="3952875" y="9286875"/>
          <a:ext cx="1142365" cy="335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𝐼6=(𝑊6〖𝑅e〗^2)/𝐺</a:t>
          </a:r>
          <a:r>
            <a:rPr lang="en-US" altLang="zh-CN" sz="1400"/>
            <a:t>*N6</a:t>
          </a:r>
          <a:endParaRPr lang="zh-CN" altLang="en-US" sz="1400"/>
        </a:p>
      </xdr:txBody>
    </xdr:sp>
    <xdr:clientData/>
  </xdr:oneCellAnchor>
  <xdr:oneCellAnchor>
    <xdr:from>
      <xdr:col>2</xdr:col>
      <xdr:colOff>95250</xdr:colOff>
      <xdr:row>44</xdr:row>
      <xdr:rowOff>57150</xdr:rowOff>
    </xdr:from>
    <xdr:ext cx="1142999" cy="336246"/>
    <xdr:sp macro="" textlink="">
      <xdr:nvSpPr>
        <xdr:cNvPr id="10" name="文本框 12">
          <a:extLst>
            <a:ext uri="{FF2B5EF4-FFF2-40B4-BE49-F238E27FC236}">
              <a16:creationId xmlns:a16="http://schemas.microsoft.com/office/drawing/2014/main" id="{00000000-0008-0000-0200-00000A000000}"/>
            </a:ext>
          </a:extLst>
        </xdr:cNvPr>
        <xdr:cNvSpPr txBox="1"/>
      </xdr:nvSpPr>
      <xdr:spPr>
        <a:xfrm>
          <a:off x="3952875" y="9677400"/>
          <a:ext cx="1142365" cy="335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𝐼7=(𝑊7〖𝑅e〗^2)/𝐺</a:t>
          </a:r>
          <a:r>
            <a:rPr lang="en-US" altLang="zh-CN" sz="1400"/>
            <a:t>*N7</a:t>
          </a:r>
          <a:endParaRPr lang="zh-CN" altLang="en-US" sz="1400"/>
        </a:p>
      </xdr:txBody>
    </xdr:sp>
    <xdr:clientData/>
  </xdr:oneCellAnchor>
  <xdr:oneCellAnchor>
    <xdr:from>
      <xdr:col>2</xdr:col>
      <xdr:colOff>85725</xdr:colOff>
      <xdr:row>46</xdr:row>
      <xdr:rowOff>28575</xdr:rowOff>
    </xdr:from>
    <xdr:ext cx="1905000" cy="376257"/>
    <xdr:sp macro="" textlink="">
      <xdr:nvSpPr>
        <xdr:cNvPr id="11" name="文本框 13">
          <a:extLst>
            <a:ext uri="{FF2B5EF4-FFF2-40B4-BE49-F238E27FC236}">
              <a16:creationId xmlns:a16="http://schemas.microsoft.com/office/drawing/2014/main" id="{00000000-0008-0000-0200-00000B000000}"/>
            </a:ext>
          </a:extLst>
        </xdr:cNvPr>
        <xdr:cNvSpPr txBox="1"/>
      </xdr:nvSpPr>
      <xdr:spPr>
        <a:xfrm>
          <a:off x="3943350" y="10239375"/>
          <a:ext cx="1905000" cy="375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𝐼𝐵𝑒=𝐼𝐵〖(</a:t>
          </a:r>
          <a:r>
            <a:rPr lang="en-US" altLang="zh-CN" sz="1100" b="0" i="0">
              <a:solidFill>
                <a:schemeClr val="tx1"/>
              </a:solidFill>
              <a:effectLst/>
              <a:latin typeface="+mn-lt"/>
              <a:ea typeface="+mn-ea"/>
              <a:cs typeface="+mn-cs"/>
            </a:rPr>
            <a:t>𝑁/𝑀</a:t>
          </a:r>
          <a:r>
            <a:rPr lang="en-US" altLang="zh-CN" sz="1100" b="0" i="0">
              <a:solidFill>
                <a:schemeClr val="tx1"/>
              </a:solidFill>
              <a:effectLst/>
              <a:latin typeface="Cambria Math" panose="02040503050406030204" pitchFamily="18" charset="0"/>
              <a:ea typeface="+mn-ea"/>
              <a:cs typeface="+mn-cs"/>
            </a:rPr>
            <a:t>)</a:t>
          </a:r>
          <a:r>
            <a:rPr lang="en-US" altLang="zh-CN" sz="1400" b="0" i="0">
              <a:solidFill>
                <a:schemeClr val="tx1"/>
              </a:solidFill>
              <a:effectLst/>
              <a:latin typeface="Cambria Math" panose="02040503050406030204" pitchFamily="18" charset="0"/>
              <a:ea typeface="+mn-ea"/>
              <a:cs typeface="+mn-cs"/>
            </a:rPr>
            <a:t>〗^</a:t>
          </a:r>
          <a:r>
            <a:rPr lang="en-US" altLang="zh-CN" sz="1400" b="0" i="0">
              <a:latin typeface="Cambria Math" panose="02040503050406030204" pitchFamily="18" charset="0"/>
            </a:rPr>
            <a:t>2</a:t>
          </a:r>
          <a:endParaRPr lang="zh-CN" altLang="en-US" sz="1400"/>
        </a:p>
      </xdr:txBody>
    </xdr:sp>
    <xdr:clientData/>
  </xdr:oneCellAnchor>
  <xdr:oneCellAnchor>
    <xdr:from>
      <xdr:col>2</xdr:col>
      <xdr:colOff>9525</xdr:colOff>
      <xdr:row>48</xdr:row>
      <xdr:rowOff>114300</xdr:rowOff>
    </xdr:from>
    <xdr:ext cx="1990725" cy="442913"/>
    <xdr:sp macro="" textlink="">
      <xdr:nvSpPr>
        <xdr:cNvPr id="12" name="文本框 14">
          <a:extLst>
            <a:ext uri="{FF2B5EF4-FFF2-40B4-BE49-F238E27FC236}">
              <a16:creationId xmlns:a16="http://schemas.microsoft.com/office/drawing/2014/main" id="{00000000-0008-0000-0200-00000C000000}"/>
            </a:ext>
          </a:extLst>
        </xdr:cNvPr>
        <xdr:cNvSpPr txBox="1"/>
      </xdr:nvSpPr>
      <xdr:spPr>
        <a:xfrm>
          <a:off x="3867150" y="11001375"/>
          <a:ext cx="1990725" cy="442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l-GR" altLang="zh-CN" sz="1100" b="0" i="0">
              <a:latin typeface="Cambria Math" panose="02040503050406030204" pitchFamily="18" charset="0"/>
            </a:rPr>
            <a:t>𝛼</a:t>
          </a:r>
          <a:r>
            <a:rPr lang="en-US" altLang="zh-CN" sz="1100" b="0" i="0">
              <a:latin typeface="Cambria Math" panose="02040503050406030204" pitchFamily="18" charset="0"/>
            </a:rPr>
            <a:t>=𝐴m∗2</a:t>
          </a:r>
          <a:r>
            <a:rPr lang="zh-CN" altLang="en-US" sz="1100" b="0" i="0">
              <a:latin typeface="Cambria Math" panose="02040503050406030204" pitchFamily="18" charset="0"/>
            </a:rPr>
            <a:t>𝜋</a:t>
          </a:r>
          <a:r>
            <a:rPr lang="en-US" altLang="zh-CN" sz="1100" b="0" i="0">
              <a:latin typeface="Cambria Math" panose="02040503050406030204" pitchFamily="18" charset="0"/>
            </a:rPr>
            <a:t>/𝑁  ∗〖</a:t>
          </a:r>
          <a:r>
            <a:rPr lang="en-US" altLang="zh-CN" sz="1100" b="0" i="0">
              <a:solidFill>
                <a:schemeClr val="tx1"/>
              </a:solidFill>
              <a:effectLst/>
              <a:latin typeface="Cambria Math" panose="02040503050406030204" pitchFamily="18" charset="0"/>
              <a:ea typeface="+mn-ea"/>
              <a:cs typeface="+mn-cs"/>
            </a:rPr>
            <a:t>(360/</a:t>
          </a:r>
          <a:r>
            <a:rPr lang="zh-CN" altLang="en-US" sz="1100" b="0" i="0">
              <a:solidFill>
                <a:schemeClr val="tx1"/>
              </a:solidFill>
              <a:effectLst/>
              <a:latin typeface="Cambria Math" panose="02040503050406030204" pitchFamily="18" charset="0"/>
              <a:ea typeface="+mn-ea"/>
              <a:cs typeface="+mn-cs"/>
            </a:rPr>
            <a:t>𝜃</a:t>
          </a:r>
          <a:r>
            <a:rPr lang="en-US" altLang="zh-CN" sz="1100" b="0" i="0">
              <a:solidFill>
                <a:schemeClr val="tx1"/>
              </a:solidFill>
              <a:effectLst/>
              <a:latin typeface="Cambria Math" panose="02040503050406030204" pitchFamily="18" charset="0"/>
              <a:ea typeface="+mn-ea"/>
              <a:cs typeface="+mn-cs"/>
            </a:rPr>
            <a:t>h∗𝑛/60</a:t>
          </a:r>
          <a:r>
            <a:rPr lang="en-US" altLang="zh-CN" sz="1100" b="0" i="0">
              <a:solidFill>
                <a:schemeClr val="tx1"/>
              </a:solidFill>
              <a:effectLst/>
              <a:latin typeface="+mn-lt"/>
              <a:ea typeface="+mn-ea"/>
              <a:cs typeface="+mn-cs"/>
            </a:rPr>
            <a:t> "</a:t>
          </a:r>
          <a:r>
            <a:rPr lang="en-US" altLang="zh-CN" sz="1100" i="0">
              <a:solidFill>
                <a:schemeClr val="tx1"/>
              </a:solidFill>
              <a:effectLst/>
              <a:latin typeface="+mn-lt"/>
              <a:ea typeface="+mn-ea"/>
              <a:cs typeface="+mn-cs"/>
            </a:rPr>
            <a:t>)</a:t>
          </a:r>
          <a:r>
            <a:rPr lang="en-US" altLang="zh-CN" sz="1100" i="0">
              <a:solidFill>
                <a:schemeClr val="tx1"/>
              </a:solidFill>
              <a:effectLst/>
              <a:latin typeface="Cambria Math" panose="02040503050406030204" pitchFamily="18" charset="0"/>
              <a:ea typeface="+mn-ea"/>
              <a:cs typeface="+mn-cs"/>
            </a:rPr>
            <a:t>" </a:t>
          </a:r>
          <a:r>
            <a:rPr lang="en-US" altLang="zh-CN" sz="1100" b="0" i="0">
              <a:solidFill>
                <a:schemeClr val="tx1"/>
              </a:solidFill>
              <a:effectLst/>
              <a:latin typeface="Cambria Math" panose="02040503050406030204" pitchFamily="18" charset="0"/>
              <a:ea typeface="+mn-ea"/>
              <a:cs typeface="+mn-cs"/>
            </a:rPr>
            <a:t>〗^</a:t>
          </a:r>
          <a:r>
            <a:rPr lang="en-US" altLang="zh-CN" sz="1100" b="0" i="0">
              <a:latin typeface="Cambria Math" panose="02040503050406030204" pitchFamily="18" charset="0"/>
            </a:rPr>
            <a:t>2</a:t>
          </a:r>
          <a:endParaRPr lang="zh-CN" altLang="en-US" sz="1100"/>
        </a:p>
      </xdr:txBody>
    </xdr:sp>
    <xdr:clientData/>
  </xdr:oneCellAnchor>
  <xdr:oneCellAnchor>
    <xdr:from>
      <xdr:col>1</xdr:col>
      <xdr:colOff>3219450</xdr:colOff>
      <xdr:row>52</xdr:row>
      <xdr:rowOff>66675</xdr:rowOff>
    </xdr:from>
    <xdr:ext cx="1905000" cy="376257"/>
    <xdr:sp macro="" textlink="">
      <xdr:nvSpPr>
        <xdr:cNvPr id="13" name="文本框 15">
          <a:extLst>
            <a:ext uri="{FF2B5EF4-FFF2-40B4-BE49-F238E27FC236}">
              <a16:creationId xmlns:a16="http://schemas.microsoft.com/office/drawing/2014/main" id="{00000000-0008-0000-0200-00000D000000}"/>
            </a:ext>
          </a:extLst>
        </xdr:cNvPr>
        <xdr:cNvSpPr txBox="1"/>
      </xdr:nvSpPr>
      <xdr:spPr>
        <a:xfrm>
          <a:off x="3819525" y="12239625"/>
          <a:ext cx="1905000" cy="375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altLang="zh-CN" sz="1400" b="0" i="0">
              <a:latin typeface="Cambria Math" panose="02040503050406030204" pitchFamily="18" charset="0"/>
            </a:rPr>
            <a:t>𝑇𝑓𝑒=𝑇𝑓 𝑛/𝑚</a:t>
          </a:r>
          <a:endParaRPr lang="zh-CN" altLang="en-US" sz="1400"/>
        </a:p>
      </xdr:txBody>
    </xdr:sp>
    <xdr:clientData/>
  </xdr:oneCellAnchor>
  <xdr:oneCellAnchor>
    <xdr:from>
      <xdr:col>2</xdr:col>
      <xdr:colOff>28575</xdr:colOff>
      <xdr:row>57</xdr:row>
      <xdr:rowOff>85725</xdr:rowOff>
    </xdr:from>
    <xdr:ext cx="1990725" cy="442913"/>
    <xdr:sp macro="" textlink="">
      <xdr:nvSpPr>
        <xdr:cNvPr id="14" name="文本框 16">
          <a:extLst>
            <a:ext uri="{FF2B5EF4-FFF2-40B4-BE49-F238E27FC236}">
              <a16:creationId xmlns:a16="http://schemas.microsoft.com/office/drawing/2014/main" id="{00000000-0008-0000-0200-00000E000000}"/>
            </a:ext>
          </a:extLst>
        </xdr:cNvPr>
        <xdr:cNvSpPr txBox="1"/>
      </xdr:nvSpPr>
      <xdr:spPr>
        <a:xfrm>
          <a:off x="3886200" y="13677900"/>
          <a:ext cx="1990725" cy="442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altLang="zh-CN" sz="1400" b="0"/>
            <a:t>Tc</a:t>
          </a:r>
          <a:r>
            <a:rPr lang="en-US" altLang="zh-CN" sz="1400" b="0" i="0">
              <a:latin typeface="Cambria Math" panose="02040503050406030204" pitchFamily="18" charset="0"/>
            </a:rPr>
            <a:t>=</a:t>
          </a:r>
          <a:r>
            <a:rPr lang="en-US" altLang="zh-CN" sz="1400" b="0" i="0">
              <a:solidFill>
                <a:schemeClr val="tx1"/>
              </a:solidFill>
              <a:effectLst/>
              <a:latin typeface="Cambria Math" panose="02040503050406030204" pitchFamily="18" charset="0"/>
              <a:ea typeface="+mn-ea"/>
              <a:cs typeface="+mn-cs"/>
            </a:rPr>
            <a:t>360/(</a:t>
          </a:r>
          <a:r>
            <a:rPr lang="zh-CN" altLang="zh-CN" sz="1400" b="0" i="0">
              <a:solidFill>
                <a:schemeClr val="tx1"/>
              </a:solidFill>
              <a:effectLst/>
              <a:latin typeface="Cambria Math" panose="02040503050406030204" pitchFamily="18" charset="0"/>
              <a:ea typeface="+mn-ea"/>
              <a:cs typeface="+mn-cs"/>
            </a:rPr>
            <a:t>𝜃</a:t>
          </a:r>
          <a:r>
            <a:rPr lang="en-US" altLang="zh-CN" sz="1400" b="0" i="0">
              <a:solidFill>
                <a:schemeClr val="tx1"/>
              </a:solidFill>
              <a:effectLst/>
              <a:latin typeface="Cambria Math" panose="02040503050406030204" pitchFamily="18" charset="0"/>
              <a:ea typeface="+mn-ea"/>
              <a:cs typeface="+mn-cs"/>
            </a:rPr>
            <a:t>h∗𝑁)</a:t>
          </a:r>
          <a:r>
            <a:rPr lang="en-US" altLang="zh-CN" sz="1400"/>
            <a:t>*Qm*Te+Tca</a:t>
          </a:r>
          <a:endParaRPr lang="zh-CN" altLang="en-US" sz="1400"/>
        </a:p>
      </xdr:txBody>
    </xdr:sp>
    <xdr:clientData/>
  </xdr:oneCellAnchor>
  <xdr:twoCellAnchor editAs="absolute">
    <xdr:from>
      <xdr:col>3</xdr:col>
      <xdr:colOff>0</xdr:colOff>
      <xdr:row>0</xdr:row>
      <xdr:rowOff>19050</xdr:rowOff>
    </xdr:from>
    <xdr:to>
      <xdr:col>4</xdr:col>
      <xdr:colOff>16969</xdr:colOff>
      <xdr:row>1</xdr:row>
      <xdr:rowOff>131349</xdr:rowOff>
    </xdr:to>
    <xdr:sp macro="" textlink="">
      <xdr:nvSpPr>
        <xdr:cNvPr id="15" name="五边形 1">
          <a:hlinkClick xmlns:r="http://schemas.openxmlformats.org/officeDocument/2006/relationships" r:id="rId2"/>
          <a:extLst>
            <a:ext uri="{FF2B5EF4-FFF2-40B4-BE49-F238E27FC236}">
              <a16:creationId xmlns:a16="http://schemas.microsoft.com/office/drawing/2014/main" id="{00000000-0008-0000-0200-00000F000000}"/>
            </a:ext>
          </a:extLst>
        </xdr:cNvPr>
        <xdr:cNvSpPr>
          <a:spLocks noChangeAspect="1"/>
        </xdr:cNvSpPr>
      </xdr:nvSpPr>
      <xdr:spPr>
        <a:xfrm flipH="1">
          <a:off x="6858000" y="1905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419100</xdr:colOff>
      <xdr:row>46</xdr:row>
      <xdr:rowOff>95250</xdr:rowOff>
    </xdr:from>
    <xdr:to>
      <xdr:col>13</xdr:col>
      <xdr:colOff>85725</xdr:colOff>
      <xdr:row>77</xdr:row>
      <xdr:rowOff>76200</xdr:rowOff>
    </xdr:to>
    <xdr:pic>
      <xdr:nvPicPr>
        <xdr:cNvPr id="2" name="图片 1" descr="ffffffffff">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3543300" y="13639800"/>
          <a:ext cx="10058400" cy="5591175"/>
        </a:xfrm>
        <a:prstGeom prst="rect">
          <a:avLst/>
        </a:prstGeom>
        <a:noFill/>
        <a:ln w="9525">
          <a:noFill/>
          <a:miter lim="800000"/>
          <a:headEnd/>
          <a:tailEnd/>
        </a:ln>
      </xdr:spPr>
    </xdr:pic>
    <xdr:clientData/>
  </xdr:twoCellAnchor>
  <xdr:twoCellAnchor editAs="absolute">
    <xdr:from>
      <xdr:col>8</xdr:col>
      <xdr:colOff>1181099</xdr:colOff>
      <xdr:row>0</xdr:row>
      <xdr:rowOff>0</xdr:rowOff>
    </xdr:from>
    <xdr:to>
      <xdr:col>10</xdr:col>
      <xdr:colOff>619342</xdr:colOff>
      <xdr:row>0</xdr:row>
      <xdr:rowOff>581024</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0300-000003000000}"/>
            </a:ext>
          </a:extLst>
        </xdr:cNvPr>
        <xdr:cNvSpPr>
          <a:spLocks noChangeAspect="1"/>
        </xdr:cNvSpPr>
      </xdr:nvSpPr>
      <xdr:spPr>
        <a:xfrm flipH="1">
          <a:off x="10248899" y="0"/>
          <a:ext cx="1543268" cy="58102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13</xdr:row>
      <xdr:rowOff>0</xdr:rowOff>
    </xdr:from>
    <xdr:to>
      <xdr:col>7</xdr:col>
      <xdr:colOff>923925</xdr:colOff>
      <xdr:row>14</xdr:row>
      <xdr:rowOff>0</xdr:rowOff>
    </xdr:to>
    <xdr:pic>
      <xdr:nvPicPr>
        <xdr:cNvPr id="2" name="Picture 2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4981575" y="2581275"/>
          <a:ext cx="923925" cy="200025"/>
        </a:xfrm>
        <a:prstGeom prst="rect">
          <a:avLst/>
        </a:prstGeom>
        <a:noFill/>
        <a:ln w="9525">
          <a:noFill/>
          <a:miter lim="800000"/>
          <a:headEnd/>
          <a:tailEnd/>
        </a:ln>
      </xdr:spPr>
    </xdr:pic>
    <xdr:clientData/>
  </xdr:twoCellAnchor>
  <xdr:twoCellAnchor>
    <xdr:from>
      <xdr:col>7</xdr:col>
      <xdr:colOff>0</xdr:colOff>
      <xdr:row>14</xdr:row>
      <xdr:rowOff>0</xdr:rowOff>
    </xdr:from>
    <xdr:to>
      <xdr:col>7</xdr:col>
      <xdr:colOff>923925</xdr:colOff>
      <xdr:row>15</xdr:row>
      <xdr:rowOff>19050</xdr:rowOff>
    </xdr:to>
    <xdr:pic>
      <xdr:nvPicPr>
        <xdr:cNvPr id="3" name="Picture 20">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srcRect/>
        <a:stretch>
          <a:fillRect/>
        </a:stretch>
      </xdr:blipFill>
      <xdr:spPr>
        <a:xfrm>
          <a:off x="4981575" y="2781300"/>
          <a:ext cx="923925" cy="219075"/>
        </a:xfrm>
        <a:prstGeom prst="rect">
          <a:avLst/>
        </a:prstGeom>
        <a:noFill/>
        <a:ln w="9525">
          <a:noFill/>
          <a:miter lim="800000"/>
          <a:headEnd/>
          <a:tailEnd/>
        </a:ln>
      </xdr:spPr>
    </xdr:pic>
    <xdr:clientData/>
  </xdr:twoCellAnchor>
  <xdr:twoCellAnchor>
    <xdr:from>
      <xdr:col>7</xdr:col>
      <xdr:colOff>0</xdr:colOff>
      <xdr:row>15</xdr:row>
      <xdr:rowOff>0</xdr:rowOff>
    </xdr:from>
    <xdr:to>
      <xdr:col>7</xdr:col>
      <xdr:colOff>1066800</xdr:colOff>
      <xdr:row>16</xdr:row>
      <xdr:rowOff>19050</xdr:rowOff>
    </xdr:to>
    <xdr:pic>
      <xdr:nvPicPr>
        <xdr:cNvPr id="4" name="Picture 19">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2981325"/>
          <a:ext cx="1066800" cy="219075"/>
        </a:xfrm>
        <a:prstGeom prst="rect">
          <a:avLst/>
        </a:prstGeom>
        <a:noFill/>
        <a:ln w="9525">
          <a:noFill/>
          <a:miter lim="800000"/>
          <a:headEnd/>
          <a:tailEnd/>
        </a:ln>
      </xdr:spPr>
    </xdr:pic>
    <xdr:clientData/>
  </xdr:twoCellAnchor>
  <xdr:twoCellAnchor>
    <xdr:from>
      <xdr:col>7</xdr:col>
      <xdr:colOff>0</xdr:colOff>
      <xdr:row>16</xdr:row>
      <xdr:rowOff>0</xdr:rowOff>
    </xdr:from>
    <xdr:to>
      <xdr:col>7</xdr:col>
      <xdr:colOff>1047750</xdr:colOff>
      <xdr:row>17</xdr:row>
      <xdr:rowOff>28575</xdr:rowOff>
    </xdr:to>
    <xdr:pic>
      <xdr:nvPicPr>
        <xdr:cNvPr id="5" name="Picture 18">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4"/>
        <a:srcRect/>
        <a:stretch>
          <a:fillRect/>
        </a:stretch>
      </xdr:blipFill>
      <xdr:spPr>
        <a:xfrm>
          <a:off x="4981575" y="3181350"/>
          <a:ext cx="1047750" cy="228600"/>
        </a:xfrm>
        <a:prstGeom prst="rect">
          <a:avLst/>
        </a:prstGeom>
        <a:noFill/>
        <a:ln w="9525">
          <a:noFill/>
          <a:miter lim="800000"/>
          <a:headEnd/>
          <a:tailEnd/>
        </a:ln>
      </xdr:spPr>
    </xdr:pic>
    <xdr:clientData/>
  </xdr:twoCellAnchor>
  <xdr:twoCellAnchor>
    <xdr:from>
      <xdr:col>7</xdr:col>
      <xdr:colOff>0</xdr:colOff>
      <xdr:row>2</xdr:row>
      <xdr:rowOff>0</xdr:rowOff>
    </xdr:from>
    <xdr:to>
      <xdr:col>7</xdr:col>
      <xdr:colOff>923925</xdr:colOff>
      <xdr:row>2</xdr:row>
      <xdr:rowOff>180975</xdr:rowOff>
    </xdr:to>
    <xdr:pic>
      <xdr:nvPicPr>
        <xdr:cNvPr id="6" name="Picture 27">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srcRect/>
        <a:stretch>
          <a:fillRect/>
        </a:stretch>
      </xdr:blipFill>
      <xdr:spPr>
        <a:xfrm>
          <a:off x="4981575" y="381000"/>
          <a:ext cx="923925" cy="180975"/>
        </a:xfrm>
        <a:prstGeom prst="rect">
          <a:avLst/>
        </a:prstGeom>
        <a:noFill/>
        <a:ln w="9525">
          <a:noFill/>
          <a:miter lim="800000"/>
          <a:headEnd/>
          <a:tailEnd/>
        </a:ln>
      </xdr:spPr>
    </xdr:pic>
    <xdr:clientData/>
  </xdr:twoCellAnchor>
  <xdr:twoCellAnchor>
    <xdr:from>
      <xdr:col>7</xdr:col>
      <xdr:colOff>0</xdr:colOff>
      <xdr:row>3</xdr:row>
      <xdr:rowOff>0</xdr:rowOff>
    </xdr:from>
    <xdr:to>
      <xdr:col>7</xdr:col>
      <xdr:colOff>923925</xdr:colOff>
      <xdr:row>4</xdr:row>
      <xdr:rowOff>0</xdr:rowOff>
    </xdr:to>
    <xdr:pic>
      <xdr:nvPicPr>
        <xdr:cNvPr id="7" name="Picture 26">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2"/>
        <a:srcRect/>
        <a:stretch>
          <a:fillRect/>
        </a:stretch>
      </xdr:blipFill>
      <xdr:spPr>
        <a:xfrm>
          <a:off x="4981575" y="581025"/>
          <a:ext cx="923925" cy="200025"/>
        </a:xfrm>
        <a:prstGeom prst="rect">
          <a:avLst/>
        </a:prstGeom>
        <a:noFill/>
        <a:ln w="9525">
          <a:noFill/>
          <a:miter lim="800000"/>
          <a:headEnd/>
          <a:tailEnd/>
        </a:ln>
      </xdr:spPr>
    </xdr:pic>
    <xdr:clientData/>
  </xdr:twoCellAnchor>
  <xdr:twoCellAnchor>
    <xdr:from>
      <xdr:col>7</xdr:col>
      <xdr:colOff>0</xdr:colOff>
      <xdr:row>4</xdr:row>
      <xdr:rowOff>0</xdr:rowOff>
    </xdr:from>
    <xdr:to>
      <xdr:col>7</xdr:col>
      <xdr:colOff>1066800</xdr:colOff>
      <xdr:row>5</xdr:row>
      <xdr:rowOff>0</xdr:rowOff>
    </xdr:to>
    <xdr:pic>
      <xdr:nvPicPr>
        <xdr:cNvPr id="8" name="Picture 25">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781050"/>
          <a:ext cx="1066800" cy="200025"/>
        </a:xfrm>
        <a:prstGeom prst="rect">
          <a:avLst/>
        </a:prstGeom>
        <a:noFill/>
        <a:ln w="9525">
          <a:noFill/>
          <a:miter lim="800000"/>
          <a:headEnd/>
          <a:tailEnd/>
        </a:ln>
      </xdr:spPr>
    </xdr:pic>
    <xdr:clientData/>
  </xdr:twoCellAnchor>
  <xdr:twoCellAnchor>
    <xdr:from>
      <xdr:col>7</xdr:col>
      <xdr:colOff>0</xdr:colOff>
      <xdr:row>5</xdr:row>
      <xdr:rowOff>0</xdr:rowOff>
    </xdr:from>
    <xdr:to>
      <xdr:col>7</xdr:col>
      <xdr:colOff>1047750</xdr:colOff>
      <xdr:row>6</xdr:row>
      <xdr:rowOff>9525</xdr:rowOff>
    </xdr:to>
    <xdr:pic>
      <xdr:nvPicPr>
        <xdr:cNvPr id="9" name="Picture 24">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4"/>
        <a:srcRect/>
        <a:stretch>
          <a:fillRect/>
        </a:stretch>
      </xdr:blipFill>
      <xdr:spPr>
        <a:xfrm>
          <a:off x="4981575" y="981075"/>
          <a:ext cx="1047750" cy="209550"/>
        </a:xfrm>
        <a:prstGeom prst="rect">
          <a:avLst/>
        </a:prstGeom>
        <a:noFill/>
        <a:ln w="9525">
          <a:noFill/>
          <a:miter lim="800000"/>
          <a:headEnd/>
          <a:tailEnd/>
        </a:ln>
      </xdr:spPr>
    </xdr:pic>
    <xdr:clientData/>
  </xdr:twoCellAnchor>
  <xdr:twoCellAnchor>
    <xdr:from>
      <xdr:col>7</xdr:col>
      <xdr:colOff>0</xdr:colOff>
      <xdr:row>6</xdr:row>
      <xdr:rowOff>0</xdr:rowOff>
    </xdr:from>
    <xdr:to>
      <xdr:col>7</xdr:col>
      <xdr:colOff>1066800</xdr:colOff>
      <xdr:row>7</xdr:row>
      <xdr:rowOff>0</xdr:rowOff>
    </xdr:to>
    <xdr:pic>
      <xdr:nvPicPr>
        <xdr:cNvPr id="10" name="Picture 23">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1181100"/>
          <a:ext cx="1066800" cy="200025"/>
        </a:xfrm>
        <a:prstGeom prst="rect">
          <a:avLst/>
        </a:prstGeom>
        <a:noFill/>
        <a:ln w="9525">
          <a:noFill/>
          <a:miter lim="800000"/>
          <a:headEnd/>
          <a:tailEnd/>
        </a:ln>
      </xdr:spPr>
    </xdr:pic>
    <xdr:clientData/>
  </xdr:twoCellAnchor>
  <xdr:twoCellAnchor>
    <xdr:from>
      <xdr:col>7</xdr:col>
      <xdr:colOff>0</xdr:colOff>
      <xdr:row>7</xdr:row>
      <xdr:rowOff>0</xdr:rowOff>
    </xdr:from>
    <xdr:to>
      <xdr:col>7</xdr:col>
      <xdr:colOff>1047750</xdr:colOff>
      <xdr:row>8</xdr:row>
      <xdr:rowOff>0</xdr:rowOff>
    </xdr:to>
    <xdr:pic>
      <xdr:nvPicPr>
        <xdr:cNvPr id="11" name="Picture 22">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5"/>
        <a:srcRect/>
        <a:stretch>
          <a:fillRect/>
        </a:stretch>
      </xdr:blipFill>
      <xdr:spPr>
        <a:xfrm>
          <a:off x="4981575" y="1381125"/>
          <a:ext cx="1047750" cy="200025"/>
        </a:xfrm>
        <a:prstGeom prst="rect">
          <a:avLst/>
        </a:prstGeom>
        <a:noFill/>
        <a:ln w="9525">
          <a:noFill/>
          <a:miter lim="800000"/>
          <a:headEnd/>
          <a:tailEnd/>
        </a:ln>
      </xdr:spPr>
    </xdr:pic>
    <xdr:clientData/>
  </xdr:twoCellAnchor>
  <xdr:twoCellAnchor>
    <xdr:from>
      <xdr:col>7</xdr:col>
      <xdr:colOff>0</xdr:colOff>
      <xdr:row>18</xdr:row>
      <xdr:rowOff>0</xdr:rowOff>
    </xdr:from>
    <xdr:to>
      <xdr:col>7</xdr:col>
      <xdr:colOff>885825</xdr:colOff>
      <xdr:row>18</xdr:row>
      <xdr:rowOff>171450</xdr:rowOff>
    </xdr:to>
    <xdr:pic>
      <xdr:nvPicPr>
        <xdr:cNvPr id="12" name="Picture 32">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3581400"/>
          <a:ext cx="885825" cy="171450"/>
        </a:xfrm>
        <a:prstGeom prst="rect">
          <a:avLst/>
        </a:prstGeom>
        <a:noFill/>
        <a:ln w="9525">
          <a:noFill/>
          <a:miter lim="800000"/>
          <a:headEnd/>
          <a:tailEnd/>
        </a:ln>
      </xdr:spPr>
    </xdr:pic>
    <xdr:clientData/>
  </xdr:twoCellAnchor>
  <xdr:twoCellAnchor>
    <xdr:from>
      <xdr:col>7</xdr:col>
      <xdr:colOff>0</xdr:colOff>
      <xdr:row>19</xdr:row>
      <xdr:rowOff>0</xdr:rowOff>
    </xdr:from>
    <xdr:to>
      <xdr:col>7</xdr:col>
      <xdr:colOff>866775</xdr:colOff>
      <xdr:row>20</xdr:row>
      <xdr:rowOff>0</xdr:rowOff>
    </xdr:to>
    <xdr:pic>
      <xdr:nvPicPr>
        <xdr:cNvPr id="13" name="Picture 31">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3781425"/>
          <a:ext cx="866775" cy="200025"/>
        </a:xfrm>
        <a:prstGeom prst="rect">
          <a:avLst/>
        </a:prstGeom>
        <a:noFill/>
        <a:ln w="9525">
          <a:noFill/>
          <a:miter lim="800000"/>
          <a:headEnd/>
          <a:tailEnd/>
        </a:ln>
      </xdr:spPr>
    </xdr:pic>
    <xdr:clientData/>
  </xdr:twoCellAnchor>
  <xdr:twoCellAnchor>
    <xdr:from>
      <xdr:col>7</xdr:col>
      <xdr:colOff>0</xdr:colOff>
      <xdr:row>20</xdr:row>
      <xdr:rowOff>0</xdr:rowOff>
    </xdr:from>
    <xdr:to>
      <xdr:col>7</xdr:col>
      <xdr:colOff>1066800</xdr:colOff>
      <xdr:row>21</xdr:row>
      <xdr:rowOff>38100</xdr:rowOff>
    </xdr:to>
    <xdr:pic>
      <xdr:nvPicPr>
        <xdr:cNvPr id="14" name="Picture 30">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3981450"/>
          <a:ext cx="1066800" cy="238125"/>
        </a:xfrm>
        <a:prstGeom prst="rect">
          <a:avLst/>
        </a:prstGeom>
        <a:noFill/>
        <a:ln w="9525">
          <a:noFill/>
          <a:miter lim="800000"/>
          <a:headEnd/>
          <a:tailEnd/>
        </a:ln>
      </xdr:spPr>
    </xdr:pic>
    <xdr:clientData/>
  </xdr:twoCellAnchor>
  <xdr:twoCellAnchor>
    <xdr:from>
      <xdr:col>7</xdr:col>
      <xdr:colOff>0</xdr:colOff>
      <xdr:row>21</xdr:row>
      <xdr:rowOff>0</xdr:rowOff>
    </xdr:from>
    <xdr:to>
      <xdr:col>7</xdr:col>
      <xdr:colOff>1047750</xdr:colOff>
      <xdr:row>22</xdr:row>
      <xdr:rowOff>19050</xdr:rowOff>
    </xdr:to>
    <xdr:pic>
      <xdr:nvPicPr>
        <xdr:cNvPr id="15" name="Picture 29">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4181475"/>
          <a:ext cx="1047750" cy="219075"/>
        </a:xfrm>
        <a:prstGeom prst="rect">
          <a:avLst/>
        </a:prstGeom>
        <a:noFill/>
        <a:ln w="9525">
          <a:noFill/>
          <a:miter lim="800000"/>
          <a:headEnd/>
          <a:tailEnd/>
        </a:ln>
      </xdr:spPr>
    </xdr:pic>
    <xdr:clientData/>
  </xdr:twoCellAnchor>
  <xdr:twoCellAnchor>
    <xdr:from>
      <xdr:col>7</xdr:col>
      <xdr:colOff>0</xdr:colOff>
      <xdr:row>23</xdr:row>
      <xdr:rowOff>0</xdr:rowOff>
    </xdr:from>
    <xdr:to>
      <xdr:col>7</xdr:col>
      <xdr:colOff>885825</xdr:colOff>
      <xdr:row>23</xdr:row>
      <xdr:rowOff>171450</xdr:rowOff>
    </xdr:to>
    <xdr:pic>
      <xdr:nvPicPr>
        <xdr:cNvPr id="16" name="Picture 37">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4581525"/>
          <a:ext cx="885825" cy="171450"/>
        </a:xfrm>
        <a:prstGeom prst="rect">
          <a:avLst/>
        </a:prstGeom>
        <a:noFill/>
        <a:ln w="9525">
          <a:noFill/>
          <a:miter lim="800000"/>
          <a:headEnd/>
          <a:tailEnd/>
        </a:ln>
      </xdr:spPr>
    </xdr:pic>
    <xdr:clientData/>
  </xdr:twoCellAnchor>
  <xdr:twoCellAnchor>
    <xdr:from>
      <xdr:col>7</xdr:col>
      <xdr:colOff>0</xdr:colOff>
      <xdr:row>24</xdr:row>
      <xdr:rowOff>0</xdr:rowOff>
    </xdr:from>
    <xdr:to>
      <xdr:col>7</xdr:col>
      <xdr:colOff>866775</xdr:colOff>
      <xdr:row>25</xdr:row>
      <xdr:rowOff>0</xdr:rowOff>
    </xdr:to>
    <xdr:pic>
      <xdr:nvPicPr>
        <xdr:cNvPr id="17" name="Picture 36">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4781550"/>
          <a:ext cx="866775" cy="200025"/>
        </a:xfrm>
        <a:prstGeom prst="rect">
          <a:avLst/>
        </a:prstGeom>
        <a:noFill/>
        <a:ln w="9525">
          <a:noFill/>
          <a:miter lim="800000"/>
          <a:headEnd/>
          <a:tailEnd/>
        </a:ln>
      </xdr:spPr>
    </xdr:pic>
    <xdr:clientData/>
  </xdr:twoCellAnchor>
  <xdr:twoCellAnchor>
    <xdr:from>
      <xdr:col>7</xdr:col>
      <xdr:colOff>0</xdr:colOff>
      <xdr:row>25</xdr:row>
      <xdr:rowOff>0</xdr:rowOff>
    </xdr:from>
    <xdr:to>
      <xdr:col>7</xdr:col>
      <xdr:colOff>1066800</xdr:colOff>
      <xdr:row>26</xdr:row>
      <xdr:rowOff>38100</xdr:rowOff>
    </xdr:to>
    <xdr:pic>
      <xdr:nvPicPr>
        <xdr:cNvPr id="18" name="Picture 35">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4981575"/>
          <a:ext cx="1066800" cy="238125"/>
        </a:xfrm>
        <a:prstGeom prst="rect">
          <a:avLst/>
        </a:prstGeom>
        <a:noFill/>
        <a:ln w="9525">
          <a:noFill/>
          <a:miter lim="800000"/>
          <a:headEnd/>
          <a:tailEnd/>
        </a:ln>
      </xdr:spPr>
    </xdr:pic>
    <xdr:clientData/>
  </xdr:twoCellAnchor>
  <xdr:twoCellAnchor>
    <xdr:from>
      <xdr:col>7</xdr:col>
      <xdr:colOff>0</xdr:colOff>
      <xdr:row>26</xdr:row>
      <xdr:rowOff>0</xdr:rowOff>
    </xdr:from>
    <xdr:to>
      <xdr:col>7</xdr:col>
      <xdr:colOff>1047750</xdr:colOff>
      <xdr:row>27</xdr:row>
      <xdr:rowOff>19050</xdr:rowOff>
    </xdr:to>
    <xdr:pic>
      <xdr:nvPicPr>
        <xdr:cNvPr id="19" name="Picture 34">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5181600"/>
          <a:ext cx="1047750" cy="219075"/>
        </a:xfrm>
        <a:prstGeom prst="rect">
          <a:avLst/>
        </a:prstGeom>
        <a:noFill/>
        <a:ln w="9525">
          <a:noFill/>
          <a:miter lim="800000"/>
          <a:headEnd/>
          <a:tailEnd/>
        </a:ln>
      </xdr:spPr>
    </xdr:pic>
    <xdr:clientData/>
  </xdr:twoCellAnchor>
  <xdr:twoCellAnchor>
    <xdr:from>
      <xdr:col>7</xdr:col>
      <xdr:colOff>0</xdr:colOff>
      <xdr:row>33</xdr:row>
      <xdr:rowOff>0</xdr:rowOff>
    </xdr:from>
    <xdr:to>
      <xdr:col>7</xdr:col>
      <xdr:colOff>1057275</xdr:colOff>
      <xdr:row>34</xdr:row>
      <xdr:rowOff>38100</xdr:rowOff>
    </xdr:to>
    <xdr:pic>
      <xdr:nvPicPr>
        <xdr:cNvPr id="20" name="Picture 43">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0"/>
        <a:srcRect/>
        <a:stretch>
          <a:fillRect/>
        </a:stretch>
      </xdr:blipFill>
      <xdr:spPr>
        <a:xfrm>
          <a:off x="4981575" y="6581775"/>
          <a:ext cx="1057275" cy="238125"/>
        </a:xfrm>
        <a:prstGeom prst="rect">
          <a:avLst/>
        </a:prstGeom>
        <a:noFill/>
        <a:ln w="9525">
          <a:noFill/>
          <a:miter lim="800000"/>
          <a:headEnd/>
          <a:tailEnd/>
        </a:ln>
      </xdr:spPr>
    </xdr:pic>
    <xdr:clientData/>
  </xdr:twoCellAnchor>
  <xdr:twoCellAnchor>
    <xdr:from>
      <xdr:col>7</xdr:col>
      <xdr:colOff>0</xdr:colOff>
      <xdr:row>34</xdr:row>
      <xdr:rowOff>0</xdr:rowOff>
    </xdr:from>
    <xdr:to>
      <xdr:col>7</xdr:col>
      <xdr:colOff>923925</xdr:colOff>
      <xdr:row>34</xdr:row>
      <xdr:rowOff>180975</xdr:rowOff>
    </xdr:to>
    <xdr:pic>
      <xdr:nvPicPr>
        <xdr:cNvPr id="21" name="Picture 48">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
        <a:srcRect/>
        <a:stretch>
          <a:fillRect/>
        </a:stretch>
      </xdr:blipFill>
      <xdr:spPr>
        <a:xfrm>
          <a:off x="4981575" y="6781800"/>
          <a:ext cx="923925" cy="180975"/>
        </a:xfrm>
        <a:prstGeom prst="rect">
          <a:avLst/>
        </a:prstGeom>
        <a:noFill/>
        <a:ln w="9525">
          <a:noFill/>
          <a:miter lim="800000"/>
          <a:headEnd/>
          <a:tailEnd/>
        </a:ln>
      </xdr:spPr>
    </xdr:pic>
    <xdr:clientData/>
  </xdr:twoCellAnchor>
  <xdr:twoCellAnchor>
    <xdr:from>
      <xdr:col>7</xdr:col>
      <xdr:colOff>0</xdr:colOff>
      <xdr:row>35</xdr:row>
      <xdr:rowOff>0</xdr:rowOff>
    </xdr:from>
    <xdr:to>
      <xdr:col>7</xdr:col>
      <xdr:colOff>923925</xdr:colOff>
      <xdr:row>36</xdr:row>
      <xdr:rowOff>19050</xdr:rowOff>
    </xdr:to>
    <xdr:pic>
      <xdr:nvPicPr>
        <xdr:cNvPr id="22" name="Picture 47">
          <a:extLst>
            <a:ext uri="{FF2B5EF4-FFF2-40B4-BE49-F238E27FC236}">
              <a16:creationId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2"/>
        <a:srcRect/>
        <a:stretch>
          <a:fillRect/>
        </a:stretch>
      </xdr:blipFill>
      <xdr:spPr>
        <a:xfrm>
          <a:off x="4981575" y="6981825"/>
          <a:ext cx="923925" cy="219075"/>
        </a:xfrm>
        <a:prstGeom prst="rect">
          <a:avLst/>
        </a:prstGeom>
        <a:noFill/>
        <a:ln w="9525">
          <a:noFill/>
          <a:miter lim="800000"/>
          <a:headEnd/>
          <a:tailEnd/>
        </a:ln>
      </xdr:spPr>
    </xdr:pic>
    <xdr:clientData/>
  </xdr:twoCellAnchor>
  <xdr:twoCellAnchor>
    <xdr:from>
      <xdr:col>7</xdr:col>
      <xdr:colOff>0</xdr:colOff>
      <xdr:row>36</xdr:row>
      <xdr:rowOff>0</xdr:rowOff>
    </xdr:from>
    <xdr:to>
      <xdr:col>7</xdr:col>
      <xdr:colOff>1066800</xdr:colOff>
      <xdr:row>37</xdr:row>
      <xdr:rowOff>19050</xdr:rowOff>
    </xdr:to>
    <xdr:pic>
      <xdr:nvPicPr>
        <xdr:cNvPr id="23" name="Picture 46">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7181850"/>
          <a:ext cx="1066800" cy="219075"/>
        </a:xfrm>
        <a:prstGeom prst="rect">
          <a:avLst/>
        </a:prstGeom>
        <a:noFill/>
        <a:ln w="9525">
          <a:noFill/>
          <a:miter lim="800000"/>
          <a:headEnd/>
          <a:tailEnd/>
        </a:ln>
      </xdr:spPr>
    </xdr:pic>
    <xdr:clientData/>
  </xdr:twoCellAnchor>
  <xdr:twoCellAnchor>
    <xdr:from>
      <xdr:col>7</xdr:col>
      <xdr:colOff>0</xdr:colOff>
      <xdr:row>37</xdr:row>
      <xdr:rowOff>0</xdr:rowOff>
    </xdr:from>
    <xdr:to>
      <xdr:col>7</xdr:col>
      <xdr:colOff>1047750</xdr:colOff>
      <xdr:row>38</xdr:row>
      <xdr:rowOff>28575</xdr:rowOff>
    </xdr:to>
    <xdr:pic>
      <xdr:nvPicPr>
        <xdr:cNvPr id="24" name="Picture 45">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4"/>
        <a:srcRect/>
        <a:stretch>
          <a:fillRect/>
        </a:stretch>
      </xdr:blipFill>
      <xdr:spPr>
        <a:xfrm>
          <a:off x="4981575" y="7381875"/>
          <a:ext cx="1047750" cy="228600"/>
        </a:xfrm>
        <a:prstGeom prst="rect">
          <a:avLst/>
        </a:prstGeom>
        <a:noFill/>
        <a:ln w="9525">
          <a:noFill/>
          <a:miter lim="800000"/>
          <a:headEnd/>
          <a:tailEnd/>
        </a:ln>
      </xdr:spPr>
    </xdr:pic>
    <xdr:clientData/>
  </xdr:twoCellAnchor>
  <xdr:twoCellAnchor>
    <xdr:from>
      <xdr:col>7</xdr:col>
      <xdr:colOff>0</xdr:colOff>
      <xdr:row>42</xdr:row>
      <xdr:rowOff>0</xdr:rowOff>
    </xdr:from>
    <xdr:to>
      <xdr:col>7</xdr:col>
      <xdr:colOff>1066800</xdr:colOff>
      <xdr:row>43</xdr:row>
      <xdr:rowOff>38100</xdr:rowOff>
    </xdr:to>
    <xdr:pic>
      <xdr:nvPicPr>
        <xdr:cNvPr id="25" name="Picture 58">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8382000"/>
          <a:ext cx="1066800" cy="238125"/>
        </a:xfrm>
        <a:prstGeom prst="rect">
          <a:avLst/>
        </a:prstGeom>
        <a:noFill/>
        <a:ln w="9525">
          <a:noFill/>
          <a:miter lim="800000"/>
          <a:headEnd/>
          <a:tailEnd/>
        </a:ln>
      </xdr:spPr>
    </xdr:pic>
    <xdr:clientData/>
  </xdr:twoCellAnchor>
  <xdr:twoCellAnchor>
    <xdr:from>
      <xdr:col>7</xdr:col>
      <xdr:colOff>0</xdr:colOff>
      <xdr:row>43</xdr:row>
      <xdr:rowOff>0</xdr:rowOff>
    </xdr:from>
    <xdr:to>
      <xdr:col>7</xdr:col>
      <xdr:colOff>1047750</xdr:colOff>
      <xdr:row>44</xdr:row>
      <xdr:rowOff>19050</xdr:rowOff>
    </xdr:to>
    <xdr:pic>
      <xdr:nvPicPr>
        <xdr:cNvPr id="26" name="Picture 57">
          <a:extLst>
            <a:ext uri="{FF2B5EF4-FFF2-40B4-BE49-F238E27FC236}">
              <a16:creationId xmlns:a16="http://schemas.microsoft.com/office/drawing/2014/main" id="{00000000-0008-0000-0400-00001A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8582025"/>
          <a:ext cx="1047750" cy="219075"/>
        </a:xfrm>
        <a:prstGeom prst="rect">
          <a:avLst/>
        </a:prstGeom>
        <a:noFill/>
        <a:ln w="9525">
          <a:noFill/>
          <a:miter lim="800000"/>
          <a:headEnd/>
          <a:tailEnd/>
        </a:ln>
      </xdr:spPr>
    </xdr:pic>
    <xdr:clientData/>
  </xdr:twoCellAnchor>
  <xdr:twoCellAnchor>
    <xdr:from>
      <xdr:col>7</xdr:col>
      <xdr:colOff>0</xdr:colOff>
      <xdr:row>44</xdr:row>
      <xdr:rowOff>0</xdr:rowOff>
    </xdr:from>
    <xdr:to>
      <xdr:col>7</xdr:col>
      <xdr:colOff>1066800</xdr:colOff>
      <xdr:row>45</xdr:row>
      <xdr:rowOff>38100</xdr:rowOff>
    </xdr:to>
    <xdr:pic>
      <xdr:nvPicPr>
        <xdr:cNvPr id="27" name="Picture 56">
          <a:extLst>
            <a:ext uri="{FF2B5EF4-FFF2-40B4-BE49-F238E27FC236}">
              <a16:creationId xmlns:a16="http://schemas.microsoft.com/office/drawing/2014/main" id="{00000000-0008-0000-0400-00001B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8782050"/>
          <a:ext cx="1066800" cy="238125"/>
        </a:xfrm>
        <a:prstGeom prst="rect">
          <a:avLst/>
        </a:prstGeom>
        <a:noFill/>
        <a:ln w="9525">
          <a:noFill/>
          <a:miter lim="800000"/>
          <a:headEnd/>
          <a:tailEnd/>
        </a:ln>
      </xdr:spPr>
    </xdr:pic>
    <xdr:clientData/>
  </xdr:twoCellAnchor>
  <xdr:twoCellAnchor>
    <xdr:from>
      <xdr:col>7</xdr:col>
      <xdr:colOff>0</xdr:colOff>
      <xdr:row>45</xdr:row>
      <xdr:rowOff>0</xdr:rowOff>
    </xdr:from>
    <xdr:to>
      <xdr:col>7</xdr:col>
      <xdr:colOff>1047750</xdr:colOff>
      <xdr:row>46</xdr:row>
      <xdr:rowOff>19050</xdr:rowOff>
    </xdr:to>
    <xdr:pic>
      <xdr:nvPicPr>
        <xdr:cNvPr id="28" name="Picture 55">
          <a:extLst>
            <a:ext uri="{FF2B5EF4-FFF2-40B4-BE49-F238E27FC236}">
              <a16:creationId xmlns:a16="http://schemas.microsoft.com/office/drawing/2014/main" id="{00000000-0008-0000-0400-00001C000000}"/>
            </a:ext>
          </a:extLst>
        </xdr:cNvPr>
        <xdr:cNvPicPr>
          <a:picLocks noChangeAspect="1" noChangeArrowheads="1"/>
        </xdr:cNvPicPr>
      </xdr:nvPicPr>
      <xdr:blipFill>
        <a:blip xmlns:r="http://schemas.openxmlformats.org/officeDocument/2006/relationships" r:embed="rId5"/>
        <a:srcRect/>
        <a:stretch>
          <a:fillRect/>
        </a:stretch>
      </xdr:blipFill>
      <xdr:spPr>
        <a:xfrm>
          <a:off x="4981575" y="8982075"/>
          <a:ext cx="1047750" cy="219075"/>
        </a:xfrm>
        <a:prstGeom prst="rect">
          <a:avLst/>
        </a:prstGeom>
        <a:noFill/>
        <a:ln w="9525">
          <a:noFill/>
          <a:miter lim="800000"/>
          <a:headEnd/>
          <a:tailEnd/>
        </a:ln>
      </xdr:spPr>
    </xdr:pic>
    <xdr:clientData/>
  </xdr:twoCellAnchor>
  <xdr:twoCellAnchor>
    <xdr:from>
      <xdr:col>7</xdr:col>
      <xdr:colOff>0</xdr:colOff>
      <xdr:row>51</xdr:row>
      <xdr:rowOff>0</xdr:rowOff>
    </xdr:from>
    <xdr:to>
      <xdr:col>7</xdr:col>
      <xdr:colOff>857250</xdr:colOff>
      <xdr:row>51</xdr:row>
      <xdr:rowOff>190500</xdr:rowOff>
    </xdr:to>
    <xdr:pic>
      <xdr:nvPicPr>
        <xdr:cNvPr id="29" name="Picture 75">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11"/>
        <a:srcRect/>
        <a:stretch>
          <a:fillRect/>
        </a:stretch>
      </xdr:blipFill>
      <xdr:spPr>
        <a:xfrm>
          <a:off x="4981575" y="10182225"/>
          <a:ext cx="857250" cy="190500"/>
        </a:xfrm>
        <a:prstGeom prst="rect">
          <a:avLst/>
        </a:prstGeom>
        <a:noFill/>
        <a:ln w="9525">
          <a:noFill/>
          <a:miter lim="800000"/>
          <a:headEnd/>
          <a:tailEnd/>
        </a:ln>
      </xdr:spPr>
    </xdr:pic>
    <xdr:clientData/>
  </xdr:twoCellAnchor>
  <xdr:twoCellAnchor>
    <xdr:from>
      <xdr:col>7</xdr:col>
      <xdr:colOff>0</xdr:colOff>
      <xdr:row>52</xdr:row>
      <xdr:rowOff>0</xdr:rowOff>
    </xdr:from>
    <xdr:to>
      <xdr:col>7</xdr:col>
      <xdr:colOff>857250</xdr:colOff>
      <xdr:row>53</xdr:row>
      <xdr:rowOff>0</xdr:rowOff>
    </xdr:to>
    <xdr:pic>
      <xdr:nvPicPr>
        <xdr:cNvPr id="30" name="Picture 74">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12"/>
        <a:srcRect/>
        <a:stretch>
          <a:fillRect/>
        </a:stretch>
      </xdr:blipFill>
      <xdr:spPr>
        <a:xfrm>
          <a:off x="4981575" y="10382250"/>
          <a:ext cx="857250" cy="200025"/>
        </a:xfrm>
        <a:prstGeom prst="rect">
          <a:avLst/>
        </a:prstGeom>
        <a:noFill/>
        <a:ln w="9525">
          <a:noFill/>
          <a:miter lim="800000"/>
          <a:headEnd/>
          <a:tailEnd/>
        </a:ln>
      </xdr:spPr>
    </xdr:pic>
    <xdr:clientData/>
  </xdr:twoCellAnchor>
  <xdr:twoCellAnchor>
    <xdr:from>
      <xdr:col>7</xdr:col>
      <xdr:colOff>0</xdr:colOff>
      <xdr:row>53</xdr:row>
      <xdr:rowOff>0</xdr:rowOff>
    </xdr:from>
    <xdr:to>
      <xdr:col>7</xdr:col>
      <xdr:colOff>1057275</xdr:colOff>
      <xdr:row>54</xdr:row>
      <xdr:rowOff>9525</xdr:rowOff>
    </xdr:to>
    <xdr:pic>
      <xdr:nvPicPr>
        <xdr:cNvPr id="31" name="Picture 73">
          <a:extLst>
            <a:ext uri="{FF2B5EF4-FFF2-40B4-BE49-F238E27FC236}">
              <a16:creationId xmlns:a16="http://schemas.microsoft.com/office/drawing/2014/main" id="{00000000-0008-0000-0400-00001F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0582275"/>
          <a:ext cx="1057275" cy="209550"/>
        </a:xfrm>
        <a:prstGeom prst="rect">
          <a:avLst/>
        </a:prstGeom>
        <a:noFill/>
        <a:ln w="9525">
          <a:noFill/>
          <a:miter lim="800000"/>
          <a:headEnd/>
          <a:tailEnd/>
        </a:ln>
      </xdr:spPr>
    </xdr:pic>
    <xdr:clientData/>
  </xdr:twoCellAnchor>
  <xdr:twoCellAnchor>
    <xdr:from>
      <xdr:col>7</xdr:col>
      <xdr:colOff>0</xdr:colOff>
      <xdr:row>54</xdr:row>
      <xdr:rowOff>0</xdr:rowOff>
    </xdr:from>
    <xdr:to>
      <xdr:col>7</xdr:col>
      <xdr:colOff>1057275</xdr:colOff>
      <xdr:row>55</xdr:row>
      <xdr:rowOff>0</xdr:rowOff>
    </xdr:to>
    <xdr:pic>
      <xdr:nvPicPr>
        <xdr:cNvPr id="32" name="Picture 72">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14"/>
        <a:srcRect/>
        <a:stretch>
          <a:fillRect/>
        </a:stretch>
      </xdr:blipFill>
      <xdr:spPr>
        <a:xfrm>
          <a:off x="4981575" y="10782300"/>
          <a:ext cx="1057275" cy="200025"/>
        </a:xfrm>
        <a:prstGeom prst="rect">
          <a:avLst/>
        </a:prstGeom>
        <a:noFill/>
        <a:ln w="9525">
          <a:noFill/>
          <a:miter lim="800000"/>
          <a:headEnd/>
          <a:tailEnd/>
        </a:ln>
      </xdr:spPr>
    </xdr:pic>
    <xdr:clientData/>
  </xdr:twoCellAnchor>
  <xdr:twoCellAnchor>
    <xdr:from>
      <xdr:col>7</xdr:col>
      <xdr:colOff>0</xdr:colOff>
      <xdr:row>55</xdr:row>
      <xdr:rowOff>0</xdr:rowOff>
    </xdr:from>
    <xdr:to>
      <xdr:col>7</xdr:col>
      <xdr:colOff>1057275</xdr:colOff>
      <xdr:row>56</xdr:row>
      <xdr:rowOff>9525</xdr:rowOff>
    </xdr:to>
    <xdr:pic>
      <xdr:nvPicPr>
        <xdr:cNvPr id="33" name="Picture 71">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0982325"/>
          <a:ext cx="1057275" cy="209550"/>
        </a:xfrm>
        <a:prstGeom prst="rect">
          <a:avLst/>
        </a:prstGeom>
        <a:noFill/>
        <a:ln w="9525">
          <a:noFill/>
          <a:miter lim="800000"/>
          <a:headEnd/>
          <a:tailEnd/>
        </a:ln>
      </xdr:spPr>
    </xdr:pic>
    <xdr:clientData/>
  </xdr:twoCellAnchor>
  <xdr:twoCellAnchor>
    <xdr:from>
      <xdr:col>7</xdr:col>
      <xdr:colOff>0</xdr:colOff>
      <xdr:row>56</xdr:row>
      <xdr:rowOff>0</xdr:rowOff>
    </xdr:from>
    <xdr:to>
      <xdr:col>7</xdr:col>
      <xdr:colOff>1047750</xdr:colOff>
      <xdr:row>57</xdr:row>
      <xdr:rowOff>0</xdr:rowOff>
    </xdr:to>
    <xdr:pic>
      <xdr:nvPicPr>
        <xdr:cNvPr id="34" name="Picture 70">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5"/>
        <a:srcRect/>
        <a:stretch>
          <a:fillRect/>
        </a:stretch>
      </xdr:blipFill>
      <xdr:spPr>
        <a:xfrm>
          <a:off x="4981575" y="11182350"/>
          <a:ext cx="1047750" cy="200025"/>
        </a:xfrm>
        <a:prstGeom prst="rect">
          <a:avLst/>
        </a:prstGeom>
        <a:noFill/>
        <a:ln w="9525">
          <a:noFill/>
          <a:miter lim="800000"/>
          <a:headEnd/>
          <a:tailEnd/>
        </a:ln>
      </xdr:spPr>
    </xdr:pic>
    <xdr:clientData/>
  </xdr:twoCellAnchor>
  <xdr:twoCellAnchor>
    <xdr:from>
      <xdr:col>7</xdr:col>
      <xdr:colOff>0</xdr:colOff>
      <xdr:row>57</xdr:row>
      <xdr:rowOff>0</xdr:rowOff>
    </xdr:from>
    <xdr:to>
      <xdr:col>7</xdr:col>
      <xdr:colOff>1181100</xdr:colOff>
      <xdr:row>57</xdr:row>
      <xdr:rowOff>190500</xdr:rowOff>
    </xdr:to>
    <xdr:pic>
      <xdr:nvPicPr>
        <xdr:cNvPr id="35" name="Picture 81">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15"/>
        <a:srcRect/>
        <a:stretch>
          <a:fillRect/>
        </a:stretch>
      </xdr:blipFill>
      <xdr:spPr>
        <a:xfrm>
          <a:off x="4981575" y="11382375"/>
          <a:ext cx="1181100" cy="190500"/>
        </a:xfrm>
        <a:prstGeom prst="rect">
          <a:avLst/>
        </a:prstGeom>
        <a:noFill/>
        <a:ln w="9525">
          <a:noFill/>
          <a:miter lim="800000"/>
          <a:headEnd/>
          <a:tailEnd/>
        </a:ln>
      </xdr:spPr>
    </xdr:pic>
    <xdr:clientData/>
  </xdr:twoCellAnchor>
  <xdr:twoCellAnchor>
    <xdr:from>
      <xdr:col>7</xdr:col>
      <xdr:colOff>0</xdr:colOff>
      <xdr:row>58</xdr:row>
      <xdr:rowOff>0</xdr:rowOff>
    </xdr:from>
    <xdr:to>
      <xdr:col>7</xdr:col>
      <xdr:colOff>1066800</xdr:colOff>
      <xdr:row>59</xdr:row>
      <xdr:rowOff>19050</xdr:rowOff>
    </xdr:to>
    <xdr:pic>
      <xdr:nvPicPr>
        <xdr:cNvPr id="36" name="Picture 80">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1582400"/>
          <a:ext cx="1066800" cy="219075"/>
        </a:xfrm>
        <a:prstGeom prst="rect">
          <a:avLst/>
        </a:prstGeom>
        <a:noFill/>
        <a:ln w="9525">
          <a:noFill/>
          <a:miter lim="800000"/>
          <a:headEnd/>
          <a:tailEnd/>
        </a:ln>
      </xdr:spPr>
    </xdr:pic>
    <xdr:clientData/>
  </xdr:twoCellAnchor>
  <xdr:twoCellAnchor>
    <xdr:from>
      <xdr:col>7</xdr:col>
      <xdr:colOff>0</xdr:colOff>
      <xdr:row>59</xdr:row>
      <xdr:rowOff>0</xdr:rowOff>
    </xdr:from>
    <xdr:to>
      <xdr:col>7</xdr:col>
      <xdr:colOff>885825</xdr:colOff>
      <xdr:row>59</xdr:row>
      <xdr:rowOff>171450</xdr:rowOff>
    </xdr:to>
    <xdr:pic>
      <xdr:nvPicPr>
        <xdr:cNvPr id="37" name="Picture 79">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11782425"/>
          <a:ext cx="885825" cy="171450"/>
        </a:xfrm>
        <a:prstGeom prst="rect">
          <a:avLst/>
        </a:prstGeom>
        <a:noFill/>
        <a:ln w="9525">
          <a:noFill/>
          <a:miter lim="800000"/>
          <a:headEnd/>
          <a:tailEnd/>
        </a:ln>
      </xdr:spPr>
    </xdr:pic>
    <xdr:clientData/>
  </xdr:twoCellAnchor>
  <xdr:twoCellAnchor>
    <xdr:from>
      <xdr:col>7</xdr:col>
      <xdr:colOff>0</xdr:colOff>
      <xdr:row>60</xdr:row>
      <xdr:rowOff>0</xdr:rowOff>
    </xdr:from>
    <xdr:to>
      <xdr:col>7</xdr:col>
      <xdr:colOff>866775</xdr:colOff>
      <xdr:row>60</xdr:row>
      <xdr:rowOff>180975</xdr:rowOff>
    </xdr:to>
    <xdr:pic>
      <xdr:nvPicPr>
        <xdr:cNvPr id="38" name="Picture 78">
          <a:extLst>
            <a:ext uri="{FF2B5EF4-FFF2-40B4-BE49-F238E27FC236}">
              <a16:creationId xmlns:a16="http://schemas.microsoft.com/office/drawing/2014/main" id="{00000000-0008-0000-0400-000026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11982450"/>
          <a:ext cx="866775" cy="180975"/>
        </a:xfrm>
        <a:prstGeom prst="rect">
          <a:avLst/>
        </a:prstGeom>
        <a:noFill/>
        <a:ln w="9525">
          <a:noFill/>
          <a:miter lim="800000"/>
          <a:headEnd/>
          <a:tailEnd/>
        </a:ln>
      </xdr:spPr>
    </xdr:pic>
    <xdr:clientData/>
  </xdr:twoCellAnchor>
  <xdr:twoCellAnchor>
    <xdr:from>
      <xdr:col>7</xdr:col>
      <xdr:colOff>0</xdr:colOff>
      <xdr:row>61</xdr:row>
      <xdr:rowOff>0</xdr:rowOff>
    </xdr:from>
    <xdr:to>
      <xdr:col>7</xdr:col>
      <xdr:colOff>1066800</xdr:colOff>
      <xdr:row>62</xdr:row>
      <xdr:rowOff>19050</xdr:rowOff>
    </xdr:to>
    <xdr:pic>
      <xdr:nvPicPr>
        <xdr:cNvPr id="39" name="Picture 77">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2182475"/>
          <a:ext cx="1066800" cy="219075"/>
        </a:xfrm>
        <a:prstGeom prst="rect">
          <a:avLst/>
        </a:prstGeom>
        <a:noFill/>
        <a:ln w="9525">
          <a:noFill/>
          <a:miter lim="800000"/>
          <a:headEnd/>
          <a:tailEnd/>
        </a:ln>
      </xdr:spPr>
    </xdr:pic>
    <xdr:clientData/>
  </xdr:twoCellAnchor>
  <xdr:twoCellAnchor>
    <xdr:from>
      <xdr:col>7</xdr:col>
      <xdr:colOff>0</xdr:colOff>
      <xdr:row>62</xdr:row>
      <xdr:rowOff>0</xdr:rowOff>
    </xdr:from>
    <xdr:to>
      <xdr:col>7</xdr:col>
      <xdr:colOff>1047750</xdr:colOff>
      <xdr:row>62</xdr:row>
      <xdr:rowOff>171450</xdr:rowOff>
    </xdr:to>
    <xdr:pic>
      <xdr:nvPicPr>
        <xdr:cNvPr id="40" name="Picture 76">
          <a:extLst>
            <a:ext uri="{FF2B5EF4-FFF2-40B4-BE49-F238E27FC236}">
              <a16:creationId xmlns:a16="http://schemas.microsoft.com/office/drawing/2014/main" id="{00000000-0008-0000-0400-000028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2382500"/>
          <a:ext cx="1047750" cy="171450"/>
        </a:xfrm>
        <a:prstGeom prst="rect">
          <a:avLst/>
        </a:prstGeom>
        <a:noFill/>
        <a:ln w="9525">
          <a:noFill/>
          <a:miter lim="800000"/>
          <a:headEnd/>
          <a:tailEnd/>
        </a:ln>
      </xdr:spPr>
    </xdr:pic>
    <xdr:clientData/>
  </xdr:twoCellAnchor>
  <xdr:twoCellAnchor>
    <xdr:from>
      <xdr:col>7</xdr:col>
      <xdr:colOff>0</xdr:colOff>
      <xdr:row>63</xdr:row>
      <xdr:rowOff>0</xdr:rowOff>
    </xdr:from>
    <xdr:to>
      <xdr:col>7</xdr:col>
      <xdr:colOff>1066800</xdr:colOff>
      <xdr:row>64</xdr:row>
      <xdr:rowOff>38100</xdr:rowOff>
    </xdr:to>
    <xdr:pic>
      <xdr:nvPicPr>
        <xdr:cNvPr id="41" name="Picture 84">
          <a:extLst>
            <a:ext uri="{FF2B5EF4-FFF2-40B4-BE49-F238E27FC236}">
              <a16:creationId xmlns:a16="http://schemas.microsoft.com/office/drawing/2014/main" id="{00000000-0008-0000-0400-000029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2582525"/>
          <a:ext cx="1066800" cy="238125"/>
        </a:xfrm>
        <a:prstGeom prst="rect">
          <a:avLst/>
        </a:prstGeom>
        <a:noFill/>
        <a:ln w="9525">
          <a:noFill/>
          <a:miter lim="800000"/>
          <a:headEnd/>
          <a:tailEnd/>
        </a:ln>
      </xdr:spPr>
    </xdr:pic>
    <xdr:clientData/>
  </xdr:twoCellAnchor>
  <xdr:twoCellAnchor>
    <xdr:from>
      <xdr:col>7</xdr:col>
      <xdr:colOff>0</xdr:colOff>
      <xdr:row>64</xdr:row>
      <xdr:rowOff>0</xdr:rowOff>
    </xdr:from>
    <xdr:to>
      <xdr:col>7</xdr:col>
      <xdr:colOff>1047750</xdr:colOff>
      <xdr:row>65</xdr:row>
      <xdr:rowOff>19050</xdr:rowOff>
    </xdr:to>
    <xdr:pic>
      <xdr:nvPicPr>
        <xdr:cNvPr id="42" name="Picture 83">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2782550"/>
          <a:ext cx="1047750" cy="219075"/>
        </a:xfrm>
        <a:prstGeom prst="rect">
          <a:avLst/>
        </a:prstGeom>
        <a:noFill/>
        <a:ln w="9525">
          <a:noFill/>
          <a:miter lim="800000"/>
          <a:headEnd/>
          <a:tailEnd/>
        </a:ln>
      </xdr:spPr>
    </xdr:pic>
    <xdr:clientData/>
  </xdr:twoCellAnchor>
  <xdr:twoCellAnchor>
    <xdr:from>
      <xdr:col>7</xdr:col>
      <xdr:colOff>0</xdr:colOff>
      <xdr:row>65</xdr:row>
      <xdr:rowOff>0</xdr:rowOff>
    </xdr:from>
    <xdr:to>
      <xdr:col>7</xdr:col>
      <xdr:colOff>1066800</xdr:colOff>
      <xdr:row>66</xdr:row>
      <xdr:rowOff>38100</xdr:rowOff>
    </xdr:to>
    <xdr:pic>
      <xdr:nvPicPr>
        <xdr:cNvPr id="43" name="Picture 82">
          <a:extLst>
            <a:ext uri="{FF2B5EF4-FFF2-40B4-BE49-F238E27FC236}">
              <a16:creationId xmlns:a16="http://schemas.microsoft.com/office/drawing/2014/main" id="{00000000-0008-0000-0400-00002B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2982575"/>
          <a:ext cx="1066800" cy="238125"/>
        </a:xfrm>
        <a:prstGeom prst="rect">
          <a:avLst/>
        </a:prstGeom>
        <a:noFill/>
        <a:ln w="9525">
          <a:noFill/>
          <a:miter lim="800000"/>
          <a:headEnd/>
          <a:tailEnd/>
        </a:ln>
      </xdr:spPr>
    </xdr:pic>
    <xdr:clientData/>
  </xdr:twoCellAnchor>
  <xdr:twoCellAnchor>
    <xdr:from>
      <xdr:col>7</xdr:col>
      <xdr:colOff>0</xdr:colOff>
      <xdr:row>66</xdr:row>
      <xdr:rowOff>0</xdr:rowOff>
    </xdr:from>
    <xdr:to>
      <xdr:col>7</xdr:col>
      <xdr:colOff>857250</xdr:colOff>
      <xdr:row>67</xdr:row>
      <xdr:rowOff>9525</xdr:rowOff>
    </xdr:to>
    <xdr:pic>
      <xdr:nvPicPr>
        <xdr:cNvPr id="44" name="Picture 89">
          <a:extLst>
            <a:ext uri="{FF2B5EF4-FFF2-40B4-BE49-F238E27FC236}">
              <a16:creationId xmlns:a16="http://schemas.microsoft.com/office/drawing/2014/main" id="{00000000-0008-0000-0400-00002C000000}"/>
            </a:ext>
          </a:extLst>
        </xdr:cNvPr>
        <xdr:cNvPicPr>
          <a:picLocks noChangeAspect="1" noChangeArrowheads="1"/>
        </xdr:cNvPicPr>
      </xdr:nvPicPr>
      <xdr:blipFill>
        <a:blip xmlns:r="http://schemas.openxmlformats.org/officeDocument/2006/relationships" r:embed="rId11"/>
        <a:srcRect/>
        <a:stretch>
          <a:fillRect/>
        </a:stretch>
      </xdr:blipFill>
      <xdr:spPr>
        <a:xfrm>
          <a:off x="4981575" y="13182600"/>
          <a:ext cx="857250" cy="209550"/>
        </a:xfrm>
        <a:prstGeom prst="rect">
          <a:avLst/>
        </a:prstGeom>
        <a:noFill/>
        <a:ln w="9525">
          <a:noFill/>
          <a:miter lim="800000"/>
          <a:headEnd/>
          <a:tailEnd/>
        </a:ln>
      </xdr:spPr>
    </xdr:pic>
    <xdr:clientData/>
  </xdr:twoCellAnchor>
  <xdr:twoCellAnchor>
    <xdr:from>
      <xdr:col>7</xdr:col>
      <xdr:colOff>0</xdr:colOff>
      <xdr:row>67</xdr:row>
      <xdr:rowOff>0</xdr:rowOff>
    </xdr:from>
    <xdr:to>
      <xdr:col>7</xdr:col>
      <xdr:colOff>857250</xdr:colOff>
      <xdr:row>68</xdr:row>
      <xdr:rowOff>19050</xdr:rowOff>
    </xdr:to>
    <xdr:pic>
      <xdr:nvPicPr>
        <xdr:cNvPr id="45" name="Picture 88">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12"/>
        <a:srcRect/>
        <a:stretch>
          <a:fillRect/>
        </a:stretch>
      </xdr:blipFill>
      <xdr:spPr>
        <a:xfrm>
          <a:off x="4981575" y="13382625"/>
          <a:ext cx="857250" cy="219075"/>
        </a:xfrm>
        <a:prstGeom prst="rect">
          <a:avLst/>
        </a:prstGeom>
        <a:noFill/>
        <a:ln w="9525">
          <a:noFill/>
          <a:miter lim="800000"/>
          <a:headEnd/>
          <a:tailEnd/>
        </a:ln>
      </xdr:spPr>
    </xdr:pic>
    <xdr:clientData/>
  </xdr:twoCellAnchor>
  <xdr:twoCellAnchor>
    <xdr:from>
      <xdr:col>7</xdr:col>
      <xdr:colOff>0</xdr:colOff>
      <xdr:row>68</xdr:row>
      <xdr:rowOff>0</xdr:rowOff>
    </xdr:from>
    <xdr:to>
      <xdr:col>7</xdr:col>
      <xdr:colOff>1057275</xdr:colOff>
      <xdr:row>69</xdr:row>
      <xdr:rowOff>28575</xdr:rowOff>
    </xdr:to>
    <xdr:pic>
      <xdr:nvPicPr>
        <xdr:cNvPr id="46" name="Picture 87">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3582650"/>
          <a:ext cx="1057275" cy="228600"/>
        </a:xfrm>
        <a:prstGeom prst="rect">
          <a:avLst/>
        </a:prstGeom>
        <a:noFill/>
        <a:ln w="9525">
          <a:noFill/>
          <a:miter lim="800000"/>
          <a:headEnd/>
          <a:tailEnd/>
        </a:ln>
      </xdr:spPr>
    </xdr:pic>
    <xdr:clientData/>
  </xdr:twoCellAnchor>
  <xdr:twoCellAnchor>
    <xdr:from>
      <xdr:col>7</xdr:col>
      <xdr:colOff>0</xdr:colOff>
      <xdr:row>69</xdr:row>
      <xdr:rowOff>0</xdr:rowOff>
    </xdr:from>
    <xdr:to>
      <xdr:col>7</xdr:col>
      <xdr:colOff>1057275</xdr:colOff>
      <xdr:row>70</xdr:row>
      <xdr:rowOff>19050</xdr:rowOff>
    </xdr:to>
    <xdr:pic>
      <xdr:nvPicPr>
        <xdr:cNvPr id="47" name="Picture 86">
          <a:extLst>
            <a:ext uri="{FF2B5EF4-FFF2-40B4-BE49-F238E27FC236}">
              <a16:creationId xmlns:a16="http://schemas.microsoft.com/office/drawing/2014/main" id="{00000000-0008-0000-0400-00002F000000}"/>
            </a:ext>
          </a:extLst>
        </xdr:cNvPr>
        <xdr:cNvPicPr>
          <a:picLocks noChangeAspect="1" noChangeArrowheads="1"/>
        </xdr:cNvPicPr>
      </xdr:nvPicPr>
      <xdr:blipFill>
        <a:blip xmlns:r="http://schemas.openxmlformats.org/officeDocument/2006/relationships" r:embed="rId14"/>
        <a:srcRect/>
        <a:stretch>
          <a:fillRect/>
        </a:stretch>
      </xdr:blipFill>
      <xdr:spPr>
        <a:xfrm>
          <a:off x="4981575" y="13782675"/>
          <a:ext cx="1057275" cy="219075"/>
        </a:xfrm>
        <a:prstGeom prst="rect">
          <a:avLst/>
        </a:prstGeom>
        <a:noFill/>
        <a:ln w="9525">
          <a:noFill/>
          <a:miter lim="800000"/>
          <a:headEnd/>
          <a:tailEnd/>
        </a:ln>
      </xdr:spPr>
    </xdr:pic>
    <xdr:clientData/>
  </xdr:twoCellAnchor>
  <xdr:twoCellAnchor>
    <xdr:from>
      <xdr:col>7</xdr:col>
      <xdr:colOff>0</xdr:colOff>
      <xdr:row>70</xdr:row>
      <xdr:rowOff>0</xdr:rowOff>
    </xdr:from>
    <xdr:to>
      <xdr:col>7</xdr:col>
      <xdr:colOff>1057275</xdr:colOff>
      <xdr:row>70</xdr:row>
      <xdr:rowOff>171450</xdr:rowOff>
    </xdr:to>
    <xdr:pic>
      <xdr:nvPicPr>
        <xdr:cNvPr id="48" name="Picture 85">
          <a:extLst>
            <a:ext uri="{FF2B5EF4-FFF2-40B4-BE49-F238E27FC236}">
              <a16:creationId xmlns:a16="http://schemas.microsoft.com/office/drawing/2014/main" id="{00000000-0008-0000-0400-000030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3982700"/>
          <a:ext cx="1057275" cy="171450"/>
        </a:xfrm>
        <a:prstGeom prst="rect">
          <a:avLst/>
        </a:prstGeom>
        <a:noFill/>
        <a:ln w="9525">
          <a:noFill/>
          <a:miter lim="800000"/>
          <a:headEnd/>
          <a:tailEnd/>
        </a:ln>
      </xdr:spPr>
    </xdr:pic>
    <xdr:clientData/>
  </xdr:twoCellAnchor>
  <xdr:twoCellAnchor>
    <xdr:from>
      <xdr:col>7</xdr:col>
      <xdr:colOff>0</xdr:colOff>
      <xdr:row>71</xdr:row>
      <xdr:rowOff>0</xdr:rowOff>
    </xdr:from>
    <xdr:to>
      <xdr:col>7</xdr:col>
      <xdr:colOff>857250</xdr:colOff>
      <xdr:row>72</xdr:row>
      <xdr:rowOff>9525</xdr:rowOff>
    </xdr:to>
    <xdr:pic>
      <xdr:nvPicPr>
        <xdr:cNvPr id="49" name="Picture 100">
          <a:extLst>
            <a:ext uri="{FF2B5EF4-FFF2-40B4-BE49-F238E27FC236}">
              <a16:creationId xmlns:a16="http://schemas.microsoft.com/office/drawing/2014/main" id="{00000000-0008-0000-0400-000031000000}"/>
            </a:ext>
          </a:extLst>
        </xdr:cNvPr>
        <xdr:cNvPicPr>
          <a:picLocks noChangeAspect="1" noChangeArrowheads="1"/>
        </xdr:cNvPicPr>
      </xdr:nvPicPr>
      <xdr:blipFill>
        <a:blip xmlns:r="http://schemas.openxmlformats.org/officeDocument/2006/relationships" r:embed="rId11"/>
        <a:srcRect/>
        <a:stretch>
          <a:fillRect/>
        </a:stretch>
      </xdr:blipFill>
      <xdr:spPr>
        <a:xfrm>
          <a:off x="4981575" y="14182725"/>
          <a:ext cx="857250" cy="209550"/>
        </a:xfrm>
        <a:prstGeom prst="rect">
          <a:avLst/>
        </a:prstGeom>
        <a:noFill/>
        <a:ln w="9525">
          <a:noFill/>
          <a:miter lim="800000"/>
          <a:headEnd/>
          <a:tailEnd/>
        </a:ln>
      </xdr:spPr>
    </xdr:pic>
    <xdr:clientData/>
  </xdr:twoCellAnchor>
  <xdr:twoCellAnchor>
    <xdr:from>
      <xdr:col>7</xdr:col>
      <xdr:colOff>0</xdr:colOff>
      <xdr:row>72</xdr:row>
      <xdr:rowOff>0</xdr:rowOff>
    </xdr:from>
    <xdr:to>
      <xdr:col>7</xdr:col>
      <xdr:colOff>857250</xdr:colOff>
      <xdr:row>73</xdr:row>
      <xdr:rowOff>19050</xdr:rowOff>
    </xdr:to>
    <xdr:pic>
      <xdr:nvPicPr>
        <xdr:cNvPr id="50" name="Picture 99">
          <a:extLst>
            <a:ext uri="{FF2B5EF4-FFF2-40B4-BE49-F238E27FC236}">
              <a16:creationId xmlns:a16="http://schemas.microsoft.com/office/drawing/2014/main" id="{00000000-0008-0000-0400-000032000000}"/>
            </a:ext>
          </a:extLst>
        </xdr:cNvPr>
        <xdr:cNvPicPr>
          <a:picLocks noChangeAspect="1" noChangeArrowheads="1"/>
        </xdr:cNvPicPr>
      </xdr:nvPicPr>
      <xdr:blipFill>
        <a:blip xmlns:r="http://schemas.openxmlformats.org/officeDocument/2006/relationships" r:embed="rId12"/>
        <a:srcRect/>
        <a:stretch>
          <a:fillRect/>
        </a:stretch>
      </xdr:blipFill>
      <xdr:spPr>
        <a:xfrm>
          <a:off x="4981575" y="14382750"/>
          <a:ext cx="857250" cy="219075"/>
        </a:xfrm>
        <a:prstGeom prst="rect">
          <a:avLst/>
        </a:prstGeom>
        <a:noFill/>
        <a:ln w="9525">
          <a:noFill/>
          <a:miter lim="800000"/>
          <a:headEnd/>
          <a:tailEnd/>
        </a:ln>
      </xdr:spPr>
    </xdr:pic>
    <xdr:clientData/>
  </xdr:twoCellAnchor>
  <xdr:twoCellAnchor>
    <xdr:from>
      <xdr:col>7</xdr:col>
      <xdr:colOff>0</xdr:colOff>
      <xdr:row>73</xdr:row>
      <xdr:rowOff>0</xdr:rowOff>
    </xdr:from>
    <xdr:to>
      <xdr:col>7</xdr:col>
      <xdr:colOff>1057275</xdr:colOff>
      <xdr:row>74</xdr:row>
      <xdr:rowOff>28575</xdr:rowOff>
    </xdr:to>
    <xdr:pic>
      <xdr:nvPicPr>
        <xdr:cNvPr id="51" name="Picture 98">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4582775"/>
          <a:ext cx="1057275" cy="228600"/>
        </a:xfrm>
        <a:prstGeom prst="rect">
          <a:avLst/>
        </a:prstGeom>
        <a:noFill/>
        <a:ln w="9525">
          <a:noFill/>
          <a:miter lim="800000"/>
          <a:headEnd/>
          <a:tailEnd/>
        </a:ln>
      </xdr:spPr>
    </xdr:pic>
    <xdr:clientData/>
  </xdr:twoCellAnchor>
  <xdr:twoCellAnchor>
    <xdr:from>
      <xdr:col>7</xdr:col>
      <xdr:colOff>0</xdr:colOff>
      <xdr:row>74</xdr:row>
      <xdr:rowOff>0</xdr:rowOff>
    </xdr:from>
    <xdr:to>
      <xdr:col>7</xdr:col>
      <xdr:colOff>1057275</xdr:colOff>
      <xdr:row>75</xdr:row>
      <xdr:rowOff>19050</xdr:rowOff>
    </xdr:to>
    <xdr:pic>
      <xdr:nvPicPr>
        <xdr:cNvPr id="52" name="Picture 97">
          <a:extLst>
            <a:ext uri="{FF2B5EF4-FFF2-40B4-BE49-F238E27FC236}">
              <a16:creationId xmlns:a16="http://schemas.microsoft.com/office/drawing/2014/main" id="{00000000-0008-0000-0400-000034000000}"/>
            </a:ext>
          </a:extLst>
        </xdr:cNvPr>
        <xdr:cNvPicPr>
          <a:picLocks noChangeAspect="1" noChangeArrowheads="1"/>
        </xdr:cNvPicPr>
      </xdr:nvPicPr>
      <xdr:blipFill>
        <a:blip xmlns:r="http://schemas.openxmlformats.org/officeDocument/2006/relationships" r:embed="rId14"/>
        <a:srcRect/>
        <a:stretch>
          <a:fillRect/>
        </a:stretch>
      </xdr:blipFill>
      <xdr:spPr>
        <a:xfrm>
          <a:off x="4981575" y="14782800"/>
          <a:ext cx="1057275" cy="219075"/>
        </a:xfrm>
        <a:prstGeom prst="rect">
          <a:avLst/>
        </a:prstGeom>
        <a:noFill/>
        <a:ln w="9525">
          <a:noFill/>
          <a:miter lim="800000"/>
          <a:headEnd/>
          <a:tailEnd/>
        </a:ln>
      </xdr:spPr>
    </xdr:pic>
    <xdr:clientData/>
  </xdr:twoCellAnchor>
  <xdr:twoCellAnchor>
    <xdr:from>
      <xdr:col>7</xdr:col>
      <xdr:colOff>0</xdr:colOff>
      <xdr:row>75</xdr:row>
      <xdr:rowOff>0</xdr:rowOff>
    </xdr:from>
    <xdr:to>
      <xdr:col>7</xdr:col>
      <xdr:colOff>1057275</xdr:colOff>
      <xdr:row>75</xdr:row>
      <xdr:rowOff>161925</xdr:rowOff>
    </xdr:to>
    <xdr:pic>
      <xdr:nvPicPr>
        <xdr:cNvPr id="53" name="Picture 96">
          <a:extLst>
            <a:ext uri="{FF2B5EF4-FFF2-40B4-BE49-F238E27FC236}">
              <a16:creationId xmlns:a16="http://schemas.microsoft.com/office/drawing/2014/main" id="{00000000-0008-0000-0400-000035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4982825"/>
          <a:ext cx="1057275" cy="161925"/>
        </a:xfrm>
        <a:prstGeom prst="rect">
          <a:avLst/>
        </a:prstGeom>
        <a:noFill/>
        <a:ln w="9525">
          <a:noFill/>
          <a:miter lim="800000"/>
          <a:headEnd/>
          <a:tailEnd/>
        </a:ln>
      </xdr:spPr>
    </xdr:pic>
    <xdr:clientData/>
  </xdr:twoCellAnchor>
  <xdr:twoCellAnchor>
    <xdr:from>
      <xdr:col>7</xdr:col>
      <xdr:colOff>0</xdr:colOff>
      <xdr:row>76</xdr:row>
      <xdr:rowOff>0</xdr:rowOff>
    </xdr:from>
    <xdr:to>
      <xdr:col>7</xdr:col>
      <xdr:colOff>885825</xdr:colOff>
      <xdr:row>76</xdr:row>
      <xdr:rowOff>171450</xdr:rowOff>
    </xdr:to>
    <xdr:pic>
      <xdr:nvPicPr>
        <xdr:cNvPr id="54" name="Picture 105">
          <a:extLst>
            <a:ext uri="{FF2B5EF4-FFF2-40B4-BE49-F238E27FC236}">
              <a16:creationId xmlns:a16="http://schemas.microsoft.com/office/drawing/2014/main" id="{00000000-0008-0000-0400-000036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15182850"/>
          <a:ext cx="885825" cy="171450"/>
        </a:xfrm>
        <a:prstGeom prst="rect">
          <a:avLst/>
        </a:prstGeom>
        <a:noFill/>
        <a:ln w="9525">
          <a:noFill/>
          <a:miter lim="800000"/>
          <a:headEnd/>
          <a:tailEnd/>
        </a:ln>
      </xdr:spPr>
    </xdr:pic>
    <xdr:clientData/>
  </xdr:twoCellAnchor>
  <xdr:twoCellAnchor>
    <xdr:from>
      <xdr:col>7</xdr:col>
      <xdr:colOff>0</xdr:colOff>
      <xdr:row>77</xdr:row>
      <xdr:rowOff>0</xdr:rowOff>
    </xdr:from>
    <xdr:to>
      <xdr:col>7</xdr:col>
      <xdr:colOff>866775</xdr:colOff>
      <xdr:row>78</xdr:row>
      <xdr:rowOff>0</xdr:rowOff>
    </xdr:to>
    <xdr:pic>
      <xdr:nvPicPr>
        <xdr:cNvPr id="55" name="Picture 104">
          <a:extLst>
            <a:ext uri="{FF2B5EF4-FFF2-40B4-BE49-F238E27FC236}">
              <a16:creationId xmlns:a16="http://schemas.microsoft.com/office/drawing/2014/main" id="{00000000-0008-0000-0400-000037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15382875"/>
          <a:ext cx="866775" cy="200025"/>
        </a:xfrm>
        <a:prstGeom prst="rect">
          <a:avLst/>
        </a:prstGeom>
        <a:noFill/>
        <a:ln w="9525">
          <a:noFill/>
          <a:miter lim="800000"/>
          <a:headEnd/>
          <a:tailEnd/>
        </a:ln>
      </xdr:spPr>
    </xdr:pic>
    <xdr:clientData/>
  </xdr:twoCellAnchor>
  <xdr:twoCellAnchor>
    <xdr:from>
      <xdr:col>7</xdr:col>
      <xdr:colOff>0</xdr:colOff>
      <xdr:row>78</xdr:row>
      <xdr:rowOff>0</xdr:rowOff>
    </xdr:from>
    <xdr:to>
      <xdr:col>7</xdr:col>
      <xdr:colOff>1066800</xdr:colOff>
      <xdr:row>79</xdr:row>
      <xdr:rowOff>38100</xdr:rowOff>
    </xdr:to>
    <xdr:pic>
      <xdr:nvPicPr>
        <xdr:cNvPr id="56" name="Picture 103">
          <a:extLst>
            <a:ext uri="{FF2B5EF4-FFF2-40B4-BE49-F238E27FC236}">
              <a16:creationId xmlns:a16="http://schemas.microsoft.com/office/drawing/2014/main" id="{00000000-0008-0000-0400-000038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5582900"/>
          <a:ext cx="1066800" cy="238125"/>
        </a:xfrm>
        <a:prstGeom prst="rect">
          <a:avLst/>
        </a:prstGeom>
        <a:noFill/>
        <a:ln w="9525">
          <a:noFill/>
          <a:miter lim="800000"/>
          <a:headEnd/>
          <a:tailEnd/>
        </a:ln>
      </xdr:spPr>
    </xdr:pic>
    <xdr:clientData/>
  </xdr:twoCellAnchor>
  <xdr:twoCellAnchor>
    <xdr:from>
      <xdr:col>7</xdr:col>
      <xdr:colOff>0</xdr:colOff>
      <xdr:row>79</xdr:row>
      <xdr:rowOff>0</xdr:rowOff>
    </xdr:from>
    <xdr:to>
      <xdr:col>7</xdr:col>
      <xdr:colOff>1047750</xdr:colOff>
      <xdr:row>80</xdr:row>
      <xdr:rowOff>19050</xdr:rowOff>
    </xdr:to>
    <xdr:pic>
      <xdr:nvPicPr>
        <xdr:cNvPr id="57" name="Picture 102">
          <a:extLst>
            <a:ext uri="{FF2B5EF4-FFF2-40B4-BE49-F238E27FC236}">
              <a16:creationId xmlns:a16="http://schemas.microsoft.com/office/drawing/2014/main" id="{00000000-0008-0000-0400-000039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5782925"/>
          <a:ext cx="1047750" cy="219075"/>
        </a:xfrm>
        <a:prstGeom prst="rect">
          <a:avLst/>
        </a:prstGeom>
        <a:noFill/>
        <a:ln w="9525">
          <a:noFill/>
          <a:miter lim="800000"/>
          <a:headEnd/>
          <a:tailEnd/>
        </a:ln>
      </xdr:spPr>
    </xdr:pic>
    <xdr:clientData/>
  </xdr:twoCellAnchor>
  <xdr:twoCellAnchor>
    <xdr:from>
      <xdr:col>7</xdr:col>
      <xdr:colOff>0</xdr:colOff>
      <xdr:row>80</xdr:row>
      <xdr:rowOff>0</xdr:rowOff>
    </xdr:from>
    <xdr:to>
      <xdr:col>7</xdr:col>
      <xdr:colOff>1066800</xdr:colOff>
      <xdr:row>80</xdr:row>
      <xdr:rowOff>171450</xdr:rowOff>
    </xdr:to>
    <xdr:pic>
      <xdr:nvPicPr>
        <xdr:cNvPr id="58" name="Picture 101">
          <a:extLst>
            <a:ext uri="{FF2B5EF4-FFF2-40B4-BE49-F238E27FC236}">
              <a16:creationId xmlns:a16="http://schemas.microsoft.com/office/drawing/2014/main" id="{00000000-0008-0000-0400-00003A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5982950"/>
          <a:ext cx="1066800" cy="171450"/>
        </a:xfrm>
        <a:prstGeom prst="rect">
          <a:avLst/>
        </a:prstGeom>
        <a:noFill/>
        <a:ln w="9525">
          <a:noFill/>
          <a:miter lim="800000"/>
          <a:headEnd/>
          <a:tailEnd/>
        </a:ln>
      </xdr:spPr>
    </xdr:pic>
    <xdr:clientData/>
  </xdr:twoCellAnchor>
  <xdr:twoCellAnchor>
    <xdr:from>
      <xdr:col>7</xdr:col>
      <xdr:colOff>0</xdr:colOff>
      <xdr:row>81</xdr:row>
      <xdr:rowOff>0</xdr:rowOff>
    </xdr:from>
    <xdr:to>
      <xdr:col>7</xdr:col>
      <xdr:colOff>1057275</xdr:colOff>
      <xdr:row>82</xdr:row>
      <xdr:rowOff>19050</xdr:rowOff>
    </xdr:to>
    <xdr:pic>
      <xdr:nvPicPr>
        <xdr:cNvPr id="59" name="Picture 107">
          <a:extLst>
            <a:ext uri="{FF2B5EF4-FFF2-40B4-BE49-F238E27FC236}">
              <a16:creationId xmlns:a16="http://schemas.microsoft.com/office/drawing/2014/main" id="{00000000-0008-0000-0400-00003B000000}"/>
            </a:ext>
          </a:extLst>
        </xdr:cNvPr>
        <xdr:cNvPicPr>
          <a:picLocks noChangeAspect="1" noChangeArrowheads="1"/>
        </xdr:cNvPicPr>
      </xdr:nvPicPr>
      <xdr:blipFill>
        <a:blip xmlns:r="http://schemas.openxmlformats.org/officeDocument/2006/relationships" r:embed="rId10"/>
        <a:srcRect/>
        <a:stretch>
          <a:fillRect/>
        </a:stretch>
      </xdr:blipFill>
      <xdr:spPr>
        <a:xfrm>
          <a:off x="4981575" y="16182975"/>
          <a:ext cx="1057275" cy="219075"/>
        </a:xfrm>
        <a:prstGeom prst="rect">
          <a:avLst/>
        </a:prstGeom>
        <a:noFill/>
        <a:ln w="9525">
          <a:noFill/>
          <a:miter lim="800000"/>
          <a:headEnd/>
          <a:tailEnd/>
        </a:ln>
      </xdr:spPr>
    </xdr:pic>
    <xdr:clientData/>
  </xdr:twoCellAnchor>
  <xdr:twoCellAnchor>
    <xdr:from>
      <xdr:col>7</xdr:col>
      <xdr:colOff>0</xdr:colOff>
      <xdr:row>82</xdr:row>
      <xdr:rowOff>0</xdr:rowOff>
    </xdr:from>
    <xdr:to>
      <xdr:col>7</xdr:col>
      <xdr:colOff>885825</xdr:colOff>
      <xdr:row>82</xdr:row>
      <xdr:rowOff>171450</xdr:rowOff>
    </xdr:to>
    <xdr:pic>
      <xdr:nvPicPr>
        <xdr:cNvPr id="60" name="Picture 112">
          <a:extLst>
            <a:ext uri="{FF2B5EF4-FFF2-40B4-BE49-F238E27FC236}">
              <a16:creationId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16383000"/>
          <a:ext cx="885825" cy="171450"/>
        </a:xfrm>
        <a:prstGeom prst="rect">
          <a:avLst/>
        </a:prstGeom>
        <a:noFill/>
        <a:ln w="9525">
          <a:noFill/>
          <a:miter lim="800000"/>
          <a:headEnd/>
          <a:tailEnd/>
        </a:ln>
      </xdr:spPr>
    </xdr:pic>
    <xdr:clientData/>
  </xdr:twoCellAnchor>
  <xdr:twoCellAnchor>
    <xdr:from>
      <xdr:col>7</xdr:col>
      <xdr:colOff>0</xdr:colOff>
      <xdr:row>83</xdr:row>
      <xdr:rowOff>0</xdr:rowOff>
    </xdr:from>
    <xdr:to>
      <xdr:col>7</xdr:col>
      <xdr:colOff>866775</xdr:colOff>
      <xdr:row>83</xdr:row>
      <xdr:rowOff>180975</xdr:rowOff>
    </xdr:to>
    <xdr:pic>
      <xdr:nvPicPr>
        <xdr:cNvPr id="61" name="Picture 111">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16583025"/>
          <a:ext cx="866775" cy="180975"/>
        </a:xfrm>
        <a:prstGeom prst="rect">
          <a:avLst/>
        </a:prstGeom>
        <a:noFill/>
        <a:ln w="9525">
          <a:noFill/>
          <a:miter lim="800000"/>
          <a:headEnd/>
          <a:tailEnd/>
        </a:ln>
      </xdr:spPr>
    </xdr:pic>
    <xdr:clientData/>
  </xdr:twoCellAnchor>
  <xdr:twoCellAnchor>
    <xdr:from>
      <xdr:col>7</xdr:col>
      <xdr:colOff>0</xdr:colOff>
      <xdr:row>84</xdr:row>
      <xdr:rowOff>0</xdr:rowOff>
    </xdr:from>
    <xdr:to>
      <xdr:col>7</xdr:col>
      <xdr:colOff>1066800</xdr:colOff>
      <xdr:row>85</xdr:row>
      <xdr:rowOff>19050</xdr:rowOff>
    </xdr:to>
    <xdr:pic>
      <xdr:nvPicPr>
        <xdr:cNvPr id="62" name="Picture 110">
          <a:extLst>
            <a:ext uri="{FF2B5EF4-FFF2-40B4-BE49-F238E27FC236}">
              <a16:creationId xmlns:a16="http://schemas.microsoft.com/office/drawing/2014/main" id="{00000000-0008-0000-0400-00003E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6783050"/>
          <a:ext cx="1066800" cy="219075"/>
        </a:xfrm>
        <a:prstGeom prst="rect">
          <a:avLst/>
        </a:prstGeom>
        <a:noFill/>
        <a:ln w="9525">
          <a:noFill/>
          <a:miter lim="800000"/>
          <a:headEnd/>
          <a:tailEnd/>
        </a:ln>
      </xdr:spPr>
    </xdr:pic>
    <xdr:clientData/>
  </xdr:twoCellAnchor>
  <xdr:twoCellAnchor>
    <xdr:from>
      <xdr:col>7</xdr:col>
      <xdr:colOff>0</xdr:colOff>
      <xdr:row>85</xdr:row>
      <xdr:rowOff>0</xdr:rowOff>
    </xdr:from>
    <xdr:to>
      <xdr:col>7</xdr:col>
      <xdr:colOff>1047750</xdr:colOff>
      <xdr:row>86</xdr:row>
      <xdr:rowOff>0</xdr:rowOff>
    </xdr:to>
    <xdr:pic>
      <xdr:nvPicPr>
        <xdr:cNvPr id="63" name="Picture 109">
          <a:extLst>
            <a:ext uri="{FF2B5EF4-FFF2-40B4-BE49-F238E27FC236}">
              <a16:creationId xmlns:a16="http://schemas.microsoft.com/office/drawing/2014/main" id="{00000000-0008-0000-0400-00003F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6983075"/>
          <a:ext cx="1047750" cy="200025"/>
        </a:xfrm>
        <a:prstGeom prst="rect">
          <a:avLst/>
        </a:prstGeom>
        <a:noFill/>
        <a:ln w="9525">
          <a:noFill/>
          <a:miter lim="800000"/>
          <a:headEnd/>
          <a:tailEnd/>
        </a:ln>
      </xdr:spPr>
    </xdr:pic>
    <xdr:clientData/>
  </xdr:twoCellAnchor>
  <xdr:twoCellAnchor>
    <xdr:from>
      <xdr:col>7</xdr:col>
      <xdr:colOff>0</xdr:colOff>
      <xdr:row>86</xdr:row>
      <xdr:rowOff>0</xdr:rowOff>
    </xdr:from>
    <xdr:to>
      <xdr:col>7</xdr:col>
      <xdr:colOff>1066800</xdr:colOff>
      <xdr:row>86</xdr:row>
      <xdr:rowOff>180975</xdr:rowOff>
    </xdr:to>
    <xdr:pic>
      <xdr:nvPicPr>
        <xdr:cNvPr id="64" name="Picture 108">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7183100"/>
          <a:ext cx="1066800" cy="180975"/>
        </a:xfrm>
        <a:prstGeom prst="rect">
          <a:avLst/>
        </a:prstGeom>
        <a:noFill/>
        <a:ln w="9525">
          <a:noFill/>
          <a:miter lim="800000"/>
          <a:headEnd/>
          <a:tailEnd/>
        </a:ln>
      </xdr:spPr>
    </xdr:pic>
    <xdr:clientData/>
  </xdr:twoCellAnchor>
  <xdr:twoCellAnchor>
    <xdr:from>
      <xdr:col>7</xdr:col>
      <xdr:colOff>0</xdr:colOff>
      <xdr:row>87</xdr:row>
      <xdr:rowOff>0</xdr:rowOff>
    </xdr:from>
    <xdr:to>
      <xdr:col>7</xdr:col>
      <xdr:colOff>885825</xdr:colOff>
      <xdr:row>87</xdr:row>
      <xdr:rowOff>171450</xdr:rowOff>
    </xdr:to>
    <xdr:pic>
      <xdr:nvPicPr>
        <xdr:cNvPr id="65" name="Picture 117">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17383125"/>
          <a:ext cx="885825" cy="171450"/>
        </a:xfrm>
        <a:prstGeom prst="rect">
          <a:avLst/>
        </a:prstGeom>
        <a:noFill/>
        <a:ln w="9525">
          <a:noFill/>
          <a:miter lim="800000"/>
          <a:headEnd/>
          <a:tailEnd/>
        </a:ln>
      </xdr:spPr>
    </xdr:pic>
    <xdr:clientData/>
  </xdr:twoCellAnchor>
  <xdr:twoCellAnchor>
    <xdr:from>
      <xdr:col>7</xdr:col>
      <xdr:colOff>0</xdr:colOff>
      <xdr:row>88</xdr:row>
      <xdr:rowOff>0</xdr:rowOff>
    </xdr:from>
    <xdr:to>
      <xdr:col>7</xdr:col>
      <xdr:colOff>866775</xdr:colOff>
      <xdr:row>88</xdr:row>
      <xdr:rowOff>180975</xdr:rowOff>
    </xdr:to>
    <xdr:pic>
      <xdr:nvPicPr>
        <xdr:cNvPr id="66" name="Picture 116">
          <a:extLst>
            <a:ext uri="{FF2B5EF4-FFF2-40B4-BE49-F238E27FC236}">
              <a16:creationId xmlns:a16="http://schemas.microsoft.com/office/drawing/2014/main" id="{00000000-0008-0000-0400-000042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17583150"/>
          <a:ext cx="866775" cy="180975"/>
        </a:xfrm>
        <a:prstGeom prst="rect">
          <a:avLst/>
        </a:prstGeom>
        <a:noFill/>
        <a:ln w="9525">
          <a:noFill/>
          <a:miter lim="800000"/>
          <a:headEnd/>
          <a:tailEnd/>
        </a:ln>
      </xdr:spPr>
    </xdr:pic>
    <xdr:clientData/>
  </xdr:twoCellAnchor>
  <xdr:twoCellAnchor>
    <xdr:from>
      <xdr:col>7</xdr:col>
      <xdr:colOff>0</xdr:colOff>
      <xdr:row>89</xdr:row>
      <xdr:rowOff>0</xdr:rowOff>
    </xdr:from>
    <xdr:to>
      <xdr:col>7</xdr:col>
      <xdr:colOff>1066800</xdr:colOff>
      <xdr:row>90</xdr:row>
      <xdr:rowOff>19050</xdr:rowOff>
    </xdr:to>
    <xdr:pic>
      <xdr:nvPicPr>
        <xdr:cNvPr id="67" name="Picture 115">
          <a:extLst>
            <a:ext uri="{FF2B5EF4-FFF2-40B4-BE49-F238E27FC236}">
              <a16:creationId xmlns:a16="http://schemas.microsoft.com/office/drawing/2014/main" id="{00000000-0008-0000-0400-000043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7783175"/>
          <a:ext cx="1066800" cy="219075"/>
        </a:xfrm>
        <a:prstGeom prst="rect">
          <a:avLst/>
        </a:prstGeom>
        <a:noFill/>
        <a:ln w="9525">
          <a:noFill/>
          <a:miter lim="800000"/>
          <a:headEnd/>
          <a:tailEnd/>
        </a:ln>
      </xdr:spPr>
    </xdr:pic>
    <xdr:clientData/>
  </xdr:twoCellAnchor>
  <xdr:twoCellAnchor>
    <xdr:from>
      <xdr:col>7</xdr:col>
      <xdr:colOff>0</xdr:colOff>
      <xdr:row>90</xdr:row>
      <xdr:rowOff>0</xdr:rowOff>
    </xdr:from>
    <xdr:to>
      <xdr:col>7</xdr:col>
      <xdr:colOff>1047750</xdr:colOff>
      <xdr:row>91</xdr:row>
      <xdr:rowOff>0</xdr:rowOff>
    </xdr:to>
    <xdr:pic>
      <xdr:nvPicPr>
        <xdr:cNvPr id="68" name="Picture 114">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7983200"/>
          <a:ext cx="1047750" cy="200025"/>
        </a:xfrm>
        <a:prstGeom prst="rect">
          <a:avLst/>
        </a:prstGeom>
        <a:noFill/>
        <a:ln w="9525">
          <a:noFill/>
          <a:miter lim="800000"/>
          <a:headEnd/>
          <a:tailEnd/>
        </a:ln>
      </xdr:spPr>
    </xdr:pic>
    <xdr:clientData/>
  </xdr:twoCellAnchor>
  <xdr:twoCellAnchor>
    <xdr:from>
      <xdr:col>7</xdr:col>
      <xdr:colOff>0</xdr:colOff>
      <xdr:row>91</xdr:row>
      <xdr:rowOff>0</xdr:rowOff>
    </xdr:from>
    <xdr:to>
      <xdr:col>7</xdr:col>
      <xdr:colOff>1066800</xdr:colOff>
      <xdr:row>91</xdr:row>
      <xdr:rowOff>171450</xdr:rowOff>
    </xdr:to>
    <xdr:pic>
      <xdr:nvPicPr>
        <xdr:cNvPr id="69" name="Picture 113">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8183225"/>
          <a:ext cx="1066800" cy="171450"/>
        </a:xfrm>
        <a:prstGeom prst="rect">
          <a:avLst/>
        </a:prstGeom>
        <a:noFill/>
        <a:ln w="9525">
          <a:noFill/>
          <a:miter lim="800000"/>
          <a:headEnd/>
          <a:tailEnd/>
        </a:ln>
      </xdr:spPr>
    </xdr:pic>
    <xdr:clientData/>
  </xdr:twoCellAnchor>
  <xdr:twoCellAnchor>
    <xdr:from>
      <xdr:col>7</xdr:col>
      <xdr:colOff>0</xdr:colOff>
      <xdr:row>92</xdr:row>
      <xdr:rowOff>0</xdr:rowOff>
    </xdr:from>
    <xdr:to>
      <xdr:col>7</xdr:col>
      <xdr:colOff>857250</xdr:colOff>
      <xdr:row>92</xdr:row>
      <xdr:rowOff>190500</xdr:rowOff>
    </xdr:to>
    <xdr:pic>
      <xdr:nvPicPr>
        <xdr:cNvPr id="70" name="Picture 122">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1"/>
        <a:srcRect/>
        <a:stretch>
          <a:fillRect/>
        </a:stretch>
      </xdr:blipFill>
      <xdr:spPr>
        <a:xfrm>
          <a:off x="4981575" y="18383250"/>
          <a:ext cx="857250" cy="190500"/>
        </a:xfrm>
        <a:prstGeom prst="rect">
          <a:avLst/>
        </a:prstGeom>
        <a:noFill/>
        <a:ln w="9525">
          <a:noFill/>
          <a:miter lim="800000"/>
          <a:headEnd/>
          <a:tailEnd/>
        </a:ln>
      </xdr:spPr>
    </xdr:pic>
    <xdr:clientData/>
  </xdr:twoCellAnchor>
  <xdr:twoCellAnchor>
    <xdr:from>
      <xdr:col>7</xdr:col>
      <xdr:colOff>0</xdr:colOff>
      <xdr:row>93</xdr:row>
      <xdr:rowOff>0</xdr:rowOff>
    </xdr:from>
    <xdr:to>
      <xdr:col>7</xdr:col>
      <xdr:colOff>857250</xdr:colOff>
      <xdr:row>94</xdr:row>
      <xdr:rowOff>0</xdr:rowOff>
    </xdr:to>
    <xdr:pic>
      <xdr:nvPicPr>
        <xdr:cNvPr id="71" name="Picture 121">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2"/>
        <a:srcRect/>
        <a:stretch>
          <a:fillRect/>
        </a:stretch>
      </xdr:blipFill>
      <xdr:spPr>
        <a:xfrm>
          <a:off x="4981575" y="18583275"/>
          <a:ext cx="857250" cy="200025"/>
        </a:xfrm>
        <a:prstGeom prst="rect">
          <a:avLst/>
        </a:prstGeom>
        <a:noFill/>
        <a:ln w="9525">
          <a:noFill/>
          <a:miter lim="800000"/>
          <a:headEnd/>
          <a:tailEnd/>
        </a:ln>
      </xdr:spPr>
    </xdr:pic>
    <xdr:clientData/>
  </xdr:twoCellAnchor>
  <xdr:twoCellAnchor>
    <xdr:from>
      <xdr:col>7</xdr:col>
      <xdr:colOff>0</xdr:colOff>
      <xdr:row>94</xdr:row>
      <xdr:rowOff>0</xdr:rowOff>
    </xdr:from>
    <xdr:to>
      <xdr:col>7</xdr:col>
      <xdr:colOff>1057275</xdr:colOff>
      <xdr:row>95</xdr:row>
      <xdr:rowOff>9525</xdr:rowOff>
    </xdr:to>
    <xdr:pic>
      <xdr:nvPicPr>
        <xdr:cNvPr id="72" name="Picture 120">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8783300"/>
          <a:ext cx="1057275" cy="209550"/>
        </a:xfrm>
        <a:prstGeom prst="rect">
          <a:avLst/>
        </a:prstGeom>
        <a:noFill/>
        <a:ln w="9525">
          <a:noFill/>
          <a:miter lim="800000"/>
          <a:headEnd/>
          <a:tailEnd/>
        </a:ln>
      </xdr:spPr>
    </xdr:pic>
    <xdr:clientData/>
  </xdr:twoCellAnchor>
  <xdr:twoCellAnchor>
    <xdr:from>
      <xdr:col>7</xdr:col>
      <xdr:colOff>0</xdr:colOff>
      <xdr:row>95</xdr:row>
      <xdr:rowOff>0</xdr:rowOff>
    </xdr:from>
    <xdr:to>
      <xdr:col>7</xdr:col>
      <xdr:colOff>1057275</xdr:colOff>
      <xdr:row>96</xdr:row>
      <xdr:rowOff>0</xdr:rowOff>
    </xdr:to>
    <xdr:pic>
      <xdr:nvPicPr>
        <xdr:cNvPr id="73" name="Picture 119">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14"/>
        <a:srcRect/>
        <a:stretch>
          <a:fillRect/>
        </a:stretch>
      </xdr:blipFill>
      <xdr:spPr>
        <a:xfrm>
          <a:off x="4981575" y="18983325"/>
          <a:ext cx="1057275" cy="200025"/>
        </a:xfrm>
        <a:prstGeom prst="rect">
          <a:avLst/>
        </a:prstGeom>
        <a:noFill/>
        <a:ln w="9525">
          <a:noFill/>
          <a:miter lim="800000"/>
          <a:headEnd/>
          <a:tailEnd/>
        </a:ln>
      </xdr:spPr>
    </xdr:pic>
    <xdr:clientData/>
  </xdr:twoCellAnchor>
  <xdr:twoCellAnchor>
    <xdr:from>
      <xdr:col>7</xdr:col>
      <xdr:colOff>0</xdr:colOff>
      <xdr:row>96</xdr:row>
      <xdr:rowOff>0</xdr:rowOff>
    </xdr:from>
    <xdr:to>
      <xdr:col>7</xdr:col>
      <xdr:colOff>1057275</xdr:colOff>
      <xdr:row>96</xdr:row>
      <xdr:rowOff>161925</xdr:rowOff>
    </xdr:to>
    <xdr:pic>
      <xdr:nvPicPr>
        <xdr:cNvPr id="74" name="Picture 118">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19183350"/>
          <a:ext cx="1057275" cy="161925"/>
        </a:xfrm>
        <a:prstGeom prst="rect">
          <a:avLst/>
        </a:prstGeom>
        <a:noFill/>
        <a:ln w="9525">
          <a:noFill/>
          <a:miter lim="800000"/>
          <a:headEnd/>
          <a:tailEnd/>
        </a:ln>
      </xdr:spPr>
    </xdr:pic>
    <xdr:clientData/>
  </xdr:twoCellAnchor>
  <xdr:twoCellAnchor>
    <xdr:from>
      <xdr:col>7</xdr:col>
      <xdr:colOff>0</xdr:colOff>
      <xdr:row>97</xdr:row>
      <xdr:rowOff>0</xdr:rowOff>
    </xdr:from>
    <xdr:to>
      <xdr:col>7</xdr:col>
      <xdr:colOff>1066800</xdr:colOff>
      <xdr:row>98</xdr:row>
      <xdr:rowOff>38100</xdr:rowOff>
    </xdr:to>
    <xdr:pic>
      <xdr:nvPicPr>
        <xdr:cNvPr id="75" name="Picture 126">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9383375"/>
          <a:ext cx="1066800" cy="238125"/>
        </a:xfrm>
        <a:prstGeom prst="rect">
          <a:avLst/>
        </a:prstGeom>
        <a:noFill/>
        <a:ln w="9525">
          <a:noFill/>
          <a:miter lim="800000"/>
          <a:headEnd/>
          <a:tailEnd/>
        </a:ln>
      </xdr:spPr>
    </xdr:pic>
    <xdr:clientData/>
  </xdr:twoCellAnchor>
  <xdr:twoCellAnchor>
    <xdr:from>
      <xdr:col>7</xdr:col>
      <xdr:colOff>0</xdr:colOff>
      <xdr:row>98</xdr:row>
      <xdr:rowOff>0</xdr:rowOff>
    </xdr:from>
    <xdr:to>
      <xdr:col>7</xdr:col>
      <xdr:colOff>1047750</xdr:colOff>
      <xdr:row>99</xdr:row>
      <xdr:rowOff>19050</xdr:rowOff>
    </xdr:to>
    <xdr:pic>
      <xdr:nvPicPr>
        <xdr:cNvPr id="76" name="Picture 125">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19583400"/>
          <a:ext cx="1047750" cy="219075"/>
        </a:xfrm>
        <a:prstGeom prst="rect">
          <a:avLst/>
        </a:prstGeom>
        <a:noFill/>
        <a:ln w="9525">
          <a:noFill/>
          <a:miter lim="800000"/>
          <a:headEnd/>
          <a:tailEnd/>
        </a:ln>
      </xdr:spPr>
    </xdr:pic>
    <xdr:clientData/>
  </xdr:twoCellAnchor>
  <xdr:twoCellAnchor>
    <xdr:from>
      <xdr:col>7</xdr:col>
      <xdr:colOff>0</xdr:colOff>
      <xdr:row>99</xdr:row>
      <xdr:rowOff>0</xdr:rowOff>
    </xdr:from>
    <xdr:to>
      <xdr:col>7</xdr:col>
      <xdr:colOff>1066800</xdr:colOff>
      <xdr:row>100</xdr:row>
      <xdr:rowOff>38100</xdr:rowOff>
    </xdr:to>
    <xdr:pic>
      <xdr:nvPicPr>
        <xdr:cNvPr id="77" name="Picture 124">
          <a:extLst>
            <a:ext uri="{FF2B5EF4-FFF2-40B4-BE49-F238E27FC236}">
              <a16:creationId xmlns:a16="http://schemas.microsoft.com/office/drawing/2014/main" id="{00000000-0008-0000-0400-00004D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9783425"/>
          <a:ext cx="1066800" cy="238125"/>
        </a:xfrm>
        <a:prstGeom prst="rect">
          <a:avLst/>
        </a:prstGeom>
        <a:noFill/>
        <a:ln w="9525">
          <a:noFill/>
          <a:miter lim="800000"/>
          <a:headEnd/>
          <a:tailEnd/>
        </a:ln>
      </xdr:spPr>
    </xdr:pic>
    <xdr:clientData/>
  </xdr:twoCellAnchor>
  <xdr:twoCellAnchor>
    <xdr:from>
      <xdr:col>7</xdr:col>
      <xdr:colOff>0</xdr:colOff>
      <xdr:row>100</xdr:row>
      <xdr:rowOff>0</xdr:rowOff>
    </xdr:from>
    <xdr:to>
      <xdr:col>7</xdr:col>
      <xdr:colOff>1047750</xdr:colOff>
      <xdr:row>101</xdr:row>
      <xdr:rowOff>19050</xdr:rowOff>
    </xdr:to>
    <xdr:pic>
      <xdr:nvPicPr>
        <xdr:cNvPr id="78" name="Picture 123">
          <a:extLst>
            <a:ext uri="{FF2B5EF4-FFF2-40B4-BE49-F238E27FC236}">
              <a16:creationId xmlns:a16="http://schemas.microsoft.com/office/drawing/2014/main" id="{00000000-0008-0000-0400-00004E000000}"/>
            </a:ext>
          </a:extLst>
        </xdr:cNvPr>
        <xdr:cNvPicPr>
          <a:picLocks noChangeAspect="1" noChangeArrowheads="1"/>
        </xdr:cNvPicPr>
      </xdr:nvPicPr>
      <xdr:blipFill>
        <a:blip xmlns:r="http://schemas.openxmlformats.org/officeDocument/2006/relationships" r:embed="rId5"/>
        <a:srcRect/>
        <a:stretch>
          <a:fillRect/>
        </a:stretch>
      </xdr:blipFill>
      <xdr:spPr>
        <a:xfrm>
          <a:off x="4981575" y="19983450"/>
          <a:ext cx="1047750" cy="219075"/>
        </a:xfrm>
        <a:prstGeom prst="rect">
          <a:avLst/>
        </a:prstGeom>
        <a:noFill/>
        <a:ln w="9525">
          <a:noFill/>
          <a:miter lim="800000"/>
          <a:headEnd/>
          <a:tailEnd/>
        </a:ln>
      </xdr:spPr>
    </xdr:pic>
    <xdr:clientData/>
  </xdr:twoCellAnchor>
  <xdr:twoCellAnchor>
    <xdr:from>
      <xdr:col>7</xdr:col>
      <xdr:colOff>0</xdr:colOff>
      <xdr:row>101</xdr:row>
      <xdr:rowOff>0</xdr:rowOff>
    </xdr:from>
    <xdr:to>
      <xdr:col>7</xdr:col>
      <xdr:colOff>857250</xdr:colOff>
      <xdr:row>102</xdr:row>
      <xdr:rowOff>9525</xdr:rowOff>
    </xdr:to>
    <xdr:pic>
      <xdr:nvPicPr>
        <xdr:cNvPr id="79" name="Picture 131">
          <a:extLst>
            <a:ext uri="{FF2B5EF4-FFF2-40B4-BE49-F238E27FC236}">
              <a16:creationId xmlns:a16="http://schemas.microsoft.com/office/drawing/2014/main" id="{00000000-0008-0000-0400-00004F000000}"/>
            </a:ext>
          </a:extLst>
        </xdr:cNvPr>
        <xdr:cNvPicPr>
          <a:picLocks noChangeAspect="1" noChangeArrowheads="1"/>
        </xdr:cNvPicPr>
      </xdr:nvPicPr>
      <xdr:blipFill>
        <a:blip xmlns:r="http://schemas.openxmlformats.org/officeDocument/2006/relationships" r:embed="rId11"/>
        <a:srcRect/>
        <a:stretch>
          <a:fillRect/>
        </a:stretch>
      </xdr:blipFill>
      <xdr:spPr>
        <a:xfrm>
          <a:off x="4981575" y="20183475"/>
          <a:ext cx="857250" cy="209550"/>
        </a:xfrm>
        <a:prstGeom prst="rect">
          <a:avLst/>
        </a:prstGeom>
        <a:noFill/>
        <a:ln w="9525">
          <a:noFill/>
          <a:miter lim="800000"/>
          <a:headEnd/>
          <a:tailEnd/>
        </a:ln>
      </xdr:spPr>
    </xdr:pic>
    <xdr:clientData/>
  </xdr:twoCellAnchor>
  <xdr:twoCellAnchor>
    <xdr:from>
      <xdr:col>7</xdr:col>
      <xdr:colOff>0</xdr:colOff>
      <xdr:row>102</xdr:row>
      <xdr:rowOff>0</xdr:rowOff>
    </xdr:from>
    <xdr:to>
      <xdr:col>7</xdr:col>
      <xdr:colOff>857250</xdr:colOff>
      <xdr:row>103</xdr:row>
      <xdr:rowOff>19050</xdr:rowOff>
    </xdr:to>
    <xdr:pic>
      <xdr:nvPicPr>
        <xdr:cNvPr id="80" name="Picture 130">
          <a:extLst>
            <a:ext uri="{FF2B5EF4-FFF2-40B4-BE49-F238E27FC236}">
              <a16:creationId xmlns:a16="http://schemas.microsoft.com/office/drawing/2014/main" id="{00000000-0008-0000-0400-000050000000}"/>
            </a:ext>
          </a:extLst>
        </xdr:cNvPr>
        <xdr:cNvPicPr>
          <a:picLocks noChangeAspect="1" noChangeArrowheads="1"/>
        </xdr:cNvPicPr>
      </xdr:nvPicPr>
      <xdr:blipFill>
        <a:blip xmlns:r="http://schemas.openxmlformats.org/officeDocument/2006/relationships" r:embed="rId12"/>
        <a:srcRect/>
        <a:stretch>
          <a:fillRect/>
        </a:stretch>
      </xdr:blipFill>
      <xdr:spPr>
        <a:xfrm>
          <a:off x="4981575" y="20383500"/>
          <a:ext cx="857250" cy="219075"/>
        </a:xfrm>
        <a:prstGeom prst="rect">
          <a:avLst/>
        </a:prstGeom>
        <a:noFill/>
        <a:ln w="9525">
          <a:noFill/>
          <a:miter lim="800000"/>
          <a:headEnd/>
          <a:tailEnd/>
        </a:ln>
      </xdr:spPr>
    </xdr:pic>
    <xdr:clientData/>
  </xdr:twoCellAnchor>
  <xdr:twoCellAnchor>
    <xdr:from>
      <xdr:col>7</xdr:col>
      <xdr:colOff>0</xdr:colOff>
      <xdr:row>103</xdr:row>
      <xdr:rowOff>0</xdr:rowOff>
    </xdr:from>
    <xdr:to>
      <xdr:col>7</xdr:col>
      <xdr:colOff>1057275</xdr:colOff>
      <xdr:row>104</xdr:row>
      <xdr:rowOff>28575</xdr:rowOff>
    </xdr:to>
    <xdr:pic>
      <xdr:nvPicPr>
        <xdr:cNvPr id="81" name="Picture 129">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20583525"/>
          <a:ext cx="1057275" cy="228600"/>
        </a:xfrm>
        <a:prstGeom prst="rect">
          <a:avLst/>
        </a:prstGeom>
        <a:noFill/>
        <a:ln w="9525">
          <a:noFill/>
          <a:miter lim="800000"/>
          <a:headEnd/>
          <a:tailEnd/>
        </a:ln>
      </xdr:spPr>
    </xdr:pic>
    <xdr:clientData/>
  </xdr:twoCellAnchor>
  <xdr:twoCellAnchor>
    <xdr:from>
      <xdr:col>7</xdr:col>
      <xdr:colOff>0</xdr:colOff>
      <xdr:row>104</xdr:row>
      <xdr:rowOff>0</xdr:rowOff>
    </xdr:from>
    <xdr:to>
      <xdr:col>7</xdr:col>
      <xdr:colOff>1057275</xdr:colOff>
      <xdr:row>105</xdr:row>
      <xdr:rowOff>19050</xdr:rowOff>
    </xdr:to>
    <xdr:pic>
      <xdr:nvPicPr>
        <xdr:cNvPr id="82" name="Picture 128">
          <a:extLst>
            <a:ext uri="{FF2B5EF4-FFF2-40B4-BE49-F238E27FC236}">
              <a16:creationId xmlns:a16="http://schemas.microsoft.com/office/drawing/2014/main" id="{00000000-0008-0000-0400-000052000000}"/>
            </a:ext>
          </a:extLst>
        </xdr:cNvPr>
        <xdr:cNvPicPr>
          <a:picLocks noChangeAspect="1" noChangeArrowheads="1"/>
        </xdr:cNvPicPr>
      </xdr:nvPicPr>
      <xdr:blipFill>
        <a:blip xmlns:r="http://schemas.openxmlformats.org/officeDocument/2006/relationships" r:embed="rId14"/>
        <a:srcRect/>
        <a:stretch>
          <a:fillRect/>
        </a:stretch>
      </xdr:blipFill>
      <xdr:spPr>
        <a:xfrm>
          <a:off x="4981575" y="20783550"/>
          <a:ext cx="1057275" cy="219075"/>
        </a:xfrm>
        <a:prstGeom prst="rect">
          <a:avLst/>
        </a:prstGeom>
        <a:noFill/>
        <a:ln w="9525">
          <a:noFill/>
          <a:miter lim="800000"/>
          <a:headEnd/>
          <a:tailEnd/>
        </a:ln>
      </xdr:spPr>
    </xdr:pic>
    <xdr:clientData/>
  </xdr:twoCellAnchor>
  <xdr:twoCellAnchor>
    <xdr:from>
      <xdr:col>7</xdr:col>
      <xdr:colOff>0</xdr:colOff>
      <xdr:row>105</xdr:row>
      <xdr:rowOff>0</xdr:rowOff>
    </xdr:from>
    <xdr:to>
      <xdr:col>7</xdr:col>
      <xdr:colOff>1057275</xdr:colOff>
      <xdr:row>105</xdr:row>
      <xdr:rowOff>171450</xdr:rowOff>
    </xdr:to>
    <xdr:pic>
      <xdr:nvPicPr>
        <xdr:cNvPr id="83" name="Picture 127">
          <a:extLst>
            <a:ext uri="{FF2B5EF4-FFF2-40B4-BE49-F238E27FC236}">
              <a16:creationId xmlns:a16="http://schemas.microsoft.com/office/drawing/2014/main" id="{00000000-0008-0000-0400-000053000000}"/>
            </a:ext>
          </a:extLst>
        </xdr:cNvPr>
        <xdr:cNvPicPr>
          <a:picLocks noChangeAspect="1" noChangeArrowheads="1"/>
        </xdr:cNvPicPr>
      </xdr:nvPicPr>
      <xdr:blipFill>
        <a:blip xmlns:r="http://schemas.openxmlformats.org/officeDocument/2006/relationships" r:embed="rId13"/>
        <a:srcRect/>
        <a:stretch>
          <a:fillRect/>
        </a:stretch>
      </xdr:blipFill>
      <xdr:spPr>
        <a:xfrm>
          <a:off x="4981575" y="20983575"/>
          <a:ext cx="1057275" cy="171450"/>
        </a:xfrm>
        <a:prstGeom prst="rect">
          <a:avLst/>
        </a:prstGeom>
        <a:noFill/>
        <a:ln w="9525">
          <a:noFill/>
          <a:miter lim="800000"/>
          <a:headEnd/>
          <a:tailEnd/>
        </a:ln>
      </xdr:spPr>
    </xdr:pic>
    <xdr:clientData/>
  </xdr:twoCellAnchor>
  <xdr:twoCellAnchor>
    <xdr:from>
      <xdr:col>7</xdr:col>
      <xdr:colOff>0</xdr:colOff>
      <xdr:row>106</xdr:row>
      <xdr:rowOff>0</xdr:rowOff>
    </xdr:from>
    <xdr:to>
      <xdr:col>7</xdr:col>
      <xdr:colOff>1066800</xdr:colOff>
      <xdr:row>107</xdr:row>
      <xdr:rowOff>9525</xdr:rowOff>
    </xdr:to>
    <xdr:pic>
      <xdr:nvPicPr>
        <xdr:cNvPr id="84" name="Picture 133">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1183600"/>
          <a:ext cx="1066800" cy="209550"/>
        </a:xfrm>
        <a:prstGeom prst="rect">
          <a:avLst/>
        </a:prstGeom>
        <a:noFill/>
        <a:ln w="9525">
          <a:noFill/>
          <a:miter lim="800000"/>
          <a:headEnd/>
          <a:tailEnd/>
        </a:ln>
      </xdr:spPr>
    </xdr:pic>
    <xdr:clientData/>
  </xdr:twoCellAnchor>
  <xdr:twoCellAnchor>
    <xdr:from>
      <xdr:col>7</xdr:col>
      <xdr:colOff>0</xdr:colOff>
      <xdr:row>107</xdr:row>
      <xdr:rowOff>0</xdr:rowOff>
    </xdr:from>
    <xdr:to>
      <xdr:col>7</xdr:col>
      <xdr:colOff>1162050</xdr:colOff>
      <xdr:row>107</xdr:row>
      <xdr:rowOff>180975</xdr:rowOff>
    </xdr:to>
    <xdr:pic>
      <xdr:nvPicPr>
        <xdr:cNvPr id="85" name="Picture 132">
          <a:extLst>
            <a:ext uri="{FF2B5EF4-FFF2-40B4-BE49-F238E27FC236}">
              <a16:creationId xmlns:a16="http://schemas.microsoft.com/office/drawing/2014/main" id="{00000000-0008-0000-0400-000055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1383625"/>
          <a:ext cx="1162050" cy="180975"/>
        </a:xfrm>
        <a:prstGeom prst="rect">
          <a:avLst/>
        </a:prstGeom>
        <a:noFill/>
        <a:ln w="9525">
          <a:noFill/>
          <a:miter lim="800000"/>
          <a:headEnd/>
          <a:tailEnd/>
        </a:ln>
      </xdr:spPr>
    </xdr:pic>
    <xdr:clientData/>
  </xdr:twoCellAnchor>
  <xdr:twoCellAnchor>
    <xdr:from>
      <xdr:col>7</xdr:col>
      <xdr:colOff>0</xdr:colOff>
      <xdr:row>108</xdr:row>
      <xdr:rowOff>0</xdr:rowOff>
    </xdr:from>
    <xdr:to>
      <xdr:col>7</xdr:col>
      <xdr:colOff>1066800</xdr:colOff>
      <xdr:row>109</xdr:row>
      <xdr:rowOff>28575</xdr:rowOff>
    </xdr:to>
    <xdr:pic>
      <xdr:nvPicPr>
        <xdr:cNvPr id="86" name="Picture 135">
          <a:extLst>
            <a:ext uri="{FF2B5EF4-FFF2-40B4-BE49-F238E27FC236}">
              <a16:creationId xmlns:a16="http://schemas.microsoft.com/office/drawing/2014/main" id="{00000000-0008-0000-0400-000056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1583650"/>
          <a:ext cx="1066800" cy="228600"/>
        </a:xfrm>
        <a:prstGeom prst="rect">
          <a:avLst/>
        </a:prstGeom>
        <a:noFill/>
        <a:ln w="9525">
          <a:noFill/>
          <a:miter lim="800000"/>
          <a:headEnd/>
          <a:tailEnd/>
        </a:ln>
      </xdr:spPr>
    </xdr:pic>
    <xdr:clientData/>
  </xdr:twoCellAnchor>
  <xdr:twoCellAnchor>
    <xdr:from>
      <xdr:col>7</xdr:col>
      <xdr:colOff>0</xdr:colOff>
      <xdr:row>109</xdr:row>
      <xdr:rowOff>0</xdr:rowOff>
    </xdr:from>
    <xdr:to>
      <xdr:col>7</xdr:col>
      <xdr:colOff>1162050</xdr:colOff>
      <xdr:row>110</xdr:row>
      <xdr:rowOff>0</xdr:rowOff>
    </xdr:to>
    <xdr:pic>
      <xdr:nvPicPr>
        <xdr:cNvPr id="87" name="Picture 134">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1783675"/>
          <a:ext cx="1162050" cy="200025"/>
        </a:xfrm>
        <a:prstGeom prst="rect">
          <a:avLst/>
        </a:prstGeom>
        <a:noFill/>
        <a:ln w="9525">
          <a:noFill/>
          <a:miter lim="800000"/>
          <a:headEnd/>
          <a:tailEnd/>
        </a:ln>
      </xdr:spPr>
    </xdr:pic>
    <xdr:clientData/>
  </xdr:twoCellAnchor>
  <xdr:twoCellAnchor>
    <xdr:from>
      <xdr:col>7</xdr:col>
      <xdr:colOff>0</xdr:colOff>
      <xdr:row>110</xdr:row>
      <xdr:rowOff>0</xdr:rowOff>
    </xdr:from>
    <xdr:to>
      <xdr:col>7</xdr:col>
      <xdr:colOff>1066800</xdr:colOff>
      <xdr:row>111</xdr:row>
      <xdr:rowOff>28575</xdr:rowOff>
    </xdr:to>
    <xdr:pic>
      <xdr:nvPicPr>
        <xdr:cNvPr id="88" name="Picture 137">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1983700"/>
          <a:ext cx="1066800" cy="228600"/>
        </a:xfrm>
        <a:prstGeom prst="rect">
          <a:avLst/>
        </a:prstGeom>
        <a:noFill/>
        <a:ln w="9525">
          <a:noFill/>
          <a:miter lim="800000"/>
          <a:headEnd/>
          <a:tailEnd/>
        </a:ln>
      </xdr:spPr>
    </xdr:pic>
    <xdr:clientData/>
  </xdr:twoCellAnchor>
  <xdr:twoCellAnchor>
    <xdr:from>
      <xdr:col>7</xdr:col>
      <xdr:colOff>0</xdr:colOff>
      <xdr:row>111</xdr:row>
      <xdr:rowOff>0</xdr:rowOff>
    </xdr:from>
    <xdr:to>
      <xdr:col>7</xdr:col>
      <xdr:colOff>1162050</xdr:colOff>
      <xdr:row>112</xdr:row>
      <xdr:rowOff>0</xdr:rowOff>
    </xdr:to>
    <xdr:pic>
      <xdr:nvPicPr>
        <xdr:cNvPr id="89" name="Picture 136">
          <a:extLst>
            <a:ext uri="{FF2B5EF4-FFF2-40B4-BE49-F238E27FC236}">
              <a16:creationId xmlns:a16="http://schemas.microsoft.com/office/drawing/2014/main" id="{00000000-0008-0000-0400-000059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2183725"/>
          <a:ext cx="1162050" cy="200025"/>
        </a:xfrm>
        <a:prstGeom prst="rect">
          <a:avLst/>
        </a:prstGeom>
        <a:noFill/>
        <a:ln w="9525">
          <a:noFill/>
          <a:miter lim="800000"/>
          <a:headEnd/>
          <a:tailEnd/>
        </a:ln>
      </xdr:spPr>
    </xdr:pic>
    <xdr:clientData/>
  </xdr:twoCellAnchor>
  <xdr:twoCellAnchor>
    <xdr:from>
      <xdr:col>7</xdr:col>
      <xdr:colOff>0</xdr:colOff>
      <xdr:row>112</xdr:row>
      <xdr:rowOff>0</xdr:rowOff>
    </xdr:from>
    <xdr:to>
      <xdr:col>7</xdr:col>
      <xdr:colOff>1066800</xdr:colOff>
      <xdr:row>113</xdr:row>
      <xdr:rowOff>9525</xdr:rowOff>
    </xdr:to>
    <xdr:pic>
      <xdr:nvPicPr>
        <xdr:cNvPr id="90" name="Picture 139">
          <a:extLst>
            <a:ext uri="{FF2B5EF4-FFF2-40B4-BE49-F238E27FC236}">
              <a16:creationId xmlns:a16="http://schemas.microsoft.com/office/drawing/2014/main" id="{00000000-0008-0000-0400-00005A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2383750"/>
          <a:ext cx="1066800" cy="209550"/>
        </a:xfrm>
        <a:prstGeom prst="rect">
          <a:avLst/>
        </a:prstGeom>
        <a:noFill/>
        <a:ln w="9525">
          <a:noFill/>
          <a:miter lim="800000"/>
          <a:headEnd/>
          <a:tailEnd/>
        </a:ln>
      </xdr:spPr>
    </xdr:pic>
    <xdr:clientData/>
  </xdr:twoCellAnchor>
  <xdr:twoCellAnchor>
    <xdr:from>
      <xdr:col>7</xdr:col>
      <xdr:colOff>0</xdr:colOff>
      <xdr:row>113</xdr:row>
      <xdr:rowOff>0</xdr:rowOff>
    </xdr:from>
    <xdr:to>
      <xdr:col>7</xdr:col>
      <xdr:colOff>1162050</xdr:colOff>
      <xdr:row>113</xdr:row>
      <xdr:rowOff>180975</xdr:rowOff>
    </xdr:to>
    <xdr:pic>
      <xdr:nvPicPr>
        <xdr:cNvPr id="91" name="Picture 138">
          <a:extLst>
            <a:ext uri="{FF2B5EF4-FFF2-40B4-BE49-F238E27FC236}">
              <a16:creationId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2583775"/>
          <a:ext cx="1162050" cy="180975"/>
        </a:xfrm>
        <a:prstGeom prst="rect">
          <a:avLst/>
        </a:prstGeom>
        <a:noFill/>
        <a:ln w="9525">
          <a:noFill/>
          <a:miter lim="800000"/>
          <a:headEnd/>
          <a:tailEnd/>
        </a:ln>
      </xdr:spPr>
    </xdr:pic>
    <xdr:clientData/>
  </xdr:twoCellAnchor>
  <xdr:twoCellAnchor>
    <xdr:from>
      <xdr:col>7</xdr:col>
      <xdr:colOff>0</xdr:colOff>
      <xdr:row>114</xdr:row>
      <xdr:rowOff>0</xdr:rowOff>
    </xdr:from>
    <xdr:to>
      <xdr:col>7</xdr:col>
      <xdr:colOff>1066800</xdr:colOff>
      <xdr:row>115</xdr:row>
      <xdr:rowOff>9525</xdr:rowOff>
    </xdr:to>
    <xdr:pic>
      <xdr:nvPicPr>
        <xdr:cNvPr id="92" name="Picture 141">
          <a:extLst>
            <a:ext uri="{FF2B5EF4-FFF2-40B4-BE49-F238E27FC236}">
              <a16:creationId xmlns:a16="http://schemas.microsoft.com/office/drawing/2014/main" id="{00000000-0008-0000-0400-00005C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2783800"/>
          <a:ext cx="1066800" cy="209550"/>
        </a:xfrm>
        <a:prstGeom prst="rect">
          <a:avLst/>
        </a:prstGeom>
        <a:noFill/>
        <a:ln w="9525">
          <a:noFill/>
          <a:miter lim="800000"/>
          <a:headEnd/>
          <a:tailEnd/>
        </a:ln>
      </xdr:spPr>
    </xdr:pic>
    <xdr:clientData/>
  </xdr:twoCellAnchor>
  <xdr:twoCellAnchor>
    <xdr:from>
      <xdr:col>7</xdr:col>
      <xdr:colOff>0</xdr:colOff>
      <xdr:row>115</xdr:row>
      <xdr:rowOff>0</xdr:rowOff>
    </xdr:from>
    <xdr:to>
      <xdr:col>7</xdr:col>
      <xdr:colOff>1162050</xdr:colOff>
      <xdr:row>115</xdr:row>
      <xdr:rowOff>180975</xdr:rowOff>
    </xdr:to>
    <xdr:pic>
      <xdr:nvPicPr>
        <xdr:cNvPr id="93" name="Picture 140">
          <a:extLst>
            <a:ext uri="{FF2B5EF4-FFF2-40B4-BE49-F238E27FC236}">
              <a16:creationId xmlns:a16="http://schemas.microsoft.com/office/drawing/2014/main" id="{00000000-0008-0000-0400-00005D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2983825"/>
          <a:ext cx="1162050" cy="180975"/>
        </a:xfrm>
        <a:prstGeom prst="rect">
          <a:avLst/>
        </a:prstGeom>
        <a:noFill/>
        <a:ln w="9525">
          <a:noFill/>
          <a:miter lim="800000"/>
          <a:headEnd/>
          <a:tailEnd/>
        </a:ln>
      </xdr:spPr>
    </xdr:pic>
    <xdr:clientData/>
  </xdr:twoCellAnchor>
  <xdr:twoCellAnchor>
    <xdr:from>
      <xdr:col>7</xdr:col>
      <xdr:colOff>0</xdr:colOff>
      <xdr:row>116</xdr:row>
      <xdr:rowOff>0</xdr:rowOff>
    </xdr:from>
    <xdr:to>
      <xdr:col>7</xdr:col>
      <xdr:colOff>1066800</xdr:colOff>
      <xdr:row>117</xdr:row>
      <xdr:rowOff>28575</xdr:rowOff>
    </xdr:to>
    <xdr:pic>
      <xdr:nvPicPr>
        <xdr:cNvPr id="94" name="Picture 143">
          <a:extLst>
            <a:ext uri="{FF2B5EF4-FFF2-40B4-BE49-F238E27FC236}">
              <a16:creationId xmlns:a16="http://schemas.microsoft.com/office/drawing/2014/main" id="{00000000-0008-0000-0400-00005E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3183850"/>
          <a:ext cx="1066800" cy="228600"/>
        </a:xfrm>
        <a:prstGeom prst="rect">
          <a:avLst/>
        </a:prstGeom>
        <a:noFill/>
        <a:ln w="9525">
          <a:noFill/>
          <a:miter lim="800000"/>
          <a:headEnd/>
          <a:tailEnd/>
        </a:ln>
      </xdr:spPr>
    </xdr:pic>
    <xdr:clientData/>
  </xdr:twoCellAnchor>
  <xdr:twoCellAnchor>
    <xdr:from>
      <xdr:col>7</xdr:col>
      <xdr:colOff>0</xdr:colOff>
      <xdr:row>117</xdr:row>
      <xdr:rowOff>0</xdr:rowOff>
    </xdr:from>
    <xdr:to>
      <xdr:col>7</xdr:col>
      <xdr:colOff>1162050</xdr:colOff>
      <xdr:row>118</xdr:row>
      <xdr:rowOff>0</xdr:rowOff>
    </xdr:to>
    <xdr:pic>
      <xdr:nvPicPr>
        <xdr:cNvPr id="95" name="Picture 142">
          <a:extLst>
            <a:ext uri="{FF2B5EF4-FFF2-40B4-BE49-F238E27FC236}">
              <a16:creationId xmlns:a16="http://schemas.microsoft.com/office/drawing/2014/main" id="{00000000-0008-0000-0400-00005F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3383875"/>
          <a:ext cx="1162050" cy="200025"/>
        </a:xfrm>
        <a:prstGeom prst="rect">
          <a:avLst/>
        </a:prstGeom>
        <a:noFill/>
        <a:ln w="9525">
          <a:noFill/>
          <a:miter lim="800000"/>
          <a:headEnd/>
          <a:tailEnd/>
        </a:ln>
      </xdr:spPr>
    </xdr:pic>
    <xdr:clientData/>
  </xdr:twoCellAnchor>
  <xdr:twoCellAnchor>
    <xdr:from>
      <xdr:col>7</xdr:col>
      <xdr:colOff>9525</xdr:colOff>
      <xdr:row>118</xdr:row>
      <xdr:rowOff>9525</xdr:rowOff>
    </xdr:from>
    <xdr:to>
      <xdr:col>7</xdr:col>
      <xdr:colOff>1019175</xdr:colOff>
      <xdr:row>118</xdr:row>
      <xdr:rowOff>171450</xdr:rowOff>
    </xdr:to>
    <xdr:pic>
      <xdr:nvPicPr>
        <xdr:cNvPr id="96" name="Picture 144">
          <a:extLst>
            <a:ext uri="{FF2B5EF4-FFF2-40B4-BE49-F238E27FC236}">
              <a16:creationId xmlns:a16="http://schemas.microsoft.com/office/drawing/2014/main" id="{00000000-0008-0000-0400-000060000000}"/>
            </a:ext>
          </a:extLst>
        </xdr:cNvPr>
        <xdr:cNvPicPr>
          <a:picLocks noChangeAspect="1" noChangeArrowheads="1"/>
        </xdr:cNvPicPr>
      </xdr:nvPicPr>
      <xdr:blipFill>
        <a:blip xmlns:r="http://schemas.openxmlformats.org/officeDocument/2006/relationships" r:embed="rId18"/>
        <a:srcRect/>
        <a:stretch>
          <a:fillRect/>
        </a:stretch>
      </xdr:blipFill>
      <xdr:spPr>
        <a:xfrm>
          <a:off x="4991100" y="23593425"/>
          <a:ext cx="1009650" cy="161925"/>
        </a:xfrm>
        <a:prstGeom prst="rect">
          <a:avLst/>
        </a:prstGeom>
        <a:noFill/>
        <a:ln w="9525">
          <a:noFill/>
          <a:miter lim="800000"/>
          <a:headEnd/>
          <a:tailEnd/>
        </a:ln>
      </xdr:spPr>
    </xdr:pic>
    <xdr:clientData/>
  </xdr:twoCellAnchor>
  <xdr:twoCellAnchor>
    <xdr:from>
      <xdr:col>7</xdr:col>
      <xdr:colOff>0</xdr:colOff>
      <xdr:row>119</xdr:row>
      <xdr:rowOff>0</xdr:rowOff>
    </xdr:from>
    <xdr:to>
      <xdr:col>7</xdr:col>
      <xdr:colOff>1076325</xdr:colOff>
      <xdr:row>120</xdr:row>
      <xdr:rowOff>38100</xdr:rowOff>
    </xdr:to>
    <xdr:pic>
      <xdr:nvPicPr>
        <xdr:cNvPr id="97" name="Picture 146">
          <a:extLst>
            <a:ext uri="{FF2B5EF4-FFF2-40B4-BE49-F238E27FC236}">
              <a16:creationId xmlns:a16="http://schemas.microsoft.com/office/drawing/2014/main" id="{00000000-0008-0000-0400-000061000000}"/>
            </a:ext>
          </a:extLst>
        </xdr:cNvPr>
        <xdr:cNvPicPr>
          <a:picLocks noChangeAspect="1" noChangeArrowheads="1"/>
        </xdr:cNvPicPr>
      </xdr:nvPicPr>
      <xdr:blipFill>
        <a:blip xmlns:r="http://schemas.openxmlformats.org/officeDocument/2006/relationships" r:embed="rId19"/>
        <a:srcRect/>
        <a:stretch>
          <a:fillRect/>
        </a:stretch>
      </xdr:blipFill>
      <xdr:spPr>
        <a:xfrm>
          <a:off x="4981575" y="23783925"/>
          <a:ext cx="1076325" cy="238125"/>
        </a:xfrm>
        <a:prstGeom prst="rect">
          <a:avLst/>
        </a:prstGeom>
        <a:noFill/>
        <a:ln w="9525">
          <a:noFill/>
          <a:miter lim="800000"/>
          <a:headEnd/>
          <a:tailEnd/>
        </a:ln>
      </xdr:spPr>
    </xdr:pic>
    <xdr:clientData/>
  </xdr:twoCellAnchor>
  <xdr:twoCellAnchor>
    <xdr:from>
      <xdr:col>7</xdr:col>
      <xdr:colOff>0</xdr:colOff>
      <xdr:row>120</xdr:row>
      <xdr:rowOff>0</xdr:rowOff>
    </xdr:from>
    <xdr:to>
      <xdr:col>7</xdr:col>
      <xdr:colOff>1200150</xdr:colOff>
      <xdr:row>120</xdr:row>
      <xdr:rowOff>171450</xdr:rowOff>
    </xdr:to>
    <xdr:pic>
      <xdr:nvPicPr>
        <xdr:cNvPr id="98" name="Picture 145">
          <a:extLst>
            <a:ext uri="{FF2B5EF4-FFF2-40B4-BE49-F238E27FC236}">
              <a16:creationId xmlns:a16="http://schemas.microsoft.com/office/drawing/2014/main" id="{00000000-0008-0000-0400-000062000000}"/>
            </a:ext>
          </a:extLst>
        </xdr:cNvPr>
        <xdr:cNvPicPr>
          <a:picLocks noChangeAspect="1" noChangeArrowheads="1"/>
        </xdr:cNvPicPr>
      </xdr:nvPicPr>
      <xdr:blipFill>
        <a:blip xmlns:r="http://schemas.openxmlformats.org/officeDocument/2006/relationships" r:embed="rId20"/>
        <a:srcRect/>
        <a:stretch>
          <a:fillRect/>
        </a:stretch>
      </xdr:blipFill>
      <xdr:spPr>
        <a:xfrm>
          <a:off x="4981575" y="23983950"/>
          <a:ext cx="1200150" cy="171450"/>
        </a:xfrm>
        <a:prstGeom prst="rect">
          <a:avLst/>
        </a:prstGeom>
        <a:noFill/>
        <a:ln w="9525">
          <a:noFill/>
          <a:miter lim="800000"/>
          <a:headEnd/>
          <a:tailEnd/>
        </a:ln>
      </xdr:spPr>
    </xdr:pic>
    <xdr:clientData/>
  </xdr:twoCellAnchor>
  <xdr:twoCellAnchor>
    <xdr:from>
      <xdr:col>7</xdr:col>
      <xdr:colOff>0</xdr:colOff>
      <xdr:row>121</xdr:row>
      <xdr:rowOff>0</xdr:rowOff>
    </xdr:from>
    <xdr:to>
      <xdr:col>7</xdr:col>
      <xdr:colOff>1057275</xdr:colOff>
      <xdr:row>122</xdr:row>
      <xdr:rowOff>28575</xdr:rowOff>
    </xdr:to>
    <xdr:pic>
      <xdr:nvPicPr>
        <xdr:cNvPr id="99" name="Picture 148">
          <a:extLst>
            <a:ext uri="{FF2B5EF4-FFF2-40B4-BE49-F238E27FC236}">
              <a16:creationId xmlns:a16="http://schemas.microsoft.com/office/drawing/2014/main" id="{00000000-0008-0000-0400-000063000000}"/>
            </a:ext>
          </a:extLst>
        </xdr:cNvPr>
        <xdr:cNvPicPr>
          <a:picLocks noChangeAspect="1" noChangeArrowheads="1"/>
        </xdr:cNvPicPr>
      </xdr:nvPicPr>
      <xdr:blipFill>
        <a:blip xmlns:r="http://schemas.openxmlformats.org/officeDocument/2006/relationships" r:embed="rId21"/>
        <a:srcRect/>
        <a:stretch>
          <a:fillRect/>
        </a:stretch>
      </xdr:blipFill>
      <xdr:spPr>
        <a:xfrm>
          <a:off x="4981575" y="24183975"/>
          <a:ext cx="1057275" cy="228600"/>
        </a:xfrm>
        <a:prstGeom prst="rect">
          <a:avLst/>
        </a:prstGeom>
        <a:noFill/>
        <a:ln w="9525">
          <a:noFill/>
          <a:miter lim="800000"/>
          <a:headEnd/>
          <a:tailEnd/>
        </a:ln>
      </xdr:spPr>
    </xdr:pic>
    <xdr:clientData/>
  </xdr:twoCellAnchor>
  <xdr:twoCellAnchor>
    <xdr:from>
      <xdr:col>7</xdr:col>
      <xdr:colOff>0</xdr:colOff>
      <xdr:row>122</xdr:row>
      <xdr:rowOff>0</xdr:rowOff>
    </xdr:from>
    <xdr:to>
      <xdr:col>7</xdr:col>
      <xdr:colOff>1162050</xdr:colOff>
      <xdr:row>122</xdr:row>
      <xdr:rowOff>180975</xdr:rowOff>
    </xdr:to>
    <xdr:pic>
      <xdr:nvPicPr>
        <xdr:cNvPr id="100" name="Picture 147">
          <a:extLst>
            <a:ext uri="{FF2B5EF4-FFF2-40B4-BE49-F238E27FC236}">
              <a16:creationId xmlns:a16="http://schemas.microsoft.com/office/drawing/2014/main" id="{00000000-0008-0000-0400-000064000000}"/>
            </a:ext>
          </a:extLst>
        </xdr:cNvPr>
        <xdr:cNvPicPr>
          <a:picLocks noChangeAspect="1" noChangeArrowheads="1"/>
        </xdr:cNvPicPr>
      </xdr:nvPicPr>
      <xdr:blipFill>
        <a:blip xmlns:r="http://schemas.openxmlformats.org/officeDocument/2006/relationships" r:embed="rId22"/>
        <a:srcRect/>
        <a:stretch>
          <a:fillRect/>
        </a:stretch>
      </xdr:blipFill>
      <xdr:spPr>
        <a:xfrm>
          <a:off x="4981575" y="24384000"/>
          <a:ext cx="1162050" cy="180975"/>
        </a:xfrm>
        <a:prstGeom prst="rect">
          <a:avLst/>
        </a:prstGeom>
        <a:noFill/>
        <a:ln w="9525">
          <a:noFill/>
          <a:miter lim="800000"/>
          <a:headEnd/>
          <a:tailEnd/>
        </a:ln>
      </xdr:spPr>
    </xdr:pic>
    <xdr:clientData/>
  </xdr:twoCellAnchor>
  <xdr:twoCellAnchor>
    <xdr:from>
      <xdr:col>7</xdr:col>
      <xdr:colOff>0</xdr:colOff>
      <xdr:row>123</xdr:row>
      <xdr:rowOff>0</xdr:rowOff>
    </xdr:from>
    <xdr:to>
      <xdr:col>7</xdr:col>
      <xdr:colOff>1076325</xdr:colOff>
      <xdr:row>124</xdr:row>
      <xdr:rowOff>19050</xdr:rowOff>
    </xdr:to>
    <xdr:pic>
      <xdr:nvPicPr>
        <xdr:cNvPr id="101" name="Picture 150">
          <a:extLst>
            <a:ext uri="{FF2B5EF4-FFF2-40B4-BE49-F238E27FC236}">
              <a16:creationId xmlns:a16="http://schemas.microsoft.com/office/drawing/2014/main" id="{00000000-0008-0000-0400-000065000000}"/>
            </a:ext>
          </a:extLst>
        </xdr:cNvPr>
        <xdr:cNvPicPr>
          <a:picLocks noChangeAspect="1" noChangeArrowheads="1"/>
        </xdr:cNvPicPr>
      </xdr:nvPicPr>
      <xdr:blipFill>
        <a:blip xmlns:r="http://schemas.openxmlformats.org/officeDocument/2006/relationships" r:embed="rId19"/>
        <a:srcRect/>
        <a:stretch>
          <a:fillRect/>
        </a:stretch>
      </xdr:blipFill>
      <xdr:spPr>
        <a:xfrm>
          <a:off x="4981575" y="24584025"/>
          <a:ext cx="1076325" cy="219075"/>
        </a:xfrm>
        <a:prstGeom prst="rect">
          <a:avLst/>
        </a:prstGeom>
        <a:noFill/>
        <a:ln w="9525">
          <a:noFill/>
          <a:miter lim="800000"/>
          <a:headEnd/>
          <a:tailEnd/>
        </a:ln>
      </xdr:spPr>
    </xdr:pic>
    <xdr:clientData/>
  </xdr:twoCellAnchor>
  <xdr:twoCellAnchor>
    <xdr:from>
      <xdr:col>7</xdr:col>
      <xdr:colOff>0</xdr:colOff>
      <xdr:row>124</xdr:row>
      <xdr:rowOff>0</xdr:rowOff>
    </xdr:from>
    <xdr:to>
      <xdr:col>7</xdr:col>
      <xdr:colOff>1200150</xdr:colOff>
      <xdr:row>125</xdr:row>
      <xdr:rowOff>0</xdr:rowOff>
    </xdr:to>
    <xdr:pic>
      <xdr:nvPicPr>
        <xdr:cNvPr id="102" name="Picture 149">
          <a:extLst>
            <a:ext uri="{FF2B5EF4-FFF2-40B4-BE49-F238E27FC236}">
              <a16:creationId xmlns:a16="http://schemas.microsoft.com/office/drawing/2014/main" id="{00000000-0008-0000-0400-000066000000}"/>
            </a:ext>
          </a:extLst>
        </xdr:cNvPr>
        <xdr:cNvPicPr>
          <a:picLocks noChangeAspect="1" noChangeArrowheads="1"/>
        </xdr:cNvPicPr>
      </xdr:nvPicPr>
      <xdr:blipFill>
        <a:blip xmlns:r="http://schemas.openxmlformats.org/officeDocument/2006/relationships" r:embed="rId20"/>
        <a:srcRect/>
        <a:stretch>
          <a:fillRect/>
        </a:stretch>
      </xdr:blipFill>
      <xdr:spPr>
        <a:xfrm>
          <a:off x="4981575" y="24784050"/>
          <a:ext cx="1200150" cy="200025"/>
        </a:xfrm>
        <a:prstGeom prst="rect">
          <a:avLst/>
        </a:prstGeom>
        <a:noFill/>
        <a:ln w="9525">
          <a:noFill/>
          <a:miter lim="800000"/>
          <a:headEnd/>
          <a:tailEnd/>
        </a:ln>
      </xdr:spPr>
    </xdr:pic>
    <xdr:clientData/>
  </xdr:twoCellAnchor>
  <xdr:twoCellAnchor>
    <xdr:from>
      <xdr:col>7</xdr:col>
      <xdr:colOff>0</xdr:colOff>
      <xdr:row>125</xdr:row>
      <xdr:rowOff>0</xdr:rowOff>
    </xdr:from>
    <xdr:to>
      <xdr:col>7</xdr:col>
      <xdr:colOff>1057275</xdr:colOff>
      <xdr:row>126</xdr:row>
      <xdr:rowOff>47625</xdr:rowOff>
    </xdr:to>
    <xdr:pic>
      <xdr:nvPicPr>
        <xdr:cNvPr id="103" name="Picture 152">
          <a:extLst>
            <a:ext uri="{FF2B5EF4-FFF2-40B4-BE49-F238E27FC236}">
              <a16:creationId xmlns:a16="http://schemas.microsoft.com/office/drawing/2014/main" id="{00000000-0008-0000-0400-000067000000}"/>
            </a:ext>
          </a:extLst>
        </xdr:cNvPr>
        <xdr:cNvPicPr>
          <a:picLocks noChangeAspect="1" noChangeArrowheads="1"/>
        </xdr:cNvPicPr>
      </xdr:nvPicPr>
      <xdr:blipFill>
        <a:blip xmlns:r="http://schemas.openxmlformats.org/officeDocument/2006/relationships" r:embed="rId21"/>
        <a:srcRect/>
        <a:stretch>
          <a:fillRect/>
        </a:stretch>
      </xdr:blipFill>
      <xdr:spPr>
        <a:xfrm>
          <a:off x="4981575" y="24984075"/>
          <a:ext cx="1057275" cy="247650"/>
        </a:xfrm>
        <a:prstGeom prst="rect">
          <a:avLst/>
        </a:prstGeom>
        <a:noFill/>
        <a:ln w="9525">
          <a:noFill/>
          <a:miter lim="800000"/>
          <a:headEnd/>
          <a:tailEnd/>
        </a:ln>
      </xdr:spPr>
    </xdr:pic>
    <xdr:clientData/>
  </xdr:twoCellAnchor>
  <xdr:twoCellAnchor>
    <xdr:from>
      <xdr:col>7</xdr:col>
      <xdr:colOff>0</xdr:colOff>
      <xdr:row>126</xdr:row>
      <xdr:rowOff>0</xdr:rowOff>
    </xdr:from>
    <xdr:to>
      <xdr:col>7</xdr:col>
      <xdr:colOff>1162050</xdr:colOff>
      <xdr:row>127</xdr:row>
      <xdr:rowOff>0</xdr:rowOff>
    </xdr:to>
    <xdr:pic>
      <xdr:nvPicPr>
        <xdr:cNvPr id="104" name="Picture 151">
          <a:extLst>
            <a:ext uri="{FF2B5EF4-FFF2-40B4-BE49-F238E27FC236}">
              <a16:creationId xmlns:a16="http://schemas.microsoft.com/office/drawing/2014/main" id="{00000000-0008-0000-0400-000068000000}"/>
            </a:ext>
          </a:extLst>
        </xdr:cNvPr>
        <xdr:cNvPicPr>
          <a:picLocks noChangeAspect="1" noChangeArrowheads="1"/>
        </xdr:cNvPicPr>
      </xdr:nvPicPr>
      <xdr:blipFill>
        <a:blip xmlns:r="http://schemas.openxmlformats.org/officeDocument/2006/relationships" r:embed="rId22"/>
        <a:srcRect/>
        <a:stretch>
          <a:fillRect/>
        </a:stretch>
      </xdr:blipFill>
      <xdr:spPr>
        <a:xfrm>
          <a:off x="4981575" y="25184100"/>
          <a:ext cx="1162050" cy="200025"/>
        </a:xfrm>
        <a:prstGeom prst="rect">
          <a:avLst/>
        </a:prstGeom>
        <a:noFill/>
        <a:ln w="9525">
          <a:noFill/>
          <a:miter lim="800000"/>
          <a:headEnd/>
          <a:tailEnd/>
        </a:ln>
      </xdr:spPr>
    </xdr:pic>
    <xdr:clientData/>
  </xdr:twoCellAnchor>
  <xdr:twoCellAnchor>
    <xdr:from>
      <xdr:col>7</xdr:col>
      <xdr:colOff>0</xdr:colOff>
      <xdr:row>127</xdr:row>
      <xdr:rowOff>0</xdr:rowOff>
    </xdr:from>
    <xdr:to>
      <xdr:col>7</xdr:col>
      <xdr:colOff>1047750</xdr:colOff>
      <xdr:row>127</xdr:row>
      <xdr:rowOff>190500</xdr:rowOff>
    </xdr:to>
    <xdr:pic>
      <xdr:nvPicPr>
        <xdr:cNvPr id="105" name="Picture 154">
          <a:extLst>
            <a:ext uri="{FF2B5EF4-FFF2-40B4-BE49-F238E27FC236}">
              <a16:creationId xmlns:a16="http://schemas.microsoft.com/office/drawing/2014/main" id="{00000000-0008-0000-0400-000069000000}"/>
            </a:ext>
          </a:extLst>
        </xdr:cNvPr>
        <xdr:cNvPicPr>
          <a:picLocks noChangeAspect="1" noChangeArrowheads="1"/>
        </xdr:cNvPicPr>
      </xdr:nvPicPr>
      <xdr:blipFill>
        <a:blip xmlns:r="http://schemas.openxmlformats.org/officeDocument/2006/relationships" r:embed="rId23"/>
        <a:srcRect/>
        <a:stretch>
          <a:fillRect/>
        </a:stretch>
      </xdr:blipFill>
      <xdr:spPr>
        <a:xfrm>
          <a:off x="4981575" y="25384125"/>
          <a:ext cx="1047750" cy="190500"/>
        </a:xfrm>
        <a:prstGeom prst="rect">
          <a:avLst/>
        </a:prstGeom>
        <a:noFill/>
        <a:ln w="9525">
          <a:noFill/>
          <a:miter lim="800000"/>
          <a:headEnd/>
          <a:tailEnd/>
        </a:ln>
      </xdr:spPr>
    </xdr:pic>
    <xdr:clientData/>
  </xdr:twoCellAnchor>
  <xdr:twoCellAnchor>
    <xdr:from>
      <xdr:col>7</xdr:col>
      <xdr:colOff>0</xdr:colOff>
      <xdr:row>128</xdr:row>
      <xdr:rowOff>0</xdr:rowOff>
    </xdr:from>
    <xdr:to>
      <xdr:col>7</xdr:col>
      <xdr:colOff>1162050</xdr:colOff>
      <xdr:row>128</xdr:row>
      <xdr:rowOff>190500</xdr:rowOff>
    </xdr:to>
    <xdr:pic>
      <xdr:nvPicPr>
        <xdr:cNvPr id="106" name="Picture 153">
          <a:extLst>
            <a:ext uri="{FF2B5EF4-FFF2-40B4-BE49-F238E27FC236}">
              <a16:creationId xmlns:a16="http://schemas.microsoft.com/office/drawing/2014/main" id="{00000000-0008-0000-0400-00006A000000}"/>
            </a:ext>
          </a:extLst>
        </xdr:cNvPr>
        <xdr:cNvPicPr>
          <a:picLocks noChangeAspect="1" noChangeArrowheads="1"/>
        </xdr:cNvPicPr>
      </xdr:nvPicPr>
      <xdr:blipFill>
        <a:blip xmlns:r="http://schemas.openxmlformats.org/officeDocument/2006/relationships" r:embed="rId24"/>
        <a:srcRect/>
        <a:stretch>
          <a:fillRect/>
        </a:stretch>
      </xdr:blipFill>
      <xdr:spPr>
        <a:xfrm>
          <a:off x="4981575" y="25584150"/>
          <a:ext cx="1162050" cy="190500"/>
        </a:xfrm>
        <a:prstGeom prst="rect">
          <a:avLst/>
        </a:prstGeom>
        <a:noFill/>
        <a:ln w="9525">
          <a:noFill/>
          <a:miter lim="800000"/>
          <a:headEnd/>
          <a:tailEnd/>
        </a:ln>
      </xdr:spPr>
    </xdr:pic>
    <xdr:clientData/>
  </xdr:twoCellAnchor>
  <xdr:twoCellAnchor>
    <xdr:from>
      <xdr:col>7</xdr:col>
      <xdr:colOff>0</xdr:colOff>
      <xdr:row>129</xdr:row>
      <xdr:rowOff>0</xdr:rowOff>
    </xdr:from>
    <xdr:to>
      <xdr:col>7</xdr:col>
      <xdr:colOff>1028700</xdr:colOff>
      <xdr:row>130</xdr:row>
      <xdr:rowOff>19050</xdr:rowOff>
    </xdr:to>
    <xdr:pic>
      <xdr:nvPicPr>
        <xdr:cNvPr id="107" name="Picture 158">
          <a:extLst>
            <a:ext uri="{FF2B5EF4-FFF2-40B4-BE49-F238E27FC236}">
              <a16:creationId xmlns:a16="http://schemas.microsoft.com/office/drawing/2014/main" id="{00000000-0008-0000-0400-00006B000000}"/>
            </a:ext>
          </a:extLst>
        </xdr:cNvPr>
        <xdr:cNvPicPr>
          <a:picLocks noChangeAspect="1" noChangeArrowheads="1"/>
        </xdr:cNvPicPr>
      </xdr:nvPicPr>
      <xdr:blipFill>
        <a:blip xmlns:r="http://schemas.openxmlformats.org/officeDocument/2006/relationships" r:embed="rId25"/>
        <a:srcRect/>
        <a:stretch>
          <a:fillRect/>
        </a:stretch>
      </xdr:blipFill>
      <xdr:spPr>
        <a:xfrm>
          <a:off x="4981575" y="25784175"/>
          <a:ext cx="1028700" cy="219075"/>
        </a:xfrm>
        <a:prstGeom prst="rect">
          <a:avLst/>
        </a:prstGeom>
        <a:noFill/>
        <a:ln w="9525">
          <a:noFill/>
          <a:miter lim="800000"/>
          <a:headEnd/>
          <a:tailEnd/>
        </a:ln>
      </xdr:spPr>
    </xdr:pic>
    <xdr:clientData/>
  </xdr:twoCellAnchor>
  <xdr:twoCellAnchor>
    <xdr:from>
      <xdr:col>7</xdr:col>
      <xdr:colOff>0</xdr:colOff>
      <xdr:row>130</xdr:row>
      <xdr:rowOff>0</xdr:rowOff>
    </xdr:from>
    <xdr:to>
      <xdr:col>7</xdr:col>
      <xdr:colOff>895350</xdr:colOff>
      <xdr:row>131</xdr:row>
      <xdr:rowOff>9525</xdr:rowOff>
    </xdr:to>
    <xdr:pic>
      <xdr:nvPicPr>
        <xdr:cNvPr id="108" name="Picture 157">
          <a:extLst>
            <a:ext uri="{FF2B5EF4-FFF2-40B4-BE49-F238E27FC236}">
              <a16:creationId xmlns:a16="http://schemas.microsoft.com/office/drawing/2014/main" id="{00000000-0008-0000-0400-00006C000000}"/>
            </a:ext>
          </a:extLst>
        </xdr:cNvPr>
        <xdr:cNvPicPr>
          <a:picLocks noChangeAspect="1" noChangeArrowheads="1"/>
        </xdr:cNvPicPr>
      </xdr:nvPicPr>
      <xdr:blipFill>
        <a:blip xmlns:r="http://schemas.openxmlformats.org/officeDocument/2006/relationships" r:embed="rId18"/>
        <a:srcRect/>
        <a:stretch>
          <a:fillRect/>
        </a:stretch>
      </xdr:blipFill>
      <xdr:spPr>
        <a:xfrm>
          <a:off x="4981575" y="25984200"/>
          <a:ext cx="895350" cy="209550"/>
        </a:xfrm>
        <a:prstGeom prst="rect">
          <a:avLst/>
        </a:prstGeom>
        <a:noFill/>
        <a:ln w="9525">
          <a:noFill/>
          <a:miter lim="800000"/>
          <a:headEnd/>
          <a:tailEnd/>
        </a:ln>
      </xdr:spPr>
    </xdr:pic>
    <xdr:clientData/>
  </xdr:twoCellAnchor>
  <xdr:twoCellAnchor>
    <xdr:from>
      <xdr:col>7</xdr:col>
      <xdr:colOff>0</xdr:colOff>
      <xdr:row>131</xdr:row>
      <xdr:rowOff>0</xdr:rowOff>
    </xdr:from>
    <xdr:to>
      <xdr:col>7</xdr:col>
      <xdr:colOff>1076325</xdr:colOff>
      <xdr:row>132</xdr:row>
      <xdr:rowOff>38100</xdr:rowOff>
    </xdr:to>
    <xdr:pic>
      <xdr:nvPicPr>
        <xdr:cNvPr id="109" name="Picture 156">
          <a:extLst>
            <a:ext uri="{FF2B5EF4-FFF2-40B4-BE49-F238E27FC236}">
              <a16:creationId xmlns:a16="http://schemas.microsoft.com/office/drawing/2014/main" id="{00000000-0008-0000-0400-00006D000000}"/>
            </a:ext>
          </a:extLst>
        </xdr:cNvPr>
        <xdr:cNvPicPr>
          <a:picLocks noChangeAspect="1" noChangeArrowheads="1"/>
        </xdr:cNvPicPr>
      </xdr:nvPicPr>
      <xdr:blipFill>
        <a:blip xmlns:r="http://schemas.openxmlformats.org/officeDocument/2006/relationships" r:embed="rId19"/>
        <a:srcRect/>
        <a:stretch>
          <a:fillRect/>
        </a:stretch>
      </xdr:blipFill>
      <xdr:spPr>
        <a:xfrm>
          <a:off x="4981575" y="26184225"/>
          <a:ext cx="1076325" cy="238125"/>
        </a:xfrm>
        <a:prstGeom prst="rect">
          <a:avLst/>
        </a:prstGeom>
        <a:noFill/>
        <a:ln w="9525">
          <a:noFill/>
          <a:miter lim="800000"/>
          <a:headEnd/>
          <a:tailEnd/>
        </a:ln>
      </xdr:spPr>
    </xdr:pic>
    <xdr:clientData/>
  </xdr:twoCellAnchor>
  <xdr:twoCellAnchor>
    <xdr:from>
      <xdr:col>7</xdr:col>
      <xdr:colOff>0</xdr:colOff>
      <xdr:row>132</xdr:row>
      <xdr:rowOff>0</xdr:rowOff>
    </xdr:from>
    <xdr:to>
      <xdr:col>7</xdr:col>
      <xdr:colOff>1200150</xdr:colOff>
      <xdr:row>132</xdr:row>
      <xdr:rowOff>161925</xdr:rowOff>
    </xdr:to>
    <xdr:pic>
      <xdr:nvPicPr>
        <xdr:cNvPr id="110" name="Picture 155">
          <a:extLst>
            <a:ext uri="{FF2B5EF4-FFF2-40B4-BE49-F238E27FC236}">
              <a16:creationId xmlns:a16="http://schemas.microsoft.com/office/drawing/2014/main" id="{00000000-0008-0000-0400-00006E000000}"/>
            </a:ext>
          </a:extLst>
        </xdr:cNvPr>
        <xdr:cNvPicPr>
          <a:picLocks noChangeAspect="1" noChangeArrowheads="1"/>
        </xdr:cNvPicPr>
      </xdr:nvPicPr>
      <xdr:blipFill>
        <a:blip xmlns:r="http://schemas.openxmlformats.org/officeDocument/2006/relationships" r:embed="rId20"/>
        <a:srcRect/>
        <a:stretch>
          <a:fillRect/>
        </a:stretch>
      </xdr:blipFill>
      <xdr:spPr>
        <a:xfrm>
          <a:off x="4981575" y="26384250"/>
          <a:ext cx="1200150" cy="161925"/>
        </a:xfrm>
        <a:prstGeom prst="rect">
          <a:avLst/>
        </a:prstGeom>
        <a:noFill/>
        <a:ln w="9525">
          <a:noFill/>
          <a:miter lim="800000"/>
          <a:headEnd/>
          <a:tailEnd/>
        </a:ln>
      </xdr:spPr>
    </xdr:pic>
    <xdr:clientData/>
  </xdr:twoCellAnchor>
  <xdr:twoCellAnchor>
    <xdr:from>
      <xdr:col>7</xdr:col>
      <xdr:colOff>0</xdr:colOff>
      <xdr:row>133</xdr:row>
      <xdr:rowOff>0</xdr:rowOff>
    </xdr:from>
    <xdr:to>
      <xdr:col>7</xdr:col>
      <xdr:colOff>1057275</xdr:colOff>
      <xdr:row>134</xdr:row>
      <xdr:rowOff>47625</xdr:rowOff>
    </xdr:to>
    <xdr:pic>
      <xdr:nvPicPr>
        <xdr:cNvPr id="111" name="Picture 160">
          <a:extLst>
            <a:ext uri="{FF2B5EF4-FFF2-40B4-BE49-F238E27FC236}">
              <a16:creationId xmlns:a16="http://schemas.microsoft.com/office/drawing/2014/main" id="{00000000-0008-0000-0400-00006F000000}"/>
            </a:ext>
          </a:extLst>
        </xdr:cNvPr>
        <xdr:cNvPicPr>
          <a:picLocks noChangeAspect="1" noChangeArrowheads="1"/>
        </xdr:cNvPicPr>
      </xdr:nvPicPr>
      <xdr:blipFill>
        <a:blip xmlns:r="http://schemas.openxmlformats.org/officeDocument/2006/relationships" r:embed="rId21"/>
        <a:srcRect/>
        <a:stretch>
          <a:fillRect/>
        </a:stretch>
      </xdr:blipFill>
      <xdr:spPr>
        <a:xfrm>
          <a:off x="4981575" y="26584275"/>
          <a:ext cx="1057275" cy="247650"/>
        </a:xfrm>
        <a:prstGeom prst="rect">
          <a:avLst/>
        </a:prstGeom>
        <a:noFill/>
        <a:ln w="9525">
          <a:noFill/>
          <a:miter lim="800000"/>
          <a:headEnd/>
          <a:tailEnd/>
        </a:ln>
      </xdr:spPr>
    </xdr:pic>
    <xdr:clientData/>
  </xdr:twoCellAnchor>
  <xdr:twoCellAnchor>
    <xdr:from>
      <xdr:col>7</xdr:col>
      <xdr:colOff>0</xdr:colOff>
      <xdr:row>134</xdr:row>
      <xdr:rowOff>0</xdr:rowOff>
    </xdr:from>
    <xdr:to>
      <xdr:col>7</xdr:col>
      <xdr:colOff>1162050</xdr:colOff>
      <xdr:row>135</xdr:row>
      <xdr:rowOff>0</xdr:rowOff>
    </xdr:to>
    <xdr:pic>
      <xdr:nvPicPr>
        <xdr:cNvPr id="112" name="Picture 159">
          <a:extLst>
            <a:ext uri="{FF2B5EF4-FFF2-40B4-BE49-F238E27FC236}">
              <a16:creationId xmlns:a16="http://schemas.microsoft.com/office/drawing/2014/main" id="{00000000-0008-0000-0400-000070000000}"/>
            </a:ext>
          </a:extLst>
        </xdr:cNvPr>
        <xdr:cNvPicPr>
          <a:picLocks noChangeAspect="1" noChangeArrowheads="1"/>
        </xdr:cNvPicPr>
      </xdr:nvPicPr>
      <xdr:blipFill>
        <a:blip xmlns:r="http://schemas.openxmlformats.org/officeDocument/2006/relationships" r:embed="rId22"/>
        <a:srcRect/>
        <a:stretch>
          <a:fillRect/>
        </a:stretch>
      </xdr:blipFill>
      <xdr:spPr>
        <a:xfrm>
          <a:off x="4981575" y="26784300"/>
          <a:ext cx="1162050" cy="200025"/>
        </a:xfrm>
        <a:prstGeom prst="rect">
          <a:avLst/>
        </a:prstGeom>
        <a:noFill/>
        <a:ln w="9525">
          <a:noFill/>
          <a:miter lim="800000"/>
          <a:headEnd/>
          <a:tailEnd/>
        </a:ln>
      </xdr:spPr>
    </xdr:pic>
    <xdr:clientData/>
  </xdr:twoCellAnchor>
  <xdr:twoCellAnchor>
    <xdr:from>
      <xdr:col>7</xdr:col>
      <xdr:colOff>0</xdr:colOff>
      <xdr:row>135</xdr:row>
      <xdr:rowOff>0</xdr:rowOff>
    </xdr:from>
    <xdr:to>
      <xdr:col>7</xdr:col>
      <xdr:colOff>1066800</xdr:colOff>
      <xdr:row>136</xdr:row>
      <xdr:rowOff>9525</xdr:rowOff>
    </xdr:to>
    <xdr:pic>
      <xdr:nvPicPr>
        <xdr:cNvPr id="113" name="Picture 162">
          <a:extLst>
            <a:ext uri="{FF2B5EF4-FFF2-40B4-BE49-F238E27FC236}">
              <a16:creationId xmlns:a16="http://schemas.microsoft.com/office/drawing/2014/main" id="{00000000-0008-0000-0400-000071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6984325"/>
          <a:ext cx="1066800" cy="209550"/>
        </a:xfrm>
        <a:prstGeom prst="rect">
          <a:avLst/>
        </a:prstGeom>
        <a:noFill/>
        <a:ln w="9525">
          <a:noFill/>
          <a:miter lim="800000"/>
          <a:headEnd/>
          <a:tailEnd/>
        </a:ln>
      </xdr:spPr>
    </xdr:pic>
    <xdr:clientData/>
  </xdr:twoCellAnchor>
  <xdr:twoCellAnchor>
    <xdr:from>
      <xdr:col>7</xdr:col>
      <xdr:colOff>0</xdr:colOff>
      <xdr:row>136</xdr:row>
      <xdr:rowOff>0</xdr:rowOff>
    </xdr:from>
    <xdr:to>
      <xdr:col>7</xdr:col>
      <xdr:colOff>1162050</xdr:colOff>
      <xdr:row>136</xdr:row>
      <xdr:rowOff>180975</xdr:rowOff>
    </xdr:to>
    <xdr:pic>
      <xdr:nvPicPr>
        <xdr:cNvPr id="114" name="Picture 161">
          <a:extLst>
            <a:ext uri="{FF2B5EF4-FFF2-40B4-BE49-F238E27FC236}">
              <a16:creationId xmlns:a16="http://schemas.microsoft.com/office/drawing/2014/main" id="{00000000-0008-0000-0400-000072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7184350"/>
          <a:ext cx="1162050" cy="180975"/>
        </a:xfrm>
        <a:prstGeom prst="rect">
          <a:avLst/>
        </a:prstGeom>
        <a:noFill/>
        <a:ln w="9525">
          <a:noFill/>
          <a:miter lim="800000"/>
          <a:headEnd/>
          <a:tailEnd/>
        </a:ln>
      </xdr:spPr>
    </xdr:pic>
    <xdr:clientData/>
  </xdr:twoCellAnchor>
  <xdr:twoCellAnchor>
    <xdr:from>
      <xdr:col>7</xdr:col>
      <xdr:colOff>0</xdr:colOff>
      <xdr:row>137</xdr:row>
      <xdr:rowOff>0</xdr:rowOff>
    </xdr:from>
    <xdr:to>
      <xdr:col>7</xdr:col>
      <xdr:colOff>1066800</xdr:colOff>
      <xdr:row>138</xdr:row>
      <xdr:rowOff>28575</xdr:rowOff>
    </xdr:to>
    <xdr:pic>
      <xdr:nvPicPr>
        <xdr:cNvPr id="115" name="Picture 164">
          <a:extLst>
            <a:ext uri="{FF2B5EF4-FFF2-40B4-BE49-F238E27FC236}">
              <a16:creationId xmlns:a16="http://schemas.microsoft.com/office/drawing/2014/main" id="{00000000-0008-0000-0400-000073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7384375"/>
          <a:ext cx="1066800" cy="228600"/>
        </a:xfrm>
        <a:prstGeom prst="rect">
          <a:avLst/>
        </a:prstGeom>
        <a:noFill/>
        <a:ln w="9525">
          <a:noFill/>
          <a:miter lim="800000"/>
          <a:headEnd/>
          <a:tailEnd/>
        </a:ln>
      </xdr:spPr>
    </xdr:pic>
    <xdr:clientData/>
  </xdr:twoCellAnchor>
  <xdr:twoCellAnchor>
    <xdr:from>
      <xdr:col>7</xdr:col>
      <xdr:colOff>0</xdr:colOff>
      <xdr:row>138</xdr:row>
      <xdr:rowOff>0</xdr:rowOff>
    </xdr:from>
    <xdr:to>
      <xdr:col>7</xdr:col>
      <xdr:colOff>1162050</xdr:colOff>
      <xdr:row>139</xdr:row>
      <xdr:rowOff>0</xdr:rowOff>
    </xdr:to>
    <xdr:pic>
      <xdr:nvPicPr>
        <xdr:cNvPr id="116" name="Picture 163">
          <a:extLst>
            <a:ext uri="{FF2B5EF4-FFF2-40B4-BE49-F238E27FC236}">
              <a16:creationId xmlns:a16="http://schemas.microsoft.com/office/drawing/2014/main" id="{00000000-0008-0000-0400-000074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7584400"/>
          <a:ext cx="1162050" cy="200025"/>
        </a:xfrm>
        <a:prstGeom prst="rect">
          <a:avLst/>
        </a:prstGeom>
        <a:noFill/>
        <a:ln w="9525">
          <a:noFill/>
          <a:miter lim="800000"/>
          <a:headEnd/>
          <a:tailEnd/>
        </a:ln>
      </xdr:spPr>
    </xdr:pic>
    <xdr:clientData/>
  </xdr:twoCellAnchor>
  <xdr:twoCellAnchor>
    <xdr:from>
      <xdr:col>7</xdr:col>
      <xdr:colOff>0</xdr:colOff>
      <xdr:row>142</xdr:row>
      <xdr:rowOff>0</xdr:rowOff>
    </xdr:from>
    <xdr:to>
      <xdr:col>7</xdr:col>
      <xdr:colOff>1066800</xdr:colOff>
      <xdr:row>143</xdr:row>
      <xdr:rowOff>9525</xdr:rowOff>
    </xdr:to>
    <xdr:pic>
      <xdr:nvPicPr>
        <xdr:cNvPr id="117" name="Picture 169">
          <a:extLst>
            <a:ext uri="{FF2B5EF4-FFF2-40B4-BE49-F238E27FC236}">
              <a16:creationId xmlns:a16="http://schemas.microsoft.com/office/drawing/2014/main" id="{00000000-0008-0000-0400-000075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8384500"/>
          <a:ext cx="1066800" cy="209550"/>
        </a:xfrm>
        <a:prstGeom prst="rect">
          <a:avLst/>
        </a:prstGeom>
        <a:noFill/>
        <a:ln w="9525">
          <a:noFill/>
          <a:miter lim="800000"/>
          <a:headEnd/>
          <a:tailEnd/>
        </a:ln>
      </xdr:spPr>
    </xdr:pic>
    <xdr:clientData/>
  </xdr:twoCellAnchor>
  <xdr:twoCellAnchor>
    <xdr:from>
      <xdr:col>7</xdr:col>
      <xdr:colOff>0</xdr:colOff>
      <xdr:row>143</xdr:row>
      <xdr:rowOff>0</xdr:rowOff>
    </xdr:from>
    <xdr:to>
      <xdr:col>7</xdr:col>
      <xdr:colOff>1162050</xdr:colOff>
      <xdr:row>143</xdr:row>
      <xdr:rowOff>180975</xdr:rowOff>
    </xdr:to>
    <xdr:pic>
      <xdr:nvPicPr>
        <xdr:cNvPr id="118" name="Picture 168">
          <a:extLst>
            <a:ext uri="{FF2B5EF4-FFF2-40B4-BE49-F238E27FC236}">
              <a16:creationId xmlns:a16="http://schemas.microsoft.com/office/drawing/2014/main" id="{00000000-0008-0000-0400-000076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8584525"/>
          <a:ext cx="1162050" cy="180975"/>
        </a:xfrm>
        <a:prstGeom prst="rect">
          <a:avLst/>
        </a:prstGeom>
        <a:noFill/>
        <a:ln w="9525">
          <a:noFill/>
          <a:miter lim="800000"/>
          <a:headEnd/>
          <a:tailEnd/>
        </a:ln>
      </xdr:spPr>
    </xdr:pic>
    <xdr:clientData/>
  </xdr:twoCellAnchor>
  <xdr:twoCellAnchor>
    <xdr:from>
      <xdr:col>7</xdr:col>
      <xdr:colOff>0</xdr:colOff>
      <xdr:row>144</xdr:row>
      <xdr:rowOff>0</xdr:rowOff>
    </xdr:from>
    <xdr:to>
      <xdr:col>7</xdr:col>
      <xdr:colOff>1066800</xdr:colOff>
      <xdr:row>145</xdr:row>
      <xdr:rowOff>28575</xdr:rowOff>
    </xdr:to>
    <xdr:pic>
      <xdr:nvPicPr>
        <xdr:cNvPr id="119" name="Picture 172">
          <a:extLst>
            <a:ext uri="{FF2B5EF4-FFF2-40B4-BE49-F238E27FC236}">
              <a16:creationId xmlns:a16="http://schemas.microsoft.com/office/drawing/2014/main" id="{00000000-0008-0000-0400-000077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8784550"/>
          <a:ext cx="1066800" cy="228600"/>
        </a:xfrm>
        <a:prstGeom prst="rect">
          <a:avLst/>
        </a:prstGeom>
        <a:noFill/>
        <a:ln w="9525">
          <a:noFill/>
          <a:miter lim="800000"/>
          <a:headEnd/>
          <a:tailEnd/>
        </a:ln>
      </xdr:spPr>
    </xdr:pic>
    <xdr:clientData/>
  </xdr:twoCellAnchor>
  <xdr:twoCellAnchor>
    <xdr:from>
      <xdr:col>7</xdr:col>
      <xdr:colOff>0</xdr:colOff>
      <xdr:row>145</xdr:row>
      <xdr:rowOff>0</xdr:rowOff>
    </xdr:from>
    <xdr:to>
      <xdr:col>7</xdr:col>
      <xdr:colOff>1162050</xdr:colOff>
      <xdr:row>146</xdr:row>
      <xdr:rowOff>0</xdr:rowOff>
    </xdr:to>
    <xdr:pic>
      <xdr:nvPicPr>
        <xdr:cNvPr id="120" name="Picture 171">
          <a:extLst>
            <a:ext uri="{FF2B5EF4-FFF2-40B4-BE49-F238E27FC236}">
              <a16:creationId xmlns:a16="http://schemas.microsoft.com/office/drawing/2014/main" id="{00000000-0008-0000-0400-000078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8984575"/>
          <a:ext cx="1162050" cy="200025"/>
        </a:xfrm>
        <a:prstGeom prst="rect">
          <a:avLst/>
        </a:prstGeom>
        <a:noFill/>
        <a:ln w="9525">
          <a:noFill/>
          <a:miter lim="800000"/>
          <a:headEnd/>
          <a:tailEnd/>
        </a:ln>
      </xdr:spPr>
    </xdr:pic>
    <xdr:clientData/>
  </xdr:twoCellAnchor>
  <xdr:twoCellAnchor>
    <xdr:from>
      <xdr:col>7</xdr:col>
      <xdr:colOff>0</xdr:colOff>
      <xdr:row>146</xdr:row>
      <xdr:rowOff>0</xdr:rowOff>
    </xdr:from>
    <xdr:to>
      <xdr:col>7</xdr:col>
      <xdr:colOff>1200150</xdr:colOff>
      <xdr:row>147</xdr:row>
      <xdr:rowOff>9525</xdr:rowOff>
    </xdr:to>
    <xdr:pic>
      <xdr:nvPicPr>
        <xdr:cNvPr id="121" name="Picture 170">
          <a:extLst>
            <a:ext uri="{FF2B5EF4-FFF2-40B4-BE49-F238E27FC236}">
              <a16:creationId xmlns:a16="http://schemas.microsoft.com/office/drawing/2014/main" id="{00000000-0008-0000-0400-000079000000}"/>
            </a:ext>
          </a:extLst>
        </xdr:cNvPr>
        <xdr:cNvPicPr>
          <a:picLocks noChangeAspect="1" noChangeArrowheads="1"/>
        </xdr:cNvPicPr>
      </xdr:nvPicPr>
      <xdr:blipFill>
        <a:blip xmlns:r="http://schemas.openxmlformats.org/officeDocument/2006/relationships" r:embed="rId26"/>
        <a:srcRect/>
        <a:stretch>
          <a:fillRect/>
        </a:stretch>
      </xdr:blipFill>
      <xdr:spPr>
        <a:xfrm>
          <a:off x="4981575" y="29184600"/>
          <a:ext cx="1200150" cy="209550"/>
        </a:xfrm>
        <a:prstGeom prst="rect">
          <a:avLst/>
        </a:prstGeom>
        <a:noFill/>
        <a:ln w="9525">
          <a:noFill/>
          <a:miter lim="800000"/>
          <a:headEnd/>
          <a:tailEnd/>
        </a:ln>
      </xdr:spPr>
    </xdr:pic>
    <xdr:clientData/>
  </xdr:twoCellAnchor>
  <xdr:twoCellAnchor>
    <xdr:from>
      <xdr:col>7</xdr:col>
      <xdr:colOff>0</xdr:colOff>
      <xdr:row>147</xdr:row>
      <xdr:rowOff>0</xdr:rowOff>
    </xdr:from>
    <xdr:to>
      <xdr:col>7</xdr:col>
      <xdr:colOff>1066800</xdr:colOff>
      <xdr:row>148</xdr:row>
      <xdr:rowOff>28575</xdr:rowOff>
    </xdr:to>
    <xdr:pic>
      <xdr:nvPicPr>
        <xdr:cNvPr id="122" name="Picture 174">
          <a:extLst>
            <a:ext uri="{FF2B5EF4-FFF2-40B4-BE49-F238E27FC236}">
              <a16:creationId xmlns:a16="http://schemas.microsoft.com/office/drawing/2014/main" id="{00000000-0008-0000-0400-00007A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9384625"/>
          <a:ext cx="1066800" cy="228600"/>
        </a:xfrm>
        <a:prstGeom prst="rect">
          <a:avLst/>
        </a:prstGeom>
        <a:noFill/>
        <a:ln w="9525">
          <a:noFill/>
          <a:miter lim="800000"/>
          <a:headEnd/>
          <a:tailEnd/>
        </a:ln>
      </xdr:spPr>
    </xdr:pic>
    <xdr:clientData/>
  </xdr:twoCellAnchor>
  <xdr:twoCellAnchor>
    <xdr:from>
      <xdr:col>7</xdr:col>
      <xdr:colOff>0</xdr:colOff>
      <xdr:row>148</xdr:row>
      <xdr:rowOff>0</xdr:rowOff>
    </xdr:from>
    <xdr:to>
      <xdr:col>7</xdr:col>
      <xdr:colOff>1162050</xdr:colOff>
      <xdr:row>149</xdr:row>
      <xdr:rowOff>0</xdr:rowOff>
    </xdr:to>
    <xdr:pic>
      <xdr:nvPicPr>
        <xdr:cNvPr id="123" name="Picture 173">
          <a:extLst>
            <a:ext uri="{FF2B5EF4-FFF2-40B4-BE49-F238E27FC236}">
              <a16:creationId xmlns:a16="http://schemas.microsoft.com/office/drawing/2014/main" id="{00000000-0008-0000-0400-00007B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9584650"/>
          <a:ext cx="1162050" cy="200025"/>
        </a:xfrm>
        <a:prstGeom prst="rect">
          <a:avLst/>
        </a:prstGeom>
        <a:noFill/>
        <a:ln w="9525">
          <a:noFill/>
          <a:miter lim="800000"/>
          <a:headEnd/>
          <a:tailEnd/>
        </a:ln>
      </xdr:spPr>
    </xdr:pic>
    <xdr:clientData/>
  </xdr:twoCellAnchor>
  <xdr:twoCellAnchor>
    <xdr:from>
      <xdr:col>7</xdr:col>
      <xdr:colOff>0</xdr:colOff>
      <xdr:row>8</xdr:row>
      <xdr:rowOff>0</xdr:rowOff>
    </xdr:from>
    <xdr:to>
      <xdr:col>7</xdr:col>
      <xdr:colOff>885825</xdr:colOff>
      <xdr:row>8</xdr:row>
      <xdr:rowOff>171450</xdr:rowOff>
    </xdr:to>
    <xdr:pic>
      <xdr:nvPicPr>
        <xdr:cNvPr id="124" name="Picture 182">
          <a:extLst>
            <a:ext uri="{FF2B5EF4-FFF2-40B4-BE49-F238E27FC236}">
              <a16:creationId xmlns:a16="http://schemas.microsoft.com/office/drawing/2014/main" id="{00000000-0008-0000-0400-00007C000000}"/>
            </a:ext>
          </a:extLst>
        </xdr:cNvPr>
        <xdr:cNvPicPr>
          <a:picLocks noChangeAspect="1" noChangeArrowheads="1"/>
        </xdr:cNvPicPr>
      </xdr:nvPicPr>
      <xdr:blipFill>
        <a:blip xmlns:r="http://schemas.openxmlformats.org/officeDocument/2006/relationships" r:embed="rId6"/>
        <a:srcRect/>
        <a:stretch>
          <a:fillRect/>
        </a:stretch>
      </xdr:blipFill>
      <xdr:spPr>
        <a:xfrm>
          <a:off x="4981575" y="1581150"/>
          <a:ext cx="885825" cy="171450"/>
        </a:xfrm>
        <a:prstGeom prst="rect">
          <a:avLst/>
        </a:prstGeom>
        <a:noFill/>
        <a:ln w="9525">
          <a:noFill/>
          <a:miter lim="800000"/>
          <a:headEnd/>
          <a:tailEnd/>
        </a:ln>
      </xdr:spPr>
    </xdr:pic>
    <xdr:clientData/>
  </xdr:twoCellAnchor>
  <xdr:twoCellAnchor>
    <xdr:from>
      <xdr:col>7</xdr:col>
      <xdr:colOff>0</xdr:colOff>
      <xdr:row>9</xdr:row>
      <xdr:rowOff>0</xdr:rowOff>
    </xdr:from>
    <xdr:to>
      <xdr:col>7</xdr:col>
      <xdr:colOff>866775</xdr:colOff>
      <xdr:row>10</xdr:row>
      <xdr:rowOff>0</xdr:rowOff>
    </xdr:to>
    <xdr:pic>
      <xdr:nvPicPr>
        <xdr:cNvPr id="125" name="Picture 183">
          <a:extLst>
            <a:ext uri="{FF2B5EF4-FFF2-40B4-BE49-F238E27FC236}">
              <a16:creationId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7"/>
        <a:srcRect/>
        <a:stretch>
          <a:fillRect/>
        </a:stretch>
      </xdr:blipFill>
      <xdr:spPr>
        <a:xfrm>
          <a:off x="4981575" y="1781175"/>
          <a:ext cx="866775" cy="200025"/>
        </a:xfrm>
        <a:prstGeom prst="rect">
          <a:avLst/>
        </a:prstGeom>
        <a:noFill/>
        <a:ln w="9525">
          <a:noFill/>
          <a:miter lim="800000"/>
          <a:headEnd/>
          <a:tailEnd/>
        </a:ln>
      </xdr:spPr>
    </xdr:pic>
    <xdr:clientData/>
  </xdr:twoCellAnchor>
  <xdr:twoCellAnchor>
    <xdr:from>
      <xdr:col>7</xdr:col>
      <xdr:colOff>0</xdr:colOff>
      <xdr:row>10</xdr:row>
      <xdr:rowOff>0</xdr:rowOff>
    </xdr:from>
    <xdr:to>
      <xdr:col>7</xdr:col>
      <xdr:colOff>1066800</xdr:colOff>
      <xdr:row>11</xdr:row>
      <xdr:rowOff>38100</xdr:rowOff>
    </xdr:to>
    <xdr:pic>
      <xdr:nvPicPr>
        <xdr:cNvPr id="126" name="Picture 184">
          <a:extLst>
            <a:ext uri="{FF2B5EF4-FFF2-40B4-BE49-F238E27FC236}">
              <a16:creationId xmlns:a16="http://schemas.microsoft.com/office/drawing/2014/main" id="{00000000-0008-0000-0400-00007E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1981200"/>
          <a:ext cx="1066800" cy="238125"/>
        </a:xfrm>
        <a:prstGeom prst="rect">
          <a:avLst/>
        </a:prstGeom>
        <a:noFill/>
        <a:ln w="9525">
          <a:noFill/>
          <a:miter lim="800000"/>
          <a:headEnd/>
          <a:tailEnd/>
        </a:ln>
      </xdr:spPr>
    </xdr:pic>
    <xdr:clientData/>
  </xdr:twoCellAnchor>
  <xdr:twoCellAnchor>
    <xdr:from>
      <xdr:col>7</xdr:col>
      <xdr:colOff>0</xdr:colOff>
      <xdr:row>11</xdr:row>
      <xdr:rowOff>0</xdr:rowOff>
    </xdr:from>
    <xdr:to>
      <xdr:col>7</xdr:col>
      <xdr:colOff>1047750</xdr:colOff>
      <xdr:row>12</xdr:row>
      <xdr:rowOff>19050</xdr:rowOff>
    </xdr:to>
    <xdr:pic>
      <xdr:nvPicPr>
        <xdr:cNvPr id="127" name="Picture 185">
          <a:extLst>
            <a:ext uri="{FF2B5EF4-FFF2-40B4-BE49-F238E27FC236}">
              <a16:creationId xmlns:a16="http://schemas.microsoft.com/office/drawing/2014/main" id="{00000000-0008-0000-0400-00007F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2181225"/>
          <a:ext cx="1047750" cy="219075"/>
        </a:xfrm>
        <a:prstGeom prst="rect">
          <a:avLst/>
        </a:prstGeom>
        <a:noFill/>
        <a:ln w="9525">
          <a:noFill/>
          <a:miter lim="800000"/>
          <a:headEnd/>
          <a:tailEnd/>
        </a:ln>
      </xdr:spPr>
    </xdr:pic>
    <xdr:clientData/>
  </xdr:twoCellAnchor>
  <xdr:twoCellAnchor>
    <xdr:from>
      <xdr:col>7</xdr:col>
      <xdr:colOff>0</xdr:colOff>
      <xdr:row>12</xdr:row>
      <xdr:rowOff>0</xdr:rowOff>
    </xdr:from>
    <xdr:to>
      <xdr:col>7</xdr:col>
      <xdr:colOff>1066800</xdr:colOff>
      <xdr:row>13</xdr:row>
      <xdr:rowOff>0</xdr:rowOff>
    </xdr:to>
    <xdr:pic>
      <xdr:nvPicPr>
        <xdr:cNvPr id="128" name="Picture 186">
          <a:extLst>
            <a:ext uri="{FF2B5EF4-FFF2-40B4-BE49-F238E27FC236}">
              <a16:creationId xmlns:a16="http://schemas.microsoft.com/office/drawing/2014/main" id="{00000000-0008-0000-0400-000080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2381250"/>
          <a:ext cx="1066800" cy="200025"/>
        </a:xfrm>
        <a:prstGeom prst="rect">
          <a:avLst/>
        </a:prstGeom>
        <a:noFill/>
        <a:ln w="9525">
          <a:noFill/>
          <a:miter lim="800000"/>
          <a:headEnd/>
          <a:tailEnd/>
        </a:ln>
      </xdr:spPr>
    </xdr:pic>
    <xdr:clientData/>
  </xdr:twoCellAnchor>
  <xdr:twoCellAnchor>
    <xdr:from>
      <xdr:col>7</xdr:col>
      <xdr:colOff>0</xdr:colOff>
      <xdr:row>17</xdr:row>
      <xdr:rowOff>0</xdr:rowOff>
    </xdr:from>
    <xdr:to>
      <xdr:col>7</xdr:col>
      <xdr:colOff>1066800</xdr:colOff>
      <xdr:row>18</xdr:row>
      <xdr:rowOff>19050</xdr:rowOff>
    </xdr:to>
    <xdr:pic>
      <xdr:nvPicPr>
        <xdr:cNvPr id="129" name="Picture 208">
          <a:extLst>
            <a:ext uri="{FF2B5EF4-FFF2-40B4-BE49-F238E27FC236}">
              <a16:creationId xmlns:a16="http://schemas.microsoft.com/office/drawing/2014/main" id="{00000000-0008-0000-0400-000081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3381375"/>
          <a:ext cx="1066800" cy="219075"/>
        </a:xfrm>
        <a:prstGeom prst="rect">
          <a:avLst/>
        </a:prstGeom>
        <a:noFill/>
        <a:ln w="9525">
          <a:noFill/>
          <a:miter lim="800000"/>
          <a:headEnd/>
          <a:tailEnd/>
        </a:ln>
      </xdr:spPr>
    </xdr:pic>
    <xdr:clientData/>
  </xdr:twoCellAnchor>
  <xdr:twoCellAnchor>
    <xdr:from>
      <xdr:col>7</xdr:col>
      <xdr:colOff>0</xdr:colOff>
      <xdr:row>22</xdr:row>
      <xdr:rowOff>0</xdr:rowOff>
    </xdr:from>
    <xdr:to>
      <xdr:col>7</xdr:col>
      <xdr:colOff>1066800</xdr:colOff>
      <xdr:row>23</xdr:row>
      <xdr:rowOff>19050</xdr:rowOff>
    </xdr:to>
    <xdr:pic>
      <xdr:nvPicPr>
        <xdr:cNvPr id="130" name="Picture 209">
          <a:extLst>
            <a:ext uri="{FF2B5EF4-FFF2-40B4-BE49-F238E27FC236}">
              <a16:creationId xmlns:a16="http://schemas.microsoft.com/office/drawing/2014/main" id="{00000000-0008-0000-0400-000082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4381500"/>
          <a:ext cx="1066800" cy="219075"/>
        </a:xfrm>
        <a:prstGeom prst="rect">
          <a:avLst/>
        </a:prstGeom>
        <a:noFill/>
        <a:ln w="9525">
          <a:noFill/>
          <a:miter lim="800000"/>
          <a:headEnd/>
          <a:tailEnd/>
        </a:ln>
      </xdr:spPr>
    </xdr:pic>
    <xdr:clientData/>
  </xdr:twoCellAnchor>
  <xdr:twoCellAnchor>
    <xdr:from>
      <xdr:col>7</xdr:col>
      <xdr:colOff>0</xdr:colOff>
      <xdr:row>28</xdr:row>
      <xdr:rowOff>0</xdr:rowOff>
    </xdr:from>
    <xdr:to>
      <xdr:col>7</xdr:col>
      <xdr:colOff>923925</xdr:colOff>
      <xdr:row>29</xdr:row>
      <xdr:rowOff>0</xdr:rowOff>
    </xdr:to>
    <xdr:pic>
      <xdr:nvPicPr>
        <xdr:cNvPr id="131" name="Picture 225">
          <a:extLst>
            <a:ext uri="{FF2B5EF4-FFF2-40B4-BE49-F238E27FC236}">
              <a16:creationId xmlns:a16="http://schemas.microsoft.com/office/drawing/2014/main" id="{00000000-0008-0000-0400-000083000000}"/>
            </a:ext>
          </a:extLst>
        </xdr:cNvPr>
        <xdr:cNvPicPr>
          <a:picLocks noChangeAspect="1" noChangeArrowheads="1"/>
        </xdr:cNvPicPr>
      </xdr:nvPicPr>
      <xdr:blipFill>
        <a:blip xmlns:r="http://schemas.openxmlformats.org/officeDocument/2006/relationships" r:embed="rId1"/>
        <a:srcRect/>
        <a:stretch>
          <a:fillRect/>
        </a:stretch>
      </xdr:blipFill>
      <xdr:spPr>
        <a:xfrm>
          <a:off x="4981575" y="5581650"/>
          <a:ext cx="923925" cy="200025"/>
        </a:xfrm>
        <a:prstGeom prst="rect">
          <a:avLst/>
        </a:prstGeom>
        <a:noFill/>
        <a:ln w="9525">
          <a:noFill/>
          <a:miter lim="800000"/>
          <a:headEnd/>
          <a:tailEnd/>
        </a:ln>
      </xdr:spPr>
    </xdr:pic>
    <xdr:clientData/>
  </xdr:twoCellAnchor>
  <xdr:twoCellAnchor>
    <xdr:from>
      <xdr:col>7</xdr:col>
      <xdr:colOff>0</xdr:colOff>
      <xdr:row>29</xdr:row>
      <xdr:rowOff>0</xdr:rowOff>
    </xdr:from>
    <xdr:to>
      <xdr:col>7</xdr:col>
      <xdr:colOff>923925</xdr:colOff>
      <xdr:row>30</xdr:row>
      <xdr:rowOff>19050</xdr:rowOff>
    </xdr:to>
    <xdr:pic>
      <xdr:nvPicPr>
        <xdr:cNvPr id="132" name="Picture 226">
          <a:extLst>
            <a:ext uri="{FF2B5EF4-FFF2-40B4-BE49-F238E27FC236}">
              <a16:creationId xmlns:a16="http://schemas.microsoft.com/office/drawing/2014/main" id="{00000000-0008-0000-0400-000084000000}"/>
            </a:ext>
          </a:extLst>
        </xdr:cNvPr>
        <xdr:cNvPicPr>
          <a:picLocks noChangeAspect="1" noChangeArrowheads="1"/>
        </xdr:cNvPicPr>
      </xdr:nvPicPr>
      <xdr:blipFill>
        <a:blip xmlns:r="http://schemas.openxmlformats.org/officeDocument/2006/relationships" r:embed="rId2"/>
        <a:srcRect/>
        <a:stretch>
          <a:fillRect/>
        </a:stretch>
      </xdr:blipFill>
      <xdr:spPr>
        <a:xfrm>
          <a:off x="4981575" y="5781675"/>
          <a:ext cx="923925" cy="219075"/>
        </a:xfrm>
        <a:prstGeom prst="rect">
          <a:avLst/>
        </a:prstGeom>
        <a:noFill/>
        <a:ln w="9525">
          <a:noFill/>
          <a:miter lim="800000"/>
          <a:headEnd/>
          <a:tailEnd/>
        </a:ln>
      </xdr:spPr>
    </xdr:pic>
    <xdr:clientData/>
  </xdr:twoCellAnchor>
  <xdr:twoCellAnchor>
    <xdr:from>
      <xdr:col>7</xdr:col>
      <xdr:colOff>0</xdr:colOff>
      <xdr:row>30</xdr:row>
      <xdr:rowOff>0</xdr:rowOff>
    </xdr:from>
    <xdr:to>
      <xdr:col>7</xdr:col>
      <xdr:colOff>1066800</xdr:colOff>
      <xdr:row>31</xdr:row>
      <xdr:rowOff>19050</xdr:rowOff>
    </xdr:to>
    <xdr:pic>
      <xdr:nvPicPr>
        <xdr:cNvPr id="133" name="Picture 227">
          <a:extLst>
            <a:ext uri="{FF2B5EF4-FFF2-40B4-BE49-F238E27FC236}">
              <a16:creationId xmlns:a16="http://schemas.microsoft.com/office/drawing/2014/main" id="{00000000-0008-0000-0400-000085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5981700"/>
          <a:ext cx="1066800" cy="219075"/>
        </a:xfrm>
        <a:prstGeom prst="rect">
          <a:avLst/>
        </a:prstGeom>
        <a:noFill/>
        <a:ln w="9525">
          <a:noFill/>
          <a:miter lim="800000"/>
          <a:headEnd/>
          <a:tailEnd/>
        </a:ln>
      </xdr:spPr>
    </xdr:pic>
    <xdr:clientData/>
  </xdr:twoCellAnchor>
  <xdr:twoCellAnchor>
    <xdr:from>
      <xdr:col>7</xdr:col>
      <xdr:colOff>0</xdr:colOff>
      <xdr:row>31</xdr:row>
      <xdr:rowOff>0</xdr:rowOff>
    </xdr:from>
    <xdr:to>
      <xdr:col>7</xdr:col>
      <xdr:colOff>1047750</xdr:colOff>
      <xdr:row>32</xdr:row>
      <xdr:rowOff>28575</xdr:rowOff>
    </xdr:to>
    <xdr:pic>
      <xdr:nvPicPr>
        <xdr:cNvPr id="134" name="Picture 228">
          <a:extLst>
            <a:ext uri="{FF2B5EF4-FFF2-40B4-BE49-F238E27FC236}">
              <a16:creationId xmlns:a16="http://schemas.microsoft.com/office/drawing/2014/main" id="{00000000-0008-0000-0400-000086000000}"/>
            </a:ext>
          </a:extLst>
        </xdr:cNvPr>
        <xdr:cNvPicPr>
          <a:picLocks noChangeAspect="1" noChangeArrowheads="1"/>
        </xdr:cNvPicPr>
      </xdr:nvPicPr>
      <xdr:blipFill>
        <a:blip xmlns:r="http://schemas.openxmlformats.org/officeDocument/2006/relationships" r:embed="rId4"/>
        <a:srcRect/>
        <a:stretch>
          <a:fillRect/>
        </a:stretch>
      </xdr:blipFill>
      <xdr:spPr>
        <a:xfrm>
          <a:off x="4981575" y="6181725"/>
          <a:ext cx="1047750" cy="228600"/>
        </a:xfrm>
        <a:prstGeom prst="rect">
          <a:avLst/>
        </a:prstGeom>
        <a:noFill/>
        <a:ln w="9525">
          <a:noFill/>
          <a:miter lim="800000"/>
          <a:headEnd/>
          <a:tailEnd/>
        </a:ln>
      </xdr:spPr>
    </xdr:pic>
    <xdr:clientData/>
  </xdr:twoCellAnchor>
  <xdr:twoCellAnchor>
    <xdr:from>
      <xdr:col>7</xdr:col>
      <xdr:colOff>0</xdr:colOff>
      <xdr:row>32</xdr:row>
      <xdr:rowOff>0</xdr:rowOff>
    </xdr:from>
    <xdr:to>
      <xdr:col>7</xdr:col>
      <xdr:colOff>1066800</xdr:colOff>
      <xdr:row>32</xdr:row>
      <xdr:rowOff>152400</xdr:rowOff>
    </xdr:to>
    <xdr:pic>
      <xdr:nvPicPr>
        <xdr:cNvPr id="135" name="Picture 229">
          <a:extLst>
            <a:ext uri="{FF2B5EF4-FFF2-40B4-BE49-F238E27FC236}">
              <a16:creationId xmlns:a16="http://schemas.microsoft.com/office/drawing/2014/main" id="{00000000-0008-0000-0400-000087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6381750"/>
          <a:ext cx="1066800" cy="152400"/>
        </a:xfrm>
        <a:prstGeom prst="rect">
          <a:avLst/>
        </a:prstGeom>
        <a:noFill/>
        <a:ln w="9525">
          <a:noFill/>
          <a:miter lim="800000"/>
          <a:headEnd/>
          <a:tailEnd/>
        </a:ln>
      </xdr:spPr>
    </xdr:pic>
    <xdr:clientData/>
  </xdr:twoCellAnchor>
  <xdr:twoCellAnchor>
    <xdr:from>
      <xdr:col>7</xdr:col>
      <xdr:colOff>0</xdr:colOff>
      <xdr:row>27</xdr:row>
      <xdr:rowOff>0</xdr:rowOff>
    </xdr:from>
    <xdr:to>
      <xdr:col>7</xdr:col>
      <xdr:colOff>1066800</xdr:colOff>
      <xdr:row>28</xdr:row>
      <xdr:rowOff>19050</xdr:rowOff>
    </xdr:to>
    <xdr:pic>
      <xdr:nvPicPr>
        <xdr:cNvPr id="136" name="Picture 230">
          <a:extLst>
            <a:ext uri="{FF2B5EF4-FFF2-40B4-BE49-F238E27FC236}">
              <a16:creationId xmlns:a16="http://schemas.microsoft.com/office/drawing/2014/main" id="{00000000-0008-0000-0400-000088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5381625"/>
          <a:ext cx="1066800" cy="219075"/>
        </a:xfrm>
        <a:prstGeom prst="rect">
          <a:avLst/>
        </a:prstGeom>
        <a:noFill/>
        <a:ln w="9525">
          <a:noFill/>
          <a:miter lim="800000"/>
          <a:headEnd/>
          <a:tailEnd/>
        </a:ln>
      </xdr:spPr>
    </xdr:pic>
    <xdr:clientData/>
  </xdr:twoCellAnchor>
  <xdr:twoCellAnchor>
    <xdr:from>
      <xdr:col>7</xdr:col>
      <xdr:colOff>0</xdr:colOff>
      <xdr:row>39</xdr:row>
      <xdr:rowOff>0</xdr:rowOff>
    </xdr:from>
    <xdr:to>
      <xdr:col>7</xdr:col>
      <xdr:colOff>1066800</xdr:colOff>
      <xdr:row>40</xdr:row>
      <xdr:rowOff>38100</xdr:rowOff>
    </xdr:to>
    <xdr:pic>
      <xdr:nvPicPr>
        <xdr:cNvPr id="137" name="Picture 234">
          <a:extLst>
            <a:ext uri="{FF2B5EF4-FFF2-40B4-BE49-F238E27FC236}">
              <a16:creationId xmlns:a16="http://schemas.microsoft.com/office/drawing/2014/main" id="{00000000-0008-0000-0400-000089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7781925"/>
          <a:ext cx="1066800" cy="238125"/>
        </a:xfrm>
        <a:prstGeom prst="rect">
          <a:avLst/>
        </a:prstGeom>
        <a:noFill/>
        <a:ln w="9525">
          <a:noFill/>
          <a:miter lim="800000"/>
          <a:headEnd/>
          <a:tailEnd/>
        </a:ln>
      </xdr:spPr>
    </xdr:pic>
    <xdr:clientData/>
  </xdr:twoCellAnchor>
  <xdr:twoCellAnchor>
    <xdr:from>
      <xdr:col>7</xdr:col>
      <xdr:colOff>0</xdr:colOff>
      <xdr:row>40</xdr:row>
      <xdr:rowOff>0</xdr:rowOff>
    </xdr:from>
    <xdr:to>
      <xdr:col>7</xdr:col>
      <xdr:colOff>1047750</xdr:colOff>
      <xdr:row>41</xdr:row>
      <xdr:rowOff>19050</xdr:rowOff>
    </xdr:to>
    <xdr:pic>
      <xdr:nvPicPr>
        <xdr:cNvPr id="138" name="Picture 235">
          <a:extLst>
            <a:ext uri="{FF2B5EF4-FFF2-40B4-BE49-F238E27FC236}">
              <a16:creationId xmlns:a16="http://schemas.microsoft.com/office/drawing/2014/main" id="{00000000-0008-0000-0400-00008A000000}"/>
            </a:ext>
          </a:extLst>
        </xdr:cNvPr>
        <xdr:cNvPicPr>
          <a:picLocks noChangeAspect="1" noChangeArrowheads="1"/>
        </xdr:cNvPicPr>
      </xdr:nvPicPr>
      <xdr:blipFill>
        <a:blip xmlns:r="http://schemas.openxmlformats.org/officeDocument/2006/relationships" r:embed="rId9"/>
        <a:srcRect/>
        <a:stretch>
          <a:fillRect/>
        </a:stretch>
      </xdr:blipFill>
      <xdr:spPr>
        <a:xfrm>
          <a:off x="4981575" y="7981950"/>
          <a:ext cx="1047750" cy="219075"/>
        </a:xfrm>
        <a:prstGeom prst="rect">
          <a:avLst/>
        </a:prstGeom>
        <a:noFill/>
        <a:ln w="9525">
          <a:noFill/>
          <a:miter lim="800000"/>
          <a:headEnd/>
          <a:tailEnd/>
        </a:ln>
      </xdr:spPr>
    </xdr:pic>
    <xdr:clientData/>
  </xdr:twoCellAnchor>
  <xdr:twoCellAnchor>
    <xdr:from>
      <xdr:col>7</xdr:col>
      <xdr:colOff>0</xdr:colOff>
      <xdr:row>41</xdr:row>
      <xdr:rowOff>0</xdr:rowOff>
    </xdr:from>
    <xdr:to>
      <xdr:col>7</xdr:col>
      <xdr:colOff>1066800</xdr:colOff>
      <xdr:row>41</xdr:row>
      <xdr:rowOff>190500</xdr:rowOff>
    </xdr:to>
    <xdr:pic>
      <xdr:nvPicPr>
        <xdr:cNvPr id="139" name="Picture 236">
          <a:extLst>
            <a:ext uri="{FF2B5EF4-FFF2-40B4-BE49-F238E27FC236}">
              <a16:creationId xmlns:a16="http://schemas.microsoft.com/office/drawing/2014/main" id="{00000000-0008-0000-0400-00008B000000}"/>
            </a:ext>
          </a:extLst>
        </xdr:cNvPr>
        <xdr:cNvPicPr>
          <a:picLocks noChangeAspect="1" noChangeArrowheads="1"/>
        </xdr:cNvPicPr>
      </xdr:nvPicPr>
      <xdr:blipFill>
        <a:blip xmlns:r="http://schemas.openxmlformats.org/officeDocument/2006/relationships" r:embed="rId8"/>
        <a:srcRect/>
        <a:stretch>
          <a:fillRect/>
        </a:stretch>
      </xdr:blipFill>
      <xdr:spPr>
        <a:xfrm>
          <a:off x="4981575" y="8181975"/>
          <a:ext cx="1066800" cy="190500"/>
        </a:xfrm>
        <a:prstGeom prst="rect">
          <a:avLst/>
        </a:prstGeom>
        <a:noFill/>
        <a:ln w="9525">
          <a:noFill/>
          <a:miter lim="800000"/>
          <a:headEnd/>
          <a:tailEnd/>
        </a:ln>
      </xdr:spPr>
    </xdr:pic>
    <xdr:clientData/>
  </xdr:twoCellAnchor>
  <xdr:twoCellAnchor>
    <xdr:from>
      <xdr:col>7</xdr:col>
      <xdr:colOff>0</xdr:colOff>
      <xdr:row>38</xdr:row>
      <xdr:rowOff>0</xdr:rowOff>
    </xdr:from>
    <xdr:to>
      <xdr:col>7</xdr:col>
      <xdr:colOff>1066800</xdr:colOff>
      <xdr:row>39</xdr:row>
      <xdr:rowOff>0</xdr:rowOff>
    </xdr:to>
    <xdr:pic>
      <xdr:nvPicPr>
        <xdr:cNvPr id="140" name="Picture 237">
          <a:extLst>
            <a:ext uri="{FF2B5EF4-FFF2-40B4-BE49-F238E27FC236}">
              <a16:creationId xmlns:a16="http://schemas.microsoft.com/office/drawing/2014/main" id="{00000000-0008-0000-0400-00008C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7581900"/>
          <a:ext cx="1066800" cy="200025"/>
        </a:xfrm>
        <a:prstGeom prst="rect">
          <a:avLst/>
        </a:prstGeom>
        <a:noFill/>
        <a:ln w="9525">
          <a:noFill/>
          <a:miter lim="800000"/>
          <a:headEnd/>
          <a:tailEnd/>
        </a:ln>
      </xdr:spPr>
    </xdr:pic>
    <xdr:clientData/>
  </xdr:twoCellAnchor>
  <xdr:twoCellAnchor>
    <xdr:from>
      <xdr:col>7</xdr:col>
      <xdr:colOff>0</xdr:colOff>
      <xdr:row>46</xdr:row>
      <xdr:rowOff>0</xdr:rowOff>
    </xdr:from>
    <xdr:to>
      <xdr:col>7</xdr:col>
      <xdr:colOff>923925</xdr:colOff>
      <xdr:row>47</xdr:row>
      <xdr:rowOff>0</xdr:rowOff>
    </xdr:to>
    <xdr:pic>
      <xdr:nvPicPr>
        <xdr:cNvPr id="141" name="Picture 255">
          <a:extLst>
            <a:ext uri="{FF2B5EF4-FFF2-40B4-BE49-F238E27FC236}">
              <a16:creationId xmlns:a16="http://schemas.microsoft.com/office/drawing/2014/main" id="{00000000-0008-0000-0400-00008D000000}"/>
            </a:ext>
          </a:extLst>
        </xdr:cNvPr>
        <xdr:cNvPicPr>
          <a:picLocks noChangeAspect="1" noChangeArrowheads="1"/>
        </xdr:cNvPicPr>
      </xdr:nvPicPr>
      <xdr:blipFill>
        <a:blip xmlns:r="http://schemas.openxmlformats.org/officeDocument/2006/relationships" r:embed="rId1"/>
        <a:srcRect/>
        <a:stretch>
          <a:fillRect/>
        </a:stretch>
      </xdr:blipFill>
      <xdr:spPr>
        <a:xfrm>
          <a:off x="4981575" y="9182100"/>
          <a:ext cx="923925" cy="200025"/>
        </a:xfrm>
        <a:prstGeom prst="rect">
          <a:avLst/>
        </a:prstGeom>
        <a:noFill/>
        <a:ln w="9525">
          <a:noFill/>
          <a:miter lim="800000"/>
          <a:headEnd/>
          <a:tailEnd/>
        </a:ln>
      </xdr:spPr>
    </xdr:pic>
    <xdr:clientData/>
  </xdr:twoCellAnchor>
  <xdr:twoCellAnchor>
    <xdr:from>
      <xdr:col>7</xdr:col>
      <xdr:colOff>0</xdr:colOff>
      <xdr:row>47</xdr:row>
      <xdr:rowOff>0</xdr:rowOff>
    </xdr:from>
    <xdr:to>
      <xdr:col>7</xdr:col>
      <xdr:colOff>923925</xdr:colOff>
      <xdr:row>48</xdr:row>
      <xdr:rowOff>19050</xdr:rowOff>
    </xdr:to>
    <xdr:pic>
      <xdr:nvPicPr>
        <xdr:cNvPr id="142" name="Picture 256">
          <a:extLst>
            <a:ext uri="{FF2B5EF4-FFF2-40B4-BE49-F238E27FC236}">
              <a16:creationId xmlns:a16="http://schemas.microsoft.com/office/drawing/2014/main" id="{00000000-0008-0000-0400-00008E000000}"/>
            </a:ext>
          </a:extLst>
        </xdr:cNvPr>
        <xdr:cNvPicPr>
          <a:picLocks noChangeAspect="1" noChangeArrowheads="1"/>
        </xdr:cNvPicPr>
      </xdr:nvPicPr>
      <xdr:blipFill>
        <a:blip xmlns:r="http://schemas.openxmlformats.org/officeDocument/2006/relationships" r:embed="rId2"/>
        <a:srcRect/>
        <a:stretch>
          <a:fillRect/>
        </a:stretch>
      </xdr:blipFill>
      <xdr:spPr>
        <a:xfrm>
          <a:off x="4981575" y="9382125"/>
          <a:ext cx="923925" cy="219075"/>
        </a:xfrm>
        <a:prstGeom prst="rect">
          <a:avLst/>
        </a:prstGeom>
        <a:noFill/>
        <a:ln w="9525">
          <a:noFill/>
          <a:miter lim="800000"/>
          <a:headEnd/>
          <a:tailEnd/>
        </a:ln>
      </xdr:spPr>
    </xdr:pic>
    <xdr:clientData/>
  </xdr:twoCellAnchor>
  <xdr:twoCellAnchor>
    <xdr:from>
      <xdr:col>7</xdr:col>
      <xdr:colOff>0</xdr:colOff>
      <xdr:row>48</xdr:row>
      <xdr:rowOff>0</xdr:rowOff>
    </xdr:from>
    <xdr:to>
      <xdr:col>7</xdr:col>
      <xdr:colOff>1066800</xdr:colOff>
      <xdr:row>49</xdr:row>
      <xdr:rowOff>19050</xdr:rowOff>
    </xdr:to>
    <xdr:pic>
      <xdr:nvPicPr>
        <xdr:cNvPr id="143" name="Picture 257">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9582150"/>
          <a:ext cx="1066800" cy="219075"/>
        </a:xfrm>
        <a:prstGeom prst="rect">
          <a:avLst/>
        </a:prstGeom>
        <a:noFill/>
        <a:ln w="9525">
          <a:noFill/>
          <a:miter lim="800000"/>
          <a:headEnd/>
          <a:tailEnd/>
        </a:ln>
      </xdr:spPr>
    </xdr:pic>
    <xdr:clientData/>
  </xdr:twoCellAnchor>
  <xdr:twoCellAnchor>
    <xdr:from>
      <xdr:col>7</xdr:col>
      <xdr:colOff>0</xdr:colOff>
      <xdr:row>49</xdr:row>
      <xdr:rowOff>0</xdr:rowOff>
    </xdr:from>
    <xdr:to>
      <xdr:col>7</xdr:col>
      <xdr:colOff>1047750</xdr:colOff>
      <xdr:row>50</xdr:row>
      <xdr:rowOff>28575</xdr:rowOff>
    </xdr:to>
    <xdr:pic>
      <xdr:nvPicPr>
        <xdr:cNvPr id="144" name="Picture 258">
          <a:extLst>
            <a:ext uri="{FF2B5EF4-FFF2-40B4-BE49-F238E27FC236}">
              <a16:creationId xmlns:a16="http://schemas.microsoft.com/office/drawing/2014/main" id="{00000000-0008-0000-0400-000090000000}"/>
            </a:ext>
          </a:extLst>
        </xdr:cNvPr>
        <xdr:cNvPicPr>
          <a:picLocks noChangeAspect="1" noChangeArrowheads="1"/>
        </xdr:cNvPicPr>
      </xdr:nvPicPr>
      <xdr:blipFill>
        <a:blip xmlns:r="http://schemas.openxmlformats.org/officeDocument/2006/relationships" r:embed="rId4"/>
        <a:srcRect/>
        <a:stretch>
          <a:fillRect/>
        </a:stretch>
      </xdr:blipFill>
      <xdr:spPr>
        <a:xfrm>
          <a:off x="4981575" y="9782175"/>
          <a:ext cx="1047750" cy="228600"/>
        </a:xfrm>
        <a:prstGeom prst="rect">
          <a:avLst/>
        </a:prstGeom>
        <a:noFill/>
        <a:ln w="9525">
          <a:noFill/>
          <a:miter lim="800000"/>
          <a:headEnd/>
          <a:tailEnd/>
        </a:ln>
      </xdr:spPr>
    </xdr:pic>
    <xdr:clientData/>
  </xdr:twoCellAnchor>
  <xdr:twoCellAnchor>
    <xdr:from>
      <xdr:col>7</xdr:col>
      <xdr:colOff>0</xdr:colOff>
      <xdr:row>50</xdr:row>
      <xdr:rowOff>0</xdr:rowOff>
    </xdr:from>
    <xdr:to>
      <xdr:col>7</xdr:col>
      <xdr:colOff>1066800</xdr:colOff>
      <xdr:row>50</xdr:row>
      <xdr:rowOff>152400</xdr:rowOff>
    </xdr:to>
    <xdr:pic>
      <xdr:nvPicPr>
        <xdr:cNvPr id="145" name="Picture 259">
          <a:extLst>
            <a:ext uri="{FF2B5EF4-FFF2-40B4-BE49-F238E27FC236}">
              <a16:creationId xmlns:a16="http://schemas.microsoft.com/office/drawing/2014/main" id="{00000000-0008-0000-0400-000091000000}"/>
            </a:ext>
          </a:extLst>
        </xdr:cNvPr>
        <xdr:cNvPicPr>
          <a:picLocks noChangeAspect="1" noChangeArrowheads="1"/>
        </xdr:cNvPicPr>
      </xdr:nvPicPr>
      <xdr:blipFill>
        <a:blip xmlns:r="http://schemas.openxmlformats.org/officeDocument/2006/relationships" r:embed="rId3"/>
        <a:srcRect/>
        <a:stretch>
          <a:fillRect/>
        </a:stretch>
      </xdr:blipFill>
      <xdr:spPr>
        <a:xfrm>
          <a:off x="4981575" y="9982200"/>
          <a:ext cx="1066800" cy="152400"/>
        </a:xfrm>
        <a:prstGeom prst="rect">
          <a:avLst/>
        </a:prstGeom>
        <a:noFill/>
        <a:ln w="9525">
          <a:noFill/>
          <a:miter lim="800000"/>
          <a:headEnd/>
          <a:tailEnd/>
        </a:ln>
      </xdr:spPr>
    </xdr:pic>
    <xdr:clientData/>
  </xdr:twoCellAnchor>
  <xdr:twoCellAnchor>
    <xdr:from>
      <xdr:col>7</xdr:col>
      <xdr:colOff>0</xdr:colOff>
      <xdr:row>139</xdr:row>
      <xdr:rowOff>0</xdr:rowOff>
    </xdr:from>
    <xdr:to>
      <xdr:col>7</xdr:col>
      <xdr:colOff>1066800</xdr:colOff>
      <xdr:row>140</xdr:row>
      <xdr:rowOff>28575</xdr:rowOff>
    </xdr:to>
    <xdr:pic>
      <xdr:nvPicPr>
        <xdr:cNvPr id="146" name="Picture 347">
          <a:extLst>
            <a:ext uri="{FF2B5EF4-FFF2-40B4-BE49-F238E27FC236}">
              <a16:creationId xmlns:a16="http://schemas.microsoft.com/office/drawing/2014/main" id="{00000000-0008-0000-0400-000092000000}"/>
            </a:ext>
          </a:extLst>
        </xdr:cNvPr>
        <xdr:cNvPicPr>
          <a:picLocks noChangeAspect="1" noChangeArrowheads="1"/>
        </xdr:cNvPicPr>
      </xdr:nvPicPr>
      <xdr:blipFill>
        <a:blip xmlns:r="http://schemas.openxmlformats.org/officeDocument/2006/relationships" r:embed="rId16"/>
        <a:srcRect/>
        <a:stretch>
          <a:fillRect/>
        </a:stretch>
      </xdr:blipFill>
      <xdr:spPr>
        <a:xfrm>
          <a:off x="4981575" y="27784425"/>
          <a:ext cx="1066800" cy="228600"/>
        </a:xfrm>
        <a:prstGeom prst="rect">
          <a:avLst/>
        </a:prstGeom>
        <a:noFill/>
        <a:ln w="9525">
          <a:noFill/>
          <a:miter lim="800000"/>
          <a:headEnd/>
          <a:tailEnd/>
        </a:ln>
      </xdr:spPr>
    </xdr:pic>
    <xdr:clientData/>
  </xdr:twoCellAnchor>
  <xdr:twoCellAnchor>
    <xdr:from>
      <xdr:col>7</xdr:col>
      <xdr:colOff>0</xdr:colOff>
      <xdr:row>140</xdr:row>
      <xdr:rowOff>0</xdr:rowOff>
    </xdr:from>
    <xdr:to>
      <xdr:col>7</xdr:col>
      <xdr:colOff>1162050</xdr:colOff>
      <xdr:row>141</xdr:row>
      <xdr:rowOff>0</xdr:rowOff>
    </xdr:to>
    <xdr:pic>
      <xdr:nvPicPr>
        <xdr:cNvPr id="147" name="Picture 348">
          <a:extLst>
            <a:ext uri="{FF2B5EF4-FFF2-40B4-BE49-F238E27FC236}">
              <a16:creationId xmlns:a16="http://schemas.microsoft.com/office/drawing/2014/main" id="{00000000-0008-0000-0400-000093000000}"/>
            </a:ext>
          </a:extLst>
        </xdr:cNvPr>
        <xdr:cNvPicPr>
          <a:picLocks noChangeAspect="1" noChangeArrowheads="1"/>
        </xdr:cNvPicPr>
      </xdr:nvPicPr>
      <xdr:blipFill>
        <a:blip xmlns:r="http://schemas.openxmlformats.org/officeDocument/2006/relationships" r:embed="rId17"/>
        <a:srcRect/>
        <a:stretch>
          <a:fillRect/>
        </a:stretch>
      </xdr:blipFill>
      <xdr:spPr>
        <a:xfrm>
          <a:off x="4981575" y="27984450"/>
          <a:ext cx="1162050" cy="200025"/>
        </a:xfrm>
        <a:prstGeom prst="rect">
          <a:avLst/>
        </a:prstGeom>
        <a:noFill/>
        <a:ln w="9525">
          <a:noFill/>
          <a:miter lim="800000"/>
          <a:headEnd/>
          <a:tailEnd/>
        </a:ln>
      </xdr:spPr>
    </xdr:pic>
    <xdr:clientData/>
  </xdr:twoCellAnchor>
  <xdr:twoCellAnchor>
    <xdr:from>
      <xdr:col>7</xdr:col>
      <xdr:colOff>0</xdr:colOff>
      <xdr:row>141</xdr:row>
      <xdr:rowOff>0</xdr:rowOff>
    </xdr:from>
    <xdr:to>
      <xdr:col>7</xdr:col>
      <xdr:colOff>1200150</xdr:colOff>
      <xdr:row>141</xdr:row>
      <xdr:rowOff>161925</xdr:rowOff>
    </xdr:to>
    <xdr:pic>
      <xdr:nvPicPr>
        <xdr:cNvPr id="148" name="Picture 349">
          <a:extLst>
            <a:ext uri="{FF2B5EF4-FFF2-40B4-BE49-F238E27FC236}">
              <a16:creationId xmlns:a16="http://schemas.microsoft.com/office/drawing/2014/main" id="{00000000-0008-0000-0400-000094000000}"/>
            </a:ext>
          </a:extLst>
        </xdr:cNvPr>
        <xdr:cNvPicPr>
          <a:picLocks noChangeAspect="1" noChangeArrowheads="1"/>
        </xdr:cNvPicPr>
      </xdr:nvPicPr>
      <xdr:blipFill>
        <a:blip xmlns:r="http://schemas.openxmlformats.org/officeDocument/2006/relationships" r:embed="rId26"/>
        <a:srcRect/>
        <a:stretch>
          <a:fillRect/>
        </a:stretch>
      </xdr:blipFill>
      <xdr:spPr>
        <a:xfrm>
          <a:off x="4981575" y="28184475"/>
          <a:ext cx="1200150" cy="161925"/>
        </a:xfrm>
        <a:prstGeom prst="rect">
          <a:avLst/>
        </a:prstGeom>
        <a:noFill/>
        <a:ln w="9525">
          <a:noFill/>
          <a:miter lim="800000"/>
          <a:headEnd/>
          <a:tailEnd/>
        </a:ln>
      </xdr:spPr>
    </xdr:pic>
    <xdr:clientData/>
  </xdr:twoCellAnchor>
  <xdr:twoCellAnchor editAs="oneCell">
    <xdr:from>
      <xdr:col>0</xdr:col>
      <xdr:colOff>400050</xdr:colOff>
      <xdr:row>150</xdr:row>
      <xdr:rowOff>142875</xdr:rowOff>
    </xdr:from>
    <xdr:to>
      <xdr:col>12</xdr:col>
      <xdr:colOff>495300</xdr:colOff>
      <xdr:row>181</xdr:row>
      <xdr:rowOff>123825</xdr:rowOff>
    </xdr:to>
    <xdr:pic>
      <xdr:nvPicPr>
        <xdr:cNvPr id="149" name="图片 1" descr="ffffffffff">
          <a:extLst>
            <a:ext uri="{FF2B5EF4-FFF2-40B4-BE49-F238E27FC236}">
              <a16:creationId xmlns:a16="http://schemas.microsoft.com/office/drawing/2014/main" id="{00000000-0008-0000-0400-000095000000}"/>
            </a:ext>
          </a:extLst>
        </xdr:cNvPr>
        <xdr:cNvPicPr>
          <a:picLocks noChangeAspect="1" noChangeArrowheads="1"/>
        </xdr:cNvPicPr>
      </xdr:nvPicPr>
      <xdr:blipFill>
        <a:blip xmlns:r="http://schemas.openxmlformats.org/officeDocument/2006/relationships" r:embed="rId27"/>
        <a:srcRect/>
        <a:stretch>
          <a:fillRect/>
        </a:stretch>
      </xdr:blipFill>
      <xdr:spPr>
        <a:xfrm>
          <a:off x="400050" y="30108525"/>
          <a:ext cx="10058400" cy="5591175"/>
        </a:xfrm>
        <a:prstGeom prst="rect">
          <a:avLst/>
        </a:prstGeom>
        <a:noFill/>
        <a:ln w="9525">
          <a:noFill/>
          <a:miter lim="800000"/>
          <a:headEnd/>
          <a:tailEnd/>
        </a:ln>
      </xdr:spPr>
    </xdr:pic>
    <xdr:clientData/>
  </xdr:twoCellAnchor>
  <xdr:twoCellAnchor editAs="absolute">
    <xdr:from>
      <xdr:col>8</xdr:col>
      <xdr:colOff>571499</xdr:colOff>
      <xdr:row>0</xdr:row>
      <xdr:rowOff>0</xdr:rowOff>
    </xdr:from>
    <xdr:to>
      <xdr:col>9</xdr:col>
      <xdr:colOff>986679</xdr:colOff>
      <xdr:row>1</xdr:row>
      <xdr:rowOff>171449</xdr:rowOff>
    </xdr:to>
    <xdr:sp macro="" textlink="">
      <xdr:nvSpPr>
        <xdr:cNvPr id="150" name="五边形 1">
          <a:hlinkClick xmlns:r="http://schemas.openxmlformats.org/officeDocument/2006/relationships" r:id="rId28"/>
          <a:extLst>
            <a:ext uri="{FF2B5EF4-FFF2-40B4-BE49-F238E27FC236}">
              <a16:creationId xmlns:a16="http://schemas.microsoft.com/office/drawing/2014/main" id="{00000000-0008-0000-0400-000096000000}"/>
            </a:ext>
          </a:extLst>
        </xdr:cNvPr>
        <xdr:cNvSpPr>
          <a:spLocks noChangeAspect="1"/>
        </xdr:cNvSpPr>
      </xdr:nvSpPr>
      <xdr:spPr>
        <a:xfrm flipH="1">
          <a:off x="6886574" y="0"/>
          <a:ext cx="986680" cy="3714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16566</xdr:rowOff>
    </xdr:from>
    <xdr:to>
      <xdr:col>1</xdr:col>
      <xdr:colOff>356556</xdr:colOff>
      <xdr:row>0</xdr:row>
      <xdr:rowOff>309840</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500-000002000000}"/>
            </a:ext>
          </a:extLst>
        </xdr:cNvPr>
        <xdr:cNvSpPr>
          <a:spLocks noChangeAspect="1"/>
        </xdr:cNvSpPr>
      </xdr:nvSpPr>
      <xdr:spPr>
        <a:xfrm flipH="1">
          <a:off x="0" y="16566"/>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21</xdr:col>
      <xdr:colOff>0</xdr:colOff>
      <xdr:row>0</xdr:row>
      <xdr:rowOff>0</xdr:rowOff>
    </xdr:from>
    <xdr:to>
      <xdr:col>23</xdr:col>
      <xdr:colOff>150319</xdr:colOff>
      <xdr:row>1</xdr:row>
      <xdr:rowOff>55149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600-000002000000}"/>
            </a:ext>
          </a:extLst>
        </xdr:cNvPr>
        <xdr:cNvSpPr>
          <a:spLocks noChangeAspect="1"/>
        </xdr:cNvSpPr>
      </xdr:nvSpPr>
      <xdr:spPr>
        <a:xfrm flipH="1">
          <a:off x="100965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131269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7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38100</xdr:rowOff>
    </xdr:from>
    <xdr:to>
      <xdr:col>3</xdr:col>
      <xdr:colOff>114300</xdr:colOff>
      <xdr:row>10</xdr:row>
      <xdr:rowOff>123825</xdr:rowOff>
    </xdr:to>
    <xdr:pic>
      <xdr:nvPicPr>
        <xdr:cNvPr id="2" name="Picture 2" descr="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a:srcRect l="32709" t="37000" r="48055" b="32225"/>
        <a:stretch>
          <a:fillRect/>
        </a:stretch>
      </xdr:blipFill>
      <xdr:spPr>
        <a:xfrm>
          <a:off x="57150" y="676275"/>
          <a:ext cx="1724025" cy="1565910"/>
        </a:xfrm>
        <a:prstGeom prst="rect">
          <a:avLst/>
        </a:prstGeom>
        <a:noFill/>
        <a:ln w="9525">
          <a:noFill/>
          <a:miter lim="800000"/>
          <a:headEnd/>
          <a:tailEnd/>
        </a:ln>
      </xdr:spPr>
    </xdr:pic>
    <xdr:clientData/>
  </xdr:twoCellAnchor>
  <xdr:twoCellAnchor editAs="oneCell">
    <xdr:from>
      <xdr:col>0</xdr:col>
      <xdr:colOff>0</xdr:colOff>
      <xdr:row>42</xdr:row>
      <xdr:rowOff>57150</xdr:rowOff>
    </xdr:from>
    <xdr:to>
      <xdr:col>3</xdr:col>
      <xdr:colOff>152400</xdr:colOff>
      <xdr:row>51</xdr:row>
      <xdr:rowOff>133350</xdr:rowOff>
    </xdr:to>
    <xdr:pic>
      <xdr:nvPicPr>
        <xdr:cNvPr id="3" name="Picture 7" descr="1">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srcRect l="32709" t="37000" r="48055" b="31445"/>
        <a:stretch>
          <a:fillRect/>
        </a:stretch>
      </xdr:blipFill>
      <xdr:spPr>
        <a:xfrm>
          <a:off x="0" y="8540750"/>
          <a:ext cx="1819275" cy="1556385"/>
        </a:xfrm>
        <a:prstGeom prst="rect">
          <a:avLst/>
        </a:prstGeom>
        <a:noFill/>
        <a:ln w="9525">
          <a:noFill/>
          <a:miter lim="800000"/>
          <a:headEnd/>
          <a:tailEnd/>
        </a:ln>
      </xdr:spPr>
    </xdr:pic>
    <xdr:clientData/>
  </xdr:twoCellAnchor>
  <xdr:twoCellAnchor editAs="oneCell">
    <xdr:from>
      <xdr:col>3</xdr:col>
      <xdr:colOff>47625</xdr:colOff>
      <xdr:row>1</xdr:row>
      <xdr:rowOff>19050</xdr:rowOff>
    </xdr:from>
    <xdr:to>
      <xdr:col>6</xdr:col>
      <xdr:colOff>466725</xdr:colOff>
      <xdr:row>10</xdr:row>
      <xdr:rowOff>123825</xdr:rowOff>
    </xdr:to>
    <xdr:pic>
      <xdr:nvPicPr>
        <xdr:cNvPr id="4" name="Picture 15" descr="3">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srcRect l="38036" t="34448" r="51097" b="44817"/>
        <a:stretch>
          <a:fillRect/>
        </a:stretch>
      </xdr:blipFill>
      <xdr:spPr>
        <a:xfrm>
          <a:off x="1714500" y="657225"/>
          <a:ext cx="1743075" cy="1584960"/>
        </a:xfrm>
        <a:prstGeom prst="rect">
          <a:avLst/>
        </a:prstGeom>
        <a:noFill/>
        <a:ln w="9525">
          <a:noFill/>
          <a:miter lim="800000"/>
          <a:headEnd/>
          <a:tailEnd/>
        </a:ln>
      </xdr:spPr>
    </xdr:pic>
    <xdr:clientData/>
  </xdr:twoCellAnchor>
  <xdr:twoCellAnchor editAs="oneCell">
    <xdr:from>
      <xdr:col>7</xdr:col>
      <xdr:colOff>114300</xdr:colOff>
      <xdr:row>1</xdr:row>
      <xdr:rowOff>19050</xdr:rowOff>
    </xdr:from>
    <xdr:to>
      <xdr:col>11</xdr:col>
      <xdr:colOff>247650</xdr:colOff>
      <xdr:row>2</xdr:row>
      <xdr:rowOff>142875</xdr:rowOff>
    </xdr:to>
    <xdr:pic>
      <xdr:nvPicPr>
        <xdr:cNvPr id="5" name="Picture 16">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a:srcRect l="1111" t="19444" r="86900" b="75954"/>
        <a:stretch>
          <a:fillRect/>
        </a:stretch>
      </xdr:blipFill>
      <xdr:spPr>
        <a:xfrm>
          <a:off x="3648075" y="657225"/>
          <a:ext cx="2000250" cy="288290"/>
        </a:xfrm>
        <a:prstGeom prst="rect">
          <a:avLst/>
        </a:prstGeom>
        <a:noFill/>
        <a:ln w="1">
          <a:noFill/>
          <a:miter lim="800000"/>
          <a:headEnd/>
          <a:tailEnd/>
        </a:ln>
      </xdr:spPr>
    </xdr:pic>
    <xdr:clientData/>
  </xdr:twoCellAnchor>
  <xdr:twoCellAnchor editAs="oneCell">
    <xdr:from>
      <xdr:col>7</xdr:col>
      <xdr:colOff>133350</xdr:colOff>
      <xdr:row>3</xdr:row>
      <xdr:rowOff>0</xdr:rowOff>
    </xdr:from>
    <xdr:to>
      <xdr:col>11</xdr:col>
      <xdr:colOff>276225</xdr:colOff>
      <xdr:row>4</xdr:row>
      <xdr:rowOff>152400</xdr:rowOff>
    </xdr:to>
    <xdr:pic>
      <xdr:nvPicPr>
        <xdr:cNvPr id="6" name="Picture 17">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srcRect l="1666" t="50563" r="87805" b="42949"/>
        <a:stretch>
          <a:fillRect/>
        </a:stretch>
      </xdr:blipFill>
      <xdr:spPr>
        <a:xfrm>
          <a:off x="3667125" y="967105"/>
          <a:ext cx="2009775" cy="316865"/>
        </a:xfrm>
        <a:prstGeom prst="rect">
          <a:avLst/>
        </a:prstGeom>
        <a:noFill/>
        <a:ln w="1">
          <a:noFill/>
          <a:miter lim="800000"/>
          <a:headEnd/>
          <a:tailEnd/>
        </a:ln>
      </xdr:spPr>
    </xdr:pic>
    <xdr:clientData/>
  </xdr:twoCellAnchor>
  <xdr:twoCellAnchor editAs="oneCell">
    <xdr:from>
      <xdr:col>7</xdr:col>
      <xdr:colOff>142875</xdr:colOff>
      <xdr:row>5</xdr:row>
      <xdr:rowOff>0</xdr:rowOff>
    </xdr:from>
    <xdr:to>
      <xdr:col>11</xdr:col>
      <xdr:colOff>247650</xdr:colOff>
      <xdr:row>6</xdr:row>
      <xdr:rowOff>133350</xdr:rowOff>
    </xdr:to>
    <xdr:pic>
      <xdr:nvPicPr>
        <xdr:cNvPr id="7" name="Picture 18">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3"/>
        <a:srcRect l="1102" t="58070" r="87390" b="36491"/>
        <a:stretch>
          <a:fillRect/>
        </a:stretch>
      </xdr:blipFill>
      <xdr:spPr>
        <a:xfrm>
          <a:off x="3676650" y="1296035"/>
          <a:ext cx="1971675" cy="297815"/>
        </a:xfrm>
        <a:prstGeom prst="rect">
          <a:avLst/>
        </a:prstGeom>
        <a:noFill/>
        <a:ln w="1">
          <a:noFill/>
          <a:miter lim="800000"/>
          <a:headEnd/>
          <a:tailEnd/>
        </a:ln>
      </xdr:spPr>
    </xdr:pic>
    <xdr:clientData/>
  </xdr:twoCellAnchor>
  <xdr:twoCellAnchor>
    <xdr:from>
      <xdr:col>7</xdr:col>
      <xdr:colOff>142875</xdr:colOff>
      <xdr:row>7</xdr:row>
      <xdr:rowOff>9525</xdr:rowOff>
    </xdr:from>
    <xdr:to>
      <xdr:col>11</xdr:col>
      <xdr:colOff>238125</xdr:colOff>
      <xdr:row>9</xdr:row>
      <xdr:rowOff>133350</xdr:rowOff>
    </xdr:to>
    <xdr:grpSp>
      <xdr:nvGrpSpPr>
        <xdr:cNvPr id="8" name="Group 22">
          <a:extLst>
            <a:ext uri="{FF2B5EF4-FFF2-40B4-BE49-F238E27FC236}">
              <a16:creationId xmlns:a16="http://schemas.microsoft.com/office/drawing/2014/main" id="{00000000-0008-0000-0800-000008000000}"/>
            </a:ext>
          </a:extLst>
        </xdr:cNvPr>
        <xdr:cNvGrpSpPr/>
      </xdr:nvGrpSpPr>
      <xdr:grpSpPr>
        <a:xfrm>
          <a:off x="3676650" y="1619250"/>
          <a:ext cx="1962150" cy="447675"/>
          <a:chOff x="2592" y="1440"/>
          <a:chExt cx="1104" cy="576"/>
        </a:xfrm>
      </xdr:grpSpPr>
      <xdr:sp macro="" textlink="">
        <xdr:nvSpPr>
          <xdr:cNvPr id="9" name="Rectangle 23">
            <a:extLst>
              <a:ext uri="{FF2B5EF4-FFF2-40B4-BE49-F238E27FC236}">
                <a16:creationId xmlns:a16="http://schemas.microsoft.com/office/drawing/2014/main" id="{00000000-0008-0000-0800-000009000000}"/>
              </a:ext>
            </a:extLst>
          </xdr:cNvPr>
          <xdr:cNvSpPr>
            <a:spLocks noChangeArrowheads="1"/>
          </xdr:cNvSpPr>
        </xdr:nvSpPr>
        <xdr:spPr>
          <a:xfrm>
            <a:off x="2592" y="1440"/>
            <a:ext cx="1104" cy="576"/>
          </a:xfrm>
          <a:prstGeom prst="rect">
            <a:avLst/>
          </a:prstGeom>
          <a:solidFill>
            <a:srgbClr val="99CCFF"/>
          </a:solidFill>
          <a:ln w="12700">
            <a:solidFill>
              <a:srgbClr val="000000"/>
            </a:solidFill>
            <a:miter lim="800000"/>
          </a:ln>
        </xdr:spPr>
      </xdr:sp>
    </xdr:grpSp>
    <xdr:clientData/>
  </xdr:twoCellAnchor>
  <xdr:twoCellAnchor editAs="oneCell">
    <xdr:from>
      <xdr:col>2</xdr:col>
      <xdr:colOff>504825</xdr:colOff>
      <xdr:row>42</xdr:row>
      <xdr:rowOff>47625</xdr:rowOff>
    </xdr:from>
    <xdr:to>
      <xdr:col>6</xdr:col>
      <xdr:colOff>381000</xdr:colOff>
      <xdr:row>51</xdr:row>
      <xdr:rowOff>152400</xdr:rowOff>
    </xdr:to>
    <xdr:pic>
      <xdr:nvPicPr>
        <xdr:cNvPr id="10" name="Picture 26" descr="3">
          <a:extLst>
            <a:ext uri="{FF2B5EF4-FFF2-40B4-BE49-F238E27FC236}">
              <a16:creationId xmlns:a16="http://schemas.microsoft.com/office/drawing/2014/main" id="{00000000-0008-0000-0800-00000A000000}"/>
            </a:ext>
          </a:extLst>
        </xdr:cNvPr>
        <xdr:cNvPicPr>
          <a:picLocks noChangeAspect="1" noChangeArrowheads="1"/>
        </xdr:cNvPicPr>
      </xdr:nvPicPr>
      <xdr:blipFill>
        <a:blip xmlns:r="http://schemas.openxmlformats.org/officeDocument/2006/relationships" r:embed="rId2"/>
        <a:srcRect l="38036" t="34448" r="51097" b="44817"/>
        <a:stretch>
          <a:fillRect/>
        </a:stretch>
      </xdr:blipFill>
      <xdr:spPr>
        <a:xfrm>
          <a:off x="1628775" y="8531225"/>
          <a:ext cx="1743075" cy="1584960"/>
        </a:xfrm>
        <a:prstGeom prst="rect">
          <a:avLst/>
        </a:prstGeom>
        <a:noFill/>
        <a:ln w="9525">
          <a:noFill/>
          <a:miter lim="800000"/>
          <a:headEnd/>
          <a:tailEnd/>
        </a:ln>
      </xdr:spPr>
    </xdr:pic>
    <xdr:clientData/>
  </xdr:twoCellAnchor>
  <xdr:twoCellAnchor editAs="oneCell">
    <xdr:from>
      <xdr:col>7</xdr:col>
      <xdr:colOff>114300</xdr:colOff>
      <xdr:row>42</xdr:row>
      <xdr:rowOff>19050</xdr:rowOff>
    </xdr:from>
    <xdr:to>
      <xdr:col>11</xdr:col>
      <xdr:colOff>247650</xdr:colOff>
      <xdr:row>43</xdr:row>
      <xdr:rowOff>142875</xdr:rowOff>
    </xdr:to>
    <xdr:pic>
      <xdr:nvPicPr>
        <xdr:cNvPr id="11" name="Picture 27">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3"/>
        <a:srcRect l="1111" t="19444" r="86900" b="75954"/>
        <a:stretch>
          <a:fillRect/>
        </a:stretch>
      </xdr:blipFill>
      <xdr:spPr>
        <a:xfrm>
          <a:off x="3648075" y="8502650"/>
          <a:ext cx="2000250" cy="288290"/>
        </a:xfrm>
        <a:prstGeom prst="rect">
          <a:avLst/>
        </a:prstGeom>
        <a:noFill/>
        <a:ln w="1">
          <a:noFill/>
          <a:miter lim="800000"/>
          <a:headEnd/>
          <a:tailEnd/>
        </a:ln>
      </xdr:spPr>
    </xdr:pic>
    <xdr:clientData/>
  </xdr:twoCellAnchor>
  <xdr:twoCellAnchor editAs="oneCell">
    <xdr:from>
      <xdr:col>7</xdr:col>
      <xdr:colOff>133350</xdr:colOff>
      <xdr:row>44</xdr:row>
      <xdr:rowOff>0</xdr:rowOff>
    </xdr:from>
    <xdr:to>
      <xdr:col>11</xdr:col>
      <xdr:colOff>276225</xdr:colOff>
      <xdr:row>45</xdr:row>
      <xdr:rowOff>152400</xdr:rowOff>
    </xdr:to>
    <xdr:pic>
      <xdr:nvPicPr>
        <xdr:cNvPr id="12" name="Picture 28">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3"/>
        <a:srcRect l="1666" t="50563" r="87805" b="42949"/>
        <a:stretch>
          <a:fillRect/>
        </a:stretch>
      </xdr:blipFill>
      <xdr:spPr>
        <a:xfrm>
          <a:off x="3667125" y="8812530"/>
          <a:ext cx="2009775" cy="316865"/>
        </a:xfrm>
        <a:prstGeom prst="rect">
          <a:avLst/>
        </a:prstGeom>
        <a:noFill/>
        <a:ln w="1">
          <a:noFill/>
          <a:miter lim="800000"/>
          <a:headEnd/>
          <a:tailEnd/>
        </a:ln>
      </xdr:spPr>
    </xdr:pic>
    <xdr:clientData/>
  </xdr:twoCellAnchor>
  <xdr:twoCellAnchor editAs="oneCell">
    <xdr:from>
      <xdr:col>7</xdr:col>
      <xdr:colOff>142875</xdr:colOff>
      <xdr:row>46</xdr:row>
      <xdr:rowOff>0</xdr:rowOff>
    </xdr:from>
    <xdr:to>
      <xdr:col>11</xdr:col>
      <xdr:colOff>247650</xdr:colOff>
      <xdr:row>47</xdr:row>
      <xdr:rowOff>133350</xdr:rowOff>
    </xdr:to>
    <xdr:pic>
      <xdr:nvPicPr>
        <xdr:cNvPr id="13" name="Picture 29">
          <a:extLst>
            <a:ext uri="{FF2B5EF4-FFF2-40B4-BE49-F238E27FC236}">
              <a16:creationId xmlns:a16="http://schemas.microsoft.com/office/drawing/2014/main" id="{00000000-0008-0000-0800-00000D000000}"/>
            </a:ext>
          </a:extLst>
        </xdr:cNvPr>
        <xdr:cNvPicPr>
          <a:picLocks noChangeAspect="1" noChangeArrowheads="1"/>
        </xdr:cNvPicPr>
      </xdr:nvPicPr>
      <xdr:blipFill>
        <a:blip xmlns:r="http://schemas.openxmlformats.org/officeDocument/2006/relationships" r:embed="rId3"/>
        <a:srcRect l="1102" t="58070" r="87390" b="36491"/>
        <a:stretch>
          <a:fillRect/>
        </a:stretch>
      </xdr:blipFill>
      <xdr:spPr>
        <a:xfrm>
          <a:off x="3676650" y="9141460"/>
          <a:ext cx="1971675" cy="297815"/>
        </a:xfrm>
        <a:prstGeom prst="rect">
          <a:avLst/>
        </a:prstGeom>
        <a:noFill/>
        <a:ln w="1">
          <a:noFill/>
          <a:miter lim="800000"/>
          <a:headEnd/>
          <a:tailEnd/>
        </a:ln>
      </xdr:spPr>
    </xdr:pic>
    <xdr:clientData/>
  </xdr:twoCellAnchor>
  <xdr:twoCellAnchor>
    <xdr:from>
      <xdr:col>7</xdr:col>
      <xdr:colOff>142875</xdr:colOff>
      <xdr:row>48</xdr:row>
      <xdr:rowOff>9525</xdr:rowOff>
    </xdr:from>
    <xdr:to>
      <xdr:col>11</xdr:col>
      <xdr:colOff>238125</xdr:colOff>
      <xdr:row>50</xdr:row>
      <xdr:rowOff>133350</xdr:rowOff>
    </xdr:to>
    <xdr:grpSp>
      <xdr:nvGrpSpPr>
        <xdr:cNvPr id="14" name="Group 30">
          <a:extLst>
            <a:ext uri="{FF2B5EF4-FFF2-40B4-BE49-F238E27FC236}">
              <a16:creationId xmlns:a16="http://schemas.microsoft.com/office/drawing/2014/main" id="{00000000-0008-0000-0800-00000E000000}"/>
            </a:ext>
          </a:extLst>
        </xdr:cNvPr>
        <xdr:cNvGrpSpPr/>
      </xdr:nvGrpSpPr>
      <xdr:grpSpPr>
        <a:xfrm>
          <a:off x="3676650" y="9439275"/>
          <a:ext cx="1962150" cy="447675"/>
          <a:chOff x="2592" y="1440"/>
          <a:chExt cx="1104" cy="576"/>
        </a:xfrm>
      </xdr:grpSpPr>
      <xdr:sp macro="" textlink="">
        <xdr:nvSpPr>
          <xdr:cNvPr id="15" name="Rectangle 31">
            <a:extLst>
              <a:ext uri="{FF2B5EF4-FFF2-40B4-BE49-F238E27FC236}">
                <a16:creationId xmlns:a16="http://schemas.microsoft.com/office/drawing/2014/main" id="{00000000-0008-0000-0800-00000F000000}"/>
              </a:ext>
            </a:extLst>
          </xdr:cNvPr>
          <xdr:cNvSpPr>
            <a:spLocks noChangeArrowheads="1"/>
          </xdr:cNvSpPr>
        </xdr:nvSpPr>
        <xdr:spPr>
          <a:xfrm>
            <a:off x="2592" y="1440"/>
            <a:ext cx="1104" cy="576"/>
          </a:xfrm>
          <a:prstGeom prst="rect">
            <a:avLst/>
          </a:prstGeom>
          <a:solidFill>
            <a:srgbClr val="99CCFF"/>
          </a:solidFill>
          <a:ln w="12700">
            <a:solidFill>
              <a:srgbClr val="000000"/>
            </a:solidFill>
            <a:miter lim="800000"/>
          </a:ln>
        </xdr:spPr>
      </xdr:sp>
    </xdr:grpSp>
    <xdr:clientData/>
  </xdr:twoCellAnchor>
  <xdr:twoCellAnchor editAs="oneCell">
    <xdr:from>
      <xdr:col>0</xdr:col>
      <xdr:colOff>57150</xdr:colOff>
      <xdr:row>81</xdr:row>
      <xdr:rowOff>38100</xdr:rowOff>
    </xdr:from>
    <xdr:to>
      <xdr:col>3</xdr:col>
      <xdr:colOff>114300</xdr:colOff>
      <xdr:row>90</xdr:row>
      <xdr:rowOff>123825</xdr:rowOff>
    </xdr:to>
    <xdr:pic>
      <xdr:nvPicPr>
        <xdr:cNvPr id="16" name="Picture 33" descr="1">
          <a:extLst>
            <a:ext uri="{FF2B5EF4-FFF2-40B4-BE49-F238E27FC236}">
              <a16:creationId xmlns:a16="http://schemas.microsoft.com/office/drawing/2014/main" id="{00000000-0008-0000-0800-000010000000}"/>
            </a:ext>
          </a:extLst>
        </xdr:cNvPr>
        <xdr:cNvPicPr>
          <a:picLocks noChangeAspect="1" noChangeArrowheads="1"/>
        </xdr:cNvPicPr>
      </xdr:nvPicPr>
      <xdr:blipFill>
        <a:blip xmlns:r="http://schemas.openxmlformats.org/officeDocument/2006/relationships" r:embed="rId1"/>
        <a:srcRect l="32709" t="37000" r="48055" b="32225"/>
        <a:stretch>
          <a:fillRect/>
        </a:stretch>
      </xdr:blipFill>
      <xdr:spPr>
        <a:xfrm>
          <a:off x="57150" y="16005175"/>
          <a:ext cx="1724025" cy="1565910"/>
        </a:xfrm>
        <a:prstGeom prst="rect">
          <a:avLst/>
        </a:prstGeom>
        <a:noFill/>
        <a:ln w="9525">
          <a:noFill/>
          <a:miter lim="800000"/>
          <a:headEnd/>
          <a:tailEnd/>
        </a:ln>
      </xdr:spPr>
    </xdr:pic>
    <xdr:clientData/>
  </xdr:twoCellAnchor>
  <xdr:twoCellAnchor editAs="oneCell">
    <xdr:from>
      <xdr:col>3</xdr:col>
      <xdr:colOff>47625</xdr:colOff>
      <xdr:row>81</xdr:row>
      <xdr:rowOff>19050</xdr:rowOff>
    </xdr:from>
    <xdr:to>
      <xdr:col>6</xdr:col>
      <xdr:colOff>466725</xdr:colOff>
      <xdr:row>90</xdr:row>
      <xdr:rowOff>123825</xdr:rowOff>
    </xdr:to>
    <xdr:pic>
      <xdr:nvPicPr>
        <xdr:cNvPr id="17" name="Picture 34" descr="3">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2"/>
        <a:srcRect l="38036" t="34448" r="51097" b="44817"/>
        <a:stretch>
          <a:fillRect/>
        </a:stretch>
      </xdr:blipFill>
      <xdr:spPr>
        <a:xfrm>
          <a:off x="1714500" y="15986125"/>
          <a:ext cx="1743075" cy="1584960"/>
        </a:xfrm>
        <a:prstGeom prst="rect">
          <a:avLst/>
        </a:prstGeom>
        <a:noFill/>
        <a:ln w="9525">
          <a:noFill/>
          <a:miter lim="800000"/>
          <a:headEnd/>
          <a:tailEnd/>
        </a:ln>
      </xdr:spPr>
    </xdr:pic>
    <xdr:clientData/>
  </xdr:twoCellAnchor>
  <xdr:twoCellAnchor editAs="oneCell">
    <xdr:from>
      <xdr:col>7</xdr:col>
      <xdr:colOff>114300</xdr:colOff>
      <xdr:row>81</xdr:row>
      <xdr:rowOff>19050</xdr:rowOff>
    </xdr:from>
    <xdr:to>
      <xdr:col>11</xdr:col>
      <xdr:colOff>247650</xdr:colOff>
      <xdr:row>82</xdr:row>
      <xdr:rowOff>142875</xdr:rowOff>
    </xdr:to>
    <xdr:pic>
      <xdr:nvPicPr>
        <xdr:cNvPr id="18" name="Picture 35">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3"/>
        <a:srcRect l="1111" t="19444" r="86900" b="75954"/>
        <a:stretch>
          <a:fillRect/>
        </a:stretch>
      </xdr:blipFill>
      <xdr:spPr>
        <a:xfrm>
          <a:off x="3648075" y="15986125"/>
          <a:ext cx="2000250" cy="288290"/>
        </a:xfrm>
        <a:prstGeom prst="rect">
          <a:avLst/>
        </a:prstGeom>
        <a:noFill/>
        <a:ln w="1">
          <a:noFill/>
          <a:miter lim="800000"/>
          <a:headEnd/>
          <a:tailEnd/>
        </a:ln>
      </xdr:spPr>
    </xdr:pic>
    <xdr:clientData/>
  </xdr:twoCellAnchor>
  <xdr:twoCellAnchor editAs="oneCell">
    <xdr:from>
      <xdr:col>7</xdr:col>
      <xdr:colOff>133350</xdr:colOff>
      <xdr:row>83</xdr:row>
      <xdr:rowOff>0</xdr:rowOff>
    </xdr:from>
    <xdr:to>
      <xdr:col>11</xdr:col>
      <xdr:colOff>276225</xdr:colOff>
      <xdr:row>84</xdr:row>
      <xdr:rowOff>152400</xdr:rowOff>
    </xdr:to>
    <xdr:pic>
      <xdr:nvPicPr>
        <xdr:cNvPr id="19" name="Picture 36">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3"/>
        <a:srcRect l="1666" t="50563" r="87805" b="42949"/>
        <a:stretch>
          <a:fillRect/>
        </a:stretch>
      </xdr:blipFill>
      <xdr:spPr>
        <a:xfrm>
          <a:off x="3667125" y="16296005"/>
          <a:ext cx="2009775" cy="316865"/>
        </a:xfrm>
        <a:prstGeom prst="rect">
          <a:avLst/>
        </a:prstGeom>
        <a:noFill/>
        <a:ln w="1">
          <a:noFill/>
          <a:miter lim="800000"/>
          <a:headEnd/>
          <a:tailEnd/>
        </a:ln>
      </xdr:spPr>
    </xdr:pic>
    <xdr:clientData/>
  </xdr:twoCellAnchor>
  <xdr:twoCellAnchor editAs="oneCell">
    <xdr:from>
      <xdr:col>7</xdr:col>
      <xdr:colOff>142875</xdr:colOff>
      <xdr:row>85</xdr:row>
      <xdr:rowOff>0</xdr:rowOff>
    </xdr:from>
    <xdr:to>
      <xdr:col>11</xdr:col>
      <xdr:colOff>247650</xdr:colOff>
      <xdr:row>86</xdr:row>
      <xdr:rowOff>133350</xdr:rowOff>
    </xdr:to>
    <xdr:pic>
      <xdr:nvPicPr>
        <xdr:cNvPr id="20" name="Picture 37">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3"/>
        <a:srcRect l="1102" t="58070" r="87390" b="36491"/>
        <a:stretch>
          <a:fillRect/>
        </a:stretch>
      </xdr:blipFill>
      <xdr:spPr>
        <a:xfrm>
          <a:off x="3676650" y="16624935"/>
          <a:ext cx="1971675" cy="297815"/>
        </a:xfrm>
        <a:prstGeom prst="rect">
          <a:avLst/>
        </a:prstGeom>
        <a:noFill/>
        <a:ln w="1">
          <a:noFill/>
          <a:miter lim="800000"/>
          <a:headEnd/>
          <a:tailEnd/>
        </a:ln>
      </xdr:spPr>
    </xdr:pic>
    <xdr:clientData/>
  </xdr:twoCellAnchor>
  <xdr:twoCellAnchor>
    <xdr:from>
      <xdr:col>7</xdr:col>
      <xdr:colOff>142875</xdr:colOff>
      <xdr:row>87</xdr:row>
      <xdr:rowOff>9525</xdr:rowOff>
    </xdr:from>
    <xdr:to>
      <xdr:col>11</xdr:col>
      <xdr:colOff>238125</xdr:colOff>
      <xdr:row>89</xdr:row>
      <xdr:rowOff>133350</xdr:rowOff>
    </xdr:to>
    <xdr:grpSp>
      <xdr:nvGrpSpPr>
        <xdr:cNvPr id="21" name="Group 38">
          <a:extLst>
            <a:ext uri="{FF2B5EF4-FFF2-40B4-BE49-F238E27FC236}">
              <a16:creationId xmlns:a16="http://schemas.microsoft.com/office/drawing/2014/main" id="{00000000-0008-0000-0800-000015000000}"/>
            </a:ext>
          </a:extLst>
        </xdr:cNvPr>
        <xdr:cNvGrpSpPr/>
      </xdr:nvGrpSpPr>
      <xdr:grpSpPr>
        <a:xfrm>
          <a:off x="3676650" y="16897350"/>
          <a:ext cx="1962150" cy="447675"/>
          <a:chOff x="2592" y="1440"/>
          <a:chExt cx="1104" cy="576"/>
        </a:xfrm>
      </xdr:grpSpPr>
      <xdr:sp macro="" textlink="">
        <xdr:nvSpPr>
          <xdr:cNvPr id="22" name="Rectangle 39">
            <a:extLst>
              <a:ext uri="{FF2B5EF4-FFF2-40B4-BE49-F238E27FC236}">
                <a16:creationId xmlns:a16="http://schemas.microsoft.com/office/drawing/2014/main" id="{00000000-0008-0000-0800-000016000000}"/>
              </a:ext>
            </a:extLst>
          </xdr:cNvPr>
          <xdr:cNvSpPr>
            <a:spLocks noChangeArrowheads="1"/>
          </xdr:cNvSpPr>
        </xdr:nvSpPr>
        <xdr:spPr>
          <a:xfrm>
            <a:off x="2592" y="1440"/>
            <a:ext cx="1104" cy="576"/>
          </a:xfrm>
          <a:prstGeom prst="rect">
            <a:avLst/>
          </a:prstGeom>
          <a:solidFill>
            <a:srgbClr val="99CCFF"/>
          </a:solidFill>
          <a:ln w="12700">
            <a:solidFill>
              <a:srgbClr val="000000"/>
            </a:solidFill>
            <a:miter lim="800000"/>
          </a:ln>
        </xdr:spPr>
      </xdr:sp>
    </xdr:grpSp>
    <xdr:clientData/>
  </xdr:twoCellAnchor>
  <xdr:twoCellAnchor editAs="oneCell">
    <xdr:from>
      <xdr:col>0</xdr:col>
      <xdr:colOff>57150</xdr:colOff>
      <xdr:row>118</xdr:row>
      <xdr:rowOff>38100</xdr:rowOff>
    </xdr:from>
    <xdr:to>
      <xdr:col>3</xdr:col>
      <xdr:colOff>114300</xdr:colOff>
      <xdr:row>127</xdr:row>
      <xdr:rowOff>123825</xdr:rowOff>
    </xdr:to>
    <xdr:pic>
      <xdr:nvPicPr>
        <xdr:cNvPr id="23" name="Picture 41" descr="1">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
        <a:srcRect l="32709" t="37000" r="48055" b="32225"/>
        <a:stretch>
          <a:fillRect/>
        </a:stretch>
      </xdr:blipFill>
      <xdr:spPr>
        <a:xfrm>
          <a:off x="57150" y="22917150"/>
          <a:ext cx="1724025" cy="1565910"/>
        </a:xfrm>
        <a:prstGeom prst="rect">
          <a:avLst/>
        </a:prstGeom>
        <a:noFill/>
        <a:ln w="9525">
          <a:noFill/>
          <a:miter lim="800000"/>
          <a:headEnd/>
          <a:tailEnd/>
        </a:ln>
      </xdr:spPr>
    </xdr:pic>
    <xdr:clientData/>
  </xdr:twoCellAnchor>
  <xdr:twoCellAnchor editAs="oneCell">
    <xdr:from>
      <xdr:col>3</xdr:col>
      <xdr:colOff>47625</xdr:colOff>
      <xdr:row>118</xdr:row>
      <xdr:rowOff>19050</xdr:rowOff>
    </xdr:from>
    <xdr:to>
      <xdr:col>6</xdr:col>
      <xdr:colOff>466725</xdr:colOff>
      <xdr:row>127</xdr:row>
      <xdr:rowOff>123825</xdr:rowOff>
    </xdr:to>
    <xdr:pic>
      <xdr:nvPicPr>
        <xdr:cNvPr id="24" name="Picture 42" descr="3">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2"/>
        <a:srcRect l="38036" t="34448" r="51097" b="44817"/>
        <a:stretch>
          <a:fillRect/>
        </a:stretch>
      </xdr:blipFill>
      <xdr:spPr>
        <a:xfrm>
          <a:off x="1714500" y="22898100"/>
          <a:ext cx="1743075" cy="1584960"/>
        </a:xfrm>
        <a:prstGeom prst="rect">
          <a:avLst/>
        </a:prstGeom>
        <a:noFill/>
        <a:ln w="9525">
          <a:noFill/>
          <a:miter lim="800000"/>
          <a:headEnd/>
          <a:tailEnd/>
        </a:ln>
      </xdr:spPr>
    </xdr:pic>
    <xdr:clientData/>
  </xdr:twoCellAnchor>
  <xdr:twoCellAnchor editAs="oneCell">
    <xdr:from>
      <xdr:col>7</xdr:col>
      <xdr:colOff>114300</xdr:colOff>
      <xdr:row>118</xdr:row>
      <xdr:rowOff>19050</xdr:rowOff>
    </xdr:from>
    <xdr:to>
      <xdr:col>11</xdr:col>
      <xdr:colOff>247650</xdr:colOff>
      <xdr:row>119</xdr:row>
      <xdr:rowOff>142875</xdr:rowOff>
    </xdr:to>
    <xdr:pic>
      <xdr:nvPicPr>
        <xdr:cNvPr id="25" name="Picture 43">
          <a:extLst>
            <a:ext uri="{FF2B5EF4-FFF2-40B4-BE49-F238E27FC236}">
              <a16:creationId xmlns:a16="http://schemas.microsoft.com/office/drawing/2014/main" id="{00000000-0008-0000-0800-000019000000}"/>
            </a:ext>
          </a:extLst>
        </xdr:cNvPr>
        <xdr:cNvPicPr>
          <a:picLocks noChangeAspect="1" noChangeArrowheads="1"/>
        </xdr:cNvPicPr>
      </xdr:nvPicPr>
      <xdr:blipFill>
        <a:blip xmlns:r="http://schemas.openxmlformats.org/officeDocument/2006/relationships" r:embed="rId3"/>
        <a:srcRect l="1111" t="19444" r="86900" b="75954"/>
        <a:stretch>
          <a:fillRect/>
        </a:stretch>
      </xdr:blipFill>
      <xdr:spPr>
        <a:xfrm>
          <a:off x="3648075" y="22898100"/>
          <a:ext cx="2000250" cy="288290"/>
        </a:xfrm>
        <a:prstGeom prst="rect">
          <a:avLst/>
        </a:prstGeom>
        <a:noFill/>
        <a:ln w="1">
          <a:noFill/>
          <a:miter lim="800000"/>
          <a:headEnd/>
          <a:tailEnd/>
        </a:ln>
      </xdr:spPr>
    </xdr:pic>
    <xdr:clientData/>
  </xdr:twoCellAnchor>
  <xdr:twoCellAnchor editAs="oneCell">
    <xdr:from>
      <xdr:col>7</xdr:col>
      <xdr:colOff>133350</xdr:colOff>
      <xdr:row>120</xdr:row>
      <xdr:rowOff>0</xdr:rowOff>
    </xdr:from>
    <xdr:to>
      <xdr:col>11</xdr:col>
      <xdr:colOff>276225</xdr:colOff>
      <xdr:row>121</xdr:row>
      <xdr:rowOff>152400</xdr:rowOff>
    </xdr:to>
    <xdr:pic>
      <xdr:nvPicPr>
        <xdr:cNvPr id="26" name="Picture 44">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3"/>
        <a:srcRect l="1666" t="50563" r="87805" b="42949"/>
        <a:stretch>
          <a:fillRect/>
        </a:stretch>
      </xdr:blipFill>
      <xdr:spPr>
        <a:xfrm>
          <a:off x="3667125" y="23207980"/>
          <a:ext cx="2009775" cy="316865"/>
        </a:xfrm>
        <a:prstGeom prst="rect">
          <a:avLst/>
        </a:prstGeom>
        <a:noFill/>
        <a:ln w="1">
          <a:noFill/>
          <a:miter lim="800000"/>
          <a:headEnd/>
          <a:tailEnd/>
        </a:ln>
      </xdr:spPr>
    </xdr:pic>
    <xdr:clientData/>
  </xdr:twoCellAnchor>
  <xdr:twoCellAnchor editAs="oneCell">
    <xdr:from>
      <xdr:col>7</xdr:col>
      <xdr:colOff>142875</xdr:colOff>
      <xdr:row>122</xdr:row>
      <xdr:rowOff>0</xdr:rowOff>
    </xdr:from>
    <xdr:to>
      <xdr:col>11</xdr:col>
      <xdr:colOff>247650</xdr:colOff>
      <xdr:row>123</xdr:row>
      <xdr:rowOff>133350</xdr:rowOff>
    </xdr:to>
    <xdr:pic>
      <xdr:nvPicPr>
        <xdr:cNvPr id="27" name="Picture 45">
          <a:extLst>
            <a:ext uri="{FF2B5EF4-FFF2-40B4-BE49-F238E27FC236}">
              <a16:creationId xmlns:a16="http://schemas.microsoft.com/office/drawing/2014/main" id="{00000000-0008-0000-0800-00001B000000}"/>
            </a:ext>
          </a:extLst>
        </xdr:cNvPr>
        <xdr:cNvPicPr>
          <a:picLocks noChangeAspect="1" noChangeArrowheads="1"/>
        </xdr:cNvPicPr>
      </xdr:nvPicPr>
      <xdr:blipFill>
        <a:blip xmlns:r="http://schemas.openxmlformats.org/officeDocument/2006/relationships" r:embed="rId3"/>
        <a:srcRect l="1102" t="58070" r="87390" b="36491"/>
        <a:stretch>
          <a:fillRect/>
        </a:stretch>
      </xdr:blipFill>
      <xdr:spPr>
        <a:xfrm>
          <a:off x="3676650" y="23536910"/>
          <a:ext cx="1971675" cy="297815"/>
        </a:xfrm>
        <a:prstGeom prst="rect">
          <a:avLst/>
        </a:prstGeom>
        <a:noFill/>
        <a:ln w="1">
          <a:noFill/>
          <a:miter lim="800000"/>
          <a:headEnd/>
          <a:tailEnd/>
        </a:ln>
      </xdr:spPr>
    </xdr:pic>
    <xdr:clientData/>
  </xdr:twoCellAnchor>
  <xdr:twoCellAnchor>
    <xdr:from>
      <xdr:col>7</xdr:col>
      <xdr:colOff>142875</xdr:colOff>
      <xdr:row>124</xdr:row>
      <xdr:rowOff>9525</xdr:rowOff>
    </xdr:from>
    <xdr:to>
      <xdr:col>11</xdr:col>
      <xdr:colOff>238125</xdr:colOff>
      <xdr:row>126</xdr:row>
      <xdr:rowOff>133350</xdr:rowOff>
    </xdr:to>
    <xdr:grpSp>
      <xdr:nvGrpSpPr>
        <xdr:cNvPr id="28" name="Group 46">
          <a:extLst>
            <a:ext uri="{FF2B5EF4-FFF2-40B4-BE49-F238E27FC236}">
              <a16:creationId xmlns:a16="http://schemas.microsoft.com/office/drawing/2014/main" id="{00000000-0008-0000-0800-00001C000000}"/>
            </a:ext>
          </a:extLst>
        </xdr:cNvPr>
        <xdr:cNvGrpSpPr/>
      </xdr:nvGrpSpPr>
      <xdr:grpSpPr>
        <a:xfrm>
          <a:off x="3676650" y="23783925"/>
          <a:ext cx="1962150" cy="447675"/>
          <a:chOff x="2592" y="1440"/>
          <a:chExt cx="1104" cy="576"/>
        </a:xfrm>
      </xdr:grpSpPr>
      <xdr:sp macro="" textlink="">
        <xdr:nvSpPr>
          <xdr:cNvPr id="29" name="Rectangle 47">
            <a:extLst>
              <a:ext uri="{FF2B5EF4-FFF2-40B4-BE49-F238E27FC236}">
                <a16:creationId xmlns:a16="http://schemas.microsoft.com/office/drawing/2014/main" id="{00000000-0008-0000-0800-00001D000000}"/>
              </a:ext>
            </a:extLst>
          </xdr:cNvPr>
          <xdr:cNvSpPr>
            <a:spLocks noChangeArrowheads="1"/>
          </xdr:cNvSpPr>
        </xdr:nvSpPr>
        <xdr:spPr>
          <a:xfrm>
            <a:off x="2592" y="1440"/>
            <a:ext cx="1104" cy="576"/>
          </a:xfrm>
          <a:prstGeom prst="rect">
            <a:avLst/>
          </a:prstGeom>
          <a:solidFill>
            <a:srgbClr val="99CCFF"/>
          </a:solidFill>
          <a:ln w="12700">
            <a:solidFill>
              <a:srgbClr val="000000"/>
            </a:solidFill>
            <a:miter lim="800000"/>
          </a:ln>
        </xdr:spPr>
      </xdr:sp>
    </xdr:grpSp>
    <xdr:clientData/>
  </xdr:twoCellAnchor>
  <mc:AlternateContent xmlns:mc="http://schemas.openxmlformats.org/markup-compatibility/2006">
    <mc:Choice xmlns:a14="http://schemas.microsoft.com/office/drawing/2010/main" Requires="a14">
      <xdr:twoCellAnchor>
        <xdr:from>
          <xdr:col>7</xdr:col>
          <xdr:colOff>304800</xdr:colOff>
          <xdr:row>124</xdr:row>
          <xdr:rowOff>66675</xdr:rowOff>
        </xdr:from>
        <xdr:to>
          <xdr:col>11</xdr:col>
          <xdr:colOff>76200</xdr:colOff>
          <xdr:row>126</xdr:row>
          <xdr:rowOff>76200</xdr:rowOff>
        </xdr:to>
        <xdr:sp macro="" textlink="">
          <xdr:nvSpPr>
            <xdr:cNvPr id="1461249" name="Object 1" hidden="1">
              <a:extLst>
                <a:ext uri="{63B3BB69-23CF-44E3-9099-C40C66FF867C}">
                  <a14:compatExt spid="_x0000_s1461249"/>
                </a:ext>
                <a:ext uri="{FF2B5EF4-FFF2-40B4-BE49-F238E27FC236}">
                  <a16:creationId xmlns:a16="http://schemas.microsoft.com/office/drawing/2014/main" id="{00000000-0008-0000-0800-0000014C1600}"/>
                </a:ext>
              </a:extLst>
            </xdr:cNvPr>
            <xdr:cNvSpPr/>
          </xdr:nvSpPr>
          <xdr:spPr bwMode="auto">
            <a:xfrm>
              <a:off x="0" y="0"/>
              <a:ext cx="0" cy="0"/>
            </a:xfrm>
            <a:prstGeom prst="rect">
              <a:avLst/>
            </a:prstGeom>
            <a:solidFill>
              <a:srgbClr val="99CCFF"/>
            </a:solidFill>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304800</xdr:colOff>
          <xdr:row>87</xdr:row>
          <xdr:rowOff>66675</xdr:rowOff>
        </xdr:from>
        <xdr:to>
          <xdr:col>11</xdr:col>
          <xdr:colOff>76200</xdr:colOff>
          <xdr:row>89</xdr:row>
          <xdr:rowOff>76200</xdr:rowOff>
        </xdr:to>
        <xdr:sp macro="" textlink="">
          <xdr:nvSpPr>
            <xdr:cNvPr id="1461250" name="Object 2" hidden="1">
              <a:extLst>
                <a:ext uri="{63B3BB69-23CF-44E3-9099-C40C66FF867C}">
                  <a14:compatExt spid="_x0000_s1461250"/>
                </a:ext>
                <a:ext uri="{FF2B5EF4-FFF2-40B4-BE49-F238E27FC236}">
                  <a16:creationId xmlns:a16="http://schemas.microsoft.com/office/drawing/2014/main" id="{00000000-0008-0000-0800-0000024C1600}"/>
                </a:ext>
              </a:extLst>
            </xdr:cNvPr>
            <xdr:cNvSpPr/>
          </xdr:nvSpPr>
          <xdr:spPr bwMode="auto">
            <a:xfrm>
              <a:off x="0" y="0"/>
              <a:ext cx="0" cy="0"/>
            </a:xfrm>
            <a:prstGeom prst="rect">
              <a:avLst/>
            </a:prstGeom>
            <a:solidFill>
              <a:srgbClr val="99CCFF"/>
            </a:solidFill>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304800</xdr:colOff>
          <xdr:row>48</xdr:row>
          <xdr:rowOff>66675</xdr:rowOff>
        </xdr:from>
        <xdr:to>
          <xdr:col>11</xdr:col>
          <xdr:colOff>76200</xdr:colOff>
          <xdr:row>50</xdr:row>
          <xdr:rowOff>76200</xdr:rowOff>
        </xdr:to>
        <xdr:sp macro="" textlink="">
          <xdr:nvSpPr>
            <xdr:cNvPr id="1461251" name="Object 3" hidden="1">
              <a:extLst>
                <a:ext uri="{63B3BB69-23CF-44E3-9099-C40C66FF867C}">
                  <a14:compatExt spid="_x0000_s1461251"/>
                </a:ext>
                <a:ext uri="{FF2B5EF4-FFF2-40B4-BE49-F238E27FC236}">
                  <a16:creationId xmlns:a16="http://schemas.microsoft.com/office/drawing/2014/main" id="{00000000-0008-0000-0800-0000034C1600}"/>
                </a:ext>
              </a:extLst>
            </xdr:cNvPr>
            <xdr:cNvSpPr/>
          </xdr:nvSpPr>
          <xdr:spPr bwMode="auto">
            <a:xfrm>
              <a:off x="0" y="0"/>
              <a:ext cx="0" cy="0"/>
            </a:xfrm>
            <a:prstGeom prst="rect">
              <a:avLst/>
            </a:prstGeom>
            <a:solidFill>
              <a:srgbClr val="99CCFF"/>
            </a:solidFill>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304800</xdr:colOff>
          <xdr:row>7</xdr:row>
          <xdr:rowOff>66675</xdr:rowOff>
        </xdr:from>
        <xdr:to>
          <xdr:col>11</xdr:col>
          <xdr:colOff>76200</xdr:colOff>
          <xdr:row>9</xdr:row>
          <xdr:rowOff>76200</xdr:rowOff>
        </xdr:to>
        <xdr:sp macro="" textlink="">
          <xdr:nvSpPr>
            <xdr:cNvPr id="1461252" name="Object 4" hidden="1">
              <a:extLst>
                <a:ext uri="{63B3BB69-23CF-44E3-9099-C40C66FF867C}">
                  <a14:compatExt spid="_x0000_s1461252"/>
                </a:ext>
                <a:ext uri="{FF2B5EF4-FFF2-40B4-BE49-F238E27FC236}">
                  <a16:creationId xmlns:a16="http://schemas.microsoft.com/office/drawing/2014/main" id="{00000000-0008-0000-0800-0000044C1600}"/>
                </a:ext>
              </a:extLst>
            </xdr:cNvPr>
            <xdr:cNvSpPr/>
          </xdr:nvSpPr>
          <xdr:spPr bwMode="auto">
            <a:xfrm>
              <a:off x="0" y="0"/>
              <a:ext cx="0" cy="0"/>
            </a:xfrm>
            <a:prstGeom prst="rect">
              <a:avLst/>
            </a:prstGeom>
            <a:solidFill>
              <a:srgbClr val="99CCFF"/>
            </a:solidFill>
          </xdr:spPr>
        </xdr:sp>
        <xdr:clientData/>
      </xdr:twoCellAnchor>
    </mc:Choice>
    <mc:Fallback/>
  </mc:AlternateContent>
  <xdr:twoCellAnchor editAs="absolute">
    <xdr:from>
      <xdr:col>0</xdr:col>
      <xdr:colOff>0</xdr:colOff>
      <xdr:row>0</xdr:row>
      <xdr:rowOff>0</xdr:rowOff>
    </xdr:from>
    <xdr:to>
      <xdr:col>1</xdr:col>
      <xdr:colOff>197944</xdr:colOff>
      <xdr:row>0</xdr:row>
      <xdr:rowOff>293274</xdr:rowOff>
    </xdr:to>
    <xdr:sp macro="" textlink="">
      <xdr:nvSpPr>
        <xdr:cNvPr id="30" name="五边形 1">
          <a:hlinkClick xmlns:r="http://schemas.openxmlformats.org/officeDocument/2006/relationships" r:id="rId4"/>
          <a:extLst>
            <a:ext uri="{FF2B5EF4-FFF2-40B4-BE49-F238E27FC236}">
              <a16:creationId xmlns:a16="http://schemas.microsoft.com/office/drawing/2014/main" id="{00000000-0008-0000-0800-00001E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333375</xdr:colOff>
      <xdr:row>24</xdr:row>
      <xdr:rowOff>0</xdr:rowOff>
    </xdr:from>
    <xdr:to>
      <xdr:col>11</xdr:col>
      <xdr:colOff>266700</xdr:colOff>
      <xdr:row>30</xdr:row>
      <xdr:rowOff>0</xdr:rowOff>
    </xdr:to>
    <xdr:cxnSp macro="">
      <xdr:nvCxnSpPr>
        <xdr:cNvPr id="2" name="AutoShape 20">
          <a:extLst>
            <a:ext uri="{FF2B5EF4-FFF2-40B4-BE49-F238E27FC236}">
              <a16:creationId xmlns:a16="http://schemas.microsoft.com/office/drawing/2014/main" id="{00000000-0008-0000-0900-000002000000}"/>
            </a:ext>
          </a:extLst>
        </xdr:cNvPr>
        <xdr:cNvCxnSpPr>
          <a:cxnSpLocks noChangeShapeType="1"/>
        </xdr:cNvCxnSpPr>
      </xdr:nvCxnSpPr>
      <xdr:spPr>
        <a:xfrm flipV="1">
          <a:off x="333375" y="3898265"/>
          <a:ext cx="5676900" cy="1116965"/>
        </a:xfrm>
        <a:prstGeom prst="bentConnector3">
          <a:avLst>
            <a:gd name="adj1" fmla="val 96977"/>
          </a:avLst>
        </a:prstGeom>
        <a:noFill/>
        <a:ln w="63500">
          <a:solidFill>
            <a:srgbClr val="CCFFCC"/>
          </a:solidFill>
          <a:miter lim="800000"/>
          <a:tailEnd type="stealth" w="med" len="sm"/>
        </a:ln>
      </xdr:spPr>
    </xdr:cxnSp>
    <xdr:clientData/>
  </xdr:twoCellAnchor>
  <xdr:twoCellAnchor>
    <xdr:from>
      <xdr:col>0</xdr:col>
      <xdr:colOff>352425</xdr:colOff>
      <xdr:row>28</xdr:row>
      <xdr:rowOff>142875</xdr:rowOff>
    </xdr:from>
    <xdr:to>
      <xdr:col>0</xdr:col>
      <xdr:colOff>352425</xdr:colOff>
      <xdr:row>30</xdr:row>
      <xdr:rowOff>19050</xdr:rowOff>
    </xdr:to>
    <xdr:cxnSp macro="">
      <xdr:nvCxnSpPr>
        <xdr:cNvPr id="3" name="AutoShape 21">
          <a:extLst>
            <a:ext uri="{FF2B5EF4-FFF2-40B4-BE49-F238E27FC236}">
              <a16:creationId xmlns:a16="http://schemas.microsoft.com/office/drawing/2014/main" id="{00000000-0008-0000-0900-000003000000}"/>
            </a:ext>
          </a:extLst>
        </xdr:cNvPr>
        <xdr:cNvCxnSpPr>
          <a:cxnSpLocks noChangeShapeType="1"/>
        </xdr:cNvCxnSpPr>
      </xdr:nvCxnSpPr>
      <xdr:spPr>
        <a:xfrm>
          <a:off x="352425" y="4853305"/>
          <a:ext cx="0" cy="180975"/>
        </a:xfrm>
        <a:prstGeom prst="straightConnector1">
          <a:avLst/>
        </a:prstGeom>
        <a:noFill/>
        <a:ln w="63500">
          <a:solidFill>
            <a:srgbClr val="CCFFCC"/>
          </a:solidFill>
          <a:round/>
        </a:ln>
      </xdr:spPr>
    </xdr:cxnSp>
    <xdr:clientData/>
  </xdr:twoCellAnchor>
  <xdr:twoCellAnchor>
    <xdr:from>
      <xdr:col>5</xdr:col>
      <xdr:colOff>352425</xdr:colOff>
      <xdr:row>24</xdr:row>
      <xdr:rowOff>0</xdr:rowOff>
    </xdr:from>
    <xdr:to>
      <xdr:col>7</xdr:col>
      <xdr:colOff>19050</xdr:colOff>
      <xdr:row>24</xdr:row>
      <xdr:rowOff>0</xdr:rowOff>
    </xdr:to>
    <xdr:cxnSp macro="">
      <xdr:nvCxnSpPr>
        <xdr:cNvPr id="4" name="AutoShape 22">
          <a:extLst>
            <a:ext uri="{FF2B5EF4-FFF2-40B4-BE49-F238E27FC236}">
              <a16:creationId xmlns:a16="http://schemas.microsoft.com/office/drawing/2014/main" id="{00000000-0008-0000-0900-000004000000}"/>
            </a:ext>
          </a:extLst>
        </xdr:cNvPr>
        <xdr:cNvCxnSpPr>
          <a:cxnSpLocks noChangeShapeType="1"/>
        </xdr:cNvCxnSpPr>
      </xdr:nvCxnSpPr>
      <xdr:spPr>
        <a:xfrm>
          <a:off x="2857500" y="3898265"/>
          <a:ext cx="495300" cy="0"/>
        </a:xfrm>
        <a:prstGeom prst="straightConnector1">
          <a:avLst/>
        </a:prstGeom>
        <a:noFill/>
        <a:ln w="63500">
          <a:solidFill>
            <a:srgbClr val="CCFFCC"/>
          </a:solidFill>
          <a:round/>
          <a:tailEnd type="stealth" w="med" len="sm"/>
        </a:ln>
      </xdr:spPr>
    </xdr:cxnSp>
    <xdr:clientData/>
  </xdr:twoCellAnchor>
  <xdr:twoCellAnchor>
    <xdr:from>
      <xdr:col>5</xdr:col>
      <xdr:colOff>381000</xdr:colOff>
      <xdr:row>23</xdr:row>
      <xdr:rowOff>142875</xdr:rowOff>
    </xdr:from>
    <xdr:to>
      <xdr:col>5</xdr:col>
      <xdr:colOff>390525</xdr:colOff>
      <xdr:row>29</xdr:row>
      <xdr:rowOff>142875</xdr:rowOff>
    </xdr:to>
    <xdr:cxnSp macro="">
      <xdr:nvCxnSpPr>
        <xdr:cNvPr id="5" name="AutoShape 23">
          <a:extLst>
            <a:ext uri="{FF2B5EF4-FFF2-40B4-BE49-F238E27FC236}">
              <a16:creationId xmlns:a16="http://schemas.microsoft.com/office/drawing/2014/main" id="{00000000-0008-0000-0900-000005000000}"/>
            </a:ext>
          </a:extLst>
        </xdr:cNvPr>
        <xdr:cNvCxnSpPr>
          <a:cxnSpLocks noChangeShapeType="1"/>
        </xdr:cNvCxnSpPr>
      </xdr:nvCxnSpPr>
      <xdr:spPr>
        <a:xfrm>
          <a:off x="2886075" y="3888740"/>
          <a:ext cx="9525" cy="1116965"/>
        </a:xfrm>
        <a:prstGeom prst="straightConnector1">
          <a:avLst/>
        </a:prstGeom>
        <a:noFill/>
        <a:ln w="63500">
          <a:solidFill>
            <a:srgbClr val="CCFFCC"/>
          </a:solidFill>
          <a:round/>
        </a:ln>
      </xdr:spPr>
    </xdr:cxnSp>
    <xdr:clientData/>
  </xdr:twoCellAnchor>
  <xdr:twoCellAnchor editAs="absolute">
    <xdr:from>
      <xdr:col>0</xdr:col>
      <xdr:colOff>0</xdr:colOff>
      <xdr:row>0</xdr:row>
      <xdr:rowOff>0</xdr:rowOff>
    </xdr:from>
    <xdr:to>
      <xdr:col>1</xdr:col>
      <xdr:colOff>45118</xdr:colOff>
      <xdr:row>1</xdr:row>
      <xdr:rowOff>26551</xdr:rowOff>
    </xdr:to>
    <xdr:sp macro="" textlink="">
      <xdr:nvSpPr>
        <xdr:cNvPr id="6" name="五边形 1">
          <a:hlinkClick xmlns:r="http://schemas.openxmlformats.org/officeDocument/2006/relationships" r:id="rId1"/>
          <a:extLst>
            <a:ext uri="{FF2B5EF4-FFF2-40B4-BE49-F238E27FC236}">
              <a16:creationId xmlns:a16="http://schemas.microsoft.com/office/drawing/2014/main" id="{00000000-0008-0000-0900-000006000000}"/>
            </a:ext>
          </a:extLst>
        </xdr:cNvPr>
        <xdr:cNvSpPr>
          <a:spLocks noChangeAspect="1"/>
        </xdr:cNvSpPr>
      </xdr:nvSpPr>
      <xdr:spPr>
        <a:xfrm flipH="1">
          <a:off x="0" y="0"/>
          <a:ext cx="762000" cy="217051"/>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219075</xdr:colOff>
      <xdr:row>3</xdr:row>
      <xdr:rowOff>0</xdr:rowOff>
    </xdr:from>
    <xdr:to>
      <xdr:col>15</xdr:col>
      <xdr:colOff>457200</xdr:colOff>
      <xdr:row>25</xdr:row>
      <xdr:rowOff>0</xdr:rowOff>
    </xdr:to>
    <xdr:grpSp>
      <xdr:nvGrpSpPr>
        <xdr:cNvPr id="2" name="Group 5">
          <a:extLst>
            <a:ext uri="{FF2B5EF4-FFF2-40B4-BE49-F238E27FC236}">
              <a16:creationId xmlns:a16="http://schemas.microsoft.com/office/drawing/2014/main" id="{00000000-0008-0000-0A00-000002000000}"/>
            </a:ext>
          </a:extLst>
        </xdr:cNvPr>
        <xdr:cNvGrpSpPr/>
      </xdr:nvGrpSpPr>
      <xdr:grpSpPr>
        <a:xfrm>
          <a:off x="5629275" y="619125"/>
          <a:ext cx="4352925" cy="3924300"/>
          <a:chOff x="465" y="23"/>
          <a:chExt cx="409" cy="440"/>
        </a:xfrm>
      </xdr:grpSpPr>
      <xdr:sp macro="" textlink="">
        <xdr:nvSpPr>
          <xdr:cNvPr id="3" name="TextBox 3">
            <a:extLst>
              <a:ext uri="{FF2B5EF4-FFF2-40B4-BE49-F238E27FC236}">
                <a16:creationId xmlns:a16="http://schemas.microsoft.com/office/drawing/2014/main" id="{00000000-0008-0000-0A00-000003000000}"/>
              </a:ext>
            </a:extLst>
          </xdr:cNvPr>
          <xdr:cNvSpPr txBox="1">
            <a:spLocks noChangeArrowheads="1"/>
          </xdr:cNvSpPr>
        </xdr:nvSpPr>
        <xdr:spPr>
          <a:xfrm>
            <a:off x="465" y="23"/>
            <a:ext cx="409" cy="440"/>
          </a:xfrm>
          <a:prstGeom prst="rect">
            <a:avLst/>
          </a:prstGeom>
          <a:solidFill>
            <a:srgbClr val="FFFFFF"/>
          </a:solidFill>
          <a:ln w="9525">
            <a:solidFill>
              <a:srgbClr val="BCBCBC"/>
            </a:solidFill>
            <a:miter lim="800000"/>
          </a:ln>
        </xdr:spPr>
        <xdr:txBody>
          <a:bodyPr vertOverflow="clip" wrap="square" lIns="27432" tIns="18288" rIns="0" bIns="0" anchor="t" upright="1"/>
          <a:lstStyle/>
          <a:p>
            <a:pPr algn="l" rtl="1">
              <a:defRPr sz="1000"/>
            </a:pPr>
            <a:r>
              <a:rPr lang="en-US" altLang="zh-CN" sz="1000" b="1" i="0" strike="noStrike">
                <a:solidFill>
                  <a:srgbClr val="000000"/>
                </a:solidFill>
                <a:latin typeface="宋体" panose="02010600030101010101" pitchFamily="7" charset="-122"/>
                <a:ea typeface="宋体" panose="02010600030101010101" pitchFamily="7" charset="-122"/>
              </a:rPr>
              <a:t>1</a:t>
            </a:r>
            <a:r>
              <a:rPr lang="zh-CN" altLang="en-US" sz="1000" b="1" i="0" strike="noStrike">
                <a:solidFill>
                  <a:srgbClr val="000000"/>
                </a:solidFill>
                <a:latin typeface="宋体" panose="02010600030101010101" pitchFamily="7" charset="-122"/>
                <a:ea typeface="宋体" panose="02010600030101010101" pitchFamily="7" charset="-122"/>
              </a:rPr>
              <a:t>、基本尺寸公式</a:t>
            </a:r>
            <a:endParaRPr lang="zh-CN" altLang="en-US" sz="1000" b="0" i="0" strike="noStrike">
              <a:solidFill>
                <a:srgbClr val="000000"/>
              </a:solidFill>
              <a:latin typeface="宋体" panose="02010600030101010101" pitchFamily="7" charset="-122"/>
              <a:ea typeface="宋体" panose="02010600030101010101" pitchFamily="7" charset="-122"/>
            </a:endParaRPr>
          </a:p>
          <a:p>
            <a:pPr algn="l" rtl="1">
              <a:defRPr sz="1000"/>
            </a:pPr>
            <a:r>
              <a:rPr lang="zh-CN" altLang="en-US" sz="1000" b="1" i="0" strike="noStrike">
                <a:solidFill>
                  <a:srgbClr val="000000"/>
                </a:solidFill>
                <a:latin typeface="宋体" panose="02010600030101010101" pitchFamily="7" charset="-122"/>
                <a:ea typeface="宋体" panose="02010600030101010101" pitchFamily="7" charset="-122"/>
              </a:rPr>
              <a:t>    </a:t>
            </a:r>
            <a:r>
              <a:rPr lang="zh-CN" altLang="en-US" sz="1000" b="0" i="0" strike="noStrike">
                <a:solidFill>
                  <a:srgbClr val="000000"/>
                </a:solidFill>
                <a:latin typeface="宋体" panose="02010600030101010101" pitchFamily="7" charset="-122"/>
                <a:ea typeface="宋体" panose="02010600030101010101" pitchFamily="7" charset="-122"/>
              </a:rPr>
              <a:t>设尺寸链的组成环数为</a:t>
            </a:r>
            <a:r>
              <a:rPr lang="en-US" altLang="zh-CN" sz="1000" b="0" i="0" strike="noStrike">
                <a:solidFill>
                  <a:srgbClr val="000000"/>
                </a:solidFill>
                <a:latin typeface="宋体" panose="02010600030101010101" pitchFamily="7" charset="-122"/>
                <a:ea typeface="宋体" panose="02010600030101010101" pitchFamily="7" charset="-122"/>
              </a:rPr>
              <a:t>m</a:t>
            </a:r>
            <a:r>
              <a:rPr lang="zh-CN" altLang="en-US" sz="1000" b="0" i="0" strike="noStrike">
                <a:solidFill>
                  <a:srgbClr val="000000"/>
                </a:solidFill>
                <a:latin typeface="宋体" panose="02010600030101010101" pitchFamily="7" charset="-122"/>
                <a:ea typeface="宋体" panose="02010600030101010101" pitchFamily="7" charset="-122"/>
              </a:rPr>
              <a:t>，其中</a:t>
            </a:r>
            <a:r>
              <a:rPr lang="en-US" altLang="zh-CN" sz="1000" b="0" i="0" strike="noStrike">
                <a:solidFill>
                  <a:srgbClr val="000000"/>
                </a:solidFill>
                <a:latin typeface="宋体" panose="02010600030101010101" pitchFamily="7" charset="-122"/>
                <a:ea typeface="宋体" panose="02010600030101010101" pitchFamily="7" charset="-122"/>
              </a:rPr>
              <a:t>n</a:t>
            </a:r>
            <a:r>
              <a:rPr lang="zh-CN" altLang="en-US" sz="1000" b="0" i="0" strike="noStrike">
                <a:solidFill>
                  <a:srgbClr val="000000"/>
                </a:solidFill>
                <a:latin typeface="宋体" panose="02010600030101010101" pitchFamily="7" charset="-122"/>
                <a:ea typeface="宋体" panose="02010600030101010101" pitchFamily="7" charset="-122"/>
              </a:rPr>
              <a:t>个增环，</a:t>
            </a:r>
            <a:r>
              <a:rPr lang="en-US" altLang="zh-CN" sz="1000" b="0" i="0" strike="noStrike">
                <a:solidFill>
                  <a:srgbClr val="000000"/>
                </a:solidFill>
                <a:latin typeface="宋体" panose="02010600030101010101" pitchFamily="7" charset="-122"/>
                <a:ea typeface="宋体" panose="02010600030101010101" pitchFamily="7" charset="-122"/>
              </a:rPr>
              <a:t>m—n</a:t>
            </a:r>
            <a:r>
              <a:rPr lang="zh-CN" altLang="en-US" sz="1000" b="0" i="0" strike="noStrike">
                <a:solidFill>
                  <a:srgbClr val="000000"/>
                </a:solidFill>
                <a:latin typeface="宋体" panose="02010600030101010101" pitchFamily="7" charset="-122"/>
                <a:ea typeface="宋体" panose="02010600030101010101" pitchFamily="7" charset="-122"/>
              </a:rPr>
              <a:t>个减环，</a:t>
            </a:r>
            <a:r>
              <a:rPr lang="en-US" altLang="zh-CN" sz="1000" b="0" i="0" strike="noStrike">
                <a:solidFill>
                  <a:srgbClr val="000000"/>
                </a:solidFill>
                <a:latin typeface="宋体" panose="02010600030101010101" pitchFamily="7" charset="-122"/>
                <a:ea typeface="宋体" panose="02010600030101010101" pitchFamily="7" charset="-122"/>
              </a:rPr>
              <a:t>A</a:t>
            </a:r>
            <a:r>
              <a:rPr lang="en-US" altLang="zh-CN" sz="1000" b="0" i="0" strike="noStrike" baseline="-25000">
                <a:solidFill>
                  <a:srgbClr val="000000"/>
                </a:solidFill>
                <a:latin typeface="宋体" panose="02010600030101010101" pitchFamily="7" charset="-122"/>
                <a:ea typeface="宋体" panose="02010600030101010101" pitchFamily="7" charset="-122"/>
              </a:rPr>
              <a:t>O</a:t>
            </a:r>
            <a:r>
              <a:rPr lang="zh-CN" altLang="en-US" sz="1000" b="0" i="0" strike="noStrike">
                <a:solidFill>
                  <a:srgbClr val="000000"/>
                </a:solidFill>
                <a:latin typeface="宋体" panose="02010600030101010101" pitchFamily="7" charset="-122"/>
                <a:ea typeface="宋体" panose="02010600030101010101" pitchFamily="7" charset="-122"/>
              </a:rPr>
              <a:t>为封闭环的基本尺寸，</a:t>
            </a:r>
            <a:r>
              <a:rPr lang="en-US" altLang="zh-CN" sz="1000" b="0" i="0" strike="noStrike">
                <a:solidFill>
                  <a:srgbClr val="000000"/>
                </a:solidFill>
                <a:latin typeface="宋体" panose="02010600030101010101" pitchFamily="7" charset="-122"/>
                <a:ea typeface="宋体" panose="02010600030101010101" pitchFamily="7" charset="-122"/>
              </a:rPr>
              <a:t>A</a:t>
            </a:r>
            <a:r>
              <a:rPr lang="zh-CN" altLang="en-US" sz="1000" b="0" i="0" strike="noStrike" baseline="-25000">
                <a:solidFill>
                  <a:srgbClr val="000000"/>
                </a:solidFill>
                <a:latin typeface="宋体" panose="02010600030101010101" pitchFamily="7" charset="-122"/>
                <a:ea typeface="宋体" panose="02010600030101010101" pitchFamily="7" charset="-122"/>
              </a:rPr>
              <a:t>ｉ</a:t>
            </a:r>
            <a:r>
              <a:rPr lang="zh-CN" altLang="en-US" sz="1000" b="0" i="0" strike="noStrike">
                <a:solidFill>
                  <a:srgbClr val="000000"/>
                </a:solidFill>
                <a:latin typeface="宋体" panose="02010600030101010101" pitchFamily="7" charset="-122"/>
                <a:ea typeface="宋体" panose="02010600030101010101" pitchFamily="7" charset="-122"/>
              </a:rPr>
              <a:t>为组成环的基本尺寸，则对于直线尺寸链有如下公式：</a:t>
            </a:r>
          </a:p>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    </a:t>
            </a:r>
            <a:r>
              <a:rPr lang="en-US" altLang="zh-CN" sz="1000" b="0" i="0" strike="noStrike">
                <a:solidFill>
                  <a:srgbClr val="000000"/>
                </a:solidFill>
                <a:latin typeface="宋体" panose="02010600030101010101" pitchFamily="7" charset="-122"/>
                <a:ea typeface="宋体" panose="02010600030101010101" pitchFamily="7" charset="-122"/>
              </a:rPr>
              <a:t>1</a:t>
            </a:r>
            <a:r>
              <a:rPr lang="zh-CN" altLang="en-US" sz="1000" b="0" i="0" strike="noStrike">
                <a:solidFill>
                  <a:srgbClr val="000000"/>
                </a:solidFill>
                <a:latin typeface="宋体" panose="02010600030101010101" pitchFamily="7" charset="-122"/>
                <a:ea typeface="宋体" panose="02010600030101010101" pitchFamily="7" charset="-122"/>
              </a:rPr>
              <a:t>．封闭环的基本尺寸</a:t>
            </a:r>
          </a:p>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              </a:t>
            </a:r>
          </a:p>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                      </a:t>
            </a:r>
            <a:r>
              <a:rPr lang="en-US" altLang="zh-CN" sz="1000" b="0" i="0" strike="noStrike">
                <a:solidFill>
                  <a:srgbClr val="000000"/>
                </a:solidFill>
                <a:latin typeface="宋体" panose="02010600030101010101" pitchFamily="7" charset="-122"/>
                <a:ea typeface="宋体" panose="02010600030101010101" pitchFamily="7" charset="-122"/>
              </a:rPr>
              <a:t>A0 =     </a:t>
            </a:r>
          </a:p>
          <a:p>
            <a:pPr algn="l" rtl="1">
              <a:defRPr sz="1000"/>
            </a:pPr>
            <a:endParaRPr lang="en-US" altLang="zh-CN" sz="1000" b="0" i="0" strike="noStrike">
              <a:solidFill>
                <a:srgbClr val="000000"/>
              </a:solidFill>
              <a:latin typeface="宋体" panose="02010600030101010101" pitchFamily="7" charset="-122"/>
              <a:ea typeface="宋体" panose="02010600030101010101" pitchFamily="7" charset="-122"/>
            </a:endParaRPr>
          </a:p>
          <a:p>
            <a:pPr algn="l" rtl="1">
              <a:defRPr sz="1000"/>
            </a:pPr>
            <a:endParaRPr lang="en-US" altLang="zh-CN" sz="1000" b="0" i="0" strike="noStrike">
              <a:solidFill>
                <a:srgbClr val="000000"/>
              </a:solidFill>
              <a:latin typeface="宋体" panose="02010600030101010101" pitchFamily="7" charset="-122"/>
              <a:ea typeface="宋体" panose="02010600030101010101" pitchFamily="7" charset="-122"/>
            </a:endParaRP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r>
              <a:rPr lang="zh-CN" altLang="en-US" sz="1000" b="0" i="0" strike="noStrike">
                <a:solidFill>
                  <a:srgbClr val="000000"/>
                </a:solidFill>
                <a:latin typeface="宋体" panose="02010600030101010101" pitchFamily="7" charset="-122"/>
                <a:ea typeface="宋体" panose="02010600030101010101" pitchFamily="7" charset="-122"/>
              </a:rPr>
              <a:t>即封闭环的基本尺寸等于所有增环的基本尺寸之和减去所有减环的基本尺寸之和。</a:t>
            </a:r>
          </a:p>
          <a:p>
            <a:pPr algn="l" rtl="1">
              <a:defRPr sz="1000"/>
            </a:pPr>
            <a:endParaRPr lang="zh-CN" altLang="en-US" sz="1000" b="0" i="0" strike="noStrike">
              <a:solidFill>
                <a:srgbClr val="000000"/>
              </a:solidFill>
              <a:latin typeface="宋体" panose="02010600030101010101" pitchFamily="7" charset="-122"/>
              <a:ea typeface="宋体" panose="02010600030101010101" pitchFamily="7" charset="-122"/>
            </a:endParaRP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2</a:t>
            </a:r>
            <a:r>
              <a:rPr lang="zh-CN" altLang="en-US" sz="1000" b="0" i="0" strike="noStrike">
                <a:solidFill>
                  <a:srgbClr val="000000"/>
                </a:solidFill>
                <a:latin typeface="宋体" panose="02010600030101010101" pitchFamily="7" charset="-122"/>
                <a:ea typeface="宋体" panose="02010600030101010101" pitchFamily="7" charset="-122"/>
              </a:rPr>
              <a:t>．封闭环的极限尺寸</a:t>
            </a:r>
          </a:p>
          <a:p>
            <a:pPr algn="l" rtl="1">
              <a:defRPr sz="1000"/>
            </a:pPr>
            <a:endParaRPr lang="zh-CN" altLang="en-US" sz="1000" b="0" i="0" strike="noStrike">
              <a:solidFill>
                <a:srgbClr val="000000"/>
              </a:solidFill>
              <a:latin typeface="宋体" panose="02010600030101010101" pitchFamily="7" charset="-122"/>
              <a:ea typeface="宋体" panose="02010600030101010101" pitchFamily="7" charset="-122"/>
            </a:endParaRPr>
          </a:p>
          <a:p>
            <a:pPr algn="l" rtl="1">
              <a:defRPr sz="1000"/>
            </a:pPr>
            <a:r>
              <a:rPr lang="zh-CN" altLang="en-US" sz="1000" b="0" i="0" strike="noStrike">
                <a:solidFill>
                  <a:srgbClr val="000000"/>
                </a:solidFill>
                <a:latin typeface="宋体" panose="02010600030101010101" pitchFamily="7" charset="-122"/>
                <a:ea typeface="宋体" panose="02010600030101010101" pitchFamily="7" charset="-122"/>
              </a:rPr>
              <a:t>              </a:t>
            </a:r>
            <a:r>
              <a:rPr lang="en-US" altLang="zh-CN" sz="1000" b="0" i="0" strike="noStrike">
                <a:solidFill>
                  <a:srgbClr val="000000"/>
                </a:solidFill>
                <a:latin typeface="宋体" panose="02010600030101010101" pitchFamily="7" charset="-122"/>
                <a:ea typeface="宋体" panose="02010600030101010101" pitchFamily="7" charset="-122"/>
              </a:rPr>
              <a:t>A0max =    </a:t>
            </a:r>
          </a:p>
          <a:p>
            <a:pPr algn="l" rtl="1">
              <a:defRPr sz="1000"/>
            </a:pPr>
            <a:endParaRPr lang="en-US" altLang="zh-CN" sz="1000" b="0" i="0" strike="noStrike">
              <a:solidFill>
                <a:srgbClr val="000000"/>
              </a:solidFill>
              <a:latin typeface="宋体" panose="02010600030101010101" pitchFamily="7" charset="-122"/>
              <a:ea typeface="宋体" panose="02010600030101010101" pitchFamily="7" charset="-122"/>
            </a:endParaRP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p>
          <a:p>
            <a:pPr algn="l" rtl="1">
              <a:defRPr sz="1000"/>
            </a:pPr>
            <a:endParaRPr lang="en-US" altLang="zh-CN" sz="1000" b="0" i="0" strike="noStrike">
              <a:solidFill>
                <a:srgbClr val="000000"/>
              </a:solidFill>
              <a:latin typeface="宋体" panose="02010600030101010101" pitchFamily="7" charset="-122"/>
              <a:ea typeface="宋体" panose="02010600030101010101" pitchFamily="7" charset="-122"/>
            </a:endParaRP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A0min =            </a:t>
            </a: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p>
          <a:p>
            <a:pPr algn="l" rtl="1">
              <a:defRPr sz="1000"/>
            </a:pPr>
            <a:r>
              <a:rPr lang="en-US" altLang="zh-CN" sz="1000" b="0" i="0" strike="noStrike">
                <a:solidFill>
                  <a:srgbClr val="000000"/>
                </a:solidFill>
                <a:latin typeface="宋体" panose="02010600030101010101" pitchFamily="7" charset="-122"/>
                <a:ea typeface="宋体" panose="02010600030101010101" pitchFamily="7" charset="-122"/>
              </a:rPr>
              <a:t>        </a:t>
            </a:r>
            <a:r>
              <a:rPr lang="zh-CN" altLang="en-US" sz="1000" b="0" i="0" strike="noStrike">
                <a:solidFill>
                  <a:srgbClr val="000000"/>
                </a:solidFill>
                <a:latin typeface="宋体" panose="02010600030101010101" pitchFamily="7" charset="-122"/>
                <a:ea typeface="宋体" panose="02010600030101010101" pitchFamily="7" charset="-122"/>
              </a:rPr>
              <a:t>即封闭环的最大极限尺寸等于所有增环的最大极限尺寸之和减去所有减环最小极限尺寸之和；封闭环的最小极限尺寸等于所有增环的最小极限尺寸之和减去所有减环的最大极限尺才之和。 </a:t>
            </a:r>
          </a:p>
          <a:p>
            <a:pPr algn="l" rtl="1">
              <a:defRPr sz="1000"/>
            </a:pPr>
            <a:endParaRPr lang="zh-CN" altLang="en-US" sz="1000" b="0" i="0" strike="noStrike">
              <a:solidFill>
                <a:srgbClr val="000000"/>
              </a:solidFill>
              <a:latin typeface="宋体" panose="02010600030101010101" pitchFamily="7" charset="-122"/>
              <a:ea typeface="宋体" panose="02010600030101010101" pitchFamily="7" charset="-122"/>
            </a:endParaRPr>
          </a:p>
        </xdr:txBody>
      </xdr:sp>
    </xdr:grpSp>
    <xdr:clientData/>
  </xdr:twoCellAnchor>
  <mc:AlternateContent xmlns:mc="http://schemas.openxmlformats.org/markup-compatibility/2006">
    <mc:Choice xmlns:a14="http://schemas.microsoft.com/office/drawing/2010/main" Requires="a14">
      <xdr:twoCellAnchor>
        <xdr:from>
          <xdr:col>12</xdr:col>
          <xdr:colOff>171450</xdr:colOff>
          <xdr:row>5</xdr:row>
          <xdr:rowOff>228600</xdr:rowOff>
        </xdr:from>
        <xdr:to>
          <xdr:col>13</xdr:col>
          <xdr:colOff>590550</xdr:colOff>
          <xdr:row>8</xdr:row>
          <xdr:rowOff>57150</xdr:rowOff>
        </xdr:to>
        <xdr:sp macro="" textlink="">
          <xdr:nvSpPr>
            <xdr:cNvPr id="1421313" name="Object 1" hidden="1">
              <a:extLst>
                <a:ext uri="{63B3BB69-23CF-44E3-9099-C40C66FF867C}">
                  <a14:compatExt spid="_x0000_s1421313"/>
                </a:ext>
                <a:ext uri="{FF2B5EF4-FFF2-40B4-BE49-F238E27FC236}">
                  <a16:creationId xmlns:a16="http://schemas.microsoft.com/office/drawing/2014/main" id="{00000000-0008-0000-0A00-000001B01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476250</xdr:colOff>
          <xdr:row>11</xdr:row>
          <xdr:rowOff>38100</xdr:rowOff>
        </xdr:from>
        <xdr:to>
          <xdr:col>15</xdr:col>
          <xdr:colOff>38100</xdr:colOff>
          <xdr:row>14</xdr:row>
          <xdr:rowOff>142875</xdr:rowOff>
        </xdr:to>
        <xdr:sp macro="" textlink="">
          <xdr:nvSpPr>
            <xdr:cNvPr id="1421314" name="Object 2" hidden="1">
              <a:extLst>
                <a:ext uri="{63B3BB69-23CF-44E3-9099-C40C66FF867C}">
                  <a14:compatExt spid="_x0000_s1421314"/>
                </a:ext>
                <a:ext uri="{FF2B5EF4-FFF2-40B4-BE49-F238E27FC236}">
                  <a16:creationId xmlns:a16="http://schemas.microsoft.com/office/drawing/2014/main" id="{00000000-0008-0000-0A00-000002B01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590550</xdr:colOff>
          <xdr:row>15</xdr:row>
          <xdr:rowOff>142875</xdr:rowOff>
        </xdr:from>
        <xdr:to>
          <xdr:col>15</xdr:col>
          <xdr:colOff>142875</xdr:colOff>
          <xdr:row>19</xdr:row>
          <xdr:rowOff>114300</xdr:rowOff>
        </xdr:to>
        <xdr:sp macro="" textlink="">
          <xdr:nvSpPr>
            <xdr:cNvPr id="1421315" name="Object 3" hidden="1">
              <a:extLst>
                <a:ext uri="{63B3BB69-23CF-44E3-9099-C40C66FF867C}">
                  <a14:compatExt spid="_x0000_s1421315"/>
                </a:ext>
                <a:ext uri="{FF2B5EF4-FFF2-40B4-BE49-F238E27FC236}">
                  <a16:creationId xmlns:a16="http://schemas.microsoft.com/office/drawing/2014/main" id="{00000000-0008-0000-0A00-000003B01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1</xdr:col>
      <xdr:colOff>93169</xdr:colOff>
      <xdr:row>1</xdr:row>
      <xdr:rowOff>140874</xdr:rowOff>
    </xdr:to>
    <xdr:sp macro="" textlink="">
      <xdr:nvSpPr>
        <xdr:cNvPr id="4" name="五边形 1">
          <a:hlinkClick xmlns:r="http://schemas.openxmlformats.org/officeDocument/2006/relationships" r:id="rId1"/>
          <a:extLst>
            <a:ext uri="{FF2B5EF4-FFF2-40B4-BE49-F238E27FC236}">
              <a16:creationId xmlns:a16="http://schemas.microsoft.com/office/drawing/2014/main" id="{00000000-0008-0000-0A00-000004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18</xdr:col>
      <xdr:colOff>0</xdr:colOff>
      <xdr:row>0</xdr:row>
      <xdr:rowOff>0</xdr:rowOff>
    </xdr:from>
    <xdr:to>
      <xdr:col>19</xdr:col>
      <xdr:colOff>93169</xdr:colOff>
      <xdr:row>1</xdr:row>
      <xdr:rowOff>102774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B00-000002000000}"/>
            </a:ext>
          </a:extLst>
        </xdr:cNvPr>
        <xdr:cNvSpPr>
          <a:spLocks noChangeAspect="1"/>
        </xdr:cNvSpPr>
      </xdr:nvSpPr>
      <xdr:spPr>
        <a:xfrm flipH="1">
          <a:off x="91821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91512</xdr:colOff>
      <xdr:row>1</xdr:row>
      <xdr:rowOff>53078</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D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361950</xdr:colOff>
          <xdr:row>12</xdr:row>
          <xdr:rowOff>104775</xdr:rowOff>
        </xdr:from>
        <xdr:to>
          <xdr:col>5</xdr:col>
          <xdr:colOff>171450</xdr:colOff>
          <xdr:row>24</xdr:row>
          <xdr:rowOff>28575</xdr:rowOff>
        </xdr:to>
        <xdr:sp macro="" textlink="">
          <xdr:nvSpPr>
            <xdr:cNvPr id="1418241" name="Object 1" hidden="1">
              <a:extLst>
                <a:ext uri="{63B3BB69-23CF-44E3-9099-C40C66FF867C}">
                  <a14:compatExt spid="_x0000_s1418241"/>
                </a:ext>
                <a:ext uri="{FF2B5EF4-FFF2-40B4-BE49-F238E27FC236}">
                  <a16:creationId xmlns:a16="http://schemas.microsoft.com/office/drawing/2014/main" id="{00000000-0008-0000-0E00-000001A41500}"/>
                </a:ext>
              </a:extLst>
            </xdr:cNvPr>
            <xdr:cNvSpPr/>
          </xdr:nvSpPr>
          <xdr:spPr bwMode="auto">
            <a:xfrm>
              <a:off x="0" y="0"/>
              <a:ext cx="0" cy="0"/>
            </a:xfrm>
            <a:prstGeom prst="rect">
              <a:avLst/>
            </a:prstGeom>
            <a:solidFill>
              <a:srgbClr val="FFFFFF"/>
            </a:solidFill>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381000</xdr:colOff>
          <xdr:row>38</xdr:row>
          <xdr:rowOff>47625</xdr:rowOff>
        </xdr:from>
        <xdr:to>
          <xdr:col>4</xdr:col>
          <xdr:colOff>104775</xdr:colOff>
          <xdr:row>47</xdr:row>
          <xdr:rowOff>9525</xdr:rowOff>
        </xdr:to>
        <xdr:sp macro="" textlink="">
          <xdr:nvSpPr>
            <xdr:cNvPr id="1418242" name="Object 2" hidden="1">
              <a:extLst>
                <a:ext uri="{63B3BB69-23CF-44E3-9099-C40C66FF867C}">
                  <a14:compatExt spid="_x0000_s1418242"/>
                </a:ext>
                <a:ext uri="{FF2B5EF4-FFF2-40B4-BE49-F238E27FC236}">
                  <a16:creationId xmlns:a16="http://schemas.microsoft.com/office/drawing/2014/main" id="{00000000-0008-0000-0E00-000002A41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0">
                  <a:solidFill>
                    <a:srgbClr val="000000"/>
                  </a:solidFill>
                  <a:miter lim="800000"/>
                  <a:headEnd/>
                  <a:tailEnd/>
                </a14:hiddenLine>
              </a:ext>
            </a:extLst>
          </xdr:spPr>
        </xdr:sp>
        <xdr:clientData/>
      </xdr:twoCellAnchor>
    </mc:Choice>
    <mc:Fallback/>
  </mc:AlternateContent>
  <xdr:twoCellAnchor editAs="absolute">
    <xdr:from>
      <xdr:col>0</xdr:col>
      <xdr:colOff>0</xdr:colOff>
      <xdr:row>0</xdr:row>
      <xdr:rowOff>0</xdr:rowOff>
    </xdr:from>
    <xdr:to>
      <xdr:col>0</xdr:col>
      <xdr:colOff>778969</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E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0F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0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9</xdr:col>
      <xdr:colOff>0</xdr:colOff>
      <xdr:row>0</xdr:row>
      <xdr:rowOff>0</xdr:rowOff>
    </xdr:from>
    <xdr:to>
      <xdr:col>10</xdr:col>
      <xdr:colOff>93169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100-000002000000}"/>
            </a:ext>
          </a:extLst>
        </xdr:cNvPr>
        <xdr:cNvSpPr>
          <a:spLocks noChangeAspect="1"/>
        </xdr:cNvSpPr>
      </xdr:nvSpPr>
      <xdr:spPr>
        <a:xfrm flipH="1">
          <a:off x="61722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609600</xdr:colOff>
          <xdr:row>5</xdr:row>
          <xdr:rowOff>76200</xdr:rowOff>
        </xdr:from>
        <xdr:to>
          <xdr:col>5</xdr:col>
          <xdr:colOff>9525</xdr:colOff>
          <xdr:row>17</xdr:row>
          <xdr:rowOff>47625</xdr:rowOff>
        </xdr:to>
        <xdr:sp macro="" textlink="">
          <xdr:nvSpPr>
            <xdr:cNvPr id="1417217" name="Object 1" hidden="1">
              <a:extLst>
                <a:ext uri="{63B3BB69-23CF-44E3-9099-C40C66FF867C}">
                  <a14:compatExt spid="_x0000_s1417217"/>
                </a:ext>
                <a:ext uri="{FF2B5EF4-FFF2-40B4-BE49-F238E27FC236}">
                  <a16:creationId xmlns:a16="http://schemas.microsoft.com/office/drawing/2014/main" id="{00000000-0008-0000-1200-000001A015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6</xdr:col>
      <xdr:colOff>0</xdr:colOff>
      <xdr:row>0</xdr:row>
      <xdr:rowOff>0</xdr:rowOff>
    </xdr:from>
    <xdr:to>
      <xdr:col>6</xdr:col>
      <xdr:colOff>778969</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200-000002000000}"/>
            </a:ext>
          </a:extLst>
        </xdr:cNvPr>
        <xdr:cNvSpPr>
          <a:spLocks noChangeAspect="1"/>
        </xdr:cNvSpPr>
      </xdr:nvSpPr>
      <xdr:spPr>
        <a:xfrm flipH="1">
          <a:off x="51054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121744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3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131269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4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twoCellAnchor editAs="absolute">
    <xdr:from>
      <xdr:col>4</xdr:col>
      <xdr:colOff>0</xdr:colOff>
      <xdr:row>17</xdr:row>
      <xdr:rowOff>0</xdr:rowOff>
    </xdr:from>
    <xdr:to>
      <xdr:col>4</xdr:col>
      <xdr:colOff>778969</xdr:colOff>
      <xdr:row>18</xdr:row>
      <xdr:rowOff>112299</xdr:rowOff>
    </xdr:to>
    <xdr:sp macro="" textlink="">
      <xdr:nvSpPr>
        <xdr:cNvPr id="3" name="五边形 1">
          <a:hlinkClick xmlns:r="http://schemas.openxmlformats.org/officeDocument/2006/relationships" r:id="rId1"/>
          <a:extLst>
            <a:ext uri="{FF2B5EF4-FFF2-40B4-BE49-F238E27FC236}">
              <a16:creationId xmlns:a16="http://schemas.microsoft.com/office/drawing/2014/main" id="{00000000-0008-0000-1400-000003000000}"/>
            </a:ext>
          </a:extLst>
        </xdr:cNvPr>
        <xdr:cNvSpPr>
          <a:spLocks noChangeAspect="1"/>
        </xdr:cNvSpPr>
      </xdr:nvSpPr>
      <xdr:spPr>
        <a:xfrm flipH="1">
          <a:off x="3057525" y="402907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85725</xdr:colOff>
      <xdr:row>0</xdr:row>
      <xdr:rowOff>0</xdr:rowOff>
    </xdr:from>
    <xdr:to>
      <xdr:col>12</xdr:col>
      <xdr:colOff>19050</xdr:colOff>
      <xdr:row>9</xdr:row>
      <xdr:rowOff>57150</xdr:rowOff>
    </xdr:to>
    <xdr:pic>
      <xdr:nvPicPr>
        <xdr:cNvPr id="2" name="Picture 1" descr="R4">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6210300" y="0"/>
          <a:ext cx="2676525" cy="2133600"/>
        </a:xfrm>
        <a:prstGeom prst="rect">
          <a:avLst/>
        </a:prstGeom>
        <a:noFill/>
        <a:ln w="9525">
          <a:noFill/>
          <a:miter lim="800000"/>
          <a:headEnd/>
          <a:tailEnd/>
        </a:ln>
      </xdr:spPr>
    </xdr:pic>
    <xdr:clientData/>
  </xdr:twoCellAnchor>
  <xdr:twoCellAnchor editAs="oneCell">
    <xdr:from>
      <xdr:col>24</xdr:col>
      <xdr:colOff>0</xdr:colOff>
      <xdr:row>35</xdr:row>
      <xdr:rowOff>0</xdr:rowOff>
    </xdr:from>
    <xdr:to>
      <xdr:col>24</xdr:col>
      <xdr:colOff>190500</xdr:colOff>
      <xdr:row>36</xdr:row>
      <xdr:rowOff>0</xdr:rowOff>
    </xdr:to>
    <xdr:pic>
      <xdr:nvPicPr>
        <xdr:cNvPr id="3" name="Picture 5" descr="21">
          <a:hlinkClick xmlns:r="http://schemas.openxmlformats.org/officeDocument/2006/relationships" r:id="rId2"/>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3"/>
        <a:srcRect/>
        <a:stretch>
          <a:fillRect/>
        </a:stretch>
      </xdr:blipFill>
      <xdr:spPr>
        <a:xfrm>
          <a:off x="17097375" y="7915275"/>
          <a:ext cx="190500" cy="180975"/>
        </a:xfrm>
        <a:prstGeom prst="rect">
          <a:avLst/>
        </a:prstGeom>
        <a:noFill/>
        <a:ln w="9525">
          <a:noFill/>
          <a:miter lim="800000"/>
          <a:headEnd/>
          <a:tailEnd/>
        </a:ln>
      </xdr:spPr>
    </xdr:pic>
    <xdr:clientData/>
  </xdr:twoCellAnchor>
  <xdr:twoCellAnchor editAs="oneCell">
    <xdr:from>
      <xdr:col>32</xdr:col>
      <xdr:colOff>0</xdr:colOff>
      <xdr:row>25</xdr:row>
      <xdr:rowOff>0</xdr:rowOff>
    </xdr:from>
    <xdr:to>
      <xdr:col>32</xdr:col>
      <xdr:colOff>190500</xdr:colOff>
      <xdr:row>26</xdr:row>
      <xdr:rowOff>9525</xdr:rowOff>
    </xdr:to>
    <xdr:pic>
      <xdr:nvPicPr>
        <xdr:cNvPr id="4" name="Picture 20" descr="21">
          <a:hlinkClick xmlns:r="http://schemas.openxmlformats.org/officeDocument/2006/relationships" r:id="rId2"/>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3"/>
        <a:srcRect/>
        <a:stretch>
          <a:fillRect/>
        </a:stretch>
      </xdr:blipFill>
      <xdr:spPr>
        <a:xfrm>
          <a:off x="22583775" y="6086475"/>
          <a:ext cx="190500" cy="190500"/>
        </a:xfrm>
        <a:prstGeom prst="rect">
          <a:avLst/>
        </a:prstGeom>
        <a:noFill/>
        <a:ln w="9525">
          <a:noFill/>
          <a:miter lim="800000"/>
          <a:headEnd/>
          <a:tailEnd/>
        </a:ln>
      </xdr:spPr>
    </xdr:pic>
    <xdr:clientData/>
  </xdr:twoCellAnchor>
  <xdr:twoCellAnchor editAs="oneCell">
    <xdr:from>
      <xdr:col>0</xdr:col>
      <xdr:colOff>28575</xdr:colOff>
      <xdr:row>28</xdr:row>
      <xdr:rowOff>19050</xdr:rowOff>
    </xdr:from>
    <xdr:to>
      <xdr:col>5</xdr:col>
      <xdr:colOff>323850</xdr:colOff>
      <xdr:row>41</xdr:row>
      <xdr:rowOff>0</xdr:rowOff>
    </xdr:to>
    <xdr:pic>
      <xdr:nvPicPr>
        <xdr:cNvPr id="5" name="Picture 32" descr="R1">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4"/>
        <a:srcRect/>
        <a:stretch>
          <a:fillRect/>
        </a:stretch>
      </xdr:blipFill>
      <xdr:spPr>
        <a:xfrm>
          <a:off x="28575" y="6648450"/>
          <a:ext cx="4362450" cy="2352675"/>
        </a:xfrm>
        <a:prstGeom prst="rect">
          <a:avLst/>
        </a:prstGeom>
        <a:noFill/>
        <a:ln w="9525">
          <a:noFill/>
          <a:miter lim="800000"/>
          <a:headEnd/>
          <a:tailEnd/>
        </a:ln>
      </xdr:spPr>
    </xdr:pic>
    <xdr:clientData/>
  </xdr:twoCellAnchor>
  <xdr:twoCellAnchor editAs="oneCell">
    <xdr:from>
      <xdr:col>24</xdr:col>
      <xdr:colOff>0</xdr:colOff>
      <xdr:row>36</xdr:row>
      <xdr:rowOff>0</xdr:rowOff>
    </xdr:from>
    <xdr:to>
      <xdr:col>26</xdr:col>
      <xdr:colOff>104775</xdr:colOff>
      <xdr:row>39</xdr:row>
      <xdr:rowOff>171450</xdr:rowOff>
    </xdr:to>
    <xdr:sp macro="" textlink="">
      <xdr:nvSpPr>
        <xdr:cNvPr id="1416198" name="ShockwaveFlash1">
          <a:extLst>
            <a:ext uri="{FF2B5EF4-FFF2-40B4-BE49-F238E27FC236}">
              <a16:creationId xmlns:a16="http://schemas.microsoft.com/office/drawing/2014/main" id="{00000000-0008-0000-1500-0000069C1500}"/>
            </a:ext>
          </a:extLst>
        </xdr:cNvPr>
        <xdr:cNvSpPr/>
      </xdr:nvSpPr>
      <xdr:spPr>
        <a:xfrm>
          <a:off x="17097375" y="8096250"/>
          <a:ext cx="1476375" cy="714375"/>
        </a:xfrm>
        <a:prstGeom prst="rect">
          <a:avLst/>
        </a:prstGeom>
      </xdr:spPr>
    </xdr:sp>
    <xdr:clientData/>
  </xdr:twoCellAnchor>
  <xdr:twoCellAnchor editAs="oneCell">
    <xdr:from>
      <xdr:col>24</xdr:col>
      <xdr:colOff>0</xdr:colOff>
      <xdr:row>37</xdr:row>
      <xdr:rowOff>0</xdr:rowOff>
    </xdr:from>
    <xdr:to>
      <xdr:col>24</xdr:col>
      <xdr:colOff>19050</xdr:colOff>
      <xdr:row>37</xdr:row>
      <xdr:rowOff>19050</xdr:rowOff>
    </xdr:to>
    <xdr:sp macro="" textlink="">
      <xdr:nvSpPr>
        <xdr:cNvPr id="1416199" name="ShockwaveFlash2">
          <a:extLst>
            <a:ext uri="{FF2B5EF4-FFF2-40B4-BE49-F238E27FC236}">
              <a16:creationId xmlns:a16="http://schemas.microsoft.com/office/drawing/2014/main" id="{00000000-0008-0000-1500-0000079C1500}"/>
            </a:ext>
          </a:extLst>
        </xdr:cNvPr>
        <xdr:cNvSpPr/>
      </xdr:nvSpPr>
      <xdr:spPr>
        <a:xfrm>
          <a:off x="17097375" y="8277225"/>
          <a:ext cx="19050" cy="19050"/>
        </a:xfrm>
        <a:prstGeom prst="rect">
          <a:avLst/>
        </a:prstGeom>
      </xdr:spPr>
    </xdr:sp>
    <xdr:clientData/>
  </xdr:twoCellAnchor>
  <xdr:twoCellAnchor editAs="oneCell">
    <xdr:from>
      <xdr:col>24</xdr:col>
      <xdr:colOff>0</xdr:colOff>
      <xdr:row>38</xdr:row>
      <xdr:rowOff>0</xdr:rowOff>
    </xdr:from>
    <xdr:to>
      <xdr:col>24</xdr:col>
      <xdr:colOff>19050</xdr:colOff>
      <xdr:row>38</xdr:row>
      <xdr:rowOff>19050</xdr:rowOff>
    </xdr:to>
    <xdr:sp macro="" textlink="">
      <xdr:nvSpPr>
        <xdr:cNvPr id="1416200" name="ShockwaveFlash3">
          <a:extLst>
            <a:ext uri="{FF2B5EF4-FFF2-40B4-BE49-F238E27FC236}">
              <a16:creationId xmlns:a16="http://schemas.microsoft.com/office/drawing/2014/main" id="{00000000-0008-0000-1500-0000089C1500}"/>
            </a:ext>
          </a:extLst>
        </xdr:cNvPr>
        <xdr:cNvSpPr/>
      </xdr:nvSpPr>
      <xdr:spPr>
        <a:xfrm>
          <a:off x="17097375" y="8458200"/>
          <a:ext cx="19050" cy="19050"/>
        </a:xfrm>
        <a:prstGeom prst="rect">
          <a:avLst/>
        </a:prstGeom>
      </xdr:spPr>
    </xdr:sp>
    <xdr:clientData/>
  </xdr:twoCellAnchor>
  <xdr:twoCellAnchor editAs="oneCell">
    <xdr:from>
      <xdr:col>32</xdr:col>
      <xdr:colOff>0</xdr:colOff>
      <xdr:row>26</xdr:row>
      <xdr:rowOff>0</xdr:rowOff>
    </xdr:from>
    <xdr:to>
      <xdr:col>34</xdr:col>
      <xdr:colOff>104775</xdr:colOff>
      <xdr:row>30</xdr:row>
      <xdr:rowOff>9525</xdr:rowOff>
    </xdr:to>
    <xdr:sp macro="" textlink="">
      <xdr:nvSpPr>
        <xdr:cNvPr id="1416204" name="ShockwaveFlash4">
          <a:extLst>
            <a:ext uri="{FF2B5EF4-FFF2-40B4-BE49-F238E27FC236}">
              <a16:creationId xmlns:a16="http://schemas.microsoft.com/office/drawing/2014/main" id="{00000000-0008-0000-1500-00000C9C1500}"/>
            </a:ext>
          </a:extLst>
        </xdr:cNvPr>
        <xdr:cNvSpPr/>
      </xdr:nvSpPr>
      <xdr:spPr>
        <a:xfrm>
          <a:off x="22583775" y="6267450"/>
          <a:ext cx="1476375" cy="742950"/>
        </a:xfrm>
        <a:prstGeom prst="rect">
          <a:avLst/>
        </a:prstGeom>
      </xdr:spPr>
    </xdr:sp>
    <xdr:clientData/>
  </xdr:twoCellAnchor>
  <xdr:twoCellAnchor editAs="oneCell">
    <xdr:from>
      <xdr:col>32</xdr:col>
      <xdr:colOff>0</xdr:colOff>
      <xdr:row>27</xdr:row>
      <xdr:rowOff>0</xdr:rowOff>
    </xdr:from>
    <xdr:to>
      <xdr:col>32</xdr:col>
      <xdr:colOff>19050</xdr:colOff>
      <xdr:row>27</xdr:row>
      <xdr:rowOff>19050</xdr:rowOff>
    </xdr:to>
    <xdr:sp macro="" textlink="">
      <xdr:nvSpPr>
        <xdr:cNvPr id="1416205" name="ShockwaveFlash5">
          <a:extLst>
            <a:ext uri="{FF2B5EF4-FFF2-40B4-BE49-F238E27FC236}">
              <a16:creationId xmlns:a16="http://schemas.microsoft.com/office/drawing/2014/main" id="{00000000-0008-0000-1500-00000D9C1500}"/>
            </a:ext>
          </a:extLst>
        </xdr:cNvPr>
        <xdr:cNvSpPr/>
      </xdr:nvSpPr>
      <xdr:spPr>
        <a:xfrm>
          <a:off x="22583775" y="6448425"/>
          <a:ext cx="19050" cy="19050"/>
        </a:xfrm>
        <a:prstGeom prst="rect">
          <a:avLst/>
        </a:prstGeom>
      </xdr:spPr>
    </xdr:sp>
    <xdr:clientData/>
  </xdr:twoCellAnchor>
  <xdr:twoCellAnchor editAs="oneCell">
    <xdr:from>
      <xdr:col>32</xdr:col>
      <xdr:colOff>0</xdr:colOff>
      <xdr:row>28</xdr:row>
      <xdr:rowOff>0</xdr:rowOff>
    </xdr:from>
    <xdr:to>
      <xdr:col>32</xdr:col>
      <xdr:colOff>19050</xdr:colOff>
      <xdr:row>28</xdr:row>
      <xdr:rowOff>19050</xdr:rowOff>
    </xdr:to>
    <xdr:sp macro="" textlink="">
      <xdr:nvSpPr>
        <xdr:cNvPr id="1416206" name="ShockwaveFlash6">
          <a:extLst>
            <a:ext uri="{FF2B5EF4-FFF2-40B4-BE49-F238E27FC236}">
              <a16:creationId xmlns:a16="http://schemas.microsoft.com/office/drawing/2014/main" id="{00000000-0008-0000-1500-00000E9C1500}"/>
            </a:ext>
          </a:extLst>
        </xdr:cNvPr>
        <xdr:cNvSpPr/>
      </xdr:nvSpPr>
      <xdr:spPr>
        <a:xfrm>
          <a:off x="22583775" y="6629400"/>
          <a:ext cx="19050" cy="19050"/>
        </a:xfrm>
        <a:prstGeom prst="rect">
          <a:avLst/>
        </a:prstGeom>
      </xdr:spPr>
    </xdr:sp>
    <xdr:clientData/>
  </xdr:twoCellAnchor>
  <xdr:twoCellAnchor editAs="absolute">
    <xdr:from>
      <xdr:col>24</xdr:col>
      <xdr:colOff>0</xdr:colOff>
      <xdr:row>0</xdr:row>
      <xdr:rowOff>0</xdr:rowOff>
    </xdr:from>
    <xdr:to>
      <xdr:col>25</xdr:col>
      <xdr:colOff>93169</xdr:colOff>
      <xdr:row>0</xdr:row>
      <xdr:rowOff>293274</xdr:rowOff>
    </xdr:to>
    <xdr:sp macro="" textlink="">
      <xdr:nvSpPr>
        <xdr:cNvPr id="6" name="五边形 1">
          <a:hlinkClick xmlns:r="http://schemas.openxmlformats.org/officeDocument/2006/relationships" r:id="rId5"/>
          <a:extLst>
            <a:ext uri="{FF2B5EF4-FFF2-40B4-BE49-F238E27FC236}">
              <a16:creationId xmlns:a16="http://schemas.microsoft.com/office/drawing/2014/main" id="{00000000-0008-0000-1500-000006000000}"/>
            </a:ext>
          </a:extLst>
        </xdr:cNvPr>
        <xdr:cNvSpPr>
          <a:spLocks noChangeAspect="1"/>
        </xdr:cNvSpPr>
      </xdr:nvSpPr>
      <xdr:spPr>
        <a:xfrm flipH="1">
          <a:off x="1709737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6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7</xdr:col>
      <xdr:colOff>93169</xdr:colOff>
      <xdr:row>1</xdr:row>
      <xdr:rowOff>74199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700-000002000000}"/>
            </a:ext>
          </a:extLst>
        </xdr:cNvPr>
        <xdr:cNvSpPr>
          <a:spLocks noChangeAspect="1"/>
        </xdr:cNvSpPr>
      </xdr:nvSpPr>
      <xdr:spPr>
        <a:xfrm flipH="1">
          <a:off x="543877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561975</xdr:colOff>
      <xdr:row>24</xdr:row>
      <xdr:rowOff>133350</xdr:rowOff>
    </xdr:to>
    <xdr:pic>
      <xdr:nvPicPr>
        <xdr:cNvPr id="2" name="Picture 2">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0" y="0"/>
          <a:ext cx="8239125" cy="4476750"/>
        </a:xfrm>
        <a:prstGeom prst="rect">
          <a:avLst/>
        </a:prstGeom>
        <a:noFill/>
        <a:ln w="9525">
          <a:noFill/>
          <a:miter lim="800000"/>
          <a:headEnd/>
          <a:tailEnd/>
        </a:ln>
      </xdr:spPr>
    </xdr:pic>
    <xdr:clientData/>
  </xdr:twoCellAnchor>
  <xdr:twoCellAnchor editAs="absolute">
    <xdr:from>
      <xdr:col>12</xdr:col>
      <xdr:colOff>0</xdr:colOff>
      <xdr:row>0</xdr:row>
      <xdr:rowOff>0</xdr:rowOff>
    </xdr:from>
    <xdr:to>
      <xdr:col>13</xdr:col>
      <xdr:colOff>93169</xdr:colOff>
      <xdr:row>1</xdr:row>
      <xdr:rowOff>112299</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1800-000003000000}"/>
            </a:ext>
          </a:extLst>
        </xdr:cNvPr>
        <xdr:cNvSpPr>
          <a:spLocks noChangeAspect="1"/>
        </xdr:cNvSpPr>
      </xdr:nvSpPr>
      <xdr:spPr>
        <a:xfrm flipH="1">
          <a:off x="83629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9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1</xdr:row>
      <xdr:rowOff>113980</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B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2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331294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1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571500</xdr:colOff>
      <xdr:row>78</xdr:row>
      <xdr:rowOff>28575</xdr:rowOff>
    </xdr:from>
    <xdr:to>
      <xdr:col>4</xdr:col>
      <xdr:colOff>1238250</xdr:colOff>
      <xdr:row>100</xdr:row>
      <xdr:rowOff>142875</xdr:rowOff>
    </xdr:to>
    <xdr:pic>
      <xdr:nvPicPr>
        <xdr:cNvPr id="2" name="Picture 8">
          <a:extLst>
            <a:ext uri="{FF2B5EF4-FFF2-40B4-BE49-F238E27FC236}">
              <a16:creationId xmlns:a16="http://schemas.microsoft.com/office/drawing/2014/main" id="{00000000-0008-0000-1D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2171700" y="14325600"/>
          <a:ext cx="5743575" cy="4095750"/>
        </a:xfrm>
        <a:prstGeom prst="rect">
          <a:avLst/>
        </a:prstGeom>
        <a:noFill/>
      </xdr:spPr>
    </xdr:pic>
    <xdr:clientData/>
  </xdr:twoCellAnchor>
  <xdr:twoCellAnchor editAs="oneCell">
    <xdr:from>
      <xdr:col>4</xdr:col>
      <xdr:colOff>1257300</xdr:colOff>
      <xdr:row>137</xdr:row>
      <xdr:rowOff>171450</xdr:rowOff>
    </xdr:from>
    <xdr:to>
      <xdr:col>9</xdr:col>
      <xdr:colOff>419100</xdr:colOff>
      <xdr:row>154</xdr:row>
      <xdr:rowOff>228600</xdr:rowOff>
    </xdr:to>
    <xdr:pic>
      <xdr:nvPicPr>
        <xdr:cNvPr id="3" name="Picture 11">
          <a:extLst>
            <a:ext uri="{FF2B5EF4-FFF2-40B4-BE49-F238E27FC236}">
              <a16:creationId xmlns:a16="http://schemas.microsoft.com/office/drawing/2014/main" id="{00000000-0008-0000-1D00-000003000000}"/>
            </a:ext>
          </a:extLst>
        </xdr:cNvPr>
        <xdr:cNvPicPr>
          <a:picLocks noChangeAspect="1" noChangeArrowheads="1"/>
        </xdr:cNvPicPr>
      </xdr:nvPicPr>
      <xdr:blipFill>
        <a:blip xmlns:r="http://schemas.openxmlformats.org/officeDocument/2006/relationships" r:embed="rId2"/>
        <a:srcRect/>
        <a:stretch>
          <a:fillRect/>
        </a:stretch>
      </xdr:blipFill>
      <xdr:spPr>
        <a:xfrm>
          <a:off x="7934325" y="25679400"/>
          <a:ext cx="4419600" cy="3248025"/>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4</xdr:col>
          <xdr:colOff>76200</xdr:colOff>
          <xdr:row>2</xdr:row>
          <xdr:rowOff>19050</xdr:rowOff>
        </xdr:from>
        <xdr:to>
          <xdr:col>11</xdr:col>
          <xdr:colOff>457200</xdr:colOff>
          <xdr:row>24</xdr:row>
          <xdr:rowOff>152400</xdr:rowOff>
        </xdr:to>
        <xdr:sp macro="" textlink="">
          <xdr:nvSpPr>
            <xdr:cNvPr id="1381377" name="Object 1" hidden="1">
              <a:extLst>
                <a:ext uri="{63B3BB69-23CF-44E3-9099-C40C66FF867C}">
                  <a14:compatExt spid="_x0000_s1381377"/>
                </a:ext>
                <a:ext uri="{FF2B5EF4-FFF2-40B4-BE49-F238E27FC236}">
                  <a16:creationId xmlns:a16="http://schemas.microsoft.com/office/drawing/2014/main" id="{00000000-0008-0000-1D00-0000011415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78</xdr:row>
          <xdr:rowOff>38100</xdr:rowOff>
        </xdr:from>
        <xdr:to>
          <xdr:col>4</xdr:col>
          <xdr:colOff>1228725</xdr:colOff>
          <xdr:row>100</xdr:row>
          <xdr:rowOff>142875</xdr:rowOff>
        </xdr:to>
        <xdr:sp macro="" textlink="">
          <xdr:nvSpPr>
            <xdr:cNvPr id="1381378" name="Object 2" hidden="1">
              <a:extLst>
                <a:ext uri="{63B3BB69-23CF-44E3-9099-C40C66FF867C}">
                  <a14:compatExt spid="_x0000_s1381378"/>
                </a:ext>
                <a:ext uri="{FF2B5EF4-FFF2-40B4-BE49-F238E27FC236}">
                  <a16:creationId xmlns:a16="http://schemas.microsoft.com/office/drawing/2014/main" id="{00000000-0008-0000-1D00-0000021415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0</xdr:col>
      <xdr:colOff>778969</xdr:colOff>
      <xdr:row>0</xdr:row>
      <xdr:rowOff>293274</xdr:rowOff>
    </xdr:to>
    <xdr:sp macro="" textlink="">
      <xdr:nvSpPr>
        <xdr:cNvPr id="4" name="五边形 1">
          <a:hlinkClick xmlns:r="http://schemas.openxmlformats.org/officeDocument/2006/relationships" r:id="rId3"/>
          <a:extLst>
            <a:ext uri="{FF2B5EF4-FFF2-40B4-BE49-F238E27FC236}">
              <a16:creationId xmlns:a16="http://schemas.microsoft.com/office/drawing/2014/main" id="{00000000-0008-0000-1D00-000004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1.xml><?xml version="1.0" encoding="utf-8"?>
<xdr:wsDr xmlns:xdr="http://schemas.openxmlformats.org/drawingml/2006/spreadsheetDrawing" xmlns:a="http://schemas.openxmlformats.org/drawingml/2006/main">
  <xdr:twoCellAnchor editAs="absolute">
    <xdr:from>
      <xdr:col>5</xdr:col>
      <xdr:colOff>0</xdr:colOff>
      <xdr:row>1</xdr:row>
      <xdr:rowOff>0</xdr:rowOff>
    </xdr:from>
    <xdr:to>
      <xdr:col>5</xdr:col>
      <xdr:colOff>778969</xdr:colOff>
      <xdr:row>2</xdr:row>
      <xdr:rowOff>66140</xdr:rowOff>
    </xdr:to>
    <xdr:sp macro="" textlink="">
      <xdr:nvSpPr>
        <xdr:cNvPr id="3" name="五边形 1">
          <a:hlinkClick xmlns:r="http://schemas.openxmlformats.org/officeDocument/2006/relationships" r:id="rId1"/>
          <a:extLst>
            <a:ext uri="{FF2B5EF4-FFF2-40B4-BE49-F238E27FC236}">
              <a16:creationId xmlns:a16="http://schemas.microsoft.com/office/drawing/2014/main" id="{00000000-0008-0000-1E00-000003000000}"/>
            </a:ext>
          </a:extLst>
        </xdr:cNvPr>
        <xdr:cNvSpPr>
          <a:spLocks noChangeAspect="1"/>
        </xdr:cNvSpPr>
      </xdr:nvSpPr>
      <xdr:spPr>
        <a:xfrm flipH="1">
          <a:off x="3824654" y="22713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97</xdr:row>
      <xdr:rowOff>95250</xdr:rowOff>
    </xdr:from>
    <xdr:to>
      <xdr:col>8</xdr:col>
      <xdr:colOff>76200</xdr:colOff>
      <xdr:row>113</xdr:row>
      <xdr:rowOff>19050</xdr:rowOff>
    </xdr:to>
    <xdr:pic>
      <xdr:nvPicPr>
        <xdr:cNvPr id="2" name="Picture 1">
          <a:extLst>
            <a:ext uri="{FF2B5EF4-FFF2-40B4-BE49-F238E27FC236}">
              <a16:creationId xmlns:a16="http://schemas.microsoft.com/office/drawing/2014/main" id="{00000000-0008-0000-1F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0" y="22269450"/>
          <a:ext cx="6200775" cy="3581400"/>
        </a:xfrm>
        <a:prstGeom prst="rect">
          <a:avLst/>
        </a:prstGeom>
        <a:noFill/>
      </xdr:spPr>
    </xdr:pic>
    <xdr:clientData/>
  </xdr:twoCellAnchor>
  <xdr:twoCellAnchor editAs="absolute">
    <xdr:from>
      <xdr:col>6</xdr:col>
      <xdr:colOff>0</xdr:colOff>
      <xdr:row>39</xdr:row>
      <xdr:rowOff>0</xdr:rowOff>
    </xdr:from>
    <xdr:to>
      <xdr:col>6</xdr:col>
      <xdr:colOff>778969</xdr:colOff>
      <xdr:row>40</xdr:row>
      <xdr:rowOff>61361</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1F00-000003000000}"/>
            </a:ext>
          </a:extLst>
        </xdr:cNvPr>
        <xdr:cNvSpPr>
          <a:spLocks noChangeAspect="1"/>
        </xdr:cNvSpPr>
      </xdr:nvSpPr>
      <xdr:spPr>
        <a:xfrm flipH="1">
          <a:off x="4588565" y="9044609"/>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95250</xdr:colOff>
      <xdr:row>3</xdr:row>
      <xdr:rowOff>57150</xdr:rowOff>
    </xdr:from>
    <xdr:to>
      <xdr:col>2</xdr:col>
      <xdr:colOff>590550</xdr:colOff>
      <xdr:row>3</xdr:row>
      <xdr:rowOff>457200</xdr:rowOff>
    </xdr:to>
    <xdr:pic>
      <xdr:nvPicPr>
        <xdr:cNvPr id="2" name="Picture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a:xfrm>
          <a:off x="1485900" y="884555"/>
          <a:ext cx="495300" cy="400050"/>
        </a:xfrm>
        <a:prstGeom prst="rect">
          <a:avLst/>
        </a:prstGeom>
        <a:noFill/>
      </xdr:spPr>
    </xdr:pic>
    <xdr:clientData/>
  </xdr:twoCellAnchor>
  <xdr:twoCellAnchor>
    <xdr:from>
      <xdr:col>2</xdr:col>
      <xdr:colOff>504825</xdr:colOff>
      <xdr:row>15</xdr:row>
      <xdr:rowOff>57150</xdr:rowOff>
    </xdr:from>
    <xdr:to>
      <xdr:col>2</xdr:col>
      <xdr:colOff>1047750</xdr:colOff>
      <xdr:row>15</xdr:row>
      <xdr:rowOff>457200</xdr:rowOff>
    </xdr:to>
    <xdr:pic>
      <xdr:nvPicPr>
        <xdr:cNvPr id="3" name="Picture 2">
          <a:extLst>
            <a:ext uri="{FF2B5EF4-FFF2-40B4-BE49-F238E27FC236}">
              <a16:creationId xmlns:a16="http://schemas.microsoft.com/office/drawing/2014/main" id="{00000000-0008-0000-20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a:xfrm>
          <a:off x="1895475" y="4387215"/>
          <a:ext cx="542925" cy="400050"/>
        </a:xfrm>
        <a:prstGeom prst="rect">
          <a:avLst/>
        </a:prstGeom>
        <a:noFill/>
      </xdr:spPr>
    </xdr:pic>
    <xdr:clientData/>
  </xdr:twoCellAnchor>
  <xdr:twoCellAnchor>
    <xdr:from>
      <xdr:col>1</xdr:col>
      <xdr:colOff>466725</xdr:colOff>
      <xdr:row>17</xdr:row>
      <xdr:rowOff>28575</xdr:rowOff>
    </xdr:from>
    <xdr:to>
      <xdr:col>1</xdr:col>
      <xdr:colOff>552450</xdr:colOff>
      <xdr:row>17</xdr:row>
      <xdr:rowOff>238125</xdr:rowOff>
    </xdr:to>
    <xdr:pic>
      <xdr:nvPicPr>
        <xdr:cNvPr id="4" name="Picture 4">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a:xfrm>
          <a:off x="895350" y="5121275"/>
          <a:ext cx="85725" cy="209550"/>
        </a:xfrm>
        <a:prstGeom prst="rect">
          <a:avLst/>
        </a:prstGeom>
        <a:noFill/>
      </xdr:spPr>
    </xdr:pic>
    <xdr:clientData/>
  </xdr:twoCellAnchor>
  <xdr:twoCellAnchor>
    <xdr:from>
      <xdr:col>1</xdr:col>
      <xdr:colOff>419100</xdr:colOff>
      <xdr:row>18</xdr:row>
      <xdr:rowOff>9525</xdr:rowOff>
    </xdr:from>
    <xdr:to>
      <xdr:col>1</xdr:col>
      <xdr:colOff>647700</xdr:colOff>
      <xdr:row>18</xdr:row>
      <xdr:rowOff>219075</xdr:rowOff>
    </xdr:to>
    <xdr:pic>
      <xdr:nvPicPr>
        <xdr:cNvPr id="5" name="Picture 5">
          <a:extLst>
            <a:ext uri="{FF2B5EF4-FFF2-40B4-BE49-F238E27FC236}">
              <a16:creationId xmlns:a16="http://schemas.microsoft.com/office/drawing/2014/main" id="{00000000-0008-0000-2000-000005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a:xfrm>
          <a:off x="847725" y="5357495"/>
          <a:ext cx="228600" cy="209550"/>
        </a:xfrm>
        <a:prstGeom prst="rect">
          <a:avLst/>
        </a:prstGeom>
        <a:noFill/>
      </xdr:spPr>
    </xdr:pic>
    <xdr:clientData/>
  </xdr:twoCellAnchor>
  <xdr:twoCellAnchor editAs="oneCell">
    <xdr:from>
      <xdr:col>5</xdr:col>
      <xdr:colOff>85726</xdr:colOff>
      <xdr:row>14</xdr:row>
      <xdr:rowOff>1</xdr:rowOff>
    </xdr:from>
    <xdr:to>
      <xdr:col>14</xdr:col>
      <xdr:colOff>16425</xdr:colOff>
      <xdr:row>22</xdr:row>
      <xdr:rowOff>142875</xdr:rowOff>
    </xdr:to>
    <xdr:pic>
      <xdr:nvPicPr>
        <xdr:cNvPr id="6" name="图片 5" descr="图像 1.png">
          <a:extLst>
            <a:ext uri="{FF2B5EF4-FFF2-40B4-BE49-F238E27FC236}">
              <a16:creationId xmlns:a16="http://schemas.microsoft.com/office/drawing/2014/main" id="{00000000-0008-0000-2000-000006000000}"/>
            </a:ext>
          </a:extLst>
        </xdr:cNvPr>
        <xdr:cNvPicPr>
          <a:picLocks noChangeAspect="1"/>
        </xdr:cNvPicPr>
      </xdr:nvPicPr>
      <xdr:blipFill>
        <a:blip xmlns:r="http://schemas.openxmlformats.org/officeDocument/2006/relationships" r:embed="rId5" cstate="print"/>
        <a:stretch>
          <a:fillRect/>
        </a:stretch>
      </xdr:blipFill>
      <xdr:spPr>
        <a:xfrm>
          <a:off x="6419850" y="4013200"/>
          <a:ext cx="5997575" cy="2624455"/>
        </a:xfrm>
        <a:prstGeom prst="rect">
          <a:avLst/>
        </a:prstGeom>
      </xdr:spPr>
    </xdr:pic>
    <xdr:clientData/>
  </xdr:twoCellAnchor>
  <xdr:twoCellAnchor editAs="oneCell">
    <xdr:from>
      <xdr:col>2</xdr:col>
      <xdr:colOff>123825</xdr:colOff>
      <xdr:row>27</xdr:row>
      <xdr:rowOff>28575</xdr:rowOff>
    </xdr:from>
    <xdr:to>
      <xdr:col>3</xdr:col>
      <xdr:colOff>323850</xdr:colOff>
      <xdr:row>27</xdr:row>
      <xdr:rowOff>704850</xdr:rowOff>
    </xdr:to>
    <xdr:pic>
      <xdr:nvPicPr>
        <xdr:cNvPr id="7" name="图片 6" descr="图像 2.png">
          <a:extLst>
            <a:ext uri="{FF2B5EF4-FFF2-40B4-BE49-F238E27FC236}">
              <a16:creationId xmlns:a16="http://schemas.microsoft.com/office/drawing/2014/main" id="{00000000-0008-0000-2000-000007000000}"/>
            </a:ext>
          </a:extLst>
        </xdr:cNvPr>
        <xdr:cNvPicPr>
          <a:picLocks noChangeAspect="1"/>
        </xdr:cNvPicPr>
      </xdr:nvPicPr>
      <xdr:blipFill>
        <a:blip xmlns:r="http://schemas.openxmlformats.org/officeDocument/2006/relationships" r:embed="rId6" cstate="print"/>
        <a:stretch>
          <a:fillRect/>
        </a:stretch>
      </xdr:blipFill>
      <xdr:spPr>
        <a:xfrm>
          <a:off x="1514475" y="7861300"/>
          <a:ext cx="2533650" cy="676275"/>
        </a:xfrm>
        <a:prstGeom prst="rect">
          <a:avLst/>
        </a:prstGeom>
      </xdr:spPr>
    </xdr:pic>
    <xdr:clientData/>
  </xdr:twoCellAnchor>
  <xdr:twoCellAnchor editAs="oneCell">
    <xdr:from>
      <xdr:col>5</xdr:col>
      <xdr:colOff>0</xdr:colOff>
      <xdr:row>26</xdr:row>
      <xdr:rowOff>0</xdr:rowOff>
    </xdr:from>
    <xdr:to>
      <xdr:col>14</xdr:col>
      <xdr:colOff>47890</xdr:colOff>
      <xdr:row>36</xdr:row>
      <xdr:rowOff>190500</xdr:rowOff>
    </xdr:to>
    <xdr:pic>
      <xdr:nvPicPr>
        <xdr:cNvPr id="8" name="图片 7" descr="图像 3.png">
          <a:extLst>
            <a:ext uri="{FF2B5EF4-FFF2-40B4-BE49-F238E27FC236}">
              <a16:creationId xmlns:a16="http://schemas.microsoft.com/office/drawing/2014/main" id="{00000000-0008-0000-2000-000008000000}"/>
            </a:ext>
          </a:extLst>
        </xdr:cNvPr>
        <xdr:cNvPicPr>
          <a:picLocks noChangeAspect="1"/>
        </xdr:cNvPicPr>
      </xdr:nvPicPr>
      <xdr:blipFill>
        <a:blip xmlns:r="http://schemas.openxmlformats.org/officeDocument/2006/relationships" r:embed="rId7" cstate="print"/>
        <a:stretch>
          <a:fillRect/>
        </a:stretch>
      </xdr:blipFill>
      <xdr:spPr>
        <a:xfrm>
          <a:off x="6334125" y="7515860"/>
          <a:ext cx="6115050" cy="3311525"/>
        </a:xfrm>
        <a:prstGeom prst="rect">
          <a:avLst/>
        </a:prstGeom>
      </xdr:spPr>
    </xdr:pic>
    <xdr:clientData/>
  </xdr:twoCellAnchor>
  <xdr:twoCellAnchor>
    <xdr:from>
      <xdr:col>2</xdr:col>
      <xdr:colOff>180975</xdr:colOff>
      <xdr:row>40</xdr:row>
      <xdr:rowOff>123825</xdr:rowOff>
    </xdr:from>
    <xdr:to>
      <xdr:col>2</xdr:col>
      <xdr:colOff>1619250</xdr:colOff>
      <xdr:row>40</xdr:row>
      <xdr:rowOff>619125</xdr:rowOff>
    </xdr:to>
    <xdr:pic>
      <xdr:nvPicPr>
        <xdr:cNvPr id="9" name="Picture 6">
          <a:extLst>
            <a:ext uri="{FF2B5EF4-FFF2-40B4-BE49-F238E27FC236}">
              <a16:creationId xmlns:a16="http://schemas.microsoft.com/office/drawing/2014/main" id="{00000000-0008-0000-2000-000009000000}"/>
            </a:ext>
          </a:extLst>
        </xdr:cNvPr>
        <xdr:cNvPicPr>
          <a:picLocks noChangeAspect="1" noChangeArrowheads="1"/>
        </xdr:cNvPicPr>
      </xdr:nvPicPr>
      <xdr:blipFill>
        <a:blip xmlns:r="http://schemas.openxmlformats.org/officeDocument/2006/relationships" r:embed="rId8" cstate="print">
          <a:clrChange>
            <a:clrFrom>
              <a:srgbClr val="FFFFFF"/>
            </a:clrFrom>
            <a:clrTo>
              <a:srgbClr val="FFFFFF">
                <a:alpha val="0"/>
              </a:srgbClr>
            </a:clrTo>
          </a:clrChange>
        </a:blip>
        <a:srcRect/>
        <a:stretch>
          <a:fillRect/>
        </a:stretch>
      </xdr:blipFill>
      <xdr:spPr>
        <a:xfrm>
          <a:off x="1571625" y="11843385"/>
          <a:ext cx="1438275" cy="495300"/>
        </a:xfrm>
        <a:prstGeom prst="rect">
          <a:avLst/>
        </a:prstGeom>
        <a:noFill/>
      </xdr:spPr>
    </xdr:pic>
    <xdr:clientData/>
  </xdr:twoCellAnchor>
  <xdr:twoCellAnchor>
    <xdr:from>
      <xdr:col>1</xdr:col>
      <xdr:colOff>257175</xdr:colOff>
      <xdr:row>41</xdr:row>
      <xdr:rowOff>228600</xdr:rowOff>
    </xdr:from>
    <xdr:to>
      <xdr:col>1</xdr:col>
      <xdr:colOff>657225</xdr:colOff>
      <xdr:row>42</xdr:row>
      <xdr:rowOff>219075</xdr:rowOff>
    </xdr:to>
    <xdr:pic>
      <xdr:nvPicPr>
        <xdr:cNvPr id="10" name="Picture 7">
          <a:extLst>
            <a:ext uri="{FF2B5EF4-FFF2-40B4-BE49-F238E27FC236}">
              <a16:creationId xmlns:a16="http://schemas.microsoft.com/office/drawing/2014/main" id="{00000000-0008-0000-2000-00000A000000}"/>
            </a:ext>
          </a:extLst>
        </xdr:cNvPr>
        <xdr:cNvPicPr>
          <a:picLocks noChangeAspect="1" noChangeArrowheads="1"/>
        </xdr:cNvPicPr>
      </xdr:nvPicPr>
      <xdr:blipFill>
        <a:blip xmlns:r="http://schemas.openxmlformats.org/officeDocument/2006/relationships" r:embed="rId9" cstate="print">
          <a:clrChange>
            <a:clrFrom>
              <a:srgbClr val="FFFFFF"/>
            </a:clrFrom>
            <a:clrTo>
              <a:srgbClr val="FFFFFF">
                <a:alpha val="0"/>
              </a:srgbClr>
            </a:clrTo>
          </a:clrChange>
        </a:blip>
        <a:srcRect/>
        <a:stretch>
          <a:fillRect/>
        </a:stretch>
      </xdr:blipFill>
      <xdr:spPr>
        <a:xfrm>
          <a:off x="685800" y="12710160"/>
          <a:ext cx="400050" cy="245745"/>
        </a:xfrm>
        <a:prstGeom prst="rect">
          <a:avLst/>
        </a:prstGeom>
        <a:noFill/>
      </xdr:spPr>
    </xdr:pic>
    <xdr:clientData/>
  </xdr:twoCellAnchor>
  <xdr:twoCellAnchor>
    <xdr:from>
      <xdr:col>2</xdr:col>
      <xdr:colOff>133350</xdr:colOff>
      <xdr:row>54</xdr:row>
      <xdr:rowOff>47625</xdr:rowOff>
    </xdr:from>
    <xdr:to>
      <xdr:col>2</xdr:col>
      <xdr:colOff>876300</xdr:colOff>
      <xdr:row>54</xdr:row>
      <xdr:rowOff>485775</xdr:rowOff>
    </xdr:to>
    <xdr:pic>
      <xdr:nvPicPr>
        <xdr:cNvPr id="11" name="Picture 9">
          <a:extLst>
            <a:ext uri="{FF2B5EF4-FFF2-40B4-BE49-F238E27FC236}">
              <a16:creationId xmlns:a16="http://schemas.microsoft.com/office/drawing/2014/main" id="{00000000-0008-0000-2000-00000B000000}"/>
            </a:ext>
          </a:extLst>
        </xdr:cNvPr>
        <xdr:cNvPicPr>
          <a:picLocks noChangeAspect="1" noChangeArrowheads="1"/>
        </xdr:cNvPicPr>
      </xdr:nvPicPr>
      <xdr:blipFill>
        <a:blip xmlns:r="http://schemas.openxmlformats.org/officeDocument/2006/relationships" r:embed="rId10" cstate="print">
          <a:clrChange>
            <a:clrFrom>
              <a:srgbClr val="FFFFFF"/>
            </a:clrFrom>
            <a:clrTo>
              <a:srgbClr val="FFFFFF">
                <a:alpha val="0"/>
              </a:srgbClr>
            </a:clrTo>
          </a:clrChange>
        </a:blip>
        <a:srcRect/>
        <a:stretch>
          <a:fillRect/>
        </a:stretch>
      </xdr:blipFill>
      <xdr:spPr>
        <a:xfrm>
          <a:off x="1524000" y="16035020"/>
          <a:ext cx="742950" cy="438150"/>
        </a:xfrm>
        <a:prstGeom prst="rect">
          <a:avLst/>
        </a:prstGeom>
        <a:noFill/>
      </xdr:spPr>
    </xdr:pic>
    <xdr:clientData/>
  </xdr:twoCellAnchor>
  <xdr:twoCellAnchor>
    <xdr:from>
      <xdr:col>1</xdr:col>
      <xdr:colOff>314325</xdr:colOff>
      <xdr:row>58</xdr:row>
      <xdr:rowOff>19050</xdr:rowOff>
    </xdr:from>
    <xdr:to>
      <xdr:col>1</xdr:col>
      <xdr:colOff>600075</xdr:colOff>
      <xdr:row>58</xdr:row>
      <xdr:rowOff>228600</xdr:rowOff>
    </xdr:to>
    <xdr:pic>
      <xdr:nvPicPr>
        <xdr:cNvPr id="12" name="Picture 10">
          <a:extLst>
            <a:ext uri="{FF2B5EF4-FFF2-40B4-BE49-F238E27FC236}">
              <a16:creationId xmlns:a16="http://schemas.microsoft.com/office/drawing/2014/main" id="{00000000-0008-0000-2000-00000C000000}"/>
            </a:ext>
          </a:extLst>
        </xdr:cNvPr>
        <xdr:cNvPicPr>
          <a:picLocks noChangeAspect="1" noChangeArrowheads="1"/>
        </xdr:cNvPicPr>
      </xdr:nvPicPr>
      <xdr:blipFill>
        <a:blip xmlns:r="http://schemas.openxmlformats.org/officeDocument/2006/relationships" r:embed="rId11" cstate="print">
          <a:clrChange>
            <a:clrFrom>
              <a:srgbClr val="FFFFFF"/>
            </a:clrFrom>
            <a:clrTo>
              <a:srgbClr val="FFFFFF">
                <a:alpha val="0"/>
              </a:srgbClr>
            </a:clrTo>
          </a:clrChange>
        </a:blip>
        <a:srcRect/>
        <a:stretch>
          <a:fillRect/>
        </a:stretch>
      </xdr:blipFill>
      <xdr:spPr>
        <a:xfrm>
          <a:off x="742950" y="17279620"/>
          <a:ext cx="285750" cy="209550"/>
        </a:xfrm>
        <a:prstGeom prst="rect">
          <a:avLst/>
        </a:prstGeom>
        <a:noFill/>
      </xdr:spPr>
    </xdr:pic>
    <xdr:clientData/>
  </xdr:twoCellAnchor>
  <xdr:twoCellAnchor>
    <xdr:from>
      <xdr:col>2</xdr:col>
      <xdr:colOff>600075</xdr:colOff>
      <xdr:row>65</xdr:row>
      <xdr:rowOff>95249</xdr:rowOff>
    </xdr:from>
    <xdr:to>
      <xdr:col>2</xdr:col>
      <xdr:colOff>1504950</xdr:colOff>
      <xdr:row>66</xdr:row>
      <xdr:rowOff>123824</xdr:rowOff>
    </xdr:to>
    <xdr:pic>
      <xdr:nvPicPr>
        <xdr:cNvPr id="13" name="Picture 11">
          <a:extLst>
            <a:ext uri="{FF2B5EF4-FFF2-40B4-BE49-F238E27FC236}">
              <a16:creationId xmlns:a16="http://schemas.microsoft.com/office/drawing/2014/main" id="{00000000-0008-0000-2000-00000D000000}"/>
            </a:ext>
          </a:extLst>
        </xdr:cNvPr>
        <xdr:cNvPicPr>
          <a:picLocks noChangeAspect="1" noChangeArrowheads="1"/>
        </xdr:cNvPicPr>
      </xdr:nvPicPr>
      <xdr:blipFill>
        <a:blip xmlns:r="http://schemas.openxmlformats.org/officeDocument/2006/relationships" r:embed="rId12" cstate="print">
          <a:clrChange>
            <a:clrFrom>
              <a:srgbClr val="FFFFFF"/>
            </a:clrFrom>
            <a:clrTo>
              <a:srgbClr val="FFFFFF">
                <a:alpha val="0"/>
              </a:srgbClr>
            </a:clrTo>
          </a:clrChange>
        </a:blip>
        <a:srcRect/>
        <a:stretch>
          <a:fillRect/>
        </a:stretch>
      </xdr:blipFill>
      <xdr:spPr>
        <a:xfrm>
          <a:off x="1990725" y="19142075"/>
          <a:ext cx="904875" cy="283845"/>
        </a:xfrm>
        <a:prstGeom prst="rect">
          <a:avLst/>
        </a:prstGeom>
        <a:noFill/>
      </xdr:spPr>
    </xdr:pic>
    <xdr:clientData/>
  </xdr:twoCellAnchor>
  <xdr:twoCellAnchor>
    <xdr:from>
      <xdr:col>1</xdr:col>
      <xdr:colOff>257175</xdr:colOff>
      <xdr:row>67</xdr:row>
      <xdr:rowOff>0</xdr:rowOff>
    </xdr:from>
    <xdr:to>
      <xdr:col>1</xdr:col>
      <xdr:colOff>676275</xdr:colOff>
      <xdr:row>67</xdr:row>
      <xdr:rowOff>228600</xdr:rowOff>
    </xdr:to>
    <xdr:pic>
      <xdr:nvPicPr>
        <xdr:cNvPr id="14" name="Picture 12">
          <a:extLst>
            <a:ext uri="{FF2B5EF4-FFF2-40B4-BE49-F238E27FC236}">
              <a16:creationId xmlns:a16="http://schemas.microsoft.com/office/drawing/2014/main" id="{00000000-0008-0000-2000-00000E000000}"/>
            </a:ext>
          </a:extLst>
        </xdr:cNvPr>
        <xdr:cNvPicPr>
          <a:picLocks noChangeAspect="1" noChangeArrowheads="1"/>
        </xdr:cNvPicPr>
      </xdr:nvPicPr>
      <xdr:blipFill>
        <a:blip xmlns:r="http://schemas.openxmlformats.org/officeDocument/2006/relationships" r:embed="rId13" cstate="print">
          <a:clrChange>
            <a:clrFrom>
              <a:srgbClr val="FFFFFF"/>
            </a:clrFrom>
            <a:clrTo>
              <a:srgbClr val="FFFFFF">
                <a:alpha val="0"/>
              </a:srgbClr>
            </a:clrTo>
          </a:clrChange>
        </a:blip>
        <a:srcRect/>
        <a:stretch>
          <a:fillRect/>
        </a:stretch>
      </xdr:blipFill>
      <xdr:spPr>
        <a:xfrm>
          <a:off x="685800" y="19558000"/>
          <a:ext cx="419100" cy="228600"/>
        </a:xfrm>
        <a:prstGeom prst="rect">
          <a:avLst/>
        </a:prstGeom>
        <a:noFill/>
      </xdr:spPr>
    </xdr:pic>
    <xdr:clientData/>
  </xdr:twoCellAnchor>
  <xdr:twoCellAnchor>
    <xdr:from>
      <xdr:col>1</xdr:col>
      <xdr:colOff>333375</xdr:colOff>
      <xdr:row>56</xdr:row>
      <xdr:rowOff>123825</xdr:rowOff>
    </xdr:from>
    <xdr:to>
      <xdr:col>1</xdr:col>
      <xdr:colOff>561975</xdr:colOff>
      <xdr:row>57</xdr:row>
      <xdr:rowOff>85725</xdr:rowOff>
    </xdr:to>
    <xdr:pic>
      <xdr:nvPicPr>
        <xdr:cNvPr id="15" name="Picture 13">
          <a:extLst>
            <a:ext uri="{FF2B5EF4-FFF2-40B4-BE49-F238E27FC236}">
              <a16:creationId xmlns:a16="http://schemas.microsoft.com/office/drawing/2014/main" id="{00000000-0008-0000-2000-00000F000000}"/>
            </a:ext>
          </a:extLst>
        </xdr:cNvPr>
        <xdr:cNvPicPr>
          <a:picLocks noChangeAspect="1" noChangeArrowheads="1"/>
        </xdr:cNvPicPr>
      </xdr:nvPicPr>
      <xdr:blipFill>
        <a:blip xmlns:r="http://schemas.openxmlformats.org/officeDocument/2006/relationships" r:embed="rId14" cstate="print">
          <a:clrChange>
            <a:clrFrom>
              <a:srgbClr val="FFFFFF"/>
            </a:clrFrom>
            <a:clrTo>
              <a:srgbClr val="FFFFFF">
                <a:alpha val="0"/>
              </a:srgbClr>
            </a:clrTo>
          </a:clrChange>
        </a:blip>
        <a:srcRect/>
        <a:stretch>
          <a:fillRect/>
        </a:stretch>
      </xdr:blipFill>
      <xdr:spPr>
        <a:xfrm>
          <a:off x="762000" y="16873855"/>
          <a:ext cx="228600" cy="217170"/>
        </a:xfrm>
        <a:prstGeom prst="rect">
          <a:avLst/>
        </a:prstGeom>
        <a:noFill/>
      </xdr:spPr>
    </xdr:pic>
    <xdr:clientData/>
  </xdr:twoCellAnchor>
  <xdr:twoCellAnchor editAs="oneCell">
    <xdr:from>
      <xdr:col>7</xdr:col>
      <xdr:colOff>152400</xdr:colOff>
      <xdr:row>54</xdr:row>
      <xdr:rowOff>66675</xdr:rowOff>
    </xdr:from>
    <xdr:to>
      <xdr:col>11</xdr:col>
      <xdr:colOff>428625</xdr:colOff>
      <xdr:row>55</xdr:row>
      <xdr:rowOff>238125</xdr:rowOff>
    </xdr:to>
    <xdr:pic>
      <xdr:nvPicPr>
        <xdr:cNvPr id="16" name="图片 15" descr="图像 1.png">
          <a:extLst>
            <a:ext uri="{FF2B5EF4-FFF2-40B4-BE49-F238E27FC236}">
              <a16:creationId xmlns:a16="http://schemas.microsoft.com/office/drawing/2014/main" id="{00000000-0008-0000-2000-000010000000}"/>
            </a:ext>
          </a:extLst>
        </xdr:cNvPr>
        <xdr:cNvPicPr>
          <a:picLocks noChangeAspect="1"/>
        </xdr:cNvPicPr>
      </xdr:nvPicPr>
      <xdr:blipFill>
        <a:blip xmlns:r="http://schemas.openxmlformats.org/officeDocument/2006/relationships" r:embed="rId15" cstate="print"/>
        <a:stretch>
          <a:fillRect/>
        </a:stretch>
      </xdr:blipFill>
      <xdr:spPr>
        <a:xfrm>
          <a:off x="7953375" y="16054070"/>
          <a:ext cx="2905125" cy="678815"/>
        </a:xfrm>
        <a:prstGeom prst="rect">
          <a:avLst/>
        </a:prstGeom>
      </xdr:spPr>
    </xdr:pic>
    <xdr:clientData/>
  </xdr:twoCellAnchor>
  <xdr:twoCellAnchor editAs="oneCell">
    <xdr:from>
      <xdr:col>7</xdr:col>
      <xdr:colOff>161925</xdr:colOff>
      <xdr:row>56</xdr:row>
      <xdr:rowOff>28575</xdr:rowOff>
    </xdr:from>
    <xdr:to>
      <xdr:col>11</xdr:col>
      <xdr:colOff>266700</xdr:colOff>
      <xdr:row>58</xdr:row>
      <xdr:rowOff>238125</xdr:rowOff>
    </xdr:to>
    <xdr:pic>
      <xdr:nvPicPr>
        <xdr:cNvPr id="17" name="图片 16" descr="图像 2.png">
          <a:extLst>
            <a:ext uri="{FF2B5EF4-FFF2-40B4-BE49-F238E27FC236}">
              <a16:creationId xmlns:a16="http://schemas.microsoft.com/office/drawing/2014/main" id="{00000000-0008-0000-2000-000011000000}"/>
            </a:ext>
          </a:extLst>
        </xdr:cNvPr>
        <xdr:cNvPicPr>
          <a:picLocks noChangeAspect="1"/>
        </xdr:cNvPicPr>
      </xdr:nvPicPr>
      <xdr:blipFill>
        <a:blip xmlns:r="http://schemas.openxmlformats.org/officeDocument/2006/relationships" r:embed="rId16" cstate="print"/>
        <a:stretch>
          <a:fillRect/>
        </a:stretch>
      </xdr:blipFill>
      <xdr:spPr>
        <a:xfrm>
          <a:off x="7962900" y="16778605"/>
          <a:ext cx="2733675" cy="720090"/>
        </a:xfrm>
        <a:prstGeom prst="rect">
          <a:avLst/>
        </a:prstGeom>
      </xdr:spPr>
    </xdr:pic>
    <xdr:clientData/>
  </xdr:twoCellAnchor>
  <xdr:twoCellAnchor editAs="oneCell">
    <xdr:from>
      <xdr:col>6</xdr:col>
      <xdr:colOff>219075</xdr:colOff>
      <xdr:row>60</xdr:row>
      <xdr:rowOff>142875</xdr:rowOff>
    </xdr:from>
    <xdr:to>
      <xdr:col>7</xdr:col>
      <xdr:colOff>495300</xdr:colOff>
      <xdr:row>66</xdr:row>
      <xdr:rowOff>19050</xdr:rowOff>
    </xdr:to>
    <xdr:pic>
      <xdr:nvPicPr>
        <xdr:cNvPr id="18" name="图片 17" descr="图像 3.png">
          <a:extLst>
            <a:ext uri="{FF2B5EF4-FFF2-40B4-BE49-F238E27FC236}">
              <a16:creationId xmlns:a16="http://schemas.microsoft.com/office/drawing/2014/main" id="{00000000-0008-0000-2000-000012000000}"/>
            </a:ext>
          </a:extLst>
        </xdr:cNvPr>
        <xdr:cNvPicPr>
          <a:picLocks noChangeAspect="1"/>
        </xdr:cNvPicPr>
      </xdr:nvPicPr>
      <xdr:blipFill>
        <a:blip xmlns:r="http://schemas.openxmlformats.org/officeDocument/2006/relationships" r:embed="rId17" cstate="print"/>
        <a:stretch>
          <a:fillRect/>
        </a:stretch>
      </xdr:blipFill>
      <xdr:spPr>
        <a:xfrm>
          <a:off x="6934200" y="17913985"/>
          <a:ext cx="1362075" cy="1407795"/>
        </a:xfrm>
        <a:prstGeom prst="rect">
          <a:avLst/>
        </a:prstGeom>
      </xdr:spPr>
    </xdr:pic>
    <xdr:clientData/>
  </xdr:twoCellAnchor>
  <xdr:twoCellAnchor>
    <xdr:from>
      <xdr:col>1</xdr:col>
      <xdr:colOff>361950</xdr:colOff>
      <xdr:row>47</xdr:row>
      <xdr:rowOff>28575</xdr:rowOff>
    </xdr:from>
    <xdr:to>
      <xdr:col>1</xdr:col>
      <xdr:colOff>571500</xdr:colOff>
      <xdr:row>47</xdr:row>
      <xdr:rowOff>238125</xdr:rowOff>
    </xdr:to>
    <xdr:pic>
      <xdr:nvPicPr>
        <xdr:cNvPr id="19" name="Picture 7">
          <a:extLst>
            <a:ext uri="{FF2B5EF4-FFF2-40B4-BE49-F238E27FC236}">
              <a16:creationId xmlns:a16="http://schemas.microsoft.com/office/drawing/2014/main" id="{00000000-0008-0000-2000-000013000000}"/>
            </a:ext>
          </a:extLst>
        </xdr:cNvPr>
        <xdr:cNvPicPr>
          <a:picLocks noChangeAspect="1" noChangeArrowheads="1"/>
        </xdr:cNvPicPr>
      </xdr:nvPicPr>
      <xdr:blipFill>
        <a:blip xmlns:r="http://schemas.openxmlformats.org/officeDocument/2006/relationships" r:embed="rId18" cstate="print">
          <a:clrChange>
            <a:clrFrom>
              <a:srgbClr val="FFFFFF"/>
            </a:clrFrom>
            <a:clrTo>
              <a:srgbClr val="FFFFFF">
                <a:alpha val="0"/>
              </a:srgbClr>
            </a:clrTo>
          </a:clrChange>
        </a:blip>
        <a:srcRect/>
        <a:stretch>
          <a:fillRect/>
        </a:stretch>
      </xdr:blipFill>
      <xdr:spPr>
        <a:xfrm>
          <a:off x="790575" y="14041755"/>
          <a:ext cx="209550" cy="209550"/>
        </a:xfrm>
        <a:prstGeom prst="rect">
          <a:avLst/>
        </a:prstGeom>
        <a:noFill/>
      </xdr:spPr>
    </xdr:pic>
    <xdr:clientData/>
  </xdr:twoCellAnchor>
  <xdr:twoCellAnchor>
    <xdr:from>
      <xdr:col>2</xdr:col>
      <xdr:colOff>647700</xdr:colOff>
      <xdr:row>48</xdr:row>
      <xdr:rowOff>76200</xdr:rowOff>
    </xdr:from>
    <xdr:to>
      <xdr:col>2</xdr:col>
      <xdr:colOff>1438275</xdr:colOff>
      <xdr:row>48</xdr:row>
      <xdr:rowOff>285750</xdr:rowOff>
    </xdr:to>
    <xdr:pic>
      <xdr:nvPicPr>
        <xdr:cNvPr id="20" name="Picture 8">
          <a:extLst>
            <a:ext uri="{FF2B5EF4-FFF2-40B4-BE49-F238E27FC236}">
              <a16:creationId xmlns:a16="http://schemas.microsoft.com/office/drawing/2014/main" id="{00000000-0008-0000-2000-000014000000}"/>
            </a:ext>
          </a:extLst>
        </xdr:cNvPr>
        <xdr:cNvPicPr>
          <a:picLocks noChangeAspect="1" noChangeArrowheads="1"/>
        </xdr:cNvPicPr>
      </xdr:nvPicPr>
      <xdr:blipFill>
        <a:blip xmlns:r="http://schemas.openxmlformats.org/officeDocument/2006/relationships" r:embed="rId19" cstate="print">
          <a:clrChange>
            <a:clrFrom>
              <a:srgbClr val="FFFFFF"/>
            </a:clrFrom>
            <a:clrTo>
              <a:srgbClr val="FFFFFF">
                <a:alpha val="0"/>
              </a:srgbClr>
            </a:clrTo>
          </a:clrChange>
        </a:blip>
        <a:srcRect/>
        <a:stretch>
          <a:fillRect/>
        </a:stretch>
      </xdr:blipFill>
      <xdr:spPr>
        <a:xfrm>
          <a:off x="2038350" y="14344650"/>
          <a:ext cx="790575" cy="209550"/>
        </a:xfrm>
        <a:prstGeom prst="rect">
          <a:avLst/>
        </a:prstGeom>
        <a:noFill/>
      </xdr:spPr>
    </xdr:pic>
    <xdr:clientData/>
  </xdr:twoCellAnchor>
  <xdr:twoCellAnchor>
    <xdr:from>
      <xdr:col>1</xdr:col>
      <xdr:colOff>361950</xdr:colOff>
      <xdr:row>20</xdr:row>
      <xdr:rowOff>28575</xdr:rowOff>
    </xdr:from>
    <xdr:to>
      <xdr:col>1</xdr:col>
      <xdr:colOff>571500</xdr:colOff>
      <xdr:row>20</xdr:row>
      <xdr:rowOff>238125</xdr:rowOff>
    </xdr:to>
    <xdr:pic>
      <xdr:nvPicPr>
        <xdr:cNvPr id="21" name="Picture 7">
          <a:extLst>
            <a:ext uri="{FF2B5EF4-FFF2-40B4-BE49-F238E27FC236}">
              <a16:creationId xmlns:a16="http://schemas.microsoft.com/office/drawing/2014/main" id="{00000000-0008-0000-2000-000015000000}"/>
            </a:ext>
          </a:extLst>
        </xdr:cNvPr>
        <xdr:cNvPicPr>
          <a:picLocks noChangeAspect="1" noChangeArrowheads="1"/>
        </xdr:cNvPicPr>
      </xdr:nvPicPr>
      <xdr:blipFill>
        <a:blip xmlns:r="http://schemas.openxmlformats.org/officeDocument/2006/relationships" r:embed="rId18" cstate="print">
          <a:clrChange>
            <a:clrFrom>
              <a:srgbClr val="FFFFFF"/>
            </a:clrFrom>
            <a:clrTo>
              <a:srgbClr val="FFFFFF">
                <a:alpha val="0"/>
              </a:srgbClr>
            </a:clrTo>
          </a:clrChange>
        </a:blip>
        <a:srcRect/>
        <a:stretch>
          <a:fillRect/>
        </a:stretch>
      </xdr:blipFill>
      <xdr:spPr>
        <a:xfrm>
          <a:off x="790575" y="5887085"/>
          <a:ext cx="209550" cy="209550"/>
        </a:xfrm>
        <a:prstGeom prst="rect">
          <a:avLst/>
        </a:prstGeom>
        <a:noFill/>
      </xdr:spPr>
    </xdr:pic>
    <xdr:clientData/>
  </xdr:twoCellAnchor>
  <xdr:twoCellAnchor>
    <xdr:from>
      <xdr:col>2</xdr:col>
      <xdr:colOff>876300</xdr:colOff>
      <xdr:row>21</xdr:row>
      <xdr:rowOff>57150</xdr:rowOff>
    </xdr:from>
    <xdr:to>
      <xdr:col>2</xdr:col>
      <xdr:colOff>1400175</xdr:colOff>
      <xdr:row>21</xdr:row>
      <xdr:rowOff>266700</xdr:rowOff>
    </xdr:to>
    <xdr:pic>
      <xdr:nvPicPr>
        <xdr:cNvPr id="22" name="Picture 9">
          <a:extLst>
            <a:ext uri="{FF2B5EF4-FFF2-40B4-BE49-F238E27FC236}">
              <a16:creationId xmlns:a16="http://schemas.microsoft.com/office/drawing/2014/main" id="{00000000-0008-0000-2000-000016000000}"/>
            </a:ext>
          </a:extLst>
        </xdr:cNvPr>
        <xdr:cNvPicPr>
          <a:picLocks noChangeAspect="1" noChangeArrowheads="1"/>
        </xdr:cNvPicPr>
      </xdr:nvPicPr>
      <xdr:blipFill>
        <a:blip xmlns:r="http://schemas.openxmlformats.org/officeDocument/2006/relationships" r:embed="rId20" cstate="print">
          <a:clrChange>
            <a:clrFrom>
              <a:srgbClr val="FFFFFF"/>
            </a:clrFrom>
            <a:clrTo>
              <a:srgbClr val="FFFFFF">
                <a:alpha val="0"/>
              </a:srgbClr>
            </a:clrTo>
          </a:clrChange>
        </a:blip>
        <a:srcRect/>
        <a:stretch>
          <a:fillRect/>
        </a:stretch>
      </xdr:blipFill>
      <xdr:spPr>
        <a:xfrm>
          <a:off x="2266950" y="6170930"/>
          <a:ext cx="523875" cy="209550"/>
        </a:xfrm>
        <a:prstGeom prst="rect">
          <a:avLst/>
        </a:prstGeom>
        <a:noFill/>
      </xdr:spPr>
    </xdr:pic>
    <xdr:clientData/>
  </xdr:twoCellAnchor>
  <xdr:twoCellAnchor>
    <xdr:from>
      <xdr:col>1</xdr:col>
      <xdr:colOff>342900</xdr:colOff>
      <xdr:row>8</xdr:row>
      <xdr:rowOff>9525</xdr:rowOff>
    </xdr:from>
    <xdr:to>
      <xdr:col>1</xdr:col>
      <xdr:colOff>571500</xdr:colOff>
      <xdr:row>8</xdr:row>
      <xdr:rowOff>219075</xdr:rowOff>
    </xdr:to>
    <xdr:pic>
      <xdr:nvPicPr>
        <xdr:cNvPr id="23" name="Picture 10">
          <a:extLst>
            <a:ext uri="{FF2B5EF4-FFF2-40B4-BE49-F238E27FC236}">
              <a16:creationId xmlns:a16="http://schemas.microsoft.com/office/drawing/2014/main" id="{00000000-0008-0000-2000-000017000000}"/>
            </a:ext>
          </a:extLst>
        </xdr:cNvPr>
        <xdr:cNvPicPr>
          <a:picLocks noChangeAspect="1" noChangeArrowheads="1"/>
        </xdr:cNvPicPr>
      </xdr:nvPicPr>
      <xdr:blipFill>
        <a:blip xmlns:r="http://schemas.openxmlformats.org/officeDocument/2006/relationships" r:embed="rId21" cstate="print">
          <a:clrChange>
            <a:clrFrom>
              <a:srgbClr val="FFFFFF"/>
            </a:clrFrom>
            <a:clrTo>
              <a:srgbClr val="FFFFFF">
                <a:alpha val="0"/>
              </a:srgbClr>
            </a:clrTo>
          </a:clrChange>
        </a:blip>
        <a:srcRect/>
        <a:stretch>
          <a:fillRect/>
        </a:stretch>
      </xdr:blipFill>
      <xdr:spPr>
        <a:xfrm>
          <a:off x="771525" y="2365375"/>
          <a:ext cx="228600" cy="209550"/>
        </a:xfrm>
        <a:prstGeom prst="rect">
          <a:avLst/>
        </a:prstGeom>
        <a:noFill/>
      </xdr:spPr>
    </xdr:pic>
    <xdr:clientData/>
  </xdr:twoCellAnchor>
  <xdr:twoCellAnchor>
    <xdr:from>
      <xdr:col>2</xdr:col>
      <xdr:colOff>809625</xdr:colOff>
      <xdr:row>9</xdr:row>
      <xdr:rowOff>76200</xdr:rowOff>
    </xdr:from>
    <xdr:to>
      <xdr:col>2</xdr:col>
      <xdr:colOff>1371600</xdr:colOff>
      <xdr:row>9</xdr:row>
      <xdr:rowOff>285750</xdr:rowOff>
    </xdr:to>
    <xdr:pic>
      <xdr:nvPicPr>
        <xdr:cNvPr id="24" name="Picture 11">
          <a:extLst>
            <a:ext uri="{FF2B5EF4-FFF2-40B4-BE49-F238E27FC236}">
              <a16:creationId xmlns:a16="http://schemas.microsoft.com/office/drawing/2014/main" id="{00000000-0008-0000-2000-000018000000}"/>
            </a:ext>
          </a:extLst>
        </xdr:cNvPr>
        <xdr:cNvPicPr>
          <a:picLocks noChangeAspect="1" noChangeArrowheads="1"/>
        </xdr:cNvPicPr>
      </xdr:nvPicPr>
      <xdr:blipFill>
        <a:blip xmlns:r="http://schemas.openxmlformats.org/officeDocument/2006/relationships" r:embed="rId22" cstate="print">
          <a:clrChange>
            <a:clrFrom>
              <a:srgbClr val="FFFFFF"/>
            </a:clrFrom>
            <a:clrTo>
              <a:srgbClr val="FFFFFF">
                <a:alpha val="0"/>
              </a:srgbClr>
            </a:clrTo>
          </a:clrChange>
        </a:blip>
        <a:srcRect/>
        <a:stretch>
          <a:fillRect/>
        </a:stretch>
      </xdr:blipFill>
      <xdr:spPr>
        <a:xfrm>
          <a:off x="2200275" y="2687320"/>
          <a:ext cx="561975" cy="209550"/>
        </a:xfrm>
        <a:prstGeom prst="rect">
          <a:avLst/>
        </a:prstGeom>
        <a:noFill/>
      </xdr:spPr>
    </xdr:pic>
    <xdr:clientData/>
  </xdr:twoCellAnchor>
  <mc:AlternateContent xmlns:mc="http://schemas.openxmlformats.org/markup-compatibility/2006">
    <mc:Choice xmlns:a14="http://schemas.microsoft.com/office/drawing/2010/main" Requires="a14">
      <xdr:twoCellAnchor>
        <xdr:from>
          <xdr:col>7</xdr:col>
          <xdr:colOff>666750</xdr:colOff>
          <xdr:row>39</xdr:row>
          <xdr:rowOff>304800</xdr:rowOff>
        </xdr:from>
        <xdr:to>
          <xdr:col>11</xdr:col>
          <xdr:colOff>57150</xdr:colOff>
          <xdr:row>41</xdr:row>
          <xdr:rowOff>47625</xdr:rowOff>
        </xdr:to>
        <xdr:sp macro="" textlink="">
          <xdr:nvSpPr>
            <xdr:cNvPr id="1347585" name="Object 1" hidden="1">
              <a:extLst>
                <a:ext uri="{63B3BB69-23CF-44E3-9099-C40C66FF867C}">
                  <a14:compatExt spid="_x0000_s1347585"/>
                </a:ext>
                <a:ext uri="{FF2B5EF4-FFF2-40B4-BE49-F238E27FC236}">
                  <a16:creationId xmlns:a16="http://schemas.microsoft.com/office/drawing/2014/main" id="{00000000-0008-0000-2000-00000190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19050</xdr:colOff>
          <xdr:row>41</xdr:row>
          <xdr:rowOff>9525</xdr:rowOff>
        </xdr:from>
        <xdr:to>
          <xdr:col>12</xdr:col>
          <xdr:colOff>228600</xdr:colOff>
          <xdr:row>43</xdr:row>
          <xdr:rowOff>219075</xdr:rowOff>
        </xdr:to>
        <xdr:sp macro="" textlink="">
          <xdr:nvSpPr>
            <xdr:cNvPr id="1347586" name="Object 2" hidden="1">
              <a:extLst>
                <a:ext uri="{63B3BB69-23CF-44E3-9099-C40C66FF867C}">
                  <a14:compatExt spid="_x0000_s1347586"/>
                </a:ext>
                <a:ext uri="{FF2B5EF4-FFF2-40B4-BE49-F238E27FC236}">
                  <a16:creationId xmlns:a16="http://schemas.microsoft.com/office/drawing/2014/main" id="{00000000-0008-0000-2000-00000290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314325</xdr:colOff>
          <xdr:row>41</xdr:row>
          <xdr:rowOff>19050</xdr:rowOff>
        </xdr:from>
        <xdr:to>
          <xdr:col>13</xdr:col>
          <xdr:colOff>647700</xdr:colOff>
          <xdr:row>44</xdr:row>
          <xdr:rowOff>19050</xdr:rowOff>
        </xdr:to>
        <xdr:sp macro="" textlink="">
          <xdr:nvSpPr>
            <xdr:cNvPr id="1347587" name="Object 3" hidden="1">
              <a:extLst>
                <a:ext uri="{63B3BB69-23CF-44E3-9099-C40C66FF867C}">
                  <a14:compatExt spid="_x0000_s1347587"/>
                </a:ext>
                <a:ext uri="{FF2B5EF4-FFF2-40B4-BE49-F238E27FC236}">
                  <a16:creationId xmlns:a16="http://schemas.microsoft.com/office/drawing/2014/main" id="{00000000-0008-0000-2000-00000390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1</xdr:col>
      <xdr:colOff>350344</xdr:colOff>
      <xdr:row>1</xdr:row>
      <xdr:rowOff>45624</xdr:rowOff>
    </xdr:to>
    <xdr:sp macro="" textlink="">
      <xdr:nvSpPr>
        <xdr:cNvPr id="25" name="五边形 1">
          <a:hlinkClick xmlns:r="http://schemas.openxmlformats.org/officeDocument/2006/relationships" r:id="rId23"/>
          <a:extLst>
            <a:ext uri="{FF2B5EF4-FFF2-40B4-BE49-F238E27FC236}">
              <a16:creationId xmlns:a16="http://schemas.microsoft.com/office/drawing/2014/main" id="{00000000-0008-0000-2000-000019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238125</xdr:colOff>
      <xdr:row>24</xdr:row>
      <xdr:rowOff>76200</xdr:rowOff>
    </xdr:to>
    <xdr:pic>
      <xdr:nvPicPr>
        <xdr:cNvPr id="2" name="图片 1" descr="图像 6.pn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stretch>
          <a:fillRect/>
        </a:stretch>
      </xdr:blipFill>
      <xdr:spPr>
        <a:xfrm>
          <a:off x="0" y="0"/>
          <a:ext cx="9153525" cy="4419600"/>
        </a:xfrm>
        <a:prstGeom prst="rect">
          <a:avLst/>
        </a:prstGeom>
      </xdr:spPr>
    </xdr:pic>
    <xdr:clientData/>
  </xdr:twoCellAnchor>
  <xdr:twoCellAnchor editAs="oneCell">
    <xdr:from>
      <xdr:col>0</xdr:col>
      <xdr:colOff>0</xdr:colOff>
      <xdr:row>26</xdr:row>
      <xdr:rowOff>0</xdr:rowOff>
    </xdr:from>
    <xdr:to>
      <xdr:col>13</xdr:col>
      <xdr:colOff>28575</xdr:colOff>
      <xdr:row>54</xdr:row>
      <xdr:rowOff>76200</xdr:rowOff>
    </xdr:to>
    <xdr:pic>
      <xdr:nvPicPr>
        <xdr:cNvPr id="3" name="图片 2" descr="图像 7.png">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cstate="print"/>
        <a:stretch>
          <a:fillRect/>
        </a:stretch>
      </xdr:blipFill>
      <xdr:spPr>
        <a:xfrm>
          <a:off x="0" y="4705350"/>
          <a:ext cx="8943975" cy="5143500"/>
        </a:xfrm>
        <a:prstGeom prst="rect">
          <a:avLst/>
        </a:prstGeom>
      </xdr:spPr>
    </xdr:pic>
    <xdr:clientData/>
  </xdr:twoCellAnchor>
  <xdr:twoCellAnchor editAs="oneCell">
    <xdr:from>
      <xdr:col>0</xdr:col>
      <xdr:colOff>0</xdr:colOff>
      <xdr:row>55</xdr:row>
      <xdr:rowOff>0</xdr:rowOff>
    </xdr:from>
    <xdr:to>
      <xdr:col>13</xdr:col>
      <xdr:colOff>180975</xdr:colOff>
      <xdr:row>78</xdr:row>
      <xdr:rowOff>152400</xdr:rowOff>
    </xdr:to>
    <xdr:pic>
      <xdr:nvPicPr>
        <xdr:cNvPr id="4" name="图片 3" descr="图像 8.png">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3" cstate="print"/>
        <a:stretch>
          <a:fillRect/>
        </a:stretch>
      </xdr:blipFill>
      <xdr:spPr>
        <a:xfrm>
          <a:off x="0" y="9953625"/>
          <a:ext cx="9096375" cy="4314825"/>
        </a:xfrm>
        <a:prstGeom prst="rect">
          <a:avLst/>
        </a:prstGeom>
      </xdr:spPr>
    </xdr:pic>
    <xdr:clientData/>
  </xdr:twoCellAnchor>
  <xdr:twoCellAnchor editAs="oneCell">
    <xdr:from>
      <xdr:col>0</xdr:col>
      <xdr:colOff>0</xdr:colOff>
      <xdr:row>78</xdr:row>
      <xdr:rowOff>180974</xdr:rowOff>
    </xdr:from>
    <xdr:to>
      <xdr:col>12</xdr:col>
      <xdr:colOff>628650</xdr:colOff>
      <xdr:row>108</xdr:row>
      <xdr:rowOff>76199</xdr:rowOff>
    </xdr:to>
    <xdr:pic>
      <xdr:nvPicPr>
        <xdr:cNvPr id="5" name="图片 4" descr="图像 10.png">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4" cstate="print"/>
        <a:stretch>
          <a:fillRect/>
        </a:stretch>
      </xdr:blipFill>
      <xdr:spPr>
        <a:xfrm>
          <a:off x="0" y="14296390"/>
          <a:ext cx="8858250" cy="5324475"/>
        </a:xfrm>
        <a:prstGeom prst="rect">
          <a:avLst/>
        </a:prstGeom>
      </xdr:spPr>
    </xdr:pic>
    <xdr:clientData/>
  </xdr:twoCellAnchor>
  <xdr:twoCellAnchor editAs="absolute">
    <xdr:from>
      <xdr:col>14</xdr:col>
      <xdr:colOff>0</xdr:colOff>
      <xdr:row>1</xdr:row>
      <xdr:rowOff>0</xdr:rowOff>
    </xdr:from>
    <xdr:to>
      <xdr:col>15</xdr:col>
      <xdr:colOff>93169</xdr:colOff>
      <xdr:row>2</xdr:row>
      <xdr:rowOff>112299</xdr:rowOff>
    </xdr:to>
    <xdr:sp macro="" textlink="">
      <xdr:nvSpPr>
        <xdr:cNvPr id="6" name="五边形 1">
          <a:hlinkClick xmlns:r="http://schemas.openxmlformats.org/officeDocument/2006/relationships" r:id="rId5"/>
          <a:extLst>
            <a:ext uri="{FF2B5EF4-FFF2-40B4-BE49-F238E27FC236}">
              <a16:creationId xmlns:a16="http://schemas.microsoft.com/office/drawing/2014/main" id="{00000000-0008-0000-2100-000006000000}"/>
            </a:ext>
          </a:extLst>
        </xdr:cNvPr>
        <xdr:cNvSpPr>
          <a:spLocks noChangeAspect="1"/>
        </xdr:cNvSpPr>
      </xdr:nvSpPr>
      <xdr:spPr>
        <a:xfrm flipH="1">
          <a:off x="9601200" y="18097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131269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2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17</xdr:row>
          <xdr:rowOff>9525</xdr:rowOff>
        </xdr:from>
        <xdr:to>
          <xdr:col>1</xdr:col>
          <xdr:colOff>1181100</xdr:colOff>
          <xdr:row>18</xdr:row>
          <xdr:rowOff>9525</xdr:rowOff>
        </xdr:to>
        <xdr:sp macro="" textlink="">
          <xdr:nvSpPr>
            <xdr:cNvPr id="1316865" name="公式 14" hidden="1">
              <a:extLst>
                <a:ext uri="{63B3BB69-23CF-44E3-9099-C40C66FF867C}">
                  <a14:compatExt spid="_x0000_s1316865"/>
                </a:ext>
                <a:ext uri="{FF2B5EF4-FFF2-40B4-BE49-F238E27FC236}">
                  <a16:creationId xmlns:a16="http://schemas.microsoft.com/office/drawing/2014/main" id="{00000000-0008-0000-2300-00000118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266700</xdr:rowOff>
        </xdr:from>
        <xdr:to>
          <xdr:col>2</xdr:col>
          <xdr:colOff>19050</xdr:colOff>
          <xdr:row>21</xdr:row>
          <xdr:rowOff>19050</xdr:rowOff>
        </xdr:to>
        <xdr:sp macro="" textlink="">
          <xdr:nvSpPr>
            <xdr:cNvPr id="1316866" name="公式 15" hidden="1">
              <a:extLst>
                <a:ext uri="{63B3BB69-23CF-44E3-9099-C40C66FF867C}">
                  <a14:compatExt spid="_x0000_s1316866"/>
                </a:ext>
                <a:ext uri="{FF2B5EF4-FFF2-40B4-BE49-F238E27FC236}">
                  <a16:creationId xmlns:a16="http://schemas.microsoft.com/office/drawing/2014/main" id="{00000000-0008-0000-2300-00000218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16</xdr:col>
      <xdr:colOff>0</xdr:colOff>
      <xdr:row>0</xdr:row>
      <xdr:rowOff>0</xdr:rowOff>
    </xdr:from>
    <xdr:to>
      <xdr:col>17</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300-000002000000}"/>
            </a:ext>
          </a:extLst>
        </xdr:cNvPr>
        <xdr:cNvSpPr>
          <a:spLocks noChangeAspect="1"/>
        </xdr:cNvSpPr>
      </xdr:nvSpPr>
      <xdr:spPr>
        <a:xfrm flipH="1">
          <a:off x="112871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twoCellAnchor editAs="absolute">
    <xdr:from>
      <xdr:col>0</xdr:col>
      <xdr:colOff>0</xdr:colOff>
      <xdr:row>0</xdr:row>
      <xdr:rowOff>0</xdr:rowOff>
    </xdr:from>
    <xdr:to>
      <xdr:col>1</xdr:col>
      <xdr:colOff>350344</xdr:colOff>
      <xdr:row>0</xdr:row>
      <xdr:rowOff>293274</xdr:rowOff>
    </xdr:to>
    <xdr:sp macro="" textlink="">
      <xdr:nvSpPr>
        <xdr:cNvPr id="3" name="五边形 1">
          <a:hlinkClick xmlns:r="http://schemas.openxmlformats.org/officeDocument/2006/relationships" r:id="rId1"/>
          <a:extLst>
            <a:ext uri="{FF2B5EF4-FFF2-40B4-BE49-F238E27FC236}">
              <a16:creationId xmlns:a16="http://schemas.microsoft.com/office/drawing/2014/main" id="{00000000-0008-0000-2300-000003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4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7</xdr:col>
      <xdr:colOff>142875</xdr:colOff>
      <xdr:row>66</xdr:row>
      <xdr:rowOff>76200</xdr:rowOff>
    </xdr:from>
    <xdr:to>
      <xdr:col>13</xdr:col>
      <xdr:colOff>619125</xdr:colOff>
      <xdr:row>91</xdr:row>
      <xdr:rowOff>180975</xdr:rowOff>
    </xdr:to>
    <xdr:pic>
      <xdr:nvPicPr>
        <xdr:cNvPr id="2" name="图片 17" descr="KNNN7GV7FW`7CACI@M1~D0V">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5886450" y="17049750"/>
          <a:ext cx="5133975" cy="64865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1</xdr:col>
          <xdr:colOff>19050</xdr:colOff>
          <xdr:row>4</xdr:row>
          <xdr:rowOff>28575</xdr:rowOff>
        </xdr:from>
        <xdr:to>
          <xdr:col>1</xdr:col>
          <xdr:colOff>971550</xdr:colOff>
          <xdr:row>5</xdr:row>
          <xdr:rowOff>238125</xdr:rowOff>
        </xdr:to>
        <xdr:sp macro="" textlink="">
          <xdr:nvSpPr>
            <xdr:cNvPr id="1315841" name="公式 1" hidden="1">
              <a:extLst>
                <a:ext uri="{63B3BB69-23CF-44E3-9099-C40C66FF867C}">
                  <a14:compatExt spid="_x0000_s1315841"/>
                </a:ext>
                <a:ext uri="{FF2B5EF4-FFF2-40B4-BE49-F238E27FC236}">
                  <a16:creationId xmlns:a16="http://schemas.microsoft.com/office/drawing/2014/main" id="{00000000-0008-0000-2500-0000011414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638175</xdr:colOff>
          <xdr:row>18</xdr:row>
          <xdr:rowOff>228600</xdr:rowOff>
        </xdr:from>
        <xdr:to>
          <xdr:col>4</xdr:col>
          <xdr:colOff>600075</xdr:colOff>
          <xdr:row>20</xdr:row>
          <xdr:rowOff>114300</xdr:rowOff>
        </xdr:to>
        <xdr:sp macro="" textlink="">
          <xdr:nvSpPr>
            <xdr:cNvPr id="1315842" name="公式 2" hidden="1">
              <a:extLst>
                <a:ext uri="{63B3BB69-23CF-44E3-9099-C40C66FF867C}">
                  <a14:compatExt spid="_x0000_s1315842"/>
                </a:ext>
                <a:ext uri="{FF2B5EF4-FFF2-40B4-BE49-F238E27FC236}">
                  <a16:creationId xmlns:a16="http://schemas.microsoft.com/office/drawing/2014/main" id="{00000000-0008-0000-2500-000002141400}"/>
                </a:ext>
              </a:extLst>
            </xdr:cNvPr>
            <xdr:cNvSpPr/>
          </xdr:nvSpPr>
          <xdr:spPr bwMode="auto">
            <a:xfrm>
              <a:off x="0" y="0"/>
              <a:ext cx="0" cy="0"/>
            </a:xfrm>
            <a:prstGeom prst="rect">
              <a:avLst/>
            </a:prstGeom>
            <a:noFill/>
            <a:ln w="9525">
              <a:solidFill>
                <a:srgbClr val="000000"/>
              </a:solidFill>
              <a:miter lim="800000"/>
              <a:headEnd/>
              <a:tailEnd/>
            </a:ln>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52</xdr:row>
          <xdr:rowOff>38100</xdr:rowOff>
        </xdr:from>
        <xdr:to>
          <xdr:col>1</xdr:col>
          <xdr:colOff>895350</xdr:colOff>
          <xdr:row>53</xdr:row>
          <xdr:rowOff>180975</xdr:rowOff>
        </xdr:to>
        <xdr:sp macro="" textlink="">
          <xdr:nvSpPr>
            <xdr:cNvPr id="1315843" name="公式 10" hidden="1">
              <a:extLst>
                <a:ext uri="{63B3BB69-23CF-44E3-9099-C40C66FF867C}">
                  <a14:compatExt spid="_x0000_s1315843"/>
                </a:ext>
                <a:ext uri="{FF2B5EF4-FFF2-40B4-BE49-F238E27FC236}">
                  <a16:creationId xmlns:a16="http://schemas.microsoft.com/office/drawing/2014/main" id="{00000000-0008-0000-2500-000003141400}"/>
                </a:ext>
              </a:extLst>
            </xdr:cNvPr>
            <xdr:cNvSpPr/>
          </xdr:nvSpPr>
          <xdr:spPr bwMode="auto">
            <a:xfrm>
              <a:off x="0" y="0"/>
              <a:ext cx="0" cy="0"/>
            </a:xfrm>
            <a:prstGeom prst="rect">
              <a:avLst/>
            </a:prstGeom>
            <a:solidFill>
              <a:srgbClr val="FFFFFF"/>
            </a:solidFill>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70</xdr:row>
          <xdr:rowOff>28575</xdr:rowOff>
        </xdr:from>
        <xdr:to>
          <xdr:col>6</xdr:col>
          <xdr:colOff>66675</xdr:colOff>
          <xdr:row>71</xdr:row>
          <xdr:rowOff>19050</xdr:rowOff>
        </xdr:to>
        <xdr:sp macro="" textlink="">
          <xdr:nvSpPr>
            <xdr:cNvPr id="1315844" name="图片 18" hidden="1">
              <a:extLst>
                <a:ext uri="{63B3BB69-23CF-44E3-9099-C40C66FF867C}">
                  <a14:compatExt spid="_x0000_s1315844"/>
                </a:ext>
                <a:ext uri="{FF2B5EF4-FFF2-40B4-BE49-F238E27FC236}">
                  <a16:creationId xmlns:a16="http://schemas.microsoft.com/office/drawing/2014/main" id="{00000000-0008-0000-2500-000004141400}"/>
                </a:ext>
              </a:extLst>
            </xdr:cNvPr>
            <xdr:cNvSpPr/>
          </xdr:nvSpPr>
          <xdr:spPr bwMode="auto">
            <a:xfrm>
              <a:off x="0" y="0"/>
              <a:ext cx="0" cy="0"/>
            </a:xfrm>
            <a:prstGeom prst="rect">
              <a:avLst/>
            </a:prstGeom>
            <a:solidFill>
              <a:srgbClr val="FFFFFF"/>
            </a:solidFill>
          </xdr:spPr>
        </xdr:sp>
        <xdr:clientData/>
      </xdr:twoCellAnchor>
    </mc:Choice>
    <mc:Fallback/>
  </mc:AlternateContent>
  <xdr:twoCellAnchor editAs="absolute">
    <xdr:from>
      <xdr:col>0</xdr:col>
      <xdr:colOff>0</xdr:colOff>
      <xdr:row>0</xdr:row>
      <xdr:rowOff>0</xdr:rowOff>
    </xdr:from>
    <xdr:to>
      <xdr:col>0</xdr:col>
      <xdr:colOff>778969</xdr:colOff>
      <xdr:row>0</xdr:row>
      <xdr:rowOff>293274</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2500-000003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3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6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131269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7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1.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12</xdr:col>
      <xdr:colOff>302719</xdr:colOff>
      <xdr:row>1</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800-000002000000}"/>
            </a:ext>
          </a:extLst>
        </xdr:cNvPr>
        <xdr:cNvSpPr>
          <a:spLocks noChangeAspect="1"/>
        </xdr:cNvSpPr>
      </xdr:nvSpPr>
      <xdr:spPr>
        <a:xfrm flipH="1">
          <a:off x="0" y="8572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9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B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D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559894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2E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5</xdr:col>
      <xdr:colOff>123825</xdr:colOff>
      <xdr:row>10</xdr:row>
      <xdr:rowOff>133350</xdr:rowOff>
    </xdr:from>
    <xdr:to>
      <xdr:col>5</xdr:col>
      <xdr:colOff>1047750</xdr:colOff>
      <xdr:row>14</xdr:row>
      <xdr:rowOff>19050</xdr:rowOff>
    </xdr:to>
    <xdr:pic>
      <xdr:nvPicPr>
        <xdr:cNvPr id="2" name="图片 1" descr="未标题-1.png">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stretch>
          <a:fillRect/>
        </a:stretch>
      </xdr:blipFill>
      <xdr:spPr>
        <a:xfrm>
          <a:off x="5534025" y="1809750"/>
          <a:ext cx="923925" cy="781050"/>
        </a:xfrm>
        <a:prstGeom prst="rect">
          <a:avLst/>
        </a:prstGeom>
      </xdr:spPr>
    </xdr:pic>
    <xdr:clientData/>
  </xdr:twoCellAnchor>
  <xdr:twoCellAnchor editAs="absolute">
    <xdr:from>
      <xdr:col>1</xdr:col>
      <xdr:colOff>0</xdr:colOff>
      <xdr:row>3</xdr:row>
      <xdr:rowOff>0</xdr:rowOff>
    </xdr:from>
    <xdr:to>
      <xdr:col>1</xdr:col>
      <xdr:colOff>778969</xdr:colOff>
      <xdr:row>4</xdr:row>
      <xdr:rowOff>83724</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2F00-000003000000}"/>
            </a:ext>
          </a:extLst>
        </xdr:cNvPr>
        <xdr:cNvSpPr>
          <a:spLocks noChangeAspect="1"/>
        </xdr:cNvSpPr>
      </xdr:nvSpPr>
      <xdr:spPr>
        <a:xfrm flipH="1">
          <a:off x="19050" y="4572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91440</xdr:colOff>
      <xdr:row>61</xdr:row>
      <xdr:rowOff>106680</xdr:rowOff>
    </xdr:from>
    <xdr:to>
      <xdr:col>2</xdr:col>
      <xdr:colOff>579120</xdr:colOff>
      <xdr:row>61</xdr:row>
      <xdr:rowOff>106680</xdr:rowOff>
    </xdr:to>
    <xdr:sp macro="" textlink="">
      <xdr:nvSpPr>
        <xdr:cNvPr id="2" name="Line 13">
          <a:extLst>
            <a:ext uri="{FF2B5EF4-FFF2-40B4-BE49-F238E27FC236}">
              <a16:creationId xmlns:a16="http://schemas.microsoft.com/office/drawing/2014/main" id="{00000000-0008-0000-3000-000002000000}"/>
            </a:ext>
          </a:extLst>
        </xdr:cNvPr>
        <xdr:cNvSpPr>
          <a:spLocks noChangeShapeType="1"/>
        </xdr:cNvSpPr>
      </xdr:nvSpPr>
      <xdr:spPr>
        <a:xfrm>
          <a:off x="472440" y="11841480"/>
          <a:ext cx="763905" cy="0"/>
        </a:xfrm>
        <a:prstGeom prst="line">
          <a:avLst/>
        </a:prstGeom>
        <a:noFill/>
        <a:ln w="9525">
          <a:solidFill>
            <a:srgbClr val="FF0000"/>
          </a:solidFill>
          <a:round/>
          <a:tailEnd type="triangle" w="med" len="med"/>
        </a:ln>
      </xdr:spPr>
    </xdr:sp>
    <xdr:clientData/>
  </xdr:twoCellAnchor>
  <xdr:twoCellAnchor>
    <xdr:from>
      <xdr:col>2</xdr:col>
      <xdr:colOff>175260</xdr:colOff>
      <xdr:row>57</xdr:row>
      <xdr:rowOff>152400</xdr:rowOff>
    </xdr:from>
    <xdr:to>
      <xdr:col>4</xdr:col>
      <xdr:colOff>464820</xdr:colOff>
      <xdr:row>58</xdr:row>
      <xdr:rowOff>60960</xdr:rowOff>
    </xdr:to>
    <xdr:sp macro="" textlink="">
      <xdr:nvSpPr>
        <xdr:cNvPr id="3" name="Line 14">
          <a:extLst>
            <a:ext uri="{FF2B5EF4-FFF2-40B4-BE49-F238E27FC236}">
              <a16:creationId xmlns:a16="http://schemas.microsoft.com/office/drawing/2014/main" id="{00000000-0008-0000-3000-000003000000}"/>
            </a:ext>
          </a:extLst>
        </xdr:cNvPr>
        <xdr:cNvSpPr>
          <a:spLocks noChangeShapeType="1"/>
        </xdr:cNvSpPr>
      </xdr:nvSpPr>
      <xdr:spPr>
        <a:xfrm>
          <a:off x="832485" y="11125200"/>
          <a:ext cx="1623060" cy="108585"/>
        </a:xfrm>
        <a:prstGeom prst="line">
          <a:avLst/>
        </a:prstGeom>
        <a:noFill/>
        <a:ln w="9525">
          <a:solidFill>
            <a:srgbClr val="FF0000"/>
          </a:solidFill>
          <a:round/>
          <a:tailEnd type="triangle" w="med" len="med"/>
        </a:ln>
      </xdr:spPr>
    </xdr:sp>
    <xdr:clientData/>
  </xdr:twoCellAnchor>
  <xdr:twoCellAnchor>
    <xdr:from>
      <xdr:col>7</xdr:col>
      <xdr:colOff>449580</xdr:colOff>
      <xdr:row>57</xdr:row>
      <xdr:rowOff>60960</xdr:rowOff>
    </xdr:from>
    <xdr:to>
      <xdr:col>8</xdr:col>
      <xdr:colOff>655320</xdr:colOff>
      <xdr:row>57</xdr:row>
      <xdr:rowOff>129540</xdr:rowOff>
    </xdr:to>
    <xdr:sp macro="" textlink="">
      <xdr:nvSpPr>
        <xdr:cNvPr id="4" name="Line 15">
          <a:extLst>
            <a:ext uri="{FF2B5EF4-FFF2-40B4-BE49-F238E27FC236}">
              <a16:creationId xmlns:a16="http://schemas.microsoft.com/office/drawing/2014/main" id="{00000000-0008-0000-3000-000004000000}"/>
            </a:ext>
          </a:extLst>
        </xdr:cNvPr>
        <xdr:cNvSpPr>
          <a:spLocks noChangeShapeType="1"/>
        </xdr:cNvSpPr>
      </xdr:nvSpPr>
      <xdr:spPr>
        <a:xfrm flipH="1" flipV="1">
          <a:off x="4440555" y="11033760"/>
          <a:ext cx="872490" cy="68580"/>
        </a:xfrm>
        <a:prstGeom prst="line">
          <a:avLst/>
        </a:prstGeom>
        <a:noFill/>
        <a:ln w="9525">
          <a:solidFill>
            <a:srgbClr val="FF0000"/>
          </a:solidFill>
          <a:round/>
          <a:tailEnd type="triangle" w="med" len="med"/>
        </a:ln>
      </xdr:spPr>
    </xdr:sp>
    <xdr:clientData/>
  </xdr:twoCellAnchor>
  <xdr:twoCellAnchor>
    <xdr:from>
      <xdr:col>1</xdr:col>
      <xdr:colOff>160020</xdr:colOff>
      <xdr:row>54</xdr:row>
      <xdr:rowOff>114300</xdr:rowOff>
    </xdr:from>
    <xdr:to>
      <xdr:col>2</xdr:col>
      <xdr:colOff>579120</xdr:colOff>
      <xdr:row>54</xdr:row>
      <xdr:rowOff>114300</xdr:rowOff>
    </xdr:to>
    <xdr:sp macro="" textlink="">
      <xdr:nvSpPr>
        <xdr:cNvPr id="5" name="Line 16">
          <a:extLst>
            <a:ext uri="{FF2B5EF4-FFF2-40B4-BE49-F238E27FC236}">
              <a16:creationId xmlns:a16="http://schemas.microsoft.com/office/drawing/2014/main" id="{00000000-0008-0000-3000-000005000000}"/>
            </a:ext>
          </a:extLst>
        </xdr:cNvPr>
        <xdr:cNvSpPr>
          <a:spLocks noChangeShapeType="1"/>
        </xdr:cNvSpPr>
      </xdr:nvSpPr>
      <xdr:spPr>
        <a:xfrm>
          <a:off x="541020" y="10544175"/>
          <a:ext cx="695325" cy="0"/>
        </a:xfrm>
        <a:prstGeom prst="line">
          <a:avLst/>
        </a:prstGeom>
        <a:noFill/>
        <a:ln w="9525">
          <a:solidFill>
            <a:srgbClr val="FF0000"/>
          </a:solidFill>
          <a:round/>
          <a:tailEnd type="triangle" w="med" len="med"/>
        </a:ln>
      </xdr:spPr>
    </xdr:sp>
    <xdr:clientData/>
  </xdr:twoCellAnchor>
  <xdr:twoCellAnchor>
    <xdr:from>
      <xdr:col>2</xdr:col>
      <xdr:colOff>30480</xdr:colOff>
      <xdr:row>64</xdr:row>
      <xdr:rowOff>144780</xdr:rowOff>
    </xdr:from>
    <xdr:to>
      <xdr:col>4</xdr:col>
      <xdr:colOff>342900</xdr:colOff>
      <xdr:row>65</xdr:row>
      <xdr:rowOff>114300</xdr:rowOff>
    </xdr:to>
    <xdr:sp macro="" textlink="">
      <xdr:nvSpPr>
        <xdr:cNvPr id="6" name="Line 17">
          <a:extLst>
            <a:ext uri="{FF2B5EF4-FFF2-40B4-BE49-F238E27FC236}">
              <a16:creationId xmlns:a16="http://schemas.microsoft.com/office/drawing/2014/main" id="{00000000-0008-0000-3000-000006000000}"/>
            </a:ext>
          </a:extLst>
        </xdr:cNvPr>
        <xdr:cNvSpPr>
          <a:spLocks noChangeShapeType="1"/>
        </xdr:cNvSpPr>
      </xdr:nvSpPr>
      <xdr:spPr>
        <a:xfrm flipV="1">
          <a:off x="687705" y="12422505"/>
          <a:ext cx="1645920" cy="150495"/>
        </a:xfrm>
        <a:prstGeom prst="line">
          <a:avLst/>
        </a:prstGeom>
        <a:noFill/>
        <a:ln w="9525">
          <a:solidFill>
            <a:srgbClr val="FF0000"/>
          </a:solidFill>
          <a:round/>
          <a:tailEnd type="triangle" w="med" len="med"/>
        </a:ln>
      </xdr:spPr>
    </xdr:sp>
    <xdr:clientData/>
  </xdr:twoCellAnchor>
  <xdr:twoCellAnchor>
    <xdr:from>
      <xdr:col>6</xdr:col>
      <xdr:colOff>373380</xdr:colOff>
      <xdr:row>48</xdr:row>
      <xdr:rowOff>114300</xdr:rowOff>
    </xdr:from>
    <xdr:to>
      <xdr:col>9</xdr:col>
      <xdr:colOff>129540</xdr:colOff>
      <xdr:row>48</xdr:row>
      <xdr:rowOff>114300</xdr:rowOff>
    </xdr:to>
    <xdr:sp macro="" textlink="">
      <xdr:nvSpPr>
        <xdr:cNvPr id="7" name="Line 18">
          <a:extLst>
            <a:ext uri="{FF2B5EF4-FFF2-40B4-BE49-F238E27FC236}">
              <a16:creationId xmlns:a16="http://schemas.microsoft.com/office/drawing/2014/main" id="{00000000-0008-0000-3000-000007000000}"/>
            </a:ext>
          </a:extLst>
        </xdr:cNvPr>
        <xdr:cNvSpPr>
          <a:spLocks noChangeShapeType="1"/>
        </xdr:cNvSpPr>
      </xdr:nvSpPr>
      <xdr:spPr>
        <a:xfrm flipH="1">
          <a:off x="3697605" y="9439275"/>
          <a:ext cx="1756410" cy="0"/>
        </a:xfrm>
        <a:prstGeom prst="line">
          <a:avLst/>
        </a:prstGeom>
        <a:noFill/>
        <a:ln w="9525">
          <a:solidFill>
            <a:srgbClr val="FF0000"/>
          </a:solidFill>
          <a:round/>
          <a:tailEnd type="triangle" w="med" len="med"/>
        </a:ln>
      </xdr:spPr>
    </xdr:sp>
    <xdr:clientData/>
  </xdr:twoCellAnchor>
  <xdr:twoCellAnchor editAs="oneCell">
    <xdr:from>
      <xdr:col>4</xdr:col>
      <xdr:colOff>152400</xdr:colOff>
      <xdr:row>90</xdr:row>
      <xdr:rowOff>0</xdr:rowOff>
    </xdr:from>
    <xdr:to>
      <xdr:col>7</xdr:col>
      <xdr:colOff>7620</xdr:colOff>
      <xdr:row>95</xdr:row>
      <xdr:rowOff>144780</xdr:rowOff>
    </xdr:to>
    <xdr:pic>
      <xdr:nvPicPr>
        <xdr:cNvPr id="8" name="Picture 19" descr="002">
          <a:extLst>
            <a:ext uri="{FF2B5EF4-FFF2-40B4-BE49-F238E27FC236}">
              <a16:creationId xmlns:a16="http://schemas.microsoft.com/office/drawing/2014/main" id="{00000000-0008-0000-3000-000008000000}"/>
            </a:ext>
          </a:extLst>
        </xdr:cNvPr>
        <xdr:cNvPicPr>
          <a:picLocks noChangeAspect="1" noChangeArrowheads="1"/>
        </xdr:cNvPicPr>
      </xdr:nvPicPr>
      <xdr:blipFill>
        <a:blip xmlns:r="http://schemas.openxmlformats.org/officeDocument/2006/relationships" r:embed="rId1" cstate="print"/>
        <a:srcRect l="15720" t="12947" r="9698" b="35268"/>
        <a:stretch>
          <a:fillRect/>
        </a:stretch>
      </xdr:blipFill>
      <xdr:spPr>
        <a:xfrm>
          <a:off x="2143125" y="17230725"/>
          <a:ext cx="1855470" cy="1106805"/>
        </a:xfrm>
        <a:prstGeom prst="rect">
          <a:avLst/>
        </a:prstGeom>
        <a:noFill/>
        <a:ln w="9525">
          <a:noFill/>
          <a:miter lim="800000"/>
          <a:headEnd/>
          <a:tailEnd/>
        </a:ln>
      </xdr:spPr>
    </xdr:pic>
    <xdr:clientData/>
  </xdr:twoCellAnchor>
  <xdr:twoCellAnchor>
    <xdr:from>
      <xdr:col>6</xdr:col>
      <xdr:colOff>472440</xdr:colOff>
      <xdr:row>26</xdr:row>
      <xdr:rowOff>121920</xdr:rowOff>
    </xdr:from>
    <xdr:to>
      <xdr:col>9</xdr:col>
      <xdr:colOff>175260</xdr:colOff>
      <xdr:row>26</xdr:row>
      <xdr:rowOff>121920</xdr:rowOff>
    </xdr:to>
    <xdr:sp macro="" textlink="">
      <xdr:nvSpPr>
        <xdr:cNvPr id="9" name="Line 22">
          <a:extLst>
            <a:ext uri="{FF2B5EF4-FFF2-40B4-BE49-F238E27FC236}">
              <a16:creationId xmlns:a16="http://schemas.microsoft.com/office/drawing/2014/main" id="{00000000-0008-0000-3000-000009000000}"/>
            </a:ext>
          </a:extLst>
        </xdr:cNvPr>
        <xdr:cNvSpPr>
          <a:spLocks noChangeShapeType="1"/>
        </xdr:cNvSpPr>
      </xdr:nvSpPr>
      <xdr:spPr>
        <a:xfrm flipH="1">
          <a:off x="3796665" y="5351145"/>
          <a:ext cx="1703070" cy="0"/>
        </a:xfrm>
        <a:prstGeom prst="line">
          <a:avLst/>
        </a:prstGeom>
        <a:noFill/>
        <a:ln w="9525">
          <a:solidFill>
            <a:srgbClr val="FF0000"/>
          </a:solidFill>
          <a:round/>
          <a:tailEnd type="triangle" w="med" len="med"/>
        </a:ln>
      </xdr:spPr>
    </xdr:sp>
    <xdr:clientData/>
  </xdr:twoCellAnchor>
  <xdr:twoCellAnchor>
    <xdr:from>
      <xdr:col>2</xdr:col>
      <xdr:colOff>76200</xdr:colOff>
      <xdr:row>24</xdr:row>
      <xdr:rowOff>106680</xdr:rowOff>
    </xdr:from>
    <xdr:to>
      <xdr:col>3</xdr:col>
      <xdr:colOff>38100</xdr:colOff>
      <xdr:row>24</xdr:row>
      <xdr:rowOff>106680</xdr:rowOff>
    </xdr:to>
    <xdr:sp macro="" textlink="">
      <xdr:nvSpPr>
        <xdr:cNvPr id="10" name="Line 24">
          <a:extLst>
            <a:ext uri="{FF2B5EF4-FFF2-40B4-BE49-F238E27FC236}">
              <a16:creationId xmlns:a16="http://schemas.microsoft.com/office/drawing/2014/main" id="{00000000-0008-0000-3000-00000A000000}"/>
            </a:ext>
          </a:extLst>
        </xdr:cNvPr>
        <xdr:cNvSpPr>
          <a:spLocks noChangeShapeType="1"/>
        </xdr:cNvSpPr>
      </xdr:nvSpPr>
      <xdr:spPr>
        <a:xfrm>
          <a:off x="733425" y="4973955"/>
          <a:ext cx="628650" cy="0"/>
        </a:xfrm>
        <a:prstGeom prst="line">
          <a:avLst/>
        </a:prstGeom>
        <a:noFill/>
        <a:ln w="9525">
          <a:solidFill>
            <a:srgbClr val="FF0000"/>
          </a:solidFill>
          <a:round/>
          <a:tailEnd type="triangle" w="med" len="med"/>
        </a:ln>
      </xdr:spPr>
    </xdr:sp>
    <xdr:clientData/>
  </xdr:twoCellAnchor>
  <xdr:twoCellAnchor>
    <xdr:from>
      <xdr:col>1</xdr:col>
      <xdr:colOff>167640</xdr:colOff>
      <xdr:row>29</xdr:row>
      <xdr:rowOff>106680</xdr:rowOff>
    </xdr:from>
    <xdr:to>
      <xdr:col>2</xdr:col>
      <xdr:colOff>472440</xdr:colOff>
      <xdr:row>29</xdr:row>
      <xdr:rowOff>106680</xdr:rowOff>
    </xdr:to>
    <xdr:sp macro="" textlink="">
      <xdr:nvSpPr>
        <xdr:cNvPr id="11" name="Line 25">
          <a:extLst>
            <a:ext uri="{FF2B5EF4-FFF2-40B4-BE49-F238E27FC236}">
              <a16:creationId xmlns:a16="http://schemas.microsoft.com/office/drawing/2014/main" id="{00000000-0008-0000-3000-00000B000000}"/>
            </a:ext>
          </a:extLst>
        </xdr:cNvPr>
        <xdr:cNvSpPr>
          <a:spLocks noChangeShapeType="1"/>
        </xdr:cNvSpPr>
      </xdr:nvSpPr>
      <xdr:spPr>
        <a:xfrm>
          <a:off x="548640" y="5878830"/>
          <a:ext cx="581025" cy="0"/>
        </a:xfrm>
        <a:prstGeom prst="line">
          <a:avLst/>
        </a:prstGeom>
        <a:noFill/>
        <a:ln w="9525">
          <a:solidFill>
            <a:srgbClr val="FF0000"/>
          </a:solidFill>
          <a:round/>
          <a:tailEnd type="triangle" w="med" len="med"/>
        </a:ln>
      </xdr:spPr>
    </xdr:sp>
    <xdr:clientData/>
  </xdr:twoCellAnchor>
  <xdr:twoCellAnchor>
    <xdr:from>
      <xdr:col>2</xdr:col>
      <xdr:colOff>198120</xdr:colOff>
      <xdr:row>33</xdr:row>
      <xdr:rowOff>68580</xdr:rowOff>
    </xdr:from>
    <xdr:to>
      <xdr:col>3</xdr:col>
      <xdr:colOff>320040</xdr:colOff>
      <xdr:row>33</xdr:row>
      <xdr:rowOff>114300</xdr:rowOff>
    </xdr:to>
    <xdr:sp macro="" textlink="">
      <xdr:nvSpPr>
        <xdr:cNvPr id="12" name="Line 26">
          <a:extLst>
            <a:ext uri="{FF2B5EF4-FFF2-40B4-BE49-F238E27FC236}">
              <a16:creationId xmlns:a16="http://schemas.microsoft.com/office/drawing/2014/main" id="{00000000-0008-0000-3000-00000C000000}"/>
            </a:ext>
          </a:extLst>
        </xdr:cNvPr>
        <xdr:cNvSpPr>
          <a:spLocks noChangeShapeType="1"/>
        </xdr:cNvSpPr>
      </xdr:nvSpPr>
      <xdr:spPr>
        <a:xfrm flipV="1">
          <a:off x="855345" y="6564630"/>
          <a:ext cx="788670" cy="45720"/>
        </a:xfrm>
        <a:prstGeom prst="line">
          <a:avLst/>
        </a:prstGeom>
        <a:noFill/>
        <a:ln w="9525">
          <a:solidFill>
            <a:srgbClr val="FF0000"/>
          </a:solidFill>
          <a:round/>
          <a:tailEnd type="triangle" w="med" len="med"/>
        </a:ln>
      </xdr:spPr>
    </xdr:sp>
    <xdr:clientData/>
  </xdr:twoCellAnchor>
  <xdr:twoCellAnchor>
    <xdr:from>
      <xdr:col>2</xdr:col>
      <xdr:colOff>251460</xdr:colOff>
      <xdr:row>35</xdr:row>
      <xdr:rowOff>30480</xdr:rowOff>
    </xdr:from>
    <xdr:to>
      <xdr:col>4</xdr:col>
      <xdr:colOff>579120</xdr:colOff>
      <xdr:row>35</xdr:row>
      <xdr:rowOff>83820</xdr:rowOff>
    </xdr:to>
    <xdr:sp macro="" textlink="">
      <xdr:nvSpPr>
        <xdr:cNvPr id="13" name="Line 27">
          <a:extLst>
            <a:ext uri="{FF2B5EF4-FFF2-40B4-BE49-F238E27FC236}">
              <a16:creationId xmlns:a16="http://schemas.microsoft.com/office/drawing/2014/main" id="{00000000-0008-0000-3000-00000D000000}"/>
            </a:ext>
          </a:extLst>
        </xdr:cNvPr>
        <xdr:cNvSpPr>
          <a:spLocks noChangeShapeType="1"/>
        </xdr:cNvSpPr>
      </xdr:nvSpPr>
      <xdr:spPr>
        <a:xfrm flipV="1">
          <a:off x="908685" y="6888480"/>
          <a:ext cx="1661160" cy="53340"/>
        </a:xfrm>
        <a:prstGeom prst="line">
          <a:avLst/>
        </a:prstGeom>
        <a:noFill/>
        <a:ln w="9525">
          <a:solidFill>
            <a:srgbClr val="FF0000"/>
          </a:solidFill>
          <a:round/>
          <a:tailEnd type="triangle" w="med" len="med"/>
        </a:ln>
      </xdr:spPr>
    </xdr:sp>
    <xdr:clientData/>
  </xdr:twoCellAnchor>
  <xdr:twoCellAnchor>
    <xdr:from>
      <xdr:col>1</xdr:col>
      <xdr:colOff>45720</xdr:colOff>
      <xdr:row>37</xdr:row>
      <xdr:rowOff>106680</xdr:rowOff>
    </xdr:from>
    <xdr:to>
      <xdr:col>3</xdr:col>
      <xdr:colOff>30480</xdr:colOff>
      <xdr:row>37</xdr:row>
      <xdr:rowOff>106680</xdr:rowOff>
    </xdr:to>
    <xdr:sp macro="" textlink="">
      <xdr:nvSpPr>
        <xdr:cNvPr id="14" name="Line 28">
          <a:extLst>
            <a:ext uri="{FF2B5EF4-FFF2-40B4-BE49-F238E27FC236}">
              <a16:creationId xmlns:a16="http://schemas.microsoft.com/office/drawing/2014/main" id="{00000000-0008-0000-3000-00000E000000}"/>
            </a:ext>
          </a:extLst>
        </xdr:cNvPr>
        <xdr:cNvSpPr>
          <a:spLocks noChangeShapeType="1"/>
        </xdr:cNvSpPr>
      </xdr:nvSpPr>
      <xdr:spPr>
        <a:xfrm>
          <a:off x="426720" y="7326630"/>
          <a:ext cx="927735" cy="0"/>
        </a:xfrm>
        <a:prstGeom prst="line">
          <a:avLst/>
        </a:prstGeom>
        <a:noFill/>
        <a:ln w="9525">
          <a:solidFill>
            <a:srgbClr val="FF0000"/>
          </a:solidFill>
          <a:round/>
          <a:tailEnd type="triangle" w="med" len="med"/>
        </a:ln>
      </xdr:spPr>
    </xdr:sp>
    <xdr:clientData/>
  </xdr:twoCellAnchor>
  <xdr:twoCellAnchor>
    <xdr:from>
      <xdr:col>4</xdr:col>
      <xdr:colOff>350520</xdr:colOff>
      <xdr:row>90</xdr:row>
      <xdr:rowOff>60960</xdr:rowOff>
    </xdr:from>
    <xdr:to>
      <xdr:col>5</xdr:col>
      <xdr:colOff>373380</xdr:colOff>
      <xdr:row>96</xdr:row>
      <xdr:rowOff>22860</xdr:rowOff>
    </xdr:to>
    <xdr:sp macro="" textlink="">
      <xdr:nvSpPr>
        <xdr:cNvPr id="15" name="Oval 30">
          <a:extLst>
            <a:ext uri="{FF2B5EF4-FFF2-40B4-BE49-F238E27FC236}">
              <a16:creationId xmlns:a16="http://schemas.microsoft.com/office/drawing/2014/main" id="{00000000-0008-0000-3000-00000F000000}"/>
            </a:ext>
          </a:extLst>
        </xdr:cNvPr>
        <xdr:cNvSpPr>
          <a:spLocks noChangeArrowheads="1"/>
        </xdr:cNvSpPr>
      </xdr:nvSpPr>
      <xdr:spPr>
        <a:xfrm>
          <a:off x="2341245" y="17291685"/>
          <a:ext cx="689610" cy="1104900"/>
        </a:xfrm>
        <a:prstGeom prst="ellipse">
          <a:avLst/>
        </a:prstGeom>
        <a:noFill/>
        <a:ln w="9525">
          <a:solidFill>
            <a:srgbClr val="FF0000"/>
          </a:solidFill>
          <a:round/>
        </a:ln>
      </xdr:spPr>
    </xdr:sp>
    <xdr:clientData/>
  </xdr:twoCellAnchor>
  <xdr:twoCellAnchor>
    <xdr:from>
      <xdr:col>4</xdr:col>
      <xdr:colOff>198120</xdr:colOff>
      <xdr:row>91</xdr:row>
      <xdr:rowOff>0</xdr:rowOff>
    </xdr:from>
    <xdr:to>
      <xdr:col>4</xdr:col>
      <xdr:colOff>335280</xdr:colOff>
      <xdr:row>91</xdr:row>
      <xdr:rowOff>129540</xdr:rowOff>
    </xdr:to>
    <xdr:sp macro="" textlink="">
      <xdr:nvSpPr>
        <xdr:cNvPr id="16" name="Oval 31">
          <a:extLst>
            <a:ext uri="{FF2B5EF4-FFF2-40B4-BE49-F238E27FC236}">
              <a16:creationId xmlns:a16="http://schemas.microsoft.com/office/drawing/2014/main" id="{00000000-0008-0000-3000-000010000000}"/>
            </a:ext>
          </a:extLst>
        </xdr:cNvPr>
        <xdr:cNvSpPr>
          <a:spLocks noChangeArrowheads="1"/>
        </xdr:cNvSpPr>
      </xdr:nvSpPr>
      <xdr:spPr>
        <a:xfrm>
          <a:off x="2188845" y="17411700"/>
          <a:ext cx="137160" cy="129540"/>
        </a:xfrm>
        <a:prstGeom prst="ellipse">
          <a:avLst/>
        </a:prstGeom>
        <a:noFill/>
        <a:ln w="9525">
          <a:solidFill>
            <a:srgbClr val="FF0000"/>
          </a:solidFill>
          <a:round/>
        </a:ln>
      </xdr:spPr>
    </xdr:sp>
    <xdr:clientData/>
  </xdr:twoCellAnchor>
  <xdr:twoCellAnchor>
    <xdr:from>
      <xdr:col>4</xdr:col>
      <xdr:colOff>205740</xdr:colOff>
      <xdr:row>92</xdr:row>
      <xdr:rowOff>38100</xdr:rowOff>
    </xdr:from>
    <xdr:to>
      <xdr:col>4</xdr:col>
      <xdr:colOff>335280</xdr:colOff>
      <xdr:row>93</xdr:row>
      <xdr:rowOff>45720</xdr:rowOff>
    </xdr:to>
    <xdr:sp macro="" textlink="">
      <xdr:nvSpPr>
        <xdr:cNvPr id="17" name="Oval 32">
          <a:extLst>
            <a:ext uri="{FF2B5EF4-FFF2-40B4-BE49-F238E27FC236}">
              <a16:creationId xmlns:a16="http://schemas.microsoft.com/office/drawing/2014/main" id="{00000000-0008-0000-3000-000011000000}"/>
            </a:ext>
          </a:extLst>
        </xdr:cNvPr>
        <xdr:cNvSpPr>
          <a:spLocks noChangeArrowheads="1"/>
        </xdr:cNvSpPr>
      </xdr:nvSpPr>
      <xdr:spPr>
        <a:xfrm>
          <a:off x="2196465" y="17687925"/>
          <a:ext cx="129540" cy="188595"/>
        </a:xfrm>
        <a:prstGeom prst="ellipse">
          <a:avLst/>
        </a:prstGeom>
        <a:noFill/>
        <a:ln w="9525">
          <a:solidFill>
            <a:srgbClr val="FF0000"/>
          </a:solidFill>
          <a:round/>
        </a:ln>
      </xdr:spPr>
    </xdr:sp>
    <xdr:clientData/>
  </xdr:twoCellAnchor>
  <xdr:twoCellAnchor>
    <xdr:from>
      <xdr:col>4</xdr:col>
      <xdr:colOff>205740</xdr:colOff>
      <xdr:row>94</xdr:row>
      <xdr:rowOff>0</xdr:rowOff>
    </xdr:from>
    <xdr:to>
      <xdr:col>4</xdr:col>
      <xdr:colOff>327660</xdr:colOff>
      <xdr:row>94</xdr:row>
      <xdr:rowOff>114300</xdr:rowOff>
    </xdr:to>
    <xdr:sp macro="" textlink="">
      <xdr:nvSpPr>
        <xdr:cNvPr id="18" name="Oval 33">
          <a:extLst>
            <a:ext uri="{FF2B5EF4-FFF2-40B4-BE49-F238E27FC236}">
              <a16:creationId xmlns:a16="http://schemas.microsoft.com/office/drawing/2014/main" id="{00000000-0008-0000-3000-000012000000}"/>
            </a:ext>
          </a:extLst>
        </xdr:cNvPr>
        <xdr:cNvSpPr>
          <a:spLocks noChangeArrowheads="1"/>
        </xdr:cNvSpPr>
      </xdr:nvSpPr>
      <xdr:spPr>
        <a:xfrm>
          <a:off x="2196465" y="18011775"/>
          <a:ext cx="121920" cy="114300"/>
        </a:xfrm>
        <a:prstGeom prst="ellipse">
          <a:avLst/>
        </a:prstGeom>
        <a:noFill/>
        <a:ln w="9525">
          <a:solidFill>
            <a:srgbClr val="FF0000"/>
          </a:solidFill>
          <a:round/>
        </a:ln>
      </xdr:spPr>
    </xdr:sp>
    <xdr:clientData/>
  </xdr:twoCellAnchor>
  <xdr:twoCellAnchor>
    <xdr:from>
      <xdr:col>3</xdr:col>
      <xdr:colOff>464820</xdr:colOff>
      <xdr:row>91</xdr:row>
      <xdr:rowOff>114300</xdr:rowOff>
    </xdr:from>
    <xdr:to>
      <xdr:col>4</xdr:col>
      <xdr:colOff>121920</xdr:colOff>
      <xdr:row>91</xdr:row>
      <xdr:rowOff>190500</xdr:rowOff>
    </xdr:to>
    <xdr:sp macro="" textlink="">
      <xdr:nvSpPr>
        <xdr:cNvPr id="19" name="Line 34">
          <a:extLst>
            <a:ext uri="{FF2B5EF4-FFF2-40B4-BE49-F238E27FC236}">
              <a16:creationId xmlns:a16="http://schemas.microsoft.com/office/drawing/2014/main" id="{00000000-0008-0000-3000-000013000000}"/>
            </a:ext>
          </a:extLst>
        </xdr:cNvPr>
        <xdr:cNvSpPr>
          <a:spLocks noChangeShapeType="1"/>
        </xdr:cNvSpPr>
      </xdr:nvSpPr>
      <xdr:spPr>
        <a:xfrm>
          <a:off x="1788795" y="17526000"/>
          <a:ext cx="323850" cy="76200"/>
        </a:xfrm>
        <a:prstGeom prst="line">
          <a:avLst/>
        </a:prstGeom>
        <a:noFill/>
        <a:ln w="9525">
          <a:solidFill>
            <a:srgbClr val="FF0000"/>
          </a:solidFill>
          <a:round/>
          <a:tailEnd type="triangle" w="med" len="med"/>
        </a:ln>
      </xdr:spPr>
    </xdr:sp>
    <xdr:clientData/>
  </xdr:twoCellAnchor>
  <xdr:twoCellAnchor>
    <xdr:from>
      <xdr:col>2</xdr:col>
      <xdr:colOff>99060</xdr:colOff>
      <xdr:row>49</xdr:row>
      <xdr:rowOff>91440</xdr:rowOff>
    </xdr:from>
    <xdr:to>
      <xdr:col>3</xdr:col>
      <xdr:colOff>15240</xdr:colOff>
      <xdr:row>49</xdr:row>
      <xdr:rowOff>91440</xdr:rowOff>
    </xdr:to>
    <xdr:sp macro="" textlink="">
      <xdr:nvSpPr>
        <xdr:cNvPr id="20" name="Line 36">
          <a:extLst>
            <a:ext uri="{FF2B5EF4-FFF2-40B4-BE49-F238E27FC236}">
              <a16:creationId xmlns:a16="http://schemas.microsoft.com/office/drawing/2014/main" id="{00000000-0008-0000-3000-000014000000}"/>
            </a:ext>
          </a:extLst>
        </xdr:cNvPr>
        <xdr:cNvSpPr>
          <a:spLocks noChangeShapeType="1"/>
        </xdr:cNvSpPr>
      </xdr:nvSpPr>
      <xdr:spPr>
        <a:xfrm>
          <a:off x="756285" y="9597390"/>
          <a:ext cx="582930" cy="0"/>
        </a:xfrm>
        <a:prstGeom prst="line">
          <a:avLst/>
        </a:prstGeom>
        <a:noFill/>
        <a:ln w="9525">
          <a:solidFill>
            <a:srgbClr val="FF0000"/>
          </a:solidFill>
          <a:rou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2</xdr:col>
          <xdr:colOff>304800</xdr:colOff>
          <xdr:row>47</xdr:row>
          <xdr:rowOff>38100</xdr:rowOff>
        </xdr:from>
        <xdr:to>
          <xdr:col>9</xdr:col>
          <xdr:colOff>9525</xdr:colOff>
          <xdr:row>69</xdr:row>
          <xdr:rowOff>114300</xdr:rowOff>
        </xdr:to>
        <xdr:sp macro="" textlink="">
          <xdr:nvSpPr>
            <xdr:cNvPr id="1287169" name="Object 2" hidden="1">
              <a:extLst>
                <a:ext uri="{63B3BB69-23CF-44E3-9099-C40C66FF867C}">
                  <a14:compatExt spid="_x0000_s1287169"/>
                </a:ext>
                <a:ext uri="{FF2B5EF4-FFF2-40B4-BE49-F238E27FC236}">
                  <a16:creationId xmlns:a16="http://schemas.microsoft.com/office/drawing/2014/main" id="{00000000-0008-0000-3000-000001A41300}"/>
                </a:ext>
              </a:extLst>
            </xdr:cNvPr>
            <xdr:cNvSpPr/>
          </xdr:nvSpPr>
          <xdr:spPr bwMode="auto">
            <a:xfrm>
              <a:off x="0" y="0"/>
              <a:ext cx="0" cy="0"/>
            </a:xfrm>
            <a:prstGeom prst="rect">
              <a:avLst/>
            </a:prstGeom>
            <a:solidFill>
              <a:srgbClr val="FFFFFF"/>
            </a:solidFill>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23</xdr:row>
          <xdr:rowOff>66675</xdr:rowOff>
        </xdr:from>
        <xdr:to>
          <xdr:col>9</xdr:col>
          <xdr:colOff>161925</xdr:colOff>
          <xdr:row>40</xdr:row>
          <xdr:rowOff>38100</xdr:rowOff>
        </xdr:to>
        <xdr:sp macro="" textlink="">
          <xdr:nvSpPr>
            <xdr:cNvPr id="1287170" name="Object 20" hidden="1">
              <a:extLst>
                <a:ext uri="{63B3BB69-23CF-44E3-9099-C40C66FF867C}">
                  <a14:compatExt spid="_x0000_s1287170"/>
                </a:ext>
                <a:ext uri="{FF2B5EF4-FFF2-40B4-BE49-F238E27FC236}">
                  <a16:creationId xmlns:a16="http://schemas.microsoft.com/office/drawing/2014/main" id="{00000000-0008-0000-3000-000002A41300}"/>
                </a:ext>
              </a:extLst>
            </xdr:cNvPr>
            <xdr:cNvSpPr/>
          </xdr:nvSpPr>
          <xdr:spPr bwMode="auto">
            <a:xfrm>
              <a:off x="0" y="0"/>
              <a:ext cx="0" cy="0"/>
            </a:xfrm>
            <a:prstGeom prst="rect">
              <a:avLst/>
            </a:prstGeom>
            <a:solidFill>
              <a:srgbClr val="FFFFFF"/>
            </a:solidFill>
          </xdr:spPr>
        </xdr:sp>
        <xdr:clientData/>
      </xdr:twoCellAnchor>
    </mc:Choice>
    <mc:Fallback/>
  </mc:AlternateContent>
  <xdr:twoCellAnchor editAs="absolute">
    <xdr:from>
      <xdr:col>0</xdr:col>
      <xdr:colOff>0</xdr:colOff>
      <xdr:row>0</xdr:row>
      <xdr:rowOff>0</xdr:rowOff>
    </xdr:from>
    <xdr:to>
      <xdr:col>2</xdr:col>
      <xdr:colOff>124643</xdr:colOff>
      <xdr:row>0</xdr:row>
      <xdr:rowOff>293274</xdr:rowOff>
    </xdr:to>
    <xdr:sp macro="" textlink="">
      <xdr:nvSpPr>
        <xdr:cNvPr id="21" name="五边形 1">
          <a:hlinkClick xmlns:r="http://schemas.openxmlformats.org/officeDocument/2006/relationships" r:id="rId2"/>
          <a:extLst>
            <a:ext uri="{FF2B5EF4-FFF2-40B4-BE49-F238E27FC236}">
              <a16:creationId xmlns:a16="http://schemas.microsoft.com/office/drawing/2014/main" id="{00000000-0008-0000-3000-000015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381000</xdr:colOff>
          <xdr:row>44</xdr:row>
          <xdr:rowOff>76200</xdr:rowOff>
        </xdr:from>
        <xdr:to>
          <xdr:col>0</xdr:col>
          <xdr:colOff>1304925</xdr:colOff>
          <xdr:row>47</xdr:row>
          <xdr:rowOff>57150</xdr:rowOff>
        </xdr:to>
        <xdr:sp macro="" textlink="">
          <xdr:nvSpPr>
            <xdr:cNvPr id="1258497" name="Object 1" hidden="1">
              <a:extLst>
                <a:ext uri="{63B3BB69-23CF-44E3-9099-C40C66FF867C}">
                  <a14:compatExt spid="_x0000_s1258497"/>
                </a:ext>
                <a:ext uri="{FF2B5EF4-FFF2-40B4-BE49-F238E27FC236}">
                  <a16:creationId xmlns:a16="http://schemas.microsoft.com/office/drawing/2014/main" id="{00000000-0008-0000-3100-00000134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20</xdr:row>
          <xdr:rowOff>38100</xdr:rowOff>
        </xdr:from>
        <xdr:to>
          <xdr:col>2</xdr:col>
          <xdr:colOff>1676400</xdr:colOff>
          <xdr:row>24</xdr:row>
          <xdr:rowOff>19050</xdr:rowOff>
        </xdr:to>
        <xdr:sp macro="" textlink="">
          <xdr:nvSpPr>
            <xdr:cNvPr id="1258498" name="Object 2" hidden="1">
              <a:extLst>
                <a:ext uri="{63B3BB69-23CF-44E3-9099-C40C66FF867C}">
                  <a14:compatExt spid="_x0000_s1258498"/>
                </a:ext>
                <a:ext uri="{FF2B5EF4-FFF2-40B4-BE49-F238E27FC236}">
                  <a16:creationId xmlns:a16="http://schemas.microsoft.com/office/drawing/2014/main" id="{00000000-0008-0000-3100-00000234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3</xdr:col>
      <xdr:colOff>0</xdr:colOff>
      <xdr:row>0</xdr:row>
      <xdr:rowOff>0</xdr:rowOff>
    </xdr:from>
    <xdr:to>
      <xdr:col>4</xdr:col>
      <xdr:colOff>91513</xdr:colOff>
      <xdr:row>1</xdr:row>
      <xdr:rowOff>111057</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100-000002000000}"/>
            </a:ext>
          </a:extLst>
        </xdr:cNvPr>
        <xdr:cNvSpPr>
          <a:spLocks noChangeAspect="1"/>
        </xdr:cNvSpPr>
      </xdr:nvSpPr>
      <xdr:spPr>
        <a:xfrm flipH="1">
          <a:off x="5632174"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54</xdr:row>
          <xdr:rowOff>95250</xdr:rowOff>
        </xdr:from>
        <xdr:to>
          <xdr:col>1</xdr:col>
          <xdr:colOff>733425</xdr:colOff>
          <xdr:row>57</xdr:row>
          <xdr:rowOff>152400</xdr:rowOff>
        </xdr:to>
        <xdr:sp macro="" textlink="">
          <xdr:nvSpPr>
            <xdr:cNvPr id="1257473" name="Object 1" hidden="1">
              <a:extLst>
                <a:ext uri="{63B3BB69-23CF-44E3-9099-C40C66FF867C}">
                  <a14:compatExt spid="_x0000_s1257473"/>
                </a:ext>
                <a:ext uri="{FF2B5EF4-FFF2-40B4-BE49-F238E27FC236}">
                  <a16:creationId xmlns:a16="http://schemas.microsoft.com/office/drawing/2014/main" id="{00000000-0008-0000-3200-000001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xdr:row>
          <xdr:rowOff>57150</xdr:rowOff>
        </xdr:from>
        <xdr:to>
          <xdr:col>1</xdr:col>
          <xdr:colOff>1114425</xdr:colOff>
          <xdr:row>62</xdr:row>
          <xdr:rowOff>114300</xdr:rowOff>
        </xdr:to>
        <xdr:sp macro="" textlink="">
          <xdr:nvSpPr>
            <xdr:cNvPr id="1257474" name="Object 2" hidden="1">
              <a:extLst>
                <a:ext uri="{63B3BB69-23CF-44E3-9099-C40C66FF867C}">
                  <a14:compatExt spid="_x0000_s1257474"/>
                </a:ext>
                <a:ext uri="{FF2B5EF4-FFF2-40B4-BE49-F238E27FC236}">
                  <a16:creationId xmlns:a16="http://schemas.microsoft.com/office/drawing/2014/main" id="{00000000-0008-0000-3200-000002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390525</xdr:colOff>
          <xdr:row>62</xdr:row>
          <xdr:rowOff>76200</xdr:rowOff>
        </xdr:from>
        <xdr:to>
          <xdr:col>5</xdr:col>
          <xdr:colOff>419100</xdr:colOff>
          <xdr:row>74</xdr:row>
          <xdr:rowOff>114300</xdr:rowOff>
        </xdr:to>
        <xdr:sp macro="" textlink="">
          <xdr:nvSpPr>
            <xdr:cNvPr id="1257475" name="Object 3" hidden="1">
              <a:extLst>
                <a:ext uri="{63B3BB69-23CF-44E3-9099-C40C66FF867C}">
                  <a14:compatExt spid="_x0000_s1257475"/>
                </a:ext>
                <a:ext uri="{FF2B5EF4-FFF2-40B4-BE49-F238E27FC236}">
                  <a16:creationId xmlns:a16="http://schemas.microsoft.com/office/drawing/2014/main" id="{00000000-0008-0000-3200-000003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87</xdr:row>
          <xdr:rowOff>19050</xdr:rowOff>
        </xdr:from>
        <xdr:to>
          <xdr:col>0</xdr:col>
          <xdr:colOff>1257300</xdr:colOff>
          <xdr:row>89</xdr:row>
          <xdr:rowOff>114300</xdr:rowOff>
        </xdr:to>
        <xdr:sp macro="" textlink="">
          <xdr:nvSpPr>
            <xdr:cNvPr id="1257476" name="Object 4" hidden="1">
              <a:extLst>
                <a:ext uri="{63B3BB69-23CF-44E3-9099-C40C66FF867C}">
                  <a14:compatExt spid="_x0000_s1257476"/>
                </a:ext>
                <a:ext uri="{FF2B5EF4-FFF2-40B4-BE49-F238E27FC236}">
                  <a16:creationId xmlns:a16="http://schemas.microsoft.com/office/drawing/2014/main" id="{00000000-0008-0000-3200-000004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77</xdr:row>
          <xdr:rowOff>57150</xdr:rowOff>
        </xdr:from>
        <xdr:to>
          <xdr:col>5</xdr:col>
          <xdr:colOff>19050</xdr:colOff>
          <xdr:row>86</xdr:row>
          <xdr:rowOff>9525</xdr:rowOff>
        </xdr:to>
        <xdr:sp macro="" textlink="">
          <xdr:nvSpPr>
            <xdr:cNvPr id="1257477" name="Object 5" hidden="1">
              <a:extLst>
                <a:ext uri="{63B3BB69-23CF-44E3-9099-C40C66FF867C}">
                  <a14:compatExt spid="_x0000_s1257477"/>
                </a:ext>
                <a:ext uri="{FF2B5EF4-FFF2-40B4-BE49-F238E27FC236}">
                  <a16:creationId xmlns:a16="http://schemas.microsoft.com/office/drawing/2014/main" id="{00000000-0008-0000-3200-000005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80</xdr:row>
          <xdr:rowOff>76200</xdr:rowOff>
        </xdr:from>
        <xdr:to>
          <xdr:col>0</xdr:col>
          <xdr:colOff>1276350</xdr:colOff>
          <xdr:row>82</xdr:row>
          <xdr:rowOff>161925</xdr:rowOff>
        </xdr:to>
        <xdr:sp macro="" textlink="">
          <xdr:nvSpPr>
            <xdr:cNvPr id="1257478" name="Object 6" hidden="1">
              <a:extLst>
                <a:ext uri="{63B3BB69-23CF-44E3-9099-C40C66FF867C}">
                  <a14:compatExt spid="_x0000_s1257478"/>
                </a:ext>
                <a:ext uri="{FF2B5EF4-FFF2-40B4-BE49-F238E27FC236}">
                  <a16:creationId xmlns:a16="http://schemas.microsoft.com/office/drawing/2014/main" id="{00000000-0008-0000-3200-000006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92</xdr:row>
          <xdr:rowOff>76200</xdr:rowOff>
        </xdr:from>
        <xdr:to>
          <xdr:col>1</xdr:col>
          <xdr:colOff>1266825</xdr:colOff>
          <xdr:row>95</xdr:row>
          <xdr:rowOff>47625</xdr:rowOff>
        </xdr:to>
        <xdr:sp macro="" textlink="">
          <xdr:nvSpPr>
            <xdr:cNvPr id="1257479" name="Object 7" hidden="1">
              <a:extLst>
                <a:ext uri="{63B3BB69-23CF-44E3-9099-C40C66FF867C}">
                  <a14:compatExt spid="_x0000_s1257479"/>
                </a:ext>
                <a:ext uri="{FF2B5EF4-FFF2-40B4-BE49-F238E27FC236}">
                  <a16:creationId xmlns:a16="http://schemas.microsoft.com/office/drawing/2014/main" id="{00000000-0008-0000-3200-000007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96</xdr:row>
          <xdr:rowOff>47625</xdr:rowOff>
        </xdr:from>
        <xdr:to>
          <xdr:col>2</xdr:col>
          <xdr:colOff>1123950</xdr:colOff>
          <xdr:row>99</xdr:row>
          <xdr:rowOff>95250</xdr:rowOff>
        </xdr:to>
        <xdr:sp macro="" textlink="">
          <xdr:nvSpPr>
            <xdr:cNvPr id="1257480" name="Object 8" hidden="1">
              <a:extLst>
                <a:ext uri="{63B3BB69-23CF-44E3-9099-C40C66FF867C}">
                  <a14:compatExt spid="_x0000_s1257480"/>
                </a:ext>
                <a:ext uri="{FF2B5EF4-FFF2-40B4-BE49-F238E27FC236}">
                  <a16:creationId xmlns:a16="http://schemas.microsoft.com/office/drawing/2014/main" id="{00000000-0008-0000-3200-000008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1181100</xdr:colOff>
          <xdr:row>100</xdr:row>
          <xdr:rowOff>133350</xdr:rowOff>
        </xdr:from>
        <xdr:to>
          <xdr:col>2</xdr:col>
          <xdr:colOff>1419225</xdr:colOff>
          <xdr:row>103</xdr:row>
          <xdr:rowOff>161925</xdr:rowOff>
        </xdr:to>
        <xdr:sp macro="" textlink="">
          <xdr:nvSpPr>
            <xdr:cNvPr id="1257481" name="Object 9" hidden="1">
              <a:extLst>
                <a:ext uri="{63B3BB69-23CF-44E3-9099-C40C66FF867C}">
                  <a14:compatExt spid="_x0000_s1257481"/>
                </a:ext>
                <a:ext uri="{FF2B5EF4-FFF2-40B4-BE49-F238E27FC236}">
                  <a16:creationId xmlns:a16="http://schemas.microsoft.com/office/drawing/2014/main" id="{00000000-0008-0000-3200-000009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108</xdr:row>
          <xdr:rowOff>47625</xdr:rowOff>
        </xdr:from>
        <xdr:to>
          <xdr:col>3</xdr:col>
          <xdr:colOff>171450</xdr:colOff>
          <xdr:row>111</xdr:row>
          <xdr:rowOff>76200</xdr:rowOff>
        </xdr:to>
        <xdr:sp macro="" textlink="">
          <xdr:nvSpPr>
            <xdr:cNvPr id="1257482" name="Object 10" hidden="1">
              <a:extLst>
                <a:ext uri="{63B3BB69-23CF-44E3-9099-C40C66FF867C}">
                  <a14:compatExt spid="_x0000_s1257482"/>
                </a:ext>
                <a:ext uri="{FF2B5EF4-FFF2-40B4-BE49-F238E27FC236}">
                  <a16:creationId xmlns:a16="http://schemas.microsoft.com/office/drawing/2014/main" id="{00000000-0008-0000-3200-00000A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114</xdr:row>
          <xdr:rowOff>9525</xdr:rowOff>
        </xdr:from>
        <xdr:to>
          <xdr:col>2</xdr:col>
          <xdr:colOff>1228725</xdr:colOff>
          <xdr:row>117</xdr:row>
          <xdr:rowOff>19050</xdr:rowOff>
        </xdr:to>
        <xdr:sp macro="" textlink="">
          <xdr:nvSpPr>
            <xdr:cNvPr id="1257483" name="Object 11" hidden="1">
              <a:extLst>
                <a:ext uri="{63B3BB69-23CF-44E3-9099-C40C66FF867C}">
                  <a14:compatExt spid="_x0000_s1257483"/>
                </a:ext>
                <a:ext uri="{FF2B5EF4-FFF2-40B4-BE49-F238E27FC236}">
                  <a16:creationId xmlns:a16="http://schemas.microsoft.com/office/drawing/2014/main" id="{00000000-0008-0000-3200-00000B3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4</xdr:col>
      <xdr:colOff>0</xdr:colOff>
      <xdr:row>0</xdr:row>
      <xdr:rowOff>0</xdr:rowOff>
    </xdr:from>
    <xdr:to>
      <xdr:col>4</xdr:col>
      <xdr:colOff>778969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200-000002000000}"/>
            </a:ext>
          </a:extLst>
        </xdr:cNvPr>
        <xdr:cNvSpPr>
          <a:spLocks noChangeAspect="1"/>
        </xdr:cNvSpPr>
      </xdr:nvSpPr>
      <xdr:spPr>
        <a:xfrm flipH="1">
          <a:off x="58102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266700</xdr:colOff>
          <xdr:row>3</xdr:row>
          <xdr:rowOff>133350</xdr:rowOff>
        </xdr:from>
        <xdr:to>
          <xdr:col>7</xdr:col>
          <xdr:colOff>590550</xdr:colOff>
          <xdr:row>7</xdr:row>
          <xdr:rowOff>161925</xdr:rowOff>
        </xdr:to>
        <xdr:sp macro="" textlink="">
          <xdr:nvSpPr>
            <xdr:cNvPr id="1256449" name="Object 1" hidden="1">
              <a:extLst>
                <a:ext uri="{63B3BB69-23CF-44E3-9099-C40C66FF867C}">
                  <a14:compatExt spid="_x0000_s1256449"/>
                </a:ext>
                <a:ext uri="{FF2B5EF4-FFF2-40B4-BE49-F238E27FC236}">
                  <a16:creationId xmlns:a16="http://schemas.microsoft.com/office/drawing/2014/main" id="{00000000-0008-0000-3300-000001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190500</xdr:colOff>
          <xdr:row>1</xdr:row>
          <xdr:rowOff>0</xdr:rowOff>
        </xdr:from>
        <xdr:to>
          <xdr:col>7</xdr:col>
          <xdr:colOff>542925</xdr:colOff>
          <xdr:row>2</xdr:row>
          <xdr:rowOff>152400</xdr:rowOff>
        </xdr:to>
        <xdr:sp macro="" textlink="">
          <xdr:nvSpPr>
            <xdr:cNvPr id="1256450" name="Object 2" hidden="1">
              <a:extLst>
                <a:ext uri="{63B3BB69-23CF-44E3-9099-C40C66FF867C}">
                  <a14:compatExt spid="_x0000_s1256450"/>
                </a:ext>
                <a:ext uri="{FF2B5EF4-FFF2-40B4-BE49-F238E27FC236}">
                  <a16:creationId xmlns:a16="http://schemas.microsoft.com/office/drawing/2014/main" id="{00000000-0008-0000-3300-000002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40</xdr:row>
          <xdr:rowOff>47625</xdr:rowOff>
        </xdr:from>
        <xdr:to>
          <xdr:col>1</xdr:col>
          <xdr:colOff>381000</xdr:colOff>
          <xdr:row>45</xdr:row>
          <xdr:rowOff>152400</xdr:rowOff>
        </xdr:to>
        <xdr:sp macro="" textlink="">
          <xdr:nvSpPr>
            <xdr:cNvPr id="1256451" name="Object 3" hidden="1">
              <a:extLst>
                <a:ext uri="{63B3BB69-23CF-44E3-9099-C40C66FF867C}">
                  <a14:compatExt spid="_x0000_s1256451"/>
                </a:ext>
                <a:ext uri="{FF2B5EF4-FFF2-40B4-BE49-F238E27FC236}">
                  <a16:creationId xmlns:a16="http://schemas.microsoft.com/office/drawing/2014/main" id="{00000000-0008-0000-3300-000003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48</xdr:row>
          <xdr:rowOff>19050</xdr:rowOff>
        </xdr:from>
        <xdr:to>
          <xdr:col>1</xdr:col>
          <xdr:colOff>504825</xdr:colOff>
          <xdr:row>50</xdr:row>
          <xdr:rowOff>57150</xdr:rowOff>
        </xdr:to>
        <xdr:sp macro="" textlink="">
          <xdr:nvSpPr>
            <xdr:cNvPr id="1256452" name="Object 4" hidden="1">
              <a:extLst>
                <a:ext uri="{63B3BB69-23CF-44E3-9099-C40C66FF867C}">
                  <a14:compatExt spid="_x0000_s1256452"/>
                </a:ext>
                <a:ext uri="{FF2B5EF4-FFF2-40B4-BE49-F238E27FC236}">
                  <a16:creationId xmlns:a16="http://schemas.microsoft.com/office/drawing/2014/main" id="{00000000-0008-0000-3300-000004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52</xdr:row>
          <xdr:rowOff>114300</xdr:rowOff>
        </xdr:from>
        <xdr:to>
          <xdr:col>0</xdr:col>
          <xdr:colOff>1066800</xdr:colOff>
          <xdr:row>57</xdr:row>
          <xdr:rowOff>114300</xdr:rowOff>
        </xdr:to>
        <xdr:sp macro="" textlink="">
          <xdr:nvSpPr>
            <xdr:cNvPr id="1256453" name="Object 5" hidden="1">
              <a:extLst>
                <a:ext uri="{63B3BB69-23CF-44E3-9099-C40C66FF867C}">
                  <a14:compatExt spid="_x0000_s1256453"/>
                </a:ext>
                <a:ext uri="{FF2B5EF4-FFF2-40B4-BE49-F238E27FC236}">
                  <a16:creationId xmlns:a16="http://schemas.microsoft.com/office/drawing/2014/main" id="{00000000-0008-0000-3300-000005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285750</xdr:colOff>
          <xdr:row>52</xdr:row>
          <xdr:rowOff>95250</xdr:rowOff>
        </xdr:from>
        <xdr:to>
          <xdr:col>2</xdr:col>
          <xdr:colOff>1276350</xdr:colOff>
          <xdr:row>56</xdr:row>
          <xdr:rowOff>9525</xdr:rowOff>
        </xdr:to>
        <xdr:sp macro="" textlink="">
          <xdr:nvSpPr>
            <xdr:cNvPr id="1256454" name="Object 6" hidden="1">
              <a:extLst>
                <a:ext uri="{63B3BB69-23CF-44E3-9099-C40C66FF867C}">
                  <a14:compatExt spid="_x0000_s1256454"/>
                </a:ext>
                <a:ext uri="{FF2B5EF4-FFF2-40B4-BE49-F238E27FC236}">
                  <a16:creationId xmlns:a16="http://schemas.microsoft.com/office/drawing/2014/main" id="{00000000-0008-0000-3300-000006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58</xdr:row>
          <xdr:rowOff>171450</xdr:rowOff>
        </xdr:from>
        <xdr:to>
          <xdr:col>2</xdr:col>
          <xdr:colOff>1524000</xdr:colOff>
          <xdr:row>61</xdr:row>
          <xdr:rowOff>152400</xdr:rowOff>
        </xdr:to>
        <xdr:sp macro="" textlink="">
          <xdr:nvSpPr>
            <xdr:cNvPr id="1256455" name="Object 7" hidden="1">
              <a:extLst>
                <a:ext uri="{63B3BB69-23CF-44E3-9099-C40C66FF867C}">
                  <a14:compatExt spid="_x0000_s1256455"/>
                </a:ext>
                <a:ext uri="{FF2B5EF4-FFF2-40B4-BE49-F238E27FC236}">
                  <a16:creationId xmlns:a16="http://schemas.microsoft.com/office/drawing/2014/main" id="{00000000-0008-0000-3300-000007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59</xdr:row>
          <xdr:rowOff>152400</xdr:rowOff>
        </xdr:from>
        <xdr:to>
          <xdr:col>0</xdr:col>
          <xdr:colOff>1381125</xdr:colOff>
          <xdr:row>61</xdr:row>
          <xdr:rowOff>0</xdr:rowOff>
        </xdr:to>
        <xdr:sp macro="" textlink="">
          <xdr:nvSpPr>
            <xdr:cNvPr id="1256456" name="Object 8" hidden="1">
              <a:extLst>
                <a:ext uri="{63B3BB69-23CF-44E3-9099-C40C66FF867C}">
                  <a14:compatExt spid="_x0000_s1256456"/>
                </a:ext>
                <a:ext uri="{FF2B5EF4-FFF2-40B4-BE49-F238E27FC236}">
                  <a16:creationId xmlns:a16="http://schemas.microsoft.com/office/drawing/2014/main" id="{00000000-0008-0000-3300-0000082C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9</xdr:col>
      <xdr:colOff>0</xdr:colOff>
      <xdr:row>0</xdr:row>
      <xdr:rowOff>0</xdr:rowOff>
    </xdr:from>
    <xdr:to>
      <xdr:col>10</xdr:col>
      <xdr:colOff>112219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300-000002000000}"/>
            </a:ext>
          </a:extLst>
        </xdr:cNvPr>
        <xdr:cNvSpPr>
          <a:spLocks noChangeAspect="1"/>
        </xdr:cNvSpPr>
      </xdr:nvSpPr>
      <xdr:spPr>
        <a:xfrm flipH="1">
          <a:off x="94583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26</xdr:row>
          <xdr:rowOff>95250</xdr:rowOff>
        </xdr:from>
        <xdr:to>
          <xdr:col>1</xdr:col>
          <xdr:colOff>276225</xdr:colOff>
          <xdr:row>29</xdr:row>
          <xdr:rowOff>95250</xdr:rowOff>
        </xdr:to>
        <xdr:sp macro="" textlink="">
          <xdr:nvSpPr>
            <xdr:cNvPr id="1255425" name="Object 1" hidden="1">
              <a:extLst>
                <a:ext uri="{63B3BB69-23CF-44E3-9099-C40C66FF867C}">
                  <a14:compatExt spid="_x0000_s1255425"/>
                </a:ext>
                <a:ext uri="{FF2B5EF4-FFF2-40B4-BE49-F238E27FC236}">
                  <a16:creationId xmlns:a16="http://schemas.microsoft.com/office/drawing/2014/main" id="{00000000-0008-0000-3400-0000012813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33</xdr:row>
          <xdr:rowOff>152400</xdr:rowOff>
        </xdr:from>
        <xdr:to>
          <xdr:col>0</xdr:col>
          <xdr:colOff>1114425</xdr:colOff>
          <xdr:row>35</xdr:row>
          <xdr:rowOff>152400</xdr:rowOff>
        </xdr:to>
        <xdr:sp macro="" textlink="">
          <xdr:nvSpPr>
            <xdr:cNvPr id="1255426" name="Object 2" hidden="1">
              <a:extLst>
                <a:ext uri="{63B3BB69-23CF-44E3-9099-C40C66FF867C}">
                  <a14:compatExt spid="_x0000_s1255426"/>
                </a:ext>
                <a:ext uri="{FF2B5EF4-FFF2-40B4-BE49-F238E27FC236}">
                  <a16:creationId xmlns:a16="http://schemas.microsoft.com/office/drawing/2014/main" id="{00000000-0008-0000-3400-0000022813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7</xdr:col>
      <xdr:colOff>0</xdr:colOff>
      <xdr:row>0</xdr:row>
      <xdr:rowOff>0</xdr:rowOff>
    </xdr:from>
    <xdr:to>
      <xdr:col>8</xdr:col>
      <xdr:colOff>112219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400-000002000000}"/>
            </a:ext>
          </a:extLst>
        </xdr:cNvPr>
        <xdr:cNvSpPr>
          <a:spLocks noChangeAspect="1"/>
        </xdr:cNvSpPr>
      </xdr:nvSpPr>
      <xdr:spPr>
        <a:xfrm flipH="1">
          <a:off x="730567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5</xdr:col>
      <xdr:colOff>27940</xdr:colOff>
      <xdr:row>13</xdr:row>
      <xdr:rowOff>104775</xdr:rowOff>
    </xdr:from>
    <xdr:to>
      <xdr:col>11</xdr:col>
      <xdr:colOff>27940</xdr:colOff>
      <xdr:row>29</xdr:row>
      <xdr:rowOff>60960</xdr:rowOff>
    </xdr:to>
    <xdr:pic>
      <xdr:nvPicPr>
        <xdr:cNvPr id="2" name="Picture 1" descr="D0190103">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stretch>
          <a:fillRect/>
        </a:stretch>
      </xdr:blipFill>
      <xdr:spPr>
        <a:xfrm>
          <a:off x="5933440" y="2714625"/>
          <a:ext cx="4000500" cy="2851785"/>
        </a:xfrm>
        <a:prstGeom prst="rect">
          <a:avLst/>
        </a:prstGeom>
        <a:noFill/>
        <a:ln w="9525">
          <a:noFill/>
        </a:ln>
      </xdr:spPr>
    </xdr:pic>
    <xdr:clientData/>
  </xdr:twoCellAnchor>
  <xdr:twoCellAnchor editAs="absolute">
    <xdr:from>
      <xdr:col>12</xdr:col>
      <xdr:colOff>0</xdr:colOff>
      <xdr:row>0</xdr:row>
      <xdr:rowOff>0</xdr:rowOff>
    </xdr:from>
    <xdr:to>
      <xdr:col>13</xdr:col>
      <xdr:colOff>105869</xdr:colOff>
      <xdr:row>1</xdr:row>
      <xdr:rowOff>115474</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00000000-0008-0000-3500-000003000000}"/>
            </a:ext>
          </a:extLst>
        </xdr:cNvPr>
        <xdr:cNvSpPr>
          <a:spLocks noChangeAspect="1"/>
        </xdr:cNvSpPr>
      </xdr:nvSpPr>
      <xdr:spPr>
        <a:xfrm flipH="1">
          <a:off x="106299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1524000</xdr:colOff>
          <xdr:row>48</xdr:row>
          <xdr:rowOff>19050</xdr:rowOff>
        </xdr:from>
        <xdr:to>
          <xdr:col>1</xdr:col>
          <xdr:colOff>904875</xdr:colOff>
          <xdr:row>50</xdr:row>
          <xdr:rowOff>133350</xdr:rowOff>
        </xdr:to>
        <xdr:sp macro="" textlink="">
          <xdr:nvSpPr>
            <xdr:cNvPr id="1253377" name="Object 1" hidden="1">
              <a:extLst>
                <a:ext uri="{63B3BB69-23CF-44E3-9099-C40C66FF867C}">
                  <a14:compatExt spid="_x0000_s1253377"/>
                </a:ext>
                <a:ext uri="{FF2B5EF4-FFF2-40B4-BE49-F238E27FC236}">
                  <a16:creationId xmlns:a16="http://schemas.microsoft.com/office/drawing/2014/main" id="{00000000-0008-0000-3600-0000012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1428750</xdr:colOff>
          <xdr:row>50</xdr:row>
          <xdr:rowOff>228600</xdr:rowOff>
        </xdr:from>
        <xdr:to>
          <xdr:col>2</xdr:col>
          <xdr:colOff>371475</xdr:colOff>
          <xdr:row>53</xdr:row>
          <xdr:rowOff>114300</xdr:rowOff>
        </xdr:to>
        <xdr:sp macro="" textlink="">
          <xdr:nvSpPr>
            <xdr:cNvPr id="1253378" name="Object 2" hidden="1">
              <a:extLst>
                <a:ext uri="{63B3BB69-23CF-44E3-9099-C40C66FF867C}">
                  <a14:compatExt spid="_x0000_s1253378"/>
                </a:ext>
                <a:ext uri="{FF2B5EF4-FFF2-40B4-BE49-F238E27FC236}">
                  <a16:creationId xmlns:a16="http://schemas.microsoft.com/office/drawing/2014/main" id="{00000000-0008-0000-3600-0000022013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581025</xdr:colOff>
          <xdr:row>17</xdr:row>
          <xdr:rowOff>0</xdr:rowOff>
        </xdr:from>
        <xdr:to>
          <xdr:col>2</xdr:col>
          <xdr:colOff>1143000</xdr:colOff>
          <xdr:row>20</xdr:row>
          <xdr:rowOff>114300</xdr:rowOff>
        </xdr:to>
        <xdr:sp macro="" textlink="">
          <xdr:nvSpPr>
            <xdr:cNvPr id="1253379" name="Object 3" hidden="1">
              <a:extLst>
                <a:ext uri="{63B3BB69-23CF-44E3-9099-C40C66FF867C}">
                  <a14:compatExt spid="_x0000_s1253379"/>
                </a:ext>
                <a:ext uri="{FF2B5EF4-FFF2-40B4-BE49-F238E27FC236}">
                  <a16:creationId xmlns:a16="http://schemas.microsoft.com/office/drawing/2014/main" id="{00000000-0008-0000-3600-000003201300}"/>
                </a:ext>
              </a:extLst>
            </xdr:cNvPr>
            <xdr:cNvSpPr/>
          </xdr:nvSpPr>
          <xdr:spPr bwMode="auto">
            <a:xfrm>
              <a:off x="0" y="0"/>
              <a:ext cx="0" cy="0"/>
            </a:xfrm>
            <a:prstGeom prst="rect">
              <a:avLst/>
            </a:prstGeom>
            <a:solidFill>
              <a:srgbClr val="00FF00"/>
            </a:solidFill>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342900</xdr:colOff>
          <xdr:row>17</xdr:row>
          <xdr:rowOff>19050</xdr:rowOff>
        </xdr:from>
        <xdr:to>
          <xdr:col>3</xdr:col>
          <xdr:colOff>838200</xdr:colOff>
          <xdr:row>20</xdr:row>
          <xdr:rowOff>76200</xdr:rowOff>
        </xdr:to>
        <xdr:sp macro="" textlink="">
          <xdr:nvSpPr>
            <xdr:cNvPr id="1253380" name="Object 4" hidden="1">
              <a:extLst>
                <a:ext uri="{63B3BB69-23CF-44E3-9099-C40C66FF867C}">
                  <a14:compatExt spid="_x0000_s1253380"/>
                </a:ext>
                <a:ext uri="{FF2B5EF4-FFF2-40B4-BE49-F238E27FC236}">
                  <a16:creationId xmlns:a16="http://schemas.microsoft.com/office/drawing/2014/main" id="{00000000-0008-0000-3600-000004201300}"/>
                </a:ext>
              </a:extLst>
            </xdr:cNvPr>
            <xdr:cNvSpPr/>
          </xdr:nvSpPr>
          <xdr:spPr bwMode="auto">
            <a:xfrm>
              <a:off x="0" y="0"/>
              <a:ext cx="0" cy="0"/>
            </a:xfrm>
            <a:prstGeom prst="rect">
              <a:avLst/>
            </a:prstGeom>
            <a:solidFill>
              <a:srgbClr val="00FF00"/>
            </a:solidFill>
          </xdr:spPr>
        </xdr:sp>
        <xdr:clientData/>
      </xdr:twoCellAnchor>
    </mc:Choice>
    <mc:Fallback/>
  </mc:AlternateContent>
  <xdr:twoCellAnchor editAs="absolute">
    <xdr:from>
      <xdr:col>4</xdr:col>
      <xdr:colOff>0</xdr:colOff>
      <xdr:row>0</xdr:row>
      <xdr:rowOff>0</xdr:rowOff>
    </xdr:from>
    <xdr:to>
      <xdr:col>4</xdr:col>
      <xdr:colOff>778969</xdr:colOff>
      <xdr:row>1</xdr:row>
      <xdr:rowOff>113980</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600-000002000000}"/>
            </a:ext>
          </a:extLst>
        </xdr:cNvPr>
        <xdr:cNvSpPr>
          <a:spLocks noChangeAspect="1"/>
        </xdr:cNvSpPr>
      </xdr:nvSpPr>
      <xdr:spPr>
        <a:xfrm flipH="1">
          <a:off x="5580529"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6.xml><?xml version="1.0" encoding="utf-8"?>
<xdr:wsDr xmlns:xdr="http://schemas.openxmlformats.org/drawingml/2006/spreadsheetDrawing" xmlns:a="http://schemas.openxmlformats.org/drawingml/2006/main">
  <xdr:twoCellAnchor editAs="absolute">
    <xdr:from>
      <xdr:col>12</xdr:col>
      <xdr:colOff>0</xdr:colOff>
      <xdr:row>0</xdr:row>
      <xdr:rowOff>0</xdr:rowOff>
    </xdr:from>
    <xdr:to>
      <xdr:col>13</xdr:col>
      <xdr:colOff>112219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700-000002000000}"/>
            </a:ext>
          </a:extLst>
        </xdr:cNvPr>
        <xdr:cNvSpPr>
          <a:spLocks noChangeAspect="1"/>
        </xdr:cNvSpPr>
      </xdr:nvSpPr>
      <xdr:spPr>
        <a:xfrm flipH="1">
          <a:off x="103251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7.xml><?xml version="1.0" encoding="utf-8"?>
<xdr:wsDr xmlns:xdr="http://schemas.openxmlformats.org/drawingml/2006/spreadsheetDrawing" xmlns:a="http://schemas.openxmlformats.org/drawingml/2006/main">
  <xdr:twoCellAnchor editAs="absolute">
    <xdr:from>
      <xdr:col>18</xdr:col>
      <xdr:colOff>0</xdr:colOff>
      <xdr:row>0</xdr:row>
      <xdr:rowOff>0</xdr:rowOff>
    </xdr:from>
    <xdr:to>
      <xdr:col>19</xdr:col>
      <xdr:colOff>149491</xdr:colOff>
      <xdr:row>1</xdr:row>
      <xdr:rowOff>44796</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3800-000002000000}"/>
            </a:ext>
          </a:extLst>
        </xdr:cNvPr>
        <xdr:cNvSpPr>
          <a:spLocks noChangeAspect="1"/>
        </xdr:cNvSpPr>
      </xdr:nvSpPr>
      <xdr:spPr>
        <a:xfrm flipH="1">
          <a:off x="11769587"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28576</xdr:colOff>
      <xdr:row>13</xdr:row>
      <xdr:rowOff>38101</xdr:rowOff>
    </xdr:from>
    <xdr:to>
      <xdr:col>4</xdr:col>
      <xdr:colOff>1</xdr:colOff>
      <xdr:row>21</xdr:row>
      <xdr:rowOff>95251</xdr:rowOff>
    </xdr:to>
    <xdr:pic>
      <xdr:nvPicPr>
        <xdr:cNvPr id="2" name="图片 1" descr="未标题-1.png">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cstate="print"/>
        <a:stretch>
          <a:fillRect/>
        </a:stretch>
      </xdr:blipFill>
      <xdr:spPr>
        <a:xfrm>
          <a:off x="2247900" y="2647950"/>
          <a:ext cx="1771650" cy="1733550"/>
        </a:xfrm>
        <a:prstGeom prst="rect">
          <a:avLst/>
        </a:prstGeom>
      </xdr:spPr>
    </xdr:pic>
    <xdr:clientData/>
  </xdr:twoCellAnchor>
  <xdr:twoCellAnchor editAs="oneCell">
    <xdr:from>
      <xdr:col>5</xdr:col>
      <xdr:colOff>95250</xdr:colOff>
      <xdr:row>11</xdr:row>
      <xdr:rowOff>57150</xdr:rowOff>
    </xdr:from>
    <xdr:to>
      <xdr:col>5</xdr:col>
      <xdr:colOff>657225</xdr:colOff>
      <xdr:row>12</xdr:row>
      <xdr:rowOff>180975</xdr:rowOff>
    </xdr:to>
    <xdr:pic>
      <xdr:nvPicPr>
        <xdr:cNvPr id="3" name="图片 2" descr="未标题-1.png">
          <a:extLst>
            <a:ext uri="{FF2B5EF4-FFF2-40B4-BE49-F238E27FC236}">
              <a16:creationId xmlns:a16="http://schemas.microsoft.com/office/drawing/2014/main" id="{00000000-0008-0000-3900-000003000000}"/>
            </a:ext>
          </a:extLst>
        </xdr:cNvPr>
        <xdr:cNvPicPr>
          <a:picLocks noChangeAspect="1"/>
        </xdr:cNvPicPr>
      </xdr:nvPicPr>
      <xdr:blipFill>
        <a:blip xmlns:r="http://schemas.openxmlformats.org/officeDocument/2006/relationships" r:embed="rId2" cstate="print"/>
        <a:stretch>
          <a:fillRect/>
        </a:stretch>
      </xdr:blipFill>
      <xdr:spPr>
        <a:xfrm>
          <a:off x="5972175" y="2247900"/>
          <a:ext cx="561975" cy="333375"/>
        </a:xfrm>
        <a:prstGeom prst="rect">
          <a:avLst/>
        </a:prstGeom>
      </xdr:spPr>
    </xdr:pic>
    <xdr:clientData/>
  </xdr:twoCellAnchor>
  <xdr:twoCellAnchor editAs="oneCell">
    <xdr:from>
      <xdr:col>5</xdr:col>
      <xdr:colOff>85725</xdr:colOff>
      <xdr:row>13</xdr:row>
      <xdr:rowOff>47625</xdr:rowOff>
    </xdr:from>
    <xdr:to>
      <xdr:col>5</xdr:col>
      <xdr:colOff>657225</xdr:colOff>
      <xdr:row>14</xdr:row>
      <xdr:rowOff>171450</xdr:rowOff>
    </xdr:to>
    <xdr:pic>
      <xdr:nvPicPr>
        <xdr:cNvPr id="4" name="图片 3" descr="未标题-1.png">
          <a:extLst>
            <a:ext uri="{FF2B5EF4-FFF2-40B4-BE49-F238E27FC236}">
              <a16:creationId xmlns:a16="http://schemas.microsoft.com/office/drawing/2014/main" id="{00000000-0008-0000-3900-000004000000}"/>
            </a:ext>
          </a:extLst>
        </xdr:cNvPr>
        <xdr:cNvPicPr>
          <a:picLocks noChangeAspect="1"/>
        </xdr:cNvPicPr>
      </xdr:nvPicPr>
      <xdr:blipFill>
        <a:blip xmlns:r="http://schemas.openxmlformats.org/officeDocument/2006/relationships" r:embed="rId3" cstate="print"/>
        <a:stretch>
          <a:fillRect/>
        </a:stretch>
      </xdr:blipFill>
      <xdr:spPr>
        <a:xfrm>
          <a:off x="5962650" y="2657475"/>
          <a:ext cx="571500" cy="333375"/>
        </a:xfrm>
        <a:prstGeom prst="rect">
          <a:avLst/>
        </a:prstGeom>
      </xdr:spPr>
    </xdr:pic>
    <xdr:clientData/>
  </xdr:twoCellAnchor>
  <xdr:twoCellAnchor editAs="oneCell">
    <xdr:from>
      <xdr:col>5</xdr:col>
      <xdr:colOff>66675</xdr:colOff>
      <xdr:row>15</xdr:row>
      <xdr:rowOff>76200</xdr:rowOff>
    </xdr:from>
    <xdr:to>
      <xdr:col>5</xdr:col>
      <xdr:colOff>704850</xdr:colOff>
      <xdr:row>16</xdr:row>
      <xdr:rowOff>200025</xdr:rowOff>
    </xdr:to>
    <xdr:pic>
      <xdr:nvPicPr>
        <xdr:cNvPr id="5" name="图片 4" descr="未标题-1.png">
          <a:extLst>
            <a:ext uri="{FF2B5EF4-FFF2-40B4-BE49-F238E27FC236}">
              <a16:creationId xmlns:a16="http://schemas.microsoft.com/office/drawing/2014/main" id="{00000000-0008-0000-3900-000005000000}"/>
            </a:ext>
          </a:extLst>
        </xdr:cNvPr>
        <xdr:cNvPicPr>
          <a:picLocks noChangeAspect="1"/>
        </xdr:cNvPicPr>
      </xdr:nvPicPr>
      <xdr:blipFill>
        <a:blip xmlns:r="http://schemas.openxmlformats.org/officeDocument/2006/relationships" r:embed="rId4" cstate="print"/>
        <a:stretch>
          <a:fillRect/>
        </a:stretch>
      </xdr:blipFill>
      <xdr:spPr>
        <a:xfrm>
          <a:off x="5943600" y="3105150"/>
          <a:ext cx="638175" cy="333375"/>
        </a:xfrm>
        <a:prstGeom prst="rect">
          <a:avLst/>
        </a:prstGeom>
      </xdr:spPr>
    </xdr:pic>
    <xdr:clientData/>
  </xdr:twoCellAnchor>
  <xdr:twoCellAnchor editAs="oneCell">
    <xdr:from>
      <xdr:col>5</xdr:col>
      <xdr:colOff>76200</xdr:colOff>
      <xdr:row>17</xdr:row>
      <xdr:rowOff>57150</xdr:rowOff>
    </xdr:from>
    <xdr:to>
      <xdr:col>5</xdr:col>
      <xdr:colOff>714375</xdr:colOff>
      <xdr:row>18</xdr:row>
      <xdr:rowOff>180975</xdr:rowOff>
    </xdr:to>
    <xdr:pic>
      <xdr:nvPicPr>
        <xdr:cNvPr id="6" name="图片 5" descr="未标题-1.png">
          <a:extLst>
            <a:ext uri="{FF2B5EF4-FFF2-40B4-BE49-F238E27FC236}">
              <a16:creationId xmlns:a16="http://schemas.microsoft.com/office/drawing/2014/main" id="{00000000-0008-0000-3900-000006000000}"/>
            </a:ext>
          </a:extLst>
        </xdr:cNvPr>
        <xdr:cNvPicPr>
          <a:picLocks noChangeAspect="1"/>
        </xdr:cNvPicPr>
      </xdr:nvPicPr>
      <xdr:blipFill>
        <a:blip xmlns:r="http://schemas.openxmlformats.org/officeDocument/2006/relationships" r:embed="rId5" cstate="print"/>
        <a:stretch>
          <a:fillRect/>
        </a:stretch>
      </xdr:blipFill>
      <xdr:spPr>
        <a:xfrm>
          <a:off x="5953125" y="3505200"/>
          <a:ext cx="638175" cy="333375"/>
        </a:xfrm>
        <a:prstGeom prst="rect">
          <a:avLst/>
        </a:prstGeom>
      </xdr:spPr>
    </xdr:pic>
    <xdr:clientData/>
  </xdr:twoCellAnchor>
  <xdr:twoCellAnchor editAs="oneCell">
    <xdr:from>
      <xdr:col>5</xdr:col>
      <xdr:colOff>57150</xdr:colOff>
      <xdr:row>19</xdr:row>
      <xdr:rowOff>133350</xdr:rowOff>
    </xdr:from>
    <xdr:to>
      <xdr:col>5</xdr:col>
      <xdr:colOff>447675</xdr:colOff>
      <xdr:row>20</xdr:row>
      <xdr:rowOff>95250</xdr:rowOff>
    </xdr:to>
    <xdr:pic>
      <xdr:nvPicPr>
        <xdr:cNvPr id="7" name="图片 6" descr="未标题-1.png">
          <a:extLst>
            <a:ext uri="{FF2B5EF4-FFF2-40B4-BE49-F238E27FC236}">
              <a16:creationId xmlns:a16="http://schemas.microsoft.com/office/drawing/2014/main" id="{00000000-0008-0000-3900-000007000000}"/>
            </a:ext>
          </a:extLst>
        </xdr:cNvPr>
        <xdr:cNvPicPr>
          <a:picLocks noChangeAspect="1"/>
        </xdr:cNvPicPr>
      </xdr:nvPicPr>
      <xdr:blipFill>
        <a:blip xmlns:r="http://schemas.openxmlformats.org/officeDocument/2006/relationships" r:embed="rId6" cstate="print"/>
        <a:stretch>
          <a:fillRect/>
        </a:stretch>
      </xdr:blipFill>
      <xdr:spPr>
        <a:xfrm>
          <a:off x="5934075" y="4000500"/>
          <a:ext cx="390525" cy="171450"/>
        </a:xfrm>
        <a:prstGeom prst="rect">
          <a:avLst/>
        </a:prstGeom>
      </xdr:spPr>
    </xdr:pic>
    <xdr:clientData/>
  </xdr:twoCellAnchor>
  <xdr:twoCellAnchor editAs="oneCell">
    <xdr:from>
      <xdr:col>5</xdr:col>
      <xdr:colOff>47625</xdr:colOff>
      <xdr:row>21</xdr:row>
      <xdr:rowOff>104775</xdr:rowOff>
    </xdr:from>
    <xdr:to>
      <xdr:col>5</xdr:col>
      <xdr:colOff>428625</xdr:colOff>
      <xdr:row>22</xdr:row>
      <xdr:rowOff>85725</xdr:rowOff>
    </xdr:to>
    <xdr:pic>
      <xdr:nvPicPr>
        <xdr:cNvPr id="8" name="图片 7" descr="未标题-1.png">
          <a:extLst>
            <a:ext uri="{FF2B5EF4-FFF2-40B4-BE49-F238E27FC236}">
              <a16:creationId xmlns:a16="http://schemas.microsoft.com/office/drawing/2014/main" id="{00000000-0008-0000-3900-000008000000}"/>
            </a:ext>
          </a:extLst>
        </xdr:cNvPr>
        <xdr:cNvPicPr>
          <a:picLocks noChangeAspect="1"/>
        </xdr:cNvPicPr>
      </xdr:nvPicPr>
      <xdr:blipFill>
        <a:blip xmlns:r="http://schemas.openxmlformats.org/officeDocument/2006/relationships" r:embed="rId7" cstate="print"/>
        <a:stretch>
          <a:fillRect/>
        </a:stretch>
      </xdr:blipFill>
      <xdr:spPr>
        <a:xfrm>
          <a:off x="5924550" y="4391025"/>
          <a:ext cx="381000" cy="190500"/>
        </a:xfrm>
        <a:prstGeom prst="rect">
          <a:avLst/>
        </a:prstGeom>
      </xdr:spPr>
    </xdr:pic>
    <xdr:clientData/>
  </xdr:twoCellAnchor>
  <xdr:twoCellAnchor editAs="oneCell">
    <xdr:from>
      <xdr:col>5</xdr:col>
      <xdr:colOff>57150</xdr:colOff>
      <xdr:row>23</xdr:row>
      <xdr:rowOff>57150</xdr:rowOff>
    </xdr:from>
    <xdr:to>
      <xdr:col>5</xdr:col>
      <xdr:colOff>419100</xdr:colOff>
      <xdr:row>24</xdr:row>
      <xdr:rowOff>171450</xdr:rowOff>
    </xdr:to>
    <xdr:pic>
      <xdr:nvPicPr>
        <xdr:cNvPr id="9" name="图片 8" descr="未标题-1.png">
          <a:extLst>
            <a:ext uri="{FF2B5EF4-FFF2-40B4-BE49-F238E27FC236}">
              <a16:creationId xmlns:a16="http://schemas.microsoft.com/office/drawing/2014/main" id="{00000000-0008-0000-3900-000009000000}"/>
            </a:ext>
          </a:extLst>
        </xdr:cNvPr>
        <xdr:cNvPicPr>
          <a:picLocks noChangeAspect="1"/>
        </xdr:cNvPicPr>
      </xdr:nvPicPr>
      <xdr:blipFill>
        <a:blip xmlns:r="http://schemas.openxmlformats.org/officeDocument/2006/relationships" r:embed="rId8" cstate="print"/>
        <a:stretch>
          <a:fillRect/>
        </a:stretch>
      </xdr:blipFill>
      <xdr:spPr>
        <a:xfrm>
          <a:off x="5934075" y="4762500"/>
          <a:ext cx="361950" cy="323850"/>
        </a:xfrm>
        <a:prstGeom prst="rect">
          <a:avLst/>
        </a:prstGeom>
      </xdr:spPr>
    </xdr:pic>
    <xdr:clientData/>
  </xdr:twoCellAnchor>
  <xdr:twoCellAnchor editAs="oneCell">
    <xdr:from>
      <xdr:col>5</xdr:col>
      <xdr:colOff>76200</xdr:colOff>
      <xdr:row>25</xdr:row>
      <xdr:rowOff>76200</xdr:rowOff>
    </xdr:from>
    <xdr:to>
      <xdr:col>5</xdr:col>
      <xdr:colOff>438150</xdr:colOff>
      <xdr:row>26</xdr:row>
      <xdr:rowOff>161925</xdr:rowOff>
    </xdr:to>
    <xdr:pic>
      <xdr:nvPicPr>
        <xdr:cNvPr id="10" name="图片 9" descr="未标题-1.png">
          <a:extLst>
            <a:ext uri="{FF2B5EF4-FFF2-40B4-BE49-F238E27FC236}">
              <a16:creationId xmlns:a16="http://schemas.microsoft.com/office/drawing/2014/main" id="{00000000-0008-0000-3900-00000A000000}"/>
            </a:ext>
          </a:extLst>
        </xdr:cNvPr>
        <xdr:cNvPicPr>
          <a:picLocks noChangeAspect="1"/>
        </xdr:cNvPicPr>
      </xdr:nvPicPr>
      <xdr:blipFill>
        <a:blip xmlns:r="http://schemas.openxmlformats.org/officeDocument/2006/relationships" r:embed="rId9" cstate="print"/>
        <a:stretch>
          <a:fillRect/>
        </a:stretch>
      </xdr:blipFill>
      <xdr:spPr>
        <a:xfrm>
          <a:off x="5953125" y="5200650"/>
          <a:ext cx="361950" cy="29527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1" name="五边形 1">
          <a:hlinkClick xmlns:r="http://schemas.openxmlformats.org/officeDocument/2006/relationships" r:id="rId10"/>
          <a:extLst>
            <a:ext uri="{FF2B5EF4-FFF2-40B4-BE49-F238E27FC236}">
              <a16:creationId xmlns:a16="http://schemas.microsoft.com/office/drawing/2014/main" id="{00000000-0008-0000-3900-00000B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66675</xdr:colOff>
      <xdr:row>10</xdr:row>
      <xdr:rowOff>85726</xdr:rowOff>
    </xdr:from>
    <xdr:to>
      <xdr:col>4</xdr:col>
      <xdr:colOff>0</xdr:colOff>
      <xdr:row>20</xdr:row>
      <xdr:rowOff>170816</xdr:rowOff>
    </xdr:to>
    <xdr:pic>
      <xdr:nvPicPr>
        <xdr:cNvPr id="2" name="图片 1" descr="未标题-1.png">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cstate="print"/>
        <a:stretch>
          <a:fillRect/>
        </a:stretch>
      </xdr:blipFill>
      <xdr:spPr>
        <a:xfrm>
          <a:off x="2286000" y="2066925"/>
          <a:ext cx="1666875" cy="2180590"/>
        </a:xfrm>
        <a:prstGeom prst="rect">
          <a:avLst/>
        </a:prstGeom>
      </xdr:spPr>
    </xdr:pic>
    <xdr:clientData/>
  </xdr:twoCellAnchor>
  <xdr:twoCellAnchor editAs="oneCell">
    <xdr:from>
      <xdr:col>5</xdr:col>
      <xdr:colOff>142875</xdr:colOff>
      <xdr:row>9</xdr:row>
      <xdr:rowOff>133350</xdr:rowOff>
    </xdr:from>
    <xdr:to>
      <xdr:col>5</xdr:col>
      <xdr:colOff>542925</xdr:colOff>
      <xdr:row>10</xdr:row>
      <xdr:rowOff>66675</xdr:rowOff>
    </xdr:to>
    <xdr:pic>
      <xdr:nvPicPr>
        <xdr:cNvPr id="3" name="图片 2" descr="未标题-1.png">
          <a:extLst>
            <a:ext uri="{FF2B5EF4-FFF2-40B4-BE49-F238E27FC236}">
              <a16:creationId xmlns:a16="http://schemas.microsoft.com/office/drawing/2014/main" id="{00000000-0008-0000-3A00-000003000000}"/>
            </a:ext>
          </a:extLst>
        </xdr:cNvPr>
        <xdr:cNvPicPr>
          <a:picLocks noChangeAspect="1"/>
        </xdr:cNvPicPr>
      </xdr:nvPicPr>
      <xdr:blipFill>
        <a:blip xmlns:r="http://schemas.openxmlformats.org/officeDocument/2006/relationships" r:embed="rId2" cstate="print"/>
        <a:stretch>
          <a:fillRect/>
        </a:stretch>
      </xdr:blipFill>
      <xdr:spPr>
        <a:xfrm>
          <a:off x="6019800" y="1866900"/>
          <a:ext cx="400050" cy="180975"/>
        </a:xfrm>
        <a:prstGeom prst="rect">
          <a:avLst/>
        </a:prstGeom>
      </xdr:spPr>
    </xdr:pic>
    <xdr:clientData/>
  </xdr:twoCellAnchor>
  <xdr:twoCellAnchor editAs="oneCell">
    <xdr:from>
      <xdr:col>5</xdr:col>
      <xdr:colOff>104775</xdr:colOff>
      <xdr:row>11</xdr:row>
      <xdr:rowOff>38100</xdr:rowOff>
    </xdr:from>
    <xdr:to>
      <xdr:col>5</xdr:col>
      <xdr:colOff>485775</xdr:colOff>
      <xdr:row>12</xdr:row>
      <xdr:rowOff>161925</xdr:rowOff>
    </xdr:to>
    <xdr:pic>
      <xdr:nvPicPr>
        <xdr:cNvPr id="4" name="图片 3" descr="未标题-1.png">
          <a:extLst>
            <a:ext uri="{FF2B5EF4-FFF2-40B4-BE49-F238E27FC236}">
              <a16:creationId xmlns:a16="http://schemas.microsoft.com/office/drawing/2014/main" id="{00000000-0008-0000-3A00-000004000000}"/>
            </a:ext>
          </a:extLst>
        </xdr:cNvPr>
        <xdr:cNvPicPr>
          <a:picLocks noChangeAspect="1"/>
        </xdr:cNvPicPr>
      </xdr:nvPicPr>
      <xdr:blipFill>
        <a:blip xmlns:r="http://schemas.openxmlformats.org/officeDocument/2006/relationships" r:embed="rId3" cstate="print"/>
        <a:stretch>
          <a:fillRect/>
        </a:stretch>
      </xdr:blipFill>
      <xdr:spPr>
        <a:xfrm>
          <a:off x="5981700" y="2228850"/>
          <a:ext cx="381000" cy="333375"/>
        </a:xfrm>
        <a:prstGeom prst="rect">
          <a:avLst/>
        </a:prstGeom>
      </xdr:spPr>
    </xdr:pic>
    <xdr:clientData/>
  </xdr:twoCellAnchor>
  <xdr:twoCellAnchor editAs="oneCell">
    <xdr:from>
      <xdr:col>5</xdr:col>
      <xdr:colOff>76200</xdr:colOff>
      <xdr:row>13</xdr:row>
      <xdr:rowOff>57150</xdr:rowOff>
    </xdr:from>
    <xdr:to>
      <xdr:col>5</xdr:col>
      <xdr:colOff>561975</xdr:colOff>
      <xdr:row>14</xdr:row>
      <xdr:rowOff>190500</xdr:rowOff>
    </xdr:to>
    <xdr:pic>
      <xdr:nvPicPr>
        <xdr:cNvPr id="5" name="图片 4" descr="未标题-1.png">
          <a:extLst>
            <a:ext uri="{FF2B5EF4-FFF2-40B4-BE49-F238E27FC236}">
              <a16:creationId xmlns:a16="http://schemas.microsoft.com/office/drawing/2014/main" id="{00000000-0008-0000-3A00-000005000000}"/>
            </a:ext>
          </a:extLst>
        </xdr:cNvPr>
        <xdr:cNvPicPr>
          <a:picLocks noChangeAspect="1"/>
        </xdr:cNvPicPr>
      </xdr:nvPicPr>
      <xdr:blipFill>
        <a:blip xmlns:r="http://schemas.openxmlformats.org/officeDocument/2006/relationships" r:embed="rId4" cstate="print"/>
        <a:stretch>
          <a:fillRect/>
        </a:stretch>
      </xdr:blipFill>
      <xdr:spPr>
        <a:xfrm>
          <a:off x="5953125" y="2667000"/>
          <a:ext cx="485775" cy="342900"/>
        </a:xfrm>
        <a:prstGeom prst="rect">
          <a:avLst/>
        </a:prstGeom>
      </xdr:spPr>
    </xdr:pic>
    <xdr:clientData/>
  </xdr:twoCellAnchor>
  <xdr:twoCellAnchor editAs="oneCell">
    <xdr:from>
      <xdr:col>5</xdr:col>
      <xdr:colOff>66675</xdr:colOff>
      <xdr:row>15</xdr:row>
      <xdr:rowOff>133350</xdr:rowOff>
    </xdr:from>
    <xdr:to>
      <xdr:col>6</xdr:col>
      <xdr:colOff>0</xdr:colOff>
      <xdr:row>16</xdr:row>
      <xdr:rowOff>104775</xdr:rowOff>
    </xdr:to>
    <xdr:pic>
      <xdr:nvPicPr>
        <xdr:cNvPr id="6" name="图片 5" descr="未标题-1.png">
          <a:extLst>
            <a:ext uri="{FF2B5EF4-FFF2-40B4-BE49-F238E27FC236}">
              <a16:creationId xmlns:a16="http://schemas.microsoft.com/office/drawing/2014/main" id="{00000000-0008-0000-3A00-000006000000}"/>
            </a:ext>
          </a:extLst>
        </xdr:cNvPr>
        <xdr:cNvPicPr>
          <a:picLocks noChangeAspect="1"/>
        </xdr:cNvPicPr>
      </xdr:nvPicPr>
      <xdr:blipFill>
        <a:blip xmlns:r="http://schemas.openxmlformats.org/officeDocument/2006/relationships" r:embed="rId5" cstate="print"/>
        <a:stretch>
          <a:fillRect/>
        </a:stretch>
      </xdr:blipFill>
      <xdr:spPr>
        <a:xfrm>
          <a:off x="5943600" y="3162300"/>
          <a:ext cx="904875" cy="180975"/>
        </a:xfrm>
        <a:prstGeom prst="rect">
          <a:avLst/>
        </a:prstGeom>
      </xdr:spPr>
    </xdr:pic>
    <xdr:clientData/>
  </xdr:twoCellAnchor>
  <xdr:twoCellAnchor editAs="oneCell">
    <xdr:from>
      <xdr:col>5</xdr:col>
      <xdr:colOff>85725</xdr:colOff>
      <xdr:row>17</xdr:row>
      <xdr:rowOff>66675</xdr:rowOff>
    </xdr:from>
    <xdr:to>
      <xdr:col>5</xdr:col>
      <xdr:colOff>476250</xdr:colOff>
      <xdr:row>18</xdr:row>
      <xdr:rowOff>152400</xdr:rowOff>
    </xdr:to>
    <xdr:pic>
      <xdr:nvPicPr>
        <xdr:cNvPr id="7" name="图片 6" descr="未标题-1.png">
          <a:extLst>
            <a:ext uri="{FF2B5EF4-FFF2-40B4-BE49-F238E27FC236}">
              <a16:creationId xmlns:a16="http://schemas.microsoft.com/office/drawing/2014/main" id="{00000000-0008-0000-3A00-000007000000}"/>
            </a:ext>
          </a:extLst>
        </xdr:cNvPr>
        <xdr:cNvPicPr>
          <a:picLocks noChangeAspect="1"/>
        </xdr:cNvPicPr>
      </xdr:nvPicPr>
      <xdr:blipFill>
        <a:blip xmlns:r="http://schemas.openxmlformats.org/officeDocument/2006/relationships" r:embed="rId6" cstate="print"/>
        <a:stretch>
          <a:fillRect/>
        </a:stretch>
      </xdr:blipFill>
      <xdr:spPr>
        <a:xfrm>
          <a:off x="5962650" y="3514725"/>
          <a:ext cx="390525" cy="295275"/>
        </a:xfrm>
        <a:prstGeom prst="rect">
          <a:avLst/>
        </a:prstGeom>
      </xdr:spPr>
    </xdr:pic>
    <xdr:clientData/>
  </xdr:twoCellAnchor>
  <xdr:twoCellAnchor editAs="oneCell">
    <xdr:from>
      <xdr:col>5</xdr:col>
      <xdr:colOff>66675</xdr:colOff>
      <xdr:row>19</xdr:row>
      <xdr:rowOff>133350</xdr:rowOff>
    </xdr:from>
    <xdr:to>
      <xdr:col>5</xdr:col>
      <xdr:colOff>895350</xdr:colOff>
      <xdr:row>20</xdr:row>
      <xdr:rowOff>95250</xdr:rowOff>
    </xdr:to>
    <xdr:pic>
      <xdr:nvPicPr>
        <xdr:cNvPr id="8" name="图片 7" descr="未标题-1.png">
          <a:extLst>
            <a:ext uri="{FF2B5EF4-FFF2-40B4-BE49-F238E27FC236}">
              <a16:creationId xmlns:a16="http://schemas.microsoft.com/office/drawing/2014/main" id="{00000000-0008-0000-3A00-000008000000}"/>
            </a:ext>
          </a:extLst>
        </xdr:cNvPr>
        <xdr:cNvPicPr>
          <a:picLocks noChangeAspect="1"/>
        </xdr:cNvPicPr>
      </xdr:nvPicPr>
      <xdr:blipFill>
        <a:blip xmlns:r="http://schemas.openxmlformats.org/officeDocument/2006/relationships" r:embed="rId7" cstate="print"/>
        <a:stretch>
          <a:fillRect/>
        </a:stretch>
      </xdr:blipFill>
      <xdr:spPr>
        <a:xfrm>
          <a:off x="5943600" y="4000500"/>
          <a:ext cx="828675" cy="171450"/>
        </a:xfrm>
        <a:prstGeom prst="rect">
          <a:avLst/>
        </a:prstGeom>
      </xdr:spPr>
    </xdr:pic>
    <xdr:clientData/>
  </xdr:twoCellAnchor>
  <xdr:twoCellAnchor editAs="oneCell">
    <xdr:from>
      <xdr:col>5</xdr:col>
      <xdr:colOff>28575</xdr:colOff>
      <xdr:row>21</xdr:row>
      <xdr:rowOff>85725</xdr:rowOff>
    </xdr:from>
    <xdr:to>
      <xdr:col>5</xdr:col>
      <xdr:colOff>495300</xdr:colOff>
      <xdr:row>22</xdr:row>
      <xdr:rowOff>198120</xdr:rowOff>
    </xdr:to>
    <xdr:pic>
      <xdr:nvPicPr>
        <xdr:cNvPr id="9" name="图片 8" descr="未标题-1.png">
          <a:extLst>
            <a:ext uri="{FF2B5EF4-FFF2-40B4-BE49-F238E27FC236}">
              <a16:creationId xmlns:a16="http://schemas.microsoft.com/office/drawing/2014/main" id="{00000000-0008-0000-3A00-000009000000}"/>
            </a:ext>
          </a:extLst>
        </xdr:cNvPr>
        <xdr:cNvPicPr>
          <a:picLocks noChangeAspect="1"/>
        </xdr:cNvPicPr>
      </xdr:nvPicPr>
      <xdr:blipFill>
        <a:blip xmlns:r="http://schemas.openxmlformats.org/officeDocument/2006/relationships" r:embed="rId8" cstate="print"/>
        <a:stretch>
          <a:fillRect/>
        </a:stretch>
      </xdr:blipFill>
      <xdr:spPr>
        <a:xfrm>
          <a:off x="5905500" y="4371975"/>
          <a:ext cx="466725" cy="32194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0" name="五边形 1">
          <a:hlinkClick xmlns:r="http://schemas.openxmlformats.org/officeDocument/2006/relationships" r:id="rId9"/>
          <a:extLst>
            <a:ext uri="{FF2B5EF4-FFF2-40B4-BE49-F238E27FC236}">
              <a16:creationId xmlns:a16="http://schemas.microsoft.com/office/drawing/2014/main" id="{00000000-0008-0000-3A00-00000A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716280</xdr:colOff>
      <xdr:row>9</xdr:row>
      <xdr:rowOff>219075</xdr:rowOff>
    </xdr:from>
    <xdr:to>
      <xdr:col>4</xdr:col>
      <xdr:colOff>15875</xdr:colOff>
      <xdr:row>18</xdr:row>
      <xdr:rowOff>152400</xdr:rowOff>
    </xdr:to>
    <xdr:pic>
      <xdr:nvPicPr>
        <xdr:cNvPr id="2" name="图片 1" descr="未标题-1.png">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cstate="print"/>
        <a:stretch>
          <a:fillRect/>
        </a:stretch>
      </xdr:blipFill>
      <xdr:spPr>
        <a:xfrm>
          <a:off x="2219325" y="1952625"/>
          <a:ext cx="1654175" cy="1857375"/>
        </a:xfrm>
        <a:prstGeom prst="rect">
          <a:avLst/>
        </a:prstGeom>
      </xdr:spPr>
    </xdr:pic>
    <xdr:clientData/>
  </xdr:twoCellAnchor>
  <xdr:twoCellAnchor editAs="oneCell">
    <xdr:from>
      <xdr:col>5</xdr:col>
      <xdr:colOff>85725</xdr:colOff>
      <xdr:row>9</xdr:row>
      <xdr:rowOff>85725</xdr:rowOff>
    </xdr:from>
    <xdr:to>
      <xdr:col>5</xdr:col>
      <xdr:colOff>590550</xdr:colOff>
      <xdr:row>10</xdr:row>
      <xdr:rowOff>123825</xdr:rowOff>
    </xdr:to>
    <xdr:pic>
      <xdr:nvPicPr>
        <xdr:cNvPr id="3" name="图片 2" descr="未标题-1.png">
          <a:extLst>
            <a:ext uri="{FF2B5EF4-FFF2-40B4-BE49-F238E27FC236}">
              <a16:creationId xmlns:a16="http://schemas.microsoft.com/office/drawing/2014/main" id="{00000000-0008-0000-3B00-000003000000}"/>
            </a:ext>
          </a:extLst>
        </xdr:cNvPr>
        <xdr:cNvPicPr>
          <a:picLocks noChangeAspect="1"/>
        </xdr:cNvPicPr>
      </xdr:nvPicPr>
      <xdr:blipFill>
        <a:blip xmlns:r="http://schemas.openxmlformats.org/officeDocument/2006/relationships" r:embed="rId2" cstate="print"/>
        <a:stretch>
          <a:fillRect/>
        </a:stretch>
      </xdr:blipFill>
      <xdr:spPr>
        <a:xfrm>
          <a:off x="5800725" y="1819275"/>
          <a:ext cx="504825" cy="285750"/>
        </a:xfrm>
        <a:prstGeom prst="rect">
          <a:avLst/>
        </a:prstGeom>
      </xdr:spPr>
    </xdr:pic>
    <xdr:clientData/>
  </xdr:twoCellAnchor>
  <xdr:twoCellAnchor editAs="oneCell">
    <xdr:from>
      <xdr:col>5</xdr:col>
      <xdr:colOff>38100</xdr:colOff>
      <xdr:row>11</xdr:row>
      <xdr:rowOff>85725</xdr:rowOff>
    </xdr:from>
    <xdr:to>
      <xdr:col>5</xdr:col>
      <xdr:colOff>914400</xdr:colOff>
      <xdr:row>12</xdr:row>
      <xdr:rowOff>161925</xdr:rowOff>
    </xdr:to>
    <xdr:pic>
      <xdr:nvPicPr>
        <xdr:cNvPr id="4" name="图片 3" descr="未标题-1.png">
          <a:extLst>
            <a:ext uri="{FF2B5EF4-FFF2-40B4-BE49-F238E27FC236}">
              <a16:creationId xmlns:a16="http://schemas.microsoft.com/office/drawing/2014/main" id="{00000000-0008-0000-3B00-000004000000}"/>
            </a:ext>
          </a:extLst>
        </xdr:cNvPr>
        <xdr:cNvPicPr>
          <a:picLocks noChangeAspect="1"/>
        </xdr:cNvPicPr>
      </xdr:nvPicPr>
      <xdr:blipFill>
        <a:blip xmlns:r="http://schemas.openxmlformats.org/officeDocument/2006/relationships" r:embed="rId3" cstate="print"/>
        <a:stretch>
          <a:fillRect/>
        </a:stretch>
      </xdr:blipFill>
      <xdr:spPr>
        <a:xfrm>
          <a:off x="5753100" y="2276475"/>
          <a:ext cx="876300" cy="285750"/>
        </a:xfrm>
        <a:prstGeom prst="rect">
          <a:avLst/>
        </a:prstGeom>
      </xdr:spPr>
    </xdr:pic>
    <xdr:clientData/>
  </xdr:twoCellAnchor>
  <xdr:twoCellAnchor editAs="oneCell">
    <xdr:from>
      <xdr:col>5</xdr:col>
      <xdr:colOff>66675</xdr:colOff>
      <xdr:row>13</xdr:row>
      <xdr:rowOff>28575</xdr:rowOff>
    </xdr:from>
    <xdr:to>
      <xdr:col>5</xdr:col>
      <xdr:colOff>571500</xdr:colOff>
      <xdr:row>14</xdr:row>
      <xdr:rowOff>161925</xdr:rowOff>
    </xdr:to>
    <xdr:pic>
      <xdr:nvPicPr>
        <xdr:cNvPr id="5" name="图片 4" descr="未标题-1.png">
          <a:extLst>
            <a:ext uri="{FF2B5EF4-FFF2-40B4-BE49-F238E27FC236}">
              <a16:creationId xmlns:a16="http://schemas.microsoft.com/office/drawing/2014/main" id="{00000000-0008-0000-3B00-000005000000}"/>
            </a:ext>
          </a:extLst>
        </xdr:cNvPr>
        <xdr:cNvPicPr>
          <a:picLocks noChangeAspect="1"/>
        </xdr:cNvPicPr>
      </xdr:nvPicPr>
      <xdr:blipFill>
        <a:blip xmlns:r="http://schemas.openxmlformats.org/officeDocument/2006/relationships" r:embed="rId4" cstate="print"/>
        <a:stretch>
          <a:fillRect/>
        </a:stretch>
      </xdr:blipFill>
      <xdr:spPr>
        <a:xfrm>
          <a:off x="5781675" y="2638425"/>
          <a:ext cx="504825" cy="342900"/>
        </a:xfrm>
        <a:prstGeom prst="rect">
          <a:avLst/>
        </a:prstGeom>
      </xdr:spPr>
    </xdr:pic>
    <xdr:clientData/>
  </xdr:twoCellAnchor>
  <xdr:twoCellAnchor editAs="oneCell">
    <xdr:from>
      <xdr:col>5</xdr:col>
      <xdr:colOff>57150</xdr:colOff>
      <xdr:row>15</xdr:row>
      <xdr:rowOff>95250</xdr:rowOff>
    </xdr:from>
    <xdr:to>
      <xdr:col>5</xdr:col>
      <xdr:colOff>676275</xdr:colOff>
      <xdr:row>16</xdr:row>
      <xdr:rowOff>171450</xdr:rowOff>
    </xdr:to>
    <xdr:pic>
      <xdr:nvPicPr>
        <xdr:cNvPr id="6" name="图片 5" descr="未标题-1.png">
          <a:extLst>
            <a:ext uri="{FF2B5EF4-FFF2-40B4-BE49-F238E27FC236}">
              <a16:creationId xmlns:a16="http://schemas.microsoft.com/office/drawing/2014/main" id="{00000000-0008-0000-3B00-000006000000}"/>
            </a:ext>
          </a:extLst>
        </xdr:cNvPr>
        <xdr:cNvPicPr>
          <a:picLocks noChangeAspect="1"/>
        </xdr:cNvPicPr>
      </xdr:nvPicPr>
      <xdr:blipFill>
        <a:blip xmlns:r="http://schemas.openxmlformats.org/officeDocument/2006/relationships" r:embed="rId5" cstate="print"/>
        <a:stretch>
          <a:fillRect/>
        </a:stretch>
      </xdr:blipFill>
      <xdr:spPr>
        <a:xfrm>
          <a:off x="5772150" y="3124200"/>
          <a:ext cx="619125" cy="285750"/>
        </a:xfrm>
        <a:prstGeom prst="rect">
          <a:avLst/>
        </a:prstGeom>
      </xdr:spPr>
    </xdr:pic>
    <xdr:clientData/>
  </xdr:twoCellAnchor>
  <xdr:twoCellAnchor editAs="oneCell">
    <xdr:from>
      <xdr:col>5</xdr:col>
      <xdr:colOff>76200</xdr:colOff>
      <xdr:row>17</xdr:row>
      <xdr:rowOff>57150</xdr:rowOff>
    </xdr:from>
    <xdr:to>
      <xdr:col>5</xdr:col>
      <xdr:colOff>466725</xdr:colOff>
      <xdr:row>18</xdr:row>
      <xdr:rowOff>171450</xdr:rowOff>
    </xdr:to>
    <xdr:pic>
      <xdr:nvPicPr>
        <xdr:cNvPr id="7" name="图片 6" descr="未标题-1.png">
          <a:extLst>
            <a:ext uri="{FF2B5EF4-FFF2-40B4-BE49-F238E27FC236}">
              <a16:creationId xmlns:a16="http://schemas.microsoft.com/office/drawing/2014/main" id="{00000000-0008-0000-3B00-000007000000}"/>
            </a:ext>
          </a:extLst>
        </xdr:cNvPr>
        <xdr:cNvPicPr>
          <a:picLocks noChangeAspect="1"/>
        </xdr:cNvPicPr>
      </xdr:nvPicPr>
      <xdr:blipFill>
        <a:blip xmlns:r="http://schemas.openxmlformats.org/officeDocument/2006/relationships" r:embed="rId6" cstate="print"/>
        <a:stretch>
          <a:fillRect/>
        </a:stretch>
      </xdr:blipFill>
      <xdr:spPr>
        <a:xfrm>
          <a:off x="5791200" y="3505200"/>
          <a:ext cx="390525" cy="323850"/>
        </a:xfrm>
        <a:prstGeom prst="rect">
          <a:avLst/>
        </a:prstGeom>
      </xdr:spPr>
    </xdr:pic>
    <xdr:clientData/>
  </xdr:twoCellAnchor>
  <xdr:twoCellAnchor editAs="oneCell">
    <xdr:from>
      <xdr:col>5</xdr:col>
      <xdr:colOff>76200</xdr:colOff>
      <xdr:row>19</xdr:row>
      <xdr:rowOff>57150</xdr:rowOff>
    </xdr:from>
    <xdr:to>
      <xdr:col>5</xdr:col>
      <xdr:colOff>381000</xdr:colOff>
      <xdr:row>20</xdr:row>
      <xdr:rowOff>171450</xdr:rowOff>
    </xdr:to>
    <xdr:pic>
      <xdr:nvPicPr>
        <xdr:cNvPr id="8" name="图片 7" descr="未标题-1.png">
          <a:extLst>
            <a:ext uri="{FF2B5EF4-FFF2-40B4-BE49-F238E27FC236}">
              <a16:creationId xmlns:a16="http://schemas.microsoft.com/office/drawing/2014/main" id="{00000000-0008-0000-3B00-000008000000}"/>
            </a:ext>
          </a:extLst>
        </xdr:cNvPr>
        <xdr:cNvPicPr>
          <a:picLocks noChangeAspect="1"/>
        </xdr:cNvPicPr>
      </xdr:nvPicPr>
      <xdr:blipFill>
        <a:blip xmlns:r="http://schemas.openxmlformats.org/officeDocument/2006/relationships" r:embed="rId7" cstate="print"/>
        <a:stretch>
          <a:fillRect/>
        </a:stretch>
      </xdr:blipFill>
      <xdr:spPr>
        <a:xfrm>
          <a:off x="5791200" y="3924300"/>
          <a:ext cx="304800" cy="3238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9" name="五边形 1">
          <a:hlinkClick xmlns:r="http://schemas.openxmlformats.org/officeDocument/2006/relationships" r:id="rId8"/>
          <a:extLst>
            <a:ext uri="{FF2B5EF4-FFF2-40B4-BE49-F238E27FC236}">
              <a16:creationId xmlns:a16="http://schemas.microsoft.com/office/drawing/2014/main" id="{00000000-0008-0000-3B00-000009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3</xdr:col>
      <xdr:colOff>38100</xdr:colOff>
      <xdr:row>10</xdr:row>
      <xdr:rowOff>133350</xdr:rowOff>
    </xdr:from>
    <xdr:to>
      <xdr:col>4</xdr:col>
      <xdr:colOff>0</xdr:colOff>
      <xdr:row>20</xdr:row>
      <xdr:rowOff>85725</xdr:rowOff>
    </xdr:to>
    <xdr:pic>
      <xdr:nvPicPr>
        <xdr:cNvPr id="2" name="图片 1" descr="未标题-1.png">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cstate="print"/>
        <a:stretch>
          <a:fillRect/>
        </a:stretch>
      </xdr:blipFill>
      <xdr:spPr>
        <a:xfrm>
          <a:off x="2257425" y="2114550"/>
          <a:ext cx="1771650" cy="2105025"/>
        </a:xfrm>
        <a:prstGeom prst="rect">
          <a:avLst/>
        </a:prstGeom>
      </xdr:spPr>
    </xdr:pic>
    <xdr:clientData/>
  </xdr:twoCellAnchor>
  <xdr:twoCellAnchor editAs="oneCell">
    <xdr:from>
      <xdr:col>5</xdr:col>
      <xdr:colOff>85725</xdr:colOff>
      <xdr:row>9</xdr:row>
      <xdr:rowOff>66675</xdr:rowOff>
    </xdr:from>
    <xdr:to>
      <xdr:col>5</xdr:col>
      <xdr:colOff>1190625</xdr:colOff>
      <xdr:row>10</xdr:row>
      <xdr:rowOff>114300</xdr:rowOff>
    </xdr:to>
    <xdr:pic>
      <xdr:nvPicPr>
        <xdr:cNvPr id="3" name="图片 2" descr="未标题-1.png">
          <a:extLst>
            <a:ext uri="{FF2B5EF4-FFF2-40B4-BE49-F238E27FC236}">
              <a16:creationId xmlns:a16="http://schemas.microsoft.com/office/drawing/2014/main" id="{00000000-0008-0000-3C00-000003000000}"/>
            </a:ext>
          </a:extLst>
        </xdr:cNvPr>
        <xdr:cNvPicPr>
          <a:picLocks noChangeAspect="1"/>
        </xdr:cNvPicPr>
      </xdr:nvPicPr>
      <xdr:blipFill>
        <a:blip xmlns:r="http://schemas.openxmlformats.org/officeDocument/2006/relationships" r:embed="rId2" cstate="print"/>
        <a:stretch>
          <a:fillRect/>
        </a:stretch>
      </xdr:blipFill>
      <xdr:spPr>
        <a:xfrm>
          <a:off x="5972175" y="1800225"/>
          <a:ext cx="1104900" cy="295275"/>
        </a:xfrm>
        <a:prstGeom prst="rect">
          <a:avLst/>
        </a:prstGeom>
      </xdr:spPr>
    </xdr:pic>
    <xdr:clientData/>
  </xdr:twoCellAnchor>
  <xdr:twoCellAnchor editAs="oneCell">
    <xdr:from>
      <xdr:col>5</xdr:col>
      <xdr:colOff>57150</xdr:colOff>
      <xdr:row>11</xdr:row>
      <xdr:rowOff>28575</xdr:rowOff>
    </xdr:from>
    <xdr:to>
      <xdr:col>6</xdr:col>
      <xdr:colOff>0</xdr:colOff>
      <xdr:row>12</xdr:row>
      <xdr:rowOff>161925</xdr:rowOff>
    </xdr:to>
    <xdr:pic>
      <xdr:nvPicPr>
        <xdr:cNvPr id="4" name="图片 3" descr="未标题-1.png">
          <a:extLst>
            <a:ext uri="{FF2B5EF4-FFF2-40B4-BE49-F238E27FC236}">
              <a16:creationId xmlns:a16="http://schemas.microsoft.com/office/drawing/2014/main" id="{00000000-0008-0000-3C00-000004000000}"/>
            </a:ext>
          </a:extLst>
        </xdr:cNvPr>
        <xdr:cNvPicPr>
          <a:picLocks noChangeAspect="1"/>
        </xdr:cNvPicPr>
      </xdr:nvPicPr>
      <xdr:blipFill>
        <a:blip xmlns:r="http://schemas.openxmlformats.org/officeDocument/2006/relationships" r:embed="rId3" cstate="print"/>
        <a:stretch>
          <a:fillRect/>
        </a:stretch>
      </xdr:blipFill>
      <xdr:spPr>
        <a:xfrm>
          <a:off x="5943600" y="2219325"/>
          <a:ext cx="1533525" cy="342900"/>
        </a:xfrm>
        <a:prstGeom prst="rect">
          <a:avLst/>
        </a:prstGeom>
      </xdr:spPr>
    </xdr:pic>
    <xdr:clientData/>
  </xdr:twoCellAnchor>
  <xdr:twoCellAnchor editAs="oneCell">
    <xdr:from>
      <xdr:col>5</xdr:col>
      <xdr:colOff>66675</xdr:colOff>
      <xdr:row>13</xdr:row>
      <xdr:rowOff>95250</xdr:rowOff>
    </xdr:from>
    <xdr:to>
      <xdr:col>5</xdr:col>
      <xdr:colOff>933450</xdr:colOff>
      <xdr:row>14</xdr:row>
      <xdr:rowOff>66675</xdr:rowOff>
    </xdr:to>
    <xdr:pic>
      <xdr:nvPicPr>
        <xdr:cNvPr id="5" name="图片 4" descr="未标题-1.png">
          <a:extLst>
            <a:ext uri="{FF2B5EF4-FFF2-40B4-BE49-F238E27FC236}">
              <a16:creationId xmlns:a16="http://schemas.microsoft.com/office/drawing/2014/main" id="{00000000-0008-0000-3C00-000005000000}"/>
            </a:ext>
          </a:extLst>
        </xdr:cNvPr>
        <xdr:cNvPicPr>
          <a:picLocks noChangeAspect="1"/>
        </xdr:cNvPicPr>
      </xdr:nvPicPr>
      <xdr:blipFill>
        <a:blip xmlns:r="http://schemas.openxmlformats.org/officeDocument/2006/relationships" r:embed="rId4" cstate="print"/>
        <a:stretch>
          <a:fillRect/>
        </a:stretch>
      </xdr:blipFill>
      <xdr:spPr>
        <a:xfrm>
          <a:off x="5953125" y="2705100"/>
          <a:ext cx="866775" cy="180975"/>
        </a:xfrm>
        <a:prstGeom prst="rect">
          <a:avLst/>
        </a:prstGeom>
      </xdr:spPr>
    </xdr:pic>
    <xdr:clientData/>
  </xdr:twoCellAnchor>
  <xdr:twoCellAnchor editAs="oneCell">
    <xdr:from>
      <xdr:col>5</xdr:col>
      <xdr:colOff>66675</xdr:colOff>
      <xdr:row>15</xdr:row>
      <xdr:rowOff>38100</xdr:rowOff>
    </xdr:from>
    <xdr:to>
      <xdr:col>6</xdr:col>
      <xdr:colOff>0</xdr:colOff>
      <xdr:row>16</xdr:row>
      <xdr:rowOff>171450</xdr:rowOff>
    </xdr:to>
    <xdr:pic>
      <xdr:nvPicPr>
        <xdr:cNvPr id="6" name="图片 5" descr="未标题-1.png">
          <a:extLst>
            <a:ext uri="{FF2B5EF4-FFF2-40B4-BE49-F238E27FC236}">
              <a16:creationId xmlns:a16="http://schemas.microsoft.com/office/drawing/2014/main" id="{00000000-0008-0000-3C00-000006000000}"/>
            </a:ext>
          </a:extLst>
        </xdr:cNvPr>
        <xdr:cNvPicPr>
          <a:picLocks noChangeAspect="1"/>
        </xdr:cNvPicPr>
      </xdr:nvPicPr>
      <xdr:blipFill>
        <a:blip xmlns:r="http://schemas.openxmlformats.org/officeDocument/2006/relationships" r:embed="rId5" cstate="print"/>
        <a:stretch>
          <a:fillRect/>
        </a:stretch>
      </xdr:blipFill>
      <xdr:spPr>
        <a:xfrm>
          <a:off x="5953125" y="3067050"/>
          <a:ext cx="1524000" cy="342900"/>
        </a:xfrm>
        <a:prstGeom prst="rect">
          <a:avLst/>
        </a:prstGeom>
      </xdr:spPr>
    </xdr:pic>
    <xdr:clientData/>
  </xdr:twoCellAnchor>
  <xdr:twoCellAnchor editAs="oneCell">
    <xdr:from>
      <xdr:col>5</xdr:col>
      <xdr:colOff>66675</xdr:colOff>
      <xdr:row>17</xdr:row>
      <xdr:rowOff>38100</xdr:rowOff>
    </xdr:from>
    <xdr:to>
      <xdr:col>6</xdr:col>
      <xdr:colOff>0</xdr:colOff>
      <xdr:row>18</xdr:row>
      <xdr:rowOff>190500</xdr:rowOff>
    </xdr:to>
    <xdr:pic>
      <xdr:nvPicPr>
        <xdr:cNvPr id="7" name="图片 6" descr="未标题-1.png">
          <a:extLst>
            <a:ext uri="{FF2B5EF4-FFF2-40B4-BE49-F238E27FC236}">
              <a16:creationId xmlns:a16="http://schemas.microsoft.com/office/drawing/2014/main" id="{00000000-0008-0000-3C00-000007000000}"/>
            </a:ext>
          </a:extLst>
        </xdr:cNvPr>
        <xdr:cNvPicPr>
          <a:picLocks noChangeAspect="1"/>
        </xdr:cNvPicPr>
      </xdr:nvPicPr>
      <xdr:blipFill>
        <a:blip xmlns:r="http://schemas.openxmlformats.org/officeDocument/2006/relationships" r:embed="rId6" cstate="print"/>
        <a:stretch>
          <a:fillRect/>
        </a:stretch>
      </xdr:blipFill>
      <xdr:spPr>
        <a:xfrm>
          <a:off x="5953125" y="3486150"/>
          <a:ext cx="1524000" cy="361950"/>
        </a:xfrm>
        <a:prstGeom prst="rect">
          <a:avLst/>
        </a:prstGeom>
      </xdr:spPr>
    </xdr:pic>
    <xdr:clientData/>
  </xdr:twoCellAnchor>
  <xdr:twoCellAnchor editAs="oneCell">
    <xdr:from>
      <xdr:col>5</xdr:col>
      <xdr:colOff>38100</xdr:colOff>
      <xdr:row>19</xdr:row>
      <xdr:rowOff>9525</xdr:rowOff>
    </xdr:from>
    <xdr:to>
      <xdr:col>5</xdr:col>
      <xdr:colOff>523875</xdr:colOff>
      <xdr:row>21</xdr:row>
      <xdr:rowOff>28575</xdr:rowOff>
    </xdr:to>
    <xdr:pic>
      <xdr:nvPicPr>
        <xdr:cNvPr id="8" name="图片 7" descr="未标题-1.png">
          <a:extLst>
            <a:ext uri="{FF2B5EF4-FFF2-40B4-BE49-F238E27FC236}">
              <a16:creationId xmlns:a16="http://schemas.microsoft.com/office/drawing/2014/main" id="{00000000-0008-0000-3C00-000008000000}"/>
            </a:ext>
          </a:extLst>
        </xdr:cNvPr>
        <xdr:cNvPicPr>
          <a:picLocks noChangeAspect="1"/>
        </xdr:cNvPicPr>
      </xdr:nvPicPr>
      <xdr:blipFill>
        <a:blip xmlns:r="http://schemas.openxmlformats.org/officeDocument/2006/relationships" r:embed="rId7" cstate="print"/>
        <a:stretch>
          <a:fillRect/>
        </a:stretch>
      </xdr:blipFill>
      <xdr:spPr>
        <a:xfrm>
          <a:off x="5924550" y="3876675"/>
          <a:ext cx="485775" cy="495300"/>
        </a:xfrm>
        <a:prstGeom prst="rect">
          <a:avLst/>
        </a:prstGeom>
      </xdr:spPr>
    </xdr:pic>
    <xdr:clientData/>
  </xdr:twoCellAnchor>
  <xdr:twoCellAnchor editAs="oneCell">
    <xdr:from>
      <xdr:col>5</xdr:col>
      <xdr:colOff>47625</xdr:colOff>
      <xdr:row>21</xdr:row>
      <xdr:rowOff>19050</xdr:rowOff>
    </xdr:from>
    <xdr:to>
      <xdr:col>5</xdr:col>
      <xdr:colOff>542925</xdr:colOff>
      <xdr:row>23</xdr:row>
      <xdr:rowOff>9525</xdr:rowOff>
    </xdr:to>
    <xdr:pic>
      <xdr:nvPicPr>
        <xdr:cNvPr id="9" name="图片 8" descr="未标题-1.png">
          <a:extLst>
            <a:ext uri="{FF2B5EF4-FFF2-40B4-BE49-F238E27FC236}">
              <a16:creationId xmlns:a16="http://schemas.microsoft.com/office/drawing/2014/main" id="{00000000-0008-0000-3C00-000009000000}"/>
            </a:ext>
          </a:extLst>
        </xdr:cNvPr>
        <xdr:cNvPicPr>
          <a:picLocks noChangeAspect="1"/>
        </xdr:cNvPicPr>
      </xdr:nvPicPr>
      <xdr:blipFill>
        <a:blip xmlns:r="http://schemas.openxmlformats.org/officeDocument/2006/relationships" r:embed="rId8" cstate="print"/>
        <a:stretch>
          <a:fillRect/>
        </a:stretch>
      </xdr:blipFill>
      <xdr:spPr>
        <a:xfrm>
          <a:off x="5934075" y="4362450"/>
          <a:ext cx="495300" cy="49530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0" name="五边形 1">
          <a:hlinkClick xmlns:r="http://schemas.openxmlformats.org/officeDocument/2006/relationships" r:id="rId9"/>
          <a:extLst>
            <a:ext uri="{FF2B5EF4-FFF2-40B4-BE49-F238E27FC236}">
              <a16:creationId xmlns:a16="http://schemas.microsoft.com/office/drawing/2014/main" id="{00000000-0008-0000-3C00-00000A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57151</xdr:colOff>
      <xdr:row>13</xdr:row>
      <xdr:rowOff>0</xdr:rowOff>
    </xdr:from>
    <xdr:to>
      <xdr:col>4</xdr:col>
      <xdr:colOff>1</xdr:colOff>
      <xdr:row>23</xdr:row>
      <xdr:rowOff>62230</xdr:rowOff>
    </xdr:to>
    <xdr:pic>
      <xdr:nvPicPr>
        <xdr:cNvPr id="2" name="图片 1" descr="未标题-1.png">
          <a:extLst>
            <a:ext uri="{FF2B5EF4-FFF2-40B4-BE49-F238E27FC236}">
              <a16:creationId xmlns:a16="http://schemas.microsoft.com/office/drawing/2014/main" id="{00000000-0008-0000-3D00-000002000000}"/>
            </a:ext>
          </a:extLst>
        </xdr:cNvPr>
        <xdr:cNvPicPr>
          <a:picLocks noChangeAspect="1"/>
        </xdr:cNvPicPr>
      </xdr:nvPicPr>
      <xdr:blipFill>
        <a:blip xmlns:r="http://schemas.openxmlformats.org/officeDocument/2006/relationships" r:embed="rId1" cstate="print"/>
        <a:stretch>
          <a:fillRect/>
        </a:stretch>
      </xdr:blipFill>
      <xdr:spPr>
        <a:xfrm>
          <a:off x="2276475" y="2609850"/>
          <a:ext cx="1676400" cy="2157730"/>
        </a:xfrm>
        <a:prstGeom prst="rect">
          <a:avLst/>
        </a:prstGeom>
      </xdr:spPr>
    </xdr:pic>
    <xdr:clientData/>
  </xdr:twoCellAnchor>
  <xdr:twoCellAnchor editAs="oneCell">
    <xdr:from>
      <xdr:col>5</xdr:col>
      <xdr:colOff>66675</xdr:colOff>
      <xdr:row>9</xdr:row>
      <xdr:rowOff>57150</xdr:rowOff>
    </xdr:from>
    <xdr:to>
      <xdr:col>5</xdr:col>
      <xdr:colOff>609600</xdr:colOff>
      <xdr:row>10</xdr:row>
      <xdr:rowOff>152400</xdr:rowOff>
    </xdr:to>
    <xdr:pic>
      <xdr:nvPicPr>
        <xdr:cNvPr id="3" name="图片 2" descr="未标题-1.png">
          <a:extLst>
            <a:ext uri="{FF2B5EF4-FFF2-40B4-BE49-F238E27FC236}">
              <a16:creationId xmlns:a16="http://schemas.microsoft.com/office/drawing/2014/main" id="{00000000-0008-0000-3D00-000003000000}"/>
            </a:ext>
          </a:extLst>
        </xdr:cNvPr>
        <xdr:cNvPicPr>
          <a:picLocks noChangeAspect="1"/>
        </xdr:cNvPicPr>
      </xdr:nvPicPr>
      <xdr:blipFill>
        <a:blip xmlns:r="http://schemas.openxmlformats.org/officeDocument/2006/relationships" r:embed="rId2" cstate="print"/>
        <a:stretch>
          <a:fillRect/>
        </a:stretch>
      </xdr:blipFill>
      <xdr:spPr>
        <a:xfrm>
          <a:off x="5762625" y="1790700"/>
          <a:ext cx="542925" cy="342900"/>
        </a:xfrm>
        <a:prstGeom prst="rect">
          <a:avLst/>
        </a:prstGeom>
      </xdr:spPr>
    </xdr:pic>
    <xdr:clientData/>
  </xdr:twoCellAnchor>
  <xdr:twoCellAnchor editAs="oneCell">
    <xdr:from>
      <xdr:col>5</xdr:col>
      <xdr:colOff>66675</xdr:colOff>
      <xdr:row>11</xdr:row>
      <xdr:rowOff>95250</xdr:rowOff>
    </xdr:from>
    <xdr:to>
      <xdr:col>5</xdr:col>
      <xdr:colOff>571500</xdr:colOff>
      <xdr:row>12</xdr:row>
      <xdr:rowOff>180975</xdr:rowOff>
    </xdr:to>
    <xdr:pic>
      <xdr:nvPicPr>
        <xdr:cNvPr id="4" name="图片 3" descr="未标题-1.png">
          <a:extLst>
            <a:ext uri="{FF2B5EF4-FFF2-40B4-BE49-F238E27FC236}">
              <a16:creationId xmlns:a16="http://schemas.microsoft.com/office/drawing/2014/main" id="{00000000-0008-0000-3D00-000004000000}"/>
            </a:ext>
          </a:extLst>
        </xdr:cNvPr>
        <xdr:cNvPicPr>
          <a:picLocks noChangeAspect="1"/>
        </xdr:cNvPicPr>
      </xdr:nvPicPr>
      <xdr:blipFill>
        <a:blip xmlns:r="http://schemas.openxmlformats.org/officeDocument/2006/relationships" r:embed="rId3" cstate="print"/>
        <a:stretch>
          <a:fillRect/>
        </a:stretch>
      </xdr:blipFill>
      <xdr:spPr>
        <a:xfrm>
          <a:off x="5762625" y="2286000"/>
          <a:ext cx="504825" cy="295275"/>
        </a:xfrm>
        <a:prstGeom prst="rect">
          <a:avLst/>
        </a:prstGeom>
      </xdr:spPr>
    </xdr:pic>
    <xdr:clientData/>
  </xdr:twoCellAnchor>
  <xdr:twoCellAnchor editAs="oneCell">
    <xdr:from>
      <xdr:col>5</xdr:col>
      <xdr:colOff>57150</xdr:colOff>
      <xdr:row>13</xdr:row>
      <xdr:rowOff>85725</xdr:rowOff>
    </xdr:from>
    <xdr:to>
      <xdr:col>5</xdr:col>
      <xdr:colOff>742950</xdr:colOff>
      <xdr:row>14</xdr:row>
      <xdr:rowOff>171450</xdr:rowOff>
    </xdr:to>
    <xdr:pic>
      <xdr:nvPicPr>
        <xdr:cNvPr id="5" name="图片 4" descr="未标题-1.png">
          <a:extLst>
            <a:ext uri="{FF2B5EF4-FFF2-40B4-BE49-F238E27FC236}">
              <a16:creationId xmlns:a16="http://schemas.microsoft.com/office/drawing/2014/main" id="{00000000-0008-0000-3D00-000005000000}"/>
            </a:ext>
          </a:extLst>
        </xdr:cNvPr>
        <xdr:cNvPicPr>
          <a:picLocks noChangeAspect="1"/>
        </xdr:cNvPicPr>
      </xdr:nvPicPr>
      <xdr:blipFill>
        <a:blip xmlns:r="http://schemas.openxmlformats.org/officeDocument/2006/relationships" r:embed="rId4" cstate="print"/>
        <a:stretch>
          <a:fillRect/>
        </a:stretch>
      </xdr:blipFill>
      <xdr:spPr>
        <a:xfrm>
          <a:off x="5753100" y="2695575"/>
          <a:ext cx="685800" cy="295275"/>
        </a:xfrm>
        <a:prstGeom prst="rect">
          <a:avLst/>
        </a:prstGeom>
      </xdr:spPr>
    </xdr:pic>
    <xdr:clientData/>
  </xdr:twoCellAnchor>
  <xdr:twoCellAnchor editAs="oneCell">
    <xdr:from>
      <xdr:col>5</xdr:col>
      <xdr:colOff>66675</xdr:colOff>
      <xdr:row>15</xdr:row>
      <xdr:rowOff>38100</xdr:rowOff>
    </xdr:from>
    <xdr:to>
      <xdr:col>5</xdr:col>
      <xdr:colOff>1428750</xdr:colOff>
      <xdr:row>16</xdr:row>
      <xdr:rowOff>171450</xdr:rowOff>
    </xdr:to>
    <xdr:pic>
      <xdr:nvPicPr>
        <xdr:cNvPr id="6" name="图片 5" descr="未标题-1.png">
          <a:extLst>
            <a:ext uri="{FF2B5EF4-FFF2-40B4-BE49-F238E27FC236}">
              <a16:creationId xmlns:a16="http://schemas.microsoft.com/office/drawing/2014/main" id="{00000000-0008-0000-3D00-000006000000}"/>
            </a:ext>
          </a:extLst>
        </xdr:cNvPr>
        <xdr:cNvPicPr>
          <a:picLocks noChangeAspect="1"/>
        </xdr:cNvPicPr>
      </xdr:nvPicPr>
      <xdr:blipFill>
        <a:blip xmlns:r="http://schemas.openxmlformats.org/officeDocument/2006/relationships" r:embed="rId5" cstate="print"/>
        <a:stretch>
          <a:fillRect/>
        </a:stretch>
      </xdr:blipFill>
      <xdr:spPr>
        <a:xfrm>
          <a:off x="5762625" y="3067050"/>
          <a:ext cx="1362075" cy="342900"/>
        </a:xfrm>
        <a:prstGeom prst="rect">
          <a:avLst/>
        </a:prstGeom>
      </xdr:spPr>
    </xdr:pic>
    <xdr:clientData/>
  </xdr:twoCellAnchor>
  <xdr:twoCellAnchor editAs="oneCell">
    <xdr:from>
      <xdr:col>5</xdr:col>
      <xdr:colOff>57150</xdr:colOff>
      <xdr:row>17</xdr:row>
      <xdr:rowOff>28575</xdr:rowOff>
    </xdr:from>
    <xdr:to>
      <xdr:col>6</xdr:col>
      <xdr:colOff>0</xdr:colOff>
      <xdr:row>18</xdr:row>
      <xdr:rowOff>161925</xdr:rowOff>
    </xdr:to>
    <xdr:pic>
      <xdr:nvPicPr>
        <xdr:cNvPr id="7" name="图片 6" descr="未标题-1.png">
          <a:extLst>
            <a:ext uri="{FF2B5EF4-FFF2-40B4-BE49-F238E27FC236}">
              <a16:creationId xmlns:a16="http://schemas.microsoft.com/office/drawing/2014/main" id="{00000000-0008-0000-3D00-000007000000}"/>
            </a:ext>
          </a:extLst>
        </xdr:cNvPr>
        <xdr:cNvPicPr>
          <a:picLocks noChangeAspect="1"/>
        </xdr:cNvPicPr>
      </xdr:nvPicPr>
      <xdr:blipFill>
        <a:blip xmlns:r="http://schemas.openxmlformats.org/officeDocument/2006/relationships" r:embed="rId6" cstate="print"/>
        <a:stretch>
          <a:fillRect/>
        </a:stretch>
      </xdr:blipFill>
      <xdr:spPr>
        <a:xfrm>
          <a:off x="5753100" y="3476625"/>
          <a:ext cx="2276475" cy="342900"/>
        </a:xfrm>
        <a:prstGeom prst="rect">
          <a:avLst/>
        </a:prstGeom>
      </xdr:spPr>
    </xdr:pic>
    <xdr:clientData/>
  </xdr:twoCellAnchor>
  <xdr:twoCellAnchor editAs="oneCell">
    <xdr:from>
      <xdr:col>5</xdr:col>
      <xdr:colOff>47625</xdr:colOff>
      <xdr:row>19</xdr:row>
      <xdr:rowOff>47625</xdr:rowOff>
    </xdr:from>
    <xdr:to>
      <xdr:col>5</xdr:col>
      <xdr:colOff>1362075</xdr:colOff>
      <xdr:row>20</xdr:row>
      <xdr:rowOff>180975</xdr:rowOff>
    </xdr:to>
    <xdr:pic>
      <xdr:nvPicPr>
        <xdr:cNvPr id="8" name="图片 7" descr="未标题-1.png">
          <a:extLst>
            <a:ext uri="{FF2B5EF4-FFF2-40B4-BE49-F238E27FC236}">
              <a16:creationId xmlns:a16="http://schemas.microsoft.com/office/drawing/2014/main" id="{00000000-0008-0000-3D00-000008000000}"/>
            </a:ext>
          </a:extLst>
        </xdr:cNvPr>
        <xdr:cNvPicPr>
          <a:picLocks noChangeAspect="1"/>
        </xdr:cNvPicPr>
      </xdr:nvPicPr>
      <xdr:blipFill>
        <a:blip xmlns:r="http://schemas.openxmlformats.org/officeDocument/2006/relationships" r:embed="rId7" cstate="print"/>
        <a:stretch>
          <a:fillRect/>
        </a:stretch>
      </xdr:blipFill>
      <xdr:spPr>
        <a:xfrm>
          <a:off x="5743575" y="3914775"/>
          <a:ext cx="1314450" cy="342900"/>
        </a:xfrm>
        <a:prstGeom prst="rect">
          <a:avLst/>
        </a:prstGeom>
      </xdr:spPr>
    </xdr:pic>
    <xdr:clientData/>
  </xdr:twoCellAnchor>
  <xdr:twoCellAnchor editAs="oneCell">
    <xdr:from>
      <xdr:col>5</xdr:col>
      <xdr:colOff>47625</xdr:colOff>
      <xdr:row>21</xdr:row>
      <xdr:rowOff>38100</xdr:rowOff>
    </xdr:from>
    <xdr:to>
      <xdr:col>5</xdr:col>
      <xdr:colOff>561975</xdr:colOff>
      <xdr:row>22</xdr:row>
      <xdr:rowOff>152400</xdr:rowOff>
    </xdr:to>
    <xdr:pic>
      <xdr:nvPicPr>
        <xdr:cNvPr id="9" name="图片 8" descr="未标题-1.png">
          <a:extLst>
            <a:ext uri="{FF2B5EF4-FFF2-40B4-BE49-F238E27FC236}">
              <a16:creationId xmlns:a16="http://schemas.microsoft.com/office/drawing/2014/main" id="{00000000-0008-0000-3D00-000009000000}"/>
            </a:ext>
          </a:extLst>
        </xdr:cNvPr>
        <xdr:cNvPicPr>
          <a:picLocks noChangeAspect="1"/>
        </xdr:cNvPicPr>
      </xdr:nvPicPr>
      <xdr:blipFill>
        <a:blip xmlns:r="http://schemas.openxmlformats.org/officeDocument/2006/relationships" r:embed="rId8" cstate="print"/>
        <a:stretch>
          <a:fillRect/>
        </a:stretch>
      </xdr:blipFill>
      <xdr:spPr>
        <a:xfrm>
          <a:off x="5743575" y="4324350"/>
          <a:ext cx="514350" cy="323850"/>
        </a:xfrm>
        <a:prstGeom prst="rect">
          <a:avLst/>
        </a:prstGeom>
      </xdr:spPr>
    </xdr:pic>
    <xdr:clientData/>
  </xdr:twoCellAnchor>
  <xdr:twoCellAnchor editAs="oneCell">
    <xdr:from>
      <xdr:col>5</xdr:col>
      <xdr:colOff>57150</xdr:colOff>
      <xdr:row>22</xdr:row>
      <xdr:rowOff>200025</xdr:rowOff>
    </xdr:from>
    <xdr:to>
      <xdr:col>6</xdr:col>
      <xdr:colOff>0</xdr:colOff>
      <xdr:row>25</xdr:row>
      <xdr:rowOff>19050</xdr:rowOff>
    </xdr:to>
    <xdr:pic>
      <xdr:nvPicPr>
        <xdr:cNvPr id="10" name="图片 9" descr="未标题-1.png">
          <a:extLst>
            <a:ext uri="{FF2B5EF4-FFF2-40B4-BE49-F238E27FC236}">
              <a16:creationId xmlns:a16="http://schemas.microsoft.com/office/drawing/2014/main" id="{00000000-0008-0000-3D00-00000A000000}"/>
            </a:ext>
          </a:extLst>
        </xdr:cNvPr>
        <xdr:cNvPicPr>
          <a:picLocks noChangeAspect="1"/>
        </xdr:cNvPicPr>
      </xdr:nvPicPr>
      <xdr:blipFill>
        <a:blip xmlns:r="http://schemas.openxmlformats.org/officeDocument/2006/relationships" r:embed="rId9" cstate="print"/>
        <a:stretch>
          <a:fillRect/>
        </a:stretch>
      </xdr:blipFill>
      <xdr:spPr>
        <a:xfrm>
          <a:off x="5753100" y="4695825"/>
          <a:ext cx="2276475" cy="561975"/>
        </a:xfrm>
        <a:prstGeom prst="rect">
          <a:avLst/>
        </a:prstGeom>
      </xdr:spPr>
    </xdr:pic>
    <xdr:clientData/>
  </xdr:twoCellAnchor>
  <xdr:twoCellAnchor editAs="oneCell">
    <xdr:from>
      <xdr:col>5</xdr:col>
      <xdr:colOff>19050</xdr:colOff>
      <xdr:row>25</xdr:row>
      <xdr:rowOff>38100</xdr:rowOff>
    </xdr:from>
    <xdr:to>
      <xdr:col>5</xdr:col>
      <xdr:colOff>1400175</xdr:colOff>
      <xdr:row>27</xdr:row>
      <xdr:rowOff>0</xdr:rowOff>
    </xdr:to>
    <xdr:pic>
      <xdr:nvPicPr>
        <xdr:cNvPr id="11" name="图片 10" descr="未标题-1.png">
          <a:extLst>
            <a:ext uri="{FF2B5EF4-FFF2-40B4-BE49-F238E27FC236}">
              <a16:creationId xmlns:a16="http://schemas.microsoft.com/office/drawing/2014/main" id="{00000000-0008-0000-3D00-00000B000000}"/>
            </a:ext>
          </a:extLst>
        </xdr:cNvPr>
        <xdr:cNvPicPr>
          <a:picLocks noChangeAspect="1"/>
        </xdr:cNvPicPr>
      </xdr:nvPicPr>
      <xdr:blipFill>
        <a:blip xmlns:r="http://schemas.openxmlformats.org/officeDocument/2006/relationships" r:embed="rId10" cstate="print"/>
        <a:stretch>
          <a:fillRect/>
        </a:stretch>
      </xdr:blipFill>
      <xdr:spPr>
        <a:xfrm>
          <a:off x="5715000" y="5276850"/>
          <a:ext cx="1381125" cy="495300"/>
        </a:xfrm>
        <a:prstGeom prst="rect">
          <a:avLst/>
        </a:prstGeom>
      </xdr:spPr>
    </xdr:pic>
    <xdr:clientData/>
  </xdr:twoCellAnchor>
  <xdr:twoCellAnchor editAs="absolute">
    <xdr:from>
      <xdr:col>1</xdr:col>
      <xdr:colOff>0</xdr:colOff>
      <xdr:row>2</xdr:row>
      <xdr:rowOff>0</xdr:rowOff>
    </xdr:from>
    <xdr:to>
      <xdr:col>1</xdr:col>
      <xdr:colOff>778969</xdr:colOff>
      <xdr:row>3</xdr:row>
      <xdr:rowOff>89167</xdr:rowOff>
    </xdr:to>
    <xdr:sp macro="" textlink="">
      <xdr:nvSpPr>
        <xdr:cNvPr id="12" name="五边形 1">
          <a:hlinkClick xmlns:r="http://schemas.openxmlformats.org/officeDocument/2006/relationships" r:id="rId11"/>
          <a:extLst>
            <a:ext uri="{FF2B5EF4-FFF2-40B4-BE49-F238E27FC236}">
              <a16:creationId xmlns:a16="http://schemas.microsoft.com/office/drawing/2014/main" id="{00000000-0008-0000-3D00-00000C000000}"/>
            </a:ext>
          </a:extLst>
        </xdr:cNvPr>
        <xdr:cNvSpPr>
          <a:spLocks noChangeAspect="1"/>
        </xdr:cNvSpPr>
      </xdr:nvSpPr>
      <xdr:spPr>
        <a:xfrm flipH="1">
          <a:off x="13607" y="408214"/>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28575</xdr:colOff>
      <xdr:row>13</xdr:row>
      <xdr:rowOff>104776</xdr:rowOff>
    </xdr:from>
    <xdr:to>
      <xdr:col>4</xdr:col>
      <xdr:colOff>0</xdr:colOff>
      <xdr:row>18</xdr:row>
      <xdr:rowOff>200026</xdr:rowOff>
    </xdr:to>
    <xdr:pic>
      <xdr:nvPicPr>
        <xdr:cNvPr id="2" name="图片 1" descr="未标题-1.png">
          <a:extLst>
            <a:ext uri="{FF2B5EF4-FFF2-40B4-BE49-F238E27FC236}">
              <a16:creationId xmlns:a16="http://schemas.microsoft.com/office/drawing/2014/main" id="{00000000-0008-0000-3E00-000002000000}"/>
            </a:ext>
          </a:extLst>
        </xdr:cNvPr>
        <xdr:cNvPicPr>
          <a:picLocks noChangeAspect="1"/>
        </xdr:cNvPicPr>
      </xdr:nvPicPr>
      <xdr:blipFill>
        <a:blip xmlns:r="http://schemas.openxmlformats.org/officeDocument/2006/relationships" r:embed="rId1" cstate="print"/>
        <a:stretch>
          <a:fillRect/>
        </a:stretch>
      </xdr:blipFill>
      <xdr:spPr>
        <a:xfrm>
          <a:off x="2247900" y="2714625"/>
          <a:ext cx="1704975" cy="1143000"/>
        </a:xfrm>
        <a:prstGeom prst="rect">
          <a:avLst/>
        </a:prstGeom>
      </xdr:spPr>
    </xdr:pic>
    <xdr:clientData/>
  </xdr:twoCellAnchor>
  <xdr:twoCellAnchor editAs="oneCell">
    <xdr:from>
      <xdr:col>5</xdr:col>
      <xdr:colOff>85725</xdr:colOff>
      <xdr:row>9</xdr:row>
      <xdr:rowOff>57150</xdr:rowOff>
    </xdr:from>
    <xdr:to>
      <xdr:col>5</xdr:col>
      <xdr:colOff>504825</xdr:colOff>
      <xdr:row>10</xdr:row>
      <xdr:rowOff>133350</xdr:rowOff>
    </xdr:to>
    <xdr:pic>
      <xdr:nvPicPr>
        <xdr:cNvPr id="3" name="图片 2" descr="未标题-1.png">
          <a:extLst>
            <a:ext uri="{FF2B5EF4-FFF2-40B4-BE49-F238E27FC236}">
              <a16:creationId xmlns:a16="http://schemas.microsoft.com/office/drawing/2014/main" id="{00000000-0008-0000-3E00-000003000000}"/>
            </a:ext>
          </a:extLst>
        </xdr:cNvPr>
        <xdr:cNvPicPr>
          <a:picLocks noChangeAspect="1"/>
        </xdr:cNvPicPr>
      </xdr:nvPicPr>
      <xdr:blipFill>
        <a:blip xmlns:r="http://schemas.openxmlformats.org/officeDocument/2006/relationships" r:embed="rId2" cstate="print"/>
        <a:stretch>
          <a:fillRect/>
        </a:stretch>
      </xdr:blipFill>
      <xdr:spPr>
        <a:xfrm>
          <a:off x="5895975" y="1790700"/>
          <a:ext cx="419100" cy="323850"/>
        </a:xfrm>
        <a:prstGeom prst="rect">
          <a:avLst/>
        </a:prstGeom>
      </xdr:spPr>
    </xdr:pic>
    <xdr:clientData/>
  </xdr:twoCellAnchor>
  <xdr:twoCellAnchor editAs="oneCell">
    <xdr:from>
      <xdr:col>5</xdr:col>
      <xdr:colOff>57150</xdr:colOff>
      <xdr:row>11</xdr:row>
      <xdr:rowOff>47625</xdr:rowOff>
    </xdr:from>
    <xdr:to>
      <xdr:col>5</xdr:col>
      <xdr:colOff>609600</xdr:colOff>
      <xdr:row>12</xdr:row>
      <xdr:rowOff>171450</xdr:rowOff>
    </xdr:to>
    <xdr:pic>
      <xdr:nvPicPr>
        <xdr:cNvPr id="4" name="图片 3" descr="未标题-1.png">
          <a:extLst>
            <a:ext uri="{FF2B5EF4-FFF2-40B4-BE49-F238E27FC236}">
              <a16:creationId xmlns:a16="http://schemas.microsoft.com/office/drawing/2014/main" id="{00000000-0008-0000-3E00-000004000000}"/>
            </a:ext>
          </a:extLst>
        </xdr:cNvPr>
        <xdr:cNvPicPr>
          <a:picLocks noChangeAspect="1"/>
        </xdr:cNvPicPr>
      </xdr:nvPicPr>
      <xdr:blipFill>
        <a:blip xmlns:r="http://schemas.openxmlformats.org/officeDocument/2006/relationships" r:embed="rId3" cstate="print"/>
        <a:stretch>
          <a:fillRect/>
        </a:stretch>
      </xdr:blipFill>
      <xdr:spPr>
        <a:xfrm>
          <a:off x="5867400" y="2238375"/>
          <a:ext cx="552450" cy="333375"/>
        </a:xfrm>
        <a:prstGeom prst="rect">
          <a:avLst/>
        </a:prstGeom>
      </xdr:spPr>
    </xdr:pic>
    <xdr:clientData/>
  </xdr:twoCellAnchor>
  <xdr:twoCellAnchor editAs="oneCell">
    <xdr:from>
      <xdr:col>5</xdr:col>
      <xdr:colOff>57150</xdr:colOff>
      <xdr:row>13</xdr:row>
      <xdr:rowOff>38100</xdr:rowOff>
    </xdr:from>
    <xdr:to>
      <xdr:col>5</xdr:col>
      <xdr:colOff>561975</xdr:colOff>
      <xdr:row>14</xdr:row>
      <xdr:rowOff>171450</xdr:rowOff>
    </xdr:to>
    <xdr:pic>
      <xdr:nvPicPr>
        <xdr:cNvPr id="5" name="图片 4" descr="未标题-1.png">
          <a:extLst>
            <a:ext uri="{FF2B5EF4-FFF2-40B4-BE49-F238E27FC236}">
              <a16:creationId xmlns:a16="http://schemas.microsoft.com/office/drawing/2014/main" id="{00000000-0008-0000-3E00-000005000000}"/>
            </a:ext>
          </a:extLst>
        </xdr:cNvPr>
        <xdr:cNvPicPr>
          <a:picLocks noChangeAspect="1"/>
        </xdr:cNvPicPr>
      </xdr:nvPicPr>
      <xdr:blipFill>
        <a:blip xmlns:r="http://schemas.openxmlformats.org/officeDocument/2006/relationships" r:embed="rId4" cstate="print"/>
        <a:stretch>
          <a:fillRect/>
        </a:stretch>
      </xdr:blipFill>
      <xdr:spPr>
        <a:xfrm>
          <a:off x="5867400" y="2647950"/>
          <a:ext cx="504825" cy="342900"/>
        </a:xfrm>
        <a:prstGeom prst="rect">
          <a:avLst/>
        </a:prstGeom>
      </xdr:spPr>
    </xdr:pic>
    <xdr:clientData/>
  </xdr:twoCellAnchor>
  <xdr:twoCellAnchor editAs="oneCell">
    <xdr:from>
      <xdr:col>5</xdr:col>
      <xdr:colOff>47625</xdr:colOff>
      <xdr:row>15</xdr:row>
      <xdr:rowOff>66675</xdr:rowOff>
    </xdr:from>
    <xdr:to>
      <xdr:col>5</xdr:col>
      <xdr:colOff>600075</xdr:colOff>
      <xdr:row>16</xdr:row>
      <xdr:rowOff>190500</xdr:rowOff>
    </xdr:to>
    <xdr:pic>
      <xdr:nvPicPr>
        <xdr:cNvPr id="6" name="图片 5" descr="未标题-1.png">
          <a:extLst>
            <a:ext uri="{FF2B5EF4-FFF2-40B4-BE49-F238E27FC236}">
              <a16:creationId xmlns:a16="http://schemas.microsoft.com/office/drawing/2014/main" id="{00000000-0008-0000-3E00-000006000000}"/>
            </a:ext>
          </a:extLst>
        </xdr:cNvPr>
        <xdr:cNvPicPr>
          <a:picLocks noChangeAspect="1"/>
        </xdr:cNvPicPr>
      </xdr:nvPicPr>
      <xdr:blipFill>
        <a:blip xmlns:r="http://schemas.openxmlformats.org/officeDocument/2006/relationships" r:embed="rId5" cstate="print"/>
        <a:stretch>
          <a:fillRect/>
        </a:stretch>
      </xdr:blipFill>
      <xdr:spPr>
        <a:xfrm>
          <a:off x="5857875" y="3095625"/>
          <a:ext cx="552450" cy="333375"/>
        </a:xfrm>
        <a:prstGeom prst="rect">
          <a:avLst/>
        </a:prstGeom>
      </xdr:spPr>
    </xdr:pic>
    <xdr:clientData/>
  </xdr:twoCellAnchor>
  <xdr:twoCellAnchor editAs="oneCell">
    <xdr:from>
      <xdr:col>5</xdr:col>
      <xdr:colOff>57150</xdr:colOff>
      <xdr:row>17</xdr:row>
      <xdr:rowOff>28575</xdr:rowOff>
    </xdr:from>
    <xdr:to>
      <xdr:col>5</xdr:col>
      <xdr:colOff>685800</xdr:colOff>
      <xdr:row>18</xdr:row>
      <xdr:rowOff>152400</xdr:rowOff>
    </xdr:to>
    <xdr:pic>
      <xdr:nvPicPr>
        <xdr:cNvPr id="7" name="图片 6" descr="未标题-1.png">
          <a:extLst>
            <a:ext uri="{FF2B5EF4-FFF2-40B4-BE49-F238E27FC236}">
              <a16:creationId xmlns:a16="http://schemas.microsoft.com/office/drawing/2014/main" id="{00000000-0008-0000-3E00-000007000000}"/>
            </a:ext>
          </a:extLst>
        </xdr:cNvPr>
        <xdr:cNvPicPr>
          <a:picLocks noChangeAspect="1"/>
        </xdr:cNvPicPr>
      </xdr:nvPicPr>
      <xdr:blipFill>
        <a:blip xmlns:r="http://schemas.openxmlformats.org/officeDocument/2006/relationships" r:embed="rId6" cstate="print"/>
        <a:stretch>
          <a:fillRect/>
        </a:stretch>
      </xdr:blipFill>
      <xdr:spPr>
        <a:xfrm>
          <a:off x="5867400" y="3476625"/>
          <a:ext cx="628650" cy="333375"/>
        </a:xfrm>
        <a:prstGeom prst="rect">
          <a:avLst/>
        </a:prstGeom>
      </xdr:spPr>
    </xdr:pic>
    <xdr:clientData/>
  </xdr:twoCellAnchor>
  <xdr:twoCellAnchor editAs="oneCell">
    <xdr:from>
      <xdr:col>5</xdr:col>
      <xdr:colOff>66675</xdr:colOff>
      <xdr:row>19</xdr:row>
      <xdr:rowOff>47625</xdr:rowOff>
    </xdr:from>
    <xdr:to>
      <xdr:col>5</xdr:col>
      <xdr:colOff>695325</xdr:colOff>
      <xdr:row>20</xdr:row>
      <xdr:rowOff>171450</xdr:rowOff>
    </xdr:to>
    <xdr:pic>
      <xdr:nvPicPr>
        <xdr:cNvPr id="8" name="图片 7" descr="未标题-1.png">
          <a:extLst>
            <a:ext uri="{FF2B5EF4-FFF2-40B4-BE49-F238E27FC236}">
              <a16:creationId xmlns:a16="http://schemas.microsoft.com/office/drawing/2014/main" id="{00000000-0008-0000-3E00-000008000000}"/>
            </a:ext>
          </a:extLst>
        </xdr:cNvPr>
        <xdr:cNvPicPr>
          <a:picLocks noChangeAspect="1"/>
        </xdr:cNvPicPr>
      </xdr:nvPicPr>
      <xdr:blipFill>
        <a:blip xmlns:r="http://schemas.openxmlformats.org/officeDocument/2006/relationships" r:embed="rId7" cstate="print"/>
        <a:stretch>
          <a:fillRect/>
        </a:stretch>
      </xdr:blipFill>
      <xdr:spPr>
        <a:xfrm>
          <a:off x="5876925" y="3914775"/>
          <a:ext cx="628650" cy="333375"/>
        </a:xfrm>
        <a:prstGeom prst="rect">
          <a:avLst/>
        </a:prstGeom>
      </xdr:spPr>
    </xdr:pic>
    <xdr:clientData/>
  </xdr:twoCellAnchor>
  <xdr:twoCellAnchor editAs="oneCell">
    <xdr:from>
      <xdr:col>5</xdr:col>
      <xdr:colOff>66675</xdr:colOff>
      <xdr:row>21</xdr:row>
      <xdr:rowOff>66675</xdr:rowOff>
    </xdr:from>
    <xdr:to>
      <xdr:col>5</xdr:col>
      <xdr:colOff>533400</xdr:colOff>
      <xdr:row>22</xdr:row>
      <xdr:rowOff>180975</xdr:rowOff>
    </xdr:to>
    <xdr:pic>
      <xdr:nvPicPr>
        <xdr:cNvPr id="9" name="图片 8" descr="未标题-1.png">
          <a:extLst>
            <a:ext uri="{FF2B5EF4-FFF2-40B4-BE49-F238E27FC236}">
              <a16:creationId xmlns:a16="http://schemas.microsoft.com/office/drawing/2014/main" id="{00000000-0008-0000-3E00-000009000000}"/>
            </a:ext>
          </a:extLst>
        </xdr:cNvPr>
        <xdr:cNvPicPr>
          <a:picLocks noChangeAspect="1"/>
        </xdr:cNvPicPr>
      </xdr:nvPicPr>
      <xdr:blipFill>
        <a:blip xmlns:r="http://schemas.openxmlformats.org/officeDocument/2006/relationships" r:embed="rId8" cstate="print"/>
        <a:stretch>
          <a:fillRect/>
        </a:stretch>
      </xdr:blipFill>
      <xdr:spPr>
        <a:xfrm>
          <a:off x="5876925" y="4352925"/>
          <a:ext cx="466725" cy="323850"/>
        </a:xfrm>
        <a:prstGeom prst="rect">
          <a:avLst/>
        </a:prstGeom>
      </xdr:spPr>
    </xdr:pic>
    <xdr:clientData/>
  </xdr:twoCellAnchor>
  <xdr:twoCellAnchor editAs="oneCell">
    <xdr:from>
      <xdr:col>5</xdr:col>
      <xdr:colOff>38100</xdr:colOff>
      <xdr:row>23</xdr:row>
      <xdr:rowOff>123825</xdr:rowOff>
    </xdr:from>
    <xdr:to>
      <xdr:col>5</xdr:col>
      <xdr:colOff>723900</xdr:colOff>
      <xdr:row>24</xdr:row>
      <xdr:rowOff>85725</xdr:rowOff>
    </xdr:to>
    <xdr:pic>
      <xdr:nvPicPr>
        <xdr:cNvPr id="10" name="图片 9" descr="未标题-1.png">
          <a:extLst>
            <a:ext uri="{FF2B5EF4-FFF2-40B4-BE49-F238E27FC236}">
              <a16:creationId xmlns:a16="http://schemas.microsoft.com/office/drawing/2014/main" id="{00000000-0008-0000-3E00-00000A000000}"/>
            </a:ext>
          </a:extLst>
        </xdr:cNvPr>
        <xdr:cNvPicPr>
          <a:picLocks noChangeAspect="1"/>
        </xdr:cNvPicPr>
      </xdr:nvPicPr>
      <xdr:blipFill>
        <a:blip xmlns:r="http://schemas.openxmlformats.org/officeDocument/2006/relationships" r:embed="rId9" cstate="print"/>
        <a:stretch>
          <a:fillRect/>
        </a:stretch>
      </xdr:blipFill>
      <xdr:spPr>
        <a:xfrm>
          <a:off x="5848350" y="4829175"/>
          <a:ext cx="685800" cy="1714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1" name="五边形 1">
          <a:hlinkClick xmlns:r="http://schemas.openxmlformats.org/officeDocument/2006/relationships" r:id="rId10"/>
          <a:extLst>
            <a:ext uri="{FF2B5EF4-FFF2-40B4-BE49-F238E27FC236}">
              <a16:creationId xmlns:a16="http://schemas.microsoft.com/office/drawing/2014/main" id="{00000000-0008-0000-3E00-00000B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3</xdr:col>
      <xdr:colOff>57150</xdr:colOff>
      <xdr:row>10</xdr:row>
      <xdr:rowOff>85725</xdr:rowOff>
    </xdr:from>
    <xdr:to>
      <xdr:col>4</xdr:col>
      <xdr:colOff>0</xdr:colOff>
      <xdr:row>19</xdr:row>
      <xdr:rowOff>85725</xdr:rowOff>
    </xdr:to>
    <xdr:pic>
      <xdr:nvPicPr>
        <xdr:cNvPr id="2" name="图片 1" descr="未标题-1.png">
          <a:extLst>
            <a:ext uri="{FF2B5EF4-FFF2-40B4-BE49-F238E27FC236}">
              <a16:creationId xmlns:a16="http://schemas.microsoft.com/office/drawing/2014/main" id="{00000000-0008-0000-3F00-000002000000}"/>
            </a:ext>
          </a:extLst>
        </xdr:cNvPr>
        <xdr:cNvPicPr>
          <a:picLocks noChangeAspect="1"/>
        </xdr:cNvPicPr>
      </xdr:nvPicPr>
      <xdr:blipFill>
        <a:blip xmlns:r="http://schemas.openxmlformats.org/officeDocument/2006/relationships" r:embed="rId1" cstate="print"/>
        <a:stretch>
          <a:fillRect/>
        </a:stretch>
      </xdr:blipFill>
      <xdr:spPr>
        <a:xfrm>
          <a:off x="2276475" y="2066925"/>
          <a:ext cx="1676400" cy="1885950"/>
        </a:xfrm>
        <a:prstGeom prst="rect">
          <a:avLst/>
        </a:prstGeom>
      </xdr:spPr>
    </xdr:pic>
    <xdr:clientData/>
  </xdr:twoCellAnchor>
  <xdr:twoCellAnchor editAs="oneCell">
    <xdr:from>
      <xdr:col>5</xdr:col>
      <xdr:colOff>76200</xdr:colOff>
      <xdr:row>9</xdr:row>
      <xdr:rowOff>142875</xdr:rowOff>
    </xdr:from>
    <xdr:to>
      <xdr:col>5</xdr:col>
      <xdr:colOff>819150</xdr:colOff>
      <xdr:row>10</xdr:row>
      <xdr:rowOff>76200</xdr:rowOff>
    </xdr:to>
    <xdr:pic>
      <xdr:nvPicPr>
        <xdr:cNvPr id="3" name="图片 2" descr="未标题-1.png">
          <a:extLst>
            <a:ext uri="{FF2B5EF4-FFF2-40B4-BE49-F238E27FC236}">
              <a16:creationId xmlns:a16="http://schemas.microsoft.com/office/drawing/2014/main" id="{00000000-0008-0000-3F00-000003000000}"/>
            </a:ext>
          </a:extLst>
        </xdr:cNvPr>
        <xdr:cNvPicPr>
          <a:picLocks noChangeAspect="1"/>
        </xdr:cNvPicPr>
      </xdr:nvPicPr>
      <xdr:blipFill>
        <a:blip xmlns:r="http://schemas.openxmlformats.org/officeDocument/2006/relationships" r:embed="rId2" cstate="print"/>
        <a:stretch>
          <a:fillRect/>
        </a:stretch>
      </xdr:blipFill>
      <xdr:spPr>
        <a:xfrm>
          <a:off x="5886450" y="1876425"/>
          <a:ext cx="742950" cy="180975"/>
        </a:xfrm>
        <a:prstGeom prst="rect">
          <a:avLst/>
        </a:prstGeom>
      </xdr:spPr>
    </xdr:pic>
    <xdr:clientData/>
  </xdr:twoCellAnchor>
  <xdr:twoCellAnchor editAs="oneCell">
    <xdr:from>
      <xdr:col>5</xdr:col>
      <xdr:colOff>47625</xdr:colOff>
      <xdr:row>11</xdr:row>
      <xdr:rowOff>123825</xdr:rowOff>
    </xdr:from>
    <xdr:to>
      <xdr:col>5</xdr:col>
      <xdr:colOff>885825</xdr:colOff>
      <xdr:row>12</xdr:row>
      <xdr:rowOff>95250</xdr:rowOff>
    </xdr:to>
    <xdr:pic>
      <xdr:nvPicPr>
        <xdr:cNvPr id="4" name="图片 3" descr="未标题-1.png">
          <a:extLst>
            <a:ext uri="{FF2B5EF4-FFF2-40B4-BE49-F238E27FC236}">
              <a16:creationId xmlns:a16="http://schemas.microsoft.com/office/drawing/2014/main" id="{00000000-0008-0000-3F00-000004000000}"/>
            </a:ext>
          </a:extLst>
        </xdr:cNvPr>
        <xdr:cNvPicPr>
          <a:picLocks noChangeAspect="1"/>
        </xdr:cNvPicPr>
      </xdr:nvPicPr>
      <xdr:blipFill>
        <a:blip xmlns:r="http://schemas.openxmlformats.org/officeDocument/2006/relationships" r:embed="rId3" cstate="print"/>
        <a:stretch>
          <a:fillRect/>
        </a:stretch>
      </xdr:blipFill>
      <xdr:spPr>
        <a:xfrm>
          <a:off x="5857875" y="2314575"/>
          <a:ext cx="838200" cy="180975"/>
        </a:xfrm>
        <a:prstGeom prst="rect">
          <a:avLst/>
        </a:prstGeom>
      </xdr:spPr>
    </xdr:pic>
    <xdr:clientData/>
  </xdr:twoCellAnchor>
  <xdr:twoCellAnchor editAs="oneCell">
    <xdr:from>
      <xdr:col>5</xdr:col>
      <xdr:colOff>38100</xdr:colOff>
      <xdr:row>13</xdr:row>
      <xdr:rowOff>133350</xdr:rowOff>
    </xdr:from>
    <xdr:to>
      <xdr:col>5</xdr:col>
      <xdr:colOff>866775</xdr:colOff>
      <xdr:row>14</xdr:row>
      <xdr:rowOff>104775</xdr:rowOff>
    </xdr:to>
    <xdr:pic>
      <xdr:nvPicPr>
        <xdr:cNvPr id="5" name="图片 4" descr="未标题-1.png">
          <a:extLst>
            <a:ext uri="{FF2B5EF4-FFF2-40B4-BE49-F238E27FC236}">
              <a16:creationId xmlns:a16="http://schemas.microsoft.com/office/drawing/2014/main" id="{00000000-0008-0000-3F00-000005000000}"/>
            </a:ext>
          </a:extLst>
        </xdr:cNvPr>
        <xdr:cNvPicPr>
          <a:picLocks noChangeAspect="1"/>
        </xdr:cNvPicPr>
      </xdr:nvPicPr>
      <xdr:blipFill>
        <a:blip xmlns:r="http://schemas.openxmlformats.org/officeDocument/2006/relationships" r:embed="rId4" cstate="print"/>
        <a:stretch>
          <a:fillRect/>
        </a:stretch>
      </xdr:blipFill>
      <xdr:spPr>
        <a:xfrm>
          <a:off x="5848350" y="2743200"/>
          <a:ext cx="828675" cy="180975"/>
        </a:xfrm>
        <a:prstGeom prst="rect">
          <a:avLst/>
        </a:prstGeom>
      </xdr:spPr>
    </xdr:pic>
    <xdr:clientData/>
  </xdr:twoCellAnchor>
  <xdr:twoCellAnchor editAs="oneCell">
    <xdr:from>
      <xdr:col>5</xdr:col>
      <xdr:colOff>28575</xdr:colOff>
      <xdr:row>15</xdr:row>
      <xdr:rowOff>152400</xdr:rowOff>
    </xdr:from>
    <xdr:to>
      <xdr:col>6</xdr:col>
      <xdr:colOff>0</xdr:colOff>
      <xdr:row>16</xdr:row>
      <xdr:rowOff>133350</xdr:rowOff>
    </xdr:to>
    <xdr:pic>
      <xdr:nvPicPr>
        <xdr:cNvPr id="6" name="图片 5" descr="未标题-1.png">
          <a:extLst>
            <a:ext uri="{FF2B5EF4-FFF2-40B4-BE49-F238E27FC236}">
              <a16:creationId xmlns:a16="http://schemas.microsoft.com/office/drawing/2014/main" id="{00000000-0008-0000-3F00-000006000000}"/>
            </a:ext>
          </a:extLst>
        </xdr:cNvPr>
        <xdr:cNvPicPr>
          <a:picLocks noChangeAspect="1"/>
        </xdr:cNvPicPr>
      </xdr:nvPicPr>
      <xdr:blipFill>
        <a:blip xmlns:r="http://schemas.openxmlformats.org/officeDocument/2006/relationships" r:embed="rId5" cstate="print"/>
        <a:stretch>
          <a:fillRect/>
        </a:stretch>
      </xdr:blipFill>
      <xdr:spPr>
        <a:xfrm>
          <a:off x="5838825" y="3181350"/>
          <a:ext cx="904875" cy="190500"/>
        </a:xfrm>
        <a:prstGeom prst="rect">
          <a:avLst/>
        </a:prstGeom>
      </xdr:spPr>
    </xdr:pic>
    <xdr:clientData/>
  </xdr:twoCellAnchor>
  <xdr:twoCellAnchor editAs="oneCell">
    <xdr:from>
      <xdr:col>5</xdr:col>
      <xdr:colOff>47625</xdr:colOff>
      <xdr:row>17</xdr:row>
      <xdr:rowOff>123825</xdr:rowOff>
    </xdr:from>
    <xdr:to>
      <xdr:col>5</xdr:col>
      <xdr:colOff>771525</xdr:colOff>
      <xdr:row>18</xdr:row>
      <xdr:rowOff>85725</xdr:rowOff>
    </xdr:to>
    <xdr:pic>
      <xdr:nvPicPr>
        <xdr:cNvPr id="7" name="图片 6" descr="未标题-1.png">
          <a:extLst>
            <a:ext uri="{FF2B5EF4-FFF2-40B4-BE49-F238E27FC236}">
              <a16:creationId xmlns:a16="http://schemas.microsoft.com/office/drawing/2014/main" id="{00000000-0008-0000-3F00-000007000000}"/>
            </a:ext>
          </a:extLst>
        </xdr:cNvPr>
        <xdr:cNvPicPr>
          <a:picLocks noChangeAspect="1"/>
        </xdr:cNvPicPr>
      </xdr:nvPicPr>
      <xdr:blipFill>
        <a:blip xmlns:r="http://schemas.openxmlformats.org/officeDocument/2006/relationships" r:embed="rId6" cstate="print"/>
        <a:stretch>
          <a:fillRect/>
        </a:stretch>
      </xdr:blipFill>
      <xdr:spPr>
        <a:xfrm>
          <a:off x="5857875" y="3571875"/>
          <a:ext cx="723900" cy="171450"/>
        </a:xfrm>
        <a:prstGeom prst="rect">
          <a:avLst/>
        </a:prstGeom>
      </xdr:spPr>
    </xdr:pic>
    <xdr:clientData/>
  </xdr:twoCellAnchor>
  <xdr:twoCellAnchor editAs="oneCell">
    <xdr:from>
      <xdr:col>5</xdr:col>
      <xdr:colOff>66675</xdr:colOff>
      <xdr:row>19</xdr:row>
      <xdr:rowOff>133350</xdr:rowOff>
    </xdr:from>
    <xdr:to>
      <xdr:col>5</xdr:col>
      <xdr:colOff>466725</xdr:colOff>
      <xdr:row>20</xdr:row>
      <xdr:rowOff>114300</xdr:rowOff>
    </xdr:to>
    <xdr:pic>
      <xdr:nvPicPr>
        <xdr:cNvPr id="8" name="图片 7" descr="未标题-1.png">
          <a:extLst>
            <a:ext uri="{FF2B5EF4-FFF2-40B4-BE49-F238E27FC236}">
              <a16:creationId xmlns:a16="http://schemas.microsoft.com/office/drawing/2014/main" id="{00000000-0008-0000-3F00-000008000000}"/>
            </a:ext>
          </a:extLst>
        </xdr:cNvPr>
        <xdr:cNvPicPr>
          <a:picLocks noChangeAspect="1"/>
        </xdr:cNvPicPr>
      </xdr:nvPicPr>
      <xdr:blipFill>
        <a:blip xmlns:r="http://schemas.openxmlformats.org/officeDocument/2006/relationships" r:embed="rId7" cstate="print"/>
        <a:stretch>
          <a:fillRect/>
        </a:stretch>
      </xdr:blipFill>
      <xdr:spPr>
        <a:xfrm>
          <a:off x="5876925" y="4000500"/>
          <a:ext cx="400050" cy="190500"/>
        </a:xfrm>
        <a:prstGeom prst="rect">
          <a:avLst/>
        </a:prstGeom>
      </xdr:spPr>
    </xdr:pic>
    <xdr:clientData/>
  </xdr:twoCellAnchor>
  <xdr:twoCellAnchor editAs="oneCell">
    <xdr:from>
      <xdr:col>5</xdr:col>
      <xdr:colOff>57150</xdr:colOff>
      <xdr:row>21</xdr:row>
      <xdr:rowOff>123825</xdr:rowOff>
    </xdr:from>
    <xdr:to>
      <xdr:col>5</xdr:col>
      <xdr:colOff>828675</xdr:colOff>
      <xdr:row>22</xdr:row>
      <xdr:rowOff>85725</xdr:rowOff>
    </xdr:to>
    <xdr:pic>
      <xdr:nvPicPr>
        <xdr:cNvPr id="9" name="图片 8" descr="未标题-1.png">
          <a:extLst>
            <a:ext uri="{FF2B5EF4-FFF2-40B4-BE49-F238E27FC236}">
              <a16:creationId xmlns:a16="http://schemas.microsoft.com/office/drawing/2014/main" id="{00000000-0008-0000-3F00-000009000000}"/>
            </a:ext>
          </a:extLst>
        </xdr:cNvPr>
        <xdr:cNvPicPr>
          <a:picLocks noChangeAspect="1"/>
        </xdr:cNvPicPr>
      </xdr:nvPicPr>
      <xdr:blipFill>
        <a:blip xmlns:r="http://schemas.openxmlformats.org/officeDocument/2006/relationships" r:embed="rId8" cstate="print"/>
        <a:stretch>
          <a:fillRect/>
        </a:stretch>
      </xdr:blipFill>
      <xdr:spPr>
        <a:xfrm>
          <a:off x="5867400" y="4410075"/>
          <a:ext cx="771525" cy="1714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0" name="五边形 1">
          <a:hlinkClick xmlns:r="http://schemas.openxmlformats.org/officeDocument/2006/relationships" r:id="rId9"/>
          <a:extLst>
            <a:ext uri="{FF2B5EF4-FFF2-40B4-BE49-F238E27FC236}">
              <a16:creationId xmlns:a16="http://schemas.microsoft.com/office/drawing/2014/main" id="{00000000-0008-0000-3F00-00000A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3</xdr:col>
      <xdr:colOff>38100</xdr:colOff>
      <xdr:row>10</xdr:row>
      <xdr:rowOff>114300</xdr:rowOff>
    </xdr:from>
    <xdr:to>
      <xdr:col>4</xdr:col>
      <xdr:colOff>0</xdr:colOff>
      <xdr:row>20</xdr:row>
      <xdr:rowOff>158115</xdr:rowOff>
    </xdr:to>
    <xdr:pic>
      <xdr:nvPicPr>
        <xdr:cNvPr id="2" name="图片 1" descr="未标题-1.png">
          <a:extLst>
            <a:ext uri="{FF2B5EF4-FFF2-40B4-BE49-F238E27FC236}">
              <a16:creationId xmlns:a16="http://schemas.microsoft.com/office/drawing/2014/main" id="{00000000-0008-0000-4000-000002000000}"/>
            </a:ext>
          </a:extLst>
        </xdr:cNvPr>
        <xdr:cNvPicPr>
          <a:picLocks noChangeAspect="1"/>
        </xdr:cNvPicPr>
      </xdr:nvPicPr>
      <xdr:blipFill>
        <a:blip xmlns:r="http://schemas.openxmlformats.org/officeDocument/2006/relationships" r:embed="rId1" cstate="print"/>
        <a:stretch>
          <a:fillRect/>
        </a:stretch>
      </xdr:blipFill>
      <xdr:spPr>
        <a:xfrm>
          <a:off x="2257425" y="2095500"/>
          <a:ext cx="1695450" cy="2139315"/>
        </a:xfrm>
        <a:prstGeom prst="rect">
          <a:avLst/>
        </a:prstGeom>
      </xdr:spPr>
    </xdr:pic>
    <xdr:clientData/>
  </xdr:twoCellAnchor>
  <xdr:twoCellAnchor editAs="oneCell">
    <xdr:from>
      <xdr:col>5</xdr:col>
      <xdr:colOff>133350</xdr:colOff>
      <xdr:row>9</xdr:row>
      <xdr:rowOff>114300</xdr:rowOff>
    </xdr:from>
    <xdr:to>
      <xdr:col>5</xdr:col>
      <xdr:colOff>828675</xdr:colOff>
      <xdr:row>10</xdr:row>
      <xdr:rowOff>47625</xdr:rowOff>
    </xdr:to>
    <xdr:pic>
      <xdr:nvPicPr>
        <xdr:cNvPr id="3" name="图片 2" descr="未标题-1.png">
          <a:extLst>
            <a:ext uri="{FF2B5EF4-FFF2-40B4-BE49-F238E27FC236}">
              <a16:creationId xmlns:a16="http://schemas.microsoft.com/office/drawing/2014/main" id="{00000000-0008-0000-4000-000003000000}"/>
            </a:ext>
          </a:extLst>
        </xdr:cNvPr>
        <xdr:cNvPicPr>
          <a:picLocks noChangeAspect="1"/>
        </xdr:cNvPicPr>
      </xdr:nvPicPr>
      <xdr:blipFill>
        <a:blip xmlns:r="http://schemas.openxmlformats.org/officeDocument/2006/relationships" r:embed="rId2" cstate="print"/>
        <a:stretch>
          <a:fillRect/>
        </a:stretch>
      </xdr:blipFill>
      <xdr:spPr>
        <a:xfrm>
          <a:off x="5943600" y="1847850"/>
          <a:ext cx="695325" cy="180975"/>
        </a:xfrm>
        <a:prstGeom prst="rect">
          <a:avLst/>
        </a:prstGeom>
      </xdr:spPr>
    </xdr:pic>
    <xdr:clientData/>
  </xdr:twoCellAnchor>
  <xdr:twoCellAnchor editAs="oneCell">
    <xdr:from>
      <xdr:col>5</xdr:col>
      <xdr:colOff>114300</xdr:colOff>
      <xdr:row>11</xdr:row>
      <xdr:rowOff>57150</xdr:rowOff>
    </xdr:from>
    <xdr:to>
      <xdr:col>5</xdr:col>
      <xdr:colOff>876300</xdr:colOff>
      <xdr:row>12</xdr:row>
      <xdr:rowOff>180975</xdr:rowOff>
    </xdr:to>
    <xdr:pic>
      <xdr:nvPicPr>
        <xdr:cNvPr id="4" name="图片 3" descr="未标题-1.png">
          <a:extLst>
            <a:ext uri="{FF2B5EF4-FFF2-40B4-BE49-F238E27FC236}">
              <a16:creationId xmlns:a16="http://schemas.microsoft.com/office/drawing/2014/main" id="{00000000-0008-0000-4000-000004000000}"/>
            </a:ext>
          </a:extLst>
        </xdr:cNvPr>
        <xdr:cNvPicPr>
          <a:picLocks noChangeAspect="1"/>
        </xdr:cNvPicPr>
      </xdr:nvPicPr>
      <xdr:blipFill>
        <a:blip xmlns:r="http://schemas.openxmlformats.org/officeDocument/2006/relationships" r:embed="rId3" cstate="print"/>
        <a:stretch>
          <a:fillRect/>
        </a:stretch>
      </xdr:blipFill>
      <xdr:spPr>
        <a:xfrm>
          <a:off x="5924550" y="2247900"/>
          <a:ext cx="762000" cy="333375"/>
        </a:xfrm>
        <a:prstGeom prst="rect">
          <a:avLst/>
        </a:prstGeom>
      </xdr:spPr>
    </xdr:pic>
    <xdr:clientData/>
  </xdr:twoCellAnchor>
  <xdr:twoCellAnchor editAs="oneCell">
    <xdr:from>
      <xdr:col>5</xdr:col>
      <xdr:colOff>47625</xdr:colOff>
      <xdr:row>13</xdr:row>
      <xdr:rowOff>47625</xdr:rowOff>
    </xdr:from>
    <xdr:to>
      <xdr:col>5</xdr:col>
      <xdr:colOff>819150</xdr:colOff>
      <xdr:row>14</xdr:row>
      <xdr:rowOff>180975</xdr:rowOff>
    </xdr:to>
    <xdr:pic>
      <xdr:nvPicPr>
        <xdr:cNvPr id="5" name="图片 4" descr="未标题-1.png">
          <a:extLst>
            <a:ext uri="{FF2B5EF4-FFF2-40B4-BE49-F238E27FC236}">
              <a16:creationId xmlns:a16="http://schemas.microsoft.com/office/drawing/2014/main" id="{00000000-0008-0000-4000-000005000000}"/>
            </a:ext>
          </a:extLst>
        </xdr:cNvPr>
        <xdr:cNvPicPr>
          <a:picLocks noChangeAspect="1"/>
        </xdr:cNvPicPr>
      </xdr:nvPicPr>
      <xdr:blipFill>
        <a:blip xmlns:r="http://schemas.openxmlformats.org/officeDocument/2006/relationships" r:embed="rId4" cstate="print"/>
        <a:stretch>
          <a:fillRect/>
        </a:stretch>
      </xdr:blipFill>
      <xdr:spPr>
        <a:xfrm>
          <a:off x="5857875" y="2657475"/>
          <a:ext cx="771525" cy="342900"/>
        </a:xfrm>
        <a:prstGeom prst="rect">
          <a:avLst/>
        </a:prstGeom>
      </xdr:spPr>
    </xdr:pic>
    <xdr:clientData/>
  </xdr:twoCellAnchor>
  <xdr:twoCellAnchor editAs="oneCell">
    <xdr:from>
      <xdr:col>5</xdr:col>
      <xdr:colOff>19050</xdr:colOff>
      <xdr:row>15</xdr:row>
      <xdr:rowOff>47625</xdr:rowOff>
    </xdr:from>
    <xdr:to>
      <xdr:col>6</xdr:col>
      <xdr:colOff>0</xdr:colOff>
      <xdr:row>16</xdr:row>
      <xdr:rowOff>180975</xdr:rowOff>
    </xdr:to>
    <xdr:pic>
      <xdr:nvPicPr>
        <xdr:cNvPr id="6" name="图片 5" descr="未标题-1.png">
          <a:extLst>
            <a:ext uri="{FF2B5EF4-FFF2-40B4-BE49-F238E27FC236}">
              <a16:creationId xmlns:a16="http://schemas.microsoft.com/office/drawing/2014/main" id="{00000000-0008-0000-4000-000006000000}"/>
            </a:ext>
          </a:extLst>
        </xdr:cNvPr>
        <xdr:cNvPicPr>
          <a:picLocks noChangeAspect="1"/>
        </xdr:cNvPicPr>
      </xdr:nvPicPr>
      <xdr:blipFill>
        <a:blip xmlns:r="http://schemas.openxmlformats.org/officeDocument/2006/relationships" r:embed="rId5" cstate="print"/>
        <a:stretch>
          <a:fillRect/>
        </a:stretch>
      </xdr:blipFill>
      <xdr:spPr>
        <a:xfrm>
          <a:off x="5829300" y="3076575"/>
          <a:ext cx="1104900" cy="342900"/>
        </a:xfrm>
        <a:prstGeom prst="rect">
          <a:avLst/>
        </a:prstGeom>
      </xdr:spPr>
    </xdr:pic>
    <xdr:clientData/>
  </xdr:twoCellAnchor>
  <xdr:twoCellAnchor editAs="oneCell">
    <xdr:from>
      <xdr:col>5</xdr:col>
      <xdr:colOff>47625</xdr:colOff>
      <xdr:row>17</xdr:row>
      <xdr:rowOff>57150</xdr:rowOff>
    </xdr:from>
    <xdr:to>
      <xdr:col>5</xdr:col>
      <xdr:colOff>438150</xdr:colOff>
      <xdr:row>18</xdr:row>
      <xdr:rowOff>142875</xdr:rowOff>
    </xdr:to>
    <xdr:pic>
      <xdr:nvPicPr>
        <xdr:cNvPr id="7" name="图片 6" descr="未标题-1.png">
          <a:extLst>
            <a:ext uri="{FF2B5EF4-FFF2-40B4-BE49-F238E27FC236}">
              <a16:creationId xmlns:a16="http://schemas.microsoft.com/office/drawing/2014/main" id="{00000000-0008-0000-4000-000007000000}"/>
            </a:ext>
          </a:extLst>
        </xdr:cNvPr>
        <xdr:cNvPicPr>
          <a:picLocks noChangeAspect="1"/>
        </xdr:cNvPicPr>
      </xdr:nvPicPr>
      <xdr:blipFill>
        <a:blip xmlns:r="http://schemas.openxmlformats.org/officeDocument/2006/relationships" r:embed="rId6" cstate="print"/>
        <a:stretch>
          <a:fillRect/>
        </a:stretch>
      </xdr:blipFill>
      <xdr:spPr>
        <a:xfrm>
          <a:off x="5857875" y="3505200"/>
          <a:ext cx="390525" cy="295275"/>
        </a:xfrm>
        <a:prstGeom prst="rect">
          <a:avLst/>
        </a:prstGeom>
      </xdr:spPr>
    </xdr:pic>
    <xdr:clientData/>
  </xdr:twoCellAnchor>
  <xdr:twoCellAnchor editAs="oneCell">
    <xdr:from>
      <xdr:col>5</xdr:col>
      <xdr:colOff>47625</xdr:colOff>
      <xdr:row>19</xdr:row>
      <xdr:rowOff>123825</xdr:rowOff>
    </xdr:from>
    <xdr:to>
      <xdr:col>5</xdr:col>
      <xdr:colOff>876300</xdr:colOff>
      <xdr:row>20</xdr:row>
      <xdr:rowOff>85725</xdr:rowOff>
    </xdr:to>
    <xdr:pic>
      <xdr:nvPicPr>
        <xdr:cNvPr id="8" name="图片 7" descr="未标题-1.png">
          <a:extLst>
            <a:ext uri="{FF2B5EF4-FFF2-40B4-BE49-F238E27FC236}">
              <a16:creationId xmlns:a16="http://schemas.microsoft.com/office/drawing/2014/main" id="{00000000-0008-0000-4000-000008000000}"/>
            </a:ext>
          </a:extLst>
        </xdr:cNvPr>
        <xdr:cNvPicPr>
          <a:picLocks noChangeAspect="1"/>
        </xdr:cNvPicPr>
      </xdr:nvPicPr>
      <xdr:blipFill>
        <a:blip xmlns:r="http://schemas.openxmlformats.org/officeDocument/2006/relationships" r:embed="rId7" cstate="print"/>
        <a:stretch>
          <a:fillRect/>
        </a:stretch>
      </xdr:blipFill>
      <xdr:spPr>
        <a:xfrm>
          <a:off x="5857875" y="3990975"/>
          <a:ext cx="828675" cy="171450"/>
        </a:xfrm>
        <a:prstGeom prst="rect">
          <a:avLst/>
        </a:prstGeom>
      </xdr:spPr>
    </xdr:pic>
    <xdr:clientData/>
  </xdr:twoCellAnchor>
  <xdr:twoCellAnchor editAs="oneCell">
    <xdr:from>
      <xdr:col>5</xdr:col>
      <xdr:colOff>85725</xdr:colOff>
      <xdr:row>21</xdr:row>
      <xdr:rowOff>104775</xdr:rowOff>
    </xdr:from>
    <xdr:to>
      <xdr:col>6</xdr:col>
      <xdr:colOff>0</xdr:colOff>
      <xdr:row>22</xdr:row>
      <xdr:rowOff>114300</xdr:rowOff>
    </xdr:to>
    <xdr:pic>
      <xdr:nvPicPr>
        <xdr:cNvPr id="9" name="图片 8" descr="未标题-1.png">
          <a:extLst>
            <a:ext uri="{FF2B5EF4-FFF2-40B4-BE49-F238E27FC236}">
              <a16:creationId xmlns:a16="http://schemas.microsoft.com/office/drawing/2014/main" id="{00000000-0008-0000-4000-000009000000}"/>
            </a:ext>
          </a:extLst>
        </xdr:cNvPr>
        <xdr:cNvPicPr>
          <a:picLocks noChangeAspect="1"/>
        </xdr:cNvPicPr>
      </xdr:nvPicPr>
      <xdr:blipFill>
        <a:blip xmlns:r="http://schemas.openxmlformats.org/officeDocument/2006/relationships" r:embed="rId8" cstate="print"/>
        <a:stretch>
          <a:fillRect/>
        </a:stretch>
      </xdr:blipFill>
      <xdr:spPr>
        <a:xfrm>
          <a:off x="5895975" y="4391025"/>
          <a:ext cx="1038225" cy="21907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0" name="五边形 1">
          <a:hlinkClick xmlns:r="http://schemas.openxmlformats.org/officeDocument/2006/relationships" r:id="rId9"/>
          <a:extLst>
            <a:ext uri="{FF2B5EF4-FFF2-40B4-BE49-F238E27FC236}">
              <a16:creationId xmlns:a16="http://schemas.microsoft.com/office/drawing/2014/main" id="{00000000-0008-0000-4000-00000A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716280</xdr:colOff>
      <xdr:row>9</xdr:row>
      <xdr:rowOff>57150</xdr:rowOff>
    </xdr:from>
    <xdr:to>
      <xdr:col>4</xdr:col>
      <xdr:colOff>9525</xdr:colOff>
      <xdr:row>18</xdr:row>
      <xdr:rowOff>123825</xdr:rowOff>
    </xdr:to>
    <xdr:pic>
      <xdr:nvPicPr>
        <xdr:cNvPr id="2" name="图片 1" descr="未标题-1.png">
          <a:extLst>
            <a:ext uri="{FF2B5EF4-FFF2-40B4-BE49-F238E27FC236}">
              <a16:creationId xmlns:a16="http://schemas.microsoft.com/office/drawing/2014/main" id="{00000000-0008-0000-4100-000002000000}"/>
            </a:ext>
          </a:extLst>
        </xdr:cNvPr>
        <xdr:cNvPicPr>
          <a:picLocks noChangeAspect="1"/>
        </xdr:cNvPicPr>
      </xdr:nvPicPr>
      <xdr:blipFill>
        <a:blip xmlns:r="http://schemas.openxmlformats.org/officeDocument/2006/relationships" r:embed="rId1" cstate="print"/>
        <a:stretch>
          <a:fillRect/>
        </a:stretch>
      </xdr:blipFill>
      <xdr:spPr>
        <a:xfrm>
          <a:off x="2219325" y="1790700"/>
          <a:ext cx="1743075" cy="1990725"/>
        </a:xfrm>
        <a:prstGeom prst="rect">
          <a:avLst/>
        </a:prstGeom>
      </xdr:spPr>
    </xdr:pic>
    <xdr:clientData/>
  </xdr:twoCellAnchor>
  <xdr:twoCellAnchor editAs="oneCell">
    <xdr:from>
      <xdr:col>5</xdr:col>
      <xdr:colOff>66675</xdr:colOff>
      <xdr:row>9</xdr:row>
      <xdr:rowOff>57150</xdr:rowOff>
    </xdr:from>
    <xdr:to>
      <xdr:col>5</xdr:col>
      <xdr:colOff>838200</xdr:colOff>
      <xdr:row>10</xdr:row>
      <xdr:rowOff>142875</xdr:rowOff>
    </xdr:to>
    <xdr:pic>
      <xdr:nvPicPr>
        <xdr:cNvPr id="3" name="图片 2" descr="未标题-1.png">
          <a:extLst>
            <a:ext uri="{FF2B5EF4-FFF2-40B4-BE49-F238E27FC236}">
              <a16:creationId xmlns:a16="http://schemas.microsoft.com/office/drawing/2014/main" id="{00000000-0008-0000-4100-000003000000}"/>
            </a:ext>
          </a:extLst>
        </xdr:cNvPr>
        <xdr:cNvPicPr>
          <a:picLocks noChangeAspect="1"/>
        </xdr:cNvPicPr>
      </xdr:nvPicPr>
      <xdr:blipFill>
        <a:blip xmlns:r="http://schemas.openxmlformats.org/officeDocument/2006/relationships" r:embed="rId2" cstate="print"/>
        <a:stretch>
          <a:fillRect/>
        </a:stretch>
      </xdr:blipFill>
      <xdr:spPr>
        <a:xfrm>
          <a:off x="5876925" y="1790700"/>
          <a:ext cx="771525" cy="333375"/>
        </a:xfrm>
        <a:prstGeom prst="rect">
          <a:avLst/>
        </a:prstGeom>
      </xdr:spPr>
    </xdr:pic>
    <xdr:clientData/>
  </xdr:twoCellAnchor>
  <xdr:twoCellAnchor editAs="oneCell">
    <xdr:from>
      <xdr:col>5</xdr:col>
      <xdr:colOff>38100</xdr:colOff>
      <xdr:row>11</xdr:row>
      <xdr:rowOff>28575</xdr:rowOff>
    </xdr:from>
    <xdr:to>
      <xdr:col>6</xdr:col>
      <xdr:colOff>0</xdr:colOff>
      <xdr:row>13</xdr:row>
      <xdr:rowOff>1905</xdr:rowOff>
    </xdr:to>
    <xdr:pic>
      <xdr:nvPicPr>
        <xdr:cNvPr id="4" name="图片 3" descr="未标题-1.png">
          <a:extLst>
            <a:ext uri="{FF2B5EF4-FFF2-40B4-BE49-F238E27FC236}">
              <a16:creationId xmlns:a16="http://schemas.microsoft.com/office/drawing/2014/main" id="{00000000-0008-0000-4100-000004000000}"/>
            </a:ext>
          </a:extLst>
        </xdr:cNvPr>
        <xdr:cNvPicPr>
          <a:picLocks noChangeAspect="1"/>
        </xdr:cNvPicPr>
      </xdr:nvPicPr>
      <xdr:blipFill>
        <a:blip xmlns:r="http://schemas.openxmlformats.org/officeDocument/2006/relationships" r:embed="rId3" cstate="print"/>
        <a:stretch>
          <a:fillRect/>
        </a:stretch>
      </xdr:blipFill>
      <xdr:spPr>
        <a:xfrm>
          <a:off x="5848350" y="2219325"/>
          <a:ext cx="1076325" cy="392430"/>
        </a:xfrm>
        <a:prstGeom prst="rect">
          <a:avLst/>
        </a:prstGeom>
      </xdr:spPr>
    </xdr:pic>
    <xdr:clientData/>
  </xdr:twoCellAnchor>
  <xdr:twoCellAnchor editAs="oneCell">
    <xdr:from>
      <xdr:col>5</xdr:col>
      <xdr:colOff>19050</xdr:colOff>
      <xdr:row>13</xdr:row>
      <xdr:rowOff>19050</xdr:rowOff>
    </xdr:from>
    <xdr:to>
      <xdr:col>6</xdr:col>
      <xdr:colOff>0</xdr:colOff>
      <xdr:row>14</xdr:row>
      <xdr:rowOff>190500</xdr:rowOff>
    </xdr:to>
    <xdr:pic>
      <xdr:nvPicPr>
        <xdr:cNvPr id="5" name="图片 4" descr="未标题-1.png">
          <a:extLst>
            <a:ext uri="{FF2B5EF4-FFF2-40B4-BE49-F238E27FC236}">
              <a16:creationId xmlns:a16="http://schemas.microsoft.com/office/drawing/2014/main" id="{00000000-0008-0000-4100-000005000000}"/>
            </a:ext>
          </a:extLst>
        </xdr:cNvPr>
        <xdr:cNvPicPr>
          <a:picLocks noChangeAspect="1"/>
        </xdr:cNvPicPr>
      </xdr:nvPicPr>
      <xdr:blipFill>
        <a:blip xmlns:r="http://schemas.openxmlformats.org/officeDocument/2006/relationships" r:embed="rId4" cstate="print"/>
        <a:stretch>
          <a:fillRect/>
        </a:stretch>
      </xdr:blipFill>
      <xdr:spPr>
        <a:xfrm>
          <a:off x="5829300" y="2628900"/>
          <a:ext cx="1095375" cy="381000"/>
        </a:xfrm>
        <a:prstGeom prst="rect">
          <a:avLst/>
        </a:prstGeom>
      </xdr:spPr>
    </xdr:pic>
    <xdr:clientData/>
  </xdr:twoCellAnchor>
  <xdr:twoCellAnchor editAs="oneCell">
    <xdr:from>
      <xdr:col>5</xdr:col>
      <xdr:colOff>57150</xdr:colOff>
      <xdr:row>15</xdr:row>
      <xdr:rowOff>76200</xdr:rowOff>
    </xdr:from>
    <xdr:to>
      <xdr:col>5</xdr:col>
      <xdr:colOff>390525</xdr:colOff>
      <xdr:row>16</xdr:row>
      <xdr:rowOff>161925</xdr:rowOff>
    </xdr:to>
    <xdr:pic>
      <xdr:nvPicPr>
        <xdr:cNvPr id="6" name="图片 5" descr="未标题-1.png">
          <a:extLst>
            <a:ext uri="{FF2B5EF4-FFF2-40B4-BE49-F238E27FC236}">
              <a16:creationId xmlns:a16="http://schemas.microsoft.com/office/drawing/2014/main" id="{00000000-0008-0000-4100-000006000000}"/>
            </a:ext>
          </a:extLst>
        </xdr:cNvPr>
        <xdr:cNvPicPr>
          <a:picLocks noChangeAspect="1"/>
        </xdr:cNvPicPr>
      </xdr:nvPicPr>
      <xdr:blipFill>
        <a:blip xmlns:r="http://schemas.openxmlformats.org/officeDocument/2006/relationships" r:embed="rId5" cstate="print"/>
        <a:stretch>
          <a:fillRect/>
        </a:stretch>
      </xdr:blipFill>
      <xdr:spPr>
        <a:xfrm>
          <a:off x="5867400" y="3105150"/>
          <a:ext cx="333375" cy="295275"/>
        </a:xfrm>
        <a:prstGeom prst="rect">
          <a:avLst/>
        </a:prstGeom>
      </xdr:spPr>
    </xdr:pic>
    <xdr:clientData/>
  </xdr:twoCellAnchor>
  <xdr:twoCellAnchor editAs="oneCell">
    <xdr:from>
      <xdr:col>5</xdr:col>
      <xdr:colOff>38100</xdr:colOff>
      <xdr:row>17</xdr:row>
      <xdr:rowOff>9525</xdr:rowOff>
    </xdr:from>
    <xdr:to>
      <xdr:col>6</xdr:col>
      <xdr:colOff>0</xdr:colOff>
      <xdr:row>18</xdr:row>
      <xdr:rowOff>295275</xdr:rowOff>
    </xdr:to>
    <xdr:pic>
      <xdr:nvPicPr>
        <xdr:cNvPr id="7" name="图片 6" descr="未标题-1.png">
          <a:extLst>
            <a:ext uri="{FF2B5EF4-FFF2-40B4-BE49-F238E27FC236}">
              <a16:creationId xmlns:a16="http://schemas.microsoft.com/office/drawing/2014/main" id="{00000000-0008-0000-4100-000007000000}"/>
            </a:ext>
          </a:extLst>
        </xdr:cNvPr>
        <xdr:cNvPicPr>
          <a:picLocks noChangeAspect="1"/>
        </xdr:cNvPicPr>
      </xdr:nvPicPr>
      <xdr:blipFill>
        <a:blip xmlns:r="http://schemas.openxmlformats.org/officeDocument/2006/relationships" r:embed="rId6" cstate="print"/>
        <a:stretch>
          <a:fillRect/>
        </a:stretch>
      </xdr:blipFill>
      <xdr:spPr>
        <a:xfrm>
          <a:off x="5848350" y="3457575"/>
          <a:ext cx="1076325" cy="49530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8" name="五边形 1">
          <a:hlinkClick xmlns:r="http://schemas.openxmlformats.org/officeDocument/2006/relationships" r:id="rId7"/>
          <a:extLst>
            <a:ext uri="{FF2B5EF4-FFF2-40B4-BE49-F238E27FC236}">
              <a16:creationId xmlns:a16="http://schemas.microsoft.com/office/drawing/2014/main" id="{00000000-0008-0000-4100-000008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3</xdr:col>
      <xdr:colOff>38101</xdr:colOff>
      <xdr:row>10</xdr:row>
      <xdr:rowOff>95249</xdr:rowOff>
    </xdr:from>
    <xdr:to>
      <xdr:col>4</xdr:col>
      <xdr:colOff>1</xdr:colOff>
      <xdr:row>19</xdr:row>
      <xdr:rowOff>26669</xdr:rowOff>
    </xdr:to>
    <xdr:pic>
      <xdr:nvPicPr>
        <xdr:cNvPr id="2" name="图片 1" descr="未标题-1.png">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cstate="print"/>
        <a:stretch>
          <a:fillRect/>
        </a:stretch>
      </xdr:blipFill>
      <xdr:spPr>
        <a:xfrm>
          <a:off x="2257425" y="2075815"/>
          <a:ext cx="1695450" cy="1817370"/>
        </a:xfrm>
        <a:prstGeom prst="rect">
          <a:avLst/>
        </a:prstGeom>
      </xdr:spPr>
    </xdr:pic>
    <xdr:clientData/>
  </xdr:twoCellAnchor>
  <xdr:twoCellAnchor editAs="oneCell">
    <xdr:from>
      <xdr:col>5</xdr:col>
      <xdr:colOff>76200</xdr:colOff>
      <xdr:row>9</xdr:row>
      <xdr:rowOff>104775</xdr:rowOff>
    </xdr:from>
    <xdr:to>
      <xdr:col>5</xdr:col>
      <xdr:colOff>1000125</xdr:colOff>
      <xdr:row>10</xdr:row>
      <xdr:rowOff>142875</xdr:rowOff>
    </xdr:to>
    <xdr:pic>
      <xdr:nvPicPr>
        <xdr:cNvPr id="3" name="图片 2" descr="未标题-1.png">
          <a:extLst>
            <a:ext uri="{FF2B5EF4-FFF2-40B4-BE49-F238E27FC236}">
              <a16:creationId xmlns:a16="http://schemas.microsoft.com/office/drawing/2014/main" id="{00000000-0008-0000-4200-000003000000}"/>
            </a:ext>
          </a:extLst>
        </xdr:cNvPr>
        <xdr:cNvPicPr>
          <a:picLocks noChangeAspect="1"/>
        </xdr:cNvPicPr>
      </xdr:nvPicPr>
      <xdr:blipFill>
        <a:blip xmlns:r="http://schemas.openxmlformats.org/officeDocument/2006/relationships" r:embed="rId2" cstate="print"/>
        <a:stretch>
          <a:fillRect/>
        </a:stretch>
      </xdr:blipFill>
      <xdr:spPr>
        <a:xfrm>
          <a:off x="5886450" y="1838325"/>
          <a:ext cx="923925" cy="285750"/>
        </a:xfrm>
        <a:prstGeom prst="rect">
          <a:avLst/>
        </a:prstGeom>
      </xdr:spPr>
    </xdr:pic>
    <xdr:clientData/>
  </xdr:twoCellAnchor>
  <xdr:twoCellAnchor editAs="oneCell">
    <xdr:from>
      <xdr:col>5</xdr:col>
      <xdr:colOff>66675</xdr:colOff>
      <xdr:row>11</xdr:row>
      <xdr:rowOff>85725</xdr:rowOff>
    </xdr:from>
    <xdr:to>
      <xdr:col>6</xdr:col>
      <xdr:colOff>0</xdr:colOff>
      <xdr:row>12</xdr:row>
      <xdr:rowOff>161925</xdr:rowOff>
    </xdr:to>
    <xdr:pic>
      <xdr:nvPicPr>
        <xdr:cNvPr id="4" name="图片 3" descr="未标题-1.png">
          <a:extLst>
            <a:ext uri="{FF2B5EF4-FFF2-40B4-BE49-F238E27FC236}">
              <a16:creationId xmlns:a16="http://schemas.microsoft.com/office/drawing/2014/main" id="{00000000-0008-0000-4200-000004000000}"/>
            </a:ext>
          </a:extLst>
        </xdr:cNvPr>
        <xdr:cNvPicPr>
          <a:picLocks noChangeAspect="1"/>
        </xdr:cNvPicPr>
      </xdr:nvPicPr>
      <xdr:blipFill>
        <a:blip xmlns:r="http://schemas.openxmlformats.org/officeDocument/2006/relationships" r:embed="rId3" cstate="print"/>
        <a:stretch>
          <a:fillRect/>
        </a:stretch>
      </xdr:blipFill>
      <xdr:spPr>
        <a:xfrm>
          <a:off x="5876925" y="2276475"/>
          <a:ext cx="1190625" cy="285750"/>
        </a:xfrm>
        <a:prstGeom prst="rect">
          <a:avLst/>
        </a:prstGeom>
      </xdr:spPr>
    </xdr:pic>
    <xdr:clientData/>
  </xdr:twoCellAnchor>
  <xdr:twoCellAnchor editAs="oneCell">
    <xdr:from>
      <xdr:col>5</xdr:col>
      <xdr:colOff>57150</xdr:colOff>
      <xdr:row>13</xdr:row>
      <xdr:rowOff>85725</xdr:rowOff>
    </xdr:from>
    <xdr:to>
      <xdr:col>5</xdr:col>
      <xdr:colOff>1085850</xdr:colOff>
      <xdr:row>14</xdr:row>
      <xdr:rowOff>161925</xdr:rowOff>
    </xdr:to>
    <xdr:pic>
      <xdr:nvPicPr>
        <xdr:cNvPr id="5" name="图片 4" descr="未标题-1.png">
          <a:extLst>
            <a:ext uri="{FF2B5EF4-FFF2-40B4-BE49-F238E27FC236}">
              <a16:creationId xmlns:a16="http://schemas.microsoft.com/office/drawing/2014/main" id="{00000000-0008-0000-4200-000005000000}"/>
            </a:ext>
          </a:extLst>
        </xdr:cNvPr>
        <xdr:cNvPicPr>
          <a:picLocks noChangeAspect="1"/>
        </xdr:cNvPicPr>
      </xdr:nvPicPr>
      <xdr:blipFill>
        <a:blip xmlns:r="http://schemas.openxmlformats.org/officeDocument/2006/relationships" r:embed="rId4" cstate="print"/>
        <a:stretch>
          <a:fillRect/>
        </a:stretch>
      </xdr:blipFill>
      <xdr:spPr>
        <a:xfrm>
          <a:off x="5867400" y="2695575"/>
          <a:ext cx="1028700" cy="285750"/>
        </a:xfrm>
        <a:prstGeom prst="rect">
          <a:avLst/>
        </a:prstGeom>
      </xdr:spPr>
    </xdr:pic>
    <xdr:clientData/>
  </xdr:twoCellAnchor>
  <xdr:twoCellAnchor editAs="oneCell">
    <xdr:from>
      <xdr:col>5</xdr:col>
      <xdr:colOff>57150</xdr:colOff>
      <xdr:row>15</xdr:row>
      <xdr:rowOff>57150</xdr:rowOff>
    </xdr:from>
    <xdr:to>
      <xdr:col>5</xdr:col>
      <xdr:colOff>1000125</xdr:colOff>
      <xdr:row>16</xdr:row>
      <xdr:rowOff>190500</xdr:rowOff>
    </xdr:to>
    <xdr:pic>
      <xdr:nvPicPr>
        <xdr:cNvPr id="6" name="图片 5" descr="未标题-1.png">
          <a:extLst>
            <a:ext uri="{FF2B5EF4-FFF2-40B4-BE49-F238E27FC236}">
              <a16:creationId xmlns:a16="http://schemas.microsoft.com/office/drawing/2014/main" id="{00000000-0008-0000-4200-000006000000}"/>
            </a:ext>
          </a:extLst>
        </xdr:cNvPr>
        <xdr:cNvPicPr>
          <a:picLocks noChangeAspect="1"/>
        </xdr:cNvPicPr>
      </xdr:nvPicPr>
      <xdr:blipFill>
        <a:blip xmlns:r="http://schemas.openxmlformats.org/officeDocument/2006/relationships" r:embed="rId5" cstate="print"/>
        <a:stretch>
          <a:fillRect/>
        </a:stretch>
      </xdr:blipFill>
      <xdr:spPr>
        <a:xfrm>
          <a:off x="5867400" y="3086100"/>
          <a:ext cx="942975" cy="342900"/>
        </a:xfrm>
        <a:prstGeom prst="rect">
          <a:avLst/>
        </a:prstGeom>
      </xdr:spPr>
    </xdr:pic>
    <xdr:clientData/>
  </xdr:twoCellAnchor>
  <xdr:twoCellAnchor editAs="oneCell">
    <xdr:from>
      <xdr:col>5</xdr:col>
      <xdr:colOff>66675</xdr:colOff>
      <xdr:row>17</xdr:row>
      <xdr:rowOff>47625</xdr:rowOff>
    </xdr:from>
    <xdr:to>
      <xdr:col>5</xdr:col>
      <xdr:colOff>466725</xdr:colOff>
      <xdr:row>18</xdr:row>
      <xdr:rowOff>152400</xdr:rowOff>
    </xdr:to>
    <xdr:pic>
      <xdr:nvPicPr>
        <xdr:cNvPr id="7" name="图片 6" descr="未标题-1.png">
          <a:extLst>
            <a:ext uri="{FF2B5EF4-FFF2-40B4-BE49-F238E27FC236}">
              <a16:creationId xmlns:a16="http://schemas.microsoft.com/office/drawing/2014/main" id="{00000000-0008-0000-4200-000007000000}"/>
            </a:ext>
          </a:extLst>
        </xdr:cNvPr>
        <xdr:cNvPicPr>
          <a:picLocks noChangeAspect="1"/>
        </xdr:cNvPicPr>
      </xdr:nvPicPr>
      <xdr:blipFill>
        <a:blip xmlns:r="http://schemas.openxmlformats.org/officeDocument/2006/relationships" r:embed="rId6" cstate="print"/>
        <a:stretch>
          <a:fillRect/>
        </a:stretch>
      </xdr:blipFill>
      <xdr:spPr>
        <a:xfrm>
          <a:off x="5876925" y="3495675"/>
          <a:ext cx="400050" cy="314325"/>
        </a:xfrm>
        <a:prstGeom prst="rect">
          <a:avLst/>
        </a:prstGeom>
      </xdr:spPr>
    </xdr:pic>
    <xdr:clientData/>
  </xdr:twoCellAnchor>
  <xdr:twoCellAnchor editAs="oneCell">
    <xdr:from>
      <xdr:col>5</xdr:col>
      <xdr:colOff>47625</xdr:colOff>
      <xdr:row>19</xdr:row>
      <xdr:rowOff>47625</xdr:rowOff>
    </xdr:from>
    <xdr:to>
      <xdr:col>5</xdr:col>
      <xdr:colOff>914400</xdr:colOff>
      <xdr:row>20</xdr:row>
      <xdr:rowOff>152400</xdr:rowOff>
    </xdr:to>
    <xdr:pic>
      <xdr:nvPicPr>
        <xdr:cNvPr id="8" name="图片 7" descr="未标题-1.png">
          <a:extLst>
            <a:ext uri="{FF2B5EF4-FFF2-40B4-BE49-F238E27FC236}">
              <a16:creationId xmlns:a16="http://schemas.microsoft.com/office/drawing/2014/main" id="{00000000-0008-0000-4200-000008000000}"/>
            </a:ext>
          </a:extLst>
        </xdr:cNvPr>
        <xdr:cNvPicPr>
          <a:picLocks noChangeAspect="1"/>
        </xdr:cNvPicPr>
      </xdr:nvPicPr>
      <xdr:blipFill>
        <a:blip xmlns:r="http://schemas.openxmlformats.org/officeDocument/2006/relationships" r:embed="rId7" cstate="print"/>
        <a:stretch>
          <a:fillRect/>
        </a:stretch>
      </xdr:blipFill>
      <xdr:spPr>
        <a:xfrm>
          <a:off x="5857875" y="3914775"/>
          <a:ext cx="866775" cy="31432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9" name="五边形 1">
          <a:hlinkClick xmlns:r="http://schemas.openxmlformats.org/officeDocument/2006/relationships" r:id="rId8"/>
          <a:extLst>
            <a:ext uri="{FF2B5EF4-FFF2-40B4-BE49-F238E27FC236}">
              <a16:creationId xmlns:a16="http://schemas.microsoft.com/office/drawing/2014/main" id="{00000000-0008-0000-4200-000009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3</xdr:col>
      <xdr:colOff>47626</xdr:colOff>
      <xdr:row>13</xdr:row>
      <xdr:rowOff>104775</xdr:rowOff>
    </xdr:from>
    <xdr:to>
      <xdr:col>4</xdr:col>
      <xdr:colOff>1</xdr:colOff>
      <xdr:row>21</xdr:row>
      <xdr:rowOff>57150</xdr:rowOff>
    </xdr:to>
    <xdr:pic>
      <xdr:nvPicPr>
        <xdr:cNvPr id="2" name="图片 1" descr="未标题-1.png">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cstate="print"/>
        <a:stretch>
          <a:fillRect/>
        </a:stretch>
      </xdr:blipFill>
      <xdr:spPr>
        <a:xfrm>
          <a:off x="2266950" y="2714625"/>
          <a:ext cx="1752600" cy="1628775"/>
        </a:xfrm>
        <a:prstGeom prst="rect">
          <a:avLst/>
        </a:prstGeom>
      </xdr:spPr>
    </xdr:pic>
    <xdr:clientData/>
  </xdr:twoCellAnchor>
  <xdr:twoCellAnchor editAs="oneCell">
    <xdr:from>
      <xdr:col>5</xdr:col>
      <xdr:colOff>19050</xdr:colOff>
      <xdr:row>9</xdr:row>
      <xdr:rowOff>161925</xdr:rowOff>
    </xdr:from>
    <xdr:to>
      <xdr:col>5</xdr:col>
      <xdr:colOff>1028700</xdr:colOff>
      <xdr:row>10</xdr:row>
      <xdr:rowOff>85725</xdr:rowOff>
    </xdr:to>
    <xdr:pic>
      <xdr:nvPicPr>
        <xdr:cNvPr id="3" name="图片 2" descr="未标题-1.png">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2" cstate="print"/>
        <a:stretch>
          <a:fillRect/>
        </a:stretch>
      </xdr:blipFill>
      <xdr:spPr>
        <a:xfrm>
          <a:off x="5895975" y="1895475"/>
          <a:ext cx="1009650" cy="171450"/>
        </a:xfrm>
        <a:prstGeom prst="rect">
          <a:avLst/>
        </a:prstGeom>
      </xdr:spPr>
    </xdr:pic>
    <xdr:clientData/>
  </xdr:twoCellAnchor>
  <xdr:twoCellAnchor editAs="oneCell">
    <xdr:from>
      <xdr:col>5</xdr:col>
      <xdr:colOff>19050</xdr:colOff>
      <xdr:row>11</xdr:row>
      <xdr:rowOff>85725</xdr:rowOff>
    </xdr:from>
    <xdr:to>
      <xdr:col>6</xdr:col>
      <xdr:colOff>0</xdr:colOff>
      <xdr:row>12</xdr:row>
      <xdr:rowOff>161925</xdr:rowOff>
    </xdr:to>
    <xdr:pic>
      <xdr:nvPicPr>
        <xdr:cNvPr id="4" name="图片 3" descr="未标题-1.png">
          <a:extLst>
            <a:ext uri="{FF2B5EF4-FFF2-40B4-BE49-F238E27FC236}">
              <a16:creationId xmlns:a16="http://schemas.microsoft.com/office/drawing/2014/main" id="{00000000-0008-0000-4300-000004000000}"/>
            </a:ext>
          </a:extLst>
        </xdr:cNvPr>
        <xdr:cNvPicPr>
          <a:picLocks noChangeAspect="1"/>
        </xdr:cNvPicPr>
      </xdr:nvPicPr>
      <xdr:blipFill>
        <a:blip xmlns:r="http://schemas.openxmlformats.org/officeDocument/2006/relationships" r:embed="rId3" cstate="print"/>
        <a:stretch>
          <a:fillRect/>
        </a:stretch>
      </xdr:blipFill>
      <xdr:spPr>
        <a:xfrm>
          <a:off x="5895975" y="2276475"/>
          <a:ext cx="1076325" cy="285750"/>
        </a:xfrm>
        <a:prstGeom prst="rect">
          <a:avLst/>
        </a:prstGeom>
      </xdr:spPr>
    </xdr:pic>
    <xdr:clientData/>
  </xdr:twoCellAnchor>
  <xdr:twoCellAnchor editAs="oneCell">
    <xdr:from>
      <xdr:col>5</xdr:col>
      <xdr:colOff>19050</xdr:colOff>
      <xdr:row>13</xdr:row>
      <xdr:rowOff>66675</xdr:rowOff>
    </xdr:from>
    <xdr:to>
      <xdr:col>6</xdr:col>
      <xdr:colOff>0</xdr:colOff>
      <xdr:row>14</xdr:row>
      <xdr:rowOff>142875</xdr:rowOff>
    </xdr:to>
    <xdr:pic>
      <xdr:nvPicPr>
        <xdr:cNvPr id="5" name="图片 4" descr="未标题-1.png">
          <a:extLst>
            <a:ext uri="{FF2B5EF4-FFF2-40B4-BE49-F238E27FC236}">
              <a16:creationId xmlns:a16="http://schemas.microsoft.com/office/drawing/2014/main" id="{00000000-0008-0000-4300-000005000000}"/>
            </a:ext>
          </a:extLst>
        </xdr:cNvPr>
        <xdr:cNvPicPr>
          <a:picLocks noChangeAspect="1"/>
        </xdr:cNvPicPr>
      </xdr:nvPicPr>
      <xdr:blipFill>
        <a:blip xmlns:r="http://schemas.openxmlformats.org/officeDocument/2006/relationships" r:embed="rId4" cstate="print"/>
        <a:stretch>
          <a:fillRect/>
        </a:stretch>
      </xdr:blipFill>
      <xdr:spPr>
        <a:xfrm>
          <a:off x="5895975" y="2676525"/>
          <a:ext cx="1076325" cy="285750"/>
        </a:xfrm>
        <a:prstGeom prst="rect">
          <a:avLst/>
        </a:prstGeom>
      </xdr:spPr>
    </xdr:pic>
    <xdr:clientData/>
  </xdr:twoCellAnchor>
  <xdr:twoCellAnchor editAs="oneCell">
    <xdr:from>
      <xdr:col>5</xdr:col>
      <xdr:colOff>19050</xdr:colOff>
      <xdr:row>15</xdr:row>
      <xdr:rowOff>47625</xdr:rowOff>
    </xdr:from>
    <xdr:to>
      <xdr:col>6</xdr:col>
      <xdr:colOff>0</xdr:colOff>
      <xdr:row>16</xdr:row>
      <xdr:rowOff>180975</xdr:rowOff>
    </xdr:to>
    <xdr:pic>
      <xdr:nvPicPr>
        <xdr:cNvPr id="6" name="图片 5" descr="未标题-1.png">
          <a:extLst>
            <a:ext uri="{FF2B5EF4-FFF2-40B4-BE49-F238E27FC236}">
              <a16:creationId xmlns:a16="http://schemas.microsoft.com/office/drawing/2014/main" id="{00000000-0008-0000-4300-000006000000}"/>
            </a:ext>
          </a:extLst>
        </xdr:cNvPr>
        <xdr:cNvPicPr>
          <a:picLocks noChangeAspect="1"/>
        </xdr:cNvPicPr>
      </xdr:nvPicPr>
      <xdr:blipFill>
        <a:blip xmlns:r="http://schemas.openxmlformats.org/officeDocument/2006/relationships" r:embed="rId5" cstate="print"/>
        <a:stretch>
          <a:fillRect/>
        </a:stretch>
      </xdr:blipFill>
      <xdr:spPr>
        <a:xfrm>
          <a:off x="5895975" y="3076575"/>
          <a:ext cx="1076325" cy="342900"/>
        </a:xfrm>
        <a:prstGeom prst="rect">
          <a:avLst/>
        </a:prstGeom>
      </xdr:spPr>
    </xdr:pic>
    <xdr:clientData/>
  </xdr:twoCellAnchor>
  <xdr:twoCellAnchor editAs="oneCell">
    <xdr:from>
      <xdr:col>5</xdr:col>
      <xdr:colOff>9525</xdr:colOff>
      <xdr:row>17</xdr:row>
      <xdr:rowOff>47625</xdr:rowOff>
    </xdr:from>
    <xdr:to>
      <xdr:col>6</xdr:col>
      <xdr:colOff>0</xdr:colOff>
      <xdr:row>18</xdr:row>
      <xdr:rowOff>180975</xdr:rowOff>
    </xdr:to>
    <xdr:pic>
      <xdr:nvPicPr>
        <xdr:cNvPr id="7" name="图片 6" descr="未标题-1.png">
          <a:extLst>
            <a:ext uri="{FF2B5EF4-FFF2-40B4-BE49-F238E27FC236}">
              <a16:creationId xmlns:a16="http://schemas.microsoft.com/office/drawing/2014/main" id="{00000000-0008-0000-4300-000007000000}"/>
            </a:ext>
          </a:extLst>
        </xdr:cNvPr>
        <xdr:cNvPicPr>
          <a:picLocks noChangeAspect="1"/>
        </xdr:cNvPicPr>
      </xdr:nvPicPr>
      <xdr:blipFill>
        <a:blip xmlns:r="http://schemas.openxmlformats.org/officeDocument/2006/relationships" r:embed="rId6" cstate="print"/>
        <a:stretch>
          <a:fillRect/>
        </a:stretch>
      </xdr:blipFill>
      <xdr:spPr>
        <a:xfrm>
          <a:off x="5886450" y="3495675"/>
          <a:ext cx="1085850" cy="342900"/>
        </a:xfrm>
        <a:prstGeom prst="rect">
          <a:avLst/>
        </a:prstGeom>
      </xdr:spPr>
    </xdr:pic>
    <xdr:clientData/>
  </xdr:twoCellAnchor>
  <xdr:twoCellAnchor editAs="oneCell">
    <xdr:from>
      <xdr:col>5</xdr:col>
      <xdr:colOff>57150</xdr:colOff>
      <xdr:row>19</xdr:row>
      <xdr:rowOff>133350</xdr:rowOff>
    </xdr:from>
    <xdr:to>
      <xdr:col>5</xdr:col>
      <xdr:colOff>447675</xdr:colOff>
      <xdr:row>20</xdr:row>
      <xdr:rowOff>95250</xdr:rowOff>
    </xdr:to>
    <xdr:pic>
      <xdr:nvPicPr>
        <xdr:cNvPr id="8" name="图片 7" descr="未标题-1.png">
          <a:extLst>
            <a:ext uri="{FF2B5EF4-FFF2-40B4-BE49-F238E27FC236}">
              <a16:creationId xmlns:a16="http://schemas.microsoft.com/office/drawing/2014/main" id="{00000000-0008-0000-4300-000008000000}"/>
            </a:ext>
          </a:extLst>
        </xdr:cNvPr>
        <xdr:cNvPicPr>
          <a:picLocks noChangeAspect="1"/>
        </xdr:cNvPicPr>
      </xdr:nvPicPr>
      <xdr:blipFill>
        <a:blip xmlns:r="http://schemas.openxmlformats.org/officeDocument/2006/relationships" r:embed="rId7" cstate="print"/>
        <a:stretch>
          <a:fillRect/>
        </a:stretch>
      </xdr:blipFill>
      <xdr:spPr>
        <a:xfrm>
          <a:off x="5934075" y="4000500"/>
          <a:ext cx="390525" cy="171450"/>
        </a:xfrm>
        <a:prstGeom prst="rect">
          <a:avLst/>
        </a:prstGeom>
      </xdr:spPr>
    </xdr:pic>
    <xdr:clientData/>
  </xdr:twoCellAnchor>
  <xdr:twoCellAnchor editAs="oneCell">
    <xdr:from>
      <xdr:col>5</xdr:col>
      <xdr:colOff>66675</xdr:colOff>
      <xdr:row>21</xdr:row>
      <xdr:rowOff>114300</xdr:rowOff>
    </xdr:from>
    <xdr:to>
      <xdr:col>5</xdr:col>
      <xdr:colOff>447675</xdr:colOff>
      <xdr:row>22</xdr:row>
      <xdr:rowOff>95250</xdr:rowOff>
    </xdr:to>
    <xdr:pic>
      <xdr:nvPicPr>
        <xdr:cNvPr id="9" name="图片 8" descr="未标题-1.png">
          <a:extLst>
            <a:ext uri="{FF2B5EF4-FFF2-40B4-BE49-F238E27FC236}">
              <a16:creationId xmlns:a16="http://schemas.microsoft.com/office/drawing/2014/main" id="{00000000-0008-0000-4300-000009000000}"/>
            </a:ext>
          </a:extLst>
        </xdr:cNvPr>
        <xdr:cNvPicPr>
          <a:picLocks noChangeAspect="1"/>
        </xdr:cNvPicPr>
      </xdr:nvPicPr>
      <xdr:blipFill>
        <a:blip xmlns:r="http://schemas.openxmlformats.org/officeDocument/2006/relationships" r:embed="rId8" cstate="print"/>
        <a:stretch>
          <a:fillRect/>
        </a:stretch>
      </xdr:blipFill>
      <xdr:spPr>
        <a:xfrm>
          <a:off x="5943600" y="4400550"/>
          <a:ext cx="381000" cy="190500"/>
        </a:xfrm>
        <a:prstGeom prst="rect">
          <a:avLst/>
        </a:prstGeom>
      </xdr:spPr>
    </xdr:pic>
    <xdr:clientData/>
  </xdr:twoCellAnchor>
  <xdr:twoCellAnchor editAs="oneCell">
    <xdr:from>
      <xdr:col>5</xdr:col>
      <xdr:colOff>76200</xdr:colOff>
      <xdr:row>23</xdr:row>
      <xdr:rowOff>19050</xdr:rowOff>
    </xdr:from>
    <xdr:to>
      <xdr:col>5</xdr:col>
      <xdr:colOff>561975</xdr:colOff>
      <xdr:row>24</xdr:row>
      <xdr:rowOff>304800</xdr:rowOff>
    </xdr:to>
    <xdr:pic>
      <xdr:nvPicPr>
        <xdr:cNvPr id="10" name="图片 9" descr="未标题-1.png">
          <a:extLst>
            <a:ext uri="{FF2B5EF4-FFF2-40B4-BE49-F238E27FC236}">
              <a16:creationId xmlns:a16="http://schemas.microsoft.com/office/drawing/2014/main" id="{00000000-0008-0000-4300-00000A000000}"/>
            </a:ext>
          </a:extLst>
        </xdr:cNvPr>
        <xdr:cNvPicPr>
          <a:picLocks noChangeAspect="1"/>
        </xdr:cNvPicPr>
      </xdr:nvPicPr>
      <xdr:blipFill>
        <a:blip xmlns:r="http://schemas.openxmlformats.org/officeDocument/2006/relationships" r:embed="rId9" cstate="print"/>
        <a:stretch>
          <a:fillRect/>
        </a:stretch>
      </xdr:blipFill>
      <xdr:spPr>
        <a:xfrm>
          <a:off x="5953125" y="4724400"/>
          <a:ext cx="485775" cy="495300"/>
        </a:xfrm>
        <a:prstGeom prst="rect">
          <a:avLst/>
        </a:prstGeom>
      </xdr:spPr>
    </xdr:pic>
    <xdr:clientData/>
  </xdr:twoCellAnchor>
  <xdr:twoCellAnchor editAs="oneCell">
    <xdr:from>
      <xdr:col>5</xdr:col>
      <xdr:colOff>76200</xdr:colOff>
      <xdr:row>24</xdr:row>
      <xdr:rowOff>314325</xdr:rowOff>
    </xdr:from>
    <xdr:to>
      <xdr:col>5</xdr:col>
      <xdr:colOff>571500</xdr:colOff>
      <xdr:row>27</xdr:row>
      <xdr:rowOff>19050</xdr:rowOff>
    </xdr:to>
    <xdr:pic>
      <xdr:nvPicPr>
        <xdr:cNvPr id="11" name="图片 10" descr="未标题-1.png">
          <a:extLst>
            <a:ext uri="{FF2B5EF4-FFF2-40B4-BE49-F238E27FC236}">
              <a16:creationId xmlns:a16="http://schemas.microsoft.com/office/drawing/2014/main" id="{00000000-0008-0000-4300-00000B000000}"/>
            </a:ext>
          </a:extLst>
        </xdr:cNvPr>
        <xdr:cNvPicPr>
          <a:picLocks noChangeAspect="1"/>
        </xdr:cNvPicPr>
      </xdr:nvPicPr>
      <xdr:blipFill>
        <a:blip xmlns:r="http://schemas.openxmlformats.org/officeDocument/2006/relationships" r:embed="rId10" cstate="print"/>
        <a:stretch>
          <a:fillRect/>
        </a:stretch>
      </xdr:blipFill>
      <xdr:spPr>
        <a:xfrm>
          <a:off x="5953125" y="5229225"/>
          <a:ext cx="495300" cy="49530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2" name="五边形 1">
          <a:hlinkClick xmlns:r="http://schemas.openxmlformats.org/officeDocument/2006/relationships" r:id="rId11"/>
          <a:extLst>
            <a:ext uri="{FF2B5EF4-FFF2-40B4-BE49-F238E27FC236}">
              <a16:creationId xmlns:a16="http://schemas.microsoft.com/office/drawing/2014/main" id="{00000000-0008-0000-4300-00000C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3</xdr:col>
      <xdr:colOff>76199</xdr:colOff>
      <xdr:row>12</xdr:row>
      <xdr:rowOff>104775</xdr:rowOff>
    </xdr:from>
    <xdr:to>
      <xdr:col>4</xdr:col>
      <xdr:colOff>634</xdr:colOff>
      <xdr:row>22</xdr:row>
      <xdr:rowOff>152400</xdr:rowOff>
    </xdr:to>
    <xdr:pic>
      <xdr:nvPicPr>
        <xdr:cNvPr id="2" name="图片 1" descr="未标题-1.png">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cstate="print"/>
        <a:stretch>
          <a:fillRect/>
        </a:stretch>
      </xdr:blipFill>
      <xdr:spPr>
        <a:xfrm>
          <a:off x="2294890" y="2505075"/>
          <a:ext cx="1657985" cy="2143125"/>
        </a:xfrm>
        <a:prstGeom prst="rect">
          <a:avLst/>
        </a:prstGeom>
      </xdr:spPr>
    </xdr:pic>
    <xdr:clientData/>
  </xdr:twoCellAnchor>
  <xdr:twoCellAnchor editAs="oneCell">
    <xdr:from>
      <xdr:col>5</xdr:col>
      <xdr:colOff>85725</xdr:colOff>
      <xdr:row>9</xdr:row>
      <xdr:rowOff>133350</xdr:rowOff>
    </xdr:from>
    <xdr:to>
      <xdr:col>5</xdr:col>
      <xdr:colOff>495300</xdr:colOff>
      <xdr:row>10</xdr:row>
      <xdr:rowOff>57150</xdr:rowOff>
    </xdr:to>
    <xdr:pic>
      <xdr:nvPicPr>
        <xdr:cNvPr id="3" name="图片 2" descr="未标题-1.png">
          <a:extLst>
            <a:ext uri="{FF2B5EF4-FFF2-40B4-BE49-F238E27FC236}">
              <a16:creationId xmlns:a16="http://schemas.microsoft.com/office/drawing/2014/main" id="{00000000-0008-0000-4400-000003000000}"/>
            </a:ext>
          </a:extLst>
        </xdr:cNvPr>
        <xdr:cNvPicPr>
          <a:picLocks noChangeAspect="1"/>
        </xdr:cNvPicPr>
      </xdr:nvPicPr>
      <xdr:blipFill>
        <a:blip xmlns:r="http://schemas.openxmlformats.org/officeDocument/2006/relationships" r:embed="rId2" cstate="print"/>
        <a:stretch>
          <a:fillRect/>
        </a:stretch>
      </xdr:blipFill>
      <xdr:spPr>
        <a:xfrm>
          <a:off x="5895975" y="1866900"/>
          <a:ext cx="409575" cy="171450"/>
        </a:xfrm>
        <a:prstGeom prst="rect">
          <a:avLst/>
        </a:prstGeom>
      </xdr:spPr>
    </xdr:pic>
    <xdr:clientData/>
  </xdr:twoCellAnchor>
  <xdr:twoCellAnchor editAs="oneCell">
    <xdr:from>
      <xdr:col>5</xdr:col>
      <xdr:colOff>57150</xdr:colOff>
      <xdr:row>11</xdr:row>
      <xdr:rowOff>28575</xdr:rowOff>
    </xdr:from>
    <xdr:to>
      <xdr:col>5</xdr:col>
      <xdr:colOff>552450</xdr:colOff>
      <xdr:row>12</xdr:row>
      <xdr:rowOff>152400</xdr:rowOff>
    </xdr:to>
    <xdr:pic>
      <xdr:nvPicPr>
        <xdr:cNvPr id="4" name="图片 3" descr="未标题-1.png">
          <a:extLst>
            <a:ext uri="{FF2B5EF4-FFF2-40B4-BE49-F238E27FC236}">
              <a16:creationId xmlns:a16="http://schemas.microsoft.com/office/drawing/2014/main" id="{00000000-0008-0000-4400-000004000000}"/>
            </a:ext>
          </a:extLst>
        </xdr:cNvPr>
        <xdr:cNvPicPr>
          <a:picLocks noChangeAspect="1"/>
        </xdr:cNvPicPr>
      </xdr:nvPicPr>
      <xdr:blipFill>
        <a:blip xmlns:r="http://schemas.openxmlformats.org/officeDocument/2006/relationships" r:embed="rId3" cstate="print"/>
        <a:stretch>
          <a:fillRect/>
        </a:stretch>
      </xdr:blipFill>
      <xdr:spPr>
        <a:xfrm>
          <a:off x="5867400" y="2219325"/>
          <a:ext cx="495300" cy="333375"/>
        </a:xfrm>
        <a:prstGeom prst="rect">
          <a:avLst/>
        </a:prstGeom>
      </xdr:spPr>
    </xdr:pic>
    <xdr:clientData/>
  </xdr:twoCellAnchor>
  <xdr:twoCellAnchor editAs="oneCell">
    <xdr:from>
      <xdr:col>5</xdr:col>
      <xdr:colOff>57150</xdr:colOff>
      <xdr:row>13</xdr:row>
      <xdr:rowOff>57150</xdr:rowOff>
    </xdr:from>
    <xdr:to>
      <xdr:col>5</xdr:col>
      <xdr:colOff>552450</xdr:colOff>
      <xdr:row>14</xdr:row>
      <xdr:rowOff>180975</xdr:rowOff>
    </xdr:to>
    <xdr:pic>
      <xdr:nvPicPr>
        <xdr:cNvPr id="5" name="图片 4" descr="未标题-1.png">
          <a:extLst>
            <a:ext uri="{FF2B5EF4-FFF2-40B4-BE49-F238E27FC236}">
              <a16:creationId xmlns:a16="http://schemas.microsoft.com/office/drawing/2014/main" id="{00000000-0008-0000-4400-000005000000}"/>
            </a:ext>
          </a:extLst>
        </xdr:cNvPr>
        <xdr:cNvPicPr>
          <a:picLocks noChangeAspect="1"/>
        </xdr:cNvPicPr>
      </xdr:nvPicPr>
      <xdr:blipFill>
        <a:blip xmlns:r="http://schemas.openxmlformats.org/officeDocument/2006/relationships" r:embed="rId4" cstate="print"/>
        <a:stretch>
          <a:fillRect/>
        </a:stretch>
      </xdr:blipFill>
      <xdr:spPr>
        <a:xfrm>
          <a:off x="5867400" y="2667000"/>
          <a:ext cx="495300" cy="333375"/>
        </a:xfrm>
        <a:prstGeom prst="rect">
          <a:avLst/>
        </a:prstGeom>
      </xdr:spPr>
    </xdr:pic>
    <xdr:clientData/>
  </xdr:twoCellAnchor>
  <xdr:twoCellAnchor editAs="oneCell">
    <xdr:from>
      <xdr:col>5</xdr:col>
      <xdr:colOff>57150</xdr:colOff>
      <xdr:row>15</xdr:row>
      <xdr:rowOff>38100</xdr:rowOff>
    </xdr:from>
    <xdr:to>
      <xdr:col>5</xdr:col>
      <xdr:colOff>619125</xdr:colOff>
      <xdr:row>16</xdr:row>
      <xdr:rowOff>171450</xdr:rowOff>
    </xdr:to>
    <xdr:pic>
      <xdr:nvPicPr>
        <xdr:cNvPr id="6" name="图片 5" descr="未标题-1.png">
          <a:extLst>
            <a:ext uri="{FF2B5EF4-FFF2-40B4-BE49-F238E27FC236}">
              <a16:creationId xmlns:a16="http://schemas.microsoft.com/office/drawing/2014/main" id="{00000000-0008-0000-4400-000006000000}"/>
            </a:ext>
          </a:extLst>
        </xdr:cNvPr>
        <xdr:cNvPicPr>
          <a:picLocks noChangeAspect="1"/>
        </xdr:cNvPicPr>
      </xdr:nvPicPr>
      <xdr:blipFill>
        <a:blip xmlns:r="http://schemas.openxmlformats.org/officeDocument/2006/relationships" r:embed="rId5" cstate="print"/>
        <a:stretch>
          <a:fillRect/>
        </a:stretch>
      </xdr:blipFill>
      <xdr:spPr>
        <a:xfrm>
          <a:off x="5867400" y="3067050"/>
          <a:ext cx="561975" cy="342900"/>
        </a:xfrm>
        <a:prstGeom prst="rect">
          <a:avLst/>
        </a:prstGeom>
      </xdr:spPr>
    </xdr:pic>
    <xdr:clientData/>
  </xdr:twoCellAnchor>
  <xdr:twoCellAnchor editAs="oneCell">
    <xdr:from>
      <xdr:col>5</xdr:col>
      <xdr:colOff>47625</xdr:colOff>
      <xdr:row>17</xdr:row>
      <xdr:rowOff>47625</xdr:rowOff>
    </xdr:from>
    <xdr:to>
      <xdr:col>5</xdr:col>
      <xdr:colOff>609600</xdr:colOff>
      <xdr:row>18</xdr:row>
      <xdr:rowOff>180975</xdr:rowOff>
    </xdr:to>
    <xdr:pic>
      <xdr:nvPicPr>
        <xdr:cNvPr id="7" name="图片 6" descr="未标题-1.png">
          <a:extLst>
            <a:ext uri="{FF2B5EF4-FFF2-40B4-BE49-F238E27FC236}">
              <a16:creationId xmlns:a16="http://schemas.microsoft.com/office/drawing/2014/main" id="{00000000-0008-0000-4400-000007000000}"/>
            </a:ext>
          </a:extLst>
        </xdr:cNvPr>
        <xdr:cNvPicPr>
          <a:picLocks noChangeAspect="1"/>
        </xdr:cNvPicPr>
      </xdr:nvPicPr>
      <xdr:blipFill>
        <a:blip xmlns:r="http://schemas.openxmlformats.org/officeDocument/2006/relationships" r:embed="rId6" cstate="print"/>
        <a:stretch>
          <a:fillRect/>
        </a:stretch>
      </xdr:blipFill>
      <xdr:spPr>
        <a:xfrm>
          <a:off x="5857875" y="3495675"/>
          <a:ext cx="561975" cy="342900"/>
        </a:xfrm>
        <a:prstGeom prst="rect">
          <a:avLst/>
        </a:prstGeom>
      </xdr:spPr>
    </xdr:pic>
    <xdr:clientData/>
  </xdr:twoCellAnchor>
  <xdr:twoCellAnchor editAs="oneCell">
    <xdr:from>
      <xdr:col>5</xdr:col>
      <xdr:colOff>57150</xdr:colOff>
      <xdr:row>19</xdr:row>
      <xdr:rowOff>9525</xdr:rowOff>
    </xdr:from>
    <xdr:to>
      <xdr:col>5</xdr:col>
      <xdr:colOff>447675</xdr:colOff>
      <xdr:row>20</xdr:row>
      <xdr:rowOff>123825</xdr:rowOff>
    </xdr:to>
    <xdr:pic>
      <xdr:nvPicPr>
        <xdr:cNvPr id="8" name="图片 7" descr="未标题-1.png">
          <a:extLst>
            <a:ext uri="{FF2B5EF4-FFF2-40B4-BE49-F238E27FC236}">
              <a16:creationId xmlns:a16="http://schemas.microsoft.com/office/drawing/2014/main" id="{00000000-0008-0000-4400-000008000000}"/>
            </a:ext>
          </a:extLst>
        </xdr:cNvPr>
        <xdr:cNvPicPr>
          <a:picLocks noChangeAspect="1"/>
        </xdr:cNvPicPr>
      </xdr:nvPicPr>
      <xdr:blipFill>
        <a:blip xmlns:r="http://schemas.openxmlformats.org/officeDocument/2006/relationships" r:embed="rId7" cstate="print"/>
        <a:stretch>
          <a:fillRect/>
        </a:stretch>
      </xdr:blipFill>
      <xdr:spPr>
        <a:xfrm>
          <a:off x="5867400" y="3876675"/>
          <a:ext cx="390525" cy="323850"/>
        </a:xfrm>
        <a:prstGeom prst="rect">
          <a:avLst/>
        </a:prstGeom>
      </xdr:spPr>
    </xdr:pic>
    <xdr:clientData/>
  </xdr:twoCellAnchor>
  <xdr:twoCellAnchor editAs="oneCell">
    <xdr:from>
      <xdr:col>5</xdr:col>
      <xdr:colOff>57150</xdr:colOff>
      <xdr:row>21</xdr:row>
      <xdr:rowOff>76200</xdr:rowOff>
    </xdr:from>
    <xdr:to>
      <xdr:col>5</xdr:col>
      <xdr:colOff>447675</xdr:colOff>
      <xdr:row>22</xdr:row>
      <xdr:rowOff>161925</xdr:rowOff>
    </xdr:to>
    <xdr:pic>
      <xdr:nvPicPr>
        <xdr:cNvPr id="9" name="图片 8" descr="未标题-1.png">
          <a:extLst>
            <a:ext uri="{FF2B5EF4-FFF2-40B4-BE49-F238E27FC236}">
              <a16:creationId xmlns:a16="http://schemas.microsoft.com/office/drawing/2014/main" id="{00000000-0008-0000-4400-000009000000}"/>
            </a:ext>
          </a:extLst>
        </xdr:cNvPr>
        <xdr:cNvPicPr>
          <a:picLocks noChangeAspect="1"/>
        </xdr:cNvPicPr>
      </xdr:nvPicPr>
      <xdr:blipFill>
        <a:blip xmlns:r="http://schemas.openxmlformats.org/officeDocument/2006/relationships" r:embed="rId8" cstate="print"/>
        <a:stretch>
          <a:fillRect/>
        </a:stretch>
      </xdr:blipFill>
      <xdr:spPr>
        <a:xfrm>
          <a:off x="5867400" y="4362450"/>
          <a:ext cx="390525" cy="295275"/>
        </a:xfrm>
        <a:prstGeom prst="rect">
          <a:avLst/>
        </a:prstGeom>
      </xdr:spPr>
    </xdr:pic>
    <xdr:clientData/>
  </xdr:twoCellAnchor>
  <xdr:twoCellAnchor editAs="oneCell">
    <xdr:from>
      <xdr:col>5</xdr:col>
      <xdr:colOff>47625</xdr:colOff>
      <xdr:row>23</xdr:row>
      <xdr:rowOff>133350</xdr:rowOff>
    </xdr:from>
    <xdr:to>
      <xdr:col>6</xdr:col>
      <xdr:colOff>0</xdr:colOff>
      <xdr:row>24</xdr:row>
      <xdr:rowOff>95250</xdr:rowOff>
    </xdr:to>
    <xdr:pic>
      <xdr:nvPicPr>
        <xdr:cNvPr id="10" name="图片 9" descr="未标题-1.png">
          <a:extLst>
            <a:ext uri="{FF2B5EF4-FFF2-40B4-BE49-F238E27FC236}">
              <a16:creationId xmlns:a16="http://schemas.microsoft.com/office/drawing/2014/main" id="{00000000-0008-0000-4400-00000A000000}"/>
            </a:ext>
          </a:extLst>
        </xdr:cNvPr>
        <xdr:cNvPicPr>
          <a:picLocks noChangeAspect="1"/>
        </xdr:cNvPicPr>
      </xdr:nvPicPr>
      <xdr:blipFill>
        <a:blip xmlns:r="http://schemas.openxmlformats.org/officeDocument/2006/relationships" r:embed="rId9" cstate="print"/>
        <a:stretch>
          <a:fillRect/>
        </a:stretch>
      </xdr:blipFill>
      <xdr:spPr>
        <a:xfrm>
          <a:off x="5857875" y="4838700"/>
          <a:ext cx="685800" cy="171450"/>
        </a:xfrm>
        <a:prstGeom prst="rect">
          <a:avLst/>
        </a:prstGeom>
      </xdr:spPr>
    </xdr:pic>
    <xdr:clientData/>
  </xdr:twoCellAnchor>
  <xdr:twoCellAnchor editAs="oneCell">
    <xdr:from>
      <xdr:col>5</xdr:col>
      <xdr:colOff>57150</xdr:colOff>
      <xdr:row>25</xdr:row>
      <xdr:rowOff>142875</xdr:rowOff>
    </xdr:from>
    <xdr:to>
      <xdr:col>6</xdr:col>
      <xdr:colOff>0</xdr:colOff>
      <xdr:row>26</xdr:row>
      <xdr:rowOff>123825</xdr:rowOff>
    </xdr:to>
    <xdr:pic>
      <xdr:nvPicPr>
        <xdr:cNvPr id="11" name="图片 10" descr="未标题-1.png">
          <a:extLst>
            <a:ext uri="{FF2B5EF4-FFF2-40B4-BE49-F238E27FC236}">
              <a16:creationId xmlns:a16="http://schemas.microsoft.com/office/drawing/2014/main" id="{00000000-0008-0000-4400-00000B000000}"/>
            </a:ext>
          </a:extLst>
        </xdr:cNvPr>
        <xdr:cNvPicPr>
          <a:picLocks noChangeAspect="1"/>
        </xdr:cNvPicPr>
      </xdr:nvPicPr>
      <xdr:blipFill>
        <a:blip xmlns:r="http://schemas.openxmlformats.org/officeDocument/2006/relationships" r:embed="rId10" cstate="print"/>
        <a:stretch>
          <a:fillRect/>
        </a:stretch>
      </xdr:blipFill>
      <xdr:spPr>
        <a:xfrm>
          <a:off x="5867400" y="5267325"/>
          <a:ext cx="676275" cy="19050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2" name="五边形 1">
          <a:hlinkClick xmlns:r="http://schemas.openxmlformats.org/officeDocument/2006/relationships" r:id="rId11"/>
          <a:extLst>
            <a:ext uri="{FF2B5EF4-FFF2-40B4-BE49-F238E27FC236}">
              <a16:creationId xmlns:a16="http://schemas.microsoft.com/office/drawing/2014/main" id="{00000000-0008-0000-4400-00000C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3</xdr:col>
      <xdr:colOff>76200</xdr:colOff>
      <xdr:row>10</xdr:row>
      <xdr:rowOff>123826</xdr:rowOff>
    </xdr:from>
    <xdr:to>
      <xdr:col>4</xdr:col>
      <xdr:colOff>0</xdr:colOff>
      <xdr:row>18</xdr:row>
      <xdr:rowOff>133351</xdr:rowOff>
    </xdr:to>
    <xdr:pic>
      <xdr:nvPicPr>
        <xdr:cNvPr id="2" name="图片 1" descr="未标题-1.png">
          <a:extLst>
            <a:ext uri="{FF2B5EF4-FFF2-40B4-BE49-F238E27FC236}">
              <a16:creationId xmlns:a16="http://schemas.microsoft.com/office/drawing/2014/main" id="{00000000-0008-0000-4500-000002000000}"/>
            </a:ext>
          </a:extLst>
        </xdr:cNvPr>
        <xdr:cNvPicPr>
          <a:picLocks noChangeAspect="1"/>
        </xdr:cNvPicPr>
      </xdr:nvPicPr>
      <xdr:blipFill>
        <a:blip xmlns:r="http://schemas.openxmlformats.org/officeDocument/2006/relationships" r:embed="rId1" cstate="print"/>
        <a:stretch>
          <a:fillRect/>
        </a:stretch>
      </xdr:blipFill>
      <xdr:spPr>
        <a:xfrm>
          <a:off x="2295525" y="2105025"/>
          <a:ext cx="1657350" cy="1685925"/>
        </a:xfrm>
        <a:prstGeom prst="rect">
          <a:avLst/>
        </a:prstGeom>
      </xdr:spPr>
    </xdr:pic>
    <xdr:clientData/>
  </xdr:twoCellAnchor>
  <xdr:twoCellAnchor editAs="oneCell">
    <xdr:from>
      <xdr:col>5</xdr:col>
      <xdr:colOff>76200</xdr:colOff>
      <xdr:row>9</xdr:row>
      <xdr:rowOff>76200</xdr:rowOff>
    </xdr:from>
    <xdr:to>
      <xdr:col>5</xdr:col>
      <xdr:colOff>1314450</xdr:colOff>
      <xdr:row>10</xdr:row>
      <xdr:rowOff>152400</xdr:rowOff>
    </xdr:to>
    <xdr:pic>
      <xdr:nvPicPr>
        <xdr:cNvPr id="3" name="图片 2" descr="未标题-1.png">
          <a:extLst>
            <a:ext uri="{FF2B5EF4-FFF2-40B4-BE49-F238E27FC236}">
              <a16:creationId xmlns:a16="http://schemas.microsoft.com/office/drawing/2014/main" id="{00000000-0008-0000-4500-000003000000}"/>
            </a:ext>
          </a:extLst>
        </xdr:cNvPr>
        <xdr:cNvPicPr>
          <a:picLocks noChangeAspect="1"/>
        </xdr:cNvPicPr>
      </xdr:nvPicPr>
      <xdr:blipFill>
        <a:blip xmlns:r="http://schemas.openxmlformats.org/officeDocument/2006/relationships" r:embed="rId2" cstate="print"/>
        <a:stretch>
          <a:fillRect/>
        </a:stretch>
      </xdr:blipFill>
      <xdr:spPr>
        <a:xfrm>
          <a:off x="5886450" y="1809750"/>
          <a:ext cx="1238250" cy="323850"/>
        </a:xfrm>
        <a:prstGeom prst="rect">
          <a:avLst/>
        </a:prstGeom>
      </xdr:spPr>
    </xdr:pic>
    <xdr:clientData/>
  </xdr:twoCellAnchor>
  <xdr:twoCellAnchor editAs="oneCell">
    <xdr:from>
      <xdr:col>5</xdr:col>
      <xdr:colOff>85725</xdr:colOff>
      <xdr:row>11</xdr:row>
      <xdr:rowOff>38100</xdr:rowOff>
    </xdr:from>
    <xdr:to>
      <xdr:col>5</xdr:col>
      <xdr:colOff>1809750</xdr:colOff>
      <xdr:row>12</xdr:row>
      <xdr:rowOff>171450</xdr:rowOff>
    </xdr:to>
    <xdr:pic>
      <xdr:nvPicPr>
        <xdr:cNvPr id="4" name="图片 3" descr="未标题-1.png">
          <a:extLst>
            <a:ext uri="{FF2B5EF4-FFF2-40B4-BE49-F238E27FC236}">
              <a16:creationId xmlns:a16="http://schemas.microsoft.com/office/drawing/2014/main" id="{00000000-0008-0000-4500-000004000000}"/>
            </a:ext>
          </a:extLst>
        </xdr:cNvPr>
        <xdr:cNvPicPr>
          <a:picLocks noChangeAspect="1"/>
        </xdr:cNvPicPr>
      </xdr:nvPicPr>
      <xdr:blipFill>
        <a:blip xmlns:r="http://schemas.openxmlformats.org/officeDocument/2006/relationships" r:embed="rId3" cstate="print"/>
        <a:stretch>
          <a:fillRect/>
        </a:stretch>
      </xdr:blipFill>
      <xdr:spPr>
        <a:xfrm>
          <a:off x="5895975" y="2228850"/>
          <a:ext cx="1724025" cy="342900"/>
        </a:xfrm>
        <a:prstGeom prst="rect">
          <a:avLst/>
        </a:prstGeom>
      </xdr:spPr>
    </xdr:pic>
    <xdr:clientData/>
  </xdr:twoCellAnchor>
  <xdr:twoCellAnchor editAs="oneCell">
    <xdr:from>
      <xdr:col>5</xdr:col>
      <xdr:colOff>66675</xdr:colOff>
      <xdr:row>13</xdr:row>
      <xdr:rowOff>38100</xdr:rowOff>
    </xdr:from>
    <xdr:to>
      <xdr:col>6</xdr:col>
      <xdr:colOff>0</xdr:colOff>
      <xdr:row>14</xdr:row>
      <xdr:rowOff>171450</xdr:rowOff>
    </xdr:to>
    <xdr:pic>
      <xdr:nvPicPr>
        <xdr:cNvPr id="5" name="图片 4" descr="未标题-1.png">
          <a:extLst>
            <a:ext uri="{FF2B5EF4-FFF2-40B4-BE49-F238E27FC236}">
              <a16:creationId xmlns:a16="http://schemas.microsoft.com/office/drawing/2014/main" id="{00000000-0008-0000-4500-000005000000}"/>
            </a:ext>
          </a:extLst>
        </xdr:cNvPr>
        <xdr:cNvPicPr>
          <a:picLocks noChangeAspect="1"/>
        </xdr:cNvPicPr>
      </xdr:nvPicPr>
      <xdr:blipFill>
        <a:blip xmlns:r="http://schemas.openxmlformats.org/officeDocument/2006/relationships" r:embed="rId4" cstate="print"/>
        <a:stretch>
          <a:fillRect/>
        </a:stretch>
      </xdr:blipFill>
      <xdr:spPr>
        <a:xfrm>
          <a:off x="5876925" y="2647950"/>
          <a:ext cx="1790700" cy="342900"/>
        </a:xfrm>
        <a:prstGeom prst="rect">
          <a:avLst/>
        </a:prstGeom>
      </xdr:spPr>
    </xdr:pic>
    <xdr:clientData/>
  </xdr:twoCellAnchor>
  <xdr:twoCellAnchor editAs="oneCell">
    <xdr:from>
      <xdr:col>5</xdr:col>
      <xdr:colOff>76200</xdr:colOff>
      <xdr:row>15</xdr:row>
      <xdr:rowOff>28575</xdr:rowOff>
    </xdr:from>
    <xdr:to>
      <xdr:col>5</xdr:col>
      <xdr:colOff>485775</xdr:colOff>
      <xdr:row>16</xdr:row>
      <xdr:rowOff>133350</xdr:rowOff>
    </xdr:to>
    <xdr:pic>
      <xdr:nvPicPr>
        <xdr:cNvPr id="6" name="图片 5" descr="未标题-1.png">
          <a:extLst>
            <a:ext uri="{FF2B5EF4-FFF2-40B4-BE49-F238E27FC236}">
              <a16:creationId xmlns:a16="http://schemas.microsoft.com/office/drawing/2014/main" id="{00000000-0008-0000-4500-000006000000}"/>
            </a:ext>
          </a:extLst>
        </xdr:cNvPr>
        <xdr:cNvPicPr>
          <a:picLocks noChangeAspect="1"/>
        </xdr:cNvPicPr>
      </xdr:nvPicPr>
      <xdr:blipFill>
        <a:blip xmlns:r="http://schemas.openxmlformats.org/officeDocument/2006/relationships" r:embed="rId5" cstate="print"/>
        <a:stretch>
          <a:fillRect/>
        </a:stretch>
      </xdr:blipFill>
      <xdr:spPr>
        <a:xfrm>
          <a:off x="5886450" y="3057525"/>
          <a:ext cx="409575" cy="314325"/>
        </a:xfrm>
        <a:prstGeom prst="rect">
          <a:avLst/>
        </a:prstGeom>
      </xdr:spPr>
    </xdr:pic>
    <xdr:clientData/>
  </xdr:twoCellAnchor>
  <xdr:twoCellAnchor editAs="oneCell">
    <xdr:from>
      <xdr:col>5</xdr:col>
      <xdr:colOff>0</xdr:colOff>
      <xdr:row>19</xdr:row>
      <xdr:rowOff>0</xdr:rowOff>
    </xdr:from>
    <xdr:to>
      <xdr:col>6</xdr:col>
      <xdr:colOff>0</xdr:colOff>
      <xdr:row>21</xdr:row>
      <xdr:rowOff>9525</xdr:rowOff>
    </xdr:to>
    <xdr:pic>
      <xdr:nvPicPr>
        <xdr:cNvPr id="7" name="图片 6" descr="未标题-1.png">
          <a:extLst>
            <a:ext uri="{FF2B5EF4-FFF2-40B4-BE49-F238E27FC236}">
              <a16:creationId xmlns:a16="http://schemas.microsoft.com/office/drawing/2014/main" id="{00000000-0008-0000-4500-000007000000}"/>
            </a:ext>
          </a:extLst>
        </xdr:cNvPr>
        <xdr:cNvPicPr>
          <a:picLocks noChangeAspect="1"/>
        </xdr:cNvPicPr>
      </xdr:nvPicPr>
      <xdr:blipFill>
        <a:blip xmlns:r="http://schemas.openxmlformats.org/officeDocument/2006/relationships" r:embed="rId6" cstate="print"/>
        <a:stretch>
          <a:fillRect/>
        </a:stretch>
      </xdr:blipFill>
      <xdr:spPr>
        <a:xfrm>
          <a:off x="5810250" y="3867150"/>
          <a:ext cx="1857375" cy="495300"/>
        </a:xfrm>
        <a:prstGeom prst="rect">
          <a:avLst/>
        </a:prstGeom>
      </xdr:spPr>
    </xdr:pic>
    <xdr:clientData/>
  </xdr:twoCellAnchor>
  <xdr:twoCellAnchor editAs="oneCell">
    <xdr:from>
      <xdr:col>5</xdr:col>
      <xdr:colOff>19050</xdr:colOff>
      <xdr:row>17</xdr:row>
      <xdr:rowOff>57150</xdr:rowOff>
    </xdr:from>
    <xdr:to>
      <xdr:col>5</xdr:col>
      <xdr:colOff>409575</xdr:colOff>
      <xdr:row>18</xdr:row>
      <xdr:rowOff>171450</xdr:rowOff>
    </xdr:to>
    <xdr:pic>
      <xdr:nvPicPr>
        <xdr:cNvPr id="8" name="图片 7" descr="未标题-1.png">
          <a:extLst>
            <a:ext uri="{FF2B5EF4-FFF2-40B4-BE49-F238E27FC236}">
              <a16:creationId xmlns:a16="http://schemas.microsoft.com/office/drawing/2014/main" id="{00000000-0008-0000-4500-000008000000}"/>
            </a:ext>
          </a:extLst>
        </xdr:cNvPr>
        <xdr:cNvPicPr>
          <a:picLocks noChangeAspect="1"/>
        </xdr:cNvPicPr>
      </xdr:nvPicPr>
      <xdr:blipFill>
        <a:blip xmlns:r="http://schemas.openxmlformats.org/officeDocument/2006/relationships" r:embed="rId7" cstate="print"/>
        <a:stretch>
          <a:fillRect/>
        </a:stretch>
      </xdr:blipFill>
      <xdr:spPr>
        <a:xfrm>
          <a:off x="5829300" y="3505200"/>
          <a:ext cx="390525" cy="3238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9" name="五边形 1">
          <a:hlinkClick xmlns:r="http://schemas.openxmlformats.org/officeDocument/2006/relationships" r:id="rId8"/>
          <a:extLst>
            <a:ext uri="{FF2B5EF4-FFF2-40B4-BE49-F238E27FC236}">
              <a16:creationId xmlns:a16="http://schemas.microsoft.com/office/drawing/2014/main" id="{00000000-0008-0000-4500-000009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3</xdr:col>
      <xdr:colOff>152400</xdr:colOff>
      <xdr:row>9</xdr:row>
      <xdr:rowOff>9525</xdr:rowOff>
    </xdr:from>
    <xdr:to>
      <xdr:col>3</xdr:col>
      <xdr:colOff>1351915</xdr:colOff>
      <xdr:row>18</xdr:row>
      <xdr:rowOff>293370</xdr:rowOff>
    </xdr:to>
    <xdr:pic>
      <xdr:nvPicPr>
        <xdr:cNvPr id="2" name="图片 1" descr="未标题-1.png">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cstate="print"/>
        <a:stretch>
          <a:fillRect/>
        </a:stretch>
      </xdr:blipFill>
      <xdr:spPr>
        <a:xfrm>
          <a:off x="2371725" y="1743075"/>
          <a:ext cx="1199515" cy="2207895"/>
        </a:xfrm>
        <a:prstGeom prst="rect">
          <a:avLst/>
        </a:prstGeom>
      </xdr:spPr>
    </xdr:pic>
    <xdr:clientData/>
  </xdr:twoCellAnchor>
  <xdr:twoCellAnchor editAs="oneCell">
    <xdr:from>
      <xdr:col>5</xdr:col>
      <xdr:colOff>161925</xdr:colOff>
      <xdr:row>9</xdr:row>
      <xdr:rowOff>133350</xdr:rowOff>
    </xdr:from>
    <xdr:to>
      <xdr:col>5</xdr:col>
      <xdr:colOff>914400</xdr:colOff>
      <xdr:row>10</xdr:row>
      <xdr:rowOff>57150</xdr:rowOff>
    </xdr:to>
    <xdr:pic>
      <xdr:nvPicPr>
        <xdr:cNvPr id="3" name="图片 2" descr="未标题-1.png">
          <a:extLst>
            <a:ext uri="{FF2B5EF4-FFF2-40B4-BE49-F238E27FC236}">
              <a16:creationId xmlns:a16="http://schemas.microsoft.com/office/drawing/2014/main" id="{00000000-0008-0000-4600-000003000000}"/>
            </a:ext>
          </a:extLst>
        </xdr:cNvPr>
        <xdr:cNvPicPr>
          <a:picLocks noChangeAspect="1"/>
        </xdr:cNvPicPr>
      </xdr:nvPicPr>
      <xdr:blipFill>
        <a:blip xmlns:r="http://schemas.openxmlformats.org/officeDocument/2006/relationships" r:embed="rId2" cstate="print"/>
        <a:stretch>
          <a:fillRect/>
        </a:stretch>
      </xdr:blipFill>
      <xdr:spPr>
        <a:xfrm>
          <a:off x="5705475" y="1866900"/>
          <a:ext cx="752475" cy="171450"/>
        </a:xfrm>
        <a:prstGeom prst="rect">
          <a:avLst/>
        </a:prstGeom>
      </xdr:spPr>
    </xdr:pic>
    <xdr:clientData/>
  </xdr:twoCellAnchor>
  <xdr:twoCellAnchor editAs="oneCell">
    <xdr:from>
      <xdr:col>5</xdr:col>
      <xdr:colOff>95250</xdr:colOff>
      <xdr:row>13</xdr:row>
      <xdr:rowOff>57150</xdr:rowOff>
    </xdr:from>
    <xdr:to>
      <xdr:col>6</xdr:col>
      <xdr:colOff>0</xdr:colOff>
      <xdr:row>14</xdr:row>
      <xdr:rowOff>190500</xdr:rowOff>
    </xdr:to>
    <xdr:pic>
      <xdr:nvPicPr>
        <xdr:cNvPr id="4" name="图片 3" descr="未标题-1.png">
          <a:extLst>
            <a:ext uri="{FF2B5EF4-FFF2-40B4-BE49-F238E27FC236}">
              <a16:creationId xmlns:a16="http://schemas.microsoft.com/office/drawing/2014/main" id="{00000000-0008-0000-4600-000004000000}"/>
            </a:ext>
          </a:extLst>
        </xdr:cNvPr>
        <xdr:cNvPicPr>
          <a:picLocks noChangeAspect="1"/>
        </xdr:cNvPicPr>
      </xdr:nvPicPr>
      <xdr:blipFill>
        <a:blip xmlns:r="http://schemas.openxmlformats.org/officeDocument/2006/relationships" r:embed="rId3" cstate="print"/>
        <a:stretch>
          <a:fillRect/>
        </a:stretch>
      </xdr:blipFill>
      <xdr:spPr>
        <a:xfrm>
          <a:off x="5638800" y="2667000"/>
          <a:ext cx="923925" cy="342900"/>
        </a:xfrm>
        <a:prstGeom prst="rect">
          <a:avLst/>
        </a:prstGeom>
      </xdr:spPr>
    </xdr:pic>
    <xdr:clientData/>
  </xdr:twoCellAnchor>
  <xdr:twoCellAnchor editAs="oneCell">
    <xdr:from>
      <xdr:col>5</xdr:col>
      <xdr:colOff>95250</xdr:colOff>
      <xdr:row>15</xdr:row>
      <xdr:rowOff>57150</xdr:rowOff>
    </xdr:from>
    <xdr:to>
      <xdr:col>5</xdr:col>
      <xdr:colOff>504825</xdr:colOff>
      <xdr:row>16</xdr:row>
      <xdr:rowOff>161925</xdr:rowOff>
    </xdr:to>
    <xdr:pic>
      <xdr:nvPicPr>
        <xdr:cNvPr id="5" name="图片 4" descr="未标题-1.png">
          <a:extLst>
            <a:ext uri="{FF2B5EF4-FFF2-40B4-BE49-F238E27FC236}">
              <a16:creationId xmlns:a16="http://schemas.microsoft.com/office/drawing/2014/main" id="{00000000-0008-0000-4600-000005000000}"/>
            </a:ext>
          </a:extLst>
        </xdr:cNvPr>
        <xdr:cNvPicPr>
          <a:picLocks noChangeAspect="1"/>
        </xdr:cNvPicPr>
      </xdr:nvPicPr>
      <xdr:blipFill>
        <a:blip xmlns:r="http://schemas.openxmlformats.org/officeDocument/2006/relationships" r:embed="rId4" cstate="print"/>
        <a:stretch>
          <a:fillRect/>
        </a:stretch>
      </xdr:blipFill>
      <xdr:spPr>
        <a:xfrm>
          <a:off x="5638800" y="3086100"/>
          <a:ext cx="409575" cy="314325"/>
        </a:xfrm>
        <a:prstGeom prst="rect">
          <a:avLst/>
        </a:prstGeom>
      </xdr:spPr>
    </xdr:pic>
    <xdr:clientData/>
  </xdr:twoCellAnchor>
  <xdr:twoCellAnchor editAs="oneCell">
    <xdr:from>
      <xdr:col>5</xdr:col>
      <xdr:colOff>85725</xdr:colOff>
      <xdr:row>17</xdr:row>
      <xdr:rowOff>19050</xdr:rowOff>
    </xdr:from>
    <xdr:to>
      <xdr:col>5</xdr:col>
      <xdr:colOff>571500</xdr:colOff>
      <xdr:row>19</xdr:row>
      <xdr:rowOff>0</xdr:rowOff>
    </xdr:to>
    <xdr:pic>
      <xdr:nvPicPr>
        <xdr:cNvPr id="6" name="图片 5" descr="未标题-1.png">
          <a:extLst>
            <a:ext uri="{FF2B5EF4-FFF2-40B4-BE49-F238E27FC236}">
              <a16:creationId xmlns:a16="http://schemas.microsoft.com/office/drawing/2014/main" id="{00000000-0008-0000-4600-000006000000}"/>
            </a:ext>
          </a:extLst>
        </xdr:cNvPr>
        <xdr:cNvPicPr>
          <a:picLocks noChangeAspect="1"/>
        </xdr:cNvPicPr>
      </xdr:nvPicPr>
      <xdr:blipFill>
        <a:blip xmlns:r="http://schemas.openxmlformats.org/officeDocument/2006/relationships" r:embed="rId5" cstate="print"/>
        <a:stretch>
          <a:fillRect/>
        </a:stretch>
      </xdr:blipFill>
      <xdr:spPr>
        <a:xfrm>
          <a:off x="5629275" y="3467100"/>
          <a:ext cx="485775" cy="495300"/>
        </a:xfrm>
        <a:prstGeom prst="rect">
          <a:avLst/>
        </a:prstGeom>
      </xdr:spPr>
    </xdr:pic>
    <xdr:clientData/>
  </xdr:twoCellAnchor>
  <xdr:twoCellAnchor editAs="oneCell">
    <xdr:from>
      <xdr:col>5</xdr:col>
      <xdr:colOff>133350</xdr:colOff>
      <xdr:row>11</xdr:row>
      <xdr:rowOff>57150</xdr:rowOff>
    </xdr:from>
    <xdr:to>
      <xdr:col>5</xdr:col>
      <xdr:colOff>971550</xdr:colOff>
      <xdr:row>12</xdr:row>
      <xdr:rowOff>180975</xdr:rowOff>
    </xdr:to>
    <xdr:pic>
      <xdr:nvPicPr>
        <xdr:cNvPr id="7" name="图片 6" descr="未标题-1.png">
          <a:extLst>
            <a:ext uri="{FF2B5EF4-FFF2-40B4-BE49-F238E27FC236}">
              <a16:creationId xmlns:a16="http://schemas.microsoft.com/office/drawing/2014/main" id="{00000000-0008-0000-4600-000007000000}"/>
            </a:ext>
          </a:extLst>
        </xdr:cNvPr>
        <xdr:cNvPicPr>
          <a:picLocks noChangeAspect="1"/>
        </xdr:cNvPicPr>
      </xdr:nvPicPr>
      <xdr:blipFill>
        <a:blip xmlns:r="http://schemas.openxmlformats.org/officeDocument/2006/relationships" r:embed="rId6" cstate="print"/>
        <a:stretch>
          <a:fillRect/>
        </a:stretch>
      </xdr:blipFill>
      <xdr:spPr>
        <a:xfrm>
          <a:off x="5676900" y="2247900"/>
          <a:ext cx="838200" cy="33337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8" name="五边形 1">
          <a:hlinkClick xmlns:r="http://schemas.openxmlformats.org/officeDocument/2006/relationships" r:id="rId7"/>
          <a:extLst>
            <a:ext uri="{FF2B5EF4-FFF2-40B4-BE49-F238E27FC236}">
              <a16:creationId xmlns:a16="http://schemas.microsoft.com/office/drawing/2014/main" id="{00000000-0008-0000-4600-000008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3</xdr:col>
      <xdr:colOff>66675</xdr:colOff>
      <xdr:row>12</xdr:row>
      <xdr:rowOff>38100</xdr:rowOff>
    </xdr:from>
    <xdr:to>
      <xdr:col>4</xdr:col>
      <xdr:colOff>0</xdr:colOff>
      <xdr:row>21</xdr:row>
      <xdr:rowOff>47625</xdr:rowOff>
    </xdr:to>
    <xdr:pic>
      <xdr:nvPicPr>
        <xdr:cNvPr id="2" name="图片 1" descr="未标题-1.png">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cstate="print"/>
        <a:stretch>
          <a:fillRect/>
        </a:stretch>
      </xdr:blipFill>
      <xdr:spPr>
        <a:xfrm>
          <a:off x="2286000" y="2438400"/>
          <a:ext cx="1666875" cy="1895475"/>
        </a:xfrm>
        <a:prstGeom prst="rect">
          <a:avLst/>
        </a:prstGeom>
      </xdr:spPr>
    </xdr:pic>
    <xdr:clientData/>
  </xdr:twoCellAnchor>
  <xdr:twoCellAnchor editAs="oneCell">
    <xdr:from>
      <xdr:col>5</xdr:col>
      <xdr:colOff>57150</xdr:colOff>
      <xdr:row>9</xdr:row>
      <xdr:rowOff>104775</xdr:rowOff>
    </xdr:from>
    <xdr:to>
      <xdr:col>5</xdr:col>
      <xdr:colOff>923925</xdr:colOff>
      <xdr:row>10</xdr:row>
      <xdr:rowOff>142875</xdr:rowOff>
    </xdr:to>
    <xdr:pic>
      <xdr:nvPicPr>
        <xdr:cNvPr id="3" name="图片 2" descr="未标题-1.png">
          <a:extLst>
            <a:ext uri="{FF2B5EF4-FFF2-40B4-BE49-F238E27FC236}">
              <a16:creationId xmlns:a16="http://schemas.microsoft.com/office/drawing/2014/main" id="{00000000-0008-0000-4700-000003000000}"/>
            </a:ext>
          </a:extLst>
        </xdr:cNvPr>
        <xdr:cNvPicPr>
          <a:picLocks noChangeAspect="1"/>
        </xdr:cNvPicPr>
      </xdr:nvPicPr>
      <xdr:blipFill>
        <a:blip xmlns:r="http://schemas.openxmlformats.org/officeDocument/2006/relationships" r:embed="rId2" cstate="print"/>
        <a:stretch>
          <a:fillRect/>
        </a:stretch>
      </xdr:blipFill>
      <xdr:spPr>
        <a:xfrm>
          <a:off x="5867400" y="1838325"/>
          <a:ext cx="866775" cy="285750"/>
        </a:xfrm>
        <a:prstGeom prst="rect">
          <a:avLst/>
        </a:prstGeom>
      </xdr:spPr>
    </xdr:pic>
    <xdr:clientData/>
  </xdr:twoCellAnchor>
  <xdr:twoCellAnchor editAs="oneCell">
    <xdr:from>
      <xdr:col>5</xdr:col>
      <xdr:colOff>47625</xdr:colOff>
      <xdr:row>11</xdr:row>
      <xdr:rowOff>19050</xdr:rowOff>
    </xdr:from>
    <xdr:to>
      <xdr:col>5</xdr:col>
      <xdr:colOff>1343025</xdr:colOff>
      <xdr:row>12</xdr:row>
      <xdr:rowOff>152400</xdr:rowOff>
    </xdr:to>
    <xdr:pic>
      <xdr:nvPicPr>
        <xdr:cNvPr id="4" name="图片 3" descr="未标题-1.png">
          <a:extLst>
            <a:ext uri="{FF2B5EF4-FFF2-40B4-BE49-F238E27FC236}">
              <a16:creationId xmlns:a16="http://schemas.microsoft.com/office/drawing/2014/main" id="{00000000-0008-0000-4700-000004000000}"/>
            </a:ext>
          </a:extLst>
        </xdr:cNvPr>
        <xdr:cNvPicPr>
          <a:picLocks noChangeAspect="1"/>
        </xdr:cNvPicPr>
      </xdr:nvPicPr>
      <xdr:blipFill>
        <a:blip xmlns:r="http://schemas.openxmlformats.org/officeDocument/2006/relationships" r:embed="rId3" cstate="print"/>
        <a:stretch>
          <a:fillRect/>
        </a:stretch>
      </xdr:blipFill>
      <xdr:spPr>
        <a:xfrm>
          <a:off x="5857875" y="2209800"/>
          <a:ext cx="1295400" cy="342900"/>
        </a:xfrm>
        <a:prstGeom prst="rect">
          <a:avLst/>
        </a:prstGeom>
      </xdr:spPr>
    </xdr:pic>
    <xdr:clientData/>
  </xdr:twoCellAnchor>
  <xdr:twoCellAnchor editAs="oneCell">
    <xdr:from>
      <xdr:col>5</xdr:col>
      <xdr:colOff>57150</xdr:colOff>
      <xdr:row>13</xdr:row>
      <xdr:rowOff>28575</xdr:rowOff>
    </xdr:from>
    <xdr:to>
      <xdr:col>6</xdr:col>
      <xdr:colOff>0</xdr:colOff>
      <xdr:row>15</xdr:row>
      <xdr:rowOff>0</xdr:rowOff>
    </xdr:to>
    <xdr:pic>
      <xdr:nvPicPr>
        <xdr:cNvPr id="5" name="图片 4" descr="未标题-1.png">
          <a:extLst>
            <a:ext uri="{FF2B5EF4-FFF2-40B4-BE49-F238E27FC236}">
              <a16:creationId xmlns:a16="http://schemas.microsoft.com/office/drawing/2014/main" id="{00000000-0008-0000-4700-000005000000}"/>
            </a:ext>
          </a:extLst>
        </xdr:cNvPr>
        <xdr:cNvPicPr>
          <a:picLocks noChangeAspect="1"/>
        </xdr:cNvPicPr>
      </xdr:nvPicPr>
      <xdr:blipFill>
        <a:blip xmlns:r="http://schemas.openxmlformats.org/officeDocument/2006/relationships" r:embed="rId4" cstate="print"/>
        <a:stretch>
          <a:fillRect/>
        </a:stretch>
      </xdr:blipFill>
      <xdr:spPr>
        <a:xfrm>
          <a:off x="5867400" y="2638425"/>
          <a:ext cx="1362075" cy="390525"/>
        </a:xfrm>
        <a:prstGeom prst="rect">
          <a:avLst/>
        </a:prstGeom>
      </xdr:spPr>
    </xdr:pic>
    <xdr:clientData/>
  </xdr:twoCellAnchor>
  <xdr:twoCellAnchor editAs="oneCell">
    <xdr:from>
      <xdr:col>5</xdr:col>
      <xdr:colOff>47625</xdr:colOff>
      <xdr:row>15</xdr:row>
      <xdr:rowOff>38100</xdr:rowOff>
    </xdr:from>
    <xdr:to>
      <xdr:col>5</xdr:col>
      <xdr:colOff>1409700</xdr:colOff>
      <xdr:row>16</xdr:row>
      <xdr:rowOff>171450</xdr:rowOff>
    </xdr:to>
    <xdr:pic>
      <xdr:nvPicPr>
        <xdr:cNvPr id="6" name="图片 5" descr="未标题-1.png">
          <a:extLst>
            <a:ext uri="{FF2B5EF4-FFF2-40B4-BE49-F238E27FC236}">
              <a16:creationId xmlns:a16="http://schemas.microsoft.com/office/drawing/2014/main" id="{00000000-0008-0000-4700-000006000000}"/>
            </a:ext>
          </a:extLst>
        </xdr:cNvPr>
        <xdr:cNvPicPr>
          <a:picLocks noChangeAspect="1"/>
        </xdr:cNvPicPr>
      </xdr:nvPicPr>
      <xdr:blipFill>
        <a:blip xmlns:r="http://schemas.openxmlformats.org/officeDocument/2006/relationships" r:embed="rId5" cstate="print"/>
        <a:stretch>
          <a:fillRect/>
        </a:stretch>
      </xdr:blipFill>
      <xdr:spPr>
        <a:xfrm>
          <a:off x="5857875" y="3067050"/>
          <a:ext cx="1362075" cy="342900"/>
        </a:xfrm>
        <a:prstGeom prst="rect">
          <a:avLst/>
        </a:prstGeom>
      </xdr:spPr>
    </xdr:pic>
    <xdr:clientData/>
  </xdr:twoCellAnchor>
  <xdr:twoCellAnchor editAs="oneCell">
    <xdr:from>
      <xdr:col>5</xdr:col>
      <xdr:colOff>38100</xdr:colOff>
      <xdr:row>17</xdr:row>
      <xdr:rowOff>19050</xdr:rowOff>
    </xdr:from>
    <xdr:to>
      <xdr:col>6</xdr:col>
      <xdr:colOff>0</xdr:colOff>
      <xdr:row>18</xdr:row>
      <xdr:rowOff>200025</xdr:rowOff>
    </xdr:to>
    <xdr:pic>
      <xdr:nvPicPr>
        <xdr:cNvPr id="7" name="图片 6" descr="未标题-1.png">
          <a:extLst>
            <a:ext uri="{FF2B5EF4-FFF2-40B4-BE49-F238E27FC236}">
              <a16:creationId xmlns:a16="http://schemas.microsoft.com/office/drawing/2014/main" id="{00000000-0008-0000-4700-000007000000}"/>
            </a:ext>
          </a:extLst>
        </xdr:cNvPr>
        <xdr:cNvPicPr>
          <a:picLocks noChangeAspect="1"/>
        </xdr:cNvPicPr>
      </xdr:nvPicPr>
      <xdr:blipFill>
        <a:blip xmlns:r="http://schemas.openxmlformats.org/officeDocument/2006/relationships" r:embed="rId6" cstate="print"/>
        <a:stretch>
          <a:fillRect/>
        </a:stretch>
      </xdr:blipFill>
      <xdr:spPr>
        <a:xfrm>
          <a:off x="5848350" y="3467100"/>
          <a:ext cx="1381125" cy="390525"/>
        </a:xfrm>
        <a:prstGeom prst="rect">
          <a:avLst/>
        </a:prstGeom>
      </xdr:spPr>
    </xdr:pic>
    <xdr:clientData/>
  </xdr:twoCellAnchor>
  <xdr:twoCellAnchor editAs="oneCell">
    <xdr:from>
      <xdr:col>5</xdr:col>
      <xdr:colOff>47625</xdr:colOff>
      <xdr:row>19</xdr:row>
      <xdr:rowOff>57150</xdr:rowOff>
    </xdr:from>
    <xdr:to>
      <xdr:col>5</xdr:col>
      <xdr:colOff>438150</xdr:colOff>
      <xdr:row>20</xdr:row>
      <xdr:rowOff>171450</xdr:rowOff>
    </xdr:to>
    <xdr:pic>
      <xdr:nvPicPr>
        <xdr:cNvPr id="8" name="图片 7" descr="未标题-1.png">
          <a:extLst>
            <a:ext uri="{FF2B5EF4-FFF2-40B4-BE49-F238E27FC236}">
              <a16:creationId xmlns:a16="http://schemas.microsoft.com/office/drawing/2014/main" id="{00000000-0008-0000-4700-000008000000}"/>
            </a:ext>
          </a:extLst>
        </xdr:cNvPr>
        <xdr:cNvPicPr>
          <a:picLocks noChangeAspect="1"/>
        </xdr:cNvPicPr>
      </xdr:nvPicPr>
      <xdr:blipFill>
        <a:blip xmlns:r="http://schemas.openxmlformats.org/officeDocument/2006/relationships" r:embed="rId7" cstate="print"/>
        <a:stretch>
          <a:fillRect/>
        </a:stretch>
      </xdr:blipFill>
      <xdr:spPr>
        <a:xfrm>
          <a:off x="5857875" y="3924300"/>
          <a:ext cx="390525" cy="323850"/>
        </a:xfrm>
        <a:prstGeom prst="rect">
          <a:avLst/>
        </a:prstGeom>
      </xdr:spPr>
    </xdr:pic>
    <xdr:clientData/>
  </xdr:twoCellAnchor>
  <xdr:twoCellAnchor editAs="oneCell">
    <xdr:from>
      <xdr:col>5</xdr:col>
      <xdr:colOff>28575</xdr:colOff>
      <xdr:row>21</xdr:row>
      <xdr:rowOff>57150</xdr:rowOff>
    </xdr:from>
    <xdr:to>
      <xdr:col>5</xdr:col>
      <xdr:colOff>419100</xdr:colOff>
      <xdr:row>22</xdr:row>
      <xdr:rowOff>171450</xdr:rowOff>
    </xdr:to>
    <xdr:pic>
      <xdr:nvPicPr>
        <xdr:cNvPr id="9" name="图片 8" descr="未标题-1.png">
          <a:extLst>
            <a:ext uri="{FF2B5EF4-FFF2-40B4-BE49-F238E27FC236}">
              <a16:creationId xmlns:a16="http://schemas.microsoft.com/office/drawing/2014/main" id="{00000000-0008-0000-4700-000009000000}"/>
            </a:ext>
          </a:extLst>
        </xdr:cNvPr>
        <xdr:cNvPicPr>
          <a:picLocks noChangeAspect="1"/>
        </xdr:cNvPicPr>
      </xdr:nvPicPr>
      <xdr:blipFill>
        <a:blip xmlns:r="http://schemas.openxmlformats.org/officeDocument/2006/relationships" r:embed="rId8" cstate="print"/>
        <a:stretch>
          <a:fillRect/>
        </a:stretch>
      </xdr:blipFill>
      <xdr:spPr>
        <a:xfrm>
          <a:off x="5838825" y="4343400"/>
          <a:ext cx="390525" cy="323850"/>
        </a:xfrm>
        <a:prstGeom prst="rect">
          <a:avLst/>
        </a:prstGeom>
      </xdr:spPr>
    </xdr:pic>
    <xdr:clientData/>
  </xdr:twoCellAnchor>
  <xdr:twoCellAnchor editAs="oneCell">
    <xdr:from>
      <xdr:col>5</xdr:col>
      <xdr:colOff>47625</xdr:colOff>
      <xdr:row>23</xdr:row>
      <xdr:rowOff>0</xdr:rowOff>
    </xdr:from>
    <xdr:to>
      <xdr:col>5</xdr:col>
      <xdr:colOff>523875</xdr:colOff>
      <xdr:row>25</xdr:row>
      <xdr:rowOff>28575</xdr:rowOff>
    </xdr:to>
    <xdr:pic>
      <xdr:nvPicPr>
        <xdr:cNvPr id="10" name="图片 9" descr="未标题-1.png">
          <a:extLst>
            <a:ext uri="{FF2B5EF4-FFF2-40B4-BE49-F238E27FC236}">
              <a16:creationId xmlns:a16="http://schemas.microsoft.com/office/drawing/2014/main" id="{00000000-0008-0000-4700-00000A000000}"/>
            </a:ext>
          </a:extLst>
        </xdr:cNvPr>
        <xdr:cNvPicPr>
          <a:picLocks noChangeAspect="1"/>
        </xdr:cNvPicPr>
      </xdr:nvPicPr>
      <xdr:blipFill>
        <a:blip xmlns:r="http://schemas.openxmlformats.org/officeDocument/2006/relationships" r:embed="rId9" cstate="print"/>
        <a:stretch>
          <a:fillRect/>
        </a:stretch>
      </xdr:blipFill>
      <xdr:spPr>
        <a:xfrm>
          <a:off x="5857875" y="4705350"/>
          <a:ext cx="476250" cy="49530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1" name="五边形 1">
          <a:hlinkClick xmlns:r="http://schemas.openxmlformats.org/officeDocument/2006/relationships" r:id="rId10"/>
          <a:extLst>
            <a:ext uri="{FF2B5EF4-FFF2-40B4-BE49-F238E27FC236}">
              <a16:creationId xmlns:a16="http://schemas.microsoft.com/office/drawing/2014/main" id="{00000000-0008-0000-4700-00000B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3.xml><?xml version="1.0" encoding="utf-8"?>
<xdr:wsDr xmlns:xdr="http://schemas.openxmlformats.org/drawingml/2006/spreadsheetDrawing" xmlns:a="http://schemas.openxmlformats.org/drawingml/2006/main">
  <xdr:twoCellAnchor editAs="oneCell">
    <xdr:from>
      <xdr:col>2</xdr:col>
      <xdr:colOff>716280</xdr:colOff>
      <xdr:row>10</xdr:row>
      <xdr:rowOff>76201</xdr:rowOff>
    </xdr:from>
    <xdr:to>
      <xdr:col>4</xdr:col>
      <xdr:colOff>11430</xdr:colOff>
      <xdr:row>17</xdr:row>
      <xdr:rowOff>57151</xdr:rowOff>
    </xdr:to>
    <xdr:pic>
      <xdr:nvPicPr>
        <xdr:cNvPr id="2" name="图片 1" descr="未标题-1.png">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cstate="print"/>
        <a:stretch>
          <a:fillRect/>
        </a:stretch>
      </xdr:blipFill>
      <xdr:spPr>
        <a:xfrm>
          <a:off x="2219325" y="2057400"/>
          <a:ext cx="1744980" cy="1447800"/>
        </a:xfrm>
        <a:prstGeom prst="rect">
          <a:avLst/>
        </a:prstGeom>
      </xdr:spPr>
    </xdr:pic>
    <xdr:clientData/>
  </xdr:twoCellAnchor>
  <xdr:twoCellAnchor editAs="oneCell">
    <xdr:from>
      <xdr:col>5</xdr:col>
      <xdr:colOff>285750</xdr:colOff>
      <xdr:row>9</xdr:row>
      <xdr:rowOff>76200</xdr:rowOff>
    </xdr:from>
    <xdr:to>
      <xdr:col>5</xdr:col>
      <xdr:colOff>781050</xdr:colOff>
      <xdr:row>10</xdr:row>
      <xdr:rowOff>95250</xdr:rowOff>
    </xdr:to>
    <xdr:pic>
      <xdr:nvPicPr>
        <xdr:cNvPr id="3" name="图片 2" descr="未标题-1.png">
          <a:extLst>
            <a:ext uri="{FF2B5EF4-FFF2-40B4-BE49-F238E27FC236}">
              <a16:creationId xmlns:a16="http://schemas.microsoft.com/office/drawing/2014/main" id="{00000000-0008-0000-4800-000003000000}"/>
            </a:ext>
          </a:extLst>
        </xdr:cNvPr>
        <xdr:cNvPicPr>
          <a:picLocks noChangeAspect="1"/>
        </xdr:cNvPicPr>
      </xdr:nvPicPr>
      <xdr:blipFill>
        <a:blip xmlns:r="http://schemas.openxmlformats.org/officeDocument/2006/relationships" r:embed="rId2" cstate="print"/>
        <a:stretch>
          <a:fillRect/>
        </a:stretch>
      </xdr:blipFill>
      <xdr:spPr>
        <a:xfrm>
          <a:off x="6096000" y="1809750"/>
          <a:ext cx="495300" cy="266700"/>
        </a:xfrm>
        <a:prstGeom prst="rect">
          <a:avLst/>
        </a:prstGeom>
      </xdr:spPr>
    </xdr:pic>
    <xdr:clientData/>
  </xdr:twoCellAnchor>
  <xdr:twoCellAnchor editAs="oneCell">
    <xdr:from>
      <xdr:col>5</xdr:col>
      <xdr:colOff>285750</xdr:colOff>
      <xdr:row>11</xdr:row>
      <xdr:rowOff>47625</xdr:rowOff>
    </xdr:from>
    <xdr:to>
      <xdr:col>5</xdr:col>
      <xdr:colOff>828675</xdr:colOff>
      <xdr:row>12</xdr:row>
      <xdr:rowOff>161925</xdr:rowOff>
    </xdr:to>
    <xdr:pic>
      <xdr:nvPicPr>
        <xdr:cNvPr id="4" name="图片 3" descr="未标题-1.png">
          <a:extLst>
            <a:ext uri="{FF2B5EF4-FFF2-40B4-BE49-F238E27FC236}">
              <a16:creationId xmlns:a16="http://schemas.microsoft.com/office/drawing/2014/main" id="{00000000-0008-0000-4800-000004000000}"/>
            </a:ext>
          </a:extLst>
        </xdr:cNvPr>
        <xdr:cNvPicPr>
          <a:picLocks noChangeAspect="1"/>
        </xdr:cNvPicPr>
      </xdr:nvPicPr>
      <xdr:blipFill>
        <a:blip xmlns:r="http://schemas.openxmlformats.org/officeDocument/2006/relationships" r:embed="rId3" cstate="print"/>
        <a:stretch>
          <a:fillRect/>
        </a:stretch>
      </xdr:blipFill>
      <xdr:spPr>
        <a:xfrm>
          <a:off x="6096000" y="2238375"/>
          <a:ext cx="542925" cy="323850"/>
        </a:xfrm>
        <a:prstGeom prst="rect">
          <a:avLst/>
        </a:prstGeom>
      </xdr:spPr>
    </xdr:pic>
    <xdr:clientData/>
  </xdr:twoCellAnchor>
  <xdr:twoCellAnchor editAs="oneCell">
    <xdr:from>
      <xdr:col>5</xdr:col>
      <xdr:colOff>238125</xdr:colOff>
      <xdr:row>13</xdr:row>
      <xdr:rowOff>66675</xdr:rowOff>
    </xdr:from>
    <xdr:to>
      <xdr:col>5</xdr:col>
      <xdr:colOff>857250</xdr:colOff>
      <xdr:row>14</xdr:row>
      <xdr:rowOff>180975</xdr:rowOff>
    </xdr:to>
    <xdr:pic>
      <xdr:nvPicPr>
        <xdr:cNvPr id="5" name="图片 4" descr="未标题-1.png">
          <a:extLst>
            <a:ext uri="{FF2B5EF4-FFF2-40B4-BE49-F238E27FC236}">
              <a16:creationId xmlns:a16="http://schemas.microsoft.com/office/drawing/2014/main" id="{00000000-0008-0000-4800-000005000000}"/>
            </a:ext>
          </a:extLst>
        </xdr:cNvPr>
        <xdr:cNvPicPr>
          <a:picLocks noChangeAspect="1"/>
        </xdr:cNvPicPr>
      </xdr:nvPicPr>
      <xdr:blipFill>
        <a:blip xmlns:r="http://schemas.openxmlformats.org/officeDocument/2006/relationships" r:embed="rId4" cstate="print"/>
        <a:stretch>
          <a:fillRect/>
        </a:stretch>
      </xdr:blipFill>
      <xdr:spPr>
        <a:xfrm>
          <a:off x="6048375" y="2676525"/>
          <a:ext cx="619125" cy="323850"/>
        </a:xfrm>
        <a:prstGeom prst="rect">
          <a:avLst/>
        </a:prstGeom>
      </xdr:spPr>
    </xdr:pic>
    <xdr:clientData/>
  </xdr:twoCellAnchor>
  <xdr:twoCellAnchor editAs="oneCell">
    <xdr:from>
      <xdr:col>5</xdr:col>
      <xdr:colOff>257175</xdr:colOff>
      <xdr:row>15</xdr:row>
      <xdr:rowOff>76200</xdr:rowOff>
    </xdr:from>
    <xdr:to>
      <xdr:col>5</xdr:col>
      <xdr:colOff>647700</xdr:colOff>
      <xdr:row>16</xdr:row>
      <xdr:rowOff>161925</xdr:rowOff>
    </xdr:to>
    <xdr:pic>
      <xdr:nvPicPr>
        <xdr:cNvPr id="6" name="图片 5" descr="未标题-1.png">
          <a:extLst>
            <a:ext uri="{FF2B5EF4-FFF2-40B4-BE49-F238E27FC236}">
              <a16:creationId xmlns:a16="http://schemas.microsoft.com/office/drawing/2014/main" id="{00000000-0008-0000-4800-000006000000}"/>
            </a:ext>
          </a:extLst>
        </xdr:cNvPr>
        <xdr:cNvPicPr>
          <a:picLocks noChangeAspect="1"/>
        </xdr:cNvPicPr>
      </xdr:nvPicPr>
      <xdr:blipFill>
        <a:blip xmlns:r="http://schemas.openxmlformats.org/officeDocument/2006/relationships" r:embed="rId5" cstate="print"/>
        <a:stretch>
          <a:fillRect/>
        </a:stretch>
      </xdr:blipFill>
      <xdr:spPr>
        <a:xfrm>
          <a:off x="6067425" y="3105150"/>
          <a:ext cx="390525" cy="295275"/>
        </a:xfrm>
        <a:prstGeom prst="rect">
          <a:avLst/>
        </a:prstGeom>
      </xdr:spPr>
    </xdr:pic>
    <xdr:clientData/>
  </xdr:twoCellAnchor>
  <xdr:twoCellAnchor editAs="oneCell">
    <xdr:from>
      <xdr:col>5</xdr:col>
      <xdr:colOff>295275</xdr:colOff>
      <xdr:row>17</xdr:row>
      <xdr:rowOff>66675</xdr:rowOff>
    </xdr:from>
    <xdr:to>
      <xdr:col>5</xdr:col>
      <xdr:colOff>685800</xdr:colOff>
      <xdr:row>18</xdr:row>
      <xdr:rowOff>180975</xdr:rowOff>
    </xdr:to>
    <xdr:pic>
      <xdr:nvPicPr>
        <xdr:cNvPr id="7" name="图片 6" descr="未标题-1.png">
          <a:extLst>
            <a:ext uri="{FF2B5EF4-FFF2-40B4-BE49-F238E27FC236}">
              <a16:creationId xmlns:a16="http://schemas.microsoft.com/office/drawing/2014/main" id="{00000000-0008-0000-4800-000007000000}"/>
            </a:ext>
          </a:extLst>
        </xdr:cNvPr>
        <xdr:cNvPicPr>
          <a:picLocks noChangeAspect="1"/>
        </xdr:cNvPicPr>
      </xdr:nvPicPr>
      <xdr:blipFill>
        <a:blip xmlns:r="http://schemas.openxmlformats.org/officeDocument/2006/relationships" r:embed="rId6" cstate="print"/>
        <a:stretch>
          <a:fillRect/>
        </a:stretch>
      </xdr:blipFill>
      <xdr:spPr>
        <a:xfrm>
          <a:off x="6105525" y="3514725"/>
          <a:ext cx="390525" cy="3238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8" name="五边形 1">
          <a:hlinkClick xmlns:r="http://schemas.openxmlformats.org/officeDocument/2006/relationships" r:id="rId7"/>
          <a:extLst>
            <a:ext uri="{FF2B5EF4-FFF2-40B4-BE49-F238E27FC236}">
              <a16:creationId xmlns:a16="http://schemas.microsoft.com/office/drawing/2014/main" id="{00000000-0008-0000-4800-000008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4.xml><?xml version="1.0" encoding="utf-8"?>
<xdr:wsDr xmlns:xdr="http://schemas.openxmlformats.org/drawingml/2006/spreadsheetDrawing" xmlns:a="http://schemas.openxmlformats.org/drawingml/2006/main">
  <xdr:twoCellAnchor editAs="oneCell">
    <xdr:from>
      <xdr:col>3</xdr:col>
      <xdr:colOff>9525</xdr:colOff>
      <xdr:row>11</xdr:row>
      <xdr:rowOff>114300</xdr:rowOff>
    </xdr:from>
    <xdr:to>
      <xdr:col>4</xdr:col>
      <xdr:colOff>9525</xdr:colOff>
      <xdr:row>19</xdr:row>
      <xdr:rowOff>184150</xdr:rowOff>
    </xdr:to>
    <xdr:pic>
      <xdr:nvPicPr>
        <xdr:cNvPr id="2" name="图片 1" descr="未标题-1.png">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cstate="print"/>
        <a:stretch>
          <a:fillRect/>
        </a:stretch>
      </xdr:blipFill>
      <xdr:spPr>
        <a:xfrm>
          <a:off x="2133600" y="2305050"/>
          <a:ext cx="1666875" cy="1746250"/>
        </a:xfrm>
        <a:prstGeom prst="rect">
          <a:avLst/>
        </a:prstGeom>
      </xdr:spPr>
    </xdr:pic>
    <xdr:clientData/>
  </xdr:twoCellAnchor>
  <xdr:twoCellAnchor editAs="oneCell">
    <xdr:from>
      <xdr:col>5</xdr:col>
      <xdr:colOff>104775</xdr:colOff>
      <xdr:row>9</xdr:row>
      <xdr:rowOff>66675</xdr:rowOff>
    </xdr:from>
    <xdr:to>
      <xdr:col>5</xdr:col>
      <xdr:colOff>1009650</xdr:colOff>
      <xdr:row>10</xdr:row>
      <xdr:rowOff>161925</xdr:rowOff>
    </xdr:to>
    <xdr:pic>
      <xdr:nvPicPr>
        <xdr:cNvPr id="3" name="图片 2" descr="未标题-1.png">
          <a:extLst>
            <a:ext uri="{FF2B5EF4-FFF2-40B4-BE49-F238E27FC236}">
              <a16:creationId xmlns:a16="http://schemas.microsoft.com/office/drawing/2014/main" id="{00000000-0008-0000-4900-000003000000}"/>
            </a:ext>
          </a:extLst>
        </xdr:cNvPr>
        <xdr:cNvPicPr>
          <a:picLocks noChangeAspect="1"/>
        </xdr:cNvPicPr>
      </xdr:nvPicPr>
      <xdr:blipFill>
        <a:blip xmlns:r="http://schemas.openxmlformats.org/officeDocument/2006/relationships" r:embed="rId2" cstate="print"/>
        <a:stretch>
          <a:fillRect/>
        </a:stretch>
      </xdr:blipFill>
      <xdr:spPr>
        <a:xfrm>
          <a:off x="5629275" y="1800225"/>
          <a:ext cx="904875" cy="342900"/>
        </a:xfrm>
        <a:prstGeom prst="rect">
          <a:avLst/>
        </a:prstGeom>
      </xdr:spPr>
    </xdr:pic>
    <xdr:clientData/>
  </xdr:twoCellAnchor>
  <xdr:twoCellAnchor editAs="oneCell">
    <xdr:from>
      <xdr:col>5</xdr:col>
      <xdr:colOff>76200</xdr:colOff>
      <xdr:row>11</xdr:row>
      <xdr:rowOff>47625</xdr:rowOff>
    </xdr:from>
    <xdr:to>
      <xdr:col>6</xdr:col>
      <xdr:colOff>0</xdr:colOff>
      <xdr:row>12</xdr:row>
      <xdr:rowOff>180975</xdr:rowOff>
    </xdr:to>
    <xdr:pic>
      <xdr:nvPicPr>
        <xdr:cNvPr id="4" name="图片 3" descr="未标题-1.png">
          <a:extLst>
            <a:ext uri="{FF2B5EF4-FFF2-40B4-BE49-F238E27FC236}">
              <a16:creationId xmlns:a16="http://schemas.microsoft.com/office/drawing/2014/main" id="{00000000-0008-0000-4900-000004000000}"/>
            </a:ext>
          </a:extLst>
        </xdr:cNvPr>
        <xdr:cNvPicPr>
          <a:picLocks noChangeAspect="1"/>
        </xdr:cNvPicPr>
      </xdr:nvPicPr>
      <xdr:blipFill>
        <a:blip xmlns:r="http://schemas.openxmlformats.org/officeDocument/2006/relationships" r:embed="rId3" cstate="print"/>
        <a:stretch>
          <a:fillRect/>
        </a:stretch>
      </xdr:blipFill>
      <xdr:spPr>
        <a:xfrm>
          <a:off x="5600700" y="2238375"/>
          <a:ext cx="2381250" cy="342900"/>
        </a:xfrm>
        <a:prstGeom prst="rect">
          <a:avLst/>
        </a:prstGeom>
      </xdr:spPr>
    </xdr:pic>
    <xdr:clientData/>
  </xdr:twoCellAnchor>
  <xdr:twoCellAnchor editAs="oneCell">
    <xdr:from>
      <xdr:col>5</xdr:col>
      <xdr:colOff>95250</xdr:colOff>
      <xdr:row>13</xdr:row>
      <xdr:rowOff>38100</xdr:rowOff>
    </xdr:from>
    <xdr:to>
      <xdr:col>5</xdr:col>
      <xdr:colOff>1019175</xdr:colOff>
      <xdr:row>14</xdr:row>
      <xdr:rowOff>171450</xdr:rowOff>
    </xdr:to>
    <xdr:pic>
      <xdr:nvPicPr>
        <xdr:cNvPr id="5" name="图片 4" descr="未标题-1.png">
          <a:extLst>
            <a:ext uri="{FF2B5EF4-FFF2-40B4-BE49-F238E27FC236}">
              <a16:creationId xmlns:a16="http://schemas.microsoft.com/office/drawing/2014/main" id="{00000000-0008-0000-4900-000005000000}"/>
            </a:ext>
          </a:extLst>
        </xdr:cNvPr>
        <xdr:cNvPicPr>
          <a:picLocks noChangeAspect="1"/>
        </xdr:cNvPicPr>
      </xdr:nvPicPr>
      <xdr:blipFill>
        <a:blip xmlns:r="http://schemas.openxmlformats.org/officeDocument/2006/relationships" r:embed="rId4" cstate="print"/>
        <a:stretch>
          <a:fillRect/>
        </a:stretch>
      </xdr:blipFill>
      <xdr:spPr>
        <a:xfrm>
          <a:off x="5619750" y="2647950"/>
          <a:ext cx="923925" cy="342900"/>
        </a:xfrm>
        <a:prstGeom prst="rect">
          <a:avLst/>
        </a:prstGeom>
      </xdr:spPr>
    </xdr:pic>
    <xdr:clientData/>
  </xdr:twoCellAnchor>
  <xdr:twoCellAnchor editAs="oneCell">
    <xdr:from>
      <xdr:col>5</xdr:col>
      <xdr:colOff>47625</xdr:colOff>
      <xdr:row>15</xdr:row>
      <xdr:rowOff>9525</xdr:rowOff>
    </xdr:from>
    <xdr:to>
      <xdr:col>5</xdr:col>
      <xdr:colOff>1181100</xdr:colOff>
      <xdr:row>17</xdr:row>
      <xdr:rowOff>9525</xdr:rowOff>
    </xdr:to>
    <xdr:pic>
      <xdr:nvPicPr>
        <xdr:cNvPr id="6" name="图片 5" descr="未标题-1.png">
          <a:extLst>
            <a:ext uri="{FF2B5EF4-FFF2-40B4-BE49-F238E27FC236}">
              <a16:creationId xmlns:a16="http://schemas.microsoft.com/office/drawing/2014/main" id="{00000000-0008-0000-4900-000006000000}"/>
            </a:ext>
          </a:extLst>
        </xdr:cNvPr>
        <xdr:cNvPicPr>
          <a:picLocks noChangeAspect="1"/>
        </xdr:cNvPicPr>
      </xdr:nvPicPr>
      <xdr:blipFill>
        <a:blip xmlns:r="http://schemas.openxmlformats.org/officeDocument/2006/relationships" r:embed="rId5" cstate="print"/>
        <a:stretch>
          <a:fillRect/>
        </a:stretch>
      </xdr:blipFill>
      <xdr:spPr>
        <a:xfrm>
          <a:off x="5572125" y="3038475"/>
          <a:ext cx="1133475" cy="419100"/>
        </a:xfrm>
        <a:prstGeom prst="rect">
          <a:avLst/>
        </a:prstGeom>
      </xdr:spPr>
    </xdr:pic>
    <xdr:clientData/>
  </xdr:twoCellAnchor>
  <xdr:twoCellAnchor editAs="oneCell">
    <xdr:from>
      <xdr:col>5</xdr:col>
      <xdr:colOff>57150</xdr:colOff>
      <xdr:row>17</xdr:row>
      <xdr:rowOff>57150</xdr:rowOff>
    </xdr:from>
    <xdr:to>
      <xdr:col>5</xdr:col>
      <xdr:colOff>1314450</xdr:colOff>
      <xdr:row>19</xdr:row>
      <xdr:rowOff>0</xdr:rowOff>
    </xdr:to>
    <xdr:pic>
      <xdr:nvPicPr>
        <xdr:cNvPr id="7" name="图片 6" descr="未标题-1.png">
          <a:extLst>
            <a:ext uri="{FF2B5EF4-FFF2-40B4-BE49-F238E27FC236}">
              <a16:creationId xmlns:a16="http://schemas.microsoft.com/office/drawing/2014/main" id="{00000000-0008-0000-4900-000007000000}"/>
            </a:ext>
          </a:extLst>
        </xdr:cNvPr>
        <xdr:cNvPicPr>
          <a:picLocks noChangeAspect="1"/>
        </xdr:cNvPicPr>
      </xdr:nvPicPr>
      <xdr:blipFill>
        <a:blip xmlns:r="http://schemas.openxmlformats.org/officeDocument/2006/relationships" r:embed="rId6" cstate="print"/>
        <a:stretch>
          <a:fillRect/>
        </a:stretch>
      </xdr:blipFill>
      <xdr:spPr>
        <a:xfrm>
          <a:off x="5581650" y="3505200"/>
          <a:ext cx="1257300" cy="361950"/>
        </a:xfrm>
        <a:prstGeom prst="rect">
          <a:avLst/>
        </a:prstGeom>
      </xdr:spPr>
    </xdr:pic>
    <xdr:clientData/>
  </xdr:twoCellAnchor>
  <xdr:twoCellAnchor editAs="oneCell">
    <xdr:from>
      <xdr:col>5</xdr:col>
      <xdr:colOff>47625</xdr:colOff>
      <xdr:row>19</xdr:row>
      <xdr:rowOff>19050</xdr:rowOff>
    </xdr:from>
    <xdr:to>
      <xdr:col>5</xdr:col>
      <xdr:colOff>533400</xdr:colOff>
      <xdr:row>21</xdr:row>
      <xdr:rowOff>9525</xdr:rowOff>
    </xdr:to>
    <xdr:pic>
      <xdr:nvPicPr>
        <xdr:cNvPr id="8" name="图片 7" descr="未标题-1.png">
          <a:extLst>
            <a:ext uri="{FF2B5EF4-FFF2-40B4-BE49-F238E27FC236}">
              <a16:creationId xmlns:a16="http://schemas.microsoft.com/office/drawing/2014/main" id="{00000000-0008-0000-4900-000008000000}"/>
            </a:ext>
          </a:extLst>
        </xdr:cNvPr>
        <xdr:cNvPicPr>
          <a:picLocks noChangeAspect="1"/>
        </xdr:cNvPicPr>
      </xdr:nvPicPr>
      <xdr:blipFill>
        <a:blip xmlns:r="http://schemas.openxmlformats.org/officeDocument/2006/relationships" r:embed="rId7" cstate="print"/>
        <a:stretch>
          <a:fillRect/>
        </a:stretch>
      </xdr:blipFill>
      <xdr:spPr>
        <a:xfrm>
          <a:off x="5572125" y="3886200"/>
          <a:ext cx="485775" cy="495300"/>
        </a:xfrm>
        <a:prstGeom prst="rect">
          <a:avLst/>
        </a:prstGeom>
      </xdr:spPr>
    </xdr:pic>
    <xdr:clientData/>
  </xdr:twoCellAnchor>
  <xdr:twoCellAnchor editAs="oneCell">
    <xdr:from>
      <xdr:col>5</xdr:col>
      <xdr:colOff>76200</xdr:colOff>
      <xdr:row>21</xdr:row>
      <xdr:rowOff>57150</xdr:rowOff>
    </xdr:from>
    <xdr:to>
      <xdr:col>5</xdr:col>
      <xdr:colOff>1000125</xdr:colOff>
      <xdr:row>22</xdr:row>
      <xdr:rowOff>161925</xdr:rowOff>
    </xdr:to>
    <xdr:pic>
      <xdr:nvPicPr>
        <xdr:cNvPr id="9" name="图片 8" descr="未标题-1.png">
          <a:extLst>
            <a:ext uri="{FF2B5EF4-FFF2-40B4-BE49-F238E27FC236}">
              <a16:creationId xmlns:a16="http://schemas.microsoft.com/office/drawing/2014/main" id="{00000000-0008-0000-4900-000009000000}"/>
            </a:ext>
          </a:extLst>
        </xdr:cNvPr>
        <xdr:cNvPicPr>
          <a:picLocks noChangeAspect="1"/>
        </xdr:cNvPicPr>
      </xdr:nvPicPr>
      <xdr:blipFill>
        <a:blip xmlns:r="http://schemas.openxmlformats.org/officeDocument/2006/relationships" r:embed="rId8" cstate="print"/>
        <a:stretch>
          <a:fillRect/>
        </a:stretch>
      </xdr:blipFill>
      <xdr:spPr>
        <a:xfrm>
          <a:off x="5600700" y="4429125"/>
          <a:ext cx="923925" cy="314325"/>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0" name="五边形 1">
          <a:hlinkClick xmlns:r="http://schemas.openxmlformats.org/officeDocument/2006/relationships" r:id="rId9"/>
          <a:extLst>
            <a:ext uri="{FF2B5EF4-FFF2-40B4-BE49-F238E27FC236}">
              <a16:creationId xmlns:a16="http://schemas.microsoft.com/office/drawing/2014/main" id="{00000000-0008-0000-4900-00000A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5.xml><?xml version="1.0" encoding="utf-8"?>
<xdr:wsDr xmlns:xdr="http://schemas.openxmlformats.org/drawingml/2006/spreadsheetDrawing" xmlns:a="http://schemas.openxmlformats.org/drawingml/2006/main">
  <xdr:twoCellAnchor editAs="oneCell">
    <xdr:from>
      <xdr:col>2</xdr:col>
      <xdr:colOff>716280</xdr:colOff>
      <xdr:row>12</xdr:row>
      <xdr:rowOff>142875</xdr:rowOff>
    </xdr:from>
    <xdr:to>
      <xdr:col>4</xdr:col>
      <xdr:colOff>0</xdr:colOff>
      <xdr:row>19</xdr:row>
      <xdr:rowOff>161925</xdr:rowOff>
    </xdr:to>
    <xdr:pic>
      <xdr:nvPicPr>
        <xdr:cNvPr id="2" name="图片 1" descr="未标题-1.png">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cstate="print"/>
        <a:stretch>
          <a:fillRect/>
        </a:stretch>
      </xdr:blipFill>
      <xdr:spPr>
        <a:xfrm>
          <a:off x="2219325" y="2543175"/>
          <a:ext cx="1733550" cy="1485900"/>
        </a:xfrm>
        <a:prstGeom prst="rect">
          <a:avLst/>
        </a:prstGeom>
      </xdr:spPr>
    </xdr:pic>
    <xdr:clientData/>
  </xdr:twoCellAnchor>
  <xdr:twoCellAnchor editAs="oneCell">
    <xdr:from>
      <xdr:col>5</xdr:col>
      <xdr:colOff>104775</xdr:colOff>
      <xdr:row>9</xdr:row>
      <xdr:rowOff>104775</xdr:rowOff>
    </xdr:from>
    <xdr:to>
      <xdr:col>5</xdr:col>
      <xdr:colOff>609600</xdr:colOff>
      <xdr:row>10</xdr:row>
      <xdr:rowOff>142875</xdr:rowOff>
    </xdr:to>
    <xdr:pic>
      <xdr:nvPicPr>
        <xdr:cNvPr id="3" name="图片 2" descr="未标题-1.png">
          <a:extLst>
            <a:ext uri="{FF2B5EF4-FFF2-40B4-BE49-F238E27FC236}">
              <a16:creationId xmlns:a16="http://schemas.microsoft.com/office/drawing/2014/main" id="{00000000-0008-0000-4A00-000003000000}"/>
            </a:ext>
          </a:extLst>
        </xdr:cNvPr>
        <xdr:cNvPicPr>
          <a:picLocks noChangeAspect="1"/>
        </xdr:cNvPicPr>
      </xdr:nvPicPr>
      <xdr:blipFill>
        <a:blip xmlns:r="http://schemas.openxmlformats.org/officeDocument/2006/relationships" r:embed="rId2" cstate="print"/>
        <a:stretch>
          <a:fillRect/>
        </a:stretch>
      </xdr:blipFill>
      <xdr:spPr>
        <a:xfrm>
          <a:off x="5915025" y="1838325"/>
          <a:ext cx="504825" cy="285750"/>
        </a:xfrm>
        <a:prstGeom prst="rect">
          <a:avLst/>
        </a:prstGeom>
      </xdr:spPr>
    </xdr:pic>
    <xdr:clientData/>
  </xdr:twoCellAnchor>
  <xdr:twoCellAnchor editAs="oneCell">
    <xdr:from>
      <xdr:col>5</xdr:col>
      <xdr:colOff>47625</xdr:colOff>
      <xdr:row>11</xdr:row>
      <xdr:rowOff>123825</xdr:rowOff>
    </xdr:from>
    <xdr:to>
      <xdr:col>5</xdr:col>
      <xdr:colOff>876300</xdr:colOff>
      <xdr:row>12</xdr:row>
      <xdr:rowOff>95250</xdr:rowOff>
    </xdr:to>
    <xdr:pic>
      <xdr:nvPicPr>
        <xdr:cNvPr id="4" name="图片 3" descr="未标题-1.png">
          <a:extLst>
            <a:ext uri="{FF2B5EF4-FFF2-40B4-BE49-F238E27FC236}">
              <a16:creationId xmlns:a16="http://schemas.microsoft.com/office/drawing/2014/main" id="{00000000-0008-0000-4A00-000004000000}"/>
            </a:ext>
          </a:extLst>
        </xdr:cNvPr>
        <xdr:cNvPicPr>
          <a:picLocks noChangeAspect="1"/>
        </xdr:cNvPicPr>
      </xdr:nvPicPr>
      <xdr:blipFill>
        <a:blip xmlns:r="http://schemas.openxmlformats.org/officeDocument/2006/relationships" r:embed="rId3" cstate="print"/>
        <a:stretch>
          <a:fillRect/>
        </a:stretch>
      </xdr:blipFill>
      <xdr:spPr>
        <a:xfrm>
          <a:off x="5857875" y="2314575"/>
          <a:ext cx="828675" cy="180975"/>
        </a:xfrm>
        <a:prstGeom prst="rect">
          <a:avLst/>
        </a:prstGeom>
      </xdr:spPr>
    </xdr:pic>
    <xdr:clientData/>
  </xdr:twoCellAnchor>
  <xdr:twoCellAnchor editAs="oneCell">
    <xdr:from>
      <xdr:col>5</xdr:col>
      <xdr:colOff>47625</xdr:colOff>
      <xdr:row>13</xdr:row>
      <xdr:rowOff>66675</xdr:rowOff>
    </xdr:from>
    <xdr:to>
      <xdr:col>5</xdr:col>
      <xdr:colOff>723900</xdr:colOff>
      <xdr:row>14</xdr:row>
      <xdr:rowOff>142875</xdr:rowOff>
    </xdr:to>
    <xdr:pic>
      <xdr:nvPicPr>
        <xdr:cNvPr id="5" name="图片 4" descr="未标题-1.png">
          <a:extLst>
            <a:ext uri="{FF2B5EF4-FFF2-40B4-BE49-F238E27FC236}">
              <a16:creationId xmlns:a16="http://schemas.microsoft.com/office/drawing/2014/main" id="{00000000-0008-0000-4A00-000005000000}"/>
            </a:ext>
          </a:extLst>
        </xdr:cNvPr>
        <xdr:cNvPicPr>
          <a:picLocks noChangeAspect="1"/>
        </xdr:cNvPicPr>
      </xdr:nvPicPr>
      <xdr:blipFill>
        <a:blip xmlns:r="http://schemas.openxmlformats.org/officeDocument/2006/relationships" r:embed="rId4" cstate="print"/>
        <a:stretch>
          <a:fillRect/>
        </a:stretch>
      </xdr:blipFill>
      <xdr:spPr>
        <a:xfrm>
          <a:off x="5857875" y="2676525"/>
          <a:ext cx="676275" cy="285750"/>
        </a:xfrm>
        <a:prstGeom prst="rect">
          <a:avLst/>
        </a:prstGeom>
      </xdr:spPr>
    </xdr:pic>
    <xdr:clientData/>
  </xdr:twoCellAnchor>
  <xdr:twoCellAnchor editAs="oneCell">
    <xdr:from>
      <xdr:col>5</xdr:col>
      <xdr:colOff>76200</xdr:colOff>
      <xdr:row>15</xdr:row>
      <xdr:rowOff>133350</xdr:rowOff>
    </xdr:from>
    <xdr:to>
      <xdr:col>5</xdr:col>
      <xdr:colOff>895350</xdr:colOff>
      <xdr:row>16</xdr:row>
      <xdr:rowOff>104775</xdr:rowOff>
    </xdr:to>
    <xdr:pic>
      <xdr:nvPicPr>
        <xdr:cNvPr id="6" name="图片 5" descr="未标题-1.png">
          <a:extLst>
            <a:ext uri="{FF2B5EF4-FFF2-40B4-BE49-F238E27FC236}">
              <a16:creationId xmlns:a16="http://schemas.microsoft.com/office/drawing/2014/main" id="{00000000-0008-0000-4A00-000006000000}"/>
            </a:ext>
          </a:extLst>
        </xdr:cNvPr>
        <xdr:cNvPicPr>
          <a:picLocks noChangeAspect="1"/>
        </xdr:cNvPicPr>
      </xdr:nvPicPr>
      <xdr:blipFill>
        <a:blip xmlns:r="http://schemas.openxmlformats.org/officeDocument/2006/relationships" r:embed="rId5" cstate="print"/>
        <a:stretch>
          <a:fillRect/>
        </a:stretch>
      </xdr:blipFill>
      <xdr:spPr>
        <a:xfrm>
          <a:off x="5886450" y="3162300"/>
          <a:ext cx="819150" cy="180975"/>
        </a:xfrm>
        <a:prstGeom prst="rect">
          <a:avLst/>
        </a:prstGeom>
      </xdr:spPr>
    </xdr:pic>
    <xdr:clientData/>
  </xdr:twoCellAnchor>
  <xdr:twoCellAnchor editAs="oneCell">
    <xdr:from>
      <xdr:col>5</xdr:col>
      <xdr:colOff>76200</xdr:colOff>
      <xdr:row>17</xdr:row>
      <xdr:rowOff>76200</xdr:rowOff>
    </xdr:from>
    <xdr:to>
      <xdr:col>5</xdr:col>
      <xdr:colOff>742950</xdr:colOff>
      <xdr:row>18</xdr:row>
      <xdr:rowOff>152400</xdr:rowOff>
    </xdr:to>
    <xdr:pic>
      <xdr:nvPicPr>
        <xdr:cNvPr id="7" name="图片 6" descr="未标题-1.png">
          <a:extLst>
            <a:ext uri="{FF2B5EF4-FFF2-40B4-BE49-F238E27FC236}">
              <a16:creationId xmlns:a16="http://schemas.microsoft.com/office/drawing/2014/main" id="{00000000-0008-0000-4A00-000007000000}"/>
            </a:ext>
          </a:extLst>
        </xdr:cNvPr>
        <xdr:cNvPicPr>
          <a:picLocks noChangeAspect="1"/>
        </xdr:cNvPicPr>
      </xdr:nvPicPr>
      <xdr:blipFill>
        <a:blip xmlns:r="http://schemas.openxmlformats.org/officeDocument/2006/relationships" r:embed="rId6" cstate="print"/>
        <a:stretch>
          <a:fillRect/>
        </a:stretch>
      </xdr:blipFill>
      <xdr:spPr>
        <a:xfrm>
          <a:off x="5886450" y="3524250"/>
          <a:ext cx="666750" cy="285750"/>
        </a:xfrm>
        <a:prstGeom prst="rect">
          <a:avLst/>
        </a:prstGeom>
      </xdr:spPr>
    </xdr:pic>
    <xdr:clientData/>
  </xdr:twoCellAnchor>
  <xdr:twoCellAnchor editAs="oneCell">
    <xdr:from>
      <xdr:col>5</xdr:col>
      <xdr:colOff>85725</xdr:colOff>
      <xdr:row>19</xdr:row>
      <xdr:rowOff>123825</xdr:rowOff>
    </xdr:from>
    <xdr:to>
      <xdr:col>5</xdr:col>
      <xdr:colOff>876300</xdr:colOff>
      <xdr:row>20</xdr:row>
      <xdr:rowOff>85725</xdr:rowOff>
    </xdr:to>
    <xdr:pic>
      <xdr:nvPicPr>
        <xdr:cNvPr id="8" name="图片 7" descr="未标题-1.png">
          <a:extLst>
            <a:ext uri="{FF2B5EF4-FFF2-40B4-BE49-F238E27FC236}">
              <a16:creationId xmlns:a16="http://schemas.microsoft.com/office/drawing/2014/main" id="{00000000-0008-0000-4A00-000008000000}"/>
            </a:ext>
          </a:extLst>
        </xdr:cNvPr>
        <xdr:cNvPicPr>
          <a:picLocks noChangeAspect="1"/>
        </xdr:cNvPicPr>
      </xdr:nvPicPr>
      <xdr:blipFill>
        <a:blip xmlns:r="http://schemas.openxmlformats.org/officeDocument/2006/relationships" r:embed="rId7" cstate="print"/>
        <a:stretch>
          <a:fillRect/>
        </a:stretch>
      </xdr:blipFill>
      <xdr:spPr>
        <a:xfrm>
          <a:off x="5895975" y="3990975"/>
          <a:ext cx="790575" cy="171450"/>
        </a:xfrm>
        <a:prstGeom prst="rect">
          <a:avLst/>
        </a:prstGeom>
      </xdr:spPr>
    </xdr:pic>
    <xdr:clientData/>
  </xdr:twoCellAnchor>
  <xdr:twoCellAnchor editAs="oneCell">
    <xdr:from>
      <xdr:col>5</xdr:col>
      <xdr:colOff>95250</xdr:colOff>
      <xdr:row>21</xdr:row>
      <xdr:rowOff>104775</xdr:rowOff>
    </xdr:from>
    <xdr:to>
      <xdr:col>5</xdr:col>
      <xdr:colOff>876300</xdr:colOff>
      <xdr:row>22</xdr:row>
      <xdr:rowOff>66675</xdr:rowOff>
    </xdr:to>
    <xdr:pic>
      <xdr:nvPicPr>
        <xdr:cNvPr id="9" name="图片 8" descr="未标题-1.png">
          <a:extLst>
            <a:ext uri="{FF2B5EF4-FFF2-40B4-BE49-F238E27FC236}">
              <a16:creationId xmlns:a16="http://schemas.microsoft.com/office/drawing/2014/main" id="{00000000-0008-0000-4A00-000009000000}"/>
            </a:ext>
          </a:extLst>
        </xdr:cNvPr>
        <xdr:cNvPicPr>
          <a:picLocks noChangeAspect="1"/>
        </xdr:cNvPicPr>
      </xdr:nvPicPr>
      <xdr:blipFill>
        <a:blip xmlns:r="http://schemas.openxmlformats.org/officeDocument/2006/relationships" r:embed="rId8" cstate="print"/>
        <a:stretch>
          <a:fillRect/>
        </a:stretch>
      </xdr:blipFill>
      <xdr:spPr>
        <a:xfrm>
          <a:off x="5905500" y="4391025"/>
          <a:ext cx="781050" cy="171450"/>
        </a:xfrm>
        <a:prstGeom prst="rect">
          <a:avLst/>
        </a:prstGeom>
      </xdr:spPr>
    </xdr:pic>
    <xdr:clientData/>
  </xdr:twoCellAnchor>
  <xdr:twoCellAnchor editAs="oneCell">
    <xdr:from>
      <xdr:col>5</xdr:col>
      <xdr:colOff>85725</xdr:colOff>
      <xdr:row>23</xdr:row>
      <xdr:rowOff>123825</xdr:rowOff>
    </xdr:from>
    <xdr:to>
      <xdr:col>5</xdr:col>
      <xdr:colOff>847725</xdr:colOff>
      <xdr:row>24</xdr:row>
      <xdr:rowOff>85725</xdr:rowOff>
    </xdr:to>
    <xdr:pic>
      <xdr:nvPicPr>
        <xdr:cNvPr id="10" name="图片 9" descr="未标题-1.png">
          <a:extLst>
            <a:ext uri="{FF2B5EF4-FFF2-40B4-BE49-F238E27FC236}">
              <a16:creationId xmlns:a16="http://schemas.microsoft.com/office/drawing/2014/main" id="{00000000-0008-0000-4A00-00000A000000}"/>
            </a:ext>
          </a:extLst>
        </xdr:cNvPr>
        <xdr:cNvPicPr>
          <a:picLocks noChangeAspect="1"/>
        </xdr:cNvPicPr>
      </xdr:nvPicPr>
      <xdr:blipFill>
        <a:blip xmlns:r="http://schemas.openxmlformats.org/officeDocument/2006/relationships" r:embed="rId9" cstate="print"/>
        <a:stretch>
          <a:fillRect/>
        </a:stretch>
      </xdr:blipFill>
      <xdr:spPr>
        <a:xfrm>
          <a:off x="5895975" y="4829175"/>
          <a:ext cx="762000" cy="171450"/>
        </a:xfrm>
        <a:prstGeom prst="rect">
          <a:avLst/>
        </a:prstGeom>
      </xdr:spPr>
    </xdr:pic>
    <xdr:clientData/>
  </xdr:twoCellAnchor>
  <xdr:twoCellAnchor editAs="oneCell">
    <xdr:from>
      <xdr:col>5</xdr:col>
      <xdr:colOff>85725</xdr:colOff>
      <xdr:row>25</xdr:row>
      <xdr:rowOff>66675</xdr:rowOff>
    </xdr:from>
    <xdr:to>
      <xdr:col>5</xdr:col>
      <xdr:colOff>447675</xdr:colOff>
      <xdr:row>26</xdr:row>
      <xdr:rowOff>180975</xdr:rowOff>
    </xdr:to>
    <xdr:pic>
      <xdr:nvPicPr>
        <xdr:cNvPr id="11" name="图片 10" descr="未标题-1.png">
          <a:extLst>
            <a:ext uri="{FF2B5EF4-FFF2-40B4-BE49-F238E27FC236}">
              <a16:creationId xmlns:a16="http://schemas.microsoft.com/office/drawing/2014/main" id="{00000000-0008-0000-4A00-00000B000000}"/>
            </a:ext>
          </a:extLst>
        </xdr:cNvPr>
        <xdr:cNvPicPr>
          <a:picLocks noChangeAspect="1"/>
        </xdr:cNvPicPr>
      </xdr:nvPicPr>
      <xdr:blipFill>
        <a:blip xmlns:r="http://schemas.openxmlformats.org/officeDocument/2006/relationships" r:embed="rId10" cstate="print"/>
        <a:stretch>
          <a:fillRect/>
        </a:stretch>
      </xdr:blipFill>
      <xdr:spPr>
        <a:xfrm>
          <a:off x="5895975" y="5191125"/>
          <a:ext cx="361950" cy="323850"/>
        </a:xfrm>
        <a:prstGeom prst="rect">
          <a:avLst/>
        </a:prstGeom>
      </xdr:spPr>
    </xdr:pic>
    <xdr:clientData/>
  </xdr:twoCellAnchor>
  <xdr:twoCellAnchor editAs="absolute">
    <xdr:from>
      <xdr:col>1</xdr:col>
      <xdr:colOff>0</xdr:colOff>
      <xdr:row>2</xdr:row>
      <xdr:rowOff>0</xdr:rowOff>
    </xdr:from>
    <xdr:to>
      <xdr:col>1</xdr:col>
      <xdr:colOff>778969</xdr:colOff>
      <xdr:row>3</xdr:row>
      <xdr:rowOff>83724</xdr:rowOff>
    </xdr:to>
    <xdr:sp macro="" textlink="">
      <xdr:nvSpPr>
        <xdr:cNvPr id="12" name="五边形 1">
          <a:hlinkClick xmlns:r="http://schemas.openxmlformats.org/officeDocument/2006/relationships" r:id="rId11"/>
          <a:extLst>
            <a:ext uri="{FF2B5EF4-FFF2-40B4-BE49-F238E27FC236}">
              <a16:creationId xmlns:a16="http://schemas.microsoft.com/office/drawing/2014/main" id="{00000000-0008-0000-4A00-00000C000000}"/>
            </a:ext>
          </a:extLst>
        </xdr:cNvPr>
        <xdr:cNvSpPr>
          <a:spLocks noChangeAspect="1"/>
        </xdr:cNvSpPr>
      </xdr:nvSpPr>
      <xdr:spPr>
        <a:xfrm flipH="1">
          <a:off x="19050" y="419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6.xml><?xml version="1.0" encoding="utf-8"?>
<xdr:wsDr xmlns:xdr="http://schemas.openxmlformats.org/drawingml/2006/spreadsheetDrawing" xmlns:a="http://schemas.openxmlformats.org/drawingml/2006/main">
  <xdr:twoCellAnchor editAs="oneCell">
    <xdr:from>
      <xdr:col>3</xdr:col>
      <xdr:colOff>19050</xdr:colOff>
      <xdr:row>12</xdr:row>
      <xdr:rowOff>38100</xdr:rowOff>
    </xdr:from>
    <xdr:to>
      <xdr:col>3</xdr:col>
      <xdr:colOff>695325</xdr:colOff>
      <xdr:row>12</xdr:row>
      <xdr:rowOff>371475</xdr:rowOff>
    </xdr:to>
    <xdr:pic>
      <xdr:nvPicPr>
        <xdr:cNvPr id="2" name="图片 1" descr="未标题-1.png">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cstate="print"/>
        <a:stretch>
          <a:fillRect/>
        </a:stretch>
      </xdr:blipFill>
      <xdr:spPr>
        <a:xfrm>
          <a:off x="2590800" y="2247900"/>
          <a:ext cx="676275" cy="333375"/>
        </a:xfrm>
        <a:prstGeom prst="rect">
          <a:avLst/>
        </a:prstGeom>
      </xdr:spPr>
    </xdr:pic>
    <xdr:clientData/>
  </xdr:twoCellAnchor>
  <xdr:twoCellAnchor editAs="oneCell">
    <xdr:from>
      <xdr:col>5</xdr:col>
      <xdr:colOff>428625</xdr:colOff>
      <xdr:row>10</xdr:row>
      <xdr:rowOff>66675</xdr:rowOff>
    </xdr:from>
    <xdr:to>
      <xdr:col>5</xdr:col>
      <xdr:colOff>1066800</xdr:colOff>
      <xdr:row>11</xdr:row>
      <xdr:rowOff>180975</xdr:rowOff>
    </xdr:to>
    <xdr:pic>
      <xdr:nvPicPr>
        <xdr:cNvPr id="3" name="图片 2" descr="未标题-1.png">
          <a:extLst>
            <a:ext uri="{FF2B5EF4-FFF2-40B4-BE49-F238E27FC236}">
              <a16:creationId xmlns:a16="http://schemas.microsoft.com/office/drawing/2014/main" id="{00000000-0008-0000-4B00-000003000000}"/>
            </a:ext>
          </a:extLst>
        </xdr:cNvPr>
        <xdr:cNvPicPr>
          <a:picLocks noChangeAspect="1"/>
        </xdr:cNvPicPr>
      </xdr:nvPicPr>
      <xdr:blipFill>
        <a:blip xmlns:r="http://schemas.openxmlformats.org/officeDocument/2006/relationships" r:embed="rId2" cstate="print"/>
        <a:stretch>
          <a:fillRect/>
        </a:stretch>
      </xdr:blipFill>
      <xdr:spPr>
        <a:xfrm>
          <a:off x="5381625" y="1743075"/>
          <a:ext cx="638175" cy="381000"/>
        </a:xfrm>
        <a:prstGeom prst="rect">
          <a:avLst/>
        </a:prstGeom>
      </xdr:spPr>
    </xdr:pic>
    <xdr:clientData/>
  </xdr:twoCellAnchor>
  <xdr:twoCellAnchor editAs="oneCell">
    <xdr:from>
      <xdr:col>5</xdr:col>
      <xdr:colOff>438150</xdr:colOff>
      <xdr:row>12</xdr:row>
      <xdr:rowOff>38100</xdr:rowOff>
    </xdr:from>
    <xdr:to>
      <xdr:col>5</xdr:col>
      <xdr:colOff>1104900</xdr:colOff>
      <xdr:row>12</xdr:row>
      <xdr:rowOff>400050</xdr:rowOff>
    </xdr:to>
    <xdr:pic>
      <xdr:nvPicPr>
        <xdr:cNvPr id="4" name="图片 3" descr="未标题-1.png">
          <a:extLst>
            <a:ext uri="{FF2B5EF4-FFF2-40B4-BE49-F238E27FC236}">
              <a16:creationId xmlns:a16="http://schemas.microsoft.com/office/drawing/2014/main" id="{00000000-0008-0000-4B00-000004000000}"/>
            </a:ext>
          </a:extLst>
        </xdr:cNvPr>
        <xdr:cNvPicPr>
          <a:picLocks noChangeAspect="1"/>
        </xdr:cNvPicPr>
      </xdr:nvPicPr>
      <xdr:blipFill>
        <a:blip xmlns:r="http://schemas.openxmlformats.org/officeDocument/2006/relationships" r:embed="rId3" cstate="print"/>
        <a:stretch>
          <a:fillRect/>
        </a:stretch>
      </xdr:blipFill>
      <xdr:spPr>
        <a:xfrm>
          <a:off x="5391150" y="2247900"/>
          <a:ext cx="666750" cy="361950"/>
        </a:xfrm>
        <a:prstGeom prst="rect">
          <a:avLst/>
        </a:prstGeom>
      </xdr:spPr>
    </xdr:pic>
    <xdr:clientData/>
  </xdr:twoCellAnchor>
  <xdr:twoCellAnchor editAs="oneCell">
    <xdr:from>
      <xdr:col>5</xdr:col>
      <xdr:colOff>266700</xdr:colOff>
      <xdr:row>15</xdr:row>
      <xdr:rowOff>104775</xdr:rowOff>
    </xdr:from>
    <xdr:to>
      <xdr:col>5</xdr:col>
      <xdr:colOff>1162050</xdr:colOff>
      <xdr:row>17</xdr:row>
      <xdr:rowOff>180975</xdr:rowOff>
    </xdr:to>
    <xdr:pic>
      <xdr:nvPicPr>
        <xdr:cNvPr id="5" name="图片 4" descr="未标题-1.png">
          <a:extLst>
            <a:ext uri="{FF2B5EF4-FFF2-40B4-BE49-F238E27FC236}">
              <a16:creationId xmlns:a16="http://schemas.microsoft.com/office/drawing/2014/main" id="{00000000-0008-0000-4B00-000005000000}"/>
            </a:ext>
          </a:extLst>
        </xdr:cNvPr>
        <xdr:cNvPicPr>
          <a:picLocks noChangeAspect="1"/>
        </xdr:cNvPicPr>
      </xdr:nvPicPr>
      <xdr:blipFill>
        <a:blip xmlns:r="http://schemas.openxmlformats.org/officeDocument/2006/relationships" r:embed="rId4" cstate="print"/>
        <a:stretch>
          <a:fillRect/>
        </a:stretch>
      </xdr:blipFill>
      <xdr:spPr>
        <a:xfrm>
          <a:off x="5219700" y="3028950"/>
          <a:ext cx="895350" cy="495300"/>
        </a:xfrm>
        <a:prstGeom prst="rect">
          <a:avLst/>
        </a:prstGeom>
      </xdr:spPr>
    </xdr:pic>
    <xdr:clientData/>
  </xdr:twoCellAnchor>
  <xdr:twoCellAnchor editAs="oneCell">
    <xdr:from>
      <xdr:col>5</xdr:col>
      <xdr:colOff>161925</xdr:colOff>
      <xdr:row>22</xdr:row>
      <xdr:rowOff>205740</xdr:rowOff>
    </xdr:from>
    <xdr:to>
      <xdr:col>6</xdr:col>
      <xdr:colOff>0</xdr:colOff>
      <xdr:row>25</xdr:row>
      <xdr:rowOff>95250</xdr:rowOff>
    </xdr:to>
    <xdr:pic>
      <xdr:nvPicPr>
        <xdr:cNvPr id="6" name="图片 5" descr="未标题-1.png">
          <a:extLst>
            <a:ext uri="{FF2B5EF4-FFF2-40B4-BE49-F238E27FC236}">
              <a16:creationId xmlns:a16="http://schemas.microsoft.com/office/drawing/2014/main" id="{00000000-0008-0000-4B00-000006000000}"/>
            </a:ext>
          </a:extLst>
        </xdr:cNvPr>
        <xdr:cNvPicPr>
          <a:picLocks noChangeAspect="1"/>
        </xdr:cNvPicPr>
      </xdr:nvPicPr>
      <xdr:blipFill>
        <a:blip xmlns:r="http://schemas.openxmlformats.org/officeDocument/2006/relationships" r:embed="rId5" cstate="print"/>
        <a:stretch>
          <a:fillRect/>
        </a:stretch>
      </xdr:blipFill>
      <xdr:spPr>
        <a:xfrm>
          <a:off x="5114925" y="4587240"/>
          <a:ext cx="1152525" cy="518160"/>
        </a:xfrm>
        <a:prstGeom prst="rect">
          <a:avLst/>
        </a:prstGeom>
      </xdr:spPr>
    </xdr:pic>
    <xdr:clientData/>
  </xdr:twoCellAnchor>
  <xdr:twoCellAnchor editAs="oneCell">
    <xdr:from>
      <xdr:col>5</xdr:col>
      <xdr:colOff>0</xdr:colOff>
      <xdr:row>30</xdr:row>
      <xdr:rowOff>38100</xdr:rowOff>
    </xdr:from>
    <xdr:to>
      <xdr:col>6</xdr:col>
      <xdr:colOff>0</xdr:colOff>
      <xdr:row>32</xdr:row>
      <xdr:rowOff>47625</xdr:rowOff>
    </xdr:to>
    <xdr:pic>
      <xdr:nvPicPr>
        <xdr:cNvPr id="7" name="图片 6" descr="未标题-1.png">
          <a:extLst>
            <a:ext uri="{FF2B5EF4-FFF2-40B4-BE49-F238E27FC236}">
              <a16:creationId xmlns:a16="http://schemas.microsoft.com/office/drawing/2014/main" id="{00000000-0008-0000-4B00-000007000000}"/>
            </a:ext>
          </a:extLst>
        </xdr:cNvPr>
        <xdr:cNvPicPr>
          <a:picLocks noChangeAspect="1"/>
        </xdr:cNvPicPr>
      </xdr:nvPicPr>
      <xdr:blipFill>
        <a:blip xmlns:r="http://schemas.openxmlformats.org/officeDocument/2006/relationships" r:embed="rId6" cstate="print"/>
        <a:stretch>
          <a:fillRect/>
        </a:stretch>
      </xdr:blipFill>
      <xdr:spPr>
        <a:xfrm>
          <a:off x="4953000" y="5972175"/>
          <a:ext cx="1314450" cy="542925"/>
        </a:xfrm>
        <a:prstGeom prst="rect">
          <a:avLst/>
        </a:prstGeom>
      </xdr:spPr>
    </xdr:pic>
    <xdr:clientData/>
  </xdr:twoCellAnchor>
  <xdr:twoCellAnchor editAs="oneCell">
    <xdr:from>
      <xdr:col>5</xdr:col>
      <xdr:colOff>133350</xdr:colOff>
      <xdr:row>34</xdr:row>
      <xdr:rowOff>95250</xdr:rowOff>
    </xdr:from>
    <xdr:to>
      <xdr:col>5</xdr:col>
      <xdr:colOff>866775</xdr:colOff>
      <xdr:row>36</xdr:row>
      <xdr:rowOff>180975</xdr:rowOff>
    </xdr:to>
    <xdr:pic>
      <xdr:nvPicPr>
        <xdr:cNvPr id="8" name="图片 7" descr="未标题-1.png">
          <a:extLst>
            <a:ext uri="{FF2B5EF4-FFF2-40B4-BE49-F238E27FC236}">
              <a16:creationId xmlns:a16="http://schemas.microsoft.com/office/drawing/2014/main" id="{00000000-0008-0000-4B00-000008000000}"/>
            </a:ext>
          </a:extLst>
        </xdr:cNvPr>
        <xdr:cNvPicPr>
          <a:picLocks noChangeAspect="1"/>
        </xdr:cNvPicPr>
      </xdr:nvPicPr>
      <xdr:blipFill>
        <a:blip xmlns:r="http://schemas.openxmlformats.org/officeDocument/2006/relationships" r:embed="rId7" cstate="print"/>
        <a:stretch>
          <a:fillRect/>
        </a:stretch>
      </xdr:blipFill>
      <xdr:spPr>
        <a:xfrm>
          <a:off x="5086350" y="6846570"/>
          <a:ext cx="733425" cy="504825"/>
        </a:xfrm>
        <a:prstGeom prst="rect">
          <a:avLst/>
        </a:prstGeom>
      </xdr:spPr>
    </xdr:pic>
    <xdr:clientData/>
  </xdr:twoCellAnchor>
  <xdr:twoCellAnchor editAs="absolute">
    <xdr:from>
      <xdr:col>1</xdr:col>
      <xdr:colOff>0</xdr:colOff>
      <xdr:row>3</xdr:row>
      <xdr:rowOff>0</xdr:rowOff>
    </xdr:from>
    <xdr:to>
      <xdr:col>1</xdr:col>
      <xdr:colOff>778969</xdr:colOff>
      <xdr:row>4</xdr:row>
      <xdr:rowOff>83724</xdr:rowOff>
    </xdr:to>
    <xdr:sp macro="" textlink="">
      <xdr:nvSpPr>
        <xdr:cNvPr id="9" name="五边形 1">
          <a:hlinkClick xmlns:r="http://schemas.openxmlformats.org/officeDocument/2006/relationships" r:id="rId8"/>
          <a:extLst>
            <a:ext uri="{FF2B5EF4-FFF2-40B4-BE49-F238E27FC236}">
              <a16:creationId xmlns:a16="http://schemas.microsoft.com/office/drawing/2014/main" id="{00000000-0008-0000-4B00-000009000000}"/>
            </a:ext>
          </a:extLst>
        </xdr:cNvPr>
        <xdr:cNvSpPr>
          <a:spLocks noChangeAspect="1"/>
        </xdr:cNvSpPr>
      </xdr:nvSpPr>
      <xdr:spPr>
        <a:xfrm flipH="1">
          <a:off x="19050" y="4572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2</xdr:col>
      <xdr:colOff>175260</xdr:colOff>
      <xdr:row>12</xdr:row>
      <xdr:rowOff>190500</xdr:rowOff>
    </xdr:from>
    <xdr:to>
      <xdr:col>6</xdr:col>
      <xdr:colOff>266700</xdr:colOff>
      <xdr:row>21</xdr:row>
      <xdr:rowOff>68580</xdr:rowOff>
    </xdr:to>
    <xdr:sp macro="" textlink="">
      <xdr:nvSpPr>
        <xdr:cNvPr id="1106285" name="Oval 1">
          <a:extLst>
            <a:ext uri="{FF2B5EF4-FFF2-40B4-BE49-F238E27FC236}">
              <a16:creationId xmlns:a16="http://schemas.microsoft.com/office/drawing/2014/main" id="{00000000-0008-0000-4C00-00006DE11000}"/>
            </a:ext>
          </a:extLst>
        </xdr:cNvPr>
        <xdr:cNvSpPr/>
      </xdr:nvSpPr>
      <xdr:spPr>
        <a:xfrm>
          <a:off x="918210" y="2612390"/>
          <a:ext cx="1577340" cy="1535430"/>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2</xdr:col>
      <xdr:colOff>198120</xdr:colOff>
      <xdr:row>17</xdr:row>
      <xdr:rowOff>37465</xdr:rowOff>
    </xdr:from>
    <xdr:to>
      <xdr:col>6</xdr:col>
      <xdr:colOff>243840</xdr:colOff>
      <xdr:row>17</xdr:row>
      <xdr:rowOff>37465</xdr:rowOff>
    </xdr:to>
    <xdr:sp macro="" textlink="">
      <xdr:nvSpPr>
        <xdr:cNvPr id="1106286" name="Line 2">
          <a:extLst>
            <a:ext uri="{FF2B5EF4-FFF2-40B4-BE49-F238E27FC236}">
              <a16:creationId xmlns:a16="http://schemas.microsoft.com/office/drawing/2014/main" id="{00000000-0008-0000-4C00-00006EE11000}"/>
            </a:ext>
          </a:extLst>
        </xdr:cNvPr>
        <xdr:cNvSpPr/>
      </xdr:nvSpPr>
      <xdr:spPr>
        <a:xfrm>
          <a:off x="941070" y="3373755"/>
          <a:ext cx="1531620" cy="0"/>
        </a:xfrm>
        <a:prstGeom prst="line">
          <a:avLst/>
        </a:prstGeom>
        <a:ln w="9525" cap="flat" cmpd="sng">
          <a:solidFill>
            <a:srgbClr val="000000"/>
          </a:solidFill>
          <a:prstDash val="solid"/>
          <a:round/>
          <a:headEnd type="arrow" w="sm" len="sm"/>
          <a:tailEnd type="arrow" w="sm" len="sm"/>
        </a:ln>
      </xdr:spPr>
    </xdr:sp>
    <xdr:clientData/>
  </xdr:twoCellAnchor>
  <xdr:twoCellAnchor>
    <xdr:from>
      <xdr:col>2</xdr:col>
      <xdr:colOff>76200</xdr:colOff>
      <xdr:row>12</xdr:row>
      <xdr:rowOff>76200</xdr:rowOff>
    </xdr:from>
    <xdr:to>
      <xdr:col>6</xdr:col>
      <xdr:colOff>365760</xdr:colOff>
      <xdr:row>21</xdr:row>
      <xdr:rowOff>183515</xdr:rowOff>
    </xdr:to>
    <xdr:sp macro="" textlink="">
      <xdr:nvSpPr>
        <xdr:cNvPr id="1106287" name="Oval 3">
          <a:extLst>
            <a:ext uri="{FF2B5EF4-FFF2-40B4-BE49-F238E27FC236}">
              <a16:creationId xmlns:a16="http://schemas.microsoft.com/office/drawing/2014/main" id="{00000000-0008-0000-4C00-00006FE11000}"/>
            </a:ext>
          </a:extLst>
        </xdr:cNvPr>
        <xdr:cNvSpPr/>
      </xdr:nvSpPr>
      <xdr:spPr>
        <a:xfrm>
          <a:off x="819150" y="2507615"/>
          <a:ext cx="1775460" cy="1752600"/>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1</xdr:col>
      <xdr:colOff>358140</xdr:colOff>
      <xdr:row>11</xdr:row>
      <xdr:rowOff>160020</xdr:rowOff>
    </xdr:from>
    <xdr:to>
      <xdr:col>7</xdr:col>
      <xdr:colOff>121920</xdr:colOff>
      <xdr:row>22</xdr:row>
      <xdr:rowOff>99060</xdr:rowOff>
    </xdr:to>
    <xdr:sp macro="" textlink="">
      <xdr:nvSpPr>
        <xdr:cNvPr id="1106288" name="Oval 4">
          <a:extLst>
            <a:ext uri="{FF2B5EF4-FFF2-40B4-BE49-F238E27FC236}">
              <a16:creationId xmlns:a16="http://schemas.microsoft.com/office/drawing/2014/main" id="{00000000-0008-0000-4C00-000070E11000}"/>
            </a:ext>
          </a:extLst>
        </xdr:cNvPr>
        <xdr:cNvSpPr/>
      </xdr:nvSpPr>
      <xdr:spPr>
        <a:xfrm>
          <a:off x="729615" y="2410460"/>
          <a:ext cx="1992630" cy="1948815"/>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1</xdr:col>
      <xdr:colOff>236220</xdr:colOff>
      <xdr:row>11</xdr:row>
      <xdr:rowOff>53340</xdr:rowOff>
    </xdr:from>
    <xdr:to>
      <xdr:col>7</xdr:col>
      <xdr:colOff>243840</xdr:colOff>
      <xdr:row>22</xdr:row>
      <xdr:rowOff>198755</xdr:rowOff>
    </xdr:to>
    <xdr:sp macro="" textlink="">
      <xdr:nvSpPr>
        <xdr:cNvPr id="1106289" name="Oval 5">
          <a:extLst>
            <a:ext uri="{FF2B5EF4-FFF2-40B4-BE49-F238E27FC236}">
              <a16:creationId xmlns:a16="http://schemas.microsoft.com/office/drawing/2014/main" id="{00000000-0008-0000-4C00-000071E11000}"/>
            </a:ext>
          </a:extLst>
        </xdr:cNvPr>
        <xdr:cNvSpPr/>
      </xdr:nvSpPr>
      <xdr:spPr>
        <a:xfrm>
          <a:off x="607695" y="2303780"/>
          <a:ext cx="2236470" cy="2137410"/>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1</xdr:col>
      <xdr:colOff>121920</xdr:colOff>
      <xdr:row>10</xdr:row>
      <xdr:rowOff>144780</xdr:rowOff>
    </xdr:from>
    <xdr:to>
      <xdr:col>7</xdr:col>
      <xdr:colOff>358140</xdr:colOff>
      <xdr:row>23</xdr:row>
      <xdr:rowOff>114300</xdr:rowOff>
    </xdr:to>
    <xdr:sp macro="" textlink="">
      <xdr:nvSpPr>
        <xdr:cNvPr id="1106290" name="Oval 6">
          <a:extLst>
            <a:ext uri="{FF2B5EF4-FFF2-40B4-BE49-F238E27FC236}">
              <a16:creationId xmlns:a16="http://schemas.microsoft.com/office/drawing/2014/main" id="{00000000-0008-0000-4C00-000072E11000}"/>
            </a:ext>
          </a:extLst>
        </xdr:cNvPr>
        <xdr:cNvSpPr/>
      </xdr:nvSpPr>
      <xdr:spPr>
        <a:xfrm>
          <a:off x="493395" y="2214245"/>
          <a:ext cx="2465070" cy="2341245"/>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1</xdr:col>
      <xdr:colOff>0</xdr:colOff>
      <xdr:row>10</xdr:row>
      <xdr:rowOff>6985</xdr:rowOff>
    </xdr:from>
    <xdr:to>
      <xdr:col>8</xdr:col>
      <xdr:colOff>99060</xdr:colOff>
      <xdr:row>24</xdr:row>
      <xdr:rowOff>45720</xdr:rowOff>
    </xdr:to>
    <xdr:sp macro="" textlink="">
      <xdr:nvSpPr>
        <xdr:cNvPr id="1106291" name="Oval 7">
          <a:extLst>
            <a:ext uri="{FF2B5EF4-FFF2-40B4-BE49-F238E27FC236}">
              <a16:creationId xmlns:a16="http://schemas.microsoft.com/office/drawing/2014/main" id="{00000000-0008-0000-4C00-000073E11000}"/>
            </a:ext>
          </a:extLst>
        </xdr:cNvPr>
        <xdr:cNvSpPr/>
      </xdr:nvSpPr>
      <xdr:spPr>
        <a:xfrm>
          <a:off x="371475" y="2076450"/>
          <a:ext cx="2699385" cy="2591435"/>
        </a:xfrm>
        <a:prstGeom prst="ellipse">
          <a:avLst/>
        </a:prstGeom>
        <a:noFill/>
        <a:ln w="38100" cap="flat" cmpd="dbl">
          <a:solidFill>
            <a:srgbClr val="000000"/>
          </a:solidFill>
          <a:prstDash val="solid"/>
          <a:round/>
          <a:headEnd type="none" w="med" len="med"/>
          <a:tailEnd type="none" w="med" len="med"/>
        </a:ln>
      </xdr:spPr>
    </xdr:sp>
    <xdr:clientData/>
  </xdr:twoCellAnchor>
  <xdr:twoCellAnchor>
    <xdr:from>
      <xdr:col>5</xdr:col>
      <xdr:colOff>68580</xdr:colOff>
      <xdr:row>10</xdr:row>
      <xdr:rowOff>30480</xdr:rowOff>
    </xdr:from>
    <xdr:to>
      <xdr:col>13</xdr:col>
      <xdr:colOff>7620</xdr:colOff>
      <xdr:row>10</xdr:row>
      <xdr:rowOff>30480</xdr:rowOff>
    </xdr:to>
    <xdr:sp macro="" textlink="">
      <xdr:nvSpPr>
        <xdr:cNvPr id="1106292" name="Line 8">
          <a:extLst>
            <a:ext uri="{FF2B5EF4-FFF2-40B4-BE49-F238E27FC236}">
              <a16:creationId xmlns:a16="http://schemas.microsoft.com/office/drawing/2014/main" id="{00000000-0008-0000-4C00-000074E11000}"/>
            </a:ext>
          </a:extLst>
        </xdr:cNvPr>
        <xdr:cNvSpPr/>
      </xdr:nvSpPr>
      <xdr:spPr>
        <a:xfrm>
          <a:off x="1925955" y="2099945"/>
          <a:ext cx="2977515" cy="0"/>
        </a:xfrm>
        <a:prstGeom prst="line">
          <a:avLst/>
        </a:prstGeom>
        <a:ln w="38100" cap="flat" cmpd="dbl">
          <a:solidFill>
            <a:srgbClr val="000000"/>
          </a:solidFill>
          <a:prstDash val="solid"/>
          <a:round/>
          <a:headEnd type="none" w="med" len="med"/>
          <a:tailEnd type="none" w="med" len="med"/>
        </a:ln>
      </xdr:spPr>
    </xdr:sp>
    <xdr:clientData/>
  </xdr:twoCellAnchor>
  <xdr:twoCellAnchor>
    <xdr:from>
      <xdr:col>8</xdr:col>
      <xdr:colOff>220980</xdr:colOff>
      <xdr:row>10</xdr:row>
      <xdr:rowOff>30480</xdr:rowOff>
    </xdr:from>
    <xdr:to>
      <xdr:col>8</xdr:col>
      <xdr:colOff>220980</xdr:colOff>
      <xdr:row>11</xdr:row>
      <xdr:rowOff>106680</xdr:rowOff>
    </xdr:to>
    <xdr:sp macro="" textlink="">
      <xdr:nvSpPr>
        <xdr:cNvPr id="1106293" name="Line 10">
          <a:extLst>
            <a:ext uri="{FF2B5EF4-FFF2-40B4-BE49-F238E27FC236}">
              <a16:creationId xmlns:a16="http://schemas.microsoft.com/office/drawing/2014/main" id="{00000000-0008-0000-4C00-000075E11000}"/>
            </a:ext>
          </a:extLst>
        </xdr:cNvPr>
        <xdr:cNvSpPr/>
      </xdr:nvSpPr>
      <xdr:spPr>
        <a:xfrm>
          <a:off x="3192780" y="2099945"/>
          <a:ext cx="0" cy="257175"/>
        </a:xfrm>
        <a:prstGeom prst="line">
          <a:avLst/>
        </a:prstGeom>
        <a:ln w="15875" cap="flat" cmpd="sng">
          <a:solidFill>
            <a:srgbClr val="000000"/>
          </a:solidFill>
          <a:prstDash val="solid"/>
          <a:round/>
          <a:headEnd type="none" w="med" len="med"/>
          <a:tailEnd type="none" w="med" len="med"/>
        </a:ln>
      </xdr:spPr>
    </xdr:sp>
    <xdr:clientData/>
  </xdr:twoCellAnchor>
  <xdr:twoCellAnchor>
    <xdr:from>
      <xdr:col>12</xdr:col>
      <xdr:colOff>83820</xdr:colOff>
      <xdr:row>10</xdr:row>
      <xdr:rowOff>30480</xdr:rowOff>
    </xdr:from>
    <xdr:to>
      <xdr:col>12</xdr:col>
      <xdr:colOff>83820</xdr:colOff>
      <xdr:row>11</xdr:row>
      <xdr:rowOff>137160</xdr:rowOff>
    </xdr:to>
    <xdr:sp macro="" textlink="">
      <xdr:nvSpPr>
        <xdr:cNvPr id="1106294" name="Line 12">
          <a:extLst>
            <a:ext uri="{FF2B5EF4-FFF2-40B4-BE49-F238E27FC236}">
              <a16:creationId xmlns:a16="http://schemas.microsoft.com/office/drawing/2014/main" id="{00000000-0008-0000-4C00-000076E11000}"/>
            </a:ext>
          </a:extLst>
        </xdr:cNvPr>
        <xdr:cNvSpPr/>
      </xdr:nvSpPr>
      <xdr:spPr>
        <a:xfrm>
          <a:off x="4608195" y="2099945"/>
          <a:ext cx="0" cy="287655"/>
        </a:xfrm>
        <a:prstGeom prst="line">
          <a:avLst/>
        </a:prstGeom>
        <a:ln w="15875" cap="flat" cmpd="sng">
          <a:solidFill>
            <a:srgbClr val="000000"/>
          </a:solidFill>
          <a:prstDash val="solid"/>
          <a:round/>
          <a:headEnd type="none" w="med" len="med"/>
          <a:tailEnd type="none" w="med" len="med"/>
        </a:ln>
      </xdr:spPr>
    </xdr:sp>
    <xdr:clientData/>
  </xdr:twoCellAnchor>
  <xdr:twoCellAnchor>
    <xdr:from>
      <xdr:col>8</xdr:col>
      <xdr:colOff>220980</xdr:colOff>
      <xdr:row>10</xdr:row>
      <xdr:rowOff>168275</xdr:rowOff>
    </xdr:from>
    <xdr:to>
      <xdr:col>12</xdr:col>
      <xdr:colOff>83820</xdr:colOff>
      <xdr:row>10</xdr:row>
      <xdr:rowOff>168275</xdr:rowOff>
    </xdr:to>
    <xdr:sp macro="" textlink="">
      <xdr:nvSpPr>
        <xdr:cNvPr id="1106295" name="Line 13">
          <a:extLst>
            <a:ext uri="{FF2B5EF4-FFF2-40B4-BE49-F238E27FC236}">
              <a16:creationId xmlns:a16="http://schemas.microsoft.com/office/drawing/2014/main" id="{00000000-0008-0000-4C00-000077E11000}"/>
            </a:ext>
          </a:extLst>
        </xdr:cNvPr>
        <xdr:cNvSpPr/>
      </xdr:nvSpPr>
      <xdr:spPr>
        <a:xfrm>
          <a:off x="3192780" y="2237740"/>
          <a:ext cx="1415415" cy="0"/>
        </a:xfrm>
        <a:prstGeom prst="line">
          <a:avLst/>
        </a:prstGeom>
        <a:ln w="9525" cap="flat" cmpd="sng">
          <a:solidFill>
            <a:srgbClr val="000000"/>
          </a:solidFill>
          <a:prstDash val="solid"/>
          <a:round/>
          <a:headEnd type="arrow" w="sm" len="sm"/>
          <a:tailEnd type="arrow" w="sm" len="sm"/>
        </a:ln>
      </xdr:spPr>
    </xdr:sp>
    <xdr:clientData/>
  </xdr:twoCellAnchor>
  <xdr:twoCellAnchor>
    <xdr:from>
      <xdr:col>12</xdr:col>
      <xdr:colOff>220980</xdr:colOff>
      <xdr:row>8</xdr:row>
      <xdr:rowOff>198755</xdr:rowOff>
    </xdr:from>
    <xdr:to>
      <xdr:col>12</xdr:col>
      <xdr:colOff>220980</xdr:colOff>
      <xdr:row>10</xdr:row>
      <xdr:rowOff>22225</xdr:rowOff>
    </xdr:to>
    <xdr:sp macro="" textlink="">
      <xdr:nvSpPr>
        <xdr:cNvPr id="1106296" name="Line 14">
          <a:extLst>
            <a:ext uri="{FF2B5EF4-FFF2-40B4-BE49-F238E27FC236}">
              <a16:creationId xmlns:a16="http://schemas.microsoft.com/office/drawing/2014/main" id="{00000000-0008-0000-4C00-000078E11000}"/>
            </a:ext>
          </a:extLst>
        </xdr:cNvPr>
        <xdr:cNvSpPr/>
      </xdr:nvSpPr>
      <xdr:spPr>
        <a:xfrm flipH="1" flipV="1">
          <a:off x="4745355" y="1888490"/>
          <a:ext cx="0" cy="203200"/>
        </a:xfrm>
        <a:prstGeom prst="line">
          <a:avLst/>
        </a:prstGeom>
        <a:ln w="9525" cap="flat" cmpd="sng">
          <a:solidFill>
            <a:srgbClr val="000000"/>
          </a:solidFill>
          <a:prstDash val="solid"/>
          <a:round/>
          <a:headEnd type="arrow" w="sm" len="sm"/>
          <a:tailEnd type="none" w="med" len="med"/>
        </a:ln>
      </xdr:spPr>
    </xdr:sp>
    <xdr:clientData/>
  </xdr:twoCellAnchor>
  <xdr:twoCellAnchor>
    <xdr:from>
      <xdr:col>12</xdr:col>
      <xdr:colOff>220980</xdr:colOff>
      <xdr:row>10</xdr:row>
      <xdr:rowOff>45720</xdr:rowOff>
    </xdr:from>
    <xdr:to>
      <xdr:col>12</xdr:col>
      <xdr:colOff>220980</xdr:colOff>
      <xdr:row>13</xdr:row>
      <xdr:rowOff>83820</xdr:rowOff>
    </xdr:to>
    <xdr:sp macro="" textlink="">
      <xdr:nvSpPr>
        <xdr:cNvPr id="1106297" name="Line 15">
          <a:extLst>
            <a:ext uri="{FF2B5EF4-FFF2-40B4-BE49-F238E27FC236}">
              <a16:creationId xmlns:a16="http://schemas.microsoft.com/office/drawing/2014/main" id="{00000000-0008-0000-4C00-000079E11000}"/>
            </a:ext>
          </a:extLst>
        </xdr:cNvPr>
        <xdr:cNvSpPr/>
      </xdr:nvSpPr>
      <xdr:spPr>
        <a:xfrm>
          <a:off x="4745355" y="2115185"/>
          <a:ext cx="0" cy="581025"/>
        </a:xfrm>
        <a:prstGeom prst="line">
          <a:avLst/>
        </a:prstGeom>
        <a:ln w="9525" cap="flat" cmpd="sng">
          <a:solidFill>
            <a:srgbClr val="000000"/>
          </a:solidFill>
          <a:prstDash val="solid"/>
          <a:round/>
          <a:headEnd type="arrow" w="sm" len="sm"/>
          <a:tailEnd type="none" w="med" len="med"/>
        </a:ln>
      </xdr:spPr>
    </xdr:sp>
    <xdr:clientData/>
  </xdr:twoCellAnchor>
  <xdr:twoCellAnchor>
    <xdr:from>
      <xdr:col>1</xdr:col>
      <xdr:colOff>0</xdr:colOff>
      <xdr:row>26</xdr:row>
      <xdr:rowOff>68580</xdr:rowOff>
    </xdr:from>
    <xdr:to>
      <xdr:col>8</xdr:col>
      <xdr:colOff>106680</xdr:colOff>
      <xdr:row>26</xdr:row>
      <xdr:rowOff>68580</xdr:rowOff>
    </xdr:to>
    <xdr:sp macro="" textlink="">
      <xdr:nvSpPr>
        <xdr:cNvPr id="1106298" name="Line 16">
          <a:extLst>
            <a:ext uri="{FF2B5EF4-FFF2-40B4-BE49-F238E27FC236}">
              <a16:creationId xmlns:a16="http://schemas.microsoft.com/office/drawing/2014/main" id="{00000000-0008-0000-4C00-00007AE11000}"/>
            </a:ext>
          </a:extLst>
        </xdr:cNvPr>
        <xdr:cNvSpPr/>
      </xdr:nvSpPr>
      <xdr:spPr>
        <a:xfrm>
          <a:off x="371475" y="5071745"/>
          <a:ext cx="2707005" cy="0"/>
        </a:xfrm>
        <a:prstGeom prst="line">
          <a:avLst/>
        </a:prstGeom>
        <a:ln w="9525" cap="flat" cmpd="sng">
          <a:solidFill>
            <a:srgbClr val="000000"/>
          </a:solidFill>
          <a:prstDash val="solid"/>
          <a:round/>
          <a:headEnd type="arrow" w="sm" len="sm"/>
          <a:tailEnd type="arrow" w="sm" len="sm"/>
        </a:ln>
      </xdr:spPr>
    </xdr:sp>
    <xdr:clientData/>
  </xdr:twoCellAnchor>
  <xdr:twoCellAnchor>
    <xdr:from>
      <xdr:col>1</xdr:col>
      <xdr:colOff>0</xdr:colOff>
      <xdr:row>18</xdr:row>
      <xdr:rowOff>30480</xdr:rowOff>
    </xdr:from>
    <xdr:to>
      <xdr:col>1</xdr:col>
      <xdr:colOff>0</xdr:colOff>
      <xdr:row>27</xdr:row>
      <xdr:rowOff>0</xdr:rowOff>
    </xdr:to>
    <xdr:sp macro="" textlink="">
      <xdr:nvSpPr>
        <xdr:cNvPr id="1106299" name="Line 17">
          <a:extLst>
            <a:ext uri="{FF2B5EF4-FFF2-40B4-BE49-F238E27FC236}">
              <a16:creationId xmlns:a16="http://schemas.microsoft.com/office/drawing/2014/main" id="{00000000-0008-0000-4C00-00007BE11000}"/>
            </a:ext>
          </a:extLst>
        </xdr:cNvPr>
        <xdr:cNvSpPr/>
      </xdr:nvSpPr>
      <xdr:spPr>
        <a:xfrm>
          <a:off x="371475" y="3547745"/>
          <a:ext cx="0" cy="1636395"/>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106680</xdr:colOff>
      <xdr:row>17</xdr:row>
      <xdr:rowOff>190500</xdr:rowOff>
    </xdr:from>
    <xdr:to>
      <xdr:col>8</xdr:col>
      <xdr:colOff>106680</xdr:colOff>
      <xdr:row>27</xdr:row>
      <xdr:rowOff>0</xdr:rowOff>
    </xdr:to>
    <xdr:sp macro="" textlink="">
      <xdr:nvSpPr>
        <xdr:cNvPr id="1106300" name="Line 18">
          <a:extLst>
            <a:ext uri="{FF2B5EF4-FFF2-40B4-BE49-F238E27FC236}">
              <a16:creationId xmlns:a16="http://schemas.microsoft.com/office/drawing/2014/main" id="{00000000-0008-0000-4C00-00007CE11000}"/>
            </a:ext>
          </a:extLst>
        </xdr:cNvPr>
        <xdr:cNvSpPr/>
      </xdr:nvSpPr>
      <xdr:spPr>
        <a:xfrm>
          <a:off x="3078480" y="3517265"/>
          <a:ext cx="0" cy="1666875"/>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7620</xdr:colOff>
      <xdr:row>13</xdr:row>
      <xdr:rowOff>99060</xdr:rowOff>
    </xdr:from>
    <xdr:to>
      <xdr:col>12</xdr:col>
      <xdr:colOff>220980</xdr:colOff>
      <xdr:row>13</xdr:row>
      <xdr:rowOff>99060</xdr:rowOff>
    </xdr:to>
    <xdr:sp macro="" textlink="">
      <xdr:nvSpPr>
        <xdr:cNvPr id="1106301" name="Line 19">
          <a:extLst>
            <a:ext uri="{FF2B5EF4-FFF2-40B4-BE49-F238E27FC236}">
              <a16:creationId xmlns:a16="http://schemas.microsoft.com/office/drawing/2014/main" id="{00000000-0008-0000-4C00-00007DE11000}"/>
            </a:ext>
          </a:extLst>
        </xdr:cNvPr>
        <xdr:cNvSpPr/>
      </xdr:nvSpPr>
      <xdr:spPr>
        <a:xfrm flipH="1">
          <a:off x="4531995" y="2711450"/>
          <a:ext cx="2133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327660</xdr:colOff>
      <xdr:row>7</xdr:row>
      <xdr:rowOff>6985</xdr:rowOff>
    </xdr:from>
    <xdr:to>
      <xdr:col>14</xdr:col>
      <xdr:colOff>144780</xdr:colOff>
      <xdr:row>7</xdr:row>
      <xdr:rowOff>6985</xdr:rowOff>
    </xdr:to>
    <xdr:sp macro="" textlink="">
      <xdr:nvSpPr>
        <xdr:cNvPr id="1106302" name="Line 22">
          <a:extLst>
            <a:ext uri="{FF2B5EF4-FFF2-40B4-BE49-F238E27FC236}">
              <a16:creationId xmlns:a16="http://schemas.microsoft.com/office/drawing/2014/main" id="{00000000-0008-0000-4C00-00007EE11000}"/>
            </a:ext>
          </a:extLst>
        </xdr:cNvPr>
        <xdr:cNvSpPr/>
      </xdr:nvSpPr>
      <xdr:spPr>
        <a:xfrm>
          <a:off x="1813560" y="1533525"/>
          <a:ext cx="359854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220980</xdr:colOff>
      <xdr:row>8</xdr:row>
      <xdr:rowOff>45720</xdr:rowOff>
    </xdr:from>
    <xdr:to>
      <xdr:col>9</xdr:col>
      <xdr:colOff>243840</xdr:colOff>
      <xdr:row>10</xdr:row>
      <xdr:rowOff>30480</xdr:rowOff>
    </xdr:to>
    <xdr:sp macro="" textlink="">
      <xdr:nvSpPr>
        <xdr:cNvPr id="1106303" name="Line 24">
          <a:extLst>
            <a:ext uri="{FF2B5EF4-FFF2-40B4-BE49-F238E27FC236}">
              <a16:creationId xmlns:a16="http://schemas.microsoft.com/office/drawing/2014/main" id="{00000000-0008-0000-4C00-00007FE11000}"/>
            </a:ext>
          </a:extLst>
        </xdr:cNvPr>
        <xdr:cNvSpPr/>
      </xdr:nvSpPr>
      <xdr:spPr>
        <a:xfrm flipV="1">
          <a:off x="3192780" y="1753235"/>
          <a:ext cx="394335" cy="346710"/>
        </a:xfrm>
        <a:prstGeom prst="line">
          <a:avLst/>
        </a:prstGeom>
        <a:ln w="15875" cap="flat" cmpd="sng">
          <a:solidFill>
            <a:srgbClr val="000000"/>
          </a:solidFill>
          <a:prstDash val="lgDashDot"/>
          <a:round/>
          <a:headEnd type="none" w="med" len="med"/>
          <a:tailEnd type="oval" w="sm" len="sm"/>
        </a:ln>
      </xdr:spPr>
    </xdr:sp>
    <xdr:clientData/>
  </xdr:twoCellAnchor>
  <xdr:twoCellAnchor>
    <xdr:from>
      <xdr:col>12</xdr:col>
      <xdr:colOff>83820</xdr:colOff>
      <xdr:row>8</xdr:row>
      <xdr:rowOff>53340</xdr:rowOff>
    </xdr:from>
    <xdr:to>
      <xdr:col>13</xdr:col>
      <xdr:colOff>45720</xdr:colOff>
      <xdr:row>10</xdr:row>
      <xdr:rowOff>30480</xdr:rowOff>
    </xdr:to>
    <xdr:sp macro="" textlink="">
      <xdr:nvSpPr>
        <xdr:cNvPr id="1106304" name="Line 25">
          <a:extLst>
            <a:ext uri="{FF2B5EF4-FFF2-40B4-BE49-F238E27FC236}">
              <a16:creationId xmlns:a16="http://schemas.microsoft.com/office/drawing/2014/main" id="{00000000-0008-0000-4C00-000080E11000}"/>
            </a:ext>
          </a:extLst>
        </xdr:cNvPr>
        <xdr:cNvSpPr/>
      </xdr:nvSpPr>
      <xdr:spPr>
        <a:xfrm flipV="1">
          <a:off x="4608195" y="1760855"/>
          <a:ext cx="333375" cy="339090"/>
        </a:xfrm>
        <a:prstGeom prst="line">
          <a:avLst/>
        </a:prstGeom>
        <a:ln w="15875" cap="flat" cmpd="sng">
          <a:solidFill>
            <a:srgbClr val="000000"/>
          </a:solidFill>
          <a:prstDash val="lgDashDot"/>
          <a:round/>
          <a:headEnd type="none" w="med" len="med"/>
          <a:tailEnd type="oval" w="sm" len="sm"/>
        </a:ln>
      </xdr:spPr>
    </xdr:sp>
    <xdr:clientData/>
  </xdr:twoCellAnchor>
  <xdr:twoCellAnchor>
    <xdr:from>
      <xdr:col>1</xdr:col>
      <xdr:colOff>0</xdr:colOff>
      <xdr:row>7</xdr:row>
      <xdr:rowOff>6985</xdr:rowOff>
    </xdr:from>
    <xdr:to>
      <xdr:col>4</xdr:col>
      <xdr:colOff>342900</xdr:colOff>
      <xdr:row>17</xdr:row>
      <xdr:rowOff>45720</xdr:rowOff>
    </xdr:to>
    <xdr:sp macro="" textlink="">
      <xdr:nvSpPr>
        <xdr:cNvPr id="1106305" name="Arc 26">
          <a:extLst>
            <a:ext uri="{FF2B5EF4-FFF2-40B4-BE49-F238E27FC236}">
              <a16:creationId xmlns:a16="http://schemas.microsoft.com/office/drawing/2014/main" id="{00000000-0008-0000-4C00-000081E11000}"/>
            </a:ext>
          </a:extLst>
        </xdr:cNvPr>
        <xdr:cNvSpPr/>
      </xdr:nvSpPr>
      <xdr:spPr>
        <a:xfrm flipH="1">
          <a:off x="371475" y="1533525"/>
          <a:ext cx="1457325" cy="1848485"/>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13</xdr:col>
      <xdr:colOff>0</xdr:colOff>
      <xdr:row>10</xdr:row>
      <xdr:rowOff>22225</xdr:rowOff>
    </xdr:from>
    <xdr:to>
      <xdr:col>13</xdr:col>
      <xdr:colOff>0</xdr:colOff>
      <xdr:row>11</xdr:row>
      <xdr:rowOff>183515</xdr:rowOff>
    </xdr:to>
    <xdr:sp macro="" textlink="">
      <xdr:nvSpPr>
        <xdr:cNvPr id="1106306" name="Line 27">
          <a:extLst>
            <a:ext uri="{FF2B5EF4-FFF2-40B4-BE49-F238E27FC236}">
              <a16:creationId xmlns:a16="http://schemas.microsoft.com/office/drawing/2014/main" id="{00000000-0008-0000-4C00-000082E11000}"/>
            </a:ext>
          </a:extLst>
        </xdr:cNvPr>
        <xdr:cNvSpPr/>
      </xdr:nvSpPr>
      <xdr:spPr>
        <a:xfrm>
          <a:off x="4895850" y="2091690"/>
          <a:ext cx="0" cy="339725"/>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144780</xdr:colOff>
      <xdr:row>7</xdr:row>
      <xdr:rowOff>6985</xdr:rowOff>
    </xdr:from>
    <xdr:to>
      <xdr:col>14</xdr:col>
      <xdr:colOff>144780</xdr:colOff>
      <xdr:row>8</xdr:row>
      <xdr:rowOff>168275</xdr:rowOff>
    </xdr:to>
    <xdr:sp macro="" textlink="">
      <xdr:nvSpPr>
        <xdr:cNvPr id="1106307" name="Line 28">
          <a:extLst>
            <a:ext uri="{FF2B5EF4-FFF2-40B4-BE49-F238E27FC236}">
              <a16:creationId xmlns:a16="http://schemas.microsoft.com/office/drawing/2014/main" id="{00000000-0008-0000-4C00-000083E11000}"/>
            </a:ext>
          </a:extLst>
        </xdr:cNvPr>
        <xdr:cNvSpPr/>
      </xdr:nvSpPr>
      <xdr:spPr>
        <a:xfrm>
          <a:off x="5412105" y="1533525"/>
          <a:ext cx="0" cy="342265"/>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0</xdr:colOff>
      <xdr:row>8</xdr:row>
      <xdr:rowOff>106680</xdr:rowOff>
    </xdr:from>
    <xdr:to>
      <xdr:col>14</xdr:col>
      <xdr:colOff>137160</xdr:colOff>
      <xdr:row>11</xdr:row>
      <xdr:rowOff>137160</xdr:rowOff>
    </xdr:to>
    <xdr:sp macro="" textlink="">
      <xdr:nvSpPr>
        <xdr:cNvPr id="1106308" name="Line 29">
          <a:extLst>
            <a:ext uri="{FF2B5EF4-FFF2-40B4-BE49-F238E27FC236}">
              <a16:creationId xmlns:a16="http://schemas.microsoft.com/office/drawing/2014/main" id="{00000000-0008-0000-4C00-000084E11000}"/>
            </a:ext>
          </a:extLst>
        </xdr:cNvPr>
        <xdr:cNvSpPr/>
      </xdr:nvSpPr>
      <xdr:spPr>
        <a:xfrm flipV="1">
          <a:off x="4895850" y="1814195"/>
          <a:ext cx="508635" cy="573405"/>
        </a:xfrm>
        <a:prstGeom prst="line">
          <a:avLst/>
        </a:prstGeom>
        <a:ln w="9525" cap="flat" cmpd="sng">
          <a:solidFill>
            <a:srgbClr val="000000"/>
          </a:solidFill>
          <a:prstDash val="solid"/>
          <a:round/>
          <a:headEnd type="arrow" w="sm" len="sm"/>
          <a:tailEnd type="arrow" w="sm" len="sm"/>
        </a:ln>
      </xdr:spPr>
    </xdr:sp>
    <xdr:clientData/>
  </xdr:twoCellAnchor>
  <xdr:twoCellAnchor>
    <xdr:from>
      <xdr:col>13</xdr:col>
      <xdr:colOff>297180</xdr:colOff>
      <xdr:row>9</xdr:row>
      <xdr:rowOff>160020</xdr:rowOff>
    </xdr:from>
    <xdr:to>
      <xdr:col>13</xdr:col>
      <xdr:colOff>297180</xdr:colOff>
      <xdr:row>15</xdr:row>
      <xdr:rowOff>114300</xdr:rowOff>
    </xdr:to>
    <xdr:sp macro="" textlink="">
      <xdr:nvSpPr>
        <xdr:cNvPr id="1106309" name="Line 30">
          <a:extLst>
            <a:ext uri="{FF2B5EF4-FFF2-40B4-BE49-F238E27FC236}">
              <a16:creationId xmlns:a16="http://schemas.microsoft.com/office/drawing/2014/main" id="{00000000-0008-0000-4C00-000085E11000}"/>
            </a:ext>
          </a:extLst>
        </xdr:cNvPr>
        <xdr:cNvSpPr/>
      </xdr:nvSpPr>
      <xdr:spPr>
        <a:xfrm flipH="1">
          <a:off x="5193030" y="2048510"/>
          <a:ext cx="0" cy="1040130"/>
        </a:xfrm>
        <a:prstGeom prst="line">
          <a:avLst/>
        </a:prstGeom>
        <a:ln w="9525" cap="flat" cmpd="sng">
          <a:solidFill>
            <a:srgbClr val="000000"/>
          </a:solidFill>
          <a:prstDash val="solid"/>
          <a:round/>
          <a:headEnd type="oval" w="sm" len="sm"/>
          <a:tailEnd type="none" w="med" len="med"/>
        </a:ln>
      </xdr:spPr>
    </xdr:sp>
    <xdr:clientData/>
  </xdr:twoCellAnchor>
  <xdr:twoCellAnchor>
    <xdr:from>
      <xdr:col>12</xdr:col>
      <xdr:colOff>0</xdr:colOff>
      <xdr:row>15</xdr:row>
      <xdr:rowOff>114300</xdr:rowOff>
    </xdr:from>
    <xdr:to>
      <xdr:col>13</xdr:col>
      <xdr:colOff>289560</xdr:colOff>
      <xdr:row>15</xdr:row>
      <xdr:rowOff>114300</xdr:rowOff>
    </xdr:to>
    <xdr:sp macro="" textlink="">
      <xdr:nvSpPr>
        <xdr:cNvPr id="1106310" name="Line 31">
          <a:extLst>
            <a:ext uri="{FF2B5EF4-FFF2-40B4-BE49-F238E27FC236}">
              <a16:creationId xmlns:a16="http://schemas.microsoft.com/office/drawing/2014/main" id="{00000000-0008-0000-4C00-000086E11000}"/>
            </a:ext>
          </a:extLst>
        </xdr:cNvPr>
        <xdr:cNvSpPr/>
      </xdr:nvSpPr>
      <xdr:spPr>
        <a:xfrm flipH="1">
          <a:off x="4524375" y="3088640"/>
          <a:ext cx="66103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0</xdr:colOff>
      <xdr:row>7</xdr:row>
      <xdr:rowOff>6985</xdr:rowOff>
    </xdr:from>
    <xdr:to>
      <xdr:col>14</xdr:col>
      <xdr:colOff>137160</xdr:colOff>
      <xdr:row>10</xdr:row>
      <xdr:rowOff>6985</xdr:rowOff>
    </xdr:to>
    <xdr:sp macro="" textlink="">
      <xdr:nvSpPr>
        <xdr:cNvPr id="1106311" name="Line 42">
          <a:extLst>
            <a:ext uri="{FF2B5EF4-FFF2-40B4-BE49-F238E27FC236}">
              <a16:creationId xmlns:a16="http://schemas.microsoft.com/office/drawing/2014/main" id="{00000000-0008-0000-4C00-000087E11000}"/>
            </a:ext>
          </a:extLst>
        </xdr:cNvPr>
        <xdr:cNvSpPr/>
      </xdr:nvSpPr>
      <xdr:spPr>
        <a:xfrm flipH="1">
          <a:off x="4895850" y="1533525"/>
          <a:ext cx="508635" cy="542925"/>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0</xdr:colOff>
      <xdr:row>7</xdr:row>
      <xdr:rowOff>37465</xdr:rowOff>
    </xdr:from>
    <xdr:to>
      <xdr:col>14</xdr:col>
      <xdr:colOff>144780</xdr:colOff>
      <xdr:row>10</xdr:row>
      <xdr:rowOff>45720</xdr:rowOff>
    </xdr:to>
    <xdr:sp macro="" textlink="">
      <xdr:nvSpPr>
        <xdr:cNvPr id="1106312" name="Line 43">
          <a:extLst>
            <a:ext uri="{FF2B5EF4-FFF2-40B4-BE49-F238E27FC236}">
              <a16:creationId xmlns:a16="http://schemas.microsoft.com/office/drawing/2014/main" id="{00000000-0008-0000-4C00-000088E11000}"/>
            </a:ext>
          </a:extLst>
        </xdr:cNvPr>
        <xdr:cNvSpPr/>
      </xdr:nvSpPr>
      <xdr:spPr>
        <a:xfrm flipV="1">
          <a:off x="4895850" y="1564005"/>
          <a:ext cx="516255" cy="551180"/>
        </a:xfrm>
        <a:prstGeom prst="line">
          <a:avLst/>
        </a:prstGeom>
        <a:ln w="9525" cap="flat" cmpd="sng">
          <a:solidFill>
            <a:srgbClr val="000000"/>
          </a:solidFill>
          <a:prstDash val="solid"/>
          <a:round/>
          <a:headEnd type="none" w="med" len="med"/>
          <a:tailEnd type="none" w="med" len="med"/>
        </a:ln>
      </xdr:spPr>
    </xdr:sp>
    <xdr:clientData/>
  </xdr:twoCellAnchor>
  <xdr:twoCellAnchor editAs="absolute">
    <xdr:from>
      <xdr:col>14</xdr:col>
      <xdr:colOff>0</xdr:colOff>
      <xdr:row>0</xdr:row>
      <xdr:rowOff>0</xdr:rowOff>
    </xdr:from>
    <xdr:to>
      <xdr:col>16</xdr:col>
      <xdr:colOff>350344</xdr:colOff>
      <xdr:row>1</xdr:row>
      <xdr:rowOff>83724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4C00-000002000000}"/>
            </a:ext>
          </a:extLst>
        </xdr:cNvPr>
        <xdr:cNvSpPr>
          <a:spLocks noChangeAspect="1"/>
        </xdr:cNvSpPr>
      </xdr:nvSpPr>
      <xdr:spPr>
        <a:xfrm flipH="1">
          <a:off x="52673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9</xdr:col>
      <xdr:colOff>175260</xdr:colOff>
      <xdr:row>6</xdr:row>
      <xdr:rowOff>45720</xdr:rowOff>
    </xdr:from>
    <xdr:to>
      <xdr:col>12</xdr:col>
      <xdr:colOff>137160</xdr:colOff>
      <xdr:row>10</xdr:row>
      <xdr:rowOff>122555</xdr:rowOff>
    </xdr:to>
    <xdr:sp macro="" textlink="">
      <xdr:nvSpPr>
        <xdr:cNvPr id="1105443" name="Oval 1">
          <a:extLst>
            <a:ext uri="{FF2B5EF4-FFF2-40B4-BE49-F238E27FC236}">
              <a16:creationId xmlns:a16="http://schemas.microsoft.com/office/drawing/2014/main" id="{00000000-0008-0000-4D00-000023DE1000}"/>
            </a:ext>
          </a:extLst>
        </xdr:cNvPr>
        <xdr:cNvSpPr/>
      </xdr:nvSpPr>
      <xdr:spPr>
        <a:xfrm>
          <a:off x="4271010" y="1687195"/>
          <a:ext cx="923925" cy="838835"/>
        </a:xfrm>
        <a:prstGeom prst="ellipse">
          <a:avLst/>
        </a:prstGeom>
        <a:noFill/>
        <a:ln w="25400" cap="flat" cmpd="sng">
          <a:solidFill>
            <a:srgbClr val="000000"/>
          </a:solidFill>
          <a:prstDash val="solid"/>
          <a:round/>
          <a:headEnd type="none" w="med" len="med"/>
          <a:tailEnd type="none" w="med" len="med"/>
        </a:ln>
      </xdr:spPr>
    </xdr:sp>
    <xdr:clientData/>
  </xdr:twoCellAnchor>
  <xdr:twoCellAnchor>
    <xdr:from>
      <xdr:col>13</xdr:col>
      <xdr:colOff>114300</xdr:colOff>
      <xdr:row>6</xdr:row>
      <xdr:rowOff>45720</xdr:rowOff>
    </xdr:from>
    <xdr:to>
      <xdr:col>16</xdr:col>
      <xdr:colOff>198120</xdr:colOff>
      <xdr:row>10</xdr:row>
      <xdr:rowOff>0</xdr:rowOff>
    </xdr:to>
    <xdr:sp macro="" textlink="">
      <xdr:nvSpPr>
        <xdr:cNvPr id="1105444" name="Rectangle 2">
          <a:extLst>
            <a:ext uri="{FF2B5EF4-FFF2-40B4-BE49-F238E27FC236}">
              <a16:creationId xmlns:a16="http://schemas.microsoft.com/office/drawing/2014/main" id="{00000000-0008-0000-4D00-000024DE1000}"/>
            </a:ext>
          </a:extLst>
        </xdr:cNvPr>
        <xdr:cNvSpPr/>
      </xdr:nvSpPr>
      <xdr:spPr>
        <a:xfrm>
          <a:off x="5572125" y="1687195"/>
          <a:ext cx="969645" cy="716280"/>
        </a:xfrm>
        <a:prstGeom prst="rect">
          <a:avLst/>
        </a:prstGeom>
        <a:noFill/>
        <a:ln w="25400" cap="flat" cmpd="sng">
          <a:solidFill>
            <a:srgbClr val="000000"/>
          </a:solidFill>
          <a:prstDash val="solid"/>
          <a:miter/>
          <a:headEnd type="none" w="med" len="med"/>
          <a:tailEnd type="none" w="med" len="med"/>
        </a:ln>
      </xdr:spPr>
    </xdr:sp>
    <xdr:clientData/>
  </xdr:twoCellAnchor>
  <xdr:twoCellAnchor>
    <xdr:from>
      <xdr:col>17</xdr:col>
      <xdr:colOff>144780</xdr:colOff>
      <xdr:row>6</xdr:row>
      <xdr:rowOff>45720</xdr:rowOff>
    </xdr:from>
    <xdr:to>
      <xdr:col>20</xdr:col>
      <xdr:colOff>198120</xdr:colOff>
      <xdr:row>9</xdr:row>
      <xdr:rowOff>45720</xdr:rowOff>
    </xdr:to>
    <xdr:sp macro="" textlink="">
      <xdr:nvSpPr>
        <xdr:cNvPr id="1105445" name="AutoShape 3">
          <a:extLst>
            <a:ext uri="{FF2B5EF4-FFF2-40B4-BE49-F238E27FC236}">
              <a16:creationId xmlns:a16="http://schemas.microsoft.com/office/drawing/2014/main" id="{00000000-0008-0000-4D00-000025DE1000}"/>
            </a:ext>
          </a:extLst>
        </xdr:cNvPr>
        <xdr:cNvSpPr/>
      </xdr:nvSpPr>
      <xdr:spPr>
        <a:xfrm>
          <a:off x="6783705" y="1687195"/>
          <a:ext cx="939165" cy="581025"/>
        </a:xfrm>
        <a:prstGeom prst="roundRect">
          <a:avLst>
            <a:gd name="adj" fmla="val 16667"/>
          </a:avLst>
        </a:prstGeom>
        <a:noFill/>
        <a:ln w="25400" cap="flat" cmpd="sng">
          <a:solidFill>
            <a:srgbClr val="000000"/>
          </a:solidFill>
          <a:prstDash val="solid"/>
          <a:round/>
          <a:headEnd type="none" w="med" len="med"/>
          <a:tailEnd type="none" w="med" len="med"/>
        </a:ln>
      </xdr:spPr>
    </xdr:sp>
    <xdr:clientData/>
  </xdr:twoCellAnchor>
  <xdr:twoCellAnchor>
    <xdr:from>
      <xdr:col>10</xdr:col>
      <xdr:colOff>128905</xdr:colOff>
      <xdr:row>7</xdr:row>
      <xdr:rowOff>156210</xdr:rowOff>
    </xdr:from>
    <xdr:to>
      <xdr:col>12</xdr:col>
      <xdr:colOff>26718</xdr:colOff>
      <xdr:row>9</xdr:row>
      <xdr:rowOff>59103</xdr:rowOff>
    </xdr:to>
    <xdr:sp macro="" textlink="">
      <xdr:nvSpPr>
        <xdr:cNvPr id="2" name="Rectangle 15">
          <a:extLst>
            <a:ext uri="{FF2B5EF4-FFF2-40B4-BE49-F238E27FC236}">
              <a16:creationId xmlns:a16="http://schemas.microsoft.com/office/drawing/2014/main" id="{00000000-0008-0000-4D00-000002000000}"/>
            </a:ext>
          </a:extLst>
        </xdr:cNvPr>
        <xdr:cNvSpPr/>
      </xdr:nvSpPr>
      <xdr:spPr>
        <a:xfrm>
          <a:off x="4596130" y="2007235"/>
          <a:ext cx="488315" cy="274320"/>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val="000000"/>
              </a:solidFill>
              <a:latin typeface="PMingLiU" charset="-120"/>
              <a:ea typeface="PMingLiU" charset="-120"/>
              <a:cs typeface="PMingLiU" charset="-120"/>
              <a:sym typeface="PMingLiU" charset="-120"/>
            </a:rPr>
            <a:t>圆形</a:t>
          </a:r>
        </a:p>
      </xdr:txBody>
    </xdr:sp>
    <xdr:clientData/>
  </xdr:twoCellAnchor>
  <xdr:twoCellAnchor>
    <xdr:from>
      <xdr:col>14</xdr:col>
      <xdr:colOff>60325</xdr:colOff>
      <xdr:row>7</xdr:row>
      <xdr:rowOff>97155</xdr:rowOff>
    </xdr:from>
    <xdr:to>
      <xdr:col>16</xdr:col>
      <xdr:colOff>163864</xdr:colOff>
      <xdr:row>9</xdr:row>
      <xdr:rowOff>48</xdr:rowOff>
    </xdr:to>
    <xdr:sp macro="" textlink="">
      <xdr:nvSpPr>
        <xdr:cNvPr id="3" name="Rectangle 18">
          <a:extLst>
            <a:ext uri="{FF2B5EF4-FFF2-40B4-BE49-F238E27FC236}">
              <a16:creationId xmlns:a16="http://schemas.microsoft.com/office/drawing/2014/main" id="{00000000-0008-0000-4D00-000003000000}"/>
            </a:ext>
          </a:extLst>
        </xdr:cNvPr>
        <xdr:cNvSpPr/>
      </xdr:nvSpPr>
      <xdr:spPr>
        <a:xfrm>
          <a:off x="5813425" y="1948180"/>
          <a:ext cx="694055" cy="274320"/>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val="000000"/>
              </a:solidFill>
              <a:latin typeface="PMingLiU" charset="-120"/>
              <a:ea typeface="PMingLiU" charset="-120"/>
              <a:cs typeface="PMingLiU" charset="-120"/>
              <a:sym typeface="PMingLiU" charset="-120"/>
            </a:rPr>
            <a:t>四边形</a:t>
          </a:r>
        </a:p>
      </xdr:txBody>
    </xdr:sp>
    <xdr:clientData/>
  </xdr:twoCellAnchor>
  <xdr:twoCellAnchor>
    <xdr:from>
      <xdr:col>17</xdr:col>
      <xdr:colOff>283210</xdr:colOff>
      <xdr:row>7</xdr:row>
      <xdr:rowOff>47625</xdr:rowOff>
    </xdr:from>
    <xdr:to>
      <xdr:col>20</xdr:col>
      <xdr:colOff>120015</xdr:colOff>
      <xdr:row>8</xdr:row>
      <xdr:rowOff>154305</xdr:rowOff>
    </xdr:to>
    <xdr:sp macro="" textlink="">
      <xdr:nvSpPr>
        <xdr:cNvPr id="4" name="Rectangle 19">
          <a:extLst>
            <a:ext uri="{FF2B5EF4-FFF2-40B4-BE49-F238E27FC236}">
              <a16:creationId xmlns:a16="http://schemas.microsoft.com/office/drawing/2014/main" id="{00000000-0008-0000-4D00-000004000000}"/>
            </a:ext>
          </a:extLst>
        </xdr:cNvPr>
        <xdr:cNvSpPr/>
      </xdr:nvSpPr>
      <xdr:spPr>
        <a:xfrm>
          <a:off x="6922135" y="1898650"/>
          <a:ext cx="722630" cy="297180"/>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val="000000"/>
              </a:solidFill>
              <a:latin typeface="PMingLiU" charset="-120"/>
              <a:ea typeface="PMingLiU" charset="-120"/>
              <a:cs typeface="PMingLiU" charset="-120"/>
              <a:sym typeface="PMingLiU" charset="-120"/>
            </a:rPr>
            <a:t>四边圆角</a:t>
          </a:r>
        </a:p>
      </xdr:txBody>
    </xdr:sp>
    <xdr:clientData/>
  </xdr:twoCellAnchor>
  <xdr:twoCellAnchor>
    <xdr:from>
      <xdr:col>21</xdr:col>
      <xdr:colOff>274320</xdr:colOff>
      <xdr:row>6</xdr:row>
      <xdr:rowOff>60325</xdr:rowOff>
    </xdr:from>
    <xdr:to>
      <xdr:col>24</xdr:col>
      <xdr:colOff>251460</xdr:colOff>
      <xdr:row>9</xdr:row>
      <xdr:rowOff>38100</xdr:rowOff>
    </xdr:to>
    <xdr:sp macro="" textlink="">
      <xdr:nvSpPr>
        <xdr:cNvPr id="1105449" name="Oval 20">
          <a:extLst>
            <a:ext uri="{FF2B5EF4-FFF2-40B4-BE49-F238E27FC236}">
              <a16:creationId xmlns:a16="http://schemas.microsoft.com/office/drawing/2014/main" id="{00000000-0008-0000-4D00-000029DE1000}"/>
            </a:ext>
          </a:extLst>
        </xdr:cNvPr>
        <xdr:cNvSpPr/>
      </xdr:nvSpPr>
      <xdr:spPr>
        <a:xfrm>
          <a:off x="8094345" y="1701800"/>
          <a:ext cx="862965" cy="558800"/>
        </a:xfrm>
        <a:prstGeom prst="ellipse">
          <a:avLst/>
        </a:prstGeom>
        <a:noFill/>
        <a:ln w="25400" cap="flat" cmpd="sng">
          <a:solidFill>
            <a:srgbClr val="000000"/>
          </a:solidFill>
          <a:prstDash val="solid"/>
          <a:round/>
          <a:headEnd type="none" w="med" len="med"/>
          <a:tailEnd type="none" w="med" len="med"/>
        </a:ln>
      </xdr:spPr>
    </xdr:sp>
    <xdr:clientData/>
  </xdr:twoCellAnchor>
  <xdr:twoCellAnchor>
    <xdr:from>
      <xdr:col>25</xdr:col>
      <xdr:colOff>182880</xdr:colOff>
      <xdr:row>5</xdr:row>
      <xdr:rowOff>144780</xdr:rowOff>
    </xdr:from>
    <xdr:to>
      <xdr:col>28</xdr:col>
      <xdr:colOff>228600</xdr:colOff>
      <xdr:row>8</xdr:row>
      <xdr:rowOff>38100</xdr:rowOff>
    </xdr:to>
    <xdr:sp macro="" textlink="">
      <xdr:nvSpPr>
        <xdr:cNvPr id="1105450" name="AutoShape 21">
          <a:extLst>
            <a:ext uri="{FF2B5EF4-FFF2-40B4-BE49-F238E27FC236}">
              <a16:creationId xmlns:a16="http://schemas.microsoft.com/office/drawing/2014/main" id="{00000000-0008-0000-4D00-00002ADE1000}"/>
            </a:ext>
          </a:extLst>
        </xdr:cNvPr>
        <xdr:cNvSpPr/>
      </xdr:nvSpPr>
      <xdr:spPr>
        <a:xfrm flipV="1">
          <a:off x="9184005" y="1605280"/>
          <a:ext cx="1026795" cy="474345"/>
        </a:xfrm>
        <a:custGeom>
          <a:avLst/>
          <a:gdLst/>
          <a:ahLst/>
          <a:cxnLst>
            <a:cxn ang="0">
              <a:pos x="0" y="0"/>
            </a:cxn>
            <a:cxn ang="0">
              <a:pos x="6872" y="21600"/>
            </a:cxn>
            <a:cxn ang="0">
              <a:pos x="14728" y="21600"/>
            </a:cxn>
            <a:cxn ang="0">
              <a:pos x="21600" y="0"/>
            </a:cxn>
          </a:cxnLst>
          <a:rect l="0" t="0" r="0" b="0"/>
          <a:pathLst>
            <a:path w="21600" h="21600">
              <a:moveTo>
                <a:pt x="0" y="0"/>
              </a:moveTo>
              <a:lnTo>
                <a:pt x="6872" y="21600"/>
              </a:lnTo>
              <a:lnTo>
                <a:pt x="14728" y="21600"/>
              </a:lnTo>
              <a:lnTo>
                <a:pt x="21600" y="0"/>
              </a:lnTo>
              <a:close/>
            </a:path>
          </a:pathLst>
        </a:custGeom>
        <a:noFill/>
        <a:ln w="25400" cap="flat" cmpd="sng">
          <a:solidFill>
            <a:srgbClr val="000000"/>
          </a:solidFill>
          <a:prstDash val="solid"/>
          <a:miter/>
          <a:headEnd type="none" w="med" len="med"/>
          <a:tailEnd type="none" w="med" len="med"/>
        </a:ln>
      </xdr:spPr>
    </xdr:sp>
    <xdr:clientData/>
  </xdr:twoCellAnchor>
  <xdr:twoCellAnchor>
    <xdr:from>
      <xdr:col>22</xdr:col>
      <xdr:colOff>197485</xdr:colOff>
      <xdr:row>7</xdr:row>
      <xdr:rowOff>156210</xdr:rowOff>
    </xdr:from>
    <xdr:to>
      <xdr:col>25</xdr:col>
      <xdr:colOff>17145</xdr:colOff>
      <xdr:row>9</xdr:row>
      <xdr:rowOff>49530</xdr:rowOff>
    </xdr:to>
    <xdr:sp macro="" textlink="">
      <xdr:nvSpPr>
        <xdr:cNvPr id="5" name="Rectangle 22">
          <a:extLst>
            <a:ext uri="{FF2B5EF4-FFF2-40B4-BE49-F238E27FC236}">
              <a16:creationId xmlns:a16="http://schemas.microsoft.com/office/drawing/2014/main" id="{00000000-0008-0000-4D00-000005000000}"/>
            </a:ext>
          </a:extLst>
        </xdr:cNvPr>
        <xdr:cNvSpPr/>
      </xdr:nvSpPr>
      <xdr:spPr>
        <a:xfrm>
          <a:off x="8312785" y="2007235"/>
          <a:ext cx="705485" cy="26479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val="000000"/>
              </a:solidFill>
              <a:latin typeface="PMingLiU" charset="-120"/>
              <a:ea typeface="PMingLiU" charset="-120"/>
              <a:cs typeface="PMingLiU" charset="-120"/>
              <a:sym typeface="PMingLiU" charset="-120"/>
            </a:rPr>
            <a:t>椭圆形</a:t>
          </a:r>
        </a:p>
      </xdr:txBody>
    </xdr:sp>
    <xdr:clientData/>
  </xdr:twoCellAnchor>
  <xdr:twoCellAnchor>
    <xdr:from>
      <xdr:col>26</xdr:col>
      <xdr:colOff>128905</xdr:colOff>
      <xdr:row>5</xdr:row>
      <xdr:rowOff>198120</xdr:rowOff>
    </xdr:from>
    <xdr:to>
      <xdr:col>28</xdr:col>
      <xdr:colOff>60325</xdr:colOff>
      <xdr:row>8</xdr:row>
      <xdr:rowOff>47625</xdr:rowOff>
    </xdr:to>
    <xdr:sp macro="" textlink="">
      <xdr:nvSpPr>
        <xdr:cNvPr id="6" name="Rectangle 23">
          <a:extLst>
            <a:ext uri="{FF2B5EF4-FFF2-40B4-BE49-F238E27FC236}">
              <a16:creationId xmlns:a16="http://schemas.microsoft.com/office/drawing/2014/main" id="{00000000-0008-0000-4D00-000006000000}"/>
            </a:ext>
          </a:extLst>
        </xdr:cNvPr>
        <xdr:cNvSpPr/>
      </xdr:nvSpPr>
      <xdr:spPr>
        <a:xfrm>
          <a:off x="9425305" y="1641475"/>
          <a:ext cx="617220" cy="44767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1200" b="1">
              <a:solidFill>
                <a:srgbClr val="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  </a:t>
          </a:r>
          <a:r>
            <a:rPr lang="zh-CN" altLang="en-US" sz="1000" b="1">
              <a:solidFill>
                <a:srgbClr val="000000"/>
              </a:solidFill>
              <a:latin typeface="PMingLiU" charset="-120"/>
              <a:ea typeface="PMingLiU" charset="-120"/>
              <a:cs typeface="PMingLiU" charset="-120"/>
              <a:sym typeface="PMingLiU" charset="-120"/>
            </a:rPr>
            <a:t>梯形</a:t>
          </a:r>
        </a:p>
        <a:p>
          <a:pPr algn="l" rtl="0"/>
          <a:r>
            <a:rPr lang="zh-CN" altLang="en-US" sz="1000" b="1">
              <a:solidFill>
                <a:srgbClr val="000000"/>
              </a:solidFill>
              <a:latin typeface="PMingLiU" charset="-120"/>
              <a:ea typeface="PMingLiU" charset="-120"/>
              <a:cs typeface="PMingLiU" charset="-120"/>
              <a:sym typeface="PMingLiU" charset="-120"/>
            </a:rPr>
            <a:t>三角形</a:t>
          </a:r>
        </a:p>
      </xdr:txBody>
    </xdr:sp>
    <xdr:clientData/>
  </xdr:twoCellAnchor>
  <xdr:twoCellAnchor>
    <xdr:from>
      <xdr:col>23</xdr:col>
      <xdr:colOff>99060</xdr:colOff>
      <xdr:row>5</xdr:row>
      <xdr:rowOff>68580</xdr:rowOff>
    </xdr:from>
    <xdr:to>
      <xdr:col>23</xdr:col>
      <xdr:colOff>99060</xdr:colOff>
      <xdr:row>7</xdr:row>
      <xdr:rowOff>160020</xdr:rowOff>
    </xdr:to>
    <xdr:sp macro="" textlink="">
      <xdr:nvSpPr>
        <xdr:cNvPr id="1105453" name="Line 24">
          <a:extLst>
            <a:ext uri="{FF2B5EF4-FFF2-40B4-BE49-F238E27FC236}">
              <a16:creationId xmlns:a16="http://schemas.microsoft.com/office/drawing/2014/main" id="{00000000-0008-0000-4D00-00002DDE1000}"/>
            </a:ext>
          </a:extLst>
        </xdr:cNvPr>
        <xdr:cNvSpPr/>
      </xdr:nvSpPr>
      <xdr:spPr>
        <a:xfrm flipV="1">
          <a:off x="8509635" y="1529080"/>
          <a:ext cx="0" cy="481965"/>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243840</xdr:colOff>
      <xdr:row>5</xdr:row>
      <xdr:rowOff>53340</xdr:rowOff>
    </xdr:from>
    <xdr:to>
      <xdr:col>24</xdr:col>
      <xdr:colOff>243840</xdr:colOff>
      <xdr:row>7</xdr:row>
      <xdr:rowOff>83820</xdr:rowOff>
    </xdr:to>
    <xdr:sp macro="" textlink="">
      <xdr:nvSpPr>
        <xdr:cNvPr id="1105454" name="Line 25">
          <a:extLst>
            <a:ext uri="{FF2B5EF4-FFF2-40B4-BE49-F238E27FC236}">
              <a16:creationId xmlns:a16="http://schemas.microsoft.com/office/drawing/2014/main" id="{00000000-0008-0000-4D00-00002EDE1000}"/>
            </a:ext>
          </a:extLst>
        </xdr:cNvPr>
        <xdr:cNvSpPr/>
      </xdr:nvSpPr>
      <xdr:spPr>
        <a:xfrm flipV="1">
          <a:off x="8949690" y="1513840"/>
          <a:ext cx="0" cy="421005"/>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91440</xdr:colOff>
      <xdr:row>5</xdr:row>
      <xdr:rowOff>160020</xdr:rowOff>
    </xdr:from>
    <xdr:to>
      <xdr:col>24</xdr:col>
      <xdr:colOff>251460</xdr:colOff>
      <xdr:row>5</xdr:row>
      <xdr:rowOff>160020</xdr:rowOff>
    </xdr:to>
    <xdr:sp macro="" textlink="">
      <xdr:nvSpPr>
        <xdr:cNvPr id="1105455" name="Line 26">
          <a:extLst>
            <a:ext uri="{FF2B5EF4-FFF2-40B4-BE49-F238E27FC236}">
              <a16:creationId xmlns:a16="http://schemas.microsoft.com/office/drawing/2014/main" id="{00000000-0008-0000-4D00-00002FDE1000}"/>
            </a:ext>
          </a:extLst>
        </xdr:cNvPr>
        <xdr:cNvSpPr/>
      </xdr:nvSpPr>
      <xdr:spPr>
        <a:xfrm>
          <a:off x="8502015" y="1620520"/>
          <a:ext cx="455295" cy="0"/>
        </a:xfrm>
        <a:prstGeom prst="line">
          <a:avLst/>
        </a:prstGeom>
        <a:ln w="9525" cap="flat" cmpd="sng">
          <a:solidFill>
            <a:srgbClr val="000000"/>
          </a:solidFill>
          <a:prstDash val="solid"/>
          <a:round/>
          <a:headEnd type="arrow" w="sm" len="sm"/>
          <a:tailEnd type="arrow" w="sm" len="sm"/>
        </a:ln>
      </xdr:spPr>
    </xdr:sp>
    <xdr:clientData/>
  </xdr:twoCellAnchor>
  <xdr:twoCellAnchor>
    <xdr:from>
      <xdr:col>23</xdr:col>
      <xdr:colOff>231775</xdr:colOff>
      <xdr:row>5</xdr:row>
      <xdr:rowOff>9525</xdr:rowOff>
    </xdr:from>
    <xdr:to>
      <xdr:col>24</xdr:col>
      <xdr:colOff>205740</xdr:colOff>
      <xdr:row>5</xdr:row>
      <xdr:rowOff>152400</xdr:rowOff>
    </xdr:to>
    <xdr:sp macro="" textlink="">
      <xdr:nvSpPr>
        <xdr:cNvPr id="7" name="Rectangle 27">
          <a:extLst>
            <a:ext uri="{FF2B5EF4-FFF2-40B4-BE49-F238E27FC236}">
              <a16:creationId xmlns:a16="http://schemas.microsoft.com/office/drawing/2014/main" id="{00000000-0008-0000-4D00-000007000000}"/>
            </a:ext>
          </a:extLst>
        </xdr:cNvPr>
        <xdr:cNvSpPr/>
      </xdr:nvSpPr>
      <xdr:spPr>
        <a:xfrm>
          <a:off x="8642350" y="1470025"/>
          <a:ext cx="269240" cy="14287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长轴</a:t>
          </a:r>
        </a:p>
      </xdr:txBody>
    </xdr:sp>
    <xdr:clientData/>
  </xdr:twoCellAnchor>
  <xdr:twoCellAnchor>
    <xdr:from>
      <xdr:col>21</xdr:col>
      <xdr:colOff>129540</xdr:colOff>
      <xdr:row>7</xdr:row>
      <xdr:rowOff>144780</xdr:rowOff>
    </xdr:from>
    <xdr:to>
      <xdr:col>23</xdr:col>
      <xdr:colOff>281940</xdr:colOff>
      <xdr:row>7</xdr:row>
      <xdr:rowOff>144780</xdr:rowOff>
    </xdr:to>
    <xdr:sp macro="" textlink="">
      <xdr:nvSpPr>
        <xdr:cNvPr id="1105457" name="Line 28">
          <a:extLst>
            <a:ext uri="{FF2B5EF4-FFF2-40B4-BE49-F238E27FC236}">
              <a16:creationId xmlns:a16="http://schemas.microsoft.com/office/drawing/2014/main" id="{00000000-0008-0000-4D00-000031DE1000}"/>
            </a:ext>
          </a:extLst>
        </xdr:cNvPr>
        <xdr:cNvSpPr/>
      </xdr:nvSpPr>
      <xdr:spPr>
        <a:xfrm flipH="1">
          <a:off x="7949565" y="1995805"/>
          <a:ext cx="74295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144780</xdr:colOff>
      <xdr:row>9</xdr:row>
      <xdr:rowOff>45720</xdr:rowOff>
    </xdr:from>
    <xdr:to>
      <xdr:col>23</xdr:col>
      <xdr:colOff>30480</xdr:colOff>
      <xdr:row>9</xdr:row>
      <xdr:rowOff>45720</xdr:rowOff>
    </xdr:to>
    <xdr:sp macro="" textlink="">
      <xdr:nvSpPr>
        <xdr:cNvPr id="1105458" name="Line 29">
          <a:extLst>
            <a:ext uri="{FF2B5EF4-FFF2-40B4-BE49-F238E27FC236}">
              <a16:creationId xmlns:a16="http://schemas.microsoft.com/office/drawing/2014/main" id="{00000000-0008-0000-4D00-000032DE1000}"/>
            </a:ext>
          </a:extLst>
        </xdr:cNvPr>
        <xdr:cNvSpPr/>
      </xdr:nvSpPr>
      <xdr:spPr>
        <a:xfrm flipH="1">
          <a:off x="7964805" y="2268220"/>
          <a:ext cx="47625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213360</xdr:colOff>
      <xdr:row>7</xdr:row>
      <xdr:rowOff>144780</xdr:rowOff>
    </xdr:from>
    <xdr:to>
      <xdr:col>21</xdr:col>
      <xdr:colOff>213360</xdr:colOff>
      <xdr:row>9</xdr:row>
      <xdr:rowOff>38100</xdr:rowOff>
    </xdr:to>
    <xdr:sp macro="" textlink="">
      <xdr:nvSpPr>
        <xdr:cNvPr id="1105459" name="Line 30">
          <a:extLst>
            <a:ext uri="{FF2B5EF4-FFF2-40B4-BE49-F238E27FC236}">
              <a16:creationId xmlns:a16="http://schemas.microsoft.com/office/drawing/2014/main" id="{00000000-0008-0000-4D00-000033DE1000}"/>
            </a:ext>
          </a:extLst>
        </xdr:cNvPr>
        <xdr:cNvSpPr/>
      </xdr:nvSpPr>
      <xdr:spPr>
        <a:xfrm>
          <a:off x="8033385" y="1995805"/>
          <a:ext cx="0" cy="264795"/>
        </a:xfrm>
        <a:prstGeom prst="line">
          <a:avLst/>
        </a:prstGeom>
        <a:ln w="9525" cap="flat" cmpd="sng">
          <a:solidFill>
            <a:srgbClr val="000000"/>
          </a:solidFill>
          <a:prstDash val="solid"/>
          <a:round/>
          <a:headEnd type="arrow" w="sm" len="sm"/>
          <a:tailEnd type="arrow" w="sm" len="sm"/>
        </a:ln>
      </xdr:spPr>
    </xdr:sp>
    <xdr:clientData/>
  </xdr:twoCellAnchor>
  <xdr:twoCellAnchor>
    <xdr:from>
      <xdr:col>21</xdr:col>
      <xdr:colOff>26035</xdr:colOff>
      <xdr:row>8</xdr:row>
      <xdr:rowOff>0</xdr:rowOff>
    </xdr:from>
    <xdr:to>
      <xdr:col>21</xdr:col>
      <xdr:colOff>172992</xdr:colOff>
      <xdr:row>9</xdr:row>
      <xdr:rowOff>163906</xdr:rowOff>
    </xdr:to>
    <xdr:sp macro="" textlink="">
      <xdr:nvSpPr>
        <xdr:cNvPr id="8" name="Rectangle 31">
          <a:extLst>
            <a:ext uri="{FF2B5EF4-FFF2-40B4-BE49-F238E27FC236}">
              <a16:creationId xmlns:a16="http://schemas.microsoft.com/office/drawing/2014/main" id="{00000000-0008-0000-4D00-000008000000}"/>
            </a:ext>
          </a:extLst>
        </xdr:cNvPr>
        <xdr:cNvSpPr/>
      </xdr:nvSpPr>
      <xdr:spPr>
        <a:xfrm>
          <a:off x="7846060" y="2041525"/>
          <a:ext cx="146685" cy="344805"/>
        </a:xfrm>
        <a:prstGeom prst="rect">
          <a:avLst/>
        </a:prstGeom>
        <a:noFill/>
        <a:ln w="9525">
          <a:noFill/>
        </a:ln>
      </xdr:spPr>
      <xdr:txBody>
        <a:bodyPr vertOverflow="clip" vert="vert270"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r" rtl="0"/>
          <a:r>
            <a:rPr lang="zh-CN" altLang="en-US" sz="800">
              <a:solidFill>
                <a:srgbClr val="000000"/>
              </a:solidFill>
              <a:latin typeface="PMingLiU" charset="-120"/>
              <a:ea typeface="PMingLiU" charset="-120"/>
              <a:cs typeface="PMingLiU" charset="-120"/>
              <a:sym typeface="PMingLiU" charset="-120"/>
            </a:rPr>
            <a:t>短轴</a:t>
          </a:r>
        </a:p>
      </xdr:txBody>
    </xdr:sp>
    <xdr:clientData/>
  </xdr:twoCellAnchor>
  <xdr:twoCellAnchor>
    <xdr:from>
      <xdr:col>17</xdr:col>
      <xdr:colOff>144780</xdr:colOff>
      <xdr:row>5</xdr:row>
      <xdr:rowOff>68580</xdr:rowOff>
    </xdr:from>
    <xdr:to>
      <xdr:col>17</xdr:col>
      <xdr:colOff>144780</xdr:colOff>
      <xdr:row>6</xdr:row>
      <xdr:rowOff>114300</xdr:rowOff>
    </xdr:to>
    <xdr:sp macro="" textlink="">
      <xdr:nvSpPr>
        <xdr:cNvPr id="1105461" name="Line 32">
          <a:extLst>
            <a:ext uri="{FF2B5EF4-FFF2-40B4-BE49-F238E27FC236}">
              <a16:creationId xmlns:a16="http://schemas.microsoft.com/office/drawing/2014/main" id="{00000000-0008-0000-4D00-000035DE1000}"/>
            </a:ext>
          </a:extLst>
        </xdr:cNvPr>
        <xdr:cNvSpPr/>
      </xdr:nvSpPr>
      <xdr:spPr>
        <a:xfrm flipV="1">
          <a:off x="6783705" y="1529080"/>
          <a:ext cx="0" cy="226695"/>
        </a:xfrm>
        <a:prstGeom prst="line">
          <a:avLst/>
        </a:prstGeom>
        <a:ln w="9525" cap="flat" cmpd="sng">
          <a:solidFill>
            <a:srgbClr val="000000"/>
          </a:solidFill>
          <a:prstDash val="solid"/>
          <a:round/>
          <a:headEnd type="none" w="med" len="med"/>
          <a:tailEnd type="none" w="med" len="med"/>
        </a:ln>
      </xdr:spPr>
    </xdr:sp>
    <xdr:clientData/>
  </xdr:twoCellAnchor>
  <xdr:twoCellAnchor>
    <xdr:from>
      <xdr:col>20</xdr:col>
      <xdr:colOff>198120</xdr:colOff>
      <xdr:row>5</xdr:row>
      <xdr:rowOff>38100</xdr:rowOff>
    </xdr:from>
    <xdr:to>
      <xdr:col>20</xdr:col>
      <xdr:colOff>198120</xdr:colOff>
      <xdr:row>6</xdr:row>
      <xdr:rowOff>121920</xdr:rowOff>
    </xdr:to>
    <xdr:sp macro="" textlink="">
      <xdr:nvSpPr>
        <xdr:cNvPr id="1105462" name="Line 33">
          <a:extLst>
            <a:ext uri="{FF2B5EF4-FFF2-40B4-BE49-F238E27FC236}">
              <a16:creationId xmlns:a16="http://schemas.microsoft.com/office/drawing/2014/main" id="{00000000-0008-0000-4D00-000036DE1000}"/>
            </a:ext>
          </a:extLst>
        </xdr:cNvPr>
        <xdr:cNvSpPr/>
      </xdr:nvSpPr>
      <xdr:spPr>
        <a:xfrm flipV="1">
          <a:off x="7722870" y="1498600"/>
          <a:ext cx="0" cy="264795"/>
        </a:xfrm>
        <a:prstGeom prst="line">
          <a:avLst/>
        </a:prstGeom>
        <a:ln w="9525" cap="flat" cmpd="sng">
          <a:solidFill>
            <a:srgbClr val="000000"/>
          </a:solidFill>
          <a:prstDash val="solid"/>
          <a:round/>
          <a:headEnd type="none" w="med" len="med"/>
          <a:tailEnd type="none" w="med" len="med"/>
        </a:ln>
      </xdr:spPr>
    </xdr:sp>
    <xdr:clientData/>
  </xdr:twoCellAnchor>
  <xdr:twoCellAnchor>
    <xdr:from>
      <xdr:col>17</xdr:col>
      <xdr:colOff>144780</xdr:colOff>
      <xdr:row>5</xdr:row>
      <xdr:rowOff>114300</xdr:rowOff>
    </xdr:from>
    <xdr:to>
      <xdr:col>20</xdr:col>
      <xdr:colOff>198120</xdr:colOff>
      <xdr:row>5</xdr:row>
      <xdr:rowOff>114300</xdr:rowOff>
    </xdr:to>
    <xdr:sp macro="" textlink="">
      <xdr:nvSpPr>
        <xdr:cNvPr id="1105463" name="Line 34">
          <a:extLst>
            <a:ext uri="{FF2B5EF4-FFF2-40B4-BE49-F238E27FC236}">
              <a16:creationId xmlns:a16="http://schemas.microsoft.com/office/drawing/2014/main" id="{00000000-0008-0000-4D00-000037DE1000}"/>
            </a:ext>
          </a:extLst>
        </xdr:cNvPr>
        <xdr:cNvSpPr/>
      </xdr:nvSpPr>
      <xdr:spPr>
        <a:xfrm>
          <a:off x="6783705" y="1574800"/>
          <a:ext cx="939165" cy="0"/>
        </a:xfrm>
        <a:prstGeom prst="line">
          <a:avLst/>
        </a:prstGeom>
        <a:ln w="9525" cap="flat" cmpd="sng">
          <a:solidFill>
            <a:srgbClr val="000000"/>
          </a:solidFill>
          <a:prstDash val="solid"/>
          <a:round/>
          <a:headEnd type="arrow" w="sm" len="sm"/>
          <a:tailEnd type="arrow" w="sm" len="sm"/>
        </a:ln>
      </xdr:spPr>
    </xdr:sp>
    <xdr:clientData/>
  </xdr:twoCellAnchor>
  <xdr:twoCellAnchor>
    <xdr:from>
      <xdr:col>18</xdr:col>
      <xdr:colOff>163830</xdr:colOff>
      <xdr:row>4</xdr:row>
      <xdr:rowOff>161925</xdr:rowOff>
    </xdr:from>
    <xdr:to>
      <xdr:col>19</xdr:col>
      <xdr:colOff>231927</xdr:colOff>
      <xdr:row>5</xdr:row>
      <xdr:rowOff>114300</xdr:rowOff>
    </xdr:to>
    <xdr:sp macro="" textlink="">
      <xdr:nvSpPr>
        <xdr:cNvPr id="9" name="Rectangle 35">
          <a:extLst>
            <a:ext uri="{FF2B5EF4-FFF2-40B4-BE49-F238E27FC236}">
              <a16:creationId xmlns:a16="http://schemas.microsoft.com/office/drawing/2014/main" id="{00000000-0008-0000-4D00-000009000000}"/>
            </a:ext>
          </a:extLst>
        </xdr:cNvPr>
        <xdr:cNvSpPr/>
      </xdr:nvSpPr>
      <xdr:spPr>
        <a:xfrm>
          <a:off x="7098030" y="1431925"/>
          <a:ext cx="363220" cy="14287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宽度</a:t>
          </a:r>
        </a:p>
      </xdr:txBody>
    </xdr:sp>
    <xdr:clientData/>
  </xdr:twoCellAnchor>
  <xdr:twoCellAnchor>
    <xdr:from>
      <xdr:col>13</xdr:col>
      <xdr:colOff>114300</xdr:colOff>
      <xdr:row>5</xdr:row>
      <xdr:rowOff>45720</xdr:rowOff>
    </xdr:from>
    <xdr:to>
      <xdr:col>13</xdr:col>
      <xdr:colOff>114300</xdr:colOff>
      <xdr:row>6</xdr:row>
      <xdr:rowOff>38735</xdr:rowOff>
    </xdr:to>
    <xdr:sp macro="" textlink="">
      <xdr:nvSpPr>
        <xdr:cNvPr id="1105465" name="Line 36">
          <a:extLst>
            <a:ext uri="{FF2B5EF4-FFF2-40B4-BE49-F238E27FC236}">
              <a16:creationId xmlns:a16="http://schemas.microsoft.com/office/drawing/2014/main" id="{00000000-0008-0000-4D00-000039DE1000}"/>
            </a:ext>
          </a:extLst>
        </xdr:cNvPr>
        <xdr:cNvSpPr/>
      </xdr:nvSpPr>
      <xdr:spPr>
        <a:xfrm flipV="1">
          <a:off x="5572125" y="1506220"/>
          <a:ext cx="0" cy="17399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198120</xdr:colOff>
      <xdr:row>5</xdr:row>
      <xdr:rowOff>53340</xdr:rowOff>
    </xdr:from>
    <xdr:to>
      <xdr:col>16</xdr:col>
      <xdr:colOff>198120</xdr:colOff>
      <xdr:row>6</xdr:row>
      <xdr:rowOff>38735</xdr:rowOff>
    </xdr:to>
    <xdr:sp macro="" textlink="">
      <xdr:nvSpPr>
        <xdr:cNvPr id="1105466" name="Line 37">
          <a:extLst>
            <a:ext uri="{FF2B5EF4-FFF2-40B4-BE49-F238E27FC236}">
              <a16:creationId xmlns:a16="http://schemas.microsoft.com/office/drawing/2014/main" id="{00000000-0008-0000-4D00-00003ADE1000}"/>
            </a:ext>
          </a:extLst>
        </xdr:cNvPr>
        <xdr:cNvSpPr/>
      </xdr:nvSpPr>
      <xdr:spPr>
        <a:xfrm flipV="1">
          <a:off x="6541770" y="1513840"/>
          <a:ext cx="0" cy="16637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114300</xdr:colOff>
      <xdr:row>5</xdr:row>
      <xdr:rowOff>114300</xdr:rowOff>
    </xdr:from>
    <xdr:to>
      <xdr:col>16</xdr:col>
      <xdr:colOff>198120</xdr:colOff>
      <xdr:row>5</xdr:row>
      <xdr:rowOff>114300</xdr:rowOff>
    </xdr:to>
    <xdr:sp macro="" textlink="">
      <xdr:nvSpPr>
        <xdr:cNvPr id="1105467" name="Line 38">
          <a:extLst>
            <a:ext uri="{FF2B5EF4-FFF2-40B4-BE49-F238E27FC236}">
              <a16:creationId xmlns:a16="http://schemas.microsoft.com/office/drawing/2014/main" id="{00000000-0008-0000-4D00-00003BDE1000}"/>
            </a:ext>
          </a:extLst>
        </xdr:cNvPr>
        <xdr:cNvSpPr/>
      </xdr:nvSpPr>
      <xdr:spPr>
        <a:xfrm>
          <a:off x="5572125" y="1574800"/>
          <a:ext cx="969645" cy="0"/>
        </a:xfrm>
        <a:prstGeom prst="line">
          <a:avLst/>
        </a:prstGeom>
        <a:ln w="9525" cap="flat" cmpd="sng">
          <a:solidFill>
            <a:srgbClr val="000000"/>
          </a:solidFill>
          <a:prstDash val="solid"/>
          <a:round/>
          <a:headEnd type="arrow" w="sm" len="sm"/>
          <a:tailEnd type="arrow" w="sm" len="sm"/>
        </a:ln>
      </xdr:spPr>
    </xdr:sp>
    <xdr:clientData/>
  </xdr:twoCellAnchor>
  <xdr:twoCellAnchor>
    <xdr:from>
      <xdr:col>14</xdr:col>
      <xdr:colOff>172720</xdr:colOff>
      <xdr:row>4</xdr:row>
      <xdr:rowOff>152400</xdr:rowOff>
    </xdr:from>
    <xdr:to>
      <xdr:col>15</xdr:col>
      <xdr:colOff>274370</xdr:colOff>
      <xdr:row>5</xdr:row>
      <xdr:rowOff>143510</xdr:rowOff>
    </xdr:to>
    <xdr:sp macro="" textlink="">
      <xdr:nvSpPr>
        <xdr:cNvPr id="10" name="Rectangle 39">
          <a:extLst>
            <a:ext uri="{FF2B5EF4-FFF2-40B4-BE49-F238E27FC236}">
              <a16:creationId xmlns:a16="http://schemas.microsoft.com/office/drawing/2014/main" id="{00000000-0008-0000-4D00-00000A000000}"/>
            </a:ext>
          </a:extLst>
        </xdr:cNvPr>
        <xdr:cNvSpPr/>
      </xdr:nvSpPr>
      <xdr:spPr>
        <a:xfrm>
          <a:off x="5925820" y="1422400"/>
          <a:ext cx="396875" cy="181610"/>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宽度</a:t>
          </a:r>
        </a:p>
      </xdr:txBody>
    </xdr:sp>
    <xdr:clientData/>
  </xdr:twoCellAnchor>
  <xdr:twoCellAnchor>
    <xdr:from>
      <xdr:col>9</xdr:col>
      <xdr:colOff>175260</xdr:colOff>
      <xdr:row>5</xdr:row>
      <xdr:rowOff>75565</xdr:rowOff>
    </xdr:from>
    <xdr:to>
      <xdr:col>9</xdr:col>
      <xdr:colOff>175260</xdr:colOff>
      <xdr:row>8</xdr:row>
      <xdr:rowOff>122555</xdr:rowOff>
    </xdr:to>
    <xdr:sp macro="" textlink="">
      <xdr:nvSpPr>
        <xdr:cNvPr id="1105469" name="Line 41">
          <a:extLst>
            <a:ext uri="{FF2B5EF4-FFF2-40B4-BE49-F238E27FC236}">
              <a16:creationId xmlns:a16="http://schemas.microsoft.com/office/drawing/2014/main" id="{00000000-0008-0000-4D00-00003DDE1000}"/>
            </a:ext>
          </a:extLst>
        </xdr:cNvPr>
        <xdr:cNvSpPr/>
      </xdr:nvSpPr>
      <xdr:spPr>
        <a:xfrm flipV="1">
          <a:off x="4271010" y="1536065"/>
          <a:ext cx="0" cy="628015"/>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144780</xdr:colOff>
      <xdr:row>5</xdr:row>
      <xdr:rowOff>53340</xdr:rowOff>
    </xdr:from>
    <xdr:to>
      <xdr:col>12</xdr:col>
      <xdr:colOff>144780</xdr:colOff>
      <xdr:row>8</xdr:row>
      <xdr:rowOff>91440</xdr:rowOff>
    </xdr:to>
    <xdr:sp macro="" textlink="">
      <xdr:nvSpPr>
        <xdr:cNvPr id="1105470" name="Line 42">
          <a:extLst>
            <a:ext uri="{FF2B5EF4-FFF2-40B4-BE49-F238E27FC236}">
              <a16:creationId xmlns:a16="http://schemas.microsoft.com/office/drawing/2014/main" id="{00000000-0008-0000-4D00-00003EDE1000}"/>
            </a:ext>
          </a:extLst>
        </xdr:cNvPr>
        <xdr:cNvSpPr/>
      </xdr:nvSpPr>
      <xdr:spPr>
        <a:xfrm flipV="1">
          <a:off x="5202555" y="1513840"/>
          <a:ext cx="0" cy="619125"/>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175260</xdr:colOff>
      <xdr:row>5</xdr:row>
      <xdr:rowOff>144780</xdr:rowOff>
    </xdr:from>
    <xdr:to>
      <xdr:col>12</xdr:col>
      <xdr:colOff>137160</xdr:colOff>
      <xdr:row>5</xdr:row>
      <xdr:rowOff>144780</xdr:rowOff>
    </xdr:to>
    <xdr:sp macro="" textlink="">
      <xdr:nvSpPr>
        <xdr:cNvPr id="1105471" name="Line 43">
          <a:extLst>
            <a:ext uri="{FF2B5EF4-FFF2-40B4-BE49-F238E27FC236}">
              <a16:creationId xmlns:a16="http://schemas.microsoft.com/office/drawing/2014/main" id="{00000000-0008-0000-4D00-00003FDE1000}"/>
            </a:ext>
          </a:extLst>
        </xdr:cNvPr>
        <xdr:cNvSpPr/>
      </xdr:nvSpPr>
      <xdr:spPr>
        <a:xfrm>
          <a:off x="4271010" y="1605280"/>
          <a:ext cx="923925" cy="0"/>
        </a:xfrm>
        <a:prstGeom prst="line">
          <a:avLst/>
        </a:prstGeom>
        <a:ln w="9525" cap="flat" cmpd="sng">
          <a:solidFill>
            <a:srgbClr val="000000"/>
          </a:solidFill>
          <a:prstDash val="solid"/>
          <a:round/>
          <a:headEnd type="arrow" w="sm" len="sm"/>
          <a:tailEnd type="arrow" w="sm" len="sm"/>
        </a:ln>
      </xdr:spPr>
    </xdr:sp>
    <xdr:clientData/>
  </xdr:twoCellAnchor>
  <xdr:twoCellAnchor>
    <xdr:from>
      <xdr:col>10</xdr:col>
      <xdr:colOff>180975</xdr:colOff>
      <xdr:row>4</xdr:row>
      <xdr:rowOff>190500</xdr:rowOff>
    </xdr:from>
    <xdr:to>
      <xdr:col>11</xdr:col>
      <xdr:colOff>274358</xdr:colOff>
      <xdr:row>5</xdr:row>
      <xdr:rowOff>161925</xdr:rowOff>
    </xdr:to>
    <xdr:sp macro="" textlink="">
      <xdr:nvSpPr>
        <xdr:cNvPr id="11" name="Rectangle 44">
          <a:extLst>
            <a:ext uri="{FF2B5EF4-FFF2-40B4-BE49-F238E27FC236}">
              <a16:creationId xmlns:a16="http://schemas.microsoft.com/office/drawing/2014/main" id="{00000000-0008-0000-4D00-00000B000000}"/>
            </a:ext>
          </a:extLst>
        </xdr:cNvPr>
        <xdr:cNvSpPr/>
      </xdr:nvSpPr>
      <xdr:spPr>
        <a:xfrm>
          <a:off x="4648200" y="1460500"/>
          <a:ext cx="388620" cy="16192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直径</a:t>
          </a:r>
        </a:p>
      </xdr:txBody>
    </xdr:sp>
    <xdr:clientData/>
  </xdr:twoCellAnchor>
  <xdr:twoCellAnchor>
    <xdr:from>
      <xdr:col>25</xdr:col>
      <xdr:colOff>182880</xdr:colOff>
      <xdr:row>8</xdr:row>
      <xdr:rowOff>38100</xdr:rowOff>
    </xdr:from>
    <xdr:to>
      <xdr:col>25</xdr:col>
      <xdr:colOff>182880</xdr:colOff>
      <xdr:row>9</xdr:row>
      <xdr:rowOff>75565</xdr:rowOff>
    </xdr:to>
    <xdr:sp macro="" textlink="">
      <xdr:nvSpPr>
        <xdr:cNvPr id="1105473" name="Line 45">
          <a:extLst>
            <a:ext uri="{FF2B5EF4-FFF2-40B4-BE49-F238E27FC236}">
              <a16:creationId xmlns:a16="http://schemas.microsoft.com/office/drawing/2014/main" id="{00000000-0008-0000-4D00-000041DE1000}"/>
            </a:ext>
          </a:extLst>
        </xdr:cNvPr>
        <xdr:cNvSpPr/>
      </xdr:nvSpPr>
      <xdr:spPr>
        <a:xfrm>
          <a:off x="9184005" y="2079625"/>
          <a:ext cx="0" cy="218440"/>
        </a:xfrm>
        <a:prstGeom prst="line">
          <a:avLst/>
        </a:prstGeom>
        <a:ln w="9525" cap="flat" cmpd="sng">
          <a:solidFill>
            <a:srgbClr val="000000"/>
          </a:solidFill>
          <a:prstDash val="solid"/>
          <a:round/>
          <a:headEnd type="none" w="med" len="med"/>
          <a:tailEnd type="none" w="med" len="med"/>
        </a:ln>
      </xdr:spPr>
    </xdr:sp>
    <xdr:clientData/>
  </xdr:twoCellAnchor>
  <xdr:twoCellAnchor>
    <xdr:from>
      <xdr:col>28</xdr:col>
      <xdr:colOff>236220</xdr:colOff>
      <xdr:row>8</xdr:row>
      <xdr:rowOff>15240</xdr:rowOff>
    </xdr:from>
    <xdr:to>
      <xdr:col>28</xdr:col>
      <xdr:colOff>236220</xdr:colOff>
      <xdr:row>9</xdr:row>
      <xdr:rowOff>60960</xdr:rowOff>
    </xdr:to>
    <xdr:sp macro="" textlink="">
      <xdr:nvSpPr>
        <xdr:cNvPr id="1105474" name="Line 46">
          <a:extLst>
            <a:ext uri="{FF2B5EF4-FFF2-40B4-BE49-F238E27FC236}">
              <a16:creationId xmlns:a16="http://schemas.microsoft.com/office/drawing/2014/main" id="{00000000-0008-0000-4D00-000042DE1000}"/>
            </a:ext>
          </a:extLst>
        </xdr:cNvPr>
        <xdr:cNvSpPr/>
      </xdr:nvSpPr>
      <xdr:spPr>
        <a:xfrm>
          <a:off x="10218420" y="2056765"/>
          <a:ext cx="0" cy="226695"/>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198120</xdr:colOff>
      <xdr:row>9</xdr:row>
      <xdr:rowOff>0</xdr:rowOff>
    </xdr:from>
    <xdr:to>
      <xdr:col>28</xdr:col>
      <xdr:colOff>236220</xdr:colOff>
      <xdr:row>9</xdr:row>
      <xdr:rowOff>0</xdr:rowOff>
    </xdr:to>
    <xdr:sp macro="" textlink="">
      <xdr:nvSpPr>
        <xdr:cNvPr id="1105475" name="Line 47">
          <a:extLst>
            <a:ext uri="{FF2B5EF4-FFF2-40B4-BE49-F238E27FC236}">
              <a16:creationId xmlns:a16="http://schemas.microsoft.com/office/drawing/2014/main" id="{00000000-0008-0000-4D00-000043DE1000}"/>
            </a:ext>
          </a:extLst>
        </xdr:cNvPr>
        <xdr:cNvSpPr/>
      </xdr:nvSpPr>
      <xdr:spPr>
        <a:xfrm flipV="1">
          <a:off x="9199245" y="2222500"/>
          <a:ext cx="1019175" cy="0"/>
        </a:xfrm>
        <a:prstGeom prst="line">
          <a:avLst/>
        </a:prstGeom>
        <a:ln w="9525" cap="flat" cmpd="sng">
          <a:solidFill>
            <a:srgbClr val="000000"/>
          </a:solidFill>
          <a:prstDash val="solid"/>
          <a:round/>
          <a:headEnd type="arrow" w="sm" len="sm"/>
          <a:tailEnd type="arrow" w="sm" len="sm"/>
        </a:ln>
      </xdr:spPr>
    </xdr:sp>
    <xdr:clientData/>
  </xdr:twoCellAnchor>
  <xdr:twoCellAnchor>
    <xdr:from>
      <xdr:col>26</xdr:col>
      <xdr:colOff>232410</xdr:colOff>
      <xdr:row>8</xdr:row>
      <xdr:rowOff>49530</xdr:rowOff>
    </xdr:from>
    <xdr:to>
      <xdr:col>28</xdr:col>
      <xdr:colOff>68649</xdr:colOff>
      <xdr:row>9</xdr:row>
      <xdr:rowOff>38920</xdr:rowOff>
    </xdr:to>
    <xdr:sp macro="" textlink="">
      <xdr:nvSpPr>
        <xdr:cNvPr id="12" name="Rectangle 48">
          <a:extLst>
            <a:ext uri="{FF2B5EF4-FFF2-40B4-BE49-F238E27FC236}">
              <a16:creationId xmlns:a16="http://schemas.microsoft.com/office/drawing/2014/main" id="{00000000-0008-0000-4D00-00000C000000}"/>
            </a:ext>
          </a:extLst>
        </xdr:cNvPr>
        <xdr:cNvSpPr/>
      </xdr:nvSpPr>
      <xdr:spPr>
        <a:xfrm>
          <a:off x="9528810" y="2091055"/>
          <a:ext cx="521970" cy="170180"/>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长边</a:t>
          </a:r>
        </a:p>
      </xdr:txBody>
    </xdr:sp>
    <xdr:clientData/>
  </xdr:twoCellAnchor>
  <xdr:twoCellAnchor>
    <xdr:from>
      <xdr:col>26</xdr:col>
      <xdr:colOff>198120</xdr:colOff>
      <xdr:row>4</xdr:row>
      <xdr:rowOff>144780</xdr:rowOff>
    </xdr:from>
    <xdr:to>
      <xdr:col>26</xdr:col>
      <xdr:colOff>198120</xdr:colOff>
      <xdr:row>5</xdr:row>
      <xdr:rowOff>137160</xdr:rowOff>
    </xdr:to>
    <xdr:sp macro="" textlink="">
      <xdr:nvSpPr>
        <xdr:cNvPr id="1105477" name="Line 49">
          <a:extLst>
            <a:ext uri="{FF2B5EF4-FFF2-40B4-BE49-F238E27FC236}">
              <a16:creationId xmlns:a16="http://schemas.microsoft.com/office/drawing/2014/main" id="{00000000-0008-0000-4D00-000045DE1000}"/>
            </a:ext>
          </a:extLst>
        </xdr:cNvPr>
        <xdr:cNvSpPr/>
      </xdr:nvSpPr>
      <xdr:spPr>
        <a:xfrm flipV="1">
          <a:off x="9494520" y="1414780"/>
          <a:ext cx="0" cy="182880"/>
        </a:xfrm>
        <a:prstGeom prst="line">
          <a:avLst/>
        </a:prstGeom>
        <a:ln w="9525" cap="flat" cmpd="sng">
          <a:solidFill>
            <a:srgbClr val="000000"/>
          </a:solidFill>
          <a:prstDash val="solid"/>
          <a:round/>
          <a:headEnd type="none" w="med" len="med"/>
          <a:tailEnd type="none" w="med" len="med"/>
        </a:ln>
      </xdr:spPr>
    </xdr:sp>
    <xdr:clientData/>
  </xdr:twoCellAnchor>
  <xdr:twoCellAnchor>
    <xdr:from>
      <xdr:col>27</xdr:col>
      <xdr:colOff>228600</xdr:colOff>
      <xdr:row>4</xdr:row>
      <xdr:rowOff>144780</xdr:rowOff>
    </xdr:from>
    <xdr:to>
      <xdr:col>27</xdr:col>
      <xdr:colOff>228600</xdr:colOff>
      <xdr:row>5</xdr:row>
      <xdr:rowOff>137160</xdr:rowOff>
    </xdr:to>
    <xdr:sp macro="" textlink="">
      <xdr:nvSpPr>
        <xdr:cNvPr id="1105478" name="Line 50">
          <a:extLst>
            <a:ext uri="{FF2B5EF4-FFF2-40B4-BE49-F238E27FC236}">
              <a16:creationId xmlns:a16="http://schemas.microsoft.com/office/drawing/2014/main" id="{00000000-0008-0000-4D00-000046DE1000}"/>
            </a:ext>
          </a:extLst>
        </xdr:cNvPr>
        <xdr:cNvSpPr/>
      </xdr:nvSpPr>
      <xdr:spPr>
        <a:xfrm flipV="1">
          <a:off x="9820275" y="1414780"/>
          <a:ext cx="0" cy="182880"/>
        </a:xfrm>
        <a:prstGeom prst="line">
          <a:avLst/>
        </a:prstGeom>
        <a:ln w="9525" cap="flat" cmpd="sng">
          <a:solidFill>
            <a:srgbClr val="000000"/>
          </a:solidFill>
          <a:prstDash val="solid"/>
          <a:round/>
          <a:headEnd type="none" w="med" len="med"/>
          <a:tailEnd type="none" w="med" len="med"/>
        </a:ln>
      </xdr:spPr>
    </xdr:sp>
    <xdr:clientData/>
  </xdr:twoCellAnchor>
  <xdr:twoCellAnchor>
    <xdr:from>
      <xdr:col>26</xdr:col>
      <xdr:colOff>182880</xdr:colOff>
      <xdr:row>4</xdr:row>
      <xdr:rowOff>198120</xdr:rowOff>
    </xdr:from>
    <xdr:to>
      <xdr:col>27</xdr:col>
      <xdr:colOff>220980</xdr:colOff>
      <xdr:row>5</xdr:row>
      <xdr:rowOff>0</xdr:rowOff>
    </xdr:to>
    <xdr:sp macro="" textlink="">
      <xdr:nvSpPr>
        <xdr:cNvPr id="1105479" name="Line 51">
          <a:extLst>
            <a:ext uri="{FF2B5EF4-FFF2-40B4-BE49-F238E27FC236}">
              <a16:creationId xmlns:a16="http://schemas.microsoft.com/office/drawing/2014/main" id="{00000000-0008-0000-4D00-000047DE1000}"/>
            </a:ext>
          </a:extLst>
        </xdr:cNvPr>
        <xdr:cNvSpPr/>
      </xdr:nvSpPr>
      <xdr:spPr>
        <a:xfrm flipV="1">
          <a:off x="9479280" y="1460500"/>
          <a:ext cx="333375" cy="0"/>
        </a:xfrm>
        <a:prstGeom prst="line">
          <a:avLst/>
        </a:prstGeom>
        <a:ln w="9525" cap="flat" cmpd="sng">
          <a:solidFill>
            <a:srgbClr val="000000"/>
          </a:solidFill>
          <a:prstDash val="solid"/>
          <a:round/>
          <a:headEnd type="arrow" w="sm" len="sm"/>
          <a:tailEnd type="arrow" w="sm" len="sm"/>
        </a:ln>
      </xdr:spPr>
    </xdr:sp>
    <xdr:clientData/>
  </xdr:twoCellAnchor>
  <xdr:twoCellAnchor>
    <xdr:from>
      <xdr:col>26</xdr:col>
      <xdr:colOff>241300</xdr:colOff>
      <xdr:row>4</xdr:row>
      <xdr:rowOff>47625</xdr:rowOff>
    </xdr:from>
    <xdr:to>
      <xdr:col>28</xdr:col>
      <xdr:colOff>17240</xdr:colOff>
      <xdr:row>4</xdr:row>
      <xdr:rowOff>198120</xdr:rowOff>
    </xdr:to>
    <xdr:sp macro="" textlink="">
      <xdr:nvSpPr>
        <xdr:cNvPr id="13" name="Rectangle 52">
          <a:extLst>
            <a:ext uri="{FF2B5EF4-FFF2-40B4-BE49-F238E27FC236}">
              <a16:creationId xmlns:a16="http://schemas.microsoft.com/office/drawing/2014/main" id="{00000000-0008-0000-4D00-00000D000000}"/>
            </a:ext>
          </a:extLst>
        </xdr:cNvPr>
        <xdr:cNvSpPr/>
      </xdr:nvSpPr>
      <xdr:spPr>
        <a:xfrm>
          <a:off x="9537700" y="1317625"/>
          <a:ext cx="461645" cy="14287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短边</a:t>
          </a:r>
        </a:p>
      </xdr:txBody>
    </xdr:sp>
    <xdr:clientData/>
  </xdr:twoCellAnchor>
  <xdr:twoCellAnchor>
    <xdr:from>
      <xdr:col>25</xdr:col>
      <xdr:colOff>85725</xdr:colOff>
      <xdr:row>6</xdr:row>
      <xdr:rowOff>66040</xdr:rowOff>
    </xdr:from>
    <xdr:to>
      <xdr:col>25</xdr:col>
      <xdr:colOff>205740</xdr:colOff>
      <xdr:row>7</xdr:row>
      <xdr:rowOff>47625</xdr:rowOff>
    </xdr:to>
    <xdr:sp macro="" textlink="">
      <xdr:nvSpPr>
        <xdr:cNvPr id="14" name="Rectangle 55">
          <a:extLst>
            <a:ext uri="{FF2B5EF4-FFF2-40B4-BE49-F238E27FC236}">
              <a16:creationId xmlns:a16="http://schemas.microsoft.com/office/drawing/2014/main" id="{00000000-0008-0000-4D00-00000E000000}"/>
            </a:ext>
          </a:extLst>
        </xdr:cNvPr>
        <xdr:cNvSpPr/>
      </xdr:nvSpPr>
      <xdr:spPr>
        <a:xfrm>
          <a:off x="9086850" y="1707515"/>
          <a:ext cx="120015" cy="191135"/>
        </a:xfrm>
        <a:prstGeom prst="rect">
          <a:avLst/>
        </a:prstGeom>
        <a:noFill/>
        <a:ln w="9525">
          <a:noFill/>
        </a:ln>
      </xdr:spPr>
      <xdr:txBody>
        <a:bodyPr vertOverflow="clip" vert="horz" wrap="square" lIns="27432" tIns="18288" rIns="0"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PMingLiU" charset="-120"/>
              <a:ea typeface="PMingLiU" charset="-120"/>
              <a:cs typeface="PMingLiU" charset="-120"/>
              <a:sym typeface="PMingLiU" charset="-120"/>
            </a:rPr>
            <a:t>高</a:t>
          </a:r>
        </a:p>
      </xdr:txBody>
    </xdr:sp>
    <xdr:clientData/>
  </xdr:twoCellAnchor>
  <xdr:twoCellAnchor>
    <xdr:from>
      <xdr:col>25</xdr:col>
      <xdr:colOff>30480</xdr:colOff>
      <xdr:row>8</xdr:row>
      <xdr:rowOff>45720</xdr:rowOff>
    </xdr:from>
    <xdr:to>
      <xdr:col>25</xdr:col>
      <xdr:colOff>175260</xdr:colOff>
      <xdr:row>8</xdr:row>
      <xdr:rowOff>45720</xdr:rowOff>
    </xdr:to>
    <xdr:sp macro="" textlink="">
      <xdr:nvSpPr>
        <xdr:cNvPr id="1105482" name="Line 60">
          <a:extLst>
            <a:ext uri="{FF2B5EF4-FFF2-40B4-BE49-F238E27FC236}">
              <a16:creationId xmlns:a16="http://schemas.microsoft.com/office/drawing/2014/main" id="{00000000-0008-0000-4D00-00004ADE1000}"/>
            </a:ext>
          </a:extLst>
        </xdr:cNvPr>
        <xdr:cNvSpPr/>
      </xdr:nvSpPr>
      <xdr:spPr>
        <a:xfrm flipH="1">
          <a:off x="9031605" y="2087245"/>
          <a:ext cx="14478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45720</xdr:colOff>
      <xdr:row>5</xdr:row>
      <xdr:rowOff>144780</xdr:rowOff>
    </xdr:from>
    <xdr:to>
      <xdr:col>26</xdr:col>
      <xdr:colOff>167640</xdr:colOff>
      <xdr:row>5</xdr:row>
      <xdr:rowOff>144780</xdr:rowOff>
    </xdr:to>
    <xdr:sp macro="" textlink="">
      <xdr:nvSpPr>
        <xdr:cNvPr id="1105483" name="Line 61">
          <a:extLst>
            <a:ext uri="{FF2B5EF4-FFF2-40B4-BE49-F238E27FC236}">
              <a16:creationId xmlns:a16="http://schemas.microsoft.com/office/drawing/2014/main" id="{00000000-0008-0000-4D00-00004BDE1000}"/>
            </a:ext>
          </a:extLst>
        </xdr:cNvPr>
        <xdr:cNvSpPr/>
      </xdr:nvSpPr>
      <xdr:spPr>
        <a:xfrm flipH="1">
          <a:off x="9046845" y="1605280"/>
          <a:ext cx="41719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83820</xdr:colOff>
      <xdr:row>5</xdr:row>
      <xdr:rowOff>144780</xdr:rowOff>
    </xdr:from>
    <xdr:to>
      <xdr:col>25</xdr:col>
      <xdr:colOff>83820</xdr:colOff>
      <xdr:row>8</xdr:row>
      <xdr:rowOff>45720</xdr:rowOff>
    </xdr:to>
    <xdr:sp macro="" textlink="">
      <xdr:nvSpPr>
        <xdr:cNvPr id="1105484" name="Line 62">
          <a:extLst>
            <a:ext uri="{FF2B5EF4-FFF2-40B4-BE49-F238E27FC236}">
              <a16:creationId xmlns:a16="http://schemas.microsoft.com/office/drawing/2014/main" id="{00000000-0008-0000-4D00-00004CDE1000}"/>
            </a:ext>
          </a:extLst>
        </xdr:cNvPr>
        <xdr:cNvSpPr/>
      </xdr:nvSpPr>
      <xdr:spPr>
        <a:xfrm flipV="1">
          <a:off x="9084945" y="1605280"/>
          <a:ext cx="0" cy="481965"/>
        </a:xfrm>
        <a:prstGeom prst="line">
          <a:avLst/>
        </a:prstGeom>
        <a:ln w="9525" cap="flat" cmpd="sng">
          <a:solidFill>
            <a:srgbClr val="000000"/>
          </a:solidFill>
          <a:prstDash val="solid"/>
          <a:round/>
          <a:headEnd type="arrow" w="sm" len="sm"/>
          <a:tailEnd type="arrow" w="sm" len="sm"/>
        </a:ln>
      </xdr:spPr>
    </xdr:sp>
    <xdr:clientData/>
  </xdr:twoCellAnchor>
  <xdr:twoCellAnchor editAs="absolute">
    <xdr:from>
      <xdr:col>6</xdr:col>
      <xdr:colOff>0</xdr:colOff>
      <xdr:row>0</xdr:row>
      <xdr:rowOff>0</xdr:rowOff>
    </xdr:from>
    <xdr:to>
      <xdr:col>7</xdr:col>
      <xdr:colOff>378919</xdr:colOff>
      <xdr:row>0</xdr:row>
      <xdr:rowOff>293274</xdr:rowOff>
    </xdr:to>
    <xdr:sp macro="" textlink="">
      <xdr:nvSpPr>
        <xdr:cNvPr id="15" name="五边形 1">
          <a:hlinkClick xmlns:r="http://schemas.openxmlformats.org/officeDocument/2006/relationships" r:id="rId1"/>
          <a:extLst>
            <a:ext uri="{FF2B5EF4-FFF2-40B4-BE49-F238E27FC236}">
              <a16:creationId xmlns:a16="http://schemas.microsoft.com/office/drawing/2014/main" id="{00000000-0008-0000-4D00-00000F000000}"/>
            </a:ext>
          </a:extLst>
        </xdr:cNvPr>
        <xdr:cNvSpPr>
          <a:spLocks noChangeAspect="1"/>
        </xdr:cNvSpPr>
      </xdr:nvSpPr>
      <xdr:spPr>
        <a:xfrm flipH="1">
          <a:off x="27432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xdr:col>
      <xdr:colOff>434340</xdr:colOff>
      <xdr:row>4</xdr:row>
      <xdr:rowOff>83820</xdr:rowOff>
    </xdr:from>
    <xdr:to>
      <xdr:col>1</xdr:col>
      <xdr:colOff>434340</xdr:colOff>
      <xdr:row>7</xdr:row>
      <xdr:rowOff>106680</xdr:rowOff>
    </xdr:to>
    <xdr:sp macro="" textlink="">
      <xdr:nvSpPr>
        <xdr:cNvPr id="1246540" name="Line 4">
          <a:extLst>
            <a:ext uri="{FF2B5EF4-FFF2-40B4-BE49-F238E27FC236}">
              <a16:creationId xmlns:a16="http://schemas.microsoft.com/office/drawing/2014/main" id="{00000000-0008-0000-4E00-00004C051300}"/>
            </a:ext>
          </a:extLst>
        </xdr:cNvPr>
        <xdr:cNvSpPr/>
      </xdr:nvSpPr>
      <xdr:spPr>
        <a:xfrm>
          <a:off x="605790" y="1112520"/>
          <a:ext cx="0" cy="5657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434340</xdr:colOff>
      <xdr:row>7</xdr:row>
      <xdr:rowOff>99060</xdr:rowOff>
    </xdr:from>
    <xdr:to>
      <xdr:col>2</xdr:col>
      <xdr:colOff>190500</xdr:colOff>
      <xdr:row>7</xdr:row>
      <xdr:rowOff>99060</xdr:rowOff>
    </xdr:to>
    <xdr:sp macro="" textlink="">
      <xdr:nvSpPr>
        <xdr:cNvPr id="1246541" name="Line 5">
          <a:extLst>
            <a:ext uri="{FF2B5EF4-FFF2-40B4-BE49-F238E27FC236}">
              <a16:creationId xmlns:a16="http://schemas.microsoft.com/office/drawing/2014/main" id="{00000000-0008-0000-4E00-00004D051300}"/>
            </a:ext>
          </a:extLst>
        </xdr:cNvPr>
        <xdr:cNvSpPr/>
      </xdr:nvSpPr>
      <xdr:spPr>
        <a:xfrm>
          <a:off x="605790" y="1670685"/>
          <a:ext cx="26098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175260</xdr:colOff>
      <xdr:row>7</xdr:row>
      <xdr:rowOff>99060</xdr:rowOff>
    </xdr:from>
    <xdr:to>
      <xdr:col>2</xdr:col>
      <xdr:colOff>236220</xdr:colOff>
      <xdr:row>7</xdr:row>
      <xdr:rowOff>182880</xdr:rowOff>
    </xdr:to>
    <xdr:sp macro="" textlink="">
      <xdr:nvSpPr>
        <xdr:cNvPr id="1246542" name="Line 6">
          <a:extLst>
            <a:ext uri="{FF2B5EF4-FFF2-40B4-BE49-F238E27FC236}">
              <a16:creationId xmlns:a16="http://schemas.microsoft.com/office/drawing/2014/main" id="{00000000-0008-0000-4E00-00004E051300}"/>
            </a:ext>
          </a:extLst>
        </xdr:cNvPr>
        <xdr:cNvSpPr/>
      </xdr:nvSpPr>
      <xdr:spPr>
        <a:xfrm>
          <a:off x="851535" y="1670685"/>
          <a:ext cx="60960" cy="81915"/>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228600</xdr:colOff>
      <xdr:row>7</xdr:row>
      <xdr:rowOff>99060</xdr:rowOff>
    </xdr:from>
    <xdr:to>
      <xdr:col>2</xdr:col>
      <xdr:colOff>281305</xdr:colOff>
      <xdr:row>7</xdr:row>
      <xdr:rowOff>182880</xdr:rowOff>
    </xdr:to>
    <xdr:sp macro="" textlink="">
      <xdr:nvSpPr>
        <xdr:cNvPr id="1246543" name="Line 7">
          <a:extLst>
            <a:ext uri="{FF2B5EF4-FFF2-40B4-BE49-F238E27FC236}">
              <a16:creationId xmlns:a16="http://schemas.microsoft.com/office/drawing/2014/main" id="{00000000-0008-0000-4E00-00004F051300}"/>
            </a:ext>
          </a:extLst>
        </xdr:cNvPr>
        <xdr:cNvSpPr/>
      </xdr:nvSpPr>
      <xdr:spPr>
        <a:xfrm flipV="1">
          <a:off x="904875" y="1670685"/>
          <a:ext cx="52705" cy="81915"/>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281940</xdr:colOff>
      <xdr:row>7</xdr:row>
      <xdr:rowOff>99060</xdr:rowOff>
    </xdr:from>
    <xdr:to>
      <xdr:col>2</xdr:col>
      <xdr:colOff>579120</xdr:colOff>
      <xdr:row>7</xdr:row>
      <xdr:rowOff>99060</xdr:rowOff>
    </xdr:to>
    <xdr:sp macro="" textlink="">
      <xdr:nvSpPr>
        <xdr:cNvPr id="1246544" name="Line 8">
          <a:extLst>
            <a:ext uri="{FF2B5EF4-FFF2-40B4-BE49-F238E27FC236}">
              <a16:creationId xmlns:a16="http://schemas.microsoft.com/office/drawing/2014/main" id="{00000000-0008-0000-4E00-000050051300}"/>
            </a:ext>
          </a:extLst>
        </xdr:cNvPr>
        <xdr:cNvSpPr/>
      </xdr:nvSpPr>
      <xdr:spPr>
        <a:xfrm>
          <a:off x="958215" y="1670685"/>
          <a:ext cx="29718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571500</xdr:colOff>
      <xdr:row>7</xdr:row>
      <xdr:rowOff>99060</xdr:rowOff>
    </xdr:from>
    <xdr:to>
      <xdr:col>2</xdr:col>
      <xdr:colOff>632460</xdr:colOff>
      <xdr:row>7</xdr:row>
      <xdr:rowOff>182880</xdr:rowOff>
    </xdr:to>
    <xdr:sp macro="" textlink="">
      <xdr:nvSpPr>
        <xdr:cNvPr id="1246545" name="Line 9">
          <a:extLst>
            <a:ext uri="{FF2B5EF4-FFF2-40B4-BE49-F238E27FC236}">
              <a16:creationId xmlns:a16="http://schemas.microsoft.com/office/drawing/2014/main" id="{00000000-0008-0000-4E00-000051051300}"/>
            </a:ext>
          </a:extLst>
        </xdr:cNvPr>
        <xdr:cNvSpPr/>
      </xdr:nvSpPr>
      <xdr:spPr>
        <a:xfrm>
          <a:off x="1247775" y="1670685"/>
          <a:ext cx="60960" cy="81915"/>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624840</xdr:colOff>
      <xdr:row>7</xdr:row>
      <xdr:rowOff>99060</xdr:rowOff>
    </xdr:from>
    <xdr:to>
      <xdr:col>3</xdr:col>
      <xdr:colOff>22860</xdr:colOff>
      <xdr:row>7</xdr:row>
      <xdr:rowOff>182880</xdr:rowOff>
    </xdr:to>
    <xdr:sp macro="" textlink="">
      <xdr:nvSpPr>
        <xdr:cNvPr id="1246546" name="Line 10">
          <a:extLst>
            <a:ext uri="{FF2B5EF4-FFF2-40B4-BE49-F238E27FC236}">
              <a16:creationId xmlns:a16="http://schemas.microsoft.com/office/drawing/2014/main" id="{00000000-0008-0000-4E00-000052051300}"/>
            </a:ext>
          </a:extLst>
        </xdr:cNvPr>
        <xdr:cNvSpPr/>
      </xdr:nvSpPr>
      <xdr:spPr>
        <a:xfrm flipV="1">
          <a:off x="1301115" y="1670685"/>
          <a:ext cx="45720" cy="81915"/>
        </a:xfrm>
        <a:prstGeom prst="line">
          <a:avLst/>
        </a:prstGeom>
        <a:ln w="15875" cap="flat" cmpd="sng">
          <a:solidFill>
            <a:srgbClr val="000000"/>
          </a:solidFill>
          <a:prstDash val="solid"/>
          <a:round/>
          <a:headEnd type="none" w="med" len="med"/>
          <a:tailEnd type="none" w="med" len="med"/>
        </a:ln>
      </xdr:spPr>
    </xdr:sp>
    <xdr:clientData/>
  </xdr:twoCellAnchor>
  <xdr:twoCellAnchor>
    <xdr:from>
      <xdr:col>3</xdr:col>
      <xdr:colOff>22860</xdr:colOff>
      <xdr:row>7</xdr:row>
      <xdr:rowOff>99060</xdr:rowOff>
    </xdr:from>
    <xdr:to>
      <xdr:col>3</xdr:col>
      <xdr:colOff>281940</xdr:colOff>
      <xdr:row>7</xdr:row>
      <xdr:rowOff>99060</xdr:rowOff>
    </xdr:to>
    <xdr:sp macro="" textlink="">
      <xdr:nvSpPr>
        <xdr:cNvPr id="1246547" name="Line 11">
          <a:extLst>
            <a:ext uri="{FF2B5EF4-FFF2-40B4-BE49-F238E27FC236}">
              <a16:creationId xmlns:a16="http://schemas.microsoft.com/office/drawing/2014/main" id="{00000000-0008-0000-4E00-000053051300}"/>
            </a:ext>
          </a:extLst>
        </xdr:cNvPr>
        <xdr:cNvSpPr/>
      </xdr:nvSpPr>
      <xdr:spPr>
        <a:xfrm>
          <a:off x="1346835" y="1670685"/>
          <a:ext cx="25908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3</xdr:col>
      <xdr:colOff>274320</xdr:colOff>
      <xdr:row>4</xdr:row>
      <xdr:rowOff>106680</xdr:rowOff>
    </xdr:from>
    <xdr:to>
      <xdr:col>3</xdr:col>
      <xdr:colOff>274320</xdr:colOff>
      <xdr:row>7</xdr:row>
      <xdr:rowOff>99060</xdr:rowOff>
    </xdr:to>
    <xdr:sp macro="" textlink="">
      <xdr:nvSpPr>
        <xdr:cNvPr id="1246548" name="Line 12">
          <a:extLst>
            <a:ext uri="{FF2B5EF4-FFF2-40B4-BE49-F238E27FC236}">
              <a16:creationId xmlns:a16="http://schemas.microsoft.com/office/drawing/2014/main" id="{00000000-0008-0000-4E00-000054051300}"/>
            </a:ext>
          </a:extLst>
        </xdr:cNvPr>
        <xdr:cNvSpPr/>
      </xdr:nvSpPr>
      <xdr:spPr>
        <a:xfrm flipV="1">
          <a:off x="1598295" y="1135380"/>
          <a:ext cx="0" cy="535305"/>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213360</xdr:colOff>
      <xdr:row>8</xdr:row>
      <xdr:rowOff>182880</xdr:rowOff>
    </xdr:from>
    <xdr:to>
      <xdr:col>3</xdr:col>
      <xdr:colOff>487680</xdr:colOff>
      <xdr:row>8</xdr:row>
      <xdr:rowOff>182880</xdr:rowOff>
    </xdr:to>
    <xdr:sp macro="" textlink="">
      <xdr:nvSpPr>
        <xdr:cNvPr id="1246549" name="Line 14">
          <a:extLst>
            <a:ext uri="{FF2B5EF4-FFF2-40B4-BE49-F238E27FC236}">
              <a16:creationId xmlns:a16="http://schemas.microsoft.com/office/drawing/2014/main" id="{00000000-0008-0000-4E00-000055051300}"/>
            </a:ext>
          </a:extLst>
        </xdr:cNvPr>
        <xdr:cNvSpPr/>
      </xdr:nvSpPr>
      <xdr:spPr>
        <a:xfrm>
          <a:off x="384810" y="1933575"/>
          <a:ext cx="142684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213360</xdr:colOff>
      <xdr:row>7</xdr:row>
      <xdr:rowOff>137160</xdr:rowOff>
    </xdr:from>
    <xdr:to>
      <xdr:col>1</xdr:col>
      <xdr:colOff>213360</xdr:colOff>
      <xdr:row>8</xdr:row>
      <xdr:rowOff>182880</xdr:rowOff>
    </xdr:to>
    <xdr:sp macro="" textlink="">
      <xdr:nvSpPr>
        <xdr:cNvPr id="1246550" name="Line 15">
          <a:extLst>
            <a:ext uri="{FF2B5EF4-FFF2-40B4-BE49-F238E27FC236}">
              <a16:creationId xmlns:a16="http://schemas.microsoft.com/office/drawing/2014/main" id="{00000000-0008-0000-4E00-000056051300}"/>
            </a:ext>
          </a:extLst>
        </xdr:cNvPr>
        <xdr:cNvSpPr/>
      </xdr:nvSpPr>
      <xdr:spPr>
        <a:xfrm flipV="1">
          <a:off x="384810" y="1708785"/>
          <a:ext cx="0" cy="22479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495300</xdr:colOff>
      <xdr:row>7</xdr:row>
      <xdr:rowOff>137160</xdr:rowOff>
    </xdr:from>
    <xdr:to>
      <xdr:col>3</xdr:col>
      <xdr:colOff>495300</xdr:colOff>
      <xdr:row>8</xdr:row>
      <xdr:rowOff>182880</xdr:rowOff>
    </xdr:to>
    <xdr:sp macro="" textlink="">
      <xdr:nvSpPr>
        <xdr:cNvPr id="1246551" name="Line 17">
          <a:extLst>
            <a:ext uri="{FF2B5EF4-FFF2-40B4-BE49-F238E27FC236}">
              <a16:creationId xmlns:a16="http://schemas.microsoft.com/office/drawing/2014/main" id="{00000000-0008-0000-4E00-000057051300}"/>
            </a:ext>
          </a:extLst>
        </xdr:cNvPr>
        <xdr:cNvSpPr/>
      </xdr:nvSpPr>
      <xdr:spPr>
        <a:xfrm flipV="1">
          <a:off x="1819275" y="1708785"/>
          <a:ext cx="0" cy="224790"/>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213360</xdr:colOff>
      <xdr:row>7</xdr:row>
      <xdr:rowOff>137160</xdr:rowOff>
    </xdr:from>
    <xdr:to>
      <xdr:col>2</xdr:col>
      <xdr:colOff>190500</xdr:colOff>
      <xdr:row>7</xdr:row>
      <xdr:rowOff>137160</xdr:rowOff>
    </xdr:to>
    <xdr:sp macro="" textlink="">
      <xdr:nvSpPr>
        <xdr:cNvPr id="1246552" name="Line 18">
          <a:extLst>
            <a:ext uri="{FF2B5EF4-FFF2-40B4-BE49-F238E27FC236}">
              <a16:creationId xmlns:a16="http://schemas.microsoft.com/office/drawing/2014/main" id="{00000000-0008-0000-4E00-000058051300}"/>
            </a:ext>
          </a:extLst>
        </xdr:cNvPr>
        <xdr:cNvSpPr/>
      </xdr:nvSpPr>
      <xdr:spPr>
        <a:xfrm>
          <a:off x="384810" y="1708785"/>
          <a:ext cx="48196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274320</xdr:colOff>
      <xdr:row>7</xdr:row>
      <xdr:rowOff>137160</xdr:rowOff>
    </xdr:from>
    <xdr:to>
      <xdr:col>2</xdr:col>
      <xdr:colOff>586740</xdr:colOff>
      <xdr:row>7</xdr:row>
      <xdr:rowOff>137160</xdr:rowOff>
    </xdr:to>
    <xdr:sp macro="" textlink="">
      <xdr:nvSpPr>
        <xdr:cNvPr id="1246553" name="Line 19">
          <a:extLst>
            <a:ext uri="{FF2B5EF4-FFF2-40B4-BE49-F238E27FC236}">
              <a16:creationId xmlns:a16="http://schemas.microsoft.com/office/drawing/2014/main" id="{00000000-0008-0000-4E00-000059051300}"/>
            </a:ext>
          </a:extLst>
        </xdr:cNvPr>
        <xdr:cNvSpPr/>
      </xdr:nvSpPr>
      <xdr:spPr>
        <a:xfrm>
          <a:off x="950595" y="1708785"/>
          <a:ext cx="31242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7620</xdr:colOff>
      <xdr:row>7</xdr:row>
      <xdr:rowOff>137160</xdr:rowOff>
    </xdr:from>
    <xdr:to>
      <xdr:col>3</xdr:col>
      <xdr:colOff>495300</xdr:colOff>
      <xdr:row>7</xdr:row>
      <xdr:rowOff>137160</xdr:rowOff>
    </xdr:to>
    <xdr:sp macro="" textlink="">
      <xdr:nvSpPr>
        <xdr:cNvPr id="1246554" name="Line 20">
          <a:extLst>
            <a:ext uri="{FF2B5EF4-FFF2-40B4-BE49-F238E27FC236}">
              <a16:creationId xmlns:a16="http://schemas.microsoft.com/office/drawing/2014/main" id="{00000000-0008-0000-4E00-00005A051300}"/>
            </a:ext>
          </a:extLst>
        </xdr:cNvPr>
        <xdr:cNvSpPr/>
      </xdr:nvSpPr>
      <xdr:spPr>
        <a:xfrm>
          <a:off x="1331595" y="1708785"/>
          <a:ext cx="48768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441960</xdr:colOff>
      <xdr:row>4</xdr:row>
      <xdr:rowOff>68580</xdr:rowOff>
    </xdr:from>
    <xdr:to>
      <xdr:col>3</xdr:col>
      <xdr:colOff>274320</xdr:colOff>
      <xdr:row>4</xdr:row>
      <xdr:rowOff>182880</xdr:rowOff>
    </xdr:to>
    <xdr:sp macro="" textlink="">
      <xdr:nvSpPr>
        <xdr:cNvPr id="1246555" name="FreeForm 21">
          <a:extLst>
            <a:ext uri="{FF2B5EF4-FFF2-40B4-BE49-F238E27FC236}">
              <a16:creationId xmlns:a16="http://schemas.microsoft.com/office/drawing/2014/main" id="{00000000-0008-0000-4E00-00005B051300}"/>
            </a:ext>
          </a:extLst>
        </xdr:cNvPr>
        <xdr:cNvSpPr/>
      </xdr:nvSpPr>
      <xdr:spPr>
        <a:xfrm>
          <a:off x="613410" y="1097280"/>
          <a:ext cx="984885" cy="112395"/>
        </a:xfrm>
        <a:custGeom>
          <a:avLst/>
          <a:gdLst/>
          <a:ahLst/>
          <a:cxnLst>
            <a:cxn ang="0">
              <a:pos x="0" y="2"/>
            </a:cxn>
            <a:cxn ang="0">
              <a:pos x="26" y="0"/>
            </a:cxn>
            <a:cxn ang="0">
              <a:pos x="39" y="3"/>
            </a:cxn>
            <a:cxn ang="0">
              <a:pos x="58" y="11"/>
            </a:cxn>
            <a:cxn ang="0">
              <a:pos x="71" y="12"/>
            </a:cxn>
            <a:cxn ang="0">
              <a:pos x="87" y="9"/>
            </a:cxn>
            <a:cxn ang="0">
              <a:pos x="102" y="4"/>
            </a:cxn>
            <a:cxn ang="0">
              <a:pos x="115" y="4"/>
            </a:cxn>
          </a:cxnLst>
          <a:rect l="0" t="0" r="0" b="0"/>
          <a:pathLst>
            <a:path w="115" h="12">
              <a:moveTo>
                <a:pt x="0" y="2"/>
              </a:moveTo>
              <a:cubicBezTo>
                <a:pt x="10" y="1"/>
                <a:pt x="20" y="0"/>
                <a:pt x="26" y="0"/>
              </a:cubicBezTo>
              <a:cubicBezTo>
                <a:pt x="32" y="0"/>
                <a:pt x="34" y="1"/>
                <a:pt x="39" y="3"/>
              </a:cubicBezTo>
              <a:cubicBezTo>
                <a:pt x="44" y="5"/>
                <a:pt x="53" y="10"/>
                <a:pt x="58" y="11"/>
              </a:cubicBezTo>
              <a:cubicBezTo>
                <a:pt x="63" y="12"/>
                <a:pt x="66" y="12"/>
                <a:pt x="71" y="12"/>
              </a:cubicBezTo>
              <a:cubicBezTo>
                <a:pt x="76" y="12"/>
                <a:pt x="82" y="10"/>
                <a:pt x="87" y="9"/>
              </a:cubicBezTo>
              <a:cubicBezTo>
                <a:pt x="92" y="8"/>
                <a:pt x="97" y="5"/>
                <a:pt x="102" y="4"/>
              </a:cubicBezTo>
              <a:cubicBezTo>
                <a:pt x="107" y="3"/>
                <a:pt x="113" y="4"/>
                <a:pt x="115" y="4"/>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2</xdr:col>
      <xdr:colOff>190500</xdr:colOff>
      <xdr:row>7</xdr:row>
      <xdr:rowOff>137160</xdr:rowOff>
    </xdr:from>
    <xdr:to>
      <xdr:col>2</xdr:col>
      <xdr:colOff>243205</xdr:colOff>
      <xdr:row>8</xdr:row>
      <xdr:rowOff>0</xdr:rowOff>
    </xdr:to>
    <xdr:sp macro="" textlink="">
      <xdr:nvSpPr>
        <xdr:cNvPr id="1246556" name="Line 22">
          <a:extLst>
            <a:ext uri="{FF2B5EF4-FFF2-40B4-BE49-F238E27FC236}">
              <a16:creationId xmlns:a16="http://schemas.microsoft.com/office/drawing/2014/main" id="{00000000-0008-0000-4E00-00005C051300}"/>
            </a:ext>
          </a:extLst>
        </xdr:cNvPr>
        <xdr:cNvSpPr/>
      </xdr:nvSpPr>
      <xdr:spPr>
        <a:xfrm>
          <a:off x="866775" y="1708785"/>
          <a:ext cx="52705" cy="4381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236220</xdr:colOff>
      <xdr:row>7</xdr:row>
      <xdr:rowOff>137160</xdr:rowOff>
    </xdr:from>
    <xdr:to>
      <xdr:col>2</xdr:col>
      <xdr:colOff>266065</xdr:colOff>
      <xdr:row>7</xdr:row>
      <xdr:rowOff>190500</xdr:rowOff>
    </xdr:to>
    <xdr:sp macro="" textlink="">
      <xdr:nvSpPr>
        <xdr:cNvPr id="1246557" name="Line 23">
          <a:extLst>
            <a:ext uri="{FF2B5EF4-FFF2-40B4-BE49-F238E27FC236}">
              <a16:creationId xmlns:a16="http://schemas.microsoft.com/office/drawing/2014/main" id="{00000000-0008-0000-4E00-00005D051300}"/>
            </a:ext>
          </a:extLst>
        </xdr:cNvPr>
        <xdr:cNvSpPr/>
      </xdr:nvSpPr>
      <xdr:spPr>
        <a:xfrm flipV="1">
          <a:off x="912495" y="1708785"/>
          <a:ext cx="29845" cy="4381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586740</xdr:colOff>
      <xdr:row>7</xdr:row>
      <xdr:rowOff>137160</xdr:rowOff>
    </xdr:from>
    <xdr:to>
      <xdr:col>2</xdr:col>
      <xdr:colOff>632460</xdr:colOff>
      <xdr:row>7</xdr:row>
      <xdr:rowOff>190500</xdr:rowOff>
    </xdr:to>
    <xdr:sp macro="" textlink="">
      <xdr:nvSpPr>
        <xdr:cNvPr id="1246558" name="Line 24">
          <a:extLst>
            <a:ext uri="{FF2B5EF4-FFF2-40B4-BE49-F238E27FC236}">
              <a16:creationId xmlns:a16="http://schemas.microsoft.com/office/drawing/2014/main" id="{00000000-0008-0000-4E00-00005E051300}"/>
            </a:ext>
          </a:extLst>
        </xdr:cNvPr>
        <xdr:cNvSpPr/>
      </xdr:nvSpPr>
      <xdr:spPr>
        <a:xfrm>
          <a:off x="1263015" y="1708785"/>
          <a:ext cx="45720" cy="4381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632460</xdr:colOff>
      <xdr:row>7</xdr:row>
      <xdr:rowOff>137160</xdr:rowOff>
    </xdr:from>
    <xdr:to>
      <xdr:col>3</xdr:col>
      <xdr:colOff>15240</xdr:colOff>
      <xdr:row>7</xdr:row>
      <xdr:rowOff>190500</xdr:rowOff>
    </xdr:to>
    <xdr:sp macro="" textlink="">
      <xdr:nvSpPr>
        <xdr:cNvPr id="1246559" name="Line 26">
          <a:extLst>
            <a:ext uri="{FF2B5EF4-FFF2-40B4-BE49-F238E27FC236}">
              <a16:creationId xmlns:a16="http://schemas.microsoft.com/office/drawing/2014/main" id="{00000000-0008-0000-4E00-00005F051300}"/>
            </a:ext>
          </a:extLst>
        </xdr:cNvPr>
        <xdr:cNvSpPr/>
      </xdr:nvSpPr>
      <xdr:spPr>
        <a:xfrm flipV="1">
          <a:off x="1308735" y="1708785"/>
          <a:ext cx="30480" cy="43815"/>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17145</xdr:colOff>
      <xdr:row>8</xdr:row>
      <xdr:rowOff>190500</xdr:rowOff>
    </xdr:from>
    <xdr:to>
      <xdr:col>4</xdr:col>
      <xdr:colOff>8255</xdr:colOff>
      <xdr:row>10</xdr:row>
      <xdr:rowOff>47625</xdr:rowOff>
    </xdr:to>
    <xdr:sp macro="" textlink="">
      <xdr:nvSpPr>
        <xdr:cNvPr id="2" name="Rectangle 29">
          <a:extLst>
            <a:ext uri="{FF2B5EF4-FFF2-40B4-BE49-F238E27FC236}">
              <a16:creationId xmlns:a16="http://schemas.microsoft.com/office/drawing/2014/main" id="{00000000-0008-0000-4E00-000002000000}"/>
            </a:ext>
          </a:extLst>
        </xdr:cNvPr>
        <xdr:cNvSpPr/>
      </xdr:nvSpPr>
      <xdr:spPr>
        <a:xfrm>
          <a:off x="188595" y="1933575"/>
          <a:ext cx="1791335" cy="228600"/>
        </a:xfrm>
        <a:prstGeom prst="rect">
          <a:avLst/>
        </a:prstGeom>
        <a:noFill/>
        <a:ln w="15875" cap="flat" cmpd="sng">
          <a:solidFill>
            <a:srgbClr val="000000"/>
          </a:solidFill>
          <a:prstDash val="solid"/>
          <a:miter/>
          <a:headEnd type="none" w="med" len="med"/>
          <a:tailEnd type="none" w="med" len="med"/>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endParaRPr lang="zh-CN" altLang="en-US" sz="1200">
            <a:solidFill>
              <a:srgbClr val="000000"/>
            </a:solidFill>
            <a:latin typeface="PMingLiU" charset="-120"/>
            <a:ea typeface="PMingLiU" charset="-120"/>
            <a:cs typeface="PMingLiU" charset="-120"/>
            <a:sym typeface="PMingLiU" charset="-120"/>
          </a:endParaRPr>
        </a:p>
        <a:p>
          <a:pPr algn="ctr" rtl="0"/>
          <a:endParaRPr lang="zh-CN" altLang="en-US" sz="1200">
            <a:solidFill>
              <a:srgbClr val="000000"/>
            </a:solidFill>
            <a:latin typeface="PMingLiU" charset="-120"/>
            <a:ea typeface="PMingLiU" charset="-120"/>
            <a:cs typeface="PMingLiU" charset="-120"/>
            <a:sym typeface="PMingLiU" charset="-120"/>
          </a:endParaRPr>
        </a:p>
      </xdr:txBody>
    </xdr:sp>
    <xdr:clientData/>
  </xdr:twoCellAnchor>
  <xdr:twoCellAnchor>
    <xdr:from>
      <xdr:col>11</xdr:col>
      <xdr:colOff>327660</xdr:colOff>
      <xdr:row>7</xdr:row>
      <xdr:rowOff>106680</xdr:rowOff>
    </xdr:from>
    <xdr:to>
      <xdr:col>16</xdr:col>
      <xdr:colOff>76200</xdr:colOff>
      <xdr:row>7</xdr:row>
      <xdr:rowOff>106680</xdr:rowOff>
    </xdr:to>
    <xdr:sp macro="" textlink="">
      <xdr:nvSpPr>
        <xdr:cNvPr id="1246561" name="Line 30">
          <a:extLst>
            <a:ext uri="{FF2B5EF4-FFF2-40B4-BE49-F238E27FC236}">
              <a16:creationId xmlns:a16="http://schemas.microsoft.com/office/drawing/2014/main" id="{00000000-0008-0000-4E00-000061051300}"/>
            </a:ext>
          </a:extLst>
        </xdr:cNvPr>
        <xdr:cNvSpPr/>
      </xdr:nvSpPr>
      <xdr:spPr>
        <a:xfrm>
          <a:off x="4975860" y="1678305"/>
          <a:ext cx="178689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11</xdr:col>
      <xdr:colOff>327660</xdr:colOff>
      <xdr:row>4</xdr:row>
      <xdr:rowOff>53340</xdr:rowOff>
    </xdr:from>
    <xdr:to>
      <xdr:col>11</xdr:col>
      <xdr:colOff>327660</xdr:colOff>
      <xdr:row>7</xdr:row>
      <xdr:rowOff>114300</xdr:rowOff>
    </xdr:to>
    <xdr:sp macro="" textlink="">
      <xdr:nvSpPr>
        <xdr:cNvPr id="1246562" name="Line 31">
          <a:extLst>
            <a:ext uri="{FF2B5EF4-FFF2-40B4-BE49-F238E27FC236}">
              <a16:creationId xmlns:a16="http://schemas.microsoft.com/office/drawing/2014/main" id="{00000000-0008-0000-4E00-000062051300}"/>
            </a:ext>
          </a:extLst>
        </xdr:cNvPr>
        <xdr:cNvSpPr/>
      </xdr:nvSpPr>
      <xdr:spPr>
        <a:xfrm>
          <a:off x="4975860" y="1082040"/>
          <a:ext cx="0" cy="6038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16</xdr:col>
      <xdr:colOff>76200</xdr:colOff>
      <xdr:row>4</xdr:row>
      <xdr:rowOff>106680</xdr:rowOff>
    </xdr:from>
    <xdr:to>
      <xdr:col>16</xdr:col>
      <xdr:colOff>76200</xdr:colOff>
      <xdr:row>7</xdr:row>
      <xdr:rowOff>114300</xdr:rowOff>
    </xdr:to>
    <xdr:sp macro="" textlink="">
      <xdr:nvSpPr>
        <xdr:cNvPr id="1246563" name="Line 32">
          <a:extLst>
            <a:ext uri="{FF2B5EF4-FFF2-40B4-BE49-F238E27FC236}">
              <a16:creationId xmlns:a16="http://schemas.microsoft.com/office/drawing/2014/main" id="{00000000-0008-0000-4E00-000063051300}"/>
            </a:ext>
          </a:extLst>
        </xdr:cNvPr>
        <xdr:cNvSpPr/>
      </xdr:nvSpPr>
      <xdr:spPr>
        <a:xfrm flipV="1">
          <a:off x="6762750" y="1135380"/>
          <a:ext cx="0" cy="550545"/>
        </a:xfrm>
        <a:prstGeom prst="line">
          <a:avLst/>
        </a:prstGeom>
        <a:ln w="15875" cap="flat" cmpd="sng">
          <a:solidFill>
            <a:srgbClr val="000000"/>
          </a:solidFill>
          <a:prstDash val="solid"/>
          <a:round/>
          <a:headEnd type="none" w="med" len="med"/>
          <a:tailEnd type="none" w="med" len="med"/>
        </a:ln>
      </xdr:spPr>
    </xdr:sp>
    <xdr:clientData/>
  </xdr:twoCellAnchor>
  <xdr:twoCellAnchor>
    <xdr:from>
      <xdr:col>11</xdr:col>
      <xdr:colOff>327660</xdr:colOff>
      <xdr:row>8</xdr:row>
      <xdr:rowOff>152400</xdr:rowOff>
    </xdr:from>
    <xdr:to>
      <xdr:col>11</xdr:col>
      <xdr:colOff>327660</xdr:colOff>
      <xdr:row>10</xdr:row>
      <xdr:rowOff>83820</xdr:rowOff>
    </xdr:to>
    <xdr:sp macro="" textlink="">
      <xdr:nvSpPr>
        <xdr:cNvPr id="1246564" name="Line 33">
          <a:extLst>
            <a:ext uri="{FF2B5EF4-FFF2-40B4-BE49-F238E27FC236}">
              <a16:creationId xmlns:a16="http://schemas.microsoft.com/office/drawing/2014/main" id="{00000000-0008-0000-4E00-000064051300}"/>
            </a:ext>
          </a:extLst>
        </xdr:cNvPr>
        <xdr:cNvSpPr/>
      </xdr:nvSpPr>
      <xdr:spPr>
        <a:xfrm>
          <a:off x="4975860" y="1905000"/>
          <a:ext cx="0" cy="293370"/>
        </a:xfrm>
        <a:prstGeom prst="line">
          <a:avLst/>
        </a:prstGeom>
        <a:ln w="15875" cap="flat" cmpd="sng">
          <a:solidFill>
            <a:srgbClr val="000000"/>
          </a:solidFill>
          <a:prstDash val="solid"/>
          <a:round/>
          <a:headEnd type="none" w="med" len="med"/>
          <a:tailEnd type="none" w="med" len="med"/>
        </a:ln>
      </xdr:spPr>
    </xdr:sp>
    <xdr:clientData/>
  </xdr:twoCellAnchor>
  <xdr:twoCellAnchor>
    <xdr:from>
      <xdr:col>11</xdr:col>
      <xdr:colOff>327660</xdr:colOff>
      <xdr:row>10</xdr:row>
      <xdr:rowOff>75565</xdr:rowOff>
    </xdr:from>
    <xdr:to>
      <xdr:col>16</xdr:col>
      <xdr:colOff>83820</xdr:colOff>
      <xdr:row>10</xdr:row>
      <xdr:rowOff>75565</xdr:rowOff>
    </xdr:to>
    <xdr:sp macro="" textlink="">
      <xdr:nvSpPr>
        <xdr:cNvPr id="1246565" name="Line 34">
          <a:extLst>
            <a:ext uri="{FF2B5EF4-FFF2-40B4-BE49-F238E27FC236}">
              <a16:creationId xmlns:a16="http://schemas.microsoft.com/office/drawing/2014/main" id="{00000000-0008-0000-4E00-000065051300}"/>
            </a:ext>
          </a:extLst>
        </xdr:cNvPr>
        <xdr:cNvSpPr/>
      </xdr:nvSpPr>
      <xdr:spPr>
        <a:xfrm>
          <a:off x="4975860" y="2190115"/>
          <a:ext cx="179451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16</xdr:col>
      <xdr:colOff>76200</xdr:colOff>
      <xdr:row>8</xdr:row>
      <xdr:rowOff>160020</xdr:rowOff>
    </xdr:from>
    <xdr:to>
      <xdr:col>16</xdr:col>
      <xdr:colOff>76200</xdr:colOff>
      <xdr:row>10</xdr:row>
      <xdr:rowOff>83820</xdr:rowOff>
    </xdr:to>
    <xdr:sp macro="" textlink="">
      <xdr:nvSpPr>
        <xdr:cNvPr id="1246566" name="Line 35">
          <a:extLst>
            <a:ext uri="{FF2B5EF4-FFF2-40B4-BE49-F238E27FC236}">
              <a16:creationId xmlns:a16="http://schemas.microsoft.com/office/drawing/2014/main" id="{00000000-0008-0000-4E00-000066051300}"/>
            </a:ext>
          </a:extLst>
        </xdr:cNvPr>
        <xdr:cNvSpPr/>
      </xdr:nvSpPr>
      <xdr:spPr>
        <a:xfrm flipV="1">
          <a:off x="6762750" y="1912620"/>
          <a:ext cx="0" cy="285750"/>
        </a:xfrm>
        <a:prstGeom prst="line">
          <a:avLst/>
        </a:prstGeom>
        <a:ln w="15875" cap="flat" cmpd="sng">
          <a:solidFill>
            <a:srgbClr val="000000"/>
          </a:solidFill>
          <a:prstDash val="solid"/>
          <a:round/>
          <a:headEnd type="none" w="med" len="med"/>
          <a:tailEnd type="none" w="med" len="med"/>
        </a:ln>
      </xdr:spPr>
    </xdr:sp>
    <xdr:clientData/>
  </xdr:twoCellAnchor>
  <xdr:twoCellAnchor>
    <xdr:from>
      <xdr:col>11</xdr:col>
      <xdr:colOff>327660</xdr:colOff>
      <xdr:row>8</xdr:row>
      <xdr:rowOff>160020</xdr:rowOff>
    </xdr:from>
    <xdr:to>
      <xdr:col>12</xdr:col>
      <xdr:colOff>327660</xdr:colOff>
      <xdr:row>8</xdr:row>
      <xdr:rowOff>160020</xdr:rowOff>
    </xdr:to>
    <xdr:sp macro="" textlink="">
      <xdr:nvSpPr>
        <xdr:cNvPr id="1246567" name="Line 38">
          <a:extLst>
            <a:ext uri="{FF2B5EF4-FFF2-40B4-BE49-F238E27FC236}">
              <a16:creationId xmlns:a16="http://schemas.microsoft.com/office/drawing/2014/main" id="{00000000-0008-0000-4E00-000067051300}"/>
            </a:ext>
          </a:extLst>
        </xdr:cNvPr>
        <xdr:cNvSpPr/>
      </xdr:nvSpPr>
      <xdr:spPr>
        <a:xfrm>
          <a:off x="4975860" y="1912620"/>
          <a:ext cx="46672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12</xdr:col>
      <xdr:colOff>320040</xdr:colOff>
      <xdr:row>8</xdr:row>
      <xdr:rowOff>83820</xdr:rowOff>
    </xdr:from>
    <xdr:to>
      <xdr:col>12</xdr:col>
      <xdr:colOff>320040</xdr:colOff>
      <xdr:row>8</xdr:row>
      <xdr:rowOff>159385</xdr:rowOff>
    </xdr:to>
    <xdr:sp macro="" textlink="">
      <xdr:nvSpPr>
        <xdr:cNvPr id="1246568" name="Line 39">
          <a:extLst>
            <a:ext uri="{FF2B5EF4-FFF2-40B4-BE49-F238E27FC236}">
              <a16:creationId xmlns:a16="http://schemas.microsoft.com/office/drawing/2014/main" id="{00000000-0008-0000-4E00-000068051300}"/>
            </a:ext>
          </a:extLst>
        </xdr:cNvPr>
        <xdr:cNvSpPr/>
      </xdr:nvSpPr>
      <xdr:spPr>
        <a:xfrm flipV="1">
          <a:off x="5434965" y="1836420"/>
          <a:ext cx="0" cy="75565"/>
        </a:xfrm>
        <a:prstGeom prst="line">
          <a:avLst/>
        </a:prstGeom>
        <a:ln w="15875" cap="flat" cmpd="sng">
          <a:solidFill>
            <a:srgbClr val="000000"/>
          </a:solidFill>
          <a:prstDash val="solid"/>
          <a:round/>
          <a:headEnd type="none" w="med" len="med"/>
          <a:tailEnd type="none" w="med" len="med"/>
        </a:ln>
      </xdr:spPr>
    </xdr:sp>
    <xdr:clientData/>
  </xdr:twoCellAnchor>
  <xdr:twoCellAnchor>
    <xdr:from>
      <xdr:col>12</xdr:col>
      <xdr:colOff>327660</xdr:colOff>
      <xdr:row>8</xdr:row>
      <xdr:rowOff>75565</xdr:rowOff>
    </xdr:from>
    <xdr:to>
      <xdr:col>13</xdr:col>
      <xdr:colOff>68580</xdr:colOff>
      <xdr:row>8</xdr:row>
      <xdr:rowOff>75565</xdr:rowOff>
    </xdr:to>
    <xdr:sp macro="" textlink="">
      <xdr:nvSpPr>
        <xdr:cNvPr id="1246569" name="Line 40">
          <a:extLst>
            <a:ext uri="{FF2B5EF4-FFF2-40B4-BE49-F238E27FC236}">
              <a16:creationId xmlns:a16="http://schemas.microsoft.com/office/drawing/2014/main" id="{00000000-0008-0000-4E00-000069051300}"/>
            </a:ext>
          </a:extLst>
        </xdr:cNvPr>
        <xdr:cNvSpPr/>
      </xdr:nvSpPr>
      <xdr:spPr>
        <a:xfrm>
          <a:off x="5442585" y="1828165"/>
          <a:ext cx="29337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60960</xdr:colOff>
      <xdr:row>8</xdr:row>
      <xdr:rowOff>75565</xdr:rowOff>
    </xdr:from>
    <xdr:to>
      <xdr:col>13</xdr:col>
      <xdr:colOff>60960</xdr:colOff>
      <xdr:row>8</xdr:row>
      <xdr:rowOff>167005</xdr:rowOff>
    </xdr:to>
    <xdr:sp macro="" textlink="">
      <xdr:nvSpPr>
        <xdr:cNvPr id="1246570" name="Line 41">
          <a:extLst>
            <a:ext uri="{FF2B5EF4-FFF2-40B4-BE49-F238E27FC236}">
              <a16:creationId xmlns:a16="http://schemas.microsoft.com/office/drawing/2014/main" id="{00000000-0008-0000-4E00-00006A051300}"/>
            </a:ext>
          </a:extLst>
        </xdr:cNvPr>
        <xdr:cNvSpPr/>
      </xdr:nvSpPr>
      <xdr:spPr>
        <a:xfrm>
          <a:off x="5728335" y="1828165"/>
          <a:ext cx="0" cy="914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342900</xdr:colOff>
      <xdr:row>8</xdr:row>
      <xdr:rowOff>160020</xdr:rowOff>
    </xdr:from>
    <xdr:to>
      <xdr:col>13</xdr:col>
      <xdr:colOff>533400</xdr:colOff>
      <xdr:row>8</xdr:row>
      <xdr:rowOff>160020</xdr:rowOff>
    </xdr:to>
    <xdr:sp macro="" textlink="">
      <xdr:nvSpPr>
        <xdr:cNvPr id="1246571" name="Line 42">
          <a:extLst>
            <a:ext uri="{FF2B5EF4-FFF2-40B4-BE49-F238E27FC236}">
              <a16:creationId xmlns:a16="http://schemas.microsoft.com/office/drawing/2014/main" id="{00000000-0008-0000-4E00-00006B051300}"/>
            </a:ext>
          </a:extLst>
        </xdr:cNvPr>
        <xdr:cNvSpPr/>
      </xdr:nvSpPr>
      <xdr:spPr>
        <a:xfrm>
          <a:off x="6010275" y="1912620"/>
          <a:ext cx="19050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533400</xdr:colOff>
      <xdr:row>8</xdr:row>
      <xdr:rowOff>75565</xdr:rowOff>
    </xdr:from>
    <xdr:to>
      <xdr:col>13</xdr:col>
      <xdr:colOff>533400</xdr:colOff>
      <xdr:row>8</xdr:row>
      <xdr:rowOff>167005</xdr:rowOff>
    </xdr:to>
    <xdr:sp macro="" textlink="">
      <xdr:nvSpPr>
        <xdr:cNvPr id="1246572" name="Line 43">
          <a:extLst>
            <a:ext uri="{FF2B5EF4-FFF2-40B4-BE49-F238E27FC236}">
              <a16:creationId xmlns:a16="http://schemas.microsoft.com/office/drawing/2014/main" id="{00000000-0008-0000-4E00-00006C051300}"/>
            </a:ext>
          </a:extLst>
        </xdr:cNvPr>
        <xdr:cNvSpPr/>
      </xdr:nvSpPr>
      <xdr:spPr>
        <a:xfrm flipV="1">
          <a:off x="6200775" y="1828165"/>
          <a:ext cx="0" cy="914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525780</xdr:colOff>
      <xdr:row>8</xdr:row>
      <xdr:rowOff>75565</xdr:rowOff>
    </xdr:from>
    <xdr:to>
      <xdr:col>14</xdr:col>
      <xdr:colOff>190500</xdr:colOff>
      <xdr:row>8</xdr:row>
      <xdr:rowOff>75565</xdr:rowOff>
    </xdr:to>
    <xdr:sp macro="" textlink="">
      <xdr:nvSpPr>
        <xdr:cNvPr id="1246573" name="Line 44">
          <a:extLst>
            <a:ext uri="{FF2B5EF4-FFF2-40B4-BE49-F238E27FC236}">
              <a16:creationId xmlns:a16="http://schemas.microsoft.com/office/drawing/2014/main" id="{00000000-0008-0000-4E00-00006D051300}"/>
            </a:ext>
          </a:extLst>
        </xdr:cNvPr>
        <xdr:cNvSpPr/>
      </xdr:nvSpPr>
      <xdr:spPr>
        <a:xfrm>
          <a:off x="6193155" y="1828165"/>
          <a:ext cx="28384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14</xdr:col>
      <xdr:colOff>190500</xdr:colOff>
      <xdr:row>8</xdr:row>
      <xdr:rowOff>75565</xdr:rowOff>
    </xdr:from>
    <xdr:to>
      <xdr:col>14</xdr:col>
      <xdr:colOff>190500</xdr:colOff>
      <xdr:row>8</xdr:row>
      <xdr:rowOff>167005</xdr:rowOff>
    </xdr:to>
    <xdr:sp macro="" textlink="">
      <xdr:nvSpPr>
        <xdr:cNvPr id="1246574" name="Line 45">
          <a:extLst>
            <a:ext uri="{FF2B5EF4-FFF2-40B4-BE49-F238E27FC236}">
              <a16:creationId xmlns:a16="http://schemas.microsoft.com/office/drawing/2014/main" id="{00000000-0008-0000-4E00-00006E051300}"/>
            </a:ext>
          </a:extLst>
        </xdr:cNvPr>
        <xdr:cNvSpPr/>
      </xdr:nvSpPr>
      <xdr:spPr>
        <a:xfrm>
          <a:off x="6477000" y="1828165"/>
          <a:ext cx="0" cy="914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14</xdr:col>
      <xdr:colOff>198120</xdr:colOff>
      <xdr:row>8</xdr:row>
      <xdr:rowOff>160020</xdr:rowOff>
    </xdr:from>
    <xdr:to>
      <xdr:col>16</xdr:col>
      <xdr:colOff>83820</xdr:colOff>
      <xdr:row>8</xdr:row>
      <xdr:rowOff>160020</xdr:rowOff>
    </xdr:to>
    <xdr:sp macro="" textlink="">
      <xdr:nvSpPr>
        <xdr:cNvPr id="1246575" name="Line 46">
          <a:extLst>
            <a:ext uri="{FF2B5EF4-FFF2-40B4-BE49-F238E27FC236}">
              <a16:creationId xmlns:a16="http://schemas.microsoft.com/office/drawing/2014/main" id="{00000000-0008-0000-4E00-00006F051300}"/>
            </a:ext>
          </a:extLst>
        </xdr:cNvPr>
        <xdr:cNvSpPr/>
      </xdr:nvSpPr>
      <xdr:spPr>
        <a:xfrm>
          <a:off x="6484620" y="1912620"/>
          <a:ext cx="28575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213360</xdr:colOff>
      <xdr:row>8</xdr:row>
      <xdr:rowOff>83820</xdr:rowOff>
    </xdr:from>
    <xdr:to>
      <xdr:col>13</xdr:col>
      <xdr:colOff>213360</xdr:colOff>
      <xdr:row>8</xdr:row>
      <xdr:rowOff>167005</xdr:rowOff>
    </xdr:to>
    <xdr:sp macro="" textlink="">
      <xdr:nvSpPr>
        <xdr:cNvPr id="1246576" name="Line 49">
          <a:extLst>
            <a:ext uri="{FF2B5EF4-FFF2-40B4-BE49-F238E27FC236}">
              <a16:creationId xmlns:a16="http://schemas.microsoft.com/office/drawing/2014/main" id="{00000000-0008-0000-4E00-000070051300}"/>
            </a:ext>
          </a:extLst>
        </xdr:cNvPr>
        <xdr:cNvSpPr/>
      </xdr:nvSpPr>
      <xdr:spPr>
        <a:xfrm flipV="1">
          <a:off x="5880735" y="1836420"/>
          <a:ext cx="0" cy="831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205740</xdr:colOff>
      <xdr:row>8</xdr:row>
      <xdr:rowOff>75565</xdr:rowOff>
    </xdr:from>
    <xdr:to>
      <xdr:col>13</xdr:col>
      <xdr:colOff>349885</xdr:colOff>
      <xdr:row>8</xdr:row>
      <xdr:rowOff>75565</xdr:rowOff>
    </xdr:to>
    <xdr:sp macro="" textlink="">
      <xdr:nvSpPr>
        <xdr:cNvPr id="1246577" name="Line 50">
          <a:extLst>
            <a:ext uri="{FF2B5EF4-FFF2-40B4-BE49-F238E27FC236}">
              <a16:creationId xmlns:a16="http://schemas.microsoft.com/office/drawing/2014/main" id="{00000000-0008-0000-4E00-000071051300}"/>
            </a:ext>
          </a:extLst>
        </xdr:cNvPr>
        <xdr:cNvSpPr/>
      </xdr:nvSpPr>
      <xdr:spPr>
        <a:xfrm>
          <a:off x="5873115" y="1828165"/>
          <a:ext cx="14414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342900</xdr:colOff>
      <xdr:row>8</xdr:row>
      <xdr:rowOff>75565</xdr:rowOff>
    </xdr:from>
    <xdr:to>
      <xdr:col>13</xdr:col>
      <xdr:colOff>342900</xdr:colOff>
      <xdr:row>8</xdr:row>
      <xdr:rowOff>167005</xdr:rowOff>
    </xdr:to>
    <xdr:sp macro="" textlink="">
      <xdr:nvSpPr>
        <xdr:cNvPr id="1246578" name="Line 51">
          <a:extLst>
            <a:ext uri="{FF2B5EF4-FFF2-40B4-BE49-F238E27FC236}">
              <a16:creationId xmlns:a16="http://schemas.microsoft.com/office/drawing/2014/main" id="{00000000-0008-0000-4E00-000072051300}"/>
            </a:ext>
          </a:extLst>
        </xdr:cNvPr>
        <xdr:cNvSpPr/>
      </xdr:nvSpPr>
      <xdr:spPr>
        <a:xfrm>
          <a:off x="6010275" y="1828165"/>
          <a:ext cx="0" cy="914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13</xdr:col>
      <xdr:colOff>53340</xdr:colOff>
      <xdr:row>8</xdr:row>
      <xdr:rowOff>160020</xdr:rowOff>
    </xdr:from>
    <xdr:to>
      <xdr:col>13</xdr:col>
      <xdr:colOff>212725</xdr:colOff>
      <xdr:row>8</xdr:row>
      <xdr:rowOff>160020</xdr:rowOff>
    </xdr:to>
    <xdr:sp macro="" textlink="">
      <xdr:nvSpPr>
        <xdr:cNvPr id="1246579" name="Line 52">
          <a:extLst>
            <a:ext uri="{FF2B5EF4-FFF2-40B4-BE49-F238E27FC236}">
              <a16:creationId xmlns:a16="http://schemas.microsoft.com/office/drawing/2014/main" id="{00000000-0008-0000-4E00-000073051300}"/>
            </a:ext>
          </a:extLst>
        </xdr:cNvPr>
        <xdr:cNvSpPr/>
      </xdr:nvSpPr>
      <xdr:spPr>
        <a:xfrm>
          <a:off x="5720715" y="1912620"/>
          <a:ext cx="15938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12</xdr:col>
      <xdr:colOff>68580</xdr:colOff>
      <xdr:row>7</xdr:row>
      <xdr:rowOff>114300</xdr:rowOff>
    </xdr:from>
    <xdr:to>
      <xdr:col>15</xdr:col>
      <xdr:colOff>15240</xdr:colOff>
      <xdr:row>7</xdr:row>
      <xdr:rowOff>114300</xdr:rowOff>
    </xdr:to>
    <xdr:sp macro="" textlink="">
      <xdr:nvSpPr>
        <xdr:cNvPr id="1246580" name="Line 54">
          <a:extLst>
            <a:ext uri="{FF2B5EF4-FFF2-40B4-BE49-F238E27FC236}">
              <a16:creationId xmlns:a16="http://schemas.microsoft.com/office/drawing/2014/main" id="{00000000-0008-0000-4E00-000074051300}"/>
            </a:ext>
          </a:extLst>
        </xdr:cNvPr>
        <xdr:cNvSpPr/>
      </xdr:nvSpPr>
      <xdr:spPr>
        <a:xfrm>
          <a:off x="5183505" y="1685925"/>
          <a:ext cx="144208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53340</xdr:colOff>
      <xdr:row>8</xdr:row>
      <xdr:rowOff>152400</xdr:rowOff>
    </xdr:from>
    <xdr:to>
      <xdr:col>12</xdr:col>
      <xdr:colOff>304800</xdr:colOff>
      <xdr:row>8</xdr:row>
      <xdr:rowOff>152400</xdr:rowOff>
    </xdr:to>
    <xdr:sp macro="" textlink="">
      <xdr:nvSpPr>
        <xdr:cNvPr id="1246581" name="Line 55">
          <a:extLst>
            <a:ext uri="{FF2B5EF4-FFF2-40B4-BE49-F238E27FC236}">
              <a16:creationId xmlns:a16="http://schemas.microsoft.com/office/drawing/2014/main" id="{00000000-0008-0000-4E00-000075051300}"/>
            </a:ext>
          </a:extLst>
        </xdr:cNvPr>
        <xdr:cNvSpPr/>
      </xdr:nvSpPr>
      <xdr:spPr>
        <a:xfrm>
          <a:off x="5168265" y="1905000"/>
          <a:ext cx="2514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312420</xdr:colOff>
      <xdr:row>8</xdr:row>
      <xdr:rowOff>68580</xdr:rowOff>
    </xdr:from>
    <xdr:to>
      <xdr:col>12</xdr:col>
      <xdr:colOff>312420</xdr:colOff>
      <xdr:row>8</xdr:row>
      <xdr:rowOff>152400</xdr:rowOff>
    </xdr:to>
    <xdr:sp macro="" textlink="">
      <xdr:nvSpPr>
        <xdr:cNvPr id="1246582" name="Line 56">
          <a:extLst>
            <a:ext uri="{FF2B5EF4-FFF2-40B4-BE49-F238E27FC236}">
              <a16:creationId xmlns:a16="http://schemas.microsoft.com/office/drawing/2014/main" id="{00000000-0008-0000-4E00-000076051300}"/>
            </a:ext>
          </a:extLst>
        </xdr:cNvPr>
        <xdr:cNvSpPr/>
      </xdr:nvSpPr>
      <xdr:spPr>
        <a:xfrm flipV="1">
          <a:off x="5427345"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312420</xdr:colOff>
      <xdr:row>8</xdr:row>
      <xdr:rowOff>68580</xdr:rowOff>
    </xdr:from>
    <xdr:to>
      <xdr:col>13</xdr:col>
      <xdr:colOff>68580</xdr:colOff>
      <xdr:row>8</xdr:row>
      <xdr:rowOff>68580</xdr:rowOff>
    </xdr:to>
    <xdr:sp macro="" textlink="">
      <xdr:nvSpPr>
        <xdr:cNvPr id="1246583" name="Line 57">
          <a:extLst>
            <a:ext uri="{FF2B5EF4-FFF2-40B4-BE49-F238E27FC236}">
              <a16:creationId xmlns:a16="http://schemas.microsoft.com/office/drawing/2014/main" id="{00000000-0008-0000-4E00-000077051300}"/>
            </a:ext>
          </a:extLst>
        </xdr:cNvPr>
        <xdr:cNvSpPr/>
      </xdr:nvSpPr>
      <xdr:spPr>
        <a:xfrm>
          <a:off x="5427345" y="1821180"/>
          <a:ext cx="30861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68580</xdr:colOff>
      <xdr:row>8</xdr:row>
      <xdr:rowOff>68580</xdr:rowOff>
    </xdr:from>
    <xdr:to>
      <xdr:col>13</xdr:col>
      <xdr:colOff>68580</xdr:colOff>
      <xdr:row>8</xdr:row>
      <xdr:rowOff>152400</xdr:rowOff>
    </xdr:to>
    <xdr:sp macro="" textlink="">
      <xdr:nvSpPr>
        <xdr:cNvPr id="1246584" name="Line 58">
          <a:extLst>
            <a:ext uri="{FF2B5EF4-FFF2-40B4-BE49-F238E27FC236}">
              <a16:creationId xmlns:a16="http://schemas.microsoft.com/office/drawing/2014/main" id="{00000000-0008-0000-4E00-000078051300}"/>
            </a:ext>
          </a:extLst>
        </xdr:cNvPr>
        <xdr:cNvSpPr/>
      </xdr:nvSpPr>
      <xdr:spPr>
        <a:xfrm>
          <a:off x="5735955"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68580</xdr:colOff>
      <xdr:row>8</xdr:row>
      <xdr:rowOff>152400</xdr:rowOff>
    </xdr:from>
    <xdr:to>
      <xdr:col>13</xdr:col>
      <xdr:colOff>206375</xdr:colOff>
      <xdr:row>8</xdr:row>
      <xdr:rowOff>152400</xdr:rowOff>
    </xdr:to>
    <xdr:sp macro="" textlink="">
      <xdr:nvSpPr>
        <xdr:cNvPr id="1246585" name="Line 59">
          <a:extLst>
            <a:ext uri="{FF2B5EF4-FFF2-40B4-BE49-F238E27FC236}">
              <a16:creationId xmlns:a16="http://schemas.microsoft.com/office/drawing/2014/main" id="{00000000-0008-0000-4E00-000079051300}"/>
            </a:ext>
          </a:extLst>
        </xdr:cNvPr>
        <xdr:cNvSpPr/>
      </xdr:nvSpPr>
      <xdr:spPr>
        <a:xfrm>
          <a:off x="5735955" y="1905000"/>
          <a:ext cx="13779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205740</xdr:colOff>
      <xdr:row>8</xdr:row>
      <xdr:rowOff>68580</xdr:rowOff>
    </xdr:from>
    <xdr:to>
      <xdr:col>13</xdr:col>
      <xdr:colOff>205740</xdr:colOff>
      <xdr:row>8</xdr:row>
      <xdr:rowOff>152400</xdr:rowOff>
    </xdr:to>
    <xdr:sp macro="" textlink="">
      <xdr:nvSpPr>
        <xdr:cNvPr id="1246586" name="Line 60">
          <a:extLst>
            <a:ext uri="{FF2B5EF4-FFF2-40B4-BE49-F238E27FC236}">
              <a16:creationId xmlns:a16="http://schemas.microsoft.com/office/drawing/2014/main" id="{00000000-0008-0000-4E00-00007A051300}"/>
            </a:ext>
          </a:extLst>
        </xdr:cNvPr>
        <xdr:cNvSpPr/>
      </xdr:nvSpPr>
      <xdr:spPr>
        <a:xfrm flipV="1">
          <a:off x="5873115"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205740</xdr:colOff>
      <xdr:row>8</xdr:row>
      <xdr:rowOff>68580</xdr:rowOff>
    </xdr:from>
    <xdr:to>
      <xdr:col>13</xdr:col>
      <xdr:colOff>342900</xdr:colOff>
      <xdr:row>8</xdr:row>
      <xdr:rowOff>68580</xdr:rowOff>
    </xdr:to>
    <xdr:sp macro="" textlink="">
      <xdr:nvSpPr>
        <xdr:cNvPr id="1246587" name="Line 61">
          <a:extLst>
            <a:ext uri="{FF2B5EF4-FFF2-40B4-BE49-F238E27FC236}">
              <a16:creationId xmlns:a16="http://schemas.microsoft.com/office/drawing/2014/main" id="{00000000-0008-0000-4E00-00007B051300}"/>
            </a:ext>
          </a:extLst>
        </xdr:cNvPr>
        <xdr:cNvSpPr/>
      </xdr:nvSpPr>
      <xdr:spPr>
        <a:xfrm>
          <a:off x="5873115" y="1821180"/>
          <a:ext cx="1371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350520</xdr:colOff>
      <xdr:row>8</xdr:row>
      <xdr:rowOff>68580</xdr:rowOff>
    </xdr:from>
    <xdr:to>
      <xdr:col>13</xdr:col>
      <xdr:colOff>350520</xdr:colOff>
      <xdr:row>8</xdr:row>
      <xdr:rowOff>152400</xdr:rowOff>
    </xdr:to>
    <xdr:sp macro="" textlink="">
      <xdr:nvSpPr>
        <xdr:cNvPr id="1246588" name="Line 62">
          <a:extLst>
            <a:ext uri="{FF2B5EF4-FFF2-40B4-BE49-F238E27FC236}">
              <a16:creationId xmlns:a16="http://schemas.microsoft.com/office/drawing/2014/main" id="{00000000-0008-0000-4E00-00007C051300}"/>
            </a:ext>
          </a:extLst>
        </xdr:cNvPr>
        <xdr:cNvSpPr/>
      </xdr:nvSpPr>
      <xdr:spPr>
        <a:xfrm>
          <a:off x="6017895"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342900</xdr:colOff>
      <xdr:row>8</xdr:row>
      <xdr:rowOff>152400</xdr:rowOff>
    </xdr:from>
    <xdr:to>
      <xdr:col>13</xdr:col>
      <xdr:colOff>510540</xdr:colOff>
      <xdr:row>8</xdr:row>
      <xdr:rowOff>152400</xdr:rowOff>
    </xdr:to>
    <xdr:sp macro="" textlink="">
      <xdr:nvSpPr>
        <xdr:cNvPr id="1246589" name="Line 63">
          <a:extLst>
            <a:ext uri="{FF2B5EF4-FFF2-40B4-BE49-F238E27FC236}">
              <a16:creationId xmlns:a16="http://schemas.microsoft.com/office/drawing/2014/main" id="{00000000-0008-0000-4E00-00007D051300}"/>
            </a:ext>
          </a:extLst>
        </xdr:cNvPr>
        <xdr:cNvSpPr/>
      </xdr:nvSpPr>
      <xdr:spPr>
        <a:xfrm>
          <a:off x="6010275" y="1905000"/>
          <a:ext cx="1676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525780</xdr:colOff>
      <xdr:row>8</xdr:row>
      <xdr:rowOff>68580</xdr:rowOff>
    </xdr:from>
    <xdr:to>
      <xdr:col>13</xdr:col>
      <xdr:colOff>525780</xdr:colOff>
      <xdr:row>8</xdr:row>
      <xdr:rowOff>152400</xdr:rowOff>
    </xdr:to>
    <xdr:sp macro="" textlink="">
      <xdr:nvSpPr>
        <xdr:cNvPr id="1246590" name="Line 64">
          <a:extLst>
            <a:ext uri="{FF2B5EF4-FFF2-40B4-BE49-F238E27FC236}">
              <a16:creationId xmlns:a16="http://schemas.microsoft.com/office/drawing/2014/main" id="{00000000-0008-0000-4E00-00007E051300}"/>
            </a:ext>
          </a:extLst>
        </xdr:cNvPr>
        <xdr:cNvSpPr/>
      </xdr:nvSpPr>
      <xdr:spPr>
        <a:xfrm flipV="1">
          <a:off x="6193155"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525780</xdr:colOff>
      <xdr:row>8</xdr:row>
      <xdr:rowOff>68580</xdr:rowOff>
    </xdr:from>
    <xdr:to>
      <xdr:col>14</xdr:col>
      <xdr:colOff>198120</xdr:colOff>
      <xdr:row>8</xdr:row>
      <xdr:rowOff>68580</xdr:rowOff>
    </xdr:to>
    <xdr:sp macro="" textlink="">
      <xdr:nvSpPr>
        <xdr:cNvPr id="1246591" name="Line 65">
          <a:extLst>
            <a:ext uri="{FF2B5EF4-FFF2-40B4-BE49-F238E27FC236}">
              <a16:creationId xmlns:a16="http://schemas.microsoft.com/office/drawing/2014/main" id="{00000000-0008-0000-4E00-00007F051300}"/>
            </a:ext>
          </a:extLst>
        </xdr:cNvPr>
        <xdr:cNvSpPr/>
      </xdr:nvSpPr>
      <xdr:spPr>
        <a:xfrm>
          <a:off x="6193155" y="1821180"/>
          <a:ext cx="29146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198120</xdr:colOff>
      <xdr:row>8</xdr:row>
      <xdr:rowOff>68580</xdr:rowOff>
    </xdr:from>
    <xdr:to>
      <xdr:col>14</xdr:col>
      <xdr:colOff>198120</xdr:colOff>
      <xdr:row>8</xdr:row>
      <xdr:rowOff>152400</xdr:rowOff>
    </xdr:to>
    <xdr:sp macro="" textlink="">
      <xdr:nvSpPr>
        <xdr:cNvPr id="1246592" name="Line 66">
          <a:extLst>
            <a:ext uri="{FF2B5EF4-FFF2-40B4-BE49-F238E27FC236}">
              <a16:creationId xmlns:a16="http://schemas.microsoft.com/office/drawing/2014/main" id="{00000000-0008-0000-4E00-000080051300}"/>
            </a:ext>
          </a:extLst>
        </xdr:cNvPr>
        <xdr:cNvSpPr/>
      </xdr:nvSpPr>
      <xdr:spPr>
        <a:xfrm>
          <a:off x="6484620" y="1821180"/>
          <a:ext cx="0" cy="83820"/>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198120</xdr:colOff>
      <xdr:row>8</xdr:row>
      <xdr:rowOff>152400</xdr:rowOff>
    </xdr:from>
    <xdr:to>
      <xdr:col>15</xdr:col>
      <xdr:colOff>22860</xdr:colOff>
      <xdr:row>8</xdr:row>
      <xdr:rowOff>152400</xdr:rowOff>
    </xdr:to>
    <xdr:sp macro="" textlink="">
      <xdr:nvSpPr>
        <xdr:cNvPr id="1246593" name="Line 67">
          <a:extLst>
            <a:ext uri="{FF2B5EF4-FFF2-40B4-BE49-F238E27FC236}">
              <a16:creationId xmlns:a16="http://schemas.microsoft.com/office/drawing/2014/main" id="{00000000-0008-0000-4E00-000081051300}"/>
            </a:ext>
          </a:extLst>
        </xdr:cNvPr>
        <xdr:cNvSpPr/>
      </xdr:nvSpPr>
      <xdr:spPr>
        <a:xfrm>
          <a:off x="6484620" y="1905000"/>
          <a:ext cx="14859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320040</xdr:colOff>
      <xdr:row>4</xdr:row>
      <xdr:rowOff>0</xdr:rowOff>
    </xdr:from>
    <xdr:to>
      <xdr:col>16</xdr:col>
      <xdr:colOff>76200</xdr:colOff>
      <xdr:row>4</xdr:row>
      <xdr:rowOff>167640</xdr:rowOff>
    </xdr:to>
    <xdr:sp macro="" textlink="">
      <xdr:nvSpPr>
        <xdr:cNvPr id="1246594" name="FreeForm 69">
          <a:extLst>
            <a:ext uri="{FF2B5EF4-FFF2-40B4-BE49-F238E27FC236}">
              <a16:creationId xmlns:a16="http://schemas.microsoft.com/office/drawing/2014/main" id="{00000000-0008-0000-4E00-000082051300}"/>
            </a:ext>
          </a:extLst>
        </xdr:cNvPr>
        <xdr:cNvSpPr/>
      </xdr:nvSpPr>
      <xdr:spPr>
        <a:xfrm>
          <a:off x="4968240" y="1028700"/>
          <a:ext cx="1794510" cy="167640"/>
        </a:xfrm>
        <a:custGeom>
          <a:avLst/>
          <a:gdLst/>
          <a:ahLst/>
          <a:cxnLst>
            <a:cxn ang="0">
              <a:pos x="4" y="7"/>
            </a:cxn>
            <a:cxn ang="0">
              <a:pos x="7" y="6"/>
            </a:cxn>
            <a:cxn ang="0">
              <a:pos x="49" y="2"/>
            </a:cxn>
            <a:cxn ang="0">
              <a:pos x="66" y="17"/>
            </a:cxn>
            <a:cxn ang="0">
              <a:pos x="89" y="17"/>
            </a:cxn>
            <a:cxn ang="0">
              <a:pos x="102" y="12"/>
            </a:cxn>
            <a:cxn ang="0">
              <a:pos x="115" y="9"/>
            </a:cxn>
            <a:cxn ang="0">
              <a:pos x="132" y="6"/>
            </a:cxn>
            <a:cxn ang="0">
              <a:pos x="142" y="11"/>
            </a:cxn>
            <a:cxn ang="0">
              <a:pos x="155" y="11"/>
            </a:cxn>
            <a:cxn ang="0">
              <a:pos x="168" y="7"/>
            </a:cxn>
            <a:cxn ang="0">
              <a:pos x="181" y="8"/>
            </a:cxn>
            <a:cxn ang="0">
              <a:pos x="186" y="12"/>
            </a:cxn>
          </a:cxnLst>
          <a:rect l="0" t="0" r="0" b="0"/>
          <a:pathLst>
            <a:path w="186" h="19">
              <a:moveTo>
                <a:pt x="4" y="7"/>
              </a:moveTo>
              <a:cubicBezTo>
                <a:pt x="2" y="7"/>
                <a:pt x="0" y="7"/>
                <a:pt x="7" y="6"/>
              </a:cubicBezTo>
              <a:cubicBezTo>
                <a:pt x="14" y="5"/>
                <a:pt x="39" y="0"/>
                <a:pt x="49" y="2"/>
              </a:cubicBezTo>
              <a:cubicBezTo>
                <a:pt x="59" y="4"/>
                <a:pt x="59" y="15"/>
                <a:pt x="66" y="17"/>
              </a:cubicBezTo>
              <a:cubicBezTo>
                <a:pt x="73" y="19"/>
                <a:pt x="83" y="18"/>
                <a:pt x="89" y="17"/>
              </a:cubicBezTo>
              <a:cubicBezTo>
                <a:pt x="95" y="16"/>
                <a:pt x="98" y="13"/>
                <a:pt x="102" y="12"/>
              </a:cubicBezTo>
              <a:cubicBezTo>
                <a:pt x="106" y="11"/>
                <a:pt x="110" y="10"/>
                <a:pt x="115" y="9"/>
              </a:cubicBezTo>
              <a:cubicBezTo>
                <a:pt x="120" y="8"/>
                <a:pt x="128" y="6"/>
                <a:pt x="132" y="6"/>
              </a:cubicBezTo>
              <a:cubicBezTo>
                <a:pt x="136" y="6"/>
                <a:pt x="138" y="10"/>
                <a:pt x="142" y="11"/>
              </a:cubicBezTo>
              <a:cubicBezTo>
                <a:pt x="146" y="12"/>
                <a:pt x="151" y="12"/>
                <a:pt x="155" y="11"/>
              </a:cubicBezTo>
              <a:cubicBezTo>
                <a:pt x="159" y="10"/>
                <a:pt x="164" y="8"/>
                <a:pt x="168" y="7"/>
              </a:cubicBezTo>
              <a:cubicBezTo>
                <a:pt x="172" y="6"/>
                <a:pt x="178" y="7"/>
                <a:pt x="181" y="8"/>
              </a:cubicBezTo>
              <a:cubicBezTo>
                <a:pt x="184" y="9"/>
                <a:pt x="185" y="12"/>
                <a:pt x="186" y="12"/>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5</xdr:col>
      <xdr:colOff>137160</xdr:colOff>
      <xdr:row>4</xdr:row>
      <xdr:rowOff>190500</xdr:rowOff>
    </xdr:from>
    <xdr:to>
      <xdr:col>5</xdr:col>
      <xdr:colOff>137160</xdr:colOff>
      <xdr:row>7</xdr:row>
      <xdr:rowOff>137160</xdr:rowOff>
    </xdr:to>
    <xdr:sp macro="" textlink="">
      <xdr:nvSpPr>
        <xdr:cNvPr id="1246595" name="Line 71">
          <a:extLst>
            <a:ext uri="{FF2B5EF4-FFF2-40B4-BE49-F238E27FC236}">
              <a16:creationId xmlns:a16="http://schemas.microsoft.com/office/drawing/2014/main" id="{00000000-0008-0000-4E00-000083051300}"/>
            </a:ext>
          </a:extLst>
        </xdr:cNvPr>
        <xdr:cNvSpPr/>
      </xdr:nvSpPr>
      <xdr:spPr>
        <a:xfrm>
          <a:off x="2756535" y="1209675"/>
          <a:ext cx="0" cy="499110"/>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274320</xdr:colOff>
      <xdr:row>4</xdr:row>
      <xdr:rowOff>198120</xdr:rowOff>
    </xdr:from>
    <xdr:to>
      <xdr:col>9</xdr:col>
      <xdr:colOff>274320</xdr:colOff>
      <xdr:row>7</xdr:row>
      <xdr:rowOff>152400</xdr:rowOff>
    </xdr:to>
    <xdr:sp macro="" textlink="">
      <xdr:nvSpPr>
        <xdr:cNvPr id="1246596" name="Line 72">
          <a:extLst>
            <a:ext uri="{FF2B5EF4-FFF2-40B4-BE49-F238E27FC236}">
              <a16:creationId xmlns:a16="http://schemas.microsoft.com/office/drawing/2014/main" id="{00000000-0008-0000-4E00-000084051300}"/>
            </a:ext>
          </a:extLst>
        </xdr:cNvPr>
        <xdr:cNvSpPr/>
      </xdr:nvSpPr>
      <xdr:spPr>
        <a:xfrm flipH="1">
          <a:off x="4103370" y="1209675"/>
          <a:ext cx="0" cy="51435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129540</xdr:colOff>
      <xdr:row>7</xdr:row>
      <xdr:rowOff>144780</xdr:rowOff>
    </xdr:from>
    <xdr:to>
      <xdr:col>5</xdr:col>
      <xdr:colOff>289560</xdr:colOff>
      <xdr:row>7</xdr:row>
      <xdr:rowOff>144780</xdr:rowOff>
    </xdr:to>
    <xdr:sp macro="" textlink="">
      <xdr:nvSpPr>
        <xdr:cNvPr id="1246597" name="Line 73">
          <a:extLst>
            <a:ext uri="{FF2B5EF4-FFF2-40B4-BE49-F238E27FC236}">
              <a16:creationId xmlns:a16="http://schemas.microsoft.com/office/drawing/2014/main" id="{00000000-0008-0000-4E00-000085051300}"/>
            </a:ext>
          </a:extLst>
        </xdr:cNvPr>
        <xdr:cNvSpPr/>
      </xdr:nvSpPr>
      <xdr:spPr>
        <a:xfrm>
          <a:off x="2748915" y="1716405"/>
          <a:ext cx="1600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281940</xdr:colOff>
      <xdr:row>7</xdr:row>
      <xdr:rowOff>144780</xdr:rowOff>
    </xdr:from>
    <xdr:to>
      <xdr:col>6</xdr:col>
      <xdr:colOff>15240</xdr:colOff>
      <xdr:row>8</xdr:row>
      <xdr:rowOff>68580</xdr:rowOff>
    </xdr:to>
    <xdr:sp macro="" textlink="">
      <xdr:nvSpPr>
        <xdr:cNvPr id="1246598" name="Line 75">
          <a:extLst>
            <a:ext uri="{FF2B5EF4-FFF2-40B4-BE49-F238E27FC236}">
              <a16:creationId xmlns:a16="http://schemas.microsoft.com/office/drawing/2014/main" id="{00000000-0008-0000-4E00-000086051300}"/>
            </a:ext>
          </a:extLst>
        </xdr:cNvPr>
        <xdr:cNvSpPr/>
      </xdr:nvSpPr>
      <xdr:spPr>
        <a:xfrm>
          <a:off x="2901315" y="1716405"/>
          <a:ext cx="85725" cy="104775"/>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15240</xdr:colOff>
      <xdr:row>8</xdr:row>
      <xdr:rowOff>68580</xdr:rowOff>
    </xdr:from>
    <xdr:to>
      <xdr:col>6</xdr:col>
      <xdr:colOff>251460</xdr:colOff>
      <xdr:row>8</xdr:row>
      <xdr:rowOff>68580</xdr:rowOff>
    </xdr:to>
    <xdr:sp macro="" textlink="">
      <xdr:nvSpPr>
        <xdr:cNvPr id="1246599" name="Line 76">
          <a:extLst>
            <a:ext uri="{FF2B5EF4-FFF2-40B4-BE49-F238E27FC236}">
              <a16:creationId xmlns:a16="http://schemas.microsoft.com/office/drawing/2014/main" id="{00000000-0008-0000-4E00-000087051300}"/>
            </a:ext>
          </a:extLst>
        </xdr:cNvPr>
        <xdr:cNvSpPr/>
      </xdr:nvSpPr>
      <xdr:spPr>
        <a:xfrm flipV="1">
          <a:off x="2987040" y="1821180"/>
          <a:ext cx="2362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251460</xdr:colOff>
      <xdr:row>7</xdr:row>
      <xdr:rowOff>144780</xdr:rowOff>
    </xdr:from>
    <xdr:to>
      <xdr:col>6</xdr:col>
      <xdr:colOff>335280</xdr:colOff>
      <xdr:row>8</xdr:row>
      <xdr:rowOff>68580</xdr:rowOff>
    </xdr:to>
    <xdr:sp macro="" textlink="">
      <xdr:nvSpPr>
        <xdr:cNvPr id="1246600" name="Line 78">
          <a:extLst>
            <a:ext uri="{FF2B5EF4-FFF2-40B4-BE49-F238E27FC236}">
              <a16:creationId xmlns:a16="http://schemas.microsoft.com/office/drawing/2014/main" id="{00000000-0008-0000-4E00-000088051300}"/>
            </a:ext>
          </a:extLst>
        </xdr:cNvPr>
        <xdr:cNvSpPr/>
      </xdr:nvSpPr>
      <xdr:spPr>
        <a:xfrm flipV="1">
          <a:off x="3223260" y="1716405"/>
          <a:ext cx="83820" cy="104775"/>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327660</xdr:colOff>
      <xdr:row>7</xdr:row>
      <xdr:rowOff>144780</xdr:rowOff>
    </xdr:from>
    <xdr:to>
      <xdr:col>8</xdr:col>
      <xdr:colOff>152400</xdr:colOff>
      <xdr:row>7</xdr:row>
      <xdr:rowOff>144780</xdr:rowOff>
    </xdr:to>
    <xdr:sp macro="" textlink="">
      <xdr:nvSpPr>
        <xdr:cNvPr id="1246601" name="Line 79">
          <a:extLst>
            <a:ext uri="{FF2B5EF4-FFF2-40B4-BE49-F238E27FC236}">
              <a16:creationId xmlns:a16="http://schemas.microsoft.com/office/drawing/2014/main" id="{00000000-0008-0000-4E00-000089051300}"/>
            </a:ext>
          </a:extLst>
        </xdr:cNvPr>
        <xdr:cNvSpPr/>
      </xdr:nvSpPr>
      <xdr:spPr>
        <a:xfrm>
          <a:off x="3299460" y="1716405"/>
          <a:ext cx="27241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8</xdr:col>
      <xdr:colOff>144780</xdr:colOff>
      <xdr:row>7</xdr:row>
      <xdr:rowOff>137160</xdr:rowOff>
    </xdr:from>
    <xdr:to>
      <xdr:col>8</xdr:col>
      <xdr:colOff>220980</xdr:colOff>
      <xdr:row>8</xdr:row>
      <xdr:rowOff>53340</xdr:rowOff>
    </xdr:to>
    <xdr:sp macro="" textlink="">
      <xdr:nvSpPr>
        <xdr:cNvPr id="1246602" name="Line 80">
          <a:extLst>
            <a:ext uri="{FF2B5EF4-FFF2-40B4-BE49-F238E27FC236}">
              <a16:creationId xmlns:a16="http://schemas.microsoft.com/office/drawing/2014/main" id="{00000000-0008-0000-4E00-00008A051300}"/>
            </a:ext>
          </a:extLst>
        </xdr:cNvPr>
        <xdr:cNvSpPr/>
      </xdr:nvSpPr>
      <xdr:spPr>
        <a:xfrm>
          <a:off x="3564255" y="1708785"/>
          <a:ext cx="76200" cy="97155"/>
        </a:xfrm>
        <a:prstGeom prst="line">
          <a:avLst/>
        </a:prstGeom>
        <a:ln w="15875" cap="flat" cmpd="sng">
          <a:solidFill>
            <a:srgbClr val="000000"/>
          </a:solidFill>
          <a:prstDash val="solid"/>
          <a:round/>
          <a:headEnd type="none" w="med" len="med"/>
          <a:tailEnd type="none" w="med" len="med"/>
        </a:ln>
      </xdr:spPr>
    </xdr:sp>
    <xdr:clientData/>
  </xdr:twoCellAnchor>
  <xdr:twoCellAnchor>
    <xdr:from>
      <xdr:col>8</xdr:col>
      <xdr:colOff>213360</xdr:colOff>
      <xdr:row>8</xdr:row>
      <xdr:rowOff>53340</xdr:rowOff>
    </xdr:from>
    <xdr:to>
      <xdr:col>9</xdr:col>
      <xdr:colOff>53340</xdr:colOff>
      <xdr:row>8</xdr:row>
      <xdr:rowOff>53340</xdr:rowOff>
    </xdr:to>
    <xdr:sp macro="" textlink="">
      <xdr:nvSpPr>
        <xdr:cNvPr id="1246603" name="Line 81">
          <a:extLst>
            <a:ext uri="{FF2B5EF4-FFF2-40B4-BE49-F238E27FC236}">
              <a16:creationId xmlns:a16="http://schemas.microsoft.com/office/drawing/2014/main" id="{00000000-0008-0000-4E00-00008B051300}"/>
            </a:ext>
          </a:extLst>
        </xdr:cNvPr>
        <xdr:cNvSpPr/>
      </xdr:nvSpPr>
      <xdr:spPr>
        <a:xfrm>
          <a:off x="3632835" y="1805940"/>
          <a:ext cx="24955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45720</xdr:colOff>
      <xdr:row>7</xdr:row>
      <xdr:rowOff>144780</xdr:rowOff>
    </xdr:from>
    <xdr:to>
      <xdr:col>9</xdr:col>
      <xdr:colOff>121920</xdr:colOff>
      <xdr:row>8</xdr:row>
      <xdr:rowOff>53340</xdr:rowOff>
    </xdr:to>
    <xdr:sp macro="" textlink="">
      <xdr:nvSpPr>
        <xdr:cNvPr id="1246604" name="Line 82">
          <a:extLst>
            <a:ext uri="{FF2B5EF4-FFF2-40B4-BE49-F238E27FC236}">
              <a16:creationId xmlns:a16="http://schemas.microsoft.com/office/drawing/2014/main" id="{00000000-0008-0000-4E00-00008C051300}"/>
            </a:ext>
          </a:extLst>
        </xdr:cNvPr>
        <xdr:cNvSpPr/>
      </xdr:nvSpPr>
      <xdr:spPr>
        <a:xfrm flipV="1">
          <a:off x="3874770" y="1716405"/>
          <a:ext cx="76200" cy="89535"/>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121920</xdr:colOff>
      <xdr:row>7</xdr:row>
      <xdr:rowOff>144780</xdr:rowOff>
    </xdr:from>
    <xdr:to>
      <xdr:col>9</xdr:col>
      <xdr:colOff>281940</xdr:colOff>
      <xdr:row>7</xdr:row>
      <xdr:rowOff>144780</xdr:rowOff>
    </xdr:to>
    <xdr:sp macro="" textlink="">
      <xdr:nvSpPr>
        <xdr:cNvPr id="1246605" name="Line 83">
          <a:extLst>
            <a:ext uri="{FF2B5EF4-FFF2-40B4-BE49-F238E27FC236}">
              <a16:creationId xmlns:a16="http://schemas.microsoft.com/office/drawing/2014/main" id="{00000000-0008-0000-4E00-00008D051300}"/>
            </a:ext>
          </a:extLst>
        </xdr:cNvPr>
        <xdr:cNvSpPr/>
      </xdr:nvSpPr>
      <xdr:spPr>
        <a:xfrm>
          <a:off x="3950970" y="1716405"/>
          <a:ext cx="1600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251460</xdr:colOff>
      <xdr:row>8</xdr:row>
      <xdr:rowOff>45720</xdr:rowOff>
    </xdr:from>
    <xdr:to>
      <xdr:col>5</xdr:col>
      <xdr:colOff>335280</xdr:colOff>
      <xdr:row>8</xdr:row>
      <xdr:rowOff>167640</xdr:rowOff>
    </xdr:to>
    <xdr:sp macro="" textlink="">
      <xdr:nvSpPr>
        <xdr:cNvPr id="1246606" name="Line 84">
          <a:extLst>
            <a:ext uri="{FF2B5EF4-FFF2-40B4-BE49-F238E27FC236}">
              <a16:creationId xmlns:a16="http://schemas.microsoft.com/office/drawing/2014/main" id="{00000000-0008-0000-4E00-00008E051300}"/>
            </a:ext>
          </a:extLst>
        </xdr:cNvPr>
        <xdr:cNvSpPr/>
      </xdr:nvSpPr>
      <xdr:spPr>
        <a:xfrm>
          <a:off x="2870835" y="1798320"/>
          <a:ext cx="83820" cy="12192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335280</xdr:colOff>
      <xdr:row>8</xdr:row>
      <xdr:rowOff>167640</xdr:rowOff>
    </xdr:from>
    <xdr:to>
      <xdr:col>6</xdr:col>
      <xdr:colOff>289560</xdr:colOff>
      <xdr:row>8</xdr:row>
      <xdr:rowOff>167640</xdr:rowOff>
    </xdr:to>
    <xdr:sp macro="" textlink="">
      <xdr:nvSpPr>
        <xdr:cNvPr id="1246607" name="Line 85">
          <a:extLst>
            <a:ext uri="{FF2B5EF4-FFF2-40B4-BE49-F238E27FC236}">
              <a16:creationId xmlns:a16="http://schemas.microsoft.com/office/drawing/2014/main" id="{00000000-0008-0000-4E00-00008F051300}"/>
            </a:ext>
          </a:extLst>
        </xdr:cNvPr>
        <xdr:cNvSpPr/>
      </xdr:nvSpPr>
      <xdr:spPr>
        <a:xfrm flipV="1">
          <a:off x="2954655" y="1920240"/>
          <a:ext cx="30670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281940</xdr:colOff>
      <xdr:row>8</xdr:row>
      <xdr:rowOff>38100</xdr:rowOff>
    </xdr:from>
    <xdr:to>
      <xdr:col>7</xdr:col>
      <xdr:colOff>22860</xdr:colOff>
      <xdr:row>8</xdr:row>
      <xdr:rowOff>182880</xdr:rowOff>
    </xdr:to>
    <xdr:sp macro="" textlink="">
      <xdr:nvSpPr>
        <xdr:cNvPr id="1246608" name="Line 86">
          <a:extLst>
            <a:ext uri="{FF2B5EF4-FFF2-40B4-BE49-F238E27FC236}">
              <a16:creationId xmlns:a16="http://schemas.microsoft.com/office/drawing/2014/main" id="{00000000-0008-0000-4E00-000090051300}"/>
            </a:ext>
          </a:extLst>
        </xdr:cNvPr>
        <xdr:cNvSpPr/>
      </xdr:nvSpPr>
      <xdr:spPr>
        <a:xfrm flipV="1">
          <a:off x="3253740" y="1790700"/>
          <a:ext cx="93345" cy="142875"/>
        </a:xfrm>
        <a:prstGeom prst="line">
          <a:avLst/>
        </a:prstGeom>
        <a:ln w="15875" cap="flat" cmpd="sng">
          <a:solidFill>
            <a:srgbClr val="000000"/>
          </a:solidFill>
          <a:prstDash val="solid"/>
          <a:round/>
          <a:headEnd type="none" w="med" len="med"/>
          <a:tailEnd type="none" w="med" len="med"/>
        </a:ln>
      </xdr:spPr>
    </xdr:sp>
    <xdr:clientData/>
  </xdr:twoCellAnchor>
  <xdr:twoCellAnchor>
    <xdr:from>
      <xdr:col>7</xdr:col>
      <xdr:colOff>15240</xdr:colOff>
      <xdr:row>8</xdr:row>
      <xdr:rowOff>38100</xdr:rowOff>
    </xdr:from>
    <xdr:to>
      <xdr:col>8</xdr:col>
      <xdr:colOff>106680</xdr:colOff>
      <xdr:row>8</xdr:row>
      <xdr:rowOff>38100</xdr:rowOff>
    </xdr:to>
    <xdr:sp macro="" textlink="">
      <xdr:nvSpPr>
        <xdr:cNvPr id="1246609" name="Line 87">
          <a:extLst>
            <a:ext uri="{FF2B5EF4-FFF2-40B4-BE49-F238E27FC236}">
              <a16:creationId xmlns:a16="http://schemas.microsoft.com/office/drawing/2014/main" id="{00000000-0008-0000-4E00-000091051300}"/>
            </a:ext>
          </a:extLst>
        </xdr:cNvPr>
        <xdr:cNvSpPr/>
      </xdr:nvSpPr>
      <xdr:spPr>
        <a:xfrm>
          <a:off x="3339465" y="1790700"/>
          <a:ext cx="18669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8</xdr:col>
      <xdr:colOff>91440</xdr:colOff>
      <xdr:row>8</xdr:row>
      <xdr:rowOff>38100</xdr:rowOff>
    </xdr:from>
    <xdr:to>
      <xdr:col>8</xdr:col>
      <xdr:colOff>168275</xdr:colOff>
      <xdr:row>8</xdr:row>
      <xdr:rowOff>174625</xdr:rowOff>
    </xdr:to>
    <xdr:sp macro="" textlink="">
      <xdr:nvSpPr>
        <xdr:cNvPr id="1246610" name="Line 88">
          <a:extLst>
            <a:ext uri="{FF2B5EF4-FFF2-40B4-BE49-F238E27FC236}">
              <a16:creationId xmlns:a16="http://schemas.microsoft.com/office/drawing/2014/main" id="{00000000-0008-0000-4E00-000092051300}"/>
            </a:ext>
          </a:extLst>
        </xdr:cNvPr>
        <xdr:cNvSpPr/>
      </xdr:nvSpPr>
      <xdr:spPr>
        <a:xfrm>
          <a:off x="3510915" y="1790700"/>
          <a:ext cx="76835" cy="136525"/>
        </a:xfrm>
        <a:prstGeom prst="line">
          <a:avLst/>
        </a:prstGeom>
        <a:ln w="15875" cap="flat" cmpd="sng">
          <a:solidFill>
            <a:srgbClr val="000000"/>
          </a:solidFill>
          <a:prstDash val="solid"/>
          <a:round/>
          <a:headEnd type="none" w="med" len="med"/>
          <a:tailEnd type="none" w="med" len="med"/>
        </a:ln>
      </xdr:spPr>
    </xdr:sp>
    <xdr:clientData/>
  </xdr:twoCellAnchor>
  <xdr:twoCellAnchor>
    <xdr:from>
      <xdr:col>8</xdr:col>
      <xdr:colOff>160020</xdr:colOff>
      <xdr:row>8</xdr:row>
      <xdr:rowOff>160020</xdr:rowOff>
    </xdr:from>
    <xdr:to>
      <xdr:col>9</xdr:col>
      <xdr:colOff>83820</xdr:colOff>
      <xdr:row>8</xdr:row>
      <xdr:rowOff>160020</xdr:rowOff>
    </xdr:to>
    <xdr:sp macro="" textlink="">
      <xdr:nvSpPr>
        <xdr:cNvPr id="1246611" name="Line 89">
          <a:extLst>
            <a:ext uri="{FF2B5EF4-FFF2-40B4-BE49-F238E27FC236}">
              <a16:creationId xmlns:a16="http://schemas.microsoft.com/office/drawing/2014/main" id="{00000000-0008-0000-4E00-000093051300}"/>
            </a:ext>
          </a:extLst>
        </xdr:cNvPr>
        <xdr:cNvSpPr/>
      </xdr:nvSpPr>
      <xdr:spPr>
        <a:xfrm>
          <a:off x="3579495" y="1912620"/>
          <a:ext cx="33337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76200</xdr:colOff>
      <xdr:row>8</xdr:row>
      <xdr:rowOff>30480</xdr:rowOff>
    </xdr:from>
    <xdr:to>
      <xdr:col>9</xdr:col>
      <xdr:colOff>168275</xdr:colOff>
      <xdr:row>8</xdr:row>
      <xdr:rowOff>174625</xdr:rowOff>
    </xdr:to>
    <xdr:sp macro="" textlink="">
      <xdr:nvSpPr>
        <xdr:cNvPr id="1246612" name="Line 90">
          <a:extLst>
            <a:ext uri="{FF2B5EF4-FFF2-40B4-BE49-F238E27FC236}">
              <a16:creationId xmlns:a16="http://schemas.microsoft.com/office/drawing/2014/main" id="{00000000-0008-0000-4E00-000094051300}"/>
            </a:ext>
          </a:extLst>
        </xdr:cNvPr>
        <xdr:cNvSpPr/>
      </xdr:nvSpPr>
      <xdr:spPr>
        <a:xfrm flipV="1">
          <a:off x="3905250" y="1783080"/>
          <a:ext cx="92075" cy="144145"/>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175260</xdr:colOff>
      <xdr:row>8</xdr:row>
      <xdr:rowOff>30480</xdr:rowOff>
    </xdr:from>
    <xdr:to>
      <xdr:col>9</xdr:col>
      <xdr:colOff>289560</xdr:colOff>
      <xdr:row>8</xdr:row>
      <xdr:rowOff>30480</xdr:rowOff>
    </xdr:to>
    <xdr:sp macro="" textlink="">
      <xdr:nvSpPr>
        <xdr:cNvPr id="1246613" name="Line 91">
          <a:extLst>
            <a:ext uri="{FF2B5EF4-FFF2-40B4-BE49-F238E27FC236}">
              <a16:creationId xmlns:a16="http://schemas.microsoft.com/office/drawing/2014/main" id="{00000000-0008-0000-4E00-000095051300}"/>
            </a:ext>
          </a:extLst>
        </xdr:cNvPr>
        <xdr:cNvSpPr/>
      </xdr:nvSpPr>
      <xdr:spPr>
        <a:xfrm>
          <a:off x="4004310" y="1783080"/>
          <a:ext cx="11430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137160</xdr:colOff>
      <xdr:row>8</xdr:row>
      <xdr:rowOff>45720</xdr:rowOff>
    </xdr:from>
    <xdr:to>
      <xdr:col>5</xdr:col>
      <xdr:colOff>251460</xdr:colOff>
      <xdr:row>8</xdr:row>
      <xdr:rowOff>45720</xdr:rowOff>
    </xdr:to>
    <xdr:sp macro="" textlink="">
      <xdr:nvSpPr>
        <xdr:cNvPr id="1246614" name="Line 92">
          <a:extLst>
            <a:ext uri="{FF2B5EF4-FFF2-40B4-BE49-F238E27FC236}">
              <a16:creationId xmlns:a16="http://schemas.microsoft.com/office/drawing/2014/main" id="{00000000-0008-0000-4E00-000096051300}"/>
            </a:ext>
          </a:extLst>
        </xdr:cNvPr>
        <xdr:cNvSpPr/>
      </xdr:nvSpPr>
      <xdr:spPr>
        <a:xfrm>
          <a:off x="2756535" y="1798320"/>
          <a:ext cx="11430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129540</xdr:colOff>
      <xdr:row>8</xdr:row>
      <xdr:rowOff>38100</xdr:rowOff>
    </xdr:from>
    <xdr:to>
      <xdr:col>5</xdr:col>
      <xdr:colOff>129540</xdr:colOff>
      <xdr:row>10</xdr:row>
      <xdr:rowOff>75565</xdr:rowOff>
    </xdr:to>
    <xdr:sp macro="" textlink="">
      <xdr:nvSpPr>
        <xdr:cNvPr id="1246615" name="Line 93">
          <a:extLst>
            <a:ext uri="{FF2B5EF4-FFF2-40B4-BE49-F238E27FC236}">
              <a16:creationId xmlns:a16="http://schemas.microsoft.com/office/drawing/2014/main" id="{00000000-0008-0000-4E00-000097051300}"/>
            </a:ext>
          </a:extLst>
        </xdr:cNvPr>
        <xdr:cNvSpPr/>
      </xdr:nvSpPr>
      <xdr:spPr>
        <a:xfrm>
          <a:off x="2748915" y="1790700"/>
          <a:ext cx="0" cy="399415"/>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274320</xdr:colOff>
      <xdr:row>8</xdr:row>
      <xdr:rowOff>23495</xdr:rowOff>
    </xdr:from>
    <xdr:to>
      <xdr:col>9</xdr:col>
      <xdr:colOff>274320</xdr:colOff>
      <xdr:row>10</xdr:row>
      <xdr:rowOff>75565</xdr:rowOff>
    </xdr:to>
    <xdr:sp macro="" textlink="">
      <xdr:nvSpPr>
        <xdr:cNvPr id="1246616" name="Line 94">
          <a:extLst>
            <a:ext uri="{FF2B5EF4-FFF2-40B4-BE49-F238E27FC236}">
              <a16:creationId xmlns:a16="http://schemas.microsoft.com/office/drawing/2014/main" id="{00000000-0008-0000-4E00-000098051300}"/>
            </a:ext>
          </a:extLst>
        </xdr:cNvPr>
        <xdr:cNvSpPr/>
      </xdr:nvSpPr>
      <xdr:spPr>
        <a:xfrm>
          <a:off x="4103370" y="1776095"/>
          <a:ext cx="0" cy="41402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121920</xdr:colOff>
      <xdr:row>10</xdr:row>
      <xdr:rowOff>68580</xdr:rowOff>
    </xdr:from>
    <xdr:to>
      <xdr:col>9</xdr:col>
      <xdr:colOff>274320</xdr:colOff>
      <xdr:row>10</xdr:row>
      <xdr:rowOff>68580</xdr:rowOff>
    </xdr:to>
    <xdr:sp macro="" textlink="">
      <xdr:nvSpPr>
        <xdr:cNvPr id="1246617" name="Line 95">
          <a:extLst>
            <a:ext uri="{FF2B5EF4-FFF2-40B4-BE49-F238E27FC236}">
              <a16:creationId xmlns:a16="http://schemas.microsoft.com/office/drawing/2014/main" id="{00000000-0008-0000-4E00-000099051300}"/>
            </a:ext>
          </a:extLst>
        </xdr:cNvPr>
        <xdr:cNvSpPr/>
      </xdr:nvSpPr>
      <xdr:spPr>
        <a:xfrm>
          <a:off x="2741295" y="2183130"/>
          <a:ext cx="136207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5</xdr:col>
      <xdr:colOff>205740</xdr:colOff>
      <xdr:row>7</xdr:row>
      <xdr:rowOff>144780</xdr:rowOff>
    </xdr:from>
    <xdr:to>
      <xdr:col>5</xdr:col>
      <xdr:colOff>205740</xdr:colOff>
      <xdr:row>8</xdr:row>
      <xdr:rowOff>38100</xdr:rowOff>
    </xdr:to>
    <xdr:sp macro="" textlink="">
      <xdr:nvSpPr>
        <xdr:cNvPr id="1246618" name="Line 96">
          <a:extLst>
            <a:ext uri="{FF2B5EF4-FFF2-40B4-BE49-F238E27FC236}">
              <a16:creationId xmlns:a16="http://schemas.microsoft.com/office/drawing/2014/main" id="{00000000-0008-0000-4E00-00009A051300}"/>
            </a:ext>
          </a:extLst>
        </xdr:cNvPr>
        <xdr:cNvSpPr/>
      </xdr:nvSpPr>
      <xdr:spPr>
        <a:xfrm>
          <a:off x="2825115" y="1716405"/>
          <a:ext cx="0" cy="74295"/>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220980</xdr:colOff>
      <xdr:row>7</xdr:row>
      <xdr:rowOff>144780</xdr:rowOff>
    </xdr:from>
    <xdr:to>
      <xdr:col>9</xdr:col>
      <xdr:colOff>220980</xdr:colOff>
      <xdr:row>8</xdr:row>
      <xdr:rowOff>23495</xdr:rowOff>
    </xdr:to>
    <xdr:sp macro="" textlink="">
      <xdr:nvSpPr>
        <xdr:cNvPr id="1246619" name="Line 97">
          <a:extLst>
            <a:ext uri="{FF2B5EF4-FFF2-40B4-BE49-F238E27FC236}">
              <a16:creationId xmlns:a16="http://schemas.microsoft.com/office/drawing/2014/main" id="{00000000-0008-0000-4E00-00009B051300}"/>
            </a:ext>
          </a:extLst>
        </xdr:cNvPr>
        <xdr:cNvSpPr/>
      </xdr:nvSpPr>
      <xdr:spPr>
        <a:xfrm>
          <a:off x="4050030" y="1716405"/>
          <a:ext cx="0" cy="59690"/>
        </a:xfrm>
        <a:prstGeom prst="line">
          <a:avLst/>
        </a:prstGeom>
        <a:ln w="9525" cap="flat" cmpd="sng">
          <a:solidFill>
            <a:srgbClr val="000000"/>
          </a:solidFill>
          <a:prstDash val="solid"/>
          <a:round/>
          <a:headEnd type="none" w="med" len="med"/>
          <a:tailEnd type="none" w="med" len="med"/>
        </a:ln>
      </xdr:spPr>
    </xdr:sp>
    <xdr:clientData/>
  </xdr:twoCellAnchor>
  <xdr:twoCellAnchor>
    <xdr:from>
      <xdr:col>5</xdr:col>
      <xdr:colOff>129540</xdr:colOff>
      <xdr:row>4</xdr:row>
      <xdr:rowOff>122555</xdr:rowOff>
    </xdr:from>
    <xdr:to>
      <xdr:col>9</xdr:col>
      <xdr:colOff>281940</xdr:colOff>
      <xdr:row>5</xdr:row>
      <xdr:rowOff>83820</xdr:rowOff>
    </xdr:to>
    <xdr:sp macro="" textlink="">
      <xdr:nvSpPr>
        <xdr:cNvPr id="1246620" name="FreeForm 98">
          <a:extLst>
            <a:ext uri="{FF2B5EF4-FFF2-40B4-BE49-F238E27FC236}">
              <a16:creationId xmlns:a16="http://schemas.microsoft.com/office/drawing/2014/main" id="{00000000-0008-0000-4E00-00009C051300}"/>
            </a:ext>
          </a:extLst>
        </xdr:cNvPr>
        <xdr:cNvSpPr/>
      </xdr:nvSpPr>
      <xdr:spPr>
        <a:xfrm>
          <a:off x="2748915" y="1151255"/>
          <a:ext cx="1362075" cy="142240"/>
        </a:xfrm>
        <a:custGeom>
          <a:avLst/>
          <a:gdLst/>
          <a:ahLst/>
          <a:cxnLst>
            <a:cxn ang="0">
              <a:pos x="0" y="8"/>
            </a:cxn>
            <a:cxn ang="0">
              <a:pos x="6" y="7"/>
            </a:cxn>
            <a:cxn ang="0">
              <a:pos x="26" y="2"/>
            </a:cxn>
            <a:cxn ang="0">
              <a:pos x="55" y="16"/>
            </a:cxn>
            <a:cxn ang="0">
              <a:pos x="80" y="17"/>
            </a:cxn>
            <a:cxn ang="0">
              <a:pos x="99" y="9"/>
            </a:cxn>
            <a:cxn ang="0">
              <a:pos x="117" y="6"/>
            </a:cxn>
            <a:cxn ang="0">
              <a:pos x="136" y="13"/>
            </a:cxn>
            <a:cxn ang="0">
              <a:pos x="157" y="8"/>
            </a:cxn>
          </a:cxnLst>
          <a:rect l="0" t="0" r="0" b="0"/>
          <a:pathLst>
            <a:path w="157" h="18">
              <a:moveTo>
                <a:pt x="0" y="8"/>
              </a:moveTo>
              <a:cubicBezTo>
                <a:pt x="1" y="8"/>
                <a:pt x="2" y="8"/>
                <a:pt x="6" y="7"/>
              </a:cubicBezTo>
              <a:cubicBezTo>
                <a:pt x="10" y="6"/>
                <a:pt x="18" y="0"/>
                <a:pt x="26" y="2"/>
              </a:cubicBezTo>
              <a:cubicBezTo>
                <a:pt x="34" y="4"/>
                <a:pt x="46" y="14"/>
                <a:pt x="55" y="16"/>
              </a:cubicBezTo>
              <a:cubicBezTo>
                <a:pt x="64" y="18"/>
                <a:pt x="73" y="18"/>
                <a:pt x="80" y="17"/>
              </a:cubicBezTo>
              <a:cubicBezTo>
                <a:pt x="87" y="16"/>
                <a:pt x="93" y="11"/>
                <a:pt x="99" y="9"/>
              </a:cubicBezTo>
              <a:cubicBezTo>
                <a:pt x="105" y="7"/>
                <a:pt x="111" y="5"/>
                <a:pt x="117" y="6"/>
              </a:cubicBezTo>
              <a:cubicBezTo>
                <a:pt x="123" y="7"/>
                <a:pt x="129" y="13"/>
                <a:pt x="136" y="13"/>
              </a:cubicBezTo>
              <a:cubicBezTo>
                <a:pt x="143" y="13"/>
                <a:pt x="154" y="9"/>
                <a:pt x="157" y="8"/>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14</xdr:col>
      <xdr:colOff>236220</xdr:colOff>
      <xdr:row>7</xdr:row>
      <xdr:rowOff>114300</xdr:rowOff>
    </xdr:from>
    <xdr:to>
      <xdr:col>15</xdr:col>
      <xdr:colOff>45720</xdr:colOff>
      <xdr:row>8</xdr:row>
      <xdr:rowOff>152400</xdr:rowOff>
    </xdr:to>
    <xdr:sp macro="" textlink="">
      <xdr:nvSpPr>
        <xdr:cNvPr id="1246621" name="Arc 100">
          <a:extLst>
            <a:ext uri="{FF2B5EF4-FFF2-40B4-BE49-F238E27FC236}">
              <a16:creationId xmlns:a16="http://schemas.microsoft.com/office/drawing/2014/main" id="{00000000-0008-0000-4E00-00009D051300}"/>
            </a:ext>
          </a:extLst>
        </xdr:cNvPr>
        <xdr:cNvSpPr/>
      </xdr:nvSpPr>
      <xdr:spPr>
        <a:xfrm flipV="1">
          <a:off x="6522720" y="1685925"/>
          <a:ext cx="133350" cy="219075"/>
        </a:xfrm>
        <a:custGeom>
          <a:avLst/>
          <a:gdLst/>
          <a:ahLst/>
          <a:cxnLst>
            <a:cxn ang="0">
              <a:pos x="19828" y="0"/>
            </a:cxn>
            <a:cxn ang="0">
              <a:pos x="21599" y="8566"/>
            </a:cxn>
            <a:cxn ang="0">
              <a:pos x="17128" y="21727"/>
            </a:cxn>
            <a:cxn ang="0">
              <a:pos x="19828" y="0"/>
            </a:cxn>
            <a:cxn ang="0">
              <a:pos x="21599" y="8566"/>
            </a:cxn>
            <a:cxn ang="0">
              <a:pos x="17128" y="21727"/>
            </a:cxn>
            <a:cxn ang="0">
              <a:pos x="0" y="8566"/>
            </a:cxn>
          </a:cxnLst>
          <a:rect l="0" t="0" r="0" b="0"/>
          <a:pathLst>
            <a:path w="21600" h="21727" fill="none">
              <a:moveTo>
                <a:pt x="19828" y="0"/>
              </a:moveTo>
              <a:cubicBezTo>
                <a:pt x="20969" y="2623"/>
                <a:pt x="21599" y="5521"/>
                <a:pt x="21599" y="8566"/>
              </a:cubicBezTo>
              <a:cubicBezTo>
                <a:pt x="21599" y="13520"/>
                <a:pt x="19932" y="18084"/>
                <a:pt x="17128" y="21727"/>
              </a:cubicBezTo>
            </a:path>
            <a:path w="21600" h="21727" stroke="0">
              <a:moveTo>
                <a:pt x="19828" y="0"/>
              </a:moveTo>
              <a:cubicBezTo>
                <a:pt x="20969" y="2623"/>
                <a:pt x="21599" y="5521"/>
                <a:pt x="21599" y="8566"/>
              </a:cubicBezTo>
              <a:cubicBezTo>
                <a:pt x="21599" y="13520"/>
                <a:pt x="19932" y="18084"/>
                <a:pt x="17128" y="21727"/>
              </a:cubicBezTo>
              <a:lnTo>
                <a:pt x="0" y="8566"/>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12</xdr:col>
      <xdr:colOff>45720</xdr:colOff>
      <xdr:row>7</xdr:row>
      <xdr:rowOff>114300</xdr:rowOff>
    </xdr:from>
    <xdr:to>
      <xdr:col>12</xdr:col>
      <xdr:colOff>152400</xdr:colOff>
      <xdr:row>8</xdr:row>
      <xdr:rowOff>160020</xdr:rowOff>
    </xdr:to>
    <xdr:sp macro="" textlink="">
      <xdr:nvSpPr>
        <xdr:cNvPr id="1246622" name="Arc 101">
          <a:extLst>
            <a:ext uri="{FF2B5EF4-FFF2-40B4-BE49-F238E27FC236}">
              <a16:creationId xmlns:a16="http://schemas.microsoft.com/office/drawing/2014/main" id="{00000000-0008-0000-4E00-00009E051300}"/>
            </a:ext>
          </a:extLst>
        </xdr:cNvPr>
        <xdr:cNvSpPr/>
      </xdr:nvSpPr>
      <xdr:spPr>
        <a:xfrm flipH="1">
          <a:off x="5160645" y="1685925"/>
          <a:ext cx="106680" cy="226695"/>
        </a:xfrm>
        <a:custGeom>
          <a:avLst/>
          <a:gdLst/>
          <a:ahLst/>
          <a:cxnLst>
            <a:cxn ang="0">
              <a:pos x="16035" y="0"/>
            </a:cxn>
            <a:cxn ang="0">
              <a:pos x="21600" y="14471"/>
            </a:cxn>
            <a:cxn ang="0">
              <a:pos x="20148" y="22272"/>
            </a:cxn>
            <a:cxn ang="0">
              <a:pos x="16035" y="0"/>
            </a:cxn>
            <a:cxn ang="0">
              <a:pos x="21600" y="14471"/>
            </a:cxn>
            <a:cxn ang="0">
              <a:pos x="20148" y="22272"/>
            </a:cxn>
            <a:cxn ang="0">
              <a:pos x="0" y="14471"/>
            </a:cxn>
          </a:cxnLst>
          <a:rect l="0" t="0" r="0" b="0"/>
          <a:pathLst>
            <a:path w="21600" h="22267" fill="none">
              <a:moveTo>
                <a:pt x="16035" y="0"/>
              </a:moveTo>
              <a:cubicBezTo>
                <a:pt x="19494" y="3829"/>
                <a:pt x="21600" y="8904"/>
                <a:pt x="21600" y="14471"/>
              </a:cubicBezTo>
              <a:cubicBezTo>
                <a:pt x="21600" y="17223"/>
                <a:pt x="21085" y="19855"/>
                <a:pt x="20148" y="22272"/>
              </a:cubicBezTo>
            </a:path>
            <a:path w="21600" h="22267" stroke="0">
              <a:moveTo>
                <a:pt x="16035" y="0"/>
              </a:moveTo>
              <a:cubicBezTo>
                <a:pt x="19494" y="3829"/>
                <a:pt x="21600" y="8904"/>
                <a:pt x="21600" y="14471"/>
              </a:cubicBezTo>
              <a:cubicBezTo>
                <a:pt x="21600" y="17223"/>
                <a:pt x="21085" y="19855"/>
                <a:pt x="20148" y="22272"/>
              </a:cubicBezTo>
              <a:lnTo>
                <a:pt x="0" y="14471"/>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17</xdr:col>
      <xdr:colOff>45720</xdr:colOff>
      <xdr:row>8</xdr:row>
      <xdr:rowOff>152400</xdr:rowOff>
    </xdr:from>
    <xdr:to>
      <xdr:col>20</xdr:col>
      <xdr:colOff>68580</xdr:colOff>
      <xdr:row>10</xdr:row>
      <xdr:rowOff>122555</xdr:rowOff>
    </xdr:to>
    <xdr:sp macro="" textlink="">
      <xdr:nvSpPr>
        <xdr:cNvPr id="1246623" name="Rectangle 109">
          <a:extLst>
            <a:ext uri="{FF2B5EF4-FFF2-40B4-BE49-F238E27FC236}">
              <a16:creationId xmlns:a16="http://schemas.microsoft.com/office/drawing/2014/main" id="{00000000-0008-0000-4E00-00009F051300}"/>
            </a:ext>
          </a:extLst>
        </xdr:cNvPr>
        <xdr:cNvSpPr/>
      </xdr:nvSpPr>
      <xdr:spPr>
        <a:xfrm>
          <a:off x="7237095" y="1905000"/>
          <a:ext cx="1537335" cy="332105"/>
        </a:xfrm>
        <a:prstGeom prst="rect">
          <a:avLst/>
        </a:prstGeom>
        <a:noFill/>
        <a:ln w="15875" cap="flat" cmpd="sng">
          <a:solidFill>
            <a:srgbClr val="000000"/>
          </a:solidFill>
          <a:prstDash val="solid"/>
          <a:miter/>
          <a:headEnd type="none" w="med" len="med"/>
          <a:tailEnd type="none" w="med" len="med"/>
        </a:ln>
      </xdr:spPr>
    </xdr:sp>
    <xdr:clientData/>
  </xdr:twoCellAnchor>
  <xdr:twoCellAnchor>
    <xdr:from>
      <xdr:col>19</xdr:col>
      <xdr:colOff>99060</xdr:colOff>
      <xdr:row>6</xdr:row>
      <xdr:rowOff>122555</xdr:rowOff>
    </xdr:from>
    <xdr:to>
      <xdr:col>20</xdr:col>
      <xdr:colOff>68580</xdr:colOff>
      <xdr:row>8</xdr:row>
      <xdr:rowOff>144780</xdr:rowOff>
    </xdr:to>
    <xdr:sp macro="" textlink="">
      <xdr:nvSpPr>
        <xdr:cNvPr id="1246624" name="Rectangle 111">
          <a:extLst>
            <a:ext uri="{FF2B5EF4-FFF2-40B4-BE49-F238E27FC236}">
              <a16:creationId xmlns:a16="http://schemas.microsoft.com/office/drawing/2014/main" id="{00000000-0008-0000-4E00-0000A0051300}"/>
            </a:ext>
          </a:extLst>
        </xdr:cNvPr>
        <xdr:cNvSpPr/>
      </xdr:nvSpPr>
      <xdr:spPr>
        <a:xfrm>
          <a:off x="8300085" y="1513205"/>
          <a:ext cx="474345" cy="384175"/>
        </a:xfrm>
        <a:prstGeom prst="rect">
          <a:avLst/>
        </a:prstGeom>
        <a:noFill/>
        <a:ln w="15875" cap="flat" cmpd="sng">
          <a:solidFill>
            <a:srgbClr val="000000"/>
          </a:solidFill>
          <a:prstDash val="solid"/>
          <a:miter/>
          <a:headEnd type="none" w="med" len="med"/>
          <a:tailEnd type="none" w="med" len="med"/>
        </a:ln>
      </xdr:spPr>
    </xdr:sp>
    <xdr:clientData/>
  </xdr:twoCellAnchor>
  <xdr:twoCellAnchor>
    <xdr:from>
      <xdr:col>17</xdr:col>
      <xdr:colOff>45720</xdr:colOff>
      <xdr:row>6</xdr:row>
      <xdr:rowOff>122555</xdr:rowOff>
    </xdr:from>
    <xdr:to>
      <xdr:col>18</xdr:col>
      <xdr:colOff>7620</xdr:colOff>
      <xdr:row>8</xdr:row>
      <xdr:rowOff>144780</xdr:rowOff>
    </xdr:to>
    <xdr:sp macro="" textlink="">
      <xdr:nvSpPr>
        <xdr:cNvPr id="1246625" name="Rectangle 113">
          <a:extLst>
            <a:ext uri="{FF2B5EF4-FFF2-40B4-BE49-F238E27FC236}">
              <a16:creationId xmlns:a16="http://schemas.microsoft.com/office/drawing/2014/main" id="{00000000-0008-0000-4E00-0000A1051300}"/>
            </a:ext>
          </a:extLst>
        </xdr:cNvPr>
        <xdr:cNvSpPr/>
      </xdr:nvSpPr>
      <xdr:spPr>
        <a:xfrm>
          <a:off x="7237095" y="1513205"/>
          <a:ext cx="466725" cy="384175"/>
        </a:xfrm>
        <a:prstGeom prst="rect">
          <a:avLst/>
        </a:prstGeom>
        <a:noFill/>
        <a:ln w="15875" cap="flat" cmpd="sng">
          <a:solidFill>
            <a:srgbClr val="000000"/>
          </a:solidFill>
          <a:prstDash val="solid"/>
          <a:miter/>
          <a:headEnd type="none" w="med" len="med"/>
          <a:tailEnd type="none" w="med" len="med"/>
        </a:ln>
      </xdr:spPr>
    </xdr:sp>
    <xdr:clientData/>
  </xdr:twoCellAnchor>
  <xdr:twoCellAnchor>
    <xdr:from>
      <xdr:col>18</xdr:col>
      <xdr:colOff>15240</xdr:colOff>
      <xdr:row>3</xdr:row>
      <xdr:rowOff>328295</xdr:rowOff>
    </xdr:from>
    <xdr:to>
      <xdr:col>18</xdr:col>
      <xdr:colOff>15240</xdr:colOff>
      <xdr:row>7</xdr:row>
      <xdr:rowOff>7620</xdr:rowOff>
    </xdr:to>
    <xdr:sp macro="" textlink="">
      <xdr:nvSpPr>
        <xdr:cNvPr id="1246626" name="Line 114">
          <a:extLst>
            <a:ext uri="{FF2B5EF4-FFF2-40B4-BE49-F238E27FC236}">
              <a16:creationId xmlns:a16="http://schemas.microsoft.com/office/drawing/2014/main" id="{00000000-0008-0000-4E00-0000A2051300}"/>
            </a:ext>
          </a:extLst>
        </xdr:cNvPr>
        <xdr:cNvSpPr/>
      </xdr:nvSpPr>
      <xdr:spPr>
        <a:xfrm flipV="1">
          <a:off x="7711440" y="1023620"/>
          <a:ext cx="0" cy="555625"/>
        </a:xfrm>
        <a:prstGeom prst="line">
          <a:avLst/>
        </a:prstGeom>
        <a:ln w="15875" cap="flat" cmpd="sng">
          <a:solidFill>
            <a:srgbClr val="000000"/>
          </a:solidFill>
          <a:prstDash val="solid"/>
          <a:round/>
          <a:headEnd type="none" w="med" len="med"/>
          <a:tailEnd type="none" w="med" len="med"/>
        </a:ln>
      </xdr:spPr>
    </xdr:sp>
    <xdr:clientData/>
  </xdr:twoCellAnchor>
  <xdr:twoCellAnchor>
    <xdr:from>
      <xdr:col>19</xdr:col>
      <xdr:colOff>91440</xdr:colOff>
      <xdr:row>3</xdr:row>
      <xdr:rowOff>297180</xdr:rowOff>
    </xdr:from>
    <xdr:to>
      <xdr:col>19</xdr:col>
      <xdr:colOff>91440</xdr:colOff>
      <xdr:row>7</xdr:row>
      <xdr:rowOff>0</xdr:rowOff>
    </xdr:to>
    <xdr:sp macro="" textlink="">
      <xdr:nvSpPr>
        <xdr:cNvPr id="1246627" name="Line 115">
          <a:extLst>
            <a:ext uri="{FF2B5EF4-FFF2-40B4-BE49-F238E27FC236}">
              <a16:creationId xmlns:a16="http://schemas.microsoft.com/office/drawing/2014/main" id="{00000000-0008-0000-4E00-0000A3051300}"/>
            </a:ext>
          </a:extLst>
        </xdr:cNvPr>
        <xdr:cNvSpPr/>
      </xdr:nvSpPr>
      <xdr:spPr>
        <a:xfrm flipV="1">
          <a:off x="8292465" y="992505"/>
          <a:ext cx="0" cy="57912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15240</xdr:colOff>
      <xdr:row>8</xdr:row>
      <xdr:rowOff>144780</xdr:rowOff>
    </xdr:from>
    <xdr:to>
      <xdr:col>19</xdr:col>
      <xdr:colOff>91440</xdr:colOff>
      <xdr:row>8</xdr:row>
      <xdr:rowOff>144780</xdr:rowOff>
    </xdr:to>
    <xdr:sp macro="" textlink="">
      <xdr:nvSpPr>
        <xdr:cNvPr id="1246628" name="Line 116">
          <a:extLst>
            <a:ext uri="{FF2B5EF4-FFF2-40B4-BE49-F238E27FC236}">
              <a16:creationId xmlns:a16="http://schemas.microsoft.com/office/drawing/2014/main" id="{00000000-0008-0000-4E00-0000A4051300}"/>
            </a:ext>
          </a:extLst>
        </xdr:cNvPr>
        <xdr:cNvSpPr/>
      </xdr:nvSpPr>
      <xdr:spPr>
        <a:xfrm>
          <a:off x="7711440" y="1897380"/>
          <a:ext cx="58102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15240</xdr:colOff>
      <xdr:row>7</xdr:row>
      <xdr:rowOff>167640</xdr:rowOff>
    </xdr:from>
    <xdr:to>
      <xdr:col>18</xdr:col>
      <xdr:colOff>15240</xdr:colOff>
      <xdr:row>8</xdr:row>
      <xdr:rowOff>152400</xdr:rowOff>
    </xdr:to>
    <xdr:sp macro="" textlink="">
      <xdr:nvSpPr>
        <xdr:cNvPr id="1246629" name="Line 117">
          <a:extLst>
            <a:ext uri="{FF2B5EF4-FFF2-40B4-BE49-F238E27FC236}">
              <a16:creationId xmlns:a16="http://schemas.microsoft.com/office/drawing/2014/main" id="{00000000-0008-0000-4E00-0000A5051300}"/>
            </a:ext>
          </a:extLst>
        </xdr:cNvPr>
        <xdr:cNvSpPr/>
      </xdr:nvSpPr>
      <xdr:spPr>
        <a:xfrm flipV="1">
          <a:off x="7711440" y="1739265"/>
          <a:ext cx="0" cy="165735"/>
        </a:xfrm>
        <a:prstGeom prst="line">
          <a:avLst/>
        </a:prstGeom>
        <a:ln w="15875" cap="flat" cmpd="sng">
          <a:solidFill>
            <a:srgbClr val="000000"/>
          </a:solidFill>
          <a:prstDash val="solid"/>
          <a:round/>
          <a:headEnd type="none" w="med" len="med"/>
          <a:tailEnd type="none" w="med" len="med"/>
        </a:ln>
      </xdr:spPr>
    </xdr:sp>
    <xdr:clientData/>
  </xdr:twoCellAnchor>
  <xdr:twoCellAnchor>
    <xdr:from>
      <xdr:col>19</xdr:col>
      <xdr:colOff>91440</xdr:colOff>
      <xdr:row>7</xdr:row>
      <xdr:rowOff>167640</xdr:rowOff>
    </xdr:from>
    <xdr:to>
      <xdr:col>19</xdr:col>
      <xdr:colOff>91440</xdr:colOff>
      <xdr:row>8</xdr:row>
      <xdr:rowOff>152400</xdr:rowOff>
    </xdr:to>
    <xdr:sp macro="" textlink="">
      <xdr:nvSpPr>
        <xdr:cNvPr id="1246630" name="Line 118">
          <a:extLst>
            <a:ext uri="{FF2B5EF4-FFF2-40B4-BE49-F238E27FC236}">
              <a16:creationId xmlns:a16="http://schemas.microsoft.com/office/drawing/2014/main" id="{00000000-0008-0000-4E00-0000A6051300}"/>
            </a:ext>
          </a:extLst>
        </xdr:cNvPr>
        <xdr:cNvSpPr/>
      </xdr:nvSpPr>
      <xdr:spPr>
        <a:xfrm flipV="1">
          <a:off x="8292465" y="1739265"/>
          <a:ext cx="0" cy="165735"/>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15240</xdr:colOff>
      <xdr:row>7</xdr:row>
      <xdr:rowOff>167640</xdr:rowOff>
    </xdr:from>
    <xdr:to>
      <xdr:col>18</xdr:col>
      <xdr:colOff>91440</xdr:colOff>
      <xdr:row>7</xdr:row>
      <xdr:rowOff>167640</xdr:rowOff>
    </xdr:to>
    <xdr:sp macro="" textlink="">
      <xdr:nvSpPr>
        <xdr:cNvPr id="1246631" name="Line 120">
          <a:extLst>
            <a:ext uri="{FF2B5EF4-FFF2-40B4-BE49-F238E27FC236}">
              <a16:creationId xmlns:a16="http://schemas.microsoft.com/office/drawing/2014/main" id="{00000000-0008-0000-4E00-0000A7051300}"/>
            </a:ext>
          </a:extLst>
        </xdr:cNvPr>
        <xdr:cNvSpPr/>
      </xdr:nvSpPr>
      <xdr:spPr>
        <a:xfrm>
          <a:off x="7711440" y="1739265"/>
          <a:ext cx="7620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83820</xdr:colOff>
      <xdr:row>7</xdr:row>
      <xdr:rowOff>122555</xdr:rowOff>
    </xdr:from>
    <xdr:to>
      <xdr:col>18</xdr:col>
      <xdr:colOff>144780</xdr:colOff>
      <xdr:row>7</xdr:row>
      <xdr:rowOff>167640</xdr:rowOff>
    </xdr:to>
    <xdr:sp macro="" textlink="">
      <xdr:nvSpPr>
        <xdr:cNvPr id="1246632" name="Line 121">
          <a:extLst>
            <a:ext uri="{FF2B5EF4-FFF2-40B4-BE49-F238E27FC236}">
              <a16:creationId xmlns:a16="http://schemas.microsoft.com/office/drawing/2014/main" id="{00000000-0008-0000-4E00-0000A8051300}"/>
            </a:ext>
          </a:extLst>
        </xdr:cNvPr>
        <xdr:cNvSpPr/>
      </xdr:nvSpPr>
      <xdr:spPr>
        <a:xfrm flipV="1">
          <a:off x="7780020" y="1694180"/>
          <a:ext cx="60960" cy="450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137160</xdr:colOff>
      <xdr:row>7</xdr:row>
      <xdr:rowOff>122555</xdr:rowOff>
    </xdr:from>
    <xdr:to>
      <xdr:col>18</xdr:col>
      <xdr:colOff>220980</xdr:colOff>
      <xdr:row>7</xdr:row>
      <xdr:rowOff>122555</xdr:rowOff>
    </xdr:to>
    <xdr:sp macro="" textlink="">
      <xdr:nvSpPr>
        <xdr:cNvPr id="1246633" name="Line 122">
          <a:extLst>
            <a:ext uri="{FF2B5EF4-FFF2-40B4-BE49-F238E27FC236}">
              <a16:creationId xmlns:a16="http://schemas.microsoft.com/office/drawing/2014/main" id="{00000000-0008-0000-4E00-0000A9051300}"/>
            </a:ext>
          </a:extLst>
        </xdr:cNvPr>
        <xdr:cNvSpPr/>
      </xdr:nvSpPr>
      <xdr:spPr>
        <a:xfrm>
          <a:off x="7833360" y="1694180"/>
          <a:ext cx="838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220980</xdr:colOff>
      <xdr:row>7</xdr:row>
      <xdr:rowOff>122555</xdr:rowOff>
    </xdr:from>
    <xdr:to>
      <xdr:col>18</xdr:col>
      <xdr:colOff>281940</xdr:colOff>
      <xdr:row>7</xdr:row>
      <xdr:rowOff>167640</xdr:rowOff>
    </xdr:to>
    <xdr:sp macro="" textlink="">
      <xdr:nvSpPr>
        <xdr:cNvPr id="1246634" name="Line 123">
          <a:extLst>
            <a:ext uri="{FF2B5EF4-FFF2-40B4-BE49-F238E27FC236}">
              <a16:creationId xmlns:a16="http://schemas.microsoft.com/office/drawing/2014/main" id="{00000000-0008-0000-4E00-0000AA051300}"/>
            </a:ext>
          </a:extLst>
        </xdr:cNvPr>
        <xdr:cNvSpPr/>
      </xdr:nvSpPr>
      <xdr:spPr>
        <a:xfrm>
          <a:off x="7917180" y="1694180"/>
          <a:ext cx="60960" cy="450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274320</xdr:colOff>
      <xdr:row>7</xdr:row>
      <xdr:rowOff>167640</xdr:rowOff>
    </xdr:from>
    <xdr:to>
      <xdr:col>18</xdr:col>
      <xdr:colOff>411480</xdr:colOff>
      <xdr:row>7</xdr:row>
      <xdr:rowOff>167640</xdr:rowOff>
    </xdr:to>
    <xdr:sp macro="" textlink="">
      <xdr:nvSpPr>
        <xdr:cNvPr id="1246635" name="Line 124">
          <a:extLst>
            <a:ext uri="{FF2B5EF4-FFF2-40B4-BE49-F238E27FC236}">
              <a16:creationId xmlns:a16="http://schemas.microsoft.com/office/drawing/2014/main" id="{00000000-0008-0000-4E00-0000AB051300}"/>
            </a:ext>
          </a:extLst>
        </xdr:cNvPr>
        <xdr:cNvSpPr/>
      </xdr:nvSpPr>
      <xdr:spPr>
        <a:xfrm>
          <a:off x="7970520" y="1739265"/>
          <a:ext cx="13716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403860</xdr:colOff>
      <xdr:row>7</xdr:row>
      <xdr:rowOff>122555</xdr:rowOff>
    </xdr:from>
    <xdr:to>
      <xdr:col>18</xdr:col>
      <xdr:colOff>449580</xdr:colOff>
      <xdr:row>7</xdr:row>
      <xdr:rowOff>175895</xdr:rowOff>
    </xdr:to>
    <xdr:sp macro="" textlink="">
      <xdr:nvSpPr>
        <xdr:cNvPr id="1246636" name="Line 125">
          <a:extLst>
            <a:ext uri="{FF2B5EF4-FFF2-40B4-BE49-F238E27FC236}">
              <a16:creationId xmlns:a16="http://schemas.microsoft.com/office/drawing/2014/main" id="{00000000-0008-0000-4E00-0000AC051300}"/>
            </a:ext>
          </a:extLst>
        </xdr:cNvPr>
        <xdr:cNvSpPr/>
      </xdr:nvSpPr>
      <xdr:spPr>
        <a:xfrm flipV="1">
          <a:off x="8100060" y="1694180"/>
          <a:ext cx="45720" cy="533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441960</xdr:colOff>
      <xdr:row>7</xdr:row>
      <xdr:rowOff>122555</xdr:rowOff>
    </xdr:from>
    <xdr:to>
      <xdr:col>19</xdr:col>
      <xdr:colOff>0</xdr:colOff>
      <xdr:row>7</xdr:row>
      <xdr:rowOff>122555</xdr:rowOff>
    </xdr:to>
    <xdr:sp macro="" textlink="">
      <xdr:nvSpPr>
        <xdr:cNvPr id="1246637" name="Line 127">
          <a:extLst>
            <a:ext uri="{FF2B5EF4-FFF2-40B4-BE49-F238E27FC236}">
              <a16:creationId xmlns:a16="http://schemas.microsoft.com/office/drawing/2014/main" id="{00000000-0008-0000-4E00-0000AD051300}"/>
            </a:ext>
          </a:extLst>
        </xdr:cNvPr>
        <xdr:cNvSpPr/>
      </xdr:nvSpPr>
      <xdr:spPr>
        <a:xfrm>
          <a:off x="8138160" y="1694180"/>
          <a:ext cx="6286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502920</xdr:colOff>
      <xdr:row>7</xdr:row>
      <xdr:rowOff>122555</xdr:rowOff>
    </xdr:from>
    <xdr:to>
      <xdr:col>19</xdr:col>
      <xdr:colOff>15240</xdr:colOff>
      <xdr:row>7</xdr:row>
      <xdr:rowOff>182880</xdr:rowOff>
    </xdr:to>
    <xdr:sp macro="" textlink="">
      <xdr:nvSpPr>
        <xdr:cNvPr id="1246638" name="Line 128">
          <a:extLst>
            <a:ext uri="{FF2B5EF4-FFF2-40B4-BE49-F238E27FC236}">
              <a16:creationId xmlns:a16="http://schemas.microsoft.com/office/drawing/2014/main" id="{00000000-0008-0000-4E00-0000AE051300}"/>
            </a:ext>
          </a:extLst>
        </xdr:cNvPr>
        <xdr:cNvSpPr/>
      </xdr:nvSpPr>
      <xdr:spPr>
        <a:xfrm>
          <a:off x="8199120" y="1694180"/>
          <a:ext cx="17145" cy="58420"/>
        </a:xfrm>
        <a:prstGeom prst="line">
          <a:avLst/>
        </a:prstGeom>
        <a:ln w="15875" cap="flat" cmpd="sng">
          <a:solidFill>
            <a:srgbClr val="000000"/>
          </a:solidFill>
          <a:prstDash val="solid"/>
          <a:round/>
          <a:headEnd type="none" w="med" len="med"/>
          <a:tailEnd type="none" w="med" len="med"/>
        </a:ln>
      </xdr:spPr>
    </xdr:sp>
    <xdr:clientData/>
  </xdr:twoCellAnchor>
  <xdr:twoCellAnchor>
    <xdr:from>
      <xdr:col>19</xdr:col>
      <xdr:colOff>7620</xdr:colOff>
      <xdr:row>7</xdr:row>
      <xdr:rowOff>167640</xdr:rowOff>
    </xdr:from>
    <xdr:to>
      <xdr:col>19</xdr:col>
      <xdr:colOff>99060</xdr:colOff>
      <xdr:row>7</xdr:row>
      <xdr:rowOff>167640</xdr:rowOff>
    </xdr:to>
    <xdr:sp macro="" textlink="">
      <xdr:nvSpPr>
        <xdr:cNvPr id="1246639" name="Line 129">
          <a:extLst>
            <a:ext uri="{FF2B5EF4-FFF2-40B4-BE49-F238E27FC236}">
              <a16:creationId xmlns:a16="http://schemas.microsoft.com/office/drawing/2014/main" id="{00000000-0008-0000-4E00-0000AF051300}"/>
            </a:ext>
          </a:extLst>
        </xdr:cNvPr>
        <xdr:cNvSpPr/>
      </xdr:nvSpPr>
      <xdr:spPr>
        <a:xfrm>
          <a:off x="8208645" y="1739265"/>
          <a:ext cx="9144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15240</xdr:colOff>
      <xdr:row>7</xdr:row>
      <xdr:rowOff>7620</xdr:rowOff>
    </xdr:from>
    <xdr:to>
      <xdr:col>18</xdr:col>
      <xdr:colOff>83820</xdr:colOff>
      <xdr:row>7</xdr:row>
      <xdr:rowOff>7620</xdr:rowOff>
    </xdr:to>
    <xdr:sp macro="" textlink="">
      <xdr:nvSpPr>
        <xdr:cNvPr id="1246640" name="Line 132">
          <a:extLst>
            <a:ext uri="{FF2B5EF4-FFF2-40B4-BE49-F238E27FC236}">
              <a16:creationId xmlns:a16="http://schemas.microsoft.com/office/drawing/2014/main" id="{00000000-0008-0000-4E00-0000B0051300}"/>
            </a:ext>
          </a:extLst>
        </xdr:cNvPr>
        <xdr:cNvSpPr/>
      </xdr:nvSpPr>
      <xdr:spPr>
        <a:xfrm>
          <a:off x="7711440" y="1579245"/>
          <a:ext cx="6858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76200</xdr:colOff>
      <xdr:row>7</xdr:row>
      <xdr:rowOff>0</xdr:rowOff>
    </xdr:from>
    <xdr:to>
      <xdr:col>18</xdr:col>
      <xdr:colOff>137160</xdr:colOff>
      <xdr:row>7</xdr:row>
      <xdr:rowOff>45720</xdr:rowOff>
    </xdr:to>
    <xdr:sp macro="" textlink="">
      <xdr:nvSpPr>
        <xdr:cNvPr id="1246641" name="Line 133">
          <a:extLst>
            <a:ext uri="{FF2B5EF4-FFF2-40B4-BE49-F238E27FC236}">
              <a16:creationId xmlns:a16="http://schemas.microsoft.com/office/drawing/2014/main" id="{00000000-0008-0000-4E00-0000B1051300}"/>
            </a:ext>
          </a:extLst>
        </xdr:cNvPr>
        <xdr:cNvSpPr/>
      </xdr:nvSpPr>
      <xdr:spPr>
        <a:xfrm>
          <a:off x="7772400" y="1571625"/>
          <a:ext cx="60960" cy="4572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137160</xdr:colOff>
      <xdr:row>7</xdr:row>
      <xdr:rowOff>45720</xdr:rowOff>
    </xdr:from>
    <xdr:to>
      <xdr:col>18</xdr:col>
      <xdr:colOff>220980</xdr:colOff>
      <xdr:row>7</xdr:row>
      <xdr:rowOff>45720</xdr:rowOff>
    </xdr:to>
    <xdr:sp macro="" textlink="">
      <xdr:nvSpPr>
        <xdr:cNvPr id="1246642" name="Line 134">
          <a:extLst>
            <a:ext uri="{FF2B5EF4-FFF2-40B4-BE49-F238E27FC236}">
              <a16:creationId xmlns:a16="http://schemas.microsoft.com/office/drawing/2014/main" id="{00000000-0008-0000-4E00-0000B2051300}"/>
            </a:ext>
          </a:extLst>
        </xdr:cNvPr>
        <xdr:cNvSpPr/>
      </xdr:nvSpPr>
      <xdr:spPr>
        <a:xfrm>
          <a:off x="7833360" y="1617345"/>
          <a:ext cx="838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213360</xdr:colOff>
      <xdr:row>7</xdr:row>
      <xdr:rowOff>0</xdr:rowOff>
    </xdr:from>
    <xdr:to>
      <xdr:col>18</xdr:col>
      <xdr:colOff>266700</xdr:colOff>
      <xdr:row>7</xdr:row>
      <xdr:rowOff>53340</xdr:rowOff>
    </xdr:to>
    <xdr:sp macro="" textlink="">
      <xdr:nvSpPr>
        <xdr:cNvPr id="1246643" name="Line 135">
          <a:extLst>
            <a:ext uri="{FF2B5EF4-FFF2-40B4-BE49-F238E27FC236}">
              <a16:creationId xmlns:a16="http://schemas.microsoft.com/office/drawing/2014/main" id="{00000000-0008-0000-4E00-0000B3051300}"/>
            </a:ext>
          </a:extLst>
        </xdr:cNvPr>
        <xdr:cNvSpPr/>
      </xdr:nvSpPr>
      <xdr:spPr>
        <a:xfrm flipV="1">
          <a:off x="7909560" y="1571625"/>
          <a:ext cx="53340" cy="533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266700</xdr:colOff>
      <xdr:row>7</xdr:row>
      <xdr:rowOff>0</xdr:rowOff>
    </xdr:from>
    <xdr:to>
      <xdr:col>18</xdr:col>
      <xdr:colOff>403860</xdr:colOff>
      <xdr:row>7</xdr:row>
      <xdr:rowOff>0</xdr:rowOff>
    </xdr:to>
    <xdr:sp macro="" textlink="">
      <xdr:nvSpPr>
        <xdr:cNvPr id="1246644" name="Line 136">
          <a:extLst>
            <a:ext uri="{FF2B5EF4-FFF2-40B4-BE49-F238E27FC236}">
              <a16:creationId xmlns:a16="http://schemas.microsoft.com/office/drawing/2014/main" id="{00000000-0008-0000-4E00-0000B4051300}"/>
            </a:ext>
          </a:extLst>
        </xdr:cNvPr>
        <xdr:cNvSpPr/>
      </xdr:nvSpPr>
      <xdr:spPr>
        <a:xfrm>
          <a:off x="7962900" y="1571625"/>
          <a:ext cx="13716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403860</xdr:colOff>
      <xdr:row>7</xdr:row>
      <xdr:rowOff>0</xdr:rowOff>
    </xdr:from>
    <xdr:to>
      <xdr:col>18</xdr:col>
      <xdr:colOff>434340</xdr:colOff>
      <xdr:row>7</xdr:row>
      <xdr:rowOff>38100</xdr:rowOff>
    </xdr:to>
    <xdr:sp macro="" textlink="">
      <xdr:nvSpPr>
        <xdr:cNvPr id="1246645" name="Line 137">
          <a:extLst>
            <a:ext uri="{FF2B5EF4-FFF2-40B4-BE49-F238E27FC236}">
              <a16:creationId xmlns:a16="http://schemas.microsoft.com/office/drawing/2014/main" id="{00000000-0008-0000-4E00-0000B5051300}"/>
            </a:ext>
          </a:extLst>
        </xdr:cNvPr>
        <xdr:cNvSpPr/>
      </xdr:nvSpPr>
      <xdr:spPr>
        <a:xfrm>
          <a:off x="8100060" y="1571625"/>
          <a:ext cx="30480" cy="3810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434340</xdr:colOff>
      <xdr:row>7</xdr:row>
      <xdr:rowOff>38100</xdr:rowOff>
    </xdr:from>
    <xdr:to>
      <xdr:col>19</xdr:col>
      <xdr:colOff>0</xdr:colOff>
      <xdr:row>7</xdr:row>
      <xdr:rowOff>38100</xdr:rowOff>
    </xdr:to>
    <xdr:sp macro="" textlink="">
      <xdr:nvSpPr>
        <xdr:cNvPr id="1246646" name="Line 138">
          <a:extLst>
            <a:ext uri="{FF2B5EF4-FFF2-40B4-BE49-F238E27FC236}">
              <a16:creationId xmlns:a16="http://schemas.microsoft.com/office/drawing/2014/main" id="{00000000-0008-0000-4E00-0000B6051300}"/>
            </a:ext>
          </a:extLst>
        </xdr:cNvPr>
        <xdr:cNvSpPr/>
      </xdr:nvSpPr>
      <xdr:spPr>
        <a:xfrm>
          <a:off x="8130540" y="1609725"/>
          <a:ext cx="7048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502920</xdr:colOff>
      <xdr:row>7</xdr:row>
      <xdr:rowOff>0</xdr:rowOff>
    </xdr:from>
    <xdr:to>
      <xdr:col>19</xdr:col>
      <xdr:colOff>15240</xdr:colOff>
      <xdr:row>7</xdr:row>
      <xdr:rowOff>38100</xdr:rowOff>
    </xdr:to>
    <xdr:sp macro="" textlink="">
      <xdr:nvSpPr>
        <xdr:cNvPr id="1246647" name="Line 139">
          <a:extLst>
            <a:ext uri="{FF2B5EF4-FFF2-40B4-BE49-F238E27FC236}">
              <a16:creationId xmlns:a16="http://schemas.microsoft.com/office/drawing/2014/main" id="{00000000-0008-0000-4E00-0000B7051300}"/>
            </a:ext>
          </a:extLst>
        </xdr:cNvPr>
        <xdr:cNvSpPr/>
      </xdr:nvSpPr>
      <xdr:spPr>
        <a:xfrm flipV="1">
          <a:off x="8199120" y="1571625"/>
          <a:ext cx="17145" cy="38100"/>
        </a:xfrm>
        <a:prstGeom prst="line">
          <a:avLst/>
        </a:prstGeom>
        <a:ln w="15875" cap="flat" cmpd="sng">
          <a:solidFill>
            <a:srgbClr val="000000"/>
          </a:solidFill>
          <a:prstDash val="solid"/>
          <a:round/>
          <a:headEnd type="none" w="med" len="med"/>
          <a:tailEnd type="none" w="med" len="med"/>
        </a:ln>
      </xdr:spPr>
    </xdr:sp>
    <xdr:clientData/>
  </xdr:twoCellAnchor>
  <xdr:twoCellAnchor>
    <xdr:from>
      <xdr:col>19</xdr:col>
      <xdr:colOff>15240</xdr:colOff>
      <xdr:row>7</xdr:row>
      <xdr:rowOff>0</xdr:rowOff>
    </xdr:from>
    <xdr:to>
      <xdr:col>19</xdr:col>
      <xdr:colOff>99060</xdr:colOff>
      <xdr:row>7</xdr:row>
      <xdr:rowOff>0</xdr:rowOff>
    </xdr:to>
    <xdr:sp macro="" textlink="">
      <xdr:nvSpPr>
        <xdr:cNvPr id="1246648" name="Line 140">
          <a:extLst>
            <a:ext uri="{FF2B5EF4-FFF2-40B4-BE49-F238E27FC236}">
              <a16:creationId xmlns:a16="http://schemas.microsoft.com/office/drawing/2014/main" id="{00000000-0008-0000-4E00-0000B8051300}"/>
            </a:ext>
          </a:extLst>
        </xdr:cNvPr>
        <xdr:cNvSpPr/>
      </xdr:nvSpPr>
      <xdr:spPr>
        <a:xfrm>
          <a:off x="8216265" y="1571625"/>
          <a:ext cx="8382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18</xdr:col>
      <xdr:colOff>53340</xdr:colOff>
      <xdr:row>7</xdr:row>
      <xdr:rowOff>45720</xdr:rowOff>
    </xdr:from>
    <xdr:to>
      <xdr:col>18</xdr:col>
      <xdr:colOff>53340</xdr:colOff>
      <xdr:row>7</xdr:row>
      <xdr:rowOff>45720</xdr:rowOff>
    </xdr:to>
    <xdr:sp macro="" textlink="">
      <xdr:nvSpPr>
        <xdr:cNvPr id="1246649" name="Line 142">
          <a:extLst>
            <a:ext uri="{FF2B5EF4-FFF2-40B4-BE49-F238E27FC236}">
              <a16:creationId xmlns:a16="http://schemas.microsoft.com/office/drawing/2014/main" id="{00000000-0008-0000-4E00-0000B9051300}"/>
            </a:ext>
          </a:extLst>
        </xdr:cNvPr>
        <xdr:cNvSpPr/>
      </xdr:nvSpPr>
      <xdr:spPr>
        <a:xfrm>
          <a:off x="7749540" y="1617345"/>
          <a:ext cx="0" cy="0"/>
        </a:xfrm>
        <a:prstGeom prst="line">
          <a:avLst/>
        </a:prstGeom>
        <a:ln w="0" cap="flat" cmpd="sng">
          <a:solidFill>
            <a:srgbClr val="000000"/>
          </a:solidFill>
          <a:prstDash val="solid"/>
          <a:round/>
          <a:headEnd type="none" w="med" len="med"/>
          <a:tailEnd type="oval" w="sm" len="sm"/>
        </a:ln>
      </xdr:spPr>
    </xdr:sp>
    <xdr:clientData/>
  </xdr:twoCellAnchor>
  <xdr:twoCellAnchor>
    <xdr:from>
      <xdr:col>32</xdr:col>
      <xdr:colOff>510540</xdr:colOff>
      <xdr:row>16</xdr:row>
      <xdr:rowOff>236220</xdr:rowOff>
    </xdr:from>
    <xdr:to>
      <xdr:col>32</xdr:col>
      <xdr:colOff>510540</xdr:colOff>
      <xdr:row>16</xdr:row>
      <xdr:rowOff>236220</xdr:rowOff>
    </xdr:to>
    <xdr:sp macro="" textlink="">
      <xdr:nvSpPr>
        <xdr:cNvPr id="1246650" name="Line 143">
          <a:extLst>
            <a:ext uri="{FF2B5EF4-FFF2-40B4-BE49-F238E27FC236}">
              <a16:creationId xmlns:a16="http://schemas.microsoft.com/office/drawing/2014/main" id="{00000000-0008-0000-4E00-0000BA051300}"/>
            </a:ext>
          </a:extLst>
        </xdr:cNvPr>
        <xdr:cNvSpPr/>
      </xdr:nvSpPr>
      <xdr:spPr>
        <a:xfrm>
          <a:off x="15255240" y="330327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259080</xdr:colOff>
      <xdr:row>7</xdr:row>
      <xdr:rowOff>99060</xdr:rowOff>
    </xdr:from>
    <xdr:to>
      <xdr:col>18</xdr:col>
      <xdr:colOff>259080</xdr:colOff>
      <xdr:row>7</xdr:row>
      <xdr:rowOff>99060</xdr:rowOff>
    </xdr:to>
    <xdr:sp macro="" textlink="">
      <xdr:nvSpPr>
        <xdr:cNvPr id="1246651" name="Line 144">
          <a:extLst>
            <a:ext uri="{FF2B5EF4-FFF2-40B4-BE49-F238E27FC236}">
              <a16:creationId xmlns:a16="http://schemas.microsoft.com/office/drawing/2014/main" id="{00000000-0008-0000-4E00-0000BB051300}"/>
            </a:ext>
          </a:extLst>
        </xdr:cNvPr>
        <xdr:cNvSpPr/>
      </xdr:nvSpPr>
      <xdr:spPr>
        <a:xfrm>
          <a:off x="7955280" y="167068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198120</xdr:colOff>
      <xdr:row>8</xdr:row>
      <xdr:rowOff>83820</xdr:rowOff>
    </xdr:from>
    <xdr:to>
      <xdr:col>12</xdr:col>
      <xdr:colOff>198120</xdr:colOff>
      <xdr:row>8</xdr:row>
      <xdr:rowOff>83820</xdr:rowOff>
    </xdr:to>
    <xdr:sp macro="" textlink="">
      <xdr:nvSpPr>
        <xdr:cNvPr id="1246652" name="Line 145">
          <a:extLst>
            <a:ext uri="{FF2B5EF4-FFF2-40B4-BE49-F238E27FC236}">
              <a16:creationId xmlns:a16="http://schemas.microsoft.com/office/drawing/2014/main" id="{00000000-0008-0000-4E00-0000BC051300}"/>
            </a:ext>
          </a:extLst>
        </xdr:cNvPr>
        <xdr:cNvSpPr/>
      </xdr:nvSpPr>
      <xdr:spPr>
        <a:xfrm>
          <a:off x="5313045" y="18364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19</xdr:col>
      <xdr:colOff>45720</xdr:colOff>
      <xdr:row>7</xdr:row>
      <xdr:rowOff>45720</xdr:rowOff>
    </xdr:from>
    <xdr:to>
      <xdr:col>19</xdr:col>
      <xdr:colOff>45720</xdr:colOff>
      <xdr:row>7</xdr:row>
      <xdr:rowOff>45720</xdr:rowOff>
    </xdr:to>
    <xdr:sp macro="" textlink="">
      <xdr:nvSpPr>
        <xdr:cNvPr id="1246653" name="Line 146">
          <a:extLst>
            <a:ext uri="{FF2B5EF4-FFF2-40B4-BE49-F238E27FC236}">
              <a16:creationId xmlns:a16="http://schemas.microsoft.com/office/drawing/2014/main" id="{00000000-0008-0000-4E00-0000BD051300}"/>
            </a:ext>
          </a:extLst>
        </xdr:cNvPr>
        <xdr:cNvSpPr/>
      </xdr:nvSpPr>
      <xdr:spPr>
        <a:xfrm>
          <a:off x="8246745" y="161734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xdr:col>
      <xdr:colOff>281940</xdr:colOff>
      <xdr:row>7</xdr:row>
      <xdr:rowOff>182880</xdr:rowOff>
    </xdr:from>
    <xdr:to>
      <xdr:col>1</xdr:col>
      <xdr:colOff>281940</xdr:colOff>
      <xdr:row>7</xdr:row>
      <xdr:rowOff>182880</xdr:rowOff>
    </xdr:to>
    <xdr:sp macro="" textlink="">
      <xdr:nvSpPr>
        <xdr:cNvPr id="1246654" name="Line 147">
          <a:extLst>
            <a:ext uri="{FF2B5EF4-FFF2-40B4-BE49-F238E27FC236}">
              <a16:creationId xmlns:a16="http://schemas.microsoft.com/office/drawing/2014/main" id="{00000000-0008-0000-4E00-0000BE051300}"/>
            </a:ext>
          </a:extLst>
        </xdr:cNvPr>
        <xdr:cNvSpPr/>
      </xdr:nvSpPr>
      <xdr:spPr>
        <a:xfrm>
          <a:off x="453390"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487680</xdr:colOff>
      <xdr:row>7</xdr:row>
      <xdr:rowOff>75565</xdr:rowOff>
    </xdr:from>
    <xdr:to>
      <xdr:col>18</xdr:col>
      <xdr:colOff>487680</xdr:colOff>
      <xdr:row>7</xdr:row>
      <xdr:rowOff>75565</xdr:rowOff>
    </xdr:to>
    <xdr:sp macro="" textlink="">
      <xdr:nvSpPr>
        <xdr:cNvPr id="1246655" name="Line 148">
          <a:extLst>
            <a:ext uri="{FF2B5EF4-FFF2-40B4-BE49-F238E27FC236}">
              <a16:creationId xmlns:a16="http://schemas.microsoft.com/office/drawing/2014/main" id="{00000000-0008-0000-4E00-0000BF051300}"/>
            </a:ext>
          </a:extLst>
        </xdr:cNvPr>
        <xdr:cNvSpPr/>
      </xdr:nvSpPr>
      <xdr:spPr>
        <a:xfrm>
          <a:off x="8183880" y="164719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114300</xdr:colOff>
      <xdr:row>7</xdr:row>
      <xdr:rowOff>99060</xdr:rowOff>
    </xdr:from>
    <xdr:to>
      <xdr:col>18</xdr:col>
      <xdr:colOff>114300</xdr:colOff>
      <xdr:row>7</xdr:row>
      <xdr:rowOff>99060</xdr:rowOff>
    </xdr:to>
    <xdr:sp macro="" textlink="">
      <xdr:nvSpPr>
        <xdr:cNvPr id="1246656" name="Line 149">
          <a:extLst>
            <a:ext uri="{FF2B5EF4-FFF2-40B4-BE49-F238E27FC236}">
              <a16:creationId xmlns:a16="http://schemas.microsoft.com/office/drawing/2014/main" id="{00000000-0008-0000-4E00-0000C0051300}"/>
            </a:ext>
          </a:extLst>
        </xdr:cNvPr>
        <xdr:cNvSpPr/>
      </xdr:nvSpPr>
      <xdr:spPr>
        <a:xfrm>
          <a:off x="7810500" y="167068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53340</xdr:colOff>
      <xdr:row>7</xdr:row>
      <xdr:rowOff>114300</xdr:rowOff>
    </xdr:from>
    <xdr:to>
      <xdr:col>18</xdr:col>
      <xdr:colOff>53340</xdr:colOff>
      <xdr:row>7</xdr:row>
      <xdr:rowOff>114300</xdr:rowOff>
    </xdr:to>
    <xdr:sp macro="" textlink="">
      <xdr:nvSpPr>
        <xdr:cNvPr id="1246657" name="Line 150">
          <a:extLst>
            <a:ext uri="{FF2B5EF4-FFF2-40B4-BE49-F238E27FC236}">
              <a16:creationId xmlns:a16="http://schemas.microsoft.com/office/drawing/2014/main" id="{00000000-0008-0000-4E00-0000C1051300}"/>
            </a:ext>
          </a:extLst>
        </xdr:cNvPr>
        <xdr:cNvSpPr/>
      </xdr:nvSpPr>
      <xdr:spPr>
        <a:xfrm>
          <a:off x="7749540" y="168592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167640</xdr:colOff>
      <xdr:row>7</xdr:row>
      <xdr:rowOff>83820</xdr:rowOff>
    </xdr:from>
    <xdr:to>
      <xdr:col>18</xdr:col>
      <xdr:colOff>167640</xdr:colOff>
      <xdr:row>7</xdr:row>
      <xdr:rowOff>83820</xdr:rowOff>
    </xdr:to>
    <xdr:sp macro="" textlink="">
      <xdr:nvSpPr>
        <xdr:cNvPr id="1246658" name="Line 151">
          <a:extLst>
            <a:ext uri="{FF2B5EF4-FFF2-40B4-BE49-F238E27FC236}">
              <a16:creationId xmlns:a16="http://schemas.microsoft.com/office/drawing/2014/main" id="{00000000-0008-0000-4E00-0000C2051300}"/>
            </a:ext>
          </a:extLst>
        </xdr:cNvPr>
        <xdr:cNvSpPr/>
      </xdr:nvSpPr>
      <xdr:spPr>
        <a:xfrm>
          <a:off x="7863840" y="165544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19</xdr:col>
      <xdr:colOff>15240</xdr:colOff>
      <xdr:row>7</xdr:row>
      <xdr:rowOff>114300</xdr:rowOff>
    </xdr:from>
    <xdr:to>
      <xdr:col>19</xdr:col>
      <xdr:colOff>45720</xdr:colOff>
      <xdr:row>7</xdr:row>
      <xdr:rowOff>122555</xdr:rowOff>
    </xdr:to>
    <xdr:sp macro="" textlink="">
      <xdr:nvSpPr>
        <xdr:cNvPr id="1246659" name="Line 152">
          <a:extLst>
            <a:ext uri="{FF2B5EF4-FFF2-40B4-BE49-F238E27FC236}">
              <a16:creationId xmlns:a16="http://schemas.microsoft.com/office/drawing/2014/main" id="{00000000-0008-0000-4E00-0000C3051300}"/>
            </a:ext>
          </a:extLst>
        </xdr:cNvPr>
        <xdr:cNvSpPr/>
      </xdr:nvSpPr>
      <xdr:spPr>
        <a:xfrm>
          <a:off x="8216265" y="1685925"/>
          <a:ext cx="30480" cy="8255"/>
        </a:xfrm>
        <a:prstGeom prst="line">
          <a:avLst/>
        </a:prstGeom>
        <a:ln w="3175" cap="flat" cmpd="sng">
          <a:solidFill>
            <a:srgbClr val="000000"/>
          </a:solidFill>
          <a:prstDash val="solid"/>
          <a:round/>
          <a:headEnd type="none" w="med" len="med"/>
          <a:tailEnd type="oval" w="sm" len="sm"/>
        </a:ln>
      </xdr:spPr>
    </xdr:sp>
    <xdr:clientData/>
  </xdr:twoCellAnchor>
  <xdr:twoCellAnchor>
    <xdr:from>
      <xdr:col>1</xdr:col>
      <xdr:colOff>365760</xdr:colOff>
      <xdr:row>8</xdr:row>
      <xdr:rowOff>53340</xdr:rowOff>
    </xdr:from>
    <xdr:to>
      <xdr:col>1</xdr:col>
      <xdr:colOff>365760</xdr:colOff>
      <xdr:row>8</xdr:row>
      <xdr:rowOff>53340</xdr:rowOff>
    </xdr:to>
    <xdr:sp macro="" textlink="">
      <xdr:nvSpPr>
        <xdr:cNvPr id="1246660" name="Line 153">
          <a:extLst>
            <a:ext uri="{FF2B5EF4-FFF2-40B4-BE49-F238E27FC236}">
              <a16:creationId xmlns:a16="http://schemas.microsoft.com/office/drawing/2014/main" id="{00000000-0008-0000-4E00-0000C4051300}"/>
            </a:ext>
          </a:extLst>
        </xdr:cNvPr>
        <xdr:cNvSpPr/>
      </xdr:nvSpPr>
      <xdr:spPr>
        <a:xfrm>
          <a:off x="537210" y="180594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175260</xdr:colOff>
      <xdr:row>8</xdr:row>
      <xdr:rowOff>68580</xdr:rowOff>
    </xdr:from>
    <xdr:to>
      <xdr:col>2</xdr:col>
      <xdr:colOff>175260</xdr:colOff>
      <xdr:row>8</xdr:row>
      <xdr:rowOff>68580</xdr:rowOff>
    </xdr:to>
    <xdr:sp macro="" textlink="">
      <xdr:nvSpPr>
        <xdr:cNvPr id="1246661" name="Line 154">
          <a:extLst>
            <a:ext uri="{FF2B5EF4-FFF2-40B4-BE49-F238E27FC236}">
              <a16:creationId xmlns:a16="http://schemas.microsoft.com/office/drawing/2014/main" id="{00000000-0008-0000-4E00-0000C5051300}"/>
            </a:ext>
          </a:extLst>
        </xdr:cNvPr>
        <xdr:cNvSpPr/>
      </xdr:nvSpPr>
      <xdr:spPr>
        <a:xfrm>
          <a:off x="851535" y="18211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403860</xdr:colOff>
      <xdr:row>8</xdr:row>
      <xdr:rowOff>68580</xdr:rowOff>
    </xdr:from>
    <xdr:to>
      <xdr:col>2</xdr:col>
      <xdr:colOff>403860</xdr:colOff>
      <xdr:row>8</xdr:row>
      <xdr:rowOff>68580</xdr:rowOff>
    </xdr:to>
    <xdr:sp macro="" textlink="">
      <xdr:nvSpPr>
        <xdr:cNvPr id="1246662" name="Line 155">
          <a:extLst>
            <a:ext uri="{FF2B5EF4-FFF2-40B4-BE49-F238E27FC236}">
              <a16:creationId xmlns:a16="http://schemas.microsoft.com/office/drawing/2014/main" id="{00000000-0008-0000-4E00-0000C6051300}"/>
            </a:ext>
          </a:extLst>
        </xdr:cNvPr>
        <xdr:cNvSpPr/>
      </xdr:nvSpPr>
      <xdr:spPr>
        <a:xfrm>
          <a:off x="1080135" y="18211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15240</xdr:colOff>
      <xdr:row>8</xdr:row>
      <xdr:rowOff>53340</xdr:rowOff>
    </xdr:from>
    <xdr:to>
      <xdr:col>3</xdr:col>
      <xdr:colOff>15240</xdr:colOff>
      <xdr:row>8</xdr:row>
      <xdr:rowOff>53340</xdr:rowOff>
    </xdr:to>
    <xdr:sp macro="" textlink="">
      <xdr:nvSpPr>
        <xdr:cNvPr id="1246663" name="Line 156">
          <a:extLst>
            <a:ext uri="{FF2B5EF4-FFF2-40B4-BE49-F238E27FC236}">
              <a16:creationId xmlns:a16="http://schemas.microsoft.com/office/drawing/2014/main" id="{00000000-0008-0000-4E00-0000C7051300}"/>
            </a:ext>
          </a:extLst>
        </xdr:cNvPr>
        <xdr:cNvSpPr/>
      </xdr:nvSpPr>
      <xdr:spPr>
        <a:xfrm>
          <a:off x="1339215" y="180594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83820</xdr:colOff>
      <xdr:row>7</xdr:row>
      <xdr:rowOff>190500</xdr:rowOff>
    </xdr:from>
    <xdr:to>
      <xdr:col>2</xdr:col>
      <xdr:colOff>83820</xdr:colOff>
      <xdr:row>7</xdr:row>
      <xdr:rowOff>190500</xdr:rowOff>
    </xdr:to>
    <xdr:sp macro="" textlink="">
      <xdr:nvSpPr>
        <xdr:cNvPr id="1246664" name="Line 157">
          <a:extLst>
            <a:ext uri="{FF2B5EF4-FFF2-40B4-BE49-F238E27FC236}">
              <a16:creationId xmlns:a16="http://schemas.microsoft.com/office/drawing/2014/main" id="{00000000-0008-0000-4E00-0000C8051300}"/>
            </a:ext>
          </a:extLst>
        </xdr:cNvPr>
        <xdr:cNvSpPr/>
      </xdr:nvSpPr>
      <xdr:spPr>
        <a:xfrm>
          <a:off x="76009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xdr:col>
      <xdr:colOff>426720</xdr:colOff>
      <xdr:row>7</xdr:row>
      <xdr:rowOff>182880</xdr:rowOff>
    </xdr:from>
    <xdr:to>
      <xdr:col>1</xdr:col>
      <xdr:colOff>426720</xdr:colOff>
      <xdr:row>7</xdr:row>
      <xdr:rowOff>182880</xdr:rowOff>
    </xdr:to>
    <xdr:sp macro="" textlink="">
      <xdr:nvSpPr>
        <xdr:cNvPr id="1246665" name="Line 158">
          <a:extLst>
            <a:ext uri="{FF2B5EF4-FFF2-40B4-BE49-F238E27FC236}">
              <a16:creationId xmlns:a16="http://schemas.microsoft.com/office/drawing/2014/main" id="{00000000-0008-0000-4E00-0000C9051300}"/>
            </a:ext>
          </a:extLst>
        </xdr:cNvPr>
        <xdr:cNvSpPr/>
      </xdr:nvSpPr>
      <xdr:spPr>
        <a:xfrm>
          <a:off x="598170"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60960</xdr:colOff>
      <xdr:row>8</xdr:row>
      <xdr:rowOff>122555</xdr:rowOff>
    </xdr:from>
    <xdr:to>
      <xdr:col>2</xdr:col>
      <xdr:colOff>60960</xdr:colOff>
      <xdr:row>8</xdr:row>
      <xdr:rowOff>122555</xdr:rowOff>
    </xdr:to>
    <xdr:sp macro="" textlink="">
      <xdr:nvSpPr>
        <xdr:cNvPr id="1246666" name="Line 159">
          <a:extLst>
            <a:ext uri="{FF2B5EF4-FFF2-40B4-BE49-F238E27FC236}">
              <a16:creationId xmlns:a16="http://schemas.microsoft.com/office/drawing/2014/main" id="{00000000-0008-0000-4E00-0000CA051300}"/>
            </a:ext>
          </a:extLst>
        </xdr:cNvPr>
        <xdr:cNvSpPr/>
      </xdr:nvSpPr>
      <xdr:spPr>
        <a:xfrm>
          <a:off x="737235" y="187515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175260</xdr:colOff>
      <xdr:row>8</xdr:row>
      <xdr:rowOff>45720</xdr:rowOff>
    </xdr:from>
    <xdr:to>
      <xdr:col>3</xdr:col>
      <xdr:colOff>175260</xdr:colOff>
      <xdr:row>8</xdr:row>
      <xdr:rowOff>45720</xdr:rowOff>
    </xdr:to>
    <xdr:sp macro="" textlink="">
      <xdr:nvSpPr>
        <xdr:cNvPr id="1246667" name="Line 160">
          <a:extLst>
            <a:ext uri="{FF2B5EF4-FFF2-40B4-BE49-F238E27FC236}">
              <a16:creationId xmlns:a16="http://schemas.microsoft.com/office/drawing/2014/main" id="{00000000-0008-0000-4E00-0000CB051300}"/>
            </a:ext>
          </a:extLst>
        </xdr:cNvPr>
        <xdr:cNvSpPr/>
      </xdr:nvSpPr>
      <xdr:spPr>
        <a:xfrm>
          <a:off x="1499235" y="17983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365760</xdr:colOff>
      <xdr:row>7</xdr:row>
      <xdr:rowOff>182880</xdr:rowOff>
    </xdr:from>
    <xdr:to>
      <xdr:col>2</xdr:col>
      <xdr:colOff>365760</xdr:colOff>
      <xdr:row>7</xdr:row>
      <xdr:rowOff>182880</xdr:rowOff>
    </xdr:to>
    <xdr:sp macro="" textlink="">
      <xdr:nvSpPr>
        <xdr:cNvPr id="1246668" name="Line 161">
          <a:extLst>
            <a:ext uri="{FF2B5EF4-FFF2-40B4-BE49-F238E27FC236}">
              <a16:creationId xmlns:a16="http://schemas.microsoft.com/office/drawing/2014/main" id="{00000000-0008-0000-4E00-0000CC051300}"/>
            </a:ext>
          </a:extLst>
        </xdr:cNvPr>
        <xdr:cNvSpPr/>
      </xdr:nvSpPr>
      <xdr:spPr>
        <a:xfrm>
          <a:off x="104203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297180</xdr:colOff>
      <xdr:row>8</xdr:row>
      <xdr:rowOff>83820</xdr:rowOff>
    </xdr:from>
    <xdr:to>
      <xdr:col>2</xdr:col>
      <xdr:colOff>297180</xdr:colOff>
      <xdr:row>8</xdr:row>
      <xdr:rowOff>83820</xdr:rowOff>
    </xdr:to>
    <xdr:sp macro="" textlink="">
      <xdr:nvSpPr>
        <xdr:cNvPr id="1246669" name="Line 162">
          <a:extLst>
            <a:ext uri="{FF2B5EF4-FFF2-40B4-BE49-F238E27FC236}">
              <a16:creationId xmlns:a16="http://schemas.microsoft.com/office/drawing/2014/main" id="{00000000-0008-0000-4E00-0000CD051300}"/>
            </a:ext>
          </a:extLst>
        </xdr:cNvPr>
        <xdr:cNvSpPr/>
      </xdr:nvSpPr>
      <xdr:spPr>
        <a:xfrm>
          <a:off x="973455" y="18364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586740</xdr:colOff>
      <xdr:row>8</xdr:row>
      <xdr:rowOff>106680</xdr:rowOff>
    </xdr:from>
    <xdr:to>
      <xdr:col>2</xdr:col>
      <xdr:colOff>586740</xdr:colOff>
      <xdr:row>8</xdr:row>
      <xdr:rowOff>106680</xdr:rowOff>
    </xdr:to>
    <xdr:sp macro="" textlink="">
      <xdr:nvSpPr>
        <xdr:cNvPr id="1246670" name="Line 163">
          <a:extLst>
            <a:ext uri="{FF2B5EF4-FFF2-40B4-BE49-F238E27FC236}">
              <a16:creationId xmlns:a16="http://schemas.microsoft.com/office/drawing/2014/main" id="{00000000-0008-0000-4E00-0000CE051300}"/>
            </a:ext>
          </a:extLst>
        </xdr:cNvPr>
        <xdr:cNvSpPr/>
      </xdr:nvSpPr>
      <xdr:spPr>
        <a:xfrm>
          <a:off x="1263015" y="18592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510540</xdr:colOff>
      <xdr:row>8</xdr:row>
      <xdr:rowOff>0</xdr:rowOff>
    </xdr:from>
    <xdr:to>
      <xdr:col>2</xdr:col>
      <xdr:colOff>510540</xdr:colOff>
      <xdr:row>8</xdr:row>
      <xdr:rowOff>0</xdr:rowOff>
    </xdr:to>
    <xdr:sp macro="" textlink="">
      <xdr:nvSpPr>
        <xdr:cNvPr id="1246671" name="Line 164">
          <a:extLst>
            <a:ext uri="{FF2B5EF4-FFF2-40B4-BE49-F238E27FC236}">
              <a16:creationId xmlns:a16="http://schemas.microsoft.com/office/drawing/2014/main" id="{00000000-0008-0000-4E00-0000CF051300}"/>
            </a:ext>
          </a:extLst>
        </xdr:cNvPr>
        <xdr:cNvSpPr/>
      </xdr:nvSpPr>
      <xdr:spPr>
        <a:xfrm>
          <a:off x="118681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91440</xdr:colOff>
      <xdr:row>7</xdr:row>
      <xdr:rowOff>190500</xdr:rowOff>
    </xdr:from>
    <xdr:to>
      <xdr:col>3</xdr:col>
      <xdr:colOff>91440</xdr:colOff>
      <xdr:row>7</xdr:row>
      <xdr:rowOff>190500</xdr:rowOff>
    </xdr:to>
    <xdr:sp macro="" textlink="">
      <xdr:nvSpPr>
        <xdr:cNvPr id="1246672" name="Line 165">
          <a:extLst>
            <a:ext uri="{FF2B5EF4-FFF2-40B4-BE49-F238E27FC236}">
              <a16:creationId xmlns:a16="http://schemas.microsoft.com/office/drawing/2014/main" id="{00000000-0008-0000-4E00-0000D0051300}"/>
            </a:ext>
          </a:extLst>
        </xdr:cNvPr>
        <xdr:cNvSpPr/>
      </xdr:nvSpPr>
      <xdr:spPr>
        <a:xfrm>
          <a:off x="141541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365760</xdr:colOff>
      <xdr:row>7</xdr:row>
      <xdr:rowOff>198120</xdr:rowOff>
    </xdr:from>
    <xdr:to>
      <xdr:col>3</xdr:col>
      <xdr:colOff>365760</xdr:colOff>
      <xdr:row>8</xdr:row>
      <xdr:rowOff>0</xdr:rowOff>
    </xdr:to>
    <xdr:sp macro="" textlink="">
      <xdr:nvSpPr>
        <xdr:cNvPr id="1246673" name="Line 166">
          <a:extLst>
            <a:ext uri="{FF2B5EF4-FFF2-40B4-BE49-F238E27FC236}">
              <a16:creationId xmlns:a16="http://schemas.microsoft.com/office/drawing/2014/main" id="{00000000-0008-0000-4E00-0000D1051300}"/>
            </a:ext>
          </a:extLst>
        </xdr:cNvPr>
        <xdr:cNvSpPr/>
      </xdr:nvSpPr>
      <xdr:spPr>
        <a:xfrm>
          <a:off x="168973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495300</xdr:colOff>
      <xdr:row>8</xdr:row>
      <xdr:rowOff>122555</xdr:rowOff>
    </xdr:from>
    <xdr:to>
      <xdr:col>2</xdr:col>
      <xdr:colOff>495300</xdr:colOff>
      <xdr:row>8</xdr:row>
      <xdr:rowOff>122555</xdr:rowOff>
    </xdr:to>
    <xdr:sp macro="" textlink="">
      <xdr:nvSpPr>
        <xdr:cNvPr id="1246674" name="Line 167">
          <a:extLst>
            <a:ext uri="{FF2B5EF4-FFF2-40B4-BE49-F238E27FC236}">
              <a16:creationId xmlns:a16="http://schemas.microsoft.com/office/drawing/2014/main" id="{00000000-0008-0000-4E00-0000D2051300}"/>
            </a:ext>
          </a:extLst>
        </xdr:cNvPr>
        <xdr:cNvSpPr/>
      </xdr:nvSpPr>
      <xdr:spPr>
        <a:xfrm>
          <a:off x="1171575" y="187515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99060</xdr:colOff>
      <xdr:row>8</xdr:row>
      <xdr:rowOff>99060</xdr:rowOff>
    </xdr:from>
    <xdr:to>
      <xdr:col>3</xdr:col>
      <xdr:colOff>99060</xdr:colOff>
      <xdr:row>8</xdr:row>
      <xdr:rowOff>99060</xdr:rowOff>
    </xdr:to>
    <xdr:sp macro="" textlink="">
      <xdr:nvSpPr>
        <xdr:cNvPr id="1246675" name="Line 168">
          <a:extLst>
            <a:ext uri="{FF2B5EF4-FFF2-40B4-BE49-F238E27FC236}">
              <a16:creationId xmlns:a16="http://schemas.microsoft.com/office/drawing/2014/main" id="{00000000-0008-0000-4E00-0000D3051300}"/>
            </a:ext>
          </a:extLst>
        </xdr:cNvPr>
        <xdr:cNvSpPr/>
      </xdr:nvSpPr>
      <xdr:spPr>
        <a:xfrm>
          <a:off x="1423035" y="185166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419100</xdr:colOff>
      <xdr:row>8</xdr:row>
      <xdr:rowOff>122555</xdr:rowOff>
    </xdr:from>
    <xdr:to>
      <xdr:col>3</xdr:col>
      <xdr:colOff>419100</xdr:colOff>
      <xdr:row>8</xdr:row>
      <xdr:rowOff>122555</xdr:rowOff>
    </xdr:to>
    <xdr:sp macro="" textlink="">
      <xdr:nvSpPr>
        <xdr:cNvPr id="1246676" name="Line 169">
          <a:extLst>
            <a:ext uri="{FF2B5EF4-FFF2-40B4-BE49-F238E27FC236}">
              <a16:creationId xmlns:a16="http://schemas.microsoft.com/office/drawing/2014/main" id="{00000000-0008-0000-4E00-0000D4051300}"/>
            </a:ext>
          </a:extLst>
        </xdr:cNvPr>
        <xdr:cNvSpPr/>
      </xdr:nvSpPr>
      <xdr:spPr>
        <a:xfrm>
          <a:off x="1743075" y="187515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220980</xdr:colOff>
      <xdr:row>7</xdr:row>
      <xdr:rowOff>190500</xdr:rowOff>
    </xdr:from>
    <xdr:to>
      <xdr:col>3</xdr:col>
      <xdr:colOff>220980</xdr:colOff>
      <xdr:row>7</xdr:row>
      <xdr:rowOff>190500</xdr:rowOff>
    </xdr:to>
    <xdr:sp macro="" textlink="">
      <xdr:nvSpPr>
        <xdr:cNvPr id="1246677" name="Line 170">
          <a:extLst>
            <a:ext uri="{FF2B5EF4-FFF2-40B4-BE49-F238E27FC236}">
              <a16:creationId xmlns:a16="http://schemas.microsoft.com/office/drawing/2014/main" id="{00000000-0008-0000-4E00-0000D5051300}"/>
            </a:ext>
          </a:extLst>
        </xdr:cNvPr>
        <xdr:cNvSpPr/>
      </xdr:nvSpPr>
      <xdr:spPr>
        <a:xfrm>
          <a:off x="154495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236220</xdr:colOff>
      <xdr:row>8</xdr:row>
      <xdr:rowOff>114300</xdr:rowOff>
    </xdr:from>
    <xdr:to>
      <xdr:col>3</xdr:col>
      <xdr:colOff>236220</xdr:colOff>
      <xdr:row>8</xdr:row>
      <xdr:rowOff>122555</xdr:rowOff>
    </xdr:to>
    <xdr:sp macro="" textlink="">
      <xdr:nvSpPr>
        <xdr:cNvPr id="1246678" name="Line 171">
          <a:extLst>
            <a:ext uri="{FF2B5EF4-FFF2-40B4-BE49-F238E27FC236}">
              <a16:creationId xmlns:a16="http://schemas.microsoft.com/office/drawing/2014/main" id="{00000000-0008-0000-4E00-0000D6051300}"/>
            </a:ext>
          </a:extLst>
        </xdr:cNvPr>
        <xdr:cNvSpPr/>
      </xdr:nvSpPr>
      <xdr:spPr>
        <a:xfrm flipV="1">
          <a:off x="1560195" y="1866900"/>
          <a:ext cx="0" cy="8255"/>
        </a:xfrm>
        <a:prstGeom prst="line">
          <a:avLst/>
        </a:prstGeom>
        <a:ln w="3175" cap="flat" cmpd="sng">
          <a:solidFill>
            <a:srgbClr val="000000"/>
          </a:solidFill>
          <a:prstDash val="solid"/>
          <a:round/>
          <a:headEnd type="none" w="med" len="med"/>
          <a:tailEnd type="oval" w="sm" len="sm"/>
        </a:ln>
      </xdr:spPr>
    </xdr:sp>
    <xdr:clientData/>
  </xdr:twoCellAnchor>
  <xdr:twoCellAnchor>
    <xdr:from>
      <xdr:col>1</xdr:col>
      <xdr:colOff>419100</xdr:colOff>
      <xdr:row>8</xdr:row>
      <xdr:rowOff>122555</xdr:rowOff>
    </xdr:from>
    <xdr:to>
      <xdr:col>1</xdr:col>
      <xdr:colOff>419100</xdr:colOff>
      <xdr:row>8</xdr:row>
      <xdr:rowOff>122555</xdr:rowOff>
    </xdr:to>
    <xdr:sp macro="" textlink="">
      <xdr:nvSpPr>
        <xdr:cNvPr id="1246679" name="Line 172">
          <a:extLst>
            <a:ext uri="{FF2B5EF4-FFF2-40B4-BE49-F238E27FC236}">
              <a16:creationId xmlns:a16="http://schemas.microsoft.com/office/drawing/2014/main" id="{00000000-0008-0000-4E00-0000D7051300}"/>
            </a:ext>
          </a:extLst>
        </xdr:cNvPr>
        <xdr:cNvSpPr/>
      </xdr:nvSpPr>
      <xdr:spPr>
        <a:xfrm>
          <a:off x="590550" y="187515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xdr:col>
      <xdr:colOff>274320</xdr:colOff>
      <xdr:row>8</xdr:row>
      <xdr:rowOff>83820</xdr:rowOff>
    </xdr:from>
    <xdr:to>
      <xdr:col>1</xdr:col>
      <xdr:colOff>274320</xdr:colOff>
      <xdr:row>8</xdr:row>
      <xdr:rowOff>83820</xdr:rowOff>
    </xdr:to>
    <xdr:sp macro="" textlink="">
      <xdr:nvSpPr>
        <xdr:cNvPr id="1246680" name="Line 173">
          <a:extLst>
            <a:ext uri="{FF2B5EF4-FFF2-40B4-BE49-F238E27FC236}">
              <a16:creationId xmlns:a16="http://schemas.microsoft.com/office/drawing/2014/main" id="{00000000-0008-0000-4E00-0000D8051300}"/>
            </a:ext>
          </a:extLst>
        </xdr:cNvPr>
        <xdr:cNvSpPr/>
      </xdr:nvSpPr>
      <xdr:spPr>
        <a:xfrm>
          <a:off x="445770" y="18364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2</xdr:col>
      <xdr:colOff>7620</xdr:colOff>
      <xdr:row>8</xdr:row>
      <xdr:rowOff>53340</xdr:rowOff>
    </xdr:from>
    <xdr:to>
      <xdr:col>2</xdr:col>
      <xdr:colOff>7620</xdr:colOff>
      <xdr:row>8</xdr:row>
      <xdr:rowOff>53340</xdr:rowOff>
    </xdr:to>
    <xdr:sp macro="" textlink="">
      <xdr:nvSpPr>
        <xdr:cNvPr id="1246681" name="Line 174">
          <a:extLst>
            <a:ext uri="{FF2B5EF4-FFF2-40B4-BE49-F238E27FC236}">
              <a16:creationId xmlns:a16="http://schemas.microsoft.com/office/drawing/2014/main" id="{00000000-0008-0000-4E00-0000D9051300}"/>
            </a:ext>
          </a:extLst>
        </xdr:cNvPr>
        <xdr:cNvSpPr/>
      </xdr:nvSpPr>
      <xdr:spPr>
        <a:xfrm>
          <a:off x="683895" y="180594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342900</xdr:colOff>
      <xdr:row>8</xdr:row>
      <xdr:rowOff>7620</xdr:rowOff>
    </xdr:from>
    <xdr:to>
      <xdr:col>12</xdr:col>
      <xdr:colOff>342900</xdr:colOff>
      <xdr:row>8</xdr:row>
      <xdr:rowOff>7620</xdr:rowOff>
    </xdr:to>
    <xdr:sp macro="" textlink="">
      <xdr:nvSpPr>
        <xdr:cNvPr id="1246682" name="Line 175">
          <a:extLst>
            <a:ext uri="{FF2B5EF4-FFF2-40B4-BE49-F238E27FC236}">
              <a16:creationId xmlns:a16="http://schemas.microsoft.com/office/drawing/2014/main" id="{00000000-0008-0000-4E00-0000DA051300}"/>
            </a:ext>
          </a:extLst>
        </xdr:cNvPr>
        <xdr:cNvSpPr/>
      </xdr:nvSpPr>
      <xdr:spPr>
        <a:xfrm>
          <a:off x="5457825" y="17602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137160</xdr:colOff>
      <xdr:row>8</xdr:row>
      <xdr:rowOff>75565</xdr:rowOff>
    </xdr:from>
    <xdr:to>
      <xdr:col>13</xdr:col>
      <xdr:colOff>137160</xdr:colOff>
      <xdr:row>8</xdr:row>
      <xdr:rowOff>75565</xdr:rowOff>
    </xdr:to>
    <xdr:sp macro="" textlink="">
      <xdr:nvSpPr>
        <xdr:cNvPr id="1246683" name="Line 176">
          <a:extLst>
            <a:ext uri="{FF2B5EF4-FFF2-40B4-BE49-F238E27FC236}">
              <a16:creationId xmlns:a16="http://schemas.microsoft.com/office/drawing/2014/main" id="{00000000-0008-0000-4E00-0000DB051300}"/>
            </a:ext>
          </a:extLst>
        </xdr:cNvPr>
        <xdr:cNvSpPr/>
      </xdr:nvSpPr>
      <xdr:spPr>
        <a:xfrm>
          <a:off x="5804535" y="182816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320040</xdr:colOff>
      <xdr:row>7</xdr:row>
      <xdr:rowOff>167640</xdr:rowOff>
    </xdr:from>
    <xdr:to>
      <xdr:col>13</xdr:col>
      <xdr:colOff>320040</xdr:colOff>
      <xdr:row>7</xdr:row>
      <xdr:rowOff>167640</xdr:rowOff>
    </xdr:to>
    <xdr:sp macro="" textlink="">
      <xdr:nvSpPr>
        <xdr:cNvPr id="1246684" name="Line 177">
          <a:extLst>
            <a:ext uri="{FF2B5EF4-FFF2-40B4-BE49-F238E27FC236}">
              <a16:creationId xmlns:a16="http://schemas.microsoft.com/office/drawing/2014/main" id="{00000000-0008-0000-4E00-0000DC051300}"/>
            </a:ext>
          </a:extLst>
        </xdr:cNvPr>
        <xdr:cNvSpPr/>
      </xdr:nvSpPr>
      <xdr:spPr>
        <a:xfrm>
          <a:off x="5987415" y="173926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556260</xdr:colOff>
      <xdr:row>7</xdr:row>
      <xdr:rowOff>190500</xdr:rowOff>
    </xdr:from>
    <xdr:to>
      <xdr:col>13</xdr:col>
      <xdr:colOff>556260</xdr:colOff>
      <xdr:row>7</xdr:row>
      <xdr:rowOff>190500</xdr:rowOff>
    </xdr:to>
    <xdr:sp macro="" textlink="">
      <xdr:nvSpPr>
        <xdr:cNvPr id="1246685" name="Line 178">
          <a:extLst>
            <a:ext uri="{FF2B5EF4-FFF2-40B4-BE49-F238E27FC236}">
              <a16:creationId xmlns:a16="http://schemas.microsoft.com/office/drawing/2014/main" id="{00000000-0008-0000-4E00-0000DD051300}"/>
            </a:ext>
          </a:extLst>
        </xdr:cNvPr>
        <xdr:cNvSpPr/>
      </xdr:nvSpPr>
      <xdr:spPr>
        <a:xfrm>
          <a:off x="622363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114300</xdr:colOff>
      <xdr:row>8</xdr:row>
      <xdr:rowOff>75565</xdr:rowOff>
    </xdr:from>
    <xdr:to>
      <xdr:col>12</xdr:col>
      <xdr:colOff>114300</xdr:colOff>
      <xdr:row>8</xdr:row>
      <xdr:rowOff>75565</xdr:rowOff>
    </xdr:to>
    <xdr:sp macro="" textlink="">
      <xdr:nvSpPr>
        <xdr:cNvPr id="1246686" name="Line 179">
          <a:extLst>
            <a:ext uri="{FF2B5EF4-FFF2-40B4-BE49-F238E27FC236}">
              <a16:creationId xmlns:a16="http://schemas.microsoft.com/office/drawing/2014/main" id="{00000000-0008-0000-4E00-0000DE051300}"/>
            </a:ext>
          </a:extLst>
        </xdr:cNvPr>
        <xdr:cNvSpPr/>
      </xdr:nvSpPr>
      <xdr:spPr>
        <a:xfrm>
          <a:off x="5229225" y="182816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434340</xdr:colOff>
      <xdr:row>7</xdr:row>
      <xdr:rowOff>190500</xdr:rowOff>
    </xdr:from>
    <xdr:to>
      <xdr:col>13</xdr:col>
      <xdr:colOff>434340</xdr:colOff>
      <xdr:row>7</xdr:row>
      <xdr:rowOff>190500</xdr:rowOff>
    </xdr:to>
    <xdr:sp macro="" textlink="">
      <xdr:nvSpPr>
        <xdr:cNvPr id="1246687" name="Line 180">
          <a:extLst>
            <a:ext uri="{FF2B5EF4-FFF2-40B4-BE49-F238E27FC236}">
              <a16:creationId xmlns:a16="http://schemas.microsoft.com/office/drawing/2014/main" id="{00000000-0008-0000-4E00-0000DF051300}"/>
            </a:ext>
          </a:extLst>
        </xdr:cNvPr>
        <xdr:cNvSpPr/>
      </xdr:nvSpPr>
      <xdr:spPr>
        <a:xfrm>
          <a:off x="610171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259080</xdr:colOff>
      <xdr:row>7</xdr:row>
      <xdr:rowOff>160020</xdr:rowOff>
    </xdr:from>
    <xdr:to>
      <xdr:col>12</xdr:col>
      <xdr:colOff>266700</xdr:colOff>
      <xdr:row>7</xdr:row>
      <xdr:rowOff>160020</xdr:rowOff>
    </xdr:to>
    <xdr:sp macro="" textlink="">
      <xdr:nvSpPr>
        <xdr:cNvPr id="1246688" name="Line 181">
          <a:extLst>
            <a:ext uri="{FF2B5EF4-FFF2-40B4-BE49-F238E27FC236}">
              <a16:creationId xmlns:a16="http://schemas.microsoft.com/office/drawing/2014/main" id="{00000000-0008-0000-4E00-0000E0051300}"/>
            </a:ext>
          </a:extLst>
        </xdr:cNvPr>
        <xdr:cNvSpPr/>
      </xdr:nvSpPr>
      <xdr:spPr>
        <a:xfrm flipH="1">
          <a:off x="5374005" y="1731645"/>
          <a:ext cx="762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38100</xdr:colOff>
      <xdr:row>7</xdr:row>
      <xdr:rowOff>182880</xdr:rowOff>
    </xdr:from>
    <xdr:to>
      <xdr:col>13</xdr:col>
      <xdr:colOff>38100</xdr:colOff>
      <xdr:row>7</xdr:row>
      <xdr:rowOff>182880</xdr:rowOff>
    </xdr:to>
    <xdr:sp macro="" textlink="">
      <xdr:nvSpPr>
        <xdr:cNvPr id="1246689" name="Line 182">
          <a:extLst>
            <a:ext uri="{FF2B5EF4-FFF2-40B4-BE49-F238E27FC236}">
              <a16:creationId xmlns:a16="http://schemas.microsoft.com/office/drawing/2014/main" id="{00000000-0008-0000-4E00-0000E1051300}"/>
            </a:ext>
          </a:extLst>
        </xdr:cNvPr>
        <xdr:cNvSpPr/>
      </xdr:nvSpPr>
      <xdr:spPr>
        <a:xfrm>
          <a:off x="570547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14</xdr:col>
      <xdr:colOff>15240</xdr:colOff>
      <xdr:row>8</xdr:row>
      <xdr:rowOff>30480</xdr:rowOff>
    </xdr:from>
    <xdr:to>
      <xdr:col>14</xdr:col>
      <xdr:colOff>15240</xdr:colOff>
      <xdr:row>8</xdr:row>
      <xdr:rowOff>30480</xdr:rowOff>
    </xdr:to>
    <xdr:sp macro="" textlink="">
      <xdr:nvSpPr>
        <xdr:cNvPr id="1246690" name="Line 183">
          <a:extLst>
            <a:ext uri="{FF2B5EF4-FFF2-40B4-BE49-F238E27FC236}">
              <a16:creationId xmlns:a16="http://schemas.microsoft.com/office/drawing/2014/main" id="{00000000-0008-0000-4E00-0000E2051300}"/>
            </a:ext>
          </a:extLst>
        </xdr:cNvPr>
        <xdr:cNvSpPr/>
      </xdr:nvSpPr>
      <xdr:spPr>
        <a:xfrm>
          <a:off x="6301740" y="17830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14</xdr:col>
      <xdr:colOff>251460</xdr:colOff>
      <xdr:row>7</xdr:row>
      <xdr:rowOff>182880</xdr:rowOff>
    </xdr:from>
    <xdr:to>
      <xdr:col>14</xdr:col>
      <xdr:colOff>251460</xdr:colOff>
      <xdr:row>7</xdr:row>
      <xdr:rowOff>182880</xdr:rowOff>
    </xdr:to>
    <xdr:sp macro="" textlink="">
      <xdr:nvSpPr>
        <xdr:cNvPr id="1246691" name="Line 184">
          <a:extLst>
            <a:ext uri="{FF2B5EF4-FFF2-40B4-BE49-F238E27FC236}">
              <a16:creationId xmlns:a16="http://schemas.microsoft.com/office/drawing/2014/main" id="{00000000-0008-0000-4E00-0000E3051300}"/>
            </a:ext>
          </a:extLst>
        </xdr:cNvPr>
        <xdr:cNvSpPr/>
      </xdr:nvSpPr>
      <xdr:spPr>
        <a:xfrm>
          <a:off x="6537960"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14</xdr:col>
      <xdr:colOff>274320</xdr:colOff>
      <xdr:row>8</xdr:row>
      <xdr:rowOff>99060</xdr:rowOff>
    </xdr:from>
    <xdr:to>
      <xdr:col>14</xdr:col>
      <xdr:colOff>274320</xdr:colOff>
      <xdr:row>8</xdr:row>
      <xdr:rowOff>99060</xdr:rowOff>
    </xdr:to>
    <xdr:sp macro="" textlink="">
      <xdr:nvSpPr>
        <xdr:cNvPr id="1246692" name="Line 185">
          <a:extLst>
            <a:ext uri="{FF2B5EF4-FFF2-40B4-BE49-F238E27FC236}">
              <a16:creationId xmlns:a16="http://schemas.microsoft.com/office/drawing/2014/main" id="{00000000-0008-0000-4E00-0000E4051300}"/>
            </a:ext>
          </a:extLst>
        </xdr:cNvPr>
        <xdr:cNvSpPr/>
      </xdr:nvSpPr>
      <xdr:spPr>
        <a:xfrm>
          <a:off x="6560820" y="185166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144780</xdr:colOff>
      <xdr:row>7</xdr:row>
      <xdr:rowOff>167640</xdr:rowOff>
    </xdr:from>
    <xdr:to>
      <xdr:col>12</xdr:col>
      <xdr:colOff>144780</xdr:colOff>
      <xdr:row>7</xdr:row>
      <xdr:rowOff>167640</xdr:rowOff>
    </xdr:to>
    <xdr:sp macro="" textlink="">
      <xdr:nvSpPr>
        <xdr:cNvPr id="1246693" name="Line 186">
          <a:extLst>
            <a:ext uri="{FF2B5EF4-FFF2-40B4-BE49-F238E27FC236}">
              <a16:creationId xmlns:a16="http://schemas.microsoft.com/office/drawing/2014/main" id="{00000000-0008-0000-4E00-0000E5051300}"/>
            </a:ext>
          </a:extLst>
        </xdr:cNvPr>
        <xdr:cNvSpPr/>
      </xdr:nvSpPr>
      <xdr:spPr>
        <a:xfrm>
          <a:off x="5259705" y="173926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388620</xdr:colOff>
      <xdr:row>8</xdr:row>
      <xdr:rowOff>45720</xdr:rowOff>
    </xdr:from>
    <xdr:to>
      <xdr:col>13</xdr:col>
      <xdr:colOff>388620</xdr:colOff>
      <xdr:row>8</xdr:row>
      <xdr:rowOff>45720</xdr:rowOff>
    </xdr:to>
    <xdr:sp macro="" textlink="">
      <xdr:nvSpPr>
        <xdr:cNvPr id="1246694" name="Line 187">
          <a:extLst>
            <a:ext uri="{FF2B5EF4-FFF2-40B4-BE49-F238E27FC236}">
              <a16:creationId xmlns:a16="http://schemas.microsoft.com/office/drawing/2014/main" id="{00000000-0008-0000-4E00-0000E6051300}"/>
            </a:ext>
          </a:extLst>
        </xdr:cNvPr>
        <xdr:cNvSpPr/>
      </xdr:nvSpPr>
      <xdr:spPr>
        <a:xfrm>
          <a:off x="6055995" y="17983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220980</xdr:colOff>
      <xdr:row>8</xdr:row>
      <xdr:rowOff>7620</xdr:rowOff>
    </xdr:from>
    <xdr:to>
      <xdr:col>13</xdr:col>
      <xdr:colOff>220980</xdr:colOff>
      <xdr:row>8</xdr:row>
      <xdr:rowOff>7620</xdr:rowOff>
    </xdr:to>
    <xdr:sp macro="" textlink="">
      <xdr:nvSpPr>
        <xdr:cNvPr id="1246695" name="Line 188">
          <a:extLst>
            <a:ext uri="{FF2B5EF4-FFF2-40B4-BE49-F238E27FC236}">
              <a16:creationId xmlns:a16="http://schemas.microsoft.com/office/drawing/2014/main" id="{00000000-0008-0000-4E00-0000E7051300}"/>
            </a:ext>
          </a:extLst>
        </xdr:cNvPr>
        <xdr:cNvSpPr/>
      </xdr:nvSpPr>
      <xdr:spPr>
        <a:xfrm>
          <a:off x="5888355" y="17602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14</xdr:col>
      <xdr:colOff>152400</xdr:colOff>
      <xdr:row>8</xdr:row>
      <xdr:rowOff>0</xdr:rowOff>
    </xdr:from>
    <xdr:to>
      <xdr:col>14</xdr:col>
      <xdr:colOff>160020</xdr:colOff>
      <xdr:row>8</xdr:row>
      <xdr:rowOff>0</xdr:rowOff>
    </xdr:to>
    <xdr:sp macro="" textlink="">
      <xdr:nvSpPr>
        <xdr:cNvPr id="1246696" name="Line 189">
          <a:extLst>
            <a:ext uri="{FF2B5EF4-FFF2-40B4-BE49-F238E27FC236}">
              <a16:creationId xmlns:a16="http://schemas.microsoft.com/office/drawing/2014/main" id="{00000000-0008-0000-4E00-0000E8051300}"/>
            </a:ext>
          </a:extLst>
        </xdr:cNvPr>
        <xdr:cNvSpPr/>
      </xdr:nvSpPr>
      <xdr:spPr>
        <a:xfrm flipH="1">
          <a:off x="6438900" y="1752600"/>
          <a:ext cx="762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137160</xdr:colOff>
      <xdr:row>7</xdr:row>
      <xdr:rowOff>160020</xdr:rowOff>
    </xdr:from>
    <xdr:to>
      <xdr:col>13</xdr:col>
      <xdr:colOff>137160</xdr:colOff>
      <xdr:row>7</xdr:row>
      <xdr:rowOff>160020</xdr:rowOff>
    </xdr:to>
    <xdr:sp macro="" textlink="">
      <xdr:nvSpPr>
        <xdr:cNvPr id="1246697" name="Line 190">
          <a:extLst>
            <a:ext uri="{FF2B5EF4-FFF2-40B4-BE49-F238E27FC236}">
              <a16:creationId xmlns:a16="http://schemas.microsoft.com/office/drawing/2014/main" id="{00000000-0008-0000-4E00-0000E9051300}"/>
            </a:ext>
          </a:extLst>
        </xdr:cNvPr>
        <xdr:cNvSpPr/>
      </xdr:nvSpPr>
      <xdr:spPr>
        <a:xfrm>
          <a:off x="5804535" y="173164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13</xdr:col>
      <xdr:colOff>449580</xdr:colOff>
      <xdr:row>8</xdr:row>
      <xdr:rowOff>99060</xdr:rowOff>
    </xdr:from>
    <xdr:to>
      <xdr:col>13</xdr:col>
      <xdr:colOff>449580</xdr:colOff>
      <xdr:row>8</xdr:row>
      <xdr:rowOff>99060</xdr:rowOff>
    </xdr:to>
    <xdr:sp macro="" textlink="">
      <xdr:nvSpPr>
        <xdr:cNvPr id="1246698" name="Line 191">
          <a:extLst>
            <a:ext uri="{FF2B5EF4-FFF2-40B4-BE49-F238E27FC236}">
              <a16:creationId xmlns:a16="http://schemas.microsoft.com/office/drawing/2014/main" id="{00000000-0008-0000-4E00-0000EA051300}"/>
            </a:ext>
          </a:extLst>
        </xdr:cNvPr>
        <xdr:cNvSpPr/>
      </xdr:nvSpPr>
      <xdr:spPr>
        <a:xfrm>
          <a:off x="6116955" y="185166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14</xdr:col>
      <xdr:colOff>60960</xdr:colOff>
      <xdr:row>7</xdr:row>
      <xdr:rowOff>160020</xdr:rowOff>
    </xdr:from>
    <xdr:to>
      <xdr:col>14</xdr:col>
      <xdr:colOff>60960</xdr:colOff>
      <xdr:row>7</xdr:row>
      <xdr:rowOff>160020</xdr:rowOff>
    </xdr:to>
    <xdr:sp macro="" textlink="">
      <xdr:nvSpPr>
        <xdr:cNvPr id="1246699" name="Line 192">
          <a:extLst>
            <a:ext uri="{FF2B5EF4-FFF2-40B4-BE49-F238E27FC236}">
              <a16:creationId xmlns:a16="http://schemas.microsoft.com/office/drawing/2014/main" id="{00000000-0008-0000-4E00-0000EB051300}"/>
            </a:ext>
          </a:extLst>
        </xdr:cNvPr>
        <xdr:cNvSpPr/>
      </xdr:nvSpPr>
      <xdr:spPr>
        <a:xfrm>
          <a:off x="6347460" y="173164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304800</xdr:colOff>
      <xdr:row>7</xdr:row>
      <xdr:rowOff>53340</xdr:rowOff>
    </xdr:from>
    <xdr:to>
      <xdr:col>18</xdr:col>
      <xdr:colOff>304800</xdr:colOff>
      <xdr:row>7</xdr:row>
      <xdr:rowOff>53340</xdr:rowOff>
    </xdr:to>
    <xdr:sp macro="" textlink="">
      <xdr:nvSpPr>
        <xdr:cNvPr id="1246700" name="Line 193">
          <a:extLst>
            <a:ext uri="{FF2B5EF4-FFF2-40B4-BE49-F238E27FC236}">
              <a16:creationId xmlns:a16="http://schemas.microsoft.com/office/drawing/2014/main" id="{00000000-0008-0000-4E00-0000EC051300}"/>
            </a:ext>
          </a:extLst>
        </xdr:cNvPr>
        <xdr:cNvSpPr/>
      </xdr:nvSpPr>
      <xdr:spPr>
        <a:xfrm>
          <a:off x="8001000" y="162496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381000</xdr:colOff>
      <xdr:row>7</xdr:row>
      <xdr:rowOff>75565</xdr:rowOff>
    </xdr:from>
    <xdr:to>
      <xdr:col>18</xdr:col>
      <xdr:colOff>381000</xdr:colOff>
      <xdr:row>7</xdr:row>
      <xdr:rowOff>75565</xdr:rowOff>
    </xdr:to>
    <xdr:sp macro="" textlink="">
      <xdr:nvSpPr>
        <xdr:cNvPr id="1246701" name="Line 194">
          <a:extLst>
            <a:ext uri="{FF2B5EF4-FFF2-40B4-BE49-F238E27FC236}">
              <a16:creationId xmlns:a16="http://schemas.microsoft.com/office/drawing/2014/main" id="{00000000-0008-0000-4E00-0000ED051300}"/>
            </a:ext>
          </a:extLst>
        </xdr:cNvPr>
        <xdr:cNvSpPr/>
      </xdr:nvSpPr>
      <xdr:spPr>
        <a:xfrm>
          <a:off x="8077200" y="164719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335280</xdr:colOff>
      <xdr:row>7</xdr:row>
      <xdr:rowOff>122555</xdr:rowOff>
    </xdr:from>
    <xdr:to>
      <xdr:col>18</xdr:col>
      <xdr:colOff>335280</xdr:colOff>
      <xdr:row>7</xdr:row>
      <xdr:rowOff>122555</xdr:rowOff>
    </xdr:to>
    <xdr:sp macro="" textlink="">
      <xdr:nvSpPr>
        <xdr:cNvPr id="1246702" name="Line 195">
          <a:extLst>
            <a:ext uri="{FF2B5EF4-FFF2-40B4-BE49-F238E27FC236}">
              <a16:creationId xmlns:a16="http://schemas.microsoft.com/office/drawing/2014/main" id="{00000000-0008-0000-4E00-0000EE051300}"/>
            </a:ext>
          </a:extLst>
        </xdr:cNvPr>
        <xdr:cNvSpPr/>
      </xdr:nvSpPr>
      <xdr:spPr>
        <a:xfrm>
          <a:off x="8031480" y="16941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5</xdr:col>
      <xdr:colOff>251460</xdr:colOff>
      <xdr:row>7</xdr:row>
      <xdr:rowOff>190500</xdr:rowOff>
    </xdr:from>
    <xdr:to>
      <xdr:col>5</xdr:col>
      <xdr:colOff>251460</xdr:colOff>
      <xdr:row>7</xdr:row>
      <xdr:rowOff>190500</xdr:rowOff>
    </xdr:to>
    <xdr:sp macro="" textlink="">
      <xdr:nvSpPr>
        <xdr:cNvPr id="1246703" name="Line 196">
          <a:extLst>
            <a:ext uri="{FF2B5EF4-FFF2-40B4-BE49-F238E27FC236}">
              <a16:creationId xmlns:a16="http://schemas.microsoft.com/office/drawing/2014/main" id="{00000000-0008-0000-4E00-0000EF051300}"/>
            </a:ext>
          </a:extLst>
        </xdr:cNvPr>
        <xdr:cNvSpPr/>
      </xdr:nvSpPr>
      <xdr:spPr>
        <a:xfrm>
          <a:off x="287083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5</xdr:col>
      <xdr:colOff>297180</xdr:colOff>
      <xdr:row>8</xdr:row>
      <xdr:rowOff>45720</xdr:rowOff>
    </xdr:from>
    <xdr:to>
      <xdr:col>5</xdr:col>
      <xdr:colOff>297180</xdr:colOff>
      <xdr:row>8</xdr:row>
      <xdr:rowOff>45720</xdr:rowOff>
    </xdr:to>
    <xdr:sp macro="" textlink="">
      <xdr:nvSpPr>
        <xdr:cNvPr id="1246704" name="Line 197">
          <a:extLst>
            <a:ext uri="{FF2B5EF4-FFF2-40B4-BE49-F238E27FC236}">
              <a16:creationId xmlns:a16="http://schemas.microsoft.com/office/drawing/2014/main" id="{00000000-0008-0000-4E00-0000F0051300}"/>
            </a:ext>
          </a:extLst>
        </xdr:cNvPr>
        <xdr:cNvSpPr/>
      </xdr:nvSpPr>
      <xdr:spPr>
        <a:xfrm>
          <a:off x="2916555" y="17983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6</xdr:col>
      <xdr:colOff>22860</xdr:colOff>
      <xdr:row>8</xdr:row>
      <xdr:rowOff>114300</xdr:rowOff>
    </xdr:from>
    <xdr:to>
      <xdr:col>6</xdr:col>
      <xdr:colOff>22860</xdr:colOff>
      <xdr:row>8</xdr:row>
      <xdr:rowOff>114300</xdr:rowOff>
    </xdr:to>
    <xdr:sp macro="" textlink="">
      <xdr:nvSpPr>
        <xdr:cNvPr id="1246705" name="Line 198">
          <a:extLst>
            <a:ext uri="{FF2B5EF4-FFF2-40B4-BE49-F238E27FC236}">
              <a16:creationId xmlns:a16="http://schemas.microsoft.com/office/drawing/2014/main" id="{00000000-0008-0000-4E00-0000F1051300}"/>
            </a:ext>
          </a:extLst>
        </xdr:cNvPr>
        <xdr:cNvSpPr/>
      </xdr:nvSpPr>
      <xdr:spPr>
        <a:xfrm>
          <a:off x="2994660" y="18669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6</xdr:col>
      <xdr:colOff>228600</xdr:colOff>
      <xdr:row>8</xdr:row>
      <xdr:rowOff>114300</xdr:rowOff>
    </xdr:from>
    <xdr:to>
      <xdr:col>6</xdr:col>
      <xdr:colOff>228600</xdr:colOff>
      <xdr:row>8</xdr:row>
      <xdr:rowOff>114300</xdr:rowOff>
    </xdr:to>
    <xdr:sp macro="" textlink="">
      <xdr:nvSpPr>
        <xdr:cNvPr id="1246706" name="Line 199">
          <a:extLst>
            <a:ext uri="{FF2B5EF4-FFF2-40B4-BE49-F238E27FC236}">
              <a16:creationId xmlns:a16="http://schemas.microsoft.com/office/drawing/2014/main" id="{00000000-0008-0000-4E00-0000F2051300}"/>
            </a:ext>
          </a:extLst>
        </xdr:cNvPr>
        <xdr:cNvSpPr/>
      </xdr:nvSpPr>
      <xdr:spPr>
        <a:xfrm>
          <a:off x="3200400" y="18669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6</xdr:col>
      <xdr:colOff>121920</xdr:colOff>
      <xdr:row>8</xdr:row>
      <xdr:rowOff>122555</xdr:rowOff>
    </xdr:from>
    <xdr:to>
      <xdr:col>6</xdr:col>
      <xdr:colOff>121920</xdr:colOff>
      <xdr:row>8</xdr:row>
      <xdr:rowOff>122555</xdr:rowOff>
    </xdr:to>
    <xdr:sp macro="" textlink="">
      <xdr:nvSpPr>
        <xdr:cNvPr id="1246707" name="Line 200">
          <a:extLst>
            <a:ext uri="{FF2B5EF4-FFF2-40B4-BE49-F238E27FC236}">
              <a16:creationId xmlns:a16="http://schemas.microsoft.com/office/drawing/2014/main" id="{00000000-0008-0000-4E00-0000F3051300}"/>
            </a:ext>
          </a:extLst>
        </xdr:cNvPr>
        <xdr:cNvSpPr/>
      </xdr:nvSpPr>
      <xdr:spPr>
        <a:xfrm>
          <a:off x="3093720" y="1875155"/>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8</xdr:col>
      <xdr:colOff>205740</xdr:colOff>
      <xdr:row>8</xdr:row>
      <xdr:rowOff>106680</xdr:rowOff>
    </xdr:from>
    <xdr:to>
      <xdr:col>8</xdr:col>
      <xdr:colOff>205740</xdr:colOff>
      <xdr:row>8</xdr:row>
      <xdr:rowOff>106680</xdr:rowOff>
    </xdr:to>
    <xdr:sp macro="" textlink="">
      <xdr:nvSpPr>
        <xdr:cNvPr id="1246708" name="Line 201">
          <a:extLst>
            <a:ext uri="{FF2B5EF4-FFF2-40B4-BE49-F238E27FC236}">
              <a16:creationId xmlns:a16="http://schemas.microsoft.com/office/drawing/2014/main" id="{00000000-0008-0000-4E00-0000F4051300}"/>
            </a:ext>
          </a:extLst>
        </xdr:cNvPr>
        <xdr:cNvSpPr/>
      </xdr:nvSpPr>
      <xdr:spPr>
        <a:xfrm>
          <a:off x="3625215" y="18592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9</xdr:col>
      <xdr:colOff>60960</xdr:colOff>
      <xdr:row>8</xdr:row>
      <xdr:rowOff>99060</xdr:rowOff>
    </xdr:from>
    <xdr:to>
      <xdr:col>9</xdr:col>
      <xdr:colOff>60960</xdr:colOff>
      <xdr:row>8</xdr:row>
      <xdr:rowOff>99060</xdr:rowOff>
    </xdr:to>
    <xdr:sp macro="" textlink="">
      <xdr:nvSpPr>
        <xdr:cNvPr id="1246709" name="Line 202">
          <a:extLst>
            <a:ext uri="{FF2B5EF4-FFF2-40B4-BE49-F238E27FC236}">
              <a16:creationId xmlns:a16="http://schemas.microsoft.com/office/drawing/2014/main" id="{00000000-0008-0000-4E00-0000F5051300}"/>
            </a:ext>
          </a:extLst>
        </xdr:cNvPr>
        <xdr:cNvSpPr/>
      </xdr:nvSpPr>
      <xdr:spPr>
        <a:xfrm>
          <a:off x="3890010" y="185166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9</xdr:col>
      <xdr:colOff>160020</xdr:colOff>
      <xdr:row>7</xdr:row>
      <xdr:rowOff>190500</xdr:rowOff>
    </xdr:from>
    <xdr:to>
      <xdr:col>9</xdr:col>
      <xdr:colOff>160020</xdr:colOff>
      <xdr:row>7</xdr:row>
      <xdr:rowOff>190500</xdr:rowOff>
    </xdr:to>
    <xdr:sp macro="" textlink="">
      <xdr:nvSpPr>
        <xdr:cNvPr id="1246710" name="Line 203">
          <a:extLst>
            <a:ext uri="{FF2B5EF4-FFF2-40B4-BE49-F238E27FC236}">
              <a16:creationId xmlns:a16="http://schemas.microsoft.com/office/drawing/2014/main" id="{00000000-0008-0000-4E00-0000F6051300}"/>
            </a:ext>
          </a:extLst>
        </xdr:cNvPr>
        <xdr:cNvSpPr/>
      </xdr:nvSpPr>
      <xdr:spPr>
        <a:xfrm>
          <a:off x="3989070"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8</xdr:col>
      <xdr:colOff>30480</xdr:colOff>
      <xdr:row>7</xdr:row>
      <xdr:rowOff>190500</xdr:rowOff>
    </xdr:from>
    <xdr:to>
      <xdr:col>8</xdr:col>
      <xdr:colOff>30480</xdr:colOff>
      <xdr:row>7</xdr:row>
      <xdr:rowOff>190500</xdr:rowOff>
    </xdr:to>
    <xdr:sp macro="" textlink="">
      <xdr:nvSpPr>
        <xdr:cNvPr id="1246711" name="Line 204">
          <a:extLst>
            <a:ext uri="{FF2B5EF4-FFF2-40B4-BE49-F238E27FC236}">
              <a16:creationId xmlns:a16="http://schemas.microsoft.com/office/drawing/2014/main" id="{00000000-0008-0000-4E00-0000F7051300}"/>
            </a:ext>
          </a:extLst>
        </xdr:cNvPr>
        <xdr:cNvSpPr/>
      </xdr:nvSpPr>
      <xdr:spPr>
        <a:xfrm>
          <a:off x="344995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8</xdr:col>
      <xdr:colOff>129540</xdr:colOff>
      <xdr:row>8</xdr:row>
      <xdr:rowOff>7620</xdr:rowOff>
    </xdr:from>
    <xdr:to>
      <xdr:col>8</xdr:col>
      <xdr:colOff>129540</xdr:colOff>
      <xdr:row>8</xdr:row>
      <xdr:rowOff>7620</xdr:rowOff>
    </xdr:to>
    <xdr:sp macro="" textlink="">
      <xdr:nvSpPr>
        <xdr:cNvPr id="1246712" name="Line 205">
          <a:extLst>
            <a:ext uri="{FF2B5EF4-FFF2-40B4-BE49-F238E27FC236}">
              <a16:creationId xmlns:a16="http://schemas.microsoft.com/office/drawing/2014/main" id="{00000000-0008-0000-4E00-0000F8051300}"/>
            </a:ext>
          </a:extLst>
        </xdr:cNvPr>
        <xdr:cNvSpPr/>
      </xdr:nvSpPr>
      <xdr:spPr>
        <a:xfrm>
          <a:off x="3549015" y="17602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6</xdr:col>
      <xdr:colOff>304800</xdr:colOff>
      <xdr:row>8</xdr:row>
      <xdr:rowOff>53340</xdr:rowOff>
    </xdr:from>
    <xdr:to>
      <xdr:col>6</xdr:col>
      <xdr:colOff>304800</xdr:colOff>
      <xdr:row>8</xdr:row>
      <xdr:rowOff>53340</xdr:rowOff>
    </xdr:to>
    <xdr:sp macro="" textlink="">
      <xdr:nvSpPr>
        <xdr:cNvPr id="1246713" name="Line 206">
          <a:extLst>
            <a:ext uri="{FF2B5EF4-FFF2-40B4-BE49-F238E27FC236}">
              <a16:creationId xmlns:a16="http://schemas.microsoft.com/office/drawing/2014/main" id="{00000000-0008-0000-4E00-0000F9051300}"/>
            </a:ext>
          </a:extLst>
        </xdr:cNvPr>
        <xdr:cNvSpPr/>
      </xdr:nvSpPr>
      <xdr:spPr>
        <a:xfrm>
          <a:off x="3276600" y="180594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8</xdr:col>
      <xdr:colOff>297180</xdr:colOff>
      <xdr:row>8</xdr:row>
      <xdr:rowOff>106680</xdr:rowOff>
    </xdr:from>
    <xdr:to>
      <xdr:col>8</xdr:col>
      <xdr:colOff>297180</xdr:colOff>
      <xdr:row>8</xdr:row>
      <xdr:rowOff>106680</xdr:rowOff>
    </xdr:to>
    <xdr:sp macro="" textlink="">
      <xdr:nvSpPr>
        <xdr:cNvPr id="1246714" name="Line 207">
          <a:extLst>
            <a:ext uri="{FF2B5EF4-FFF2-40B4-BE49-F238E27FC236}">
              <a16:creationId xmlns:a16="http://schemas.microsoft.com/office/drawing/2014/main" id="{00000000-0008-0000-4E00-0000FA051300}"/>
            </a:ext>
          </a:extLst>
        </xdr:cNvPr>
        <xdr:cNvSpPr/>
      </xdr:nvSpPr>
      <xdr:spPr>
        <a:xfrm>
          <a:off x="3716655" y="18592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8</xdr:col>
      <xdr:colOff>381000</xdr:colOff>
      <xdr:row>8</xdr:row>
      <xdr:rowOff>106680</xdr:rowOff>
    </xdr:from>
    <xdr:to>
      <xdr:col>8</xdr:col>
      <xdr:colOff>381000</xdr:colOff>
      <xdr:row>8</xdr:row>
      <xdr:rowOff>106680</xdr:rowOff>
    </xdr:to>
    <xdr:sp macro="" textlink="">
      <xdr:nvSpPr>
        <xdr:cNvPr id="1246715" name="Line 208">
          <a:extLst>
            <a:ext uri="{FF2B5EF4-FFF2-40B4-BE49-F238E27FC236}">
              <a16:creationId xmlns:a16="http://schemas.microsoft.com/office/drawing/2014/main" id="{00000000-0008-0000-4E00-0000FB051300}"/>
            </a:ext>
          </a:extLst>
        </xdr:cNvPr>
        <xdr:cNvSpPr/>
      </xdr:nvSpPr>
      <xdr:spPr>
        <a:xfrm>
          <a:off x="3800475" y="18592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7</xdr:col>
      <xdr:colOff>15240</xdr:colOff>
      <xdr:row>7</xdr:row>
      <xdr:rowOff>190500</xdr:rowOff>
    </xdr:from>
    <xdr:to>
      <xdr:col>7</xdr:col>
      <xdr:colOff>15240</xdr:colOff>
      <xdr:row>7</xdr:row>
      <xdr:rowOff>190500</xdr:rowOff>
    </xdr:to>
    <xdr:sp macro="" textlink="">
      <xdr:nvSpPr>
        <xdr:cNvPr id="1246716" name="Line 209">
          <a:extLst>
            <a:ext uri="{FF2B5EF4-FFF2-40B4-BE49-F238E27FC236}">
              <a16:creationId xmlns:a16="http://schemas.microsoft.com/office/drawing/2014/main" id="{00000000-0008-0000-4E00-0000FC051300}"/>
            </a:ext>
          </a:extLst>
        </xdr:cNvPr>
        <xdr:cNvSpPr/>
      </xdr:nvSpPr>
      <xdr:spPr>
        <a:xfrm>
          <a:off x="3339465" y="175260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18</xdr:col>
      <xdr:colOff>22860</xdr:colOff>
      <xdr:row>3</xdr:row>
      <xdr:rowOff>243205</xdr:rowOff>
    </xdr:from>
    <xdr:to>
      <xdr:col>19</xdr:col>
      <xdr:colOff>99060</xdr:colOff>
      <xdr:row>4</xdr:row>
      <xdr:rowOff>30480</xdr:rowOff>
    </xdr:to>
    <xdr:sp macro="" textlink="">
      <xdr:nvSpPr>
        <xdr:cNvPr id="1246717" name="FreeForm 210">
          <a:extLst>
            <a:ext uri="{FF2B5EF4-FFF2-40B4-BE49-F238E27FC236}">
              <a16:creationId xmlns:a16="http://schemas.microsoft.com/office/drawing/2014/main" id="{00000000-0008-0000-4E00-0000FD051300}"/>
            </a:ext>
          </a:extLst>
        </xdr:cNvPr>
        <xdr:cNvSpPr/>
      </xdr:nvSpPr>
      <xdr:spPr>
        <a:xfrm>
          <a:off x="7719060" y="938530"/>
          <a:ext cx="581025" cy="120650"/>
        </a:xfrm>
        <a:custGeom>
          <a:avLst/>
          <a:gdLst/>
          <a:ahLst/>
          <a:cxnLst>
            <a:cxn ang="0">
              <a:pos x="0" y="8"/>
            </a:cxn>
            <a:cxn ang="0">
              <a:pos x="17" y="0"/>
            </a:cxn>
            <a:cxn ang="0">
              <a:pos x="35" y="11"/>
            </a:cxn>
            <a:cxn ang="0">
              <a:pos x="54" y="9"/>
            </a:cxn>
            <a:cxn ang="0">
              <a:pos x="69" y="4"/>
            </a:cxn>
            <a:cxn ang="0">
              <a:pos x="73" y="6"/>
            </a:cxn>
          </a:cxnLst>
          <a:rect l="0" t="0" r="0" b="0"/>
          <a:pathLst>
            <a:path w="73" h="12">
              <a:moveTo>
                <a:pt x="0" y="8"/>
              </a:moveTo>
              <a:cubicBezTo>
                <a:pt x="5" y="4"/>
                <a:pt x="11" y="0"/>
                <a:pt x="17" y="0"/>
              </a:cubicBezTo>
              <a:cubicBezTo>
                <a:pt x="23" y="0"/>
                <a:pt x="29" y="10"/>
                <a:pt x="35" y="11"/>
              </a:cubicBezTo>
              <a:cubicBezTo>
                <a:pt x="41" y="12"/>
                <a:pt x="48" y="10"/>
                <a:pt x="54" y="9"/>
              </a:cubicBezTo>
              <a:cubicBezTo>
                <a:pt x="60" y="8"/>
                <a:pt x="66" y="4"/>
                <a:pt x="69" y="4"/>
              </a:cubicBezTo>
              <a:cubicBezTo>
                <a:pt x="72" y="4"/>
                <a:pt x="72" y="5"/>
                <a:pt x="73" y="6"/>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12</xdr:col>
      <xdr:colOff>396240</xdr:colOff>
      <xdr:row>7</xdr:row>
      <xdr:rowOff>160020</xdr:rowOff>
    </xdr:from>
    <xdr:to>
      <xdr:col>12</xdr:col>
      <xdr:colOff>403860</xdr:colOff>
      <xdr:row>7</xdr:row>
      <xdr:rowOff>160020</xdr:rowOff>
    </xdr:to>
    <xdr:sp macro="" textlink="">
      <xdr:nvSpPr>
        <xdr:cNvPr id="1246718" name="Line 211">
          <a:extLst>
            <a:ext uri="{FF2B5EF4-FFF2-40B4-BE49-F238E27FC236}">
              <a16:creationId xmlns:a16="http://schemas.microsoft.com/office/drawing/2014/main" id="{00000000-0008-0000-4E00-0000FE051300}"/>
            </a:ext>
          </a:extLst>
        </xdr:cNvPr>
        <xdr:cNvSpPr/>
      </xdr:nvSpPr>
      <xdr:spPr>
        <a:xfrm flipH="1">
          <a:off x="5511165" y="1731645"/>
          <a:ext cx="7620" cy="0"/>
        </a:xfrm>
        <a:prstGeom prst="line">
          <a:avLst/>
        </a:prstGeom>
        <a:ln w="3175" cap="flat" cmpd="sng">
          <a:solidFill>
            <a:srgbClr val="000000"/>
          </a:solidFill>
          <a:prstDash val="solid"/>
          <a:round/>
          <a:headEnd type="none" w="med" len="med"/>
          <a:tailEnd type="oval" w="sm" len="sm"/>
        </a:ln>
      </xdr:spPr>
    </xdr:sp>
    <xdr:clientData/>
  </xdr:twoCellAnchor>
  <xdr:twoCellAnchor>
    <xdr:from>
      <xdr:col>12</xdr:col>
      <xdr:colOff>480060</xdr:colOff>
      <xdr:row>7</xdr:row>
      <xdr:rowOff>198120</xdr:rowOff>
    </xdr:from>
    <xdr:to>
      <xdr:col>12</xdr:col>
      <xdr:colOff>487680</xdr:colOff>
      <xdr:row>8</xdr:row>
      <xdr:rowOff>0</xdr:rowOff>
    </xdr:to>
    <xdr:sp macro="" textlink="">
      <xdr:nvSpPr>
        <xdr:cNvPr id="1246719" name="Line 212">
          <a:extLst>
            <a:ext uri="{FF2B5EF4-FFF2-40B4-BE49-F238E27FC236}">
              <a16:creationId xmlns:a16="http://schemas.microsoft.com/office/drawing/2014/main" id="{00000000-0008-0000-4E00-0000FF051300}"/>
            </a:ext>
          </a:extLst>
        </xdr:cNvPr>
        <xdr:cNvSpPr/>
      </xdr:nvSpPr>
      <xdr:spPr>
        <a:xfrm flipH="1">
          <a:off x="5594985" y="1752600"/>
          <a:ext cx="7620" cy="0"/>
        </a:xfrm>
        <a:prstGeom prst="line">
          <a:avLst/>
        </a:prstGeom>
        <a:ln w="3175" cap="flat" cmpd="sng">
          <a:solidFill>
            <a:srgbClr val="000000"/>
          </a:solidFill>
          <a:prstDash val="solid"/>
          <a:round/>
          <a:headEnd type="none" w="med" len="med"/>
          <a:tailEnd type="oval" w="sm" len="sm"/>
        </a:ln>
      </xdr:spPr>
    </xdr:sp>
    <xdr:clientData/>
  </xdr:twoCellAnchor>
  <xdr:twoCellAnchor>
    <xdr:from>
      <xdr:col>9</xdr:col>
      <xdr:colOff>114300</xdr:colOff>
      <xdr:row>8</xdr:row>
      <xdr:rowOff>30480</xdr:rowOff>
    </xdr:from>
    <xdr:to>
      <xdr:col>9</xdr:col>
      <xdr:colOff>114300</xdr:colOff>
      <xdr:row>8</xdr:row>
      <xdr:rowOff>30480</xdr:rowOff>
    </xdr:to>
    <xdr:sp macro="" textlink="">
      <xdr:nvSpPr>
        <xdr:cNvPr id="1246720" name="Line 213">
          <a:extLst>
            <a:ext uri="{FF2B5EF4-FFF2-40B4-BE49-F238E27FC236}">
              <a16:creationId xmlns:a16="http://schemas.microsoft.com/office/drawing/2014/main" id="{00000000-0008-0000-4E00-000000061300}"/>
            </a:ext>
          </a:extLst>
        </xdr:cNvPr>
        <xdr:cNvSpPr/>
      </xdr:nvSpPr>
      <xdr:spPr>
        <a:xfrm>
          <a:off x="3943350" y="178308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434340</xdr:colOff>
      <xdr:row>8</xdr:row>
      <xdr:rowOff>7620</xdr:rowOff>
    </xdr:from>
    <xdr:to>
      <xdr:col>3</xdr:col>
      <xdr:colOff>434340</xdr:colOff>
      <xdr:row>8</xdr:row>
      <xdr:rowOff>7620</xdr:rowOff>
    </xdr:to>
    <xdr:sp macro="" textlink="">
      <xdr:nvSpPr>
        <xdr:cNvPr id="1246721" name="Line 214">
          <a:extLst>
            <a:ext uri="{FF2B5EF4-FFF2-40B4-BE49-F238E27FC236}">
              <a16:creationId xmlns:a16="http://schemas.microsoft.com/office/drawing/2014/main" id="{00000000-0008-0000-4E00-000001061300}"/>
            </a:ext>
          </a:extLst>
        </xdr:cNvPr>
        <xdr:cNvSpPr/>
      </xdr:nvSpPr>
      <xdr:spPr>
        <a:xfrm>
          <a:off x="1758315" y="1760220"/>
          <a:ext cx="0" cy="0"/>
        </a:xfrm>
        <a:prstGeom prst="line">
          <a:avLst/>
        </a:prstGeom>
        <a:ln w="3175" cap="flat" cmpd="sng">
          <a:solidFill>
            <a:srgbClr val="000000"/>
          </a:solidFill>
          <a:prstDash val="solid"/>
          <a:round/>
          <a:headEnd type="none" w="med" len="med"/>
          <a:tailEnd type="oval" w="sm" len="sm"/>
        </a:ln>
      </xdr:spPr>
    </xdr:sp>
    <xdr:clientData/>
  </xdr:twoCellAnchor>
  <xdr:twoCellAnchor>
    <xdr:from>
      <xdr:col>3</xdr:col>
      <xdr:colOff>327660</xdr:colOff>
      <xdr:row>8</xdr:row>
      <xdr:rowOff>68580</xdr:rowOff>
    </xdr:from>
    <xdr:to>
      <xdr:col>3</xdr:col>
      <xdr:colOff>327660</xdr:colOff>
      <xdr:row>8</xdr:row>
      <xdr:rowOff>68580</xdr:rowOff>
    </xdr:to>
    <xdr:sp macro="" textlink="">
      <xdr:nvSpPr>
        <xdr:cNvPr id="1246722" name="Line 215">
          <a:extLst>
            <a:ext uri="{FF2B5EF4-FFF2-40B4-BE49-F238E27FC236}">
              <a16:creationId xmlns:a16="http://schemas.microsoft.com/office/drawing/2014/main" id="{00000000-0008-0000-4E00-000002061300}"/>
            </a:ext>
          </a:extLst>
        </xdr:cNvPr>
        <xdr:cNvSpPr/>
      </xdr:nvSpPr>
      <xdr:spPr>
        <a:xfrm>
          <a:off x="1651635" y="1821180"/>
          <a:ext cx="0" cy="0"/>
        </a:xfrm>
        <a:prstGeom prst="line">
          <a:avLst/>
        </a:prstGeom>
        <a:ln w="3175" cap="flat" cmpd="sng">
          <a:solidFill>
            <a:srgbClr val="000000"/>
          </a:solidFill>
          <a:prstDash val="solid"/>
          <a:round/>
          <a:headEnd type="none" w="med" len="med"/>
          <a:tailEnd type="oval" w="sm" len="sm"/>
        </a:ln>
      </xdr:spPr>
    </xdr:sp>
    <xdr:clientData/>
  </xdr:twoCellAnchor>
  <xdr:twoCellAnchor editAs="absolute">
    <xdr:from>
      <xdr:col>11</xdr:col>
      <xdr:colOff>0</xdr:colOff>
      <xdr:row>1</xdr:row>
      <xdr:rowOff>0</xdr:rowOff>
    </xdr:from>
    <xdr:to>
      <xdr:col>12</xdr:col>
      <xdr:colOff>312244</xdr:colOff>
      <xdr:row>2</xdr:row>
      <xdr:rowOff>36099</xdr:rowOff>
    </xdr:to>
    <xdr:sp macro="" textlink="">
      <xdr:nvSpPr>
        <xdr:cNvPr id="3" name="五边形 1">
          <a:hlinkClick xmlns:r="http://schemas.openxmlformats.org/officeDocument/2006/relationships" r:id="rId1"/>
          <a:extLst>
            <a:ext uri="{FF2B5EF4-FFF2-40B4-BE49-F238E27FC236}">
              <a16:creationId xmlns:a16="http://schemas.microsoft.com/office/drawing/2014/main" id="{00000000-0008-0000-4E00-000003000000}"/>
            </a:ext>
          </a:extLst>
        </xdr:cNvPr>
        <xdr:cNvSpPr>
          <a:spLocks noChangeAspect="1"/>
        </xdr:cNvSpPr>
      </xdr:nvSpPr>
      <xdr:spPr>
        <a:xfrm flipH="1">
          <a:off x="4648200" y="18097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3</xdr:col>
      <xdr:colOff>251460</xdr:colOff>
      <xdr:row>8</xdr:row>
      <xdr:rowOff>106680</xdr:rowOff>
    </xdr:from>
    <xdr:to>
      <xdr:col>5</xdr:col>
      <xdr:colOff>213360</xdr:colOff>
      <xdr:row>8</xdr:row>
      <xdr:rowOff>106680</xdr:rowOff>
    </xdr:to>
    <xdr:sp macro="" textlink="">
      <xdr:nvSpPr>
        <xdr:cNvPr id="1244398" name="Line 2">
          <a:extLst>
            <a:ext uri="{FF2B5EF4-FFF2-40B4-BE49-F238E27FC236}">
              <a16:creationId xmlns:a16="http://schemas.microsoft.com/office/drawing/2014/main" id="{00000000-0008-0000-4F00-0000EEFC1200}"/>
            </a:ext>
          </a:extLst>
        </xdr:cNvPr>
        <xdr:cNvSpPr/>
      </xdr:nvSpPr>
      <xdr:spPr>
        <a:xfrm rot="2700000">
          <a:off x="2212975" y="1966595"/>
          <a:ext cx="635" cy="704850"/>
        </a:xfrm>
        <a:prstGeom prst="line">
          <a:avLst/>
        </a:prstGeom>
        <a:ln w="76200" cap="flat" cmpd="sng">
          <a:solidFill>
            <a:srgbClr val="000000"/>
          </a:solidFill>
          <a:prstDash val="solid"/>
          <a:round/>
          <a:headEnd type="none" w="med" len="med"/>
          <a:tailEnd type="none" w="med" len="med"/>
        </a:ln>
      </xdr:spPr>
    </xdr:sp>
    <xdr:clientData/>
  </xdr:twoCellAnchor>
  <xdr:twoCellAnchor>
    <xdr:from>
      <xdr:col>2</xdr:col>
      <xdr:colOff>480060</xdr:colOff>
      <xdr:row>6</xdr:row>
      <xdr:rowOff>221615</xdr:rowOff>
    </xdr:from>
    <xdr:to>
      <xdr:col>2</xdr:col>
      <xdr:colOff>480060</xdr:colOff>
      <xdr:row>9</xdr:row>
      <xdr:rowOff>236220</xdr:rowOff>
    </xdr:to>
    <xdr:sp macro="" textlink="">
      <xdr:nvSpPr>
        <xdr:cNvPr id="1244399" name="Line 3">
          <a:extLst>
            <a:ext uri="{FF2B5EF4-FFF2-40B4-BE49-F238E27FC236}">
              <a16:creationId xmlns:a16="http://schemas.microsoft.com/office/drawing/2014/main" id="{00000000-0008-0000-4F00-0000EFFC1200}"/>
            </a:ext>
          </a:extLst>
        </xdr:cNvPr>
        <xdr:cNvSpPr/>
      </xdr:nvSpPr>
      <xdr:spPr>
        <a:xfrm rot="-2700000">
          <a:off x="1546860" y="1923415"/>
          <a:ext cx="0" cy="780415"/>
        </a:xfrm>
        <a:prstGeom prst="line">
          <a:avLst/>
        </a:prstGeom>
        <a:ln w="76200" cap="flat" cmpd="sng">
          <a:solidFill>
            <a:srgbClr val="000000"/>
          </a:solidFill>
          <a:prstDash val="solid"/>
          <a:round/>
          <a:headEnd type="none" w="med" len="med"/>
          <a:tailEnd type="none" w="med" len="med"/>
        </a:ln>
      </xdr:spPr>
    </xdr:sp>
    <xdr:clientData/>
  </xdr:twoCellAnchor>
  <xdr:twoCellAnchor>
    <xdr:from>
      <xdr:col>3</xdr:col>
      <xdr:colOff>205740</xdr:colOff>
      <xdr:row>9</xdr:row>
      <xdr:rowOff>45720</xdr:rowOff>
    </xdr:from>
    <xdr:to>
      <xdr:col>3</xdr:col>
      <xdr:colOff>335280</xdr:colOff>
      <xdr:row>9</xdr:row>
      <xdr:rowOff>190500</xdr:rowOff>
    </xdr:to>
    <xdr:sp macro="" textlink="">
      <xdr:nvSpPr>
        <xdr:cNvPr id="1244400" name="Arc 5">
          <a:extLst>
            <a:ext uri="{FF2B5EF4-FFF2-40B4-BE49-F238E27FC236}">
              <a16:creationId xmlns:a16="http://schemas.microsoft.com/office/drawing/2014/main" id="{00000000-0008-0000-4F00-0000F0FC1200}"/>
            </a:ext>
          </a:extLst>
        </xdr:cNvPr>
        <xdr:cNvSpPr/>
      </xdr:nvSpPr>
      <xdr:spPr>
        <a:xfrm rot="-8100000" flipH="1">
          <a:off x="1815465" y="2513330"/>
          <a:ext cx="129540" cy="14478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3</xdr:col>
      <xdr:colOff>266700</xdr:colOff>
      <xdr:row>8</xdr:row>
      <xdr:rowOff>236220</xdr:rowOff>
    </xdr:from>
    <xdr:to>
      <xdr:col>3</xdr:col>
      <xdr:colOff>266700</xdr:colOff>
      <xdr:row>9</xdr:row>
      <xdr:rowOff>137795</xdr:rowOff>
    </xdr:to>
    <xdr:sp macro="" textlink="">
      <xdr:nvSpPr>
        <xdr:cNvPr id="1244401" name="Line 6">
          <a:extLst>
            <a:ext uri="{FF2B5EF4-FFF2-40B4-BE49-F238E27FC236}">
              <a16:creationId xmlns:a16="http://schemas.microsoft.com/office/drawing/2014/main" id="{00000000-0008-0000-4F00-0000F1FC1200}"/>
            </a:ext>
          </a:extLst>
        </xdr:cNvPr>
        <xdr:cNvSpPr/>
      </xdr:nvSpPr>
      <xdr:spPr>
        <a:xfrm>
          <a:off x="1876425" y="2448560"/>
          <a:ext cx="0" cy="156845"/>
        </a:xfrm>
        <a:prstGeom prst="line">
          <a:avLst/>
        </a:prstGeom>
        <a:ln w="9525" cap="flat" cmpd="sng">
          <a:solidFill>
            <a:srgbClr val="000000"/>
          </a:solidFill>
          <a:prstDash val="solid"/>
          <a:round/>
          <a:headEnd type="oval" w="sm" len="sm"/>
          <a:tailEnd type="arrow" w="sm" len="sm"/>
        </a:ln>
      </xdr:spPr>
    </xdr:sp>
    <xdr:clientData/>
  </xdr:twoCellAnchor>
  <xdr:twoCellAnchor>
    <xdr:from>
      <xdr:col>2</xdr:col>
      <xdr:colOff>487680</xdr:colOff>
      <xdr:row>6</xdr:row>
      <xdr:rowOff>15240</xdr:rowOff>
    </xdr:from>
    <xdr:to>
      <xdr:col>2</xdr:col>
      <xdr:colOff>487680</xdr:colOff>
      <xdr:row>8</xdr:row>
      <xdr:rowOff>52705</xdr:rowOff>
    </xdr:to>
    <xdr:sp macro="" textlink="">
      <xdr:nvSpPr>
        <xdr:cNvPr id="1244402" name="Line 7">
          <a:extLst>
            <a:ext uri="{FF2B5EF4-FFF2-40B4-BE49-F238E27FC236}">
              <a16:creationId xmlns:a16="http://schemas.microsoft.com/office/drawing/2014/main" id="{00000000-0008-0000-4F00-0000F2FC1200}"/>
            </a:ext>
          </a:extLst>
        </xdr:cNvPr>
        <xdr:cNvSpPr/>
      </xdr:nvSpPr>
      <xdr:spPr>
        <a:xfrm flipV="1">
          <a:off x="1554480" y="1717040"/>
          <a:ext cx="0" cy="548005"/>
        </a:xfrm>
        <a:prstGeom prst="line">
          <a:avLst/>
        </a:prstGeom>
        <a:ln w="15875" cap="flat" cmpd="sng">
          <a:solidFill>
            <a:srgbClr val="000000"/>
          </a:solidFill>
          <a:prstDash val="solid"/>
          <a:round/>
          <a:headEnd type="none" w="med" len="med"/>
          <a:tailEnd type="none" w="med" len="med"/>
        </a:ln>
      </xdr:spPr>
    </xdr:sp>
    <xdr:clientData/>
  </xdr:twoCellAnchor>
  <xdr:twoCellAnchor>
    <xdr:from>
      <xdr:col>4</xdr:col>
      <xdr:colOff>68580</xdr:colOff>
      <xdr:row>6</xdr:row>
      <xdr:rowOff>15240</xdr:rowOff>
    </xdr:from>
    <xdr:to>
      <xdr:col>4</xdr:col>
      <xdr:colOff>68580</xdr:colOff>
      <xdr:row>8</xdr:row>
      <xdr:rowOff>52705</xdr:rowOff>
    </xdr:to>
    <xdr:sp macro="" textlink="">
      <xdr:nvSpPr>
        <xdr:cNvPr id="1244403" name="Line 9">
          <a:extLst>
            <a:ext uri="{FF2B5EF4-FFF2-40B4-BE49-F238E27FC236}">
              <a16:creationId xmlns:a16="http://schemas.microsoft.com/office/drawing/2014/main" id="{00000000-0008-0000-4F00-0000F3FC1200}"/>
            </a:ext>
          </a:extLst>
        </xdr:cNvPr>
        <xdr:cNvSpPr/>
      </xdr:nvSpPr>
      <xdr:spPr>
        <a:xfrm flipV="1">
          <a:off x="2221230" y="1717040"/>
          <a:ext cx="0" cy="548005"/>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487680</xdr:colOff>
      <xdr:row>5</xdr:row>
      <xdr:rowOff>182245</xdr:rowOff>
    </xdr:from>
    <xdr:to>
      <xdr:col>4</xdr:col>
      <xdr:colOff>68580</xdr:colOff>
      <xdr:row>6</xdr:row>
      <xdr:rowOff>98425</xdr:rowOff>
    </xdr:to>
    <xdr:sp macro="" textlink="">
      <xdr:nvSpPr>
        <xdr:cNvPr id="1244404" name="FreeForm 10">
          <a:extLst>
            <a:ext uri="{FF2B5EF4-FFF2-40B4-BE49-F238E27FC236}">
              <a16:creationId xmlns:a16="http://schemas.microsoft.com/office/drawing/2014/main" id="{00000000-0008-0000-4F00-0000F4FC1200}"/>
            </a:ext>
          </a:extLst>
        </xdr:cNvPr>
        <xdr:cNvSpPr/>
      </xdr:nvSpPr>
      <xdr:spPr>
        <a:xfrm>
          <a:off x="1554480" y="1628775"/>
          <a:ext cx="666750" cy="171450"/>
        </a:xfrm>
        <a:custGeom>
          <a:avLst/>
          <a:gdLst/>
          <a:ahLst/>
          <a:cxnLst>
            <a:cxn ang="0">
              <a:pos x="0" y="10"/>
            </a:cxn>
            <a:cxn ang="0">
              <a:pos x="25" y="1"/>
            </a:cxn>
            <a:cxn ang="0">
              <a:pos x="43" y="6"/>
            </a:cxn>
            <a:cxn ang="0">
              <a:pos x="57" y="17"/>
            </a:cxn>
            <a:cxn ang="0">
              <a:pos x="69" y="7"/>
            </a:cxn>
            <a:cxn ang="0">
              <a:pos x="77" y="11"/>
            </a:cxn>
          </a:cxnLst>
          <a:rect l="0" t="0" r="0" b="0"/>
          <a:pathLst>
            <a:path w="77" h="17">
              <a:moveTo>
                <a:pt x="0" y="10"/>
              </a:moveTo>
              <a:cubicBezTo>
                <a:pt x="9" y="6"/>
                <a:pt x="18" y="2"/>
                <a:pt x="25" y="1"/>
              </a:cubicBezTo>
              <a:cubicBezTo>
                <a:pt x="32" y="0"/>
                <a:pt x="38" y="3"/>
                <a:pt x="43" y="6"/>
              </a:cubicBezTo>
              <a:cubicBezTo>
                <a:pt x="48" y="9"/>
                <a:pt x="53" y="17"/>
                <a:pt x="57" y="17"/>
              </a:cubicBezTo>
              <a:cubicBezTo>
                <a:pt x="61" y="17"/>
                <a:pt x="66" y="8"/>
                <a:pt x="69" y="7"/>
              </a:cubicBezTo>
              <a:cubicBezTo>
                <a:pt x="72" y="6"/>
                <a:pt x="74" y="8"/>
                <a:pt x="77" y="11"/>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2</xdr:col>
      <xdr:colOff>464820</xdr:colOff>
      <xdr:row>6</xdr:row>
      <xdr:rowOff>45720</xdr:rowOff>
    </xdr:from>
    <xdr:to>
      <xdr:col>3</xdr:col>
      <xdr:colOff>190500</xdr:colOff>
      <xdr:row>6</xdr:row>
      <xdr:rowOff>45720</xdr:rowOff>
    </xdr:to>
    <xdr:sp macro="" textlink="">
      <xdr:nvSpPr>
        <xdr:cNvPr id="1244405" name="Line 11">
          <a:extLst>
            <a:ext uri="{FF2B5EF4-FFF2-40B4-BE49-F238E27FC236}">
              <a16:creationId xmlns:a16="http://schemas.microsoft.com/office/drawing/2014/main" id="{00000000-0008-0000-4F00-0000F5FC1200}"/>
            </a:ext>
          </a:extLst>
        </xdr:cNvPr>
        <xdr:cNvSpPr/>
      </xdr:nvSpPr>
      <xdr:spPr>
        <a:xfrm rot="2700000">
          <a:off x="1665605" y="1612900"/>
          <a:ext cx="0" cy="26860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190500</xdr:colOff>
      <xdr:row>6</xdr:row>
      <xdr:rowOff>152400</xdr:rowOff>
    </xdr:from>
    <xdr:to>
      <xdr:col>3</xdr:col>
      <xdr:colOff>426720</xdr:colOff>
      <xdr:row>6</xdr:row>
      <xdr:rowOff>152400</xdr:rowOff>
    </xdr:to>
    <xdr:sp macro="" textlink="">
      <xdr:nvSpPr>
        <xdr:cNvPr id="1244406" name="Line 13">
          <a:extLst>
            <a:ext uri="{FF2B5EF4-FFF2-40B4-BE49-F238E27FC236}">
              <a16:creationId xmlns:a16="http://schemas.microsoft.com/office/drawing/2014/main" id="{00000000-0008-0000-4F00-0000F6FC1200}"/>
            </a:ext>
          </a:extLst>
        </xdr:cNvPr>
        <xdr:cNvSpPr/>
      </xdr:nvSpPr>
      <xdr:spPr>
        <a:xfrm rot="2700000">
          <a:off x="1917700" y="1736090"/>
          <a:ext cx="635" cy="23622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0</xdr:colOff>
      <xdr:row>6</xdr:row>
      <xdr:rowOff>106680</xdr:rowOff>
    </xdr:from>
    <xdr:to>
      <xdr:col>3</xdr:col>
      <xdr:colOff>350520</xdr:colOff>
      <xdr:row>6</xdr:row>
      <xdr:rowOff>106680</xdr:rowOff>
    </xdr:to>
    <xdr:sp macro="" textlink="">
      <xdr:nvSpPr>
        <xdr:cNvPr id="1244407" name="Line 14">
          <a:extLst>
            <a:ext uri="{FF2B5EF4-FFF2-40B4-BE49-F238E27FC236}">
              <a16:creationId xmlns:a16="http://schemas.microsoft.com/office/drawing/2014/main" id="{00000000-0008-0000-4F00-0000F7FC1200}"/>
            </a:ext>
          </a:extLst>
        </xdr:cNvPr>
        <xdr:cNvSpPr/>
      </xdr:nvSpPr>
      <xdr:spPr>
        <a:xfrm rot="2700000">
          <a:off x="1784350" y="1633220"/>
          <a:ext cx="635" cy="35052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388620</xdr:colOff>
      <xdr:row>6</xdr:row>
      <xdr:rowOff>152400</xdr:rowOff>
    </xdr:from>
    <xdr:to>
      <xdr:col>4</xdr:col>
      <xdr:colOff>106680</xdr:colOff>
      <xdr:row>6</xdr:row>
      <xdr:rowOff>152400</xdr:rowOff>
    </xdr:to>
    <xdr:sp macro="" textlink="">
      <xdr:nvSpPr>
        <xdr:cNvPr id="1244408" name="Line 15">
          <a:extLst>
            <a:ext uri="{FF2B5EF4-FFF2-40B4-BE49-F238E27FC236}">
              <a16:creationId xmlns:a16="http://schemas.microsoft.com/office/drawing/2014/main" id="{00000000-0008-0000-4F00-0000F8FC1200}"/>
            </a:ext>
          </a:extLst>
        </xdr:cNvPr>
        <xdr:cNvSpPr/>
      </xdr:nvSpPr>
      <xdr:spPr>
        <a:xfrm rot="2700000">
          <a:off x="2128520" y="1723390"/>
          <a:ext cx="0" cy="26098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525780</xdr:colOff>
      <xdr:row>7</xdr:row>
      <xdr:rowOff>98425</xdr:rowOff>
    </xdr:from>
    <xdr:to>
      <xdr:col>4</xdr:col>
      <xdr:colOff>76200</xdr:colOff>
      <xdr:row>7</xdr:row>
      <xdr:rowOff>98425</xdr:rowOff>
    </xdr:to>
    <xdr:sp macro="" textlink="">
      <xdr:nvSpPr>
        <xdr:cNvPr id="1244409" name="Line 16">
          <a:extLst>
            <a:ext uri="{FF2B5EF4-FFF2-40B4-BE49-F238E27FC236}">
              <a16:creationId xmlns:a16="http://schemas.microsoft.com/office/drawing/2014/main" id="{00000000-0008-0000-4F00-0000F9FC1200}"/>
            </a:ext>
          </a:extLst>
        </xdr:cNvPr>
        <xdr:cNvSpPr/>
      </xdr:nvSpPr>
      <xdr:spPr>
        <a:xfrm rot="2700000">
          <a:off x="2181860" y="2008505"/>
          <a:ext cx="0" cy="9334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419100</xdr:colOff>
      <xdr:row>8</xdr:row>
      <xdr:rowOff>121920</xdr:rowOff>
    </xdr:from>
    <xdr:to>
      <xdr:col>2</xdr:col>
      <xdr:colOff>487680</xdr:colOff>
      <xdr:row>8</xdr:row>
      <xdr:rowOff>205105</xdr:rowOff>
    </xdr:to>
    <xdr:sp macro="" textlink="">
      <xdr:nvSpPr>
        <xdr:cNvPr id="1244410" name="Arc 20">
          <a:extLst>
            <a:ext uri="{FF2B5EF4-FFF2-40B4-BE49-F238E27FC236}">
              <a16:creationId xmlns:a16="http://schemas.microsoft.com/office/drawing/2014/main" id="{00000000-0008-0000-4F00-0000FAFC1200}"/>
            </a:ext>
          </a:extLst>
        </xdr:cNvPr>
        <xdr:cNvSpPr/>
      </xdr:nvSpPr>
      <xdr:spPr>
        <a:xfrm>
          <a:off x="1485900" y="2334260"/>
          <a:ext cx="68580" cy="83185"/>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15875" cap="flat" cmpd="sng">
          <a:solidFill>
            <a:srgbClr val="000000"/>
          </a:solidFill>
          <a:prstDash val="solid"/>
          <a:round/>
          <a:headEnd type="none" w="med" len="med"/>
          <a:tailEnd type="none" w="med" len="med"/>
        </a:ln>
      </xdr:spPr>
    </xdr:sp>
    <xdr:clientData/>
  </xdr:twoCellAnchor>
  <xdr:twoCellAnchor>
    <xdr:from>
      <xdr:col>4</xdr:col>
      <xdr:colOff>53340</xdr:colOff>
      <xdr:row>8</xdr:row>
      <xdr:rowOff>121920</xdr:rowOff>
    </xdr:from>
    <xdr:to>
      <xdr:col>4</xdr:col>
      <xdr:colOff>129540</xdr:colOff>
      <xdr:row>8</xdr:row>
      <xdr:rowOff>197485</xdr:rowOff>
    </xdr:to>
    <xdr:sp macro="" textlink="">
      <xdr:nvSpPr>
        <xdr:cNvPr id="1244411" name="Arc 21">
          <a:extLst>
            <a:ext uri="{FF2B5EF4-FFF2-40B4-BE49-F238E27FC236}">
              <a16:creationId xmlns:a16="http://schemas.microsoft.com/office/drawing/2014/main" id="{00000000-0008-0000-4F00-0000FBFC1200}"/>
            </a:ext>
          </a:extLst>
        </xdr:cNvPr>
        <xdr:cNvSpPr/>
      </xdr:nvSpPr>
      <xdr:spPr>
        <a:xfrm rot="-5400000">
          <a:off x="2205990" y="2333625"/>
          <a:ext cx="75565" cy="7620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15875" cap="flat" cmpd="sng">
          <a:solidFill>
            <a:srgbClr val="000000"/>
          </a:solidFill>
          <a:prstDash val="solid"/>
          <a:round/>
          <a:headEnd type="none" w="med" len="med"/>
          <a:tailEnd type="none" w="med" len="med"/>
        </a:ln>
      </xdr:spPr>
    </xdr:sp>
    <xdr:clientData/>
  </xdr:twoCellAnchor>
  <xdr:twoCellAnchor>
    <xdr:from>
      <xdr:col>1</xdr:col>
      <xdr:colOff>266700</xdr:colOff>
      <xdr:row>11</xdr:row>
      <xdr:rowOff>8255</xdr:rowOff>
    </xdr:from>
    <xdr:to>
      <xdr:col>6</xdr:col>
      <xdr:colOff>251460</xdr:colOff>
      <xdr:row>11</xdr:row>
      <xdr:rowOff>8255</xdr:rowOff>
    </xdr:to>
    <xdr:sp macro="" textlink="">
      <xdr:nvSpPr>
        <xdr:cNvPr id="1244412" name="Line 22">
          <a:extLst>
            <a:ext uri="{FF2B5EF4-FFF2-40B4-BE49-F238E27FC236}">
              <a16:creationId xmlns:a16="http://schemas.microsoft.com/office/drawing/2014/main" id="{00000000-0008-0000-4F00-0000FCFC1200}"/>
            </a:ext>
          </a:extLst>
        </xdr:cNvPr>
        <xdr:cNvSpPr/>
      </xdr:nvSpPr>
      <xdr:spPr>
        <a:xfrm>
          <a:off x="790575" y="2986405"/>
          <a:ext cx="220408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487680</xdr:colOff>
      <xdr:row>8</xdr:row>
      <xdr:rowOff>213360</xdr:rowOff>
    </xdr:from>
    <xdr:to>
      <xdr:col>2</xdr:col>
      <xdr:colOff>487680</xdr:colOff>
      <xdr:row>11</xdr:row>
      <xdr:rowOff>8255</xdr:rowOff>
    </xdr:to>
    <xdr:sp macro="" textlink="">
      <xdr:nvSpPr>
        <xdr:cNvPr id="1244413" name="Line 23">
          <a:extLst>
            <a:ext uri="{FF2B5EF4-FFF2-40B4-BE49-F238E27FC236}">
              <a16:creationId xmlns:a16="http://schemas.microsoft.com/office/drawing/2014/main" id="{00000000-0008-0000-4F00-0000FDFC1200}"/>
            </a:ext>
          </a:extLst>
        </xdr:cNvPr>
        <xdr:cNvSpPr/>
      </xdr:nvSpPr>
      <xdr:spPr>
        <a:xfrm>
          <a:off x="1554480" y="2425700"/>
          <a:ext cx="0" cy="560705"/>
        </a:xfrm>
        <a:prstGeom prst="line">
          <a:avLst/>
        </a:prstGeom>
        <a:ln w="15875" cap="flat" cmpd="sng">
          <a:solidFill>
            <a:srgbClr val="000000"/>
          </a:solidFill>
          <a:prstDash val="solid"/>
          <a:round/>
          <a:headEnd type="none" w="med" len="med"/>
          <a:tailEnd type="none" w="med" len="med"/>
        </a:ln>
      </xdr:spPr>
    </xdr:sp>
    <xdr:clientData/>
  </xdr:twoCellAnchor>
  <xdr:twoCellAnchor>
    <xdr:from>
      <xdr:col>4</xdr:col>
      <xdr:colOff>53340</xdr:colOff>
      <xdr:row>8</xdr:row>
      <xdr:rowOff>198120</xdr:rowOff>
    </xdr:from>
    <xdr:to>
      <xdr:col>4</xdr:col>
      <xdr:colOff>53340</xdr:colOff>
      <xdr:row>11</xdr:row>
      <xdr:rowOff>0</xdr:rowOff>
    </xdr:to>
    <xdr:sp macro="" textlink="">
      <xdr:nvSpPr>
        <xdr:cNvPr id="1244414" name="Line 24">
          <a:extLst>
            <a:ext uri="{FF2B5EF4-FFF2-40B4-BE49-F238E27FC236}">
              <a16:creationId xmlns:a16="http://schemas.microsoft.com/office/drawing/2014/main" id="{00000000-0008-0000-4F00-0000FEFC1200}"/>
            </a:ext>
          </a:extLst>
        </xdr:cNvPr>
        <xdr:cNvSpPr/>
      </xdr:nvSpPr>
      <xdr:spPr>
        <a:xfrm>
          <a:off x="2205990" y="2410460"/>
          <a:ext cx="0" cy="567690"/>
        </a:xfrm>
        <a:prstGeom prst="line">
          <a:avLst/>
        </a:prstGeom>
        <a:ln w="15875" cap="flat" cmpd="sng">
          <a:solidFill>
            <a:srgbClr val="000000"/>
          </a:solidFill>
          <a:prstDash val="solid"/>
          <a:round/>
          <a:headEnd type="none" w="med" len="med"/>
          <a:tailEnd type="none" w="med" len="med"/>
        </a:ln>
      </xdr:spPr>
    </xdr:sp>
    <xdr:clientData/>
  </xdr:twoCellAnchor>
  <xdr:twoCellAnchor>
    <xdr:from>
      <xdr:col>4</xdr:col>
      <xdr:colOff>129540</xdr:colOff>
      <xdr:row>8</xdr:row>
      <xdr:rowOff>121920</xdr:rowOff>
    </xdr:from>
    <xdr:to>
      <xdr:col>6</xdr:col>
      <xdr:colOff>190500</xdr:colOff>
      <xdr:row>8</xdr:row>
      <xdr:rowOff>121920</xdr:rowOff>
    </xdr:to>
    <xdr:sp macro="" textlink="">
      <xdr:nvSpPr>
        <xdr:cNvPr id="1244415" name="Line 25">
          <a:extLst>
            <a:ext uri="{FF2B5EF4-FFF2-40B4-BE49-F238E27FC236}">
              <a16:creationId xmlns:a16="http://schemas.microsoft.com/office/drawing/2014/main" id="{00000000-0008-0000-4F00-0000FFFC1200}"/>
            </a:ext>
          </a:extLst>
        </xdr:cNvPr>
        <xdr:cNvSpPr/>
      </xdr:nvSpPr>
      <xdr:spPr>
        <a:xfrm>
          <a:off x="2282190" y="2334260"/>
          <a:ext cx="65151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243840</xdr:colOff>
      <xdr:row>8</xdr:row>
      <xdr:rowOff>121920</xdr:rowOff>
    </xdr:from>
    <xdr:to>
      <xdr:col>2</xdr:col>
      <xdr:colOff>419100</xdr:colOff>
      <xdr:row>8</xdr:row>
      <xdr:rowOff>121920</xdr:rowOff>
    </xdr:to>
    <xdr:sp macro="" textlink="">
      <xdr:nvSpPr>
        <xdr:cNvPr id="1244416" name="Line 26">
          <a:extLst>
            <a:ext uri="{FF2B5EF4-FFF2-40B4-BE49-F238E27FC236}">
              <a16:creationId xmlns:a16="http://schemas.microsoft.com/office/drawing/2014/main" id="{00000000-0008-0000-4F00-000000FD1200}"/>
            </a:ext>
          </a:extLst>
        </xdr:cNvPr>
        <xdr:cNvSpPr/>
      </xdr:nvSpPr>
      <xdr:spPr>
        <a:xfrm flipH="1">
          <a:off x="767715" y="2334260"/>
          <a:ext cx="71818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121920</xdr:colOff>
      <xdr:row>8</xdr:row>
      <xdr:rowOff>159385</xdr:rowOff>
    </xdr:from>
    <xdr:to>
      <xdr:col>6</xdr:col>
      <xdr:colOff>197485</xdr:colOff>
      <xdr:row>8</xdr:row>
      <xdr:rowOff>159385</xdr:rowOff>
    </xdr:to>
    <xdr:sp macro="" textlink="">
      <xdr:nvSpPr>
        <xdr:cNvPr id="1244417" name="Line 27">
          <a:extLst>
            <a:ext uri="{FF2B5EF4-FFF2-40B4-BE49-F238E27FC236}">
              <a16:creationId xmlns:a16="http://schemas.microsoft.com/office/drawing/2014/main" id="{00000000-0008-0000-4F00-000001FD1200}"/>
            </a:ext>
          </a:extLst>
        </xdr:cNvPr>
        <xdr:cNvSpPr/>
      </xdr:nvSpPr>
      <xdr:spPr>
        <a:xfrm rot="-2700000" flipH="1">
          <a:off x="2902585" y="2333625"/>
          <a:ext cx="0" cy="7556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289560</xdr:colOff>
      <xdr:row>8</xdr:row>
      <xdr:rowOff>213360</xdr:rowOff>
    </xdr:from>
    <xdr:to>
      <xdr:col>2</xdr:col>
      <xdr:colOff>510540</xdr:colOff>
      <xdr:row>8</xdr:row>
      <xdr:rowOff>221615</xdr:rowOff>
    </xdr:to>
    <xdr:sp macro="" textlink="">
      <xdr:nvSpPr>
        <xdr:cNvPr id="1244418" name="Line 29">
          <a:extLst>
            <a:ext uri="{FF2B5EF4-FFF2-40B4-BE49-F238E27FC236}">
              <a16:creationId xmlns:a16="http://schemas.microsoft.com/office/drawing/2014/main" id="{00000000-0008-0000-4F00-000002FD1200}"/>
            </a:ext>
          </a:extLst>
        </xdr:cNvPr>
        <xdr:cNvSpPr/>
      </xdr:nvSpPr>
      <xdr:spPr>
        <a:xfrm rot="-2700000" flipH="1">
          <a:off x="1462405" y="2319020"/>
          <a:ext cx="8255" cy="220980"/>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525780</xdr:colOff>
      <xdr:row>9</xdr:row>
      <xdr:rowOff>114935</xdr:rowOff>
    </xdr:from>
    <xdr:to>
      <xdr:col>3</xdr:col>
      <xdr:colOff>22860</xdr:colOff>
      <xdr:row>9</xdr:row>
      <xdr:rowOff>114935</xdr:rowOff>
    </xdr:to>
    <xdr:sp macro="" textlink="">
      <xdr:nvSpPr>
        <xdr:cNvPr id="1244419" name="Line 30">
          <a:extLst>
            <a:ext uri="{FF2B5EF4-FFF2-40B4-BE49-F238E27FC236}">
              <a16:creationId xmlns:a16="http://schemas.microsoft.com/office/drawing/2014/main" id="{00000000-0008-0000-4F00-000003FD1200}"/>
            </a:ext>
          </a:extLst>
        </xdr:cNvPr>
        <xdr:cNvSpPr/>
      </xdr:nvSpPr>
      <xdr:spPr>
        <a:xfrm rot="-2700000" flipH="1">
          <a:off x="1340485" y="2291080"/>
          <a:ext cx="635" cy="582930"/>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175260</xdr:colOff>
      <xdr:row>10</xdr:row>
      <xdr:rowOff>52705</xdr:rowOff>
    </xdr:from>
    <xdr:to>
      <xdr:col>2</xdr:col>
      <xdr:colOff>114300</xdr:colOff>
      <xdr:row>10</xdr:row>
      <xdr:rowOff>52705</xdr:rowOff>
    </xdr:to>
    <xdr:sp macro="" textlink="">
      <xdr:nvSpPr>
        <xdr:cNvPr id="1244420" name="Line 31">
          <a:extLst>
            <a:ext uri="{FF2B5EF4-FFF2-40B4-BE49-F238E27FC236}">
              <a16:creationId xmlns:a16="http://schemas.microsoft.com/office/drawing/2014/main" id="{00000000-0008-0000-4F00-000004FD1200}"/>
            </a:ext>
          </a:extLst>
        </xdr:cNvPr>
        <xdr:cNvSpPr/>
      </xdr:nvSpPr>
      <xdr:spPr>
        <a:xfrm rot="-2700000" flipH="1">
          <a:off x="939800" y="2534285"/>
          <a:ext cx="0" cy="481965"/>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198120</xdr:colOff>
      <xdr:row>9</xdr:row>
      <xdr:rowOff>190500</xdr:rowOff>
    </xdr:from>
    <xdr:to>
      <xdr:col>2</xdr:col>
      <xdr:colOff>434340</xdr:colOff>
      <xdr:row>9</xdr:row>
      <xdr:rowOff>190500</xdr:rowOff>
    </xdr:to>
    <xdr:sp macro="" textlink="">
      <xdr:nvSpPr>
        <xdr:cNvPr id="1244421" name="Line 32">
          <a:extLst>
            <a:ext uri="{FF2B5EF4-FFF2-40B4-BE49-F238E27FC236}">
              <a16:creationId xmlns:a16="http://schemas.microsoft.com/office/drawing/2014/main" id="{00000000-0008-0000-4F00-000005FD1200}"/>
            </a:ext>
          </a:extLst>
        </xdr:cNvPr>
        <xdr:cNvSpPr/>
      </xdr:nvSpPr>
      <xdr:spPr>
        <a:xfrm rot="-2700000" flipH="1">
          <a:off x="1111250" y="2268220"/>
          <a:ext cx="0" cy="77914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38100</xdr:colOff>
      <xdr:row>9</xdr:row>
      <xdr:rowOff>114935</xdr:rowOff>
    </xdr:from>
    <xdr:to>
      <xdr:col>5</xdr:col>
      <xdr:colOff>22860</xdr:colOff>
      <xdr:row>9</xdr:row>
      <xdr:rowOff>114935</xdr:rowOff>
    </xdr:to>
    <xdr:sp macro="" textlink="">
      <xdr:nvSpPr>
        <xdr:cNvPr id="1244422" name="Line 33">
          <a:extLst>
            <a:ext uri="{FF2B5EF4-FFF2-40B4-BE49-F238E27FC236}">
              <a16:creationId xmlns:a16="http://schemas.microsoft.com/office/drawing/2014/main" id="{00000000-0008-0000-4F00-000006FD1200}"/>
            </a:ext>
          </a:extLst>
        </xdr:cNvPr>
        <xdr:cNvSpPr/>
      </xdr:nvSpPr>
      <xdr:spPr>
        <a:xfrm rot="-2700000" flipH="1">
          <a:off x="2282825" y="2489835"/>
          <a:ext cx="0" cy="18478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38100</xdr:colOff>
      <xdr:row>10</xdr:row>
      <xdr:rowOff>175260</xdr:rowOff>
    </xdr:from>
    <xdr:to>
      <xdr:col>5</xdr:col>
      <xdr:colOff>45720</xdr:colOff>
      <xdr:row>10</xdr:row>
      <xdr:rowOff>175260</xdr:rowOff>
    </xdr:to>
    <xdr:sp macro="" textlink="">
      <xdr:nvSpPr>
        <xdr:cNvPr id="1244423" name="Line 34">
          <a:extLst>
            <a:ext uri="{FF2B5EF4-FFF2-40B4-BE49-F238E27FC236}">
              <a16:creationId xmlns:a16="http://schemas.microsoft.com/office/drawing/2014/main" id="{00000000-0008-0000-4F00-000007FD1200}"/>
            </a:ext>
          </a:extLst>
        </xdr:cNvPr>
        <xdr:cNvSpPr/>
      </xdr:nvSpPr>
      <xdr:spPr>
        <a:xfrm rot="-2700000" flipH="1">
          <a:off x="2294255" y="2794000"/>
          <a:ext cx="0" cy="207645"/>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259080</xdr:colOff>
      <xdr:row>10</xdr:row>
      <xdr:rowOff>221615</xdr:rowOff>
    </xdr:from>
    <xdr:to>
      <xdr:col>1</xdr:col>
      <xdr:colOff>327660</xdr:colOff>
      <xdr:row>10</xdr:row>
      <xdr:rowOff>221615</xdr:rowOff>
    </xdr:to>
    <xdr:sp macro="" textlink="">
      <xdr:nvSpPr>
        <xdr:cNvPr id="1244424" name="Line 35">
          <a:extLst>
            <a:ext uri="{FF2B5EF4-FFF2-40B4-BE49-F238E27FC236}">
              <a16:creationId xmlns:a16="http://schemas.microsoft.com/office/drawing/2014/main" id="{00000000-0008-0000-4F00-000008FD1200}"/>
            </a:ext>
          </a:extLst>
        </xdr:cNvPr>
        <xdr:cNvSpPr/>
      </xdr:nvSpPr>
      <xdr:spPr>
        <a:xfrm rot="-2700000" flipH="1">
          <a:off x="816610" y="2910205"/>
          <a:ext cx="635" cy="6858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22860</xdr:colOff>
      <xdr:row>8</xdr:row>
      <xdr:rowOff>83820</xdr:rowOff>
    </xdr:from>
    <xdr:to>
      <xdr:col>3</xdr:col>
      <xdr:colOff>259080</xdr:colOff>
      <xdr:row>8</xdr:row>
      <xdr:rowOff>91440</xdr:rowOff>
    </xdr:to>
    <xdr:sp macro="" textlink="">
      <xdr:nvSpPr>
        <xdr:cNvPr id="1244425" name="Line 40">
          <a:extLst>
            <a:ext uri="{FF2B5EF4-FFF2-40B4-BE49-F238E27FC236}">
              <a16:creationId xmlns:a16="http://schemas.microsoft.com/office/drawing/2014/main" id="{00000000-0008-0000-4F00-000009FD1200}"/>
            </a:ext>
          </a:extLst>
        </xdr:cNvPr>
        <xdr:cNvSpPr/>
      </xdr:nvSpPr>
      <xdr:spPr>
        <a:xfrm rot="2700000">
          <a:off x="1746885" y="2181860"/>
          <a:ext cx="7620" cy="23622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350520</xdr:colOff>
      <xdr:row>8</xdr:row>
      <xdr:rowOff>52705</xdr:rowOff>
    </xdr:from>
    <xdr:to>
      <xdr:col>3</xdr:col>
      <xdr:colOff>472440</xdr:colOff>
      <xdr:row>8</xdr:row>
      <xdr:rowOff>60960</xdr:rowOff>
    </xdr:to>
    <xdr:sp macro="" textlink="">
      <xdr:nvSpPr>
        <xdr:cNvPr id="1244426" name="Line 41">
          <a:extLst>
            <a:ext uri="{FF2B5EF4-FFF2-40B4-BE49-F238E27FC236}">
              <a16:creationId xmlns:a16="http://schemas.microsoft.com/office/drawing/2014/main" id="{00000000-0008-0000-4F00-00000AFD1200}"/>
            </a:ext>
          </a:extLst>
        </xdr:cNvPr>
        <xdr:cNvSpPr/>
      </xdr:nvSpPr>
      <xdr:spPr>
        <a:xfrm rot="2700000">
          <a:off x="2016760" y="2207895"/>
          <a:ext cx="8255" cy="121920"/>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480060</xdr:colOff>
      <xdr:row>8</xdr:row>
      <xdr:rowOff>31115</xdr:rowOff>
    </xdr:from>
    <xdr:to>
      <xdr:col>3</xdr:col>
      <xdr:colOff>15240</xdr:colOff>
      <xdr:row>8</xdr:row>
      <xdr:rowOff>31115</xdr:rowOff>
    </xdr:to>
    <xdr:sp macro="" textlink="">
      <xdr:nvSpPr>
        <xdr:cNvPr id="1244427" name="Line 42">
          <a:extLst>
            <a:ext uri="{FF2B5EF4-FFF2-40B4-BE49-F238E27FC236}">
              <a16:creationId xmlns:a16="http://schemas.microsoft.com/office/drawing/2014/main" id="{00000000-0008-0000-4F00-00000BFD1200}"/>
            </a:ext>
          </a:extLst>
        </xdr:cNvPr>
        <xdr:cNvSpPr/>
      </xdr:nvSpPr>
      <xdr:spPr>
        <a:xfrm rot="2700000">
          <a:off x="1585595" y="2204085"/>
          <a:ext cx="0" cy="7810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480060</xdr:colOff>
      <xdr:row>7</xdr:row>
      <xdr:rowOff>83820</xdr:rowOff>
    </xdr:from>
    <xdr:to>
      <xdr:col>3</xdr:col>
      <xdr:colOff>0</xdr:colOff>
      <xdr:row>7</xdr:row>
      <xdr:rowOff>83820</xdr:rowOff>
    </xdr:to>
    <xdr:sp macro="" textlink="">
      <xdr:nvSpPr>
        <xdr:cNvPr id="1244428" name="Line 43">
          <a:extLst>
            <a:ext uri="{FF2B5EF4-FFF2-40B4-BE49-F238E27FC236}">
              <a16:creationId xmlns:a16="http://schemas.microsoft.com/office/drawing/2014/main" id="{00000000-0008-0000-4F00-00000CFD1200}"/>
            </a:ext>
          </a:extLst>
        </xdr:cNvPr>
        <xdr:cNvSpPr/>
      </xdr:nvSpPr>
      <xdr:spPr>
        <a:xfrm rot="2700000">
          <a:off x="1577975" y="2009140"/>
          <a:ext cx="0" cy="6286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76200</xdr:colOff>
      <xdr:row>8</xdr:row>
      <xdr:rowOff>152400</xdr:rowOff>
    </xdr:from>
    <xdr:to>
      <xdr:col>5</xdr:col>
      <xdr:colOff>0</xdr:colOff>
      <xdr:row>9</xdr:row>
      <xdr:rowOff>0</xdr:rowOff>
    </xdr:to>
    <xdr:sp macro="" textlink="">
      <xdr:nvSpPr>
        <xdr:cNvPr id="1244429" name="Line 44">
          <a:extLst>
            <a:ext uri="{FF2B5EF4-FFF2-40B4-BE49-F238E27FC236}">
              <a16:creationId xmlns:a16="http://schemas.microsoft.com/office/drawing/2014/main" id="{00000000-0008-0000-4F00-00000DFD1200}"/>
            </a:ext>
          </a:extLst>
        </xdr:cNvPr>
        <xdr:cNvSpPr/>
      </xdr:nvSpPr>
      <xdr:spPr>
        <a:xfrm>
          <a:off x="2228850" y="2364740"/>
          <a:ext cx="123825" cy="102870"/>
        </a:xfrm>
        <a:prstGeom prst="line">
          <a:avLst/>
        </a:prstGeom>
        <a:ln w="9525" cap="flat" cmpd="sng">
          <a:solidFill>
            <a:srgbClr val="000000"/>
          </a:solidFill>
          <a:prstDash val="solid"/>
          <a:round/>
          <a:headEnd type="arrow" w="sm" len="sm"/>
          <a:tailEnd type="oval" w="sm" len="sm"/>
        </a:ln>
      </xdr:spPr>
    </xdr:sp>
    <xdr:clientData/>
  </xdr:twoCellAnchor>
  <xdr:twoCellAnchor>
    <xdr:from>
      <xdr:col>5</xdr:col>
      <xdr:colOff>22860</xdr:colOff>
      <xdr:row>8</xdr:row>
      <xdr:rowOff>190500</xdr:rowOff>
    </xdr:from>
    <xdr:to>
      <xdr:col>5</xdr:col>
      <xdr:colOff>167640</xdr:colOff>
      <xdr:row>8</xdr:row>
      <xdr:rowOff>190500</xdr:rowOff>
    </xdr:to>
    <xdr:sp macro="" textlink="">
      <xdr:nvSpPr>
        <xdr:cNvPr id="1244430" name="Line 45">
          <a:extLst>
            <a:ext uri="{FF2B5EF4-FFF2-40B4-BE49-F238E27FC236}">
              <a16:creationId xmlns:a16="http://schemas.microsoft.com/office/drawing/2014/main" id="{00000000-0008-0000-4F00-00000EFD1200}"/>
            </a:ext>
          </a:extLst>
        </xdr:cNvPr>
        <xdr:cNvSpPr/>
      </xdr:nvSpPr>
      <xdr:spPr>
        <a:xfrm rot="-2700000" flipH="1">
          <a:off x="2447290" y="2330450"/>
          <a:ext cx="635" cy="144780"/>
        </a:xfrm>
        <a:prstGeom prst="line">
          <a:avLst/>
        </a:prstGeom>
        <a:ln w="31750" cap="flat" cmpd="dbl">
          <a:solidFill>
            <a:srgbClr val="000000"/>
          </a:solidFill>
          <a:prstDash val="solid"/>
          <a:round/>
          <a:headEnd type="none" w="med" len="med"/>
          <a:tailEnd type="none" w="med" len="med"/>
        </a:ln>
      </xdr:spPr>
    </xdr:sp>
    <xdr:clientData/>
  </xdr:twoCellAnchor>
  <xdr:twoCellAnchor>
    <xdr:from>
      <xdr:col>5</xdr:col>
      <xdr:colOff>7620</xdr:colOff>
      <xdr:row>10</xdr:row>
      <xdr:rowOff>114935</xdr:rowOff>
    </xdr:from>
    <xdr:to>
      <xdr:col>5</xdr:col>
      <xdr:colOff>320040</xdr:colOff>
      <xdr:row>10</xdr:row>
      <xdr:rowOff>114935</xdr:rowOff>
    </xdr:to>
    <xdr:sp macro="" textlink="">
      <xdr:nvSpPr>
        <xdr:cNvPr id="1244431" name="Line 46">
          <a:extLst>
            <a:ext uri="{FF2B5EF4-FFF2-40B4-BE49-F238E27FC236}">
              <a16:creationId xmlns:a16="http://schemas.microsoft.com/office/drawing/2014/main" id="{00000000-0008-0000-4F00-00000FFD1200}"/>
            </a:ext>
          </a:extLst>
        </xdr:cNvPr>
        <xdr:cNvSpPr/>
      </xdr:nvSpPr>
      <xdr:spPr>
        <a:xfrm rot="-2700000" flipH="1">
          <a:off x="2515870" y="2681605"/>
          <a:ext cx="635" cy="312420"/>
        </a:xfrm>
        <a:prstGeom prst="line">
          <a:avLst/>
        </a:prstGeom>
        <a:ln w="31750" cap="flat" cmpd="dbl">
          <a:solidFill>
            <a:srgbClr val="000000"/>
          </a:solidFill>
          <a:prstDash val="solid"/>
          <a:round/>
          <a:headEnd type="none" w="med" len="med"/>
          <a:tailEnd type="none" w="med" len="med"/>
        </a:ln>
      </xdr:spPr>
    </xdr:sp>
    <xdr:clientData/>
  </xdr:twoCellAnchor>
  <xdr:twoCellAnchor>
    <xdr:from>
      <xdr:col>5</xdr:col>
      <xdr:colOff>274320</xdr:colOff>
      <xdr:row>10</xdr:row>
      <xdr:rowOff>121920</xdr:rowOff>
    </xdr:from>
    <xdr:to>
      <xdr:col>6</xdr:col>
      <xdr:colOff>205740</xdr:colOff>
      <xdr:row>10</xdr:row>
      <xdr:rowOff>121920</xdr:rowOff>
    </xdr:to>
    <xdr:sp macro="" textlink="">
      <xdr:nvSpPr>
        <xdr:cNvPr id="1244432" name="Line 47">
          <a:extLst>
            <a:ext uri="{FF2B5EF4-FFF2-40B4-BE49-F238E27FC236}">
              <a16:creationId xmlns:a16="http://schemas.microsoft.com/office/drawing/2014/main" id="{00000000-0008-0000-4F00-000010FD1200}"/>
            </a:ext>
          </a:extLst>
        </xdr:cNvPr>
        <xdr:cNvSpPr/>
      </xdr:nvSpPr>
      <xdr:spPr>
        <a:xfrm rot="-2700000" flipH="1">
          <a:off x="2787650" y="2683510"/>
          <a:ext cx="0" cy="321945"/>
        </a:xfrm>
        <a:prstGeom prst="line">
          <a:avLst/>
        </a:prstGeom>
        <a:ln w="31750" cap="flat" cmpd="dbl">
          <a:solidFill>
            <a:srgbClr val="000000"/>
          </a:solidFill>
          <a:prstDash val="solid"/>
          <a:round/>
          <a:headEnd type="none" w="med" len="med"/>
          <a:tailEnd type="none" w="med" len="med"/>
        </a:ln>
      </xdr:spPr>
    </xdr:sp>
    <xdr:clientData/>
  </xdr:twoCellAnchor>
  <xdr:twoCellAnchor>
    <xdr:from>
      <xdr:col>5</xdr:col>
      <xdr:colOff>236220</xdr:colOff>
      <xdr:row>9</xdr:row>
      <xdr:rowOff>68580</xdr:rowOff>
    </xdr:from>
    <xdr:to>
      <xdr:col>6</xdr:col>
      <xdr:colOff>312420</xdr:colOff>
      <xdr:row>9</xdr:row>
      <xdr:rowOff>75565</xdr:rowOff>
    </xdr:to>
    <xdr:sp macro="" textlink="">
      <xdr:nvSpPr>
        <xdr:cNvPr id="1244433" name="Line 49">
          <a:extLst>
            <a:ext uri="{FF2B5EF4-FFF2-40B4-BE49-F238E27FC236}">
              <a16:creationId xmlns:a16="http://schemas.microsoft.com/office/drawing/2014/main" id="{00000000-0008-0000-4F00-000011FD1200}"/>
            </a:ext>
          </a:extLst>
        </xdr:cNvPr>
        <xdr:cNvSpPr/>
      </xdr:nvSpPr>
      <xdr:spPr>
        <a:xfrm rot="-2700000" flipH="1">
          <a:off x="2818765" y="2306320"/>
          <a:ext cx="6985" cy="46672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487680</xdr:colOff>
      <xdr:row>11</xdr:row>
      <xdr:rowOff>8255</xdr:rowOff>
    </xdr:from>
    <xdr:to>
      <xdr:col>2</xdr:col>
      <xdr:colOff>487680</xdr:colOff>
      <xdr:row>12</xdr:row>
      <xdr:rowOff>198120</xdr:rowOff>
    </xdr:to>
    <xdr:sp macro="" textlink="">
      <xdr:nvSpPr>
        <xdr:cNvPr id="1244434" name="Line 52">
          <a:extLst>
            <a:ext uri="{FF2B5EF4-FFF2-40B4-BE49-F238E27FC236}">
              <a16:creationId xmlns:a16="http://schemas.microsoft.com/office/drawing/2014/main" id="{00000000-0008-0000-4F00-000012FD1200}"/>
            </a:ext>
          </a:extLst>
        </xdr:cNvPr>
        <xdr:cNvSpPr/>
      </xdr:nvSpPr>
      <xdr:spPr>
        <a:xfrm>
          <a:off x="1554480" y="2986405"/>
          <a:ext cx="0" cy="445135"/>
        </a:xfrm>
        <a:prstGeom prst="line">
          <a:avLst/>
        </a:prstGeom>
        <a:ln w="6350" cap="flat" cmpd="sng">
          <a:solidFill>
            <a:srgbClr val="000000"/>
          </a:solidFill>
          <a:prstDash val="solid"/>
          <a:round/>
          <a:headEnd type="none" w="med" len="med"/>
          <a:tailEnd type="none" w="med" len="med"/>
        </a:ln>
      </xdr:spPr>
    </xdr:sp>
    <xdr:clientData/>
  </xdr:twoCellAnchor>
  <xdr:twoCellAnchor>
    <xdr:from>
      <xdr:col>4</xdr:col>
      <xdr:colOff>53340</xdr:colOff>
      <xdr:row>11</xdr:row>
      <xdr:rowOff>8255</xdr:rowOff>
    </xdr:from>
    <xdr:to>
      <xdr:col>4</xdr:col>
      <xdr:colOff>53340</xdr:colOff>
      <xdr:row>12</xdr:row>
      <xdr:rowOff>213360</xdr:rowOff>
    </xdr:to>
    <xdr:sp macro="" textlink="">
      <xdr:nvSpPr>
        <xdr:cNvPr id="1244435" name="Line 53">
          <a:extLst>
            <a:ext uri="{FF2B5EF4-FFF2-40B4-BE49-F238E27FC236}">
              <a16:creationId xmlns:a16="http://schemas.microsoft.com/office/drawing/2014/main" id="{00000000-0008-0000-4F00-000013FD1200}"/>
            </a:ext>
          </a:extLst>
        </xdr:cNvPr>
        <xdr:cNvSpPr/>
      </xdr:nvSpPr>
      <xdr:spPr>
        <a:xfrm>
          <a:off x="2205990" y="2986405"/>
          <a:ext cx="0" cy="460375"/>
        </a:xfrm>
        <a:prstGeom prst="line">
          <a:avLst/>
        </a:prstGeom>
        <a:ln w="6350" cap="flat" cmpd="sng">
          <a:solidFill>
            <a:srgbClr val="000000"/>
          </a:solidFill>
          <a:prstDash val="solid"/>
          <a:round/>
          <a:headEnd type="none" w="med" len="med"/>
          <a:tailEnd type="none" w="med" len="med"/>
        </a:ln>
      </xdr:spPr>
    </xdr:sp>
    <xdr:clientData/>
  </xdr:twoCellAnchor>
  <xdr:twoCellAnchor>
    <xdr:from>
      <xdr:col>2</xdr:col>
      <xdr:colOff>320040</xdr:colOff>
      <xdr:row>12</xdr:row>
      <xdr:rowOff>121920</xdr:rowOff>
    </xdr:from>
    <xdr:to>
      <xdr:col>2</xdr:col>
      <xdr:colOff>495300</xdr:colOff>
      <xdr:row>12</xdr:row>
      <xdr:rowOff>121920</xdr:rowOff>
    </xdr:to>
    <xdr:sp macro="" textlink="">
      <xdr:nvSpPr>
        <xdr:cNvPr id="1244436" name="Line 54">
          <a:extLst>
            <a:ext uri="{FF2B5EF4-FFF2-40B4-BE49-F238E27FC236}">
              <a16:creationId xmlns:a16="http://schemas.microsoft.com/office/drawing/2014/main" id="{00000000-0008-0000-4F00-000014FD1200}"/>
            </a:ext>
          </a:extLst>
        </xdr:cNvPr>
        <xdr:cNvSpPr/>
      </xdr:nvSpPr>
      <xdr:spPr>
        <a:xfrm flipH="1">
          <a:off x="1386840" y="3355340"/>
          <a:ext cx="175260" cy="0"/>
        </a:xfrm>
        <a:prstGeom prst="line">
          <a:avLst/>
        </a:prstGeom>
        <a:ln w="9525" cap="flat" cmpd="sng">
          <a:solidFill>
            <a:srgbClr val="000000"/>
          </a:solidFill>
          <a:prstDash val="solid"/>
          <a:round/>
          <a:headEnd type="arrow" w="sm" len="sm"/>
          <a:tailEnd type="none" w="med" len="med"/>
        </a:ln>
      </xdr:spPr>
    </xdr:sp>
    <xdr:clientData/>
  </xdr:twoCellAnchor>
  <xdr:twoCellAnchor>
    <xdr:from>
      <xdr:col>2</xdr:col>
      <xdr:colOff>487680</xdr:colOff>
      <xdr:row>12</xdr:row>
      <xdr:rowOff>121920</xdr:rowOff>
    </xdr:from>
    <xdr:to>
      <xdr:col>3</xdr:col>
      <xdr:colOff>0</xdr:colOff>
      <xdr:row>12</xdr:row>
      <xdr:rowOff>121920</xdr:rowOff>
    </xdr:to>
    <xdr:sp macro="" textlink="">
      <xdr:nvSpPr>
        <xdr:cNvPr id="1244437" name="Line 56">
          <a:extLst>
            <a:ext uri="{FF2B5EF4-FFF2-40B4-BE49-F238E27FC236}">
              <a16:creationId xmlns:a16="http://schemas.microsoft.com/office/drawing/2014/main" id="{00000000-0008-0000-4F00-000015FD1200}"/>
            </a:ext>
          </a:extLst>
        </xdr:cNvPr>
        <xdr:cNvSpPr/>
      </xdr:nvSpPr>
      <xdr:spPr>
        <a:xfrm>
          <a:off x="1554480" y="3355340"/>
          <a:ext cx="5524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0</xdr:colOff>
      <xdr:row>12</xdr:row>
      <xdr:rowOff>121920</xdr:rowOff>
    </xdr:from>
    <xdr:to>
      <xdr:col>4</xdr:col>
      <xdr:colOff>53340</xdr:colOff>
      <xdr:row>12</xdr:row>
      <xdr:rowOff>121920</xdr:rowOff>
    </xdr:to>
    <xdr:sp macro="" textlink="">
      <xdr:nvSpPr>
        <xdr:cNvPr id="1244438" name="Line 57">
          <a:extLst>
            <a:ext uri="{FF2B5EF4-FFF2-40B4-BE49-F238E27FC236}">
              <a16:creationId xmlns:a16="http://schemas.microsoft.com/office/drawing/2014/main" id="{00000000-0008-0000-4F00-000016FD1200}"/>
            </a:ext>
          </a:extLst>
        </xdr:cNvPr>
        <xdr:cNvSpPr/>
      </xdr:nvSpPr>
      <xdr:spPr>
        <a:xfrm>
          <a:off x="2152650" y="3355340"/>
          <a:ext cx="533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53340</xdr:colOff>
      <xdr:row>12</xdr:row>
      <xdr:rowOff>121920</xdr:rowOff>
    </xdr:from>
    <xdr:to>
      <xdr:col>5</xdr:col>
      <xdr:colOff>53340</xdr:colOff>
      <xdr:row>12</xdr:row>
      <xdr:rowOff>121920</xdr:rowOff>
    </xdr:to>
    <xdr:sp macro="" textlink="">
      <xdr:nvSpPr>
        <xdr:cNvPr id="1244439" name="Line 58">
          <a:extLst>
            <a:ext uri="{FF2B5EF4-FFF2-40B4-BE49-F238E27FC236}">
              <a16:creationId xmlns:a16="http://schemas.microsoft.com/office/drawing/2014/main" id="{00000000-0008-0000-4F00-000017FD1200}"/>
            </a:ext>
          </a:extLst>
        </xdr:cNvPr>
        <xdr:cNvSpPr/>
      </xdr:nvSpPr>
      <xdr:spPr>
        <a:xfrm>
          <a:off x="2205990" y="3355340"/>
          <a:ext cx="200025" cy="0"/>
        </a:xfrm>
        <a:prstGeom prst="line">
          <a:avLst/>
        </a:prstGeom>
        <a:ln w="9525" cap="flat" cmpd="sng">
          <a:solidFill>
            <a:srgbClr val="000000"/>
          </a:solidFill>
          <a:prstDash val="solid"/>
          <a:round/>
          <a:headEnd type="arrow" w="sm" len="sm"/>
          <a:tailEnd type="none" w="med" len="med"/>
        </a:ln>
      </xdr:spPr>
    </xdr:sp>
    <xdr:clientData/>
  </xdr:twoCellAnchor>
  <xdr:twoCellAnchor>
    <xdr:from>
      <xdr:col>3</xdr:col>
      <xdr:colOff>266700</xdr:colOff>
      <xdr:row>19</xdr:row>
      <xdr:rowOff>0</xdr:rowOff>
    </xdr:from>
    <xdr:to>
      <xdr:col>3</xdr:col>
      <xdr:colOff>266700</xdr:colOff>
      <xdr:row>19</xdr:row>
      <xdr:rowOff>144780</xdr:rowOff>
    </xdr:to>
    <xdr:sp macro="" textlink="">
      <xdr:nvSpPr>
        <xdr:cNvPr id="1244440" name="Line 61">
          <a:extLst>
            <a:ext uri="{FF2B5EF4-FFF2-40B4-BE49-F238E27FC236}">
              <a16:creationId xmlns:a16="http://schemas.microsoft.com/office/drawing/2014/main" id="{00000000-0008-0000-4F00-000018FD1200}"/>
            </a:ext>
          </a:extLst>
        </xdr:cNvPr>
        <xdr:cNvSpPr/>
      </xdr:nvSpPr>
      <xdr:spPr>
        <a:xfrm>
          <a:off x="1876425" y="5020310"/>
          <a:ext cx="0" cy="144780"/>
        </a:xfrm>
        <a:prstGeom prst="line">
          <a:avLst/>
        </a:prstGeom>
        <a:ln w="9525" cap="flat" cmpd="sng">
          <a:solidFill>
            <a:srgbClr val="000000"/>
          </a:solidFill>
          <a:prstDash val="solid"/>
          <a:round/>
          <a:headEnd type="oval" w="sm" len="sm"/>
          <a:tailEnd type="arrow" w="sm" len="sm"/>
        </a:ln>
      </xdr:spPr>
    </xdr:sp>
    <xdr:clientData/>
  </xdr:twoCellAnchor>
  <xdr:twoCellAnchor>
    <xdr:from>
      <xdr:col>2</xdr:col>
      <xdr:colOff>480060</xdr:colOff>
      <xdr:row>16</xdr:row>
      <xdr:rowOff>228600</xdr:rowOff>
    </xdr:from>
    <xdr:to>
      <xdr:col>2</xdr:col>
      <xdr:colOff>480060</xdr:colOff>
      <xdr:row>20</xdr:row>
      <xdr:rowOff>0</xdr:rowOff>
    </xdr:to>
    <xdr:sp macro="" textlink="">
      <xdr:nvSpPr>
        <xdr:cNvPr id="1244441" name="Line 62">
          <a:extLst>
            <a:ext uri="{FF2B5EF4-FFF2-40B4-BE49-F238E27FC236}">
              <a16:creationId xmlns:a16="http://schemas.microsoft.com/office/drawing/2014/main" id="{00000000-0008-0000-4F00-000019FD1200}"/>
            </a:ext>
          </a:extLst>
        </xdr:cNvPr>
        <xdr:cNvSpPr/>
      </xdr:nvSpPr>
      <xdr:spPr>
        <a:xfrm rot="-2700000">
          <a:off x="1546860" y="4483100"/>
          <a:ext cx="0" cy="792480"/>
        </a:xfrm>
        <a:prstGeom prst="line">
          <a:avLst/>
        </a:prstGeom>
        <a:ln w="76200" cap="flat" cmpd="sng">
          <a:solidFill>
            <a:srgbClr val="000000"/>
          </a:solidFill>
          <a:prstDash val="solid"/>
          <a:round/>
          <a:headEnd type="none" w="med" len="med"/>
          <a:tailEnd type="none" w="med" len="med"/>
        </a:ln>
      </xdr:spPr>
    </xdr:sp>
    <xdr:clientData/>
  </xdr:twoCellAnchor>
  <xdr:twoCellAnchor>
    <xdr:from>
      <xdr:col>3</xdr:col>
      <xdr:colOff>259080</xdr:colOff>
      <xdr:row>18</xdr:row>
      <xdr:rowOff>114935</xdr:rowOff>
    </xdr:from>
    <xdr:to>
      <xdr:col>5</xdr:col>
      <xdr:colOff>228600</xdr:colOff>
      <xdr:row>18</xdr:row>
      <xdr:rowOff>114935</xdr:rowOff>
    </xdr:to>
    <xdr:sp macro="" textlink="">
      <xdr:nvSpPr>
        <xdr:cNvPr id="1244442" name="Line 63">
          <a:extLst>
            <a:ext uri="{FF2B5EF4-FFF2-40B4-BE49-F238E27FC236}">
              <a16:creationId xmlns:a16="http://schemas.microsoft.com/office/drawing/2014/main" id="{00000000-0008-0000-4F00-00001AFD1200}"/>
            </a:ext>
          </a:extLst>
        </xdr:cNvPr>
        <xdr:cNvSpPr/>
      </xdr:nvSpPr>
      <xdr:spPr>
        <a:xfrm rot="2700000">
          <a:off x="2224405" y="4523740"/>
          <a:ext cx="635" cy="712470"/>
        </a:xfrm>
        <a:prstGeom prst="line">
          <a:avLst/>
        </a:prstGeom>
        <a:ln w="76200" cap="flat" cmpd="sng">
          <a:solidFill>
            <a:srgbClr val="000000"/>
          </a:solidFill>
          <a:prstDash val="solid"/>
          <a:round/>
          <a:headEnd type="none" w="med" len="med"/>
          <a:tailEnd type="none" w="med" len="med"/>
        </a:ln>
      </xdr:spPr>
    </xdr:sp>
    <xdr:clientData/>
  </xdr:twoCellAnchor>
  <xdr:twoCellAnchor>
    <xdr:from>
      <xdr:col>3</xdr:col>
      <xdr:colOff>205740</xdr:colOff>
      <xdr:row>19</xdr:row>
      <xdr:rowOff>68580</xdr:rowOff>
    </xdr:from>
    <xdr:to>
      <xdr:col>3</xdr:col>
      <xdr:colOff>335280</xdr:colOff>
      <xdr:row>19</xdr:row>
      <xdr:rowOff>213360</xdr:rowOff>
    </xdr:to>
    <xdr:sp macro="" textlink="">
      <xdr:nvSpPr>
        <xdr:cNvPr id="1244443" name="Arc 64">
          <a:extLst>
            <a:ext uri="{FF2B5EF4-FFF2-40B4-BE49-F238E27FC236}">
              <a16:creationId xmlns:a16="http://schemas.microsoft.com/office/drawing/2014/main" id="{00000000-0008-0000-4F00-00001BFD1200}"/>
            </a:ext>
          </a:extLst>
        </xdr:cNvPr>
        <xdr:cNvSpPr/>
      </xdr:nvSpPr>
      <xdr:spPr>
        <a:xfrm rot="-8100000" flipH="1">
          <a:off x="1815465" y="5088890"/>
          <a:ext cx="129540" cy="14478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2</xdr:col>
      <xdr:colOff>487680</xdr:colOff>
      <xdr:row>15</xdr:row>
      <xdr:rowOff>106680</xdr:rowOff>
    </xdr:from>
    <xdr:to>
      <xdr:col>4</xdr:col>
      <xdr:colOff>60960</xdr:colOff>
      <xdr:row>16</xdr:row>
      <xdr:rowOff>8255</xdr:rowOff>
    </xdr:to>
    <xdr:sp macro="" textlink="">
      <xdr:nvSpPr>
        <xdr:cNvPr id="1244444" name="FreeForm 65">
          <a:extLst>
            <a:ext uri="{FF2B5EF4-FFF2-40B4-BE49-F238E27FC236}">
              <a16:creationId xmlns:a16="http://schemas.microsoft.com/office/drawing/2014/main" id="{00000000-0008-0000-4F00-00001CFD1200}"/>
            </a:ext>
          </a:extLst>
        </xdr:cNvPr>
        <xdr:cNvSpPr/>
      </xdr:nvSpPr>
      <xdr:spPr>
        <a:xfrm>
          <a:off x="1554480" y="4105910"/>
          <a:ext cx="659130" cy="156845"/>
        </a:xfrm>
        <a:custGeom>
          <a:avLst/>
          <a:gdLst/>
          <a:ahLst/>
          <a:cxnLst>
            <a:cxn ang="0">
              <a:pos x="0" y="10"/>
            </a:cxn>
            <a:cxn ang="0">
              <a:pos x="25" y="1"/>
            </a:cxn>
            <a:cxn ang="0">
              <a:pos x="43" y="6"/>
            </a:cxn>
            <a:cxn ang="0">
              <a:pos x="57" y="17"/>
            </a:cxn>
            <a:cxn ang="0">
              <a:pos x="69" y="7"/>
            </a:cxn>
            <a:cxn ang="0">
              <a:pos x="77" y="11"/>
            </a:cxn>
          </a:cxnLst>
          <a:rect l="0" t="0" r="0" b="0"/>
          <a:pathLst>
            <a:path w="77" h="17">
              <a:moveTo>
                <a:pt x="0" y="10"/>
              </a:moveTo>
              <a:cubicBezTo>
                <a:pt x="9" y="6"/>
                <a:pt x="18" y="2"/>
                <a:pt x="25" y="1"/>
              </a:cubicBezTo>
              <a:cubicBezTo>
                <a:pt x="32" y="0"/>
                <a:pt x="38" y="3"/>
                <a:pt x="43" y="6"/>
              </a:cubicBezTo>
              <a:cubicBezTo>
                <a:pt x="48" y="9"/>
                <a:pt x="53" y="17"/>
                <a:pt x="57" y="17"/>
              </a:cubicBezTo>
              <a:cubicBezTo>
                <a:pt x="61" y="17"/>
                <a:pt x="66" y="8"/>
                <a:pt x="69" y="7"/>
              </a:cubicBezTo>
              <a:cubicBezTo>
                <a:pt x="72" y="6"/>
                <a:pt x="74" y="8"/>
                <a:pt x="77" y="11"/>
              </a:cubicBezTo>
            </a:path>
          </a:pathLst>
        </a:custGeom>
        <a:noFill/>
        <a:ln w="15875" cap="flat" cmpd="sng">
          <a:solidFill>
            <a:srgbClr val="000000"/>
          </a:solidFill>
          <a:prstDash val="solid"/>
          <a:round/>
          <a:headEnd type="none" w="med" len="med"/>
          <a:tailEnd type="none" w="med" len="med"/>
        </a:ln>
      </xdr:spPr>
    </xdr:sp>
    <xdr:clientData/>
  </xdr:twoCellAnchor>
  <xdr:twoCellAnchor>
    <xdr:from>
      <xdr:col>2</xdr:col>
      <xdr:colOff>487680</xdr:colOff>
      <xdr:row>15</xdr:row>
      <xdr:rowOff>198120</xdr:rowOff>
    </xdr:from>
    <xdr:to>
      <xdr:col>2</xdr:col>
      <xdr:colOff>487680</xdr:colOff>
      <xdr:row>18</xdr:row>
      <xdr:rowOff>75565</xdr:rowOff>
    </xdr:to>
    <xdr:sp macro="" textlink="">
      <xdr:nvSpPr>
        <xdr:cNvPr id="1244445" name="Line 66">
          <a:extLst>
            <a:ext uri="{FF2B5EF4-FFF2-40B4-BE49-F238E27FC236}">
              <a16:creationId xmlns:a16="http://schemas.microsoft.com/office/drawing/2014/main" id="{00000000-0008-0000-4F00-00001DFD1200}"/>
            </a:ext>
          </a:extLst>
        </xdr:cNvPr>
        <xdr:cNvSpPr/>
      </xdr:nvSpPr>
      <xdr:spPr>
        <a:xfrm flipH="1" flipV="1">
          <a:off x="1554480" y="4197350"/>
          <a:ext cx="0" cy="643255"/>
        </a:xfrm>
        <a:prstGeom prst="line">
          <a:avLst/>
        </a:prstGeom>
        <a:ln w="15875" cap="flat" cmpd="sng">
          <a:solidFill>
            <a:srgbClr val="000000"/>
          </a:solidFill>
          <a:prstDash val="solid"/>
          <a:round/>
          <a:headEnd type="none" w="med" len="med"/>
          <a:tailEnd type="none" w="med" len="med"/>
        </a:ln>
      </xdr:spPr>
    </xdr:sp>
    <xdr:clientData/>
  </xdr:twoCellAnchor>
  <xdr:twoCellAnchor>
    <xdr:from>
      <xdr:col>4</xdr:col>
      <xdr:colOff>60960</xdr:colOff>
      <xdr:row>15</xdr:row>
      <xdr:rowOff>190500</xdr:rowOff>
    </xdr:from>
    <xdr:to>
      <xdr:col>4</xdr:col>
      <xdr:colOff>60960</xdr:colOff>
      <xdr:row>18</xdr:row>
      <xdr:rowOff>83820</xdr:rowOff>
    </xdr:to>
    <xdr:sp macro="" textlink="">
      <xdr:nvSpPr>
        <xdr:cNvPr id="1244446" name="Line 67">
          <a:extLst>
            <a:ext uri="{FF2B5EF4-FFF2-40B4-BE49-F238E27FC236}">
              <a16:creationId xmlns:a16="http://schemas.microsoft.com/office/drawing/2014/main" id="{00000000-0008-0000-4F00-00001EFD1200}"/>
            </a:ext>
          </a:extLst>
        </xdr:cNvPr>
        <xdr:cNvSpPr/>
      </xdr:nvSpPr>
      <xdr:spPr>
        <a:xfrm flipV="1">
          <a:off x="2213610" y="4189730"/>
          <a:ext cx="0" cy="659130"/>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381000</xdr:colOff>
      <xdr:row>18</xdr:row>
      <xdr:rowOff>121920</xdr:rowOff>
    </xdr:from>
    <xdr:to>
      <xdr:col>2</xdr:col>
      <xdr:colOff>487680</xdr:colOff>
      <xdr:row>19</xdr:row>
      <xdr:rowOff>31115</xdr:rowOff>
    </xdr:to>
    <xdr:sp macro="" textlink="">
      <xdr:nvSpPr>
        <xdr:cNvPr id="1244447" name="Arc 68">
          <a:extLst>
            <a:ext uri="{FF2B5EF4-FFF2-40B4-BE49-F238E27FC236}">
              <a16:creationId xmlns:a16="http://schemas.microsoft.com/office/drawing/2014/main" id="{00000000-0008-0000-4F00-00001FFD1200}"/>
            </a:ext>
          </a:extLst>
        </xdr:cNvPr>
        <xdr:cNvSpPr/>
      </xdr:nvSpPr>
      <xdr:spPr>
        <a:xfrm>
          <a:off x="1447800" y="4886960"/>
          <a:ext cx="106680" cy="164465"/>
        </a:xfrm>
        <a:custGeom>
          <a:avLst/>
          <a:gdLst/>
          <a:ahLst/>
          <a:cxnLst>
            <a:cxn ang="0">
              <a:pos x="0" y="0"/>
            </a:cxn>
            <a:cxn ang="0">
              <a:pos x="17261" y="8612"/>
            </a:cxn>
            <a:cxn ang="0">
              <a:pos x="0" y="0"/>
            </a:cxn>
            <a:cxn ang="0">
              <a:pos x="17261" y="8612"/>
            </a:cxn>
            <a:cxn ang="0">
              <a:pos x="0" y="21600"/>
            </a:cxn>
          </a:cxnLst>
          <a:rect l="0" t="0" r="0" b="0"/>
          <a:pathLst>
            <a:path w="17260" h="21600" fill="none">
              <a:moveTo>
                <a:pt x="0" y="0"/>
              </a:moveTo>
              <a:cubicBezTo>
                <a:pt x="7054" y="0"/>
                <a:pt x="13319" y="3382"/>
                <a:pt x="17261" y="8612"/>
              </a:cubicBezTo>
            </a:path>
            <a:path w="17260" h="21600" stroke="0">
              <a:moveTo>
                <a:pt x="0" y="0"/>
              </a:moveTo>
              <a:cubicBezTo>
                <a:pt x="7054" y="0"/>
                <a:pt x="13319" y="3382"/>
                <a:pt x="17261" y="8612"/>
              </a:cubicBezTo>
              <a:lnTo>
                <a:pt x="0" y="21600"/>
              </a:lnTo>
              <a:close/>
            </a:path>
          </a:pathLst>
        </a:custGeom>
        <a:noFill/>
        <a:ln w="15875" cap="flat" cmpd="sng">
          <a:solidFill>
            <a:srgbClr val="000000"/>
          </a:solidFill>
          <a:prstDash val="solid"/>
          <a:round/>
          <a:headEnd type="none" w="med" len="med"/>
          <a:tailEnd type="none" w="med" len="med"/>
        </a:ln>
      </xdr:spPr>
    </xdr:sp>
    <xdr:clientData/>
  </xdr:twoCellAnchor>
  <xdr:twoCellAnchor>
    <xdr:from>
      <xdr:col>4</xdr:col>
      <xdr:colOff>76200</xdr:colOff>
      <xdr:row>18</xdr:row>
      <xdr:rowOff>121920</xdr:rowOff>
    </xdr:from>
    <xdr:to>
      <xdr:col>4</xdr:col>
      <xdr:colOff>190500</xdr:colOff>
      <xdr:row>18</xdr:row>
      <xdr:rowOff>197485</xdr:rowOff>
    </xdr:to>
    <xdr:sp macro="" textlink="">
      <xdr:nvSpPr>
        <xdr:cNvPr id="1244448" name="Arc 69">
          <a:extLst>
            <a:ext uri="{FF2B5EF4-FFF2-40B4-BE49-F238E27FC236}">
              <a16:creationId xmlns:a16="http://schemas.microsoft.com/office/drawing/2014/main" id="{00000000-0008-0000-4F00-000020FD1200}"/>
            </a:ext>
          </a:extLst>
        </xdr:cNvPr>
        <xdr:cNvSpPr/>
      </xdr:nvSpPr>
      <xdr:spPr>
        <a:xfrm rot="-5400000">
          <a:off x="2247900" y="4867275"/>
          <a:ext cx="75565" cy="114300"/>
        </a:xfrm>
        <a:custGeom>
          <a:avLst/>
          <a:gdLst/>
          <a:ahLst/>
          <a:cxnLst>
            <a:cxn ang="0">
              <a:pos x="10617" y="0"/>
            </a:cxn>
            <a:cxn ang="0">
              <a:pos x="21600" y="18810"/>
            </a:cxn>
            <a:cxn ang="0">
              <a:pos x="10617" y="0"/>
            </a:cxn>
            <a:cxn ang="0">
              <a:pos x="21600" y="18810"/>
            </a:cxn>
            <a:cxn ang="0">
              <a:pos x="0" y="18810"/>
            </a:cxn>
          </a:cxnLst>
          <a:rect l="0" t="0" r="0" b="0"/>
          <a:pathLst>
            <a:path w="21600" h="18810" fill="none">
              <a:moveTo>
                <a:pt x="10617" y="0"/>
              </a:moveTo>
              <a:cubicBezTo>
                <a:pt x="17176" y="3706"/>
                <a:pt x="21600" y="10741"/>
                <a:pt x="21600" y="18810"/>
              </a:cubicBezTo>
            </a:path>
            <a:path w="21600" h="18810" stroke="0">
              <a:moveTo>
                <a:pt x="10617" y="0"/>
              </a:moveTo>
              <a:cubicBezTo>
                <a:pt x="17176" y="3706"/>
                <a:pt x="21600" y="10741"/>
                <a:pt x="21600" y="18810"/>
              </a:cubicBezTo>
              <a:lnTo>
                <a:pt x="0" y="18810"/>
              </a:lnTo>
              <a:close/>
            </a:path>
          </a:pathLst>
        </a:custGeom>
        <a:noFill/>
        <a:ln w="15875" cap="flat" cmpd="sng">
          <a:solidFill>
            <a:srgbClr val="000000"/>
          </a:solidFill>
          <a:prstDash val="solid"/>
          <a:round/>
          <a:headEnd type="none" w="med" len="med"/>
          <a:tailEnd type="none" w="med" len="med"/>
        </a:ln>
      </xdr:spPr>
    </xdr:sp>
    <xdr:clientData/>
  </xdr:twoCellAnchor>
  <xdr:twoCellAnchor>
    <xdr:from>
      <xdr:col>4</xdr:col>
      <xdr:colOff>182880</xdr:colOff>
      <xdr:row>18</xdr:row>
      <xdr:rowOff>121920</xdr:rowOff>
    </xdr:from>
    <xdr:to>
      <xdr:col>6</xdr:col>
      <xdr:colOff>182880</xdr:colOff>
      <xdr:row>18</xdr:row>
      <xdr:rowOff>121920</xdr:rowOff>
    </xdr:to>
    <xdr:sp macro="" textlink="">
      <xdr:nvSpPr>
        <xdr:cNvPr id="1244449" name="Line 71">
          <a:extLst>
            <a:ext uri="{FF2B5EF4-FFF2-40B4-BE49-F238E27FC236}">
              <a16:creationId xmlns:a16="http://schemas.microsoft.com/office/drawing/2014/main" id="{00000000-0008-0000-4F00-000021FD1200}"/>
            </a:ext>
          </a:extLst>
        </xdr:cNvPr>
        <xdr:cNvSpPr/>
      </xdr:nvSpPr>
      <xdr:spPr>
        <a:xfrm>
          <a:off x="2335530" y="4886960"/>
          <a:ext cx="59055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160020</xdr:colOff>
      <xdr:row>18</xdr:row>
      <xdr:rowOff>121920</xdr:rowOff>
    </xdr:from>
    <xdr:to>
      <xdr:col>2</xdr:col>
      <xdr:colOff>388620</xdr:colOff>
      <xdr:row>18</xdr:row>
      <xdr:rowOff>121920</xdr:rowOff>
    </xdr:to>
    <xdr:sp macro="" textlink="">
      <xdr:nvSpPr>
        <xdr:cNvPr id="1244450" name="Line 72">
          <a:extLst>
            <a:ext uri="{FF2B5EF4-FFF2-40B4-BE49-F238E27FC236}">
              <a16:creationId xmlns:a16="http://schemas.microsoft.com/office/drawing/2014/main" id="{00000000-0008-0000-4F00-000022FD1200}"/>
            </a:ext>
          </a:extLst>
        </xdr:cNvPr>
        <xdr:cNvSpPr/>
      </xdr:nvSpPr>
      <xdr:spPr>
        <a:xfrm flipH="1">
          <a:off x="683895" y="4886960"/>
          <a:ext cx="77152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160020</xdr:colOff>
      <xdr:row>18</xdr:row>
      <xdr:rowOff>121920</xdr:rowOff>
    </xdr:from>
    <xdr:to>
      <xdr:col>1</xdr:col>
      <xdr:colOff>160020</xdr:colOff>
      <xdr:row>21</xdr:row>
      <xdr:rowOff>137795</xdr:rowOff>
    </xdr:to>
    <xdr:sp macro="" textlink="">
      <xdr:nvSpPr>
        <xdr:cNvPr id="1244451" name="Line 73">
          <a:extLst>
            <a:ext uri="{FF2B5EF4-FFF2-40B4-BE49-F238E27FC236}">
              <a16:creationId xmlns:a16="http://schemas.microsoft.com/office/drawing/2014/main" id="{00000000-0008-0000-4F00-000023FD1200}"/>
            </a:ext>
          </a:extLst>
        </xdr:cNvPr>
        <xdr:cNvSpPr/>
      </xdr:nvSpPr>
      <xdr:spPr>
        <a:xfrm>
          <a:off x="683895" y="4886960"/>
          <a:ext cx="0" cy="781685"/>
        </a:xfrm>
        <a:prstGeom prst="line">
          <a:avLst/>
        </a:prstGeom>
        <a:ln w="15875" cap="flat" cmpd="sng">
          <a:solidFill>
            <a:srgbClr val="000000"/>
          </a:solidFill>
          <a:prstDash val="solid"/>
          <a:round/>
          <a:headEnd type="none" w="med" len="med"/>
          <a:tailEnd type="none" w="med" len="med"/>
        </a:ln>
      </xdr:spPr>
    </xdr:sp>
    <xdr:clientData/>
  </xdr:twoCellAnchor>
  <xdr:twoCellAnchor>
    <xdr:from>
      <xdr:col>1</xdr:col>
      <xdr:colOff>0</xdr:colOff>
      <xdr:row>21</xdr:row>
      <xdr:rowOff>137795</xdr:rowOff>
    </xdr:from>
    <xdr:to>
      <xdr:col>6</xdr:col>
      <xdr:colOff>381000</xdr:colOff>
      <xdr:row>21</xdr:row>
      <xdr:rowOff>137795</xdr:rowOff>
    </xdr:to>
    <xdr:sp macro="" textlink="">
      <xdr:nvSpPr>
        <xdr:cNvPr id="1244452" name="Line 74">
          <a:extLst>
            <a:ext uri="{FF2B5EF4-FFF2-40B4-BE49-F238E27FC236}">
              <a16:creationId xmlns:a16="http://schemas.microsoft.com/office/drawing/2014/main" id="{00000000-0008-0000-4F00-000024FD1200}"/>
            </a:ext>
          </a:extLst>
        </xdr:cNvPr>
        <xdr:cNvSpPr/>
      </xdr:nvSpPr>
      <xdr:spPr>
        <a:xfrm flipV="1">
          <a:off x="523875" y="5668645"/>
          <a:ext cx="260032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6</xdr:col>
      <xdr:colOff>182880</xdr:colOff>
      <xdr:row>18</xdr:row>
      <xdr:rowOff>121920</xdr:rowOff>
    </xdr:from>
    <xdr:to>
      <xdr:col>6</xdr:col>
      <xdr:colOff>182880</xdr:colOff>
      <xdr:row>21</xdr:row>
      <xdr:rowOff>144780</xdr:rowOff>
    </xdr:to>
    <xdr:sp macro="" textlink="">
      <xdr:nvSpPr>
        <xdr:cNvPr id="1244453" name="Line 75">
          <a:extLst>
            <a:ext uri="{FF2B5EF4-FFF2-40B4-BE49-F238E27FC236}">
              <a16:creationId xmlns:a16="http://schemas.microsoft.com/office/drawing/2014/main" id="{00000000-0008-0000-4F00-000025FD1200}"/>
            </a:ext>
          </a:extLst>
        </xdr:cNvPr>
        <xdr:cNvSpPr/>
      </xdr:nvSpPr>
      <xdr:spPr>
        <a:xfrm>
          <a:off x="2926080" y="4886960"/>
          <a:ext cx="0" cy="788670"/>
        </a:xfrm>
        <a:prstGeom prst="line">
          <a:avLst/>
        </a:prstGeom>
        <a:ln w="15875" cap="flat" cmpd="sng">
          <a:solidFill>
            <a:srgbClr val="000000"/>
          </a:solidFill>
          <a:prstDash val="solid"/>
          <a:round/>
          <a:headEnd type="none" w="med" len="med"/>
          <a:tailEnd type="none" w="med" len="med"/>
        </a:ln>
      </xdr:spPr>
    </xdr:sp>
    <xdr:clientData/>
  </xdr:twoCellAnchor>
  <xdr:twoCellAnchor>
    <xdr:from>
      <xdr:col>2</xdr:col>
      <xdr:colOff>365760</xdr:colOff>
      <xdr:row>18</xdr:row>
      <xdr:rowOff>144780</xdr:rowOff>
    </xdr:from>
    <xdr:to>
      <xdr:col>2</xdr:col>
      <xdr:colOff>365760</xdr:colOff>
      <xdr:row>22</xdr:row>
      <xdr:rowOff>213360</xdr:rowOff>
    </xdr:to>
    <xdr:sp macro="" textlink="">
      <xdr:nvSpPr>
        <xdr:cNvPr id="1244454" name="Line 76">
          <a:extLst>
            <a:ext uri="{FF2B5EF4-FFF2-40B4-BE49-F238E27FC236}">
              <a16:creationId xmlns:a16="http://schemas.microsoft.com/office/drawing/2014/main" id="{00000000-0008-0000-4F00-000026FD1200}"/>
            </a:ext>
          </a:extLst>
        </xdr:cNvPr>
        <xdr:cNvSpPr/>
      </xdr:nvSpPr>
      <xdr:spPr>
        <a:xfrm>
          <a:off x="1432560" y="4909820"/>
          <a:ext cx="0" cy="1089660"/>
        </a:xfrm>
        <a:prstGeom prst="line">
          <a:avLst/>
        </a:prstGeom>
        <a:ln w="6350" cap="flat" cmpd="sng">
          <a:solidFill>
            <a:srgbClr val="000000"/>
          </a:solidFill>
          <a:prstDash val="solid"/>
          <a:round/>
          <a:headEnd type="none" w="med" len="med"/>
          <a:tailEnd type="none" w="med" len="med"/>
        </a:ln>
      </xdr:spPr>
    </xdr:sp>
    <xdr:clientData/>
  </xdr:twoCellAnchor>
  <xdr:twoCellAnchor>
    <xdr:from>
      <xdr:col>4</xdr:col>
      <xdr:colOff>175260</xdr:colOff>
      <xdr:row>18</xdr:row>
      <xdr:rowOff>144780</xdr:rowOff>
    </xdr:from>
    <xdr:to>
      <xdr:col>4</xdr:col>
      <xdr:colOff>175260</xdr:colOff>
      <xdr:row>22</xdr:row>
      <xdr:rowOff>213360</xdr:rowOff>
    </xdr:to>
    <xdr:sp macro="" textlink="">
      <xdr:nvSpPr>
        <xdr:cNvPr id="1244455" name="Line 78">
          <a:extLst>
            <a:ext uri="{FF2B5EF4-FFF2-40B4-BE49-F238E27FC236}">
              <a16:creationId xmlns:a16="http://schemas.microsoft.com/office/drawing/2014/main" id="{00000000-0008-0000-4F00-000027FD1200}"/>
            </a:ext>
          </a:extLst>
        </xdr:cNvPr>
        <xdr:cNvSpPr/>
      </xdr:nvSpPr>
      <xdr:spPr>
        <a:xfrm>
          <a:off x="2327910" y="4909820"/>
          <a:ext cx="0" cy="1089660"/>
        </a:xfrm>
        <a:prstGeom prst="line">
          <a:avLst/>
        </a:prstGeom>
        <a:ln w="6350" cap="flat" cmpd="sng">
          <a:solidFill>
            <a:srgbClr val="000000"/>
          </a:solidFill>
          <a:prstDash val="solid"/>
          <a:round/>
          <a:headEnd type="none" w="med" len="med"/>
          <a:tailEnd type="none" w="med" len="med"/>
        </a:ln>
      </xdr:spPr>
    </xdr:sp>
    <xdr:clientData/>
  </xdr:twoCellAnchor>
  <xdr:twoCellAnchor>
    <xdr:from>
      <xdr:col>2</xdr:col>
      <xdr:colOff>365760</xdr:colOff>
      <xdr:row>22</xdr:row>
      <xdr:rowOff>121920</xdr:rowOff>
    </xdr:from>
    <xdr:to>
      <xdr:col>3</xdr:col>
      <xdr:colOff>0</xdr:colOff>
      <xdr:row>22</xdr:row>
      <xdr:rowOff>121920</xdr:rowOff>
    </xdr:to>
    <xdr:sp macro="" textlink="">
      <xdr:nvSpPr>
        <xdr:cNvPr id="1244456" name="Line 81">
          <a:extLst>
            <a:ext uri="{FF2B5EF4-FFF2-40B4-BE49-F238E27FC236}">
              <a16:creationId xmlns:a16="http://schemas.microsoft.com/office/drawing/2014/main" id="{00000000-0008-0000-4F00-000028FD1200}"/>
            </a:ext>
          </a:extLst>
        </xdr:cNvPr>
        <xdr:cNvSpPr/>
      </xdr:nvSpPr>
      <xdr:spPr>
        <a:xfrm flipH="1">
          <a:off x="1432560" y="5908040"/>
          <a:ext cx="177165" cy="0"/>
        </a:xfrm>
        <a:prstGeom prst="line">
          <a:avLst/>
        </a:prstGeom>
        <a:ln w="9525" cap="flat" cmpd="sng">
          <a:solidFill>
            <a:srgbClr val="000000"/>
          </a:solidFill>
          <a:prstDash val="solid"/>
          <a:round/>
          <a:headEnd type="none" w="med" len="med"/>
          <a:tailEnd type="arrow" w="sm" len="sm"/>
        </a:ln>
      </xdr:spPr>
    </xdr:sp>
    <xdr:clientData/>
  </xdr:twoCellAnchor>
  <xdr:twoCellAnchor>
    <xdr:from>
      <xdr:col>3</xdr:col>
      <xdr:colOff>533400</xdr:colOff>
      <xdr:row>22</xdr:row>
      <xdr:rowOff>121920</xdr:rowOff>
    </xdr:from>
    <xdr:to>
      <xdr:col>4</xdr:col>
      <xdr:colOff>175260</xdr:colOff>
      <xdr:row>22</xdr:row>
      <xdr:rowOff>121920</xdr:rowOff>
    </xdr:to>
    <xdr:sp macro="" textlink="">
      <xdr:nvSpPr>
        <xdr:cNvPr id="1244457" name="Line 82">
          <a:extLst>
            <a:ext uri="{FF2B5EF4-FFF2-40B4-BE49-F238E27FC236}">
              <a16:creationId xmlns:a16="http://schemas.microsoft.com/office/drawing/2014/main" id="{00000000-0008-0000-4F00-000029FD1200}"/>
            </a:ext>
          </a:extLst>
        </xdr:cNvPr>
        <xdr:cNvSpPr/>
      </xdr:nvSpPr>
      <xdr:spPr>
        <a:xfrm flipH="1">
          <a:off x="2143125" y="5908040"/>
          <a:ext cx="184785" cy="0"/>
        </a:xfrm>
        <a:prstGeom prst="line">
          <a:avLst/>
        </a:prstGeom>
        <a:ln w="9525" cap="flat" cmpd="sng">
          <a:solidFill>
            <a:srgbClr val="000000"/>
          </a:solidFill>
          <a:prstDash val="solid"/>
          <a:round/>
          <a:headEnd type="arrow" w="sm" len="sm"/>
          <a:tailEnd type="none" w="med" len="med"/>
        </a:ln>
      </xdr:spPr>
    </xdr:sp>
    <xdr:clientData/>
  </xdr:twoCellAnchor>
  <xdr:twoCellAnchor>
    <xdr:from>
      <xdr:col>1</xdr:col>
      <xdr:colOff>175260</xdr:colOff>
      <xdr:row>18</xdr:row>
      <xdr:rowOff>144780</xdr:rowOff>
    </xdr:from>
    <xdr:to>
      <xdr:col>2</xdr:col>
      <xdr:colOff>419100</xdr:colOff>
      <xdr:row>21</xdr:row>
      <xdr:rowOff>137795</xdr:rowOff>
    </xdr:to>
    <xdr:sp macro="" textlink="">
      <xdr:nvSpPr>
        <xdr:cNvPr id="1244458" name="Line 83">
          <a:extLst>
            <a:ext uri="{FF2B5EF4-FFF2-40B4-BE49-F238E27FC236}">
              <a16:creationId xmlns:a16="http://schemas.microsoft.com/office/drawing/2014/main" id="{00000000-0008-0000-4F00-00002AFD1200}"/>
            </a:ext>
          </a:extLst>
        </xdr:cNvPr>
        <xdr:cNvSpPr/>
      </xdr:nvSpPr>
      <xdr:spPr>
        <a:xfrm flipH="1">
          <a:off x="699135" y="4909820"/>
          <a:ext cx="786765" cy="758825"/>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175260</xdr:colOff>
      <xdr:row>18</xdr:row>
      <xdr:rowOff>137795</xdr:rowOff>
    </xdr:from>
    <xdr:to>
      <xdr:col>2</xdr:col>
      <xdr:colOff>121920</xdr:colOff>
      <xdr:row>20</xdr:row>
      <xdr:rowOff>83820</xdr:rowOff>
    </xdr:to>
    <xdr:sp macro="" textlink="">
      <xdr:nvSpPr>
        <xdr:cNvPr id="1244459" name="Line 84">
          <a:extLst>
            <a:ext uri="{FF2B5EF4-FFF2-40B4-BE49-F238E27FC236}">
              <a16:creationId xmlns:a16="http://schemas.microsoft.com/office/drawing/2014/main" id="{00000000-0008-0000-4F00-00002BFD1200}"/>
            </a:ext>
          </a:extLst>
        </xdr:cNvPr>
        <xdr:cNvSpPr/>
      </xdr:nvSpPr>
      <xdr:spPr>
        <a:xfrm flipH="1">
          <a:off x="699135" y="4902835"/>
          <a:ext cx="489585" cy="456565"/>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525780</xdr:colOff>
      <xdr:row>19</xdr:row>
      <xdr:rowOff>8255</xdr:rowOff>
    </xdr:from>
    <xdr:to>
      <xdr:col>3</xdr:col>
      <xdr:colOff>60960</xdr:colOff>
      <xdr:row>21</xdr:row>
      <xdr:rowOff>137795</xdr:rowOff>
    </xdr:to>
    <xdr:sp macro="" textlink="">
      <xdr:nvSpPr>
        <xdr:cNvPr id="1244460" name="Line 85">
          <a:extLst>
            <a:ext uri="{FF2B5EF4-FFF2-40B4-BE49-F238E27FC236}">
              <a16:creationId xmlns:a16="http://schemas.microsoft.com/office/drawing/2014/main" id="{00000000-0008-0000-4F00-00002CFD1200}"/>
            </a:ext>
          </a:extLst>
        </xdr:cNvPr>
        <xdr:cNvSpPr/>
      </xdr:nvSpPr>
      <xdr:spPr>
        <a:xfrm flipH="1">
          <a:off x="1049655" y="5028565"/>
          <a:ext cx="621030" cy="640080"/>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289560</xdr:colOff>
      <xdr:row>19</xdr:row>
      <xdr:rowOff>159385</xdr:rowOff>
    </xdr:from>
    <xdr:to>
      <xdr:col>3</xdr:col>
      <xdr:colOff>205740</xdr:colOff>
      <xdr:row>21</xdr:row>
      <xdr:rowOff>137795</xdr:rowOff>
    </xdr:to>
    <xdr:sp macro="" textlink="">
      <xdr:nvSpPr>
        <xdr:cNvPr id="1244461" name="Line 86">
          <a:extLst>
            <a:ext uri="{FF2B5EF4-FFF2-40B4-BE49-F238E27FC236}">
              <a16:creationId xmlns:a16="http://schemas.microsoft.com/office/drawing/2014/main" id="{00000000-0008-0000-4F00-00002DFD1200}"/>
            </a:ext>
          </a:extLst>
        </xdr:cNvPr>
        <xdr:cNvSpPr/>
      </xdr:nvSpPr>
      <xdr:spPr>
        <a:xfrm flipH="1">
          <a:off x="1356360" y="5179695"/>
          <a:ext cx="459105" cy="48895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53340</xdr:colOff>
      <xdr:row>19</xdr:row>
      <xdr:rowOff>38100</xdr:rowOff>
    </xdr:from>
    <xdr:to>
      <xdr:col>4</xdr:col>
      <xdr:colOff>91440</xdr:colOff>
      <xdr:row>21</xdr:row>
      <xdr:rowOff>137795</xdr:rowOff>
    </xdr:to>
    <xdr:sp macro="" textlink="">
      <xdr:nvSpPr>
        <xdr:cNvPr id="1244462" name="Line 87">
          <a:extLst>
            <a:ext uri="{FF2B5EF4-FFF2-40B4-BE49-F238E27FC236}">
              <a16:creationId xmlns:a16="http://schemas.microsoft.com/office/drawing/2014/main" id="{00000000-0008-0000-4F00-00002EFD1200}"/>
            </a:ext>
          </a:extLst>
        </xdr:cNvPr>
        <xdr:cNvSpPr/>
      </xdr:nvSpPr>
      <xdr:spPr>
        <a:xfrm flipH="1">
          <a:off x="1663065" y="5058410"/>
          <a:ext cx="581025" cy="610235"/>
        </a:xfrm>
        <a:prstGeom prst="line">
          <a:avLst/>
        </a:prstGeom>
        <a:ln w="31750" cap="flat" cmpd="dbl">
          <a:solidFill>
            <a:srgbClr val="000000"/>
          </a:solidFill>
          <a:prstDash val="solid"/>
          <a:round/>
          <a:headEnd type="none" w="med" len="med"/>
          <a:tailEnd type="none" w="med" len="med"/>
        </a:ln>
      </xdr:spPr>
    </xdr:sp>
    <xdr:clientData/>
  </xdr:twoCellAnchor>
  <xdr:twoCellAnchor>
    <xdr:from>
      <xdr:col>5</xdr:col>
      <xdr:colOff>259080</xdr:colOff>
      <xdr:row>20</xdr:row>
      <xdr:rowOff>52705</xdr:rowOff>
    </xdr:from>
    <xdr:to>
      <xdr:col>6</xdr:col>
      <xdr:colOff>175260</xdr:colOff>
      <xdr:row>21</xdr:row>
      <xdr:rowOff>121920</xdr:rowOff>
    </xdr:to>
    <xdr:sp macro="" textlink="">
      <xdr:nvSpPr>
        <xdr:cNvPr id="1244463" name="Line 88">
          <a:extLst>
            <a:ext uri="{FF2B5EF4-FFF2-40B4-BE49-F238E27FC236}">
              <a16:creationId xmlns:a16="http://schemas.microsoft.com/office/drawing/2014/main" id="{00000000-0008-0000-4F00-00002FFD1200}"/>
            </a:ext>
          </a:extLst>
        </xdr:cNvPr>
        <xdr:cNvSpPr/>
      </xdr:nvSpPr>
      <xdr:spPr>
        <a:xfrm flipH="1">
          <a:off x="2611755" y="5328285"/>
          <a:ext cx="306705" cy="324485"/>
        </a:xfrm>
        <a:prstGeom prst="line">
          <a:avLst/>
        </a:prstGeom>
        <a:ln w="31750" cap="flat" cmpd="dbl">
          <a:solidFill>
            <a:srgbClr val="000000"/>
          </a:solidFill>
          <a:prstDash val="solid"/>
          <a:round/>
          <a:headEnd type="none" w="med" len="med"/>
          <a:tailEnd type="none" w="med" len="med"/>
        </a:ln>
      </xdr:spPr>
    </xdr:sp>
    <xdr:clientData/>
  </xdr:twoCellAnchor>
  <xdr:twoCellAnchor>
    <xdr:from>
      <xdr:col>1</xdr:col>
      <xdr:colOff>175260</xdr:colOff>
      <xdr:row>18</xdr:row>
      <xdr:rowOff>137795</xdr:rowOff>
    </xdr:from>
    <xdr:to>
      <xdr:col>1</xdr:col>
      <xdr:colOff>342900</xdr:colOff>
      <xdr:row>19</xdr:row>
      <xdr:rowOff>38100</xdr:rowOff>
    </xdr:to>
    <xdr:sp macro="" textlink="">
      <xdr:nvSpPr>
        <xdr:cNvPr id="1244464" name="Line 91">
          <a:extLst>
            <a:ext uri="{FF2B5EF4-FFF2-40B4-BE49-F238E27FC236}">
              <a16:creationId xmlns:a16="http://schemas.microsoft.com/office/drawing/2014/main" id="{00000000-0008-0000-4F00-000030FD1200}"/>
            </a:ext>
          </a:extLst>
        </xdr:cNvPr>
        <xdr:cNvSpPr/>
      </xdr:nvSpPr>
      <xdr:spPr>
        <a:xfrm flipH="1">
          <a:off x="699135" y="4902835"/>
          <a:ext cx="167640" cy="15557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175260</xdr:colOff>
      <xdr:row>20</xdr:row>
      <xdr:rowOff>8255</xdr:rowOff>
    </xdr:from>
    <xdr:to>
      <xdr:col>5</xdr:col>
      <xdr:colOff>320040</xdr:colOff>
      <xdr:row>21</xdr:row>
      <xdr:rowOff>137795</xdr:rowOff>
    </xdr:to>
    <xdr:sp macro="" textlink="">
      <xdr:nvSpPr>
        <xdr:cNvPr id="1244465" name="Line 93">
          <a:extLst>
            <a:ext uri="{FF2B5EF4-FFF2-40B4-BE49-F238E27FC236}">
              <a16:creationId xmlns:a16="http://schemas.microsoft.com/office/drawing/2014/main" id="{00000000-0008-0000-4F00-000031FD1200}"/>
            </a:ext>
          </a:extLst>
        </xdr:cNvPr>
        <xdr:cNvSpPr/>
      </xdr:nvSpPr>
      <xdr:spPr>
        <a:xfrm flipH="1">
          <a:off x="2327910" y="5283835"/>
          <a:ext cx="344805" cy="384810"/>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457200</xdr:colOff>
      <xdr:row>15</xdr:row>
      <xdr:rowOff>236220</xdr:rowOff>
    </xdr:from>
    <xdr:to>
      <xdr:col>4</xdr:col>
      <xdr:colOff>60960</xdr:colOff>
      <xdr:row>16</xdr:row>
      <xdr:rowOff>137795</xdr:rowOff>
    </xdr:to>
    <xdr:sp macro="" textlink="">
      <xdr:nvSpPr>
        <xdr:cNvPr id="1244466" name="Line 94">
          <a:extLst>
            <a:ext uri="{FF2B5EF4-FFF2-40B4-BE49-F238E27FC236}">
              <a16:creationId xmlns:a16="http://schemas.microsoft.com/office/drawing/2014/main" id="{00000000-0008-0000-4F00-000032FD1200}"/>
            </a:ext>
          </a:extLst>
        </xdr:cNvPr>
        <xdr:cNvSpPr/>
      </xdr:nvSpPr>
      <xdr:spPr>
        <a:xfrm>
          <a:off x="2066925" y="4235450"/>
          <a:ext cx="146685" cy="15684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91440</xdr:colOff>
      <xdr:row>15</xdr:row>
      <xdr:rowOff>137795</xdr:rowOff>
    </xdr:from>
    <xdr:to>
      <xdr:col>3</xdr:col>
      <xdr:colOff>464820</xdr:colOff>
      <xdr:row>16</xdr:row>
      <xdr:rowOff>236220</xdr:rowOff>
    </xdr:to>
    <xdr:sp macro="" textlink="">
      <xdr:nvSpPr>
        <xdr:cNvPr id="1244467" name="Line 95">
          <a:extLst>
            <a:ext uri="{FF2B5EF4-FFF2-40B4-BE49-F238E27FC236}">
              <a16:creationId xmlns:a16="http://schemas.microsoft.com/office/drawing/2014/main" id="{00000000-0008-0000-4F00-000033FD1200}"/>
            </a:ext>
          </a:extLst>
        </xdr:cNvPr>
        <xdr:cNvSpPr/>
      </xdr:nvSpPr>
      <xdr:spPr>
        <a:xfrm>
          <a:off x="1701165" y="4137025"/>
          <a:ext cx="373380" cy="35369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487680</xdr:colOff>
      <xdr:row>15</xdr:row>
      <xdr:rowOff>228600</xdr:rowOff>
    </xdr:from>
    <xdr:to>
      <xdr:col>3</xdr:col>
      <xdr:colOff>205740</xdr:colOff>
      <xdr:row>16</xdr:row>
      <xdr:rowOff>236220</xdr:rowOff>
    </xdr:to>
    <xdr:sp macro="" textlink="">
      <xdr:nvSpPr>
        <xdr:cNvPr id="1244468" name="Line 96">
          <a:extLst>
            <a:ext uri="{FF2B5EF4-FFF2-40B4-BE49-F238E27FC236}">
              <a16:creationId xmlns:a16="http://schemas.microsoft.com/office/drawing/2014/main" id="{00000000-0008-0000-4F00-000034FD1200}"/>
            </a:ext>
          </a:extLst>
        </xdr:cNvPr>
        <xdr:cNvSpPr/>
      </xdr:nvSpPr>
      <xdr:spPr>
        <a:xfrm>
          <a:off x="1554480" y="4227830"/>
          <a:ext cx="260985" cy="262890"/>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487680</xdr:colOff>
      <xdr:row>16</xdr:row>
      <xdr:rowOff>221615</xdr:rowOff>
    </xdr:from>
    <xdr:to>
      <xdr:col>3</xdr:col>
      <xdr:colOff>0</xdr:colOff>
      <xdr:row>17</xdr:row>
      <xdr:rowOff>15240</xdr:rowOff>
    </xdr:to>
    <xdr:sp macro="" textlink="">
      <xdr:nvSpPr>
        <xdr:cNvPr id="1244469" name="Line 97">
          <a:extLst>
            <a:ext uri="{FF2B5EF4-FFF2-40B4-BE49-F238E27FC236}">
              <a16:creationId xmlns:a16="http://schemas.microsoft.com/office/drawing/2014/main" id="{00000000-0008-0000-4F00-000035FD1200}"/>
            </a:ext>
          </a:extLst>
        </xdr:cNvPr>
        <xdr:cNvSpPr/>
      </xdr:nvSpPr>
      <xdr:spPr>
        <a:xfrm>
          <a:off x="1554480" y="4476115"/>
          <a:ext cx="55245" cy="4889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487680</xdr:colOff>
      <xdr:row>17</xdr:row>
      <xdr:rowOff>159385</xdr:rowOff>
    </xdr:from>
    <xdr:to>
      <xdr:col>3</xdr:col>
      <xdr:colOff>0</xdr:colOff>
      <xdr:row>17</xdr:row>
      <xdr:rowOff>228600</xdr:rowOff>
    </xdr:to>
    <xdr:sp macro="" textlink="">
      <xdr:nvSpPr>
        <xdr:cNvPr id="1244470" name="Line 98">
          <a:extLst>
            <a:ext uri="{FF2B5EF4-FFF2-40B4-BE49-F238E27FC236}">
              <a16:creationId xmlns:a16="http://schemas.microsoft.com/office/drawing/2014/main" id="{00000000-0008-0000-4F00-000036FD1200}"/>
            </a:ext>
          </a:extLst>
        </xdr:cNvPr>
        <xdr:cNvSpPr/>
      </xdr:nvSpPr>
      <xdr:spPr>
        <a:xfrm>
          <a:off x="1554480" y="4669155"/>
          <a:ext cx="55245" cy="6921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38100</xdr:colOff>
      <xdr:row>18</xdr:row>
      <xdr:rowOff>8255</xdr:rowOff>
    </xdr:from>
    <xdr:to>
      <xdr:col>3</xdr:col>
      <xdr:colOff>152400</xdr:colOff>
      <xdr:row>18</xdr:row>
      <xdr:rowOff>129540</xdr:rowOff>
    </xdr:to>
    <xdr:sp macro="" textlink="">
      <xdr:nvSpPr>
        <xdr:cNvPr id="1244471" name="Line 99">
          <a:extLst>
            <a:ext uri="{FF2B5EF4-FFF2-40B4-BE49-F238E27FC236}">
              <a16:creationId xmlns:a16="http://schemas.microsoft.com/office/drawing/2014/main" id="{00000000-0008-0000-4F00-000037FD1200}"/>
            </a:ext>
          </a:extLst>
        </xdr:cNvPr>
        <xdr:cNvSpPr/>
      </xdr:nvSpPr>
      <xdr:spPr>
        <a:xfrm>
          <a:off x="1647825" y="4773295"/>
          <a:ext cx="114300" cy="12128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419100</xdr:colOff>
      <xdr:row>18</xdr:row>
      <xdr:rowOff>0</xdr:rowOff>
    </xdr:from>
    <xdr:to>
      <xdr:col>4</xdr:col>
      <xdr:colOff>7620</xdr:colOff>
      <xdr:row>18</xdr:row>
      <xdr:rowOff>137795</xdr:rowOff>
    </xdr:to>
    <xdr:sp macro="" textlink="">
      <xdr:nvSpPr>
        <xdr:cNvPr id="1244472" name="Line 100">
          <a:extLst>
            <a:ext uri="{FF2B5EF4-FFF2-40B4-BE49-F238E27FC236}">
              <a16:creationId xmlns:a16="http://schemas.microsoft.com/office/drawing/2014/main" id="{00000000-0008-0000-4F00-000038FD1200}"/>
            </a:ext>
          </a:extLst>
        </xdr:cNvPr>
        <xdr:cNvSpPr/>
      </xdr:nvSpPr>
      <xdr:spPr>
        <a:xfrm>
          <a:off x="2028825" y="4765040"/>
          <a:ext cx="131445" cy="13779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0</xdr:colOff>
      <xdr:row>17</xdr:row>
      <xdr:rowOff>52705</xdr:rowOff>
    </xdr:from>
    <xdr:to>
      <xdr:col>4</xdr:col>
      <xdr:colOff>60960</xdr:colOff>
      <xdr:row>17</xdr:row>
      <xdr:rowOff>105410</xdr:rowOff>
    </xdr:to>
    <xdr:sp macro="" textlink="">
      <xdr:nvSpPr>
        <xdr:cNvPr id="1244473" name="Line 101">
          <a:extLst>
            <a:ext uri="{FF2B5EF4-FFF2-40B4-BE49-F238E27FC236}">
              <a16:creationId xmlns:a16="http://schemas.microsoft.com/office/drawing/2014/main" id="{00000000-0008-0000-4F00-000039FD1200}"/>
            </a:ext>
          </a:extLst>
        </xdr:cNvPr>
        <xdr:cNvSpPr/>
      </xdr:nvSpPr>
      <xdr:spPr>
        <a:xfrm>
          <a:off x="2152650" y="4562475"/>
          <a:ext cx="60960" cy="52705"/>
        </a:xfrm>
        <a:prstGeom prst="line">
          <a:avLst/>
        </a:prstGeom>
        <a:ln w="31750" cap="flat" cmpd="dbl">
          <a:solidFill>
            <a:srgbClr val="000000"/>
          </a:solidFill>
          <a:prstDash val="solid"/>
          <a:round/>
          <a:headEnd type="none" w="med" len="med"/>
          <a:tailEnd type="none" w="med" len="med"/>
        </a:ln>
      </xdr:spPr>
    </xdr:sp>
    <xdr:clientData/>
  </xdr:twoCellAnchor>
  <xdr:twoCellAnchor>
    <xdr:from>
      <xdr:col>3</xdr:col>
      <xdr:colOff>365760</xdr:colOff>
      <xdr:row>18</xdr:row>
      <xdr:rowOff>182245</xdr:rowOff>
    </xdr:from>
    <xdr:to>
      <xdr:col>3</xdr:col>
      <xdr:colOff>434340</xdr:colOff>
      <xdr:row>19</xdr:row>
      <xdr:rowOff>0</xdr:rowOff>
    </xdr:to>
    <xdr:sp macro="" textlink="">
      <xdr:nvSpPr>
        <xdr:cNvPr id="1244474" name="Line 102">
          <a:extLst>
            <a:ext uri="{FF2B5EF4-FFF2-40B4-BE49-F238E27FC236}">
              <a16:creationId xmlns:a16="http://schemas.microsoft.com/office/drawing/2014/main" id="{00000000-0008-0000-4F00-00003AFD1200}"/>
            </a:ext>
          </a:extLst>
        </xdr:cNvPr>
        <xdr:cNvSpPr/>
      </xdr:nvSpPr>
      <xdr:spPr>
        <a:xfrm>
          <a:off x="1975485" y="4947285"/>
          <a:ext cx="68580" cy="73025"/>
        </a:xfrm>
        <a:prstGeom prst="line">
          <a:avLst/>
        </a:prstGeom>
        <a:ln w="31750" cap="flat" cmpd="dbl">
          <a:solidFill>
            <a:srgbClr val="000000"/>
          </a:solidFill>
          <a:prstDash val="solid"/>
          <a:round/>
          <a:headEnd type="none" w="med" len="med"/>
          <a:tailEnd type="none" w="med" len="med"/>
        </a:ln>
      </xdr:spPr>
    </xdr:sp>
    <xdr:clientData/>
  </xdr:twoCellAnchor>
  <xdr:twoCellAnchor>
    <xdr:from>
      <xdr:col>9</xdr:col>
      <xdr:colOff>121920</xdr:colOff>
      <xdr:row>4</xdr:row>
      <xdr:rowOff>152400</xdr:rowOff>
    </xdr:from>
    <xdr:to>
      <xdr:col>9</xdr:col>
      <xdr:colOff>129540</xdr:colOff>
      <xdr:row>8</xdr:row>
      <xdr:rowOff>182245</xdr:rowOff>
    </xdr:to>
    <xdr:sp macro="" textlink="">
      <xdr:nvSpPr>
        <xdr:cNvPr id="1244475" name="Line 105">
          <a:extLst>
            <a:ext uri="{FF2B5EF4-FFF2-40B4-BE49-F238E27FC236}">
              <a16:creationId xmlns:a16="http://schemas.microsoft.com/office/drawing/2014/main" id="{00000000-0008-0000-4F00-00003BFD1200}"/>
            </a:ext>
          </a:extLst>
        </xdr:cNvPr>
        <xdr:cNvSpPr/>
      </xdr:nvSpPr>
      <xdr:spPr>
        <a:xfrm rot="1800000">
          <a:off x="4474845" y="1343660"/>
          <a:ext cx="7620" cy="1050925"/>
        </a:xfrm>
        <a:prstGeom prst="line">
          <a:avLst/>
        </a:prstGeom>
        <a:ln w="76200" cap="flat" cmpd="sng">
          <a:solidFill>
            <a:srgbClr val="000000"/>
          </a:solidFill>
          <a:prstDash val="solid"/>
          <a:round/>
          <a:headEnd type="none" w="med" len="med"/>
          <a:tailEnd type="none" w="med" len="med"/>
        </a:ln>
      </xdr:spPr>
    </xdr:sp>
    <xdr:clientData/>
  </xdr:twoCellAnchor>
  <xdr:twoCellAnchor>
    <xdr:from>
      <xdr:col>7</xdr:col>
      <xdr:colOff>0</xdr:colOff>
      <xdr:row>7</xdr:row>
      <xdr:rowOff>213360</xdr:rowOff>
    </xdr:from>
    <xdr:to>
      <xdr:col>8</xdr:col>
      <xdr:colOff>190500</xdr:colOff>
      <xdr:row>7</xdr:row>
      <xdr:rowOff>213360</xdr:rowOff>
    </xdr:to>
    <xdr:sp macro="" textlink="">
      <xdr:nvSpPr>
        <xdr:cNvPr id="1244476" name="Line 107">
          <a:extLst>
            <a:ext uri="{FF2B5EF4-FFF2-40B4-BE49-F238E27FC236}">
              <a16:creationId xmlns:a16="http://schemas.microsoft.com/office/drawing/2014/main" id="{00000000-0008-0000-4F00-00003CFD1200}"/>
            </a:ext>
          </a:extLst>
        </xdr:cNvPr>
        <xdr:cNvSpPr/>
      </xdr:nvSpPr>
      <xdr:spPr>
        <a:xfrm rot="-3600000">
          <a:off x="3633470" y="1803400"/>
          <a:ext cx="0" cy="733425"/>
        </a:xfrm>
        <a:prstGeom prst="line">
          <a:avLst/>
        </a:prstGeom>
        <a:ln w="76200" cap="flat" cmpd="sng">
          <a:solidFill>
            <a:srgbClr val="000000"/>
          </a:solidFill>
          <a:prstDash val="solid"/>
          <a:round/>
          <a:headEnd type="none" w="med" len="med"/>
          <a:tailEnd type="none" w="med" len="med"/>
        </a:ln>
      </xdr:spPr>
    </xdr:sp>
    <xdr:clientData/>
  </xdr:twoCellAnchor>
  <xdr:twoCellAnchor>
    <xdr:from>
      <xdr:col>8</xdr:col>
      <xdr:colOff>137160</xdr:colOff>
      <xdr:row>8</xdr:row>
      <xdr:rowOff>83820</xdr:rowOff>
    </xdr:from>
    <xdr:to>
      <xdr:col>8</xdr:col>
      <xdr:colOff>434340</xdr:colOff>
      <xdr:row>8</xdr:row>
      <xdr:rowOff>190500</xdr:rowOff>
    </xdr:to>
    <xdr:sp macro="" textlink="">
      <xdr:nvSpPr>
        <xdr:cNvPr id="1244477" name="Arc 108">
          <a:extLst>
            <a:ext uri="{FF2B5EF4-FFF2-40B4-BE49-F238E27FC236}">
              <a16:creationId xmlns:a16="http://schemas.microsoft.com/office/drawing/2014/main" id="{00000000-0008-0000-4F00-00003DFD1200}"/>
            </a:ext>
          </a:extLst>
        </xdr:cNvPr>
        <xdr:cNvSpPr/>
      </xdr:nvSpPr>
      <xdr:spPr>
        <a:xfrm flipV="1">
          <a:off x="3947160" y="2296160"/>
          <a:ext cx="297180" cy="106680"/>
        </a:xfrm>
        <a:custGeom>
          <a:avLst/>
          <a:gdLst/>
          <a:ahLst/>
          <a:cxnLst>
            <a:cxn ang="0">
              <a:pos x="0" y="5900"/>
            </a:cxn>
            <a:cxn ang="0">
              <a:pos x="14835" y="0"/>
            </a:cxn>
            <a:cxn ang="0">
              <a:pos x="36035" y="17439"/>
            </a:cxn>
            <a:cxn ang="0">
              <a:pos x="0" y="5900"/>
            </a:cxn>
            <a:cxn ang="0">
              <a:pos x="14835" y="0"/>
            </a:cxn>
            <a:cxn ang="0">
              <a:pos x="36035" y="17439"/>
            </a:cxn>
            <a:cxn ang="0">
              <a:pos x="14835" y="21600"/>
            </a:cxn>
          </a:cxnLst>
          <a:rect l="0" t="0" r="0" b="0"/>
          <a:pathLst>
            <a:path w="36033" h="21600" fill="none">
              <a:moveTo>
                <a:pt x="0" y="5900"/>
              </a:moveTo>
              <a:cubicBezTo>
                <a:pt x="3869" y="2243"/>
                <a:pt x="9090" y="0"/>
                <a:pt x="14835" y="0"/>
              </a:cubicBezTo>
              <a:cubicBezTo>
                <a:pt x="25343" y="0"/>
                <a:pt x="34099" y="7504"/>
                <a:pt x="36035" y="17439"/>
              </a:cubicBezTo>
            </a:path>
            <a:path w="36033" h="21600" stroke="0">
              <a:moveTo>
                <a:pt x="0" y="5900"/>
              </a:moveTo>
              <a:cubicBezTo>
                <a:pt x="3869" y="2243"/>
                <a:pt x="9090" y="0"/>
                <a:pt x="14835" y="0"/>
              </a:cubicBezTo>
              <a:cubicBezTo>
                <a:pt x="25343" y="0"/>
                <a:pt x="34099" y="7504"/>
                <a:pt x="36035" y="17439"/>
              </a:cubicBezTo>
              <a:lnTo>
                <a:pt x="14835"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12</xdr:col>
      <xdr:colOff>220980</xdr:colOff>
      <xdr:row>4</xdr:row>
      <xdr:rowOff>175260</xdr:rowOff>
    </xdr:from>
    <xdr:to>
      <xdr:col>12</xdr:col>
      <xdr:colOff>220980</xdr:colOff>
      <xdr:row>8</xdr:row>
      <xdr:rowOff>236220</xdr:rowOff>
    </xdr:to>
    <xdr:sp macro="" textlink="">
      <xdr:nvSpPr>
        <xdr:cNvPr id="1244478" name="Line 109">
          <a:extLst>
            <a:ext uri="{FF2B5EF4-FFF2-40B4-BE49-F238E27FC236}">
              <a16:creationId xmlns:a16="http://schemas.microsoft.com/office/drawing/2014/main" id="{00000000-0008-0000-4F00-00003EFD1200}"/>
            </a:ext>
          </a:extLst>
        </xdr:cNvPr>
        <xdr:cNvSpPr/>
      </xdr:nvSpPr>
      <xdr:spPr>
        <a:xfrm rot="1800000" flipH="1">
          <a:off x="6202680" y="1366520"/>
          <a:ext cx="0" cy="1082040"/>
        </a:xfrm>
        <a:prstGeom prst="line">
          <a:avLst/>
        </a:prstGeom>
        <a:ln w="15875" cap="flat" cmpd="sng">
          <a:solidFill>
            <a:srgbClr val="000000"/>
          </a:solidFill>
          <a:prstDash val="solid"/>
          <a:round/>
          <a:headEnd type="none" w="med" len="med"/>
          <a:tailEnd type="none" w="med" len="med"/>
        </a:ln>
      </xdr:spPr>
    </xdr:sp>
    <xdr:clientData/>
  </xdr:twoCellAnchor>
  <xdr:twoCellAnchor>
    <xdr:from>
      <xdr:col>11</xdr:col>
      <xdr:colOff>426720</xdr:colOff>
      <xdr:row>8</xdr:row>
      <xdr:rowOff>114935</xdr:rowOff>
    </xdr:from>
    <xdr:to>
      <xdr:col>11</xdr:col>
      <xdr:colOff>518160</xdr:colOff>
      <xdr:row>8</xdr:row>
      <xdr:rowOff>221615</xdr:rowOff>
    </xdr:to>
    <xdr:sp macro="" textlink="">
      <xdr:nvSpPr>
        <xdr:cNvPr id="1244479" name="Arc 110">
          <a:extLst>
            <a:ext uri="{FF2B5EF4-FFF2-40B4-BE49-F238E27FC236}">
              <a16:creationId xmlns:a16="http://schemas.microsoft.com/office/drawing/2014/main" id="{00000000-0008-0000-4F00-00003FFD1200}"/>
            </a:ext>
          </a:extLst>
        </xdr:cNvPr>
        <xdr:cNvSpPr/>
      </xdr:nvSpPr>
      <xdr:spPr>
        <a:xfrm flipV="1">
          <a:off x="5865495" y="2327275"/>
          <a:ext cx="91440" cy="106680"/>
        </a:xfrm>
        <a:custGeom>
          <a:avLst/>
          <a:gdLst/>
          <a:ahLst/>
          <a:cxnLst>
            <a:cxn ang="0">
              <a:pos x="3178" y="0"/>
            </a:cxn>
            <a:cxn ang="0">
              <a:pos x="19324" y="11702"/>
            </a:cxn>
            <a:cxn ang="0">
              <a:pos x="3178" y="0"/>
            </a:cxn>
            <a:cxn ang="0">
              <a:pos x="19324" y="11702"/>
            </a:cxn>
            <a:cxn ang="0">
              <a:pos x="0" y="21365"/>
            </a:cxn>
          </a:cxnLst>
          <a:rect l="0" t="0" r="0" b="0"/>
          <a:pathLst>
            <a:path w="19321" h="21365" fill="none">
              <a:moveTo>
                <a:pt x="3178" y="0"/>
              </a:moveTo>
              <a:cubicBezTo>
                <a:pt x="10270" y="1046"/>
                <a:pt x="16233" y="5532"/>
                <a:pt x="19324" y="11702"/>
              </a:cubicBezTo>
            </a:path>
            <a:path w="19321" h="21365" stroke="0">
              <a:moveTo>
                <a:pt x="3178" y="0"/>
              </a:moveTo>
              <a:cubicBezTo>
                <a:pt x="10270" y="1046"/>
                <a:pt x="16233" y="5532"/>
                <a:pt x="19324" y="11702"/>
              </a:cubicBezTo>
              <a:lnTo>
                <a:pt x="0" y="21365"/>
              </a:lnTo>
              <a:close/>
            </a:path>
          </a:pathLst>
        </a:custGeom>
        <a:noFill/>
        <a:ln w="15875" cap="flat" cmpd="sng">
          <a:solidFill>
            <a:srgbClr val="000000"/>
          </a:solidFill>
          <a:prstDash val="solid"/>
          <a:round/>
          <a:headEnd type="none" w="med" len="med"/>
          <a:tailEnd type="none" w="med" len="med"/>
        </a:ln>
      </xdr:spPr>
    </xdr:sp>
    <xdr:clientData/>
  </xdr:twoCellAnchor>
  <xdr:twoCellAnchor>
    <xdr:from>
      <xdr:col>8</xdr:col>
      <xdr:colOff>320040</xdr:colOff>
      <xdr:row>8</xdr:row>
      <xdr:rowOff>221615</xdr:rowOff>
    </xdr:from>
    <xdr:to>
      <xdr:col>11</xdr:col>
      <xdr:colOff>457200</xdr:colOff>
      <xdr:row>8</xdr:row>
      <xdr:rowOff>221615</xdr:rowOff>
    </xdr:to>
    <xdr:sp macro="" textlink="">
      <xdr:nvSpPr>
        <xdr:cNvPr id="1244480" name="Line 111">
          <a:extLst>
            <a:ext uri="{FF2B5EF4-FFF2-40B4-BE49-F238E27FC236}">
              <a16:creationId xmlns:a16="http://schemas.microsoft.com/office/drawing/2014/main" id="{00000000-0008-0000-4F00-000040FD1200}"/>
            </a:ext>
          </a:extLst>
        </xdr:cNvPr>
        <xdr:cNvSpPr/>
      </xdr:nvSpPr>
      <xdr:spPr>
        <a:xfrm>
          <a:off x="4130040" y="2433955"/>
          <a:ext cx="1765935"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320040</xdr:colOff>
      <xdr:row>4</xdr:row>
      <xdr:rowOff>228600</xdr:rowOff>
    </xdr:from>
    <xdr:to>
      <xdr:col>12</xdr:col>
      <xdr:colOff>472440</xdr:colOff>
      <xdr:row>4</xdr:row>
      <xdr:rowOff>228600</xdr:rowOff>
    </xdr:to>
    <xdr:sp macro="" textlink="">
      <xdr:nvSpPr>
        <xdr:cNvPr id="1244481" name="Line 112">
          <a:extLst>
            <a:ext uri="{FF2B5EF4-FFF2-40B4-BE49-F238E27FC236}">
              <a16:creationId xmlns:a16="http://schemas.microsoft.com/office/drawing/2014/main" id="{00000000-0008-0000-4F00-000041FD1200}"/>
            </a:ext>
          </a:extLst>
        </xdr:cNvPr>
        <xdr:cNvSpPr/>
      </xdr:nvSpPr>
      <xdr:spPr>
        <a:xfrm>
          <a:off x="4672965" y="1419860"/>
          <a:ext cx="1781175" cy="0"/>
        </a:xfrm>
        <a:prstGeom prst="line">
          <a:avLst/>
        </a:prstGeom>
        <a:ln w="50800" cap="flat" cmpd="sng">
          <a:solidFill>
            <a:srgbClr val="000000"/>
          </a:solidFill>
          <a:prstDash val="solid"/>
          <a:round/>
          <a:headEnd type="none" w="med" len="med"/>
          <a:tailEnd type="none" w="med" len="med"/>
        </a:ln>
      </xdr:spPr>
    </xdr:sp>
    <xdr:clientData/>
  </xdr:twoCellAnchor>
  <xdr:twoCellAnchor>
    <xdr:from>
      <xdr:col>7</xdr:col>
      <xdr:colOff>68580</xdr:colOff>
      <xdr:row>7</xdr:row>
      <xdr:rowOff>0</xdr:rowOff>
    </xdr:from>
    <xdr:to>
      <xdr:col>9</xdr:col>
      <xdr:colOff>76200</xdr:colOff>
      <xdr:row>7</xdr:row>
      <xdr:rowOff>0</xdr:rowOff>
    </xdr:to>
    <xdr:sp macro="" textlink="">
      <xdr:nvSpPr>
        <xdr:cNvPr id="1244482" name="Line 113">
          <a:extLst>
            <a:ext uri="{FF2B5EF4-FFF2-40B4-BE49-F238E27FC236}">
              <a16:creationId xmlns:a16="http://schemas.microsoft.com/office/drawing/2014/main" id="{00000000-0008-0000-4F00-000042FD1200}"/>
            </a:ext>
          </a:extLst>
        </xdr:cNvPr>
        <xdr:cNvSpPr/>
      </xdr:nvSpPr>
      <xdr:spPr>
        <a:xfrm>
          <a:off x="3335655" y="1957070"/>
          <a:ext cx="1093470" cy="0"/>
        </a:xfrm>
        <a:prstGeom prst="line">
          <a:avLst/>
        </a:prstGeom>
        <a:ln w="15875" cap="flat" cmpd="sng">
          <a:solidFill>
            <a:srgbClr val="000000"/>
          </a:solidFill>
          <a:prstDash val="solid"/>
          <a:round/>
          <a:headEnd type="none" w="med" len="med"/>
          <a:tailEnd type="none" w="med" len="med"/>
        </a:ln>
      </xdr:spPr>
    </xdr:sp>
    <xdr:clientData/>
  </xdr:twoCellAnchor>
  <xdr:twoCellAnchor>
    <xdr:from>
      <xdr:col>9</xdr:col>
      <xdr:colOff>91440</xdr:colOff>
      <xdr:row>5</xdr:row>
      <xdr:rowOff>83820</xdr:rowOff>
    </xdr:from>
    <xdr:to>
      <xdr:col>9</xdr:col>
      <xdr:colOff>213360</xdr:colOff>
      <xdr:row>5</xdr:row>
      <xdr:rowOff>159385</xdr:rowOff>
    </xdr:to>
    <xdr:sp macro="" textlink="">
      <xdr:nvSpPr>
        <xdr:cNvPr id="1244483" name="Line 114">
          <a:extLst>
            <a:ext uri="{FF2B5EF4-FFF2-40B4-BE49-F238E27FC236}">
              <a16:creationId xmlns:a16="http://schemas.microsoft.com/office/drawing/2014/main" id="{00000000-0008-0000-4F00-000043FD1200}"/>
            </a:ext>
          </a:extLst>
        </xdr:cNvPr>
        <xdr:cNvSpPr/>
      </xdr:nvSpPr>
      <xdr:spPr>
        <a:xfrm>
          <a:off x="4444365" y="1530350"/>
          <a:ext cx="121920" cy="75565"/>
        </a:xfrm>
        <a:prstGeom prst="line">
          <a:avLst/>
        </a:prstGeom>
        <a:ln w="9525" cap="flat" cmpd="sng">
          <a:solidFill>
            <a:srgbClr val="000000"/>
          </a:solidFill>
          <a:prstDash val="solid"/>
          <a:round/>
          <a:headEnd type="none" w="med" len="med"/>
          <a:tailEnd type="arrow" w="sm" len="sm"/>
        </a:ln>
      </xdr:spPr>
    </xdr:sp>
    <xdr:clientData/>
  </xdr:twoCellAnchor>
  <xdr:twoCellAnchor>
    <xdr:from>
      <xdr:col>9</xdr:col>
      <xdr:colOff>281940</xdr:colOff>
      <xdr:row>5</xdr:row>
      <xdr:rowOff>198120</xdr:rowOff>
    </xdr:from>
    <xdr:to>
      <xdr:col>9</xdr:col>
      <xdr:colOff>411480</xdr:colOff>
      <xdr:row>6</xdr:row>
      <xdr:rowOff>8255</xdr:rowOff>
    </xdr:to>
    <xdr:sp macro="" textlink="">
      <xdr:nvSpPr>
        <xdr:cNvPr id="1244484" name="Line 115">
          <a:extLst>
            <a:ext uri="{FF2B5EF4-FFF2-40B4-BE49-F238E27FC236}">
              <a16:creationId xmlns:a16="http://schemas.microsoft.com/office/drawing/2014/main" id="{00000000-0008-0000-4F00-000044FD1200}"/>
            </a:ext>
          </a:extLst>
        </xdr:cNvPr>
        <xdr:cNvSpPr/>
      </xdr:nvSpPr>
      <xdr:spPr>
        <a:xfrm>
          <a:off x="4634865" y="1644650"/>
          <a:ext cx="129540" cy="65405"/>
        </a:xfrm>
        <a:prstGeom prst="line">
          <a:avLst/>
        </a:prstGeom>
        <a:ln w="9525" cap="flat" cmpd="sng">
          <a:solidFill>
            <a:srgbClr val="000000"/>
          </a:solidFill>
          <a:prstDash val="solid"/>
          <a:round/>
          <a:headEnd type="arrow" w="sm" len="sm"/>
          <a:tailEnd type="none" w="med" len="med"/>
        </a:ln>
      </xdr:spPr>
    </xdr:sp>
    <xdr:clientData/>
  </xdr:twoCellAnchor>
  <xdr:twoCellAnchor>
    <xdr:from>
      <xdr:col>11</xdr:col>
      <xdr:colOff>480060</xdr:colOff>
      <xdr:row>8</xdr:row>
      <xdr:rowOff>228600</xdr:rowOff>
    </xdr:from>
    <xdr:to>
      <xdr:col>11</xdr:col>
      <xdr:colOff>480060</xdr:colOff>
      <xdr:row>10</xdr:row>
      <xdr:rowOff>198120</xdr:rowOff>
    </xdr:to>
    <xdr:sp macro="" textlink="">
      <xdr:nvSpPr>
        <xdr:cNvPr id="1244485" name="Line 116">
          <a:extLst>
            <a:ext uri="{FF2B5EF4-FFF2-40B4-BE49-F238E27FC236}">
              <a16:creationId xmlns:a16="http://schemas.microsoft.com/office/drawing/2014/main" id="{00000000-0008-0000-4F00-000045FD1200}"/>
            </a:ext>
          </a:extLst>
        </xdr:cNvPr>
        <xdr:cNvSpPr/>
      </xdr:nvSpPr>
      <xdr:spPr>
        <a:xfrm>
          <a:off x="5918835" y="2440940"/>
          <a:ext cx="0" cy="48006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320040</xdr:colOff>
      <xdr:row>8</xdr:row>
      <xdr:rowOff>228600</xdr:rowOff>
    </xdr:from>
    <xdr:to>
      <xdr:col>8</xdr:col>
      <xdr:colOff>320040</xdr:colOff>
      <xdr:row>10</xdr:row>
      <xdr:rowOff>213360</xdr:rowOff>
    </xdr:to>
    <xdr:sp macro="" textlink="">
      <xdr:nvSpPr>
        <xdr:cNvPr id="1244486" name="Line 117">
          <a:extLst>
            <a:ext uri="{FF2B5EF4-FFF2-40B4-BE49-F238E27FC236}">
              <a16:creationId xmlns:a16="http://schemas.microsoft.com/office/drawing/2014/main" id="{00000000-0008-0000-4F00-000046FD1200}"/>
            </a:ext>
          </a:extLst>
        </xdr:cNvPr>
        <xdr:cNvSpPr/>
      </xdr:nvSpPr>
      <xdr:spPr>
        <a:xfrm>
          <a:off x="4130040" y="2440940"/>
          <a:ext cx="0" cy="49530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7620</xdr:colOff>
      <xdr:row>10</xdr:row>
      <xdr:rowOff>121920</xdr:rowOff>
    </xdr:from>
    <xdr:to>
      <xdr:col>11</xdr:col>
      <xdr:colOff>472440</xdr:colOff>
      <xdr:row>10</xdr:row>
      <xdr:rowOff>121920</xdr:rowOff>
    </xdr:to>
    <xdr:sp macro="" textlink="">
      <xdr:nvSpPr>
        <xdr:cNvPr id="1244487" name="Line 118">
          <a:extLst>
            <a:ext uri="{FF2B5EF4-FFF2-40B4-BE49-F238E27FC236}">
              <a16:creationId xmlns:a16="http://schemas.microsoft.com/office/drawing/2014/main" id="{00000000-0008-0000-4F00-000047FD1200}"/>
            </a:ext>
          </a:extLst>
        </xdr:cNvPr>
        <xdr:cNvSpPr/>
      </xdr:nvSpPr>
      <xdr:spPr>
        <a:xfrm>
          <a:off x="5446395" y="2844800"/>
          <a:ext cx="46482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8</xdr:col>
      <xdr:colOff>320040</xdr:colOff>
      <xdr:row>10</xdr:row>
      <xdr:rowOff>137795</xdr:rowOff>
    </xdr:from>
    <xdr:to>
      <xdr:col>9</xdr:col>
      <xdr:colOff>220980</xdr:colOff>
      <xdr:row>10</xdr:row>
      <xdr:rowOff>137795</xdr:rowOff>
    </xdr:to>
    <xdr:sp macro="" textlink="">
      <xdr:nvSpPr>
        <xdr:cNvPr id="1244488" name="Line 119">
          <a:extLst>
            <a:ext uri="{FF2B5EF4-FFF2-40B4-BE49-F238E27FC236}">
              <a16:creationId xmlns:a16="http://schemas.microsoft.com/office/drawing/2014/main" id="{00000000-0008-0000-4F00-000048FD1200}"/>
            </a:ext>
          </a:extLst>
        </xdr:cNvPr>
        <xdr:cNvSpPr/>
      </xdr:nvSpPr>
      <xdr:spPr>
        <a:xfrm flipH="1">
          <a:off x="4130040" y="2860675"/>
          <a:ext cx="443865" cy="0"/>
        </a:xfrm>
        <a:prstGeom prst="line">
          <a:avLst/>
        </a:prstGeom>
        <a:ln w="9525" cap="flat" cmpd="sng">
          <a:solidFill>
            <a:srgbClr val="000000"/>
          </a:solidFill>
          <a:prstDash val="solid"/>
          <a:round/>
          <a:headEnd type="none" w="med" len="med"/>
          <a:tailEnd type="arrow" w="sm" len="sm"/>
        </a:ln>
      </xdr:spPr>
    </xdr:sp>
    <xdr:clientData/>
  </xdr:twoCellAnchor>
  <xdr:twoCellAnchor>
    <xdr:from>
      <xdr:col>11</xdr:col>
      <xdr:colOff>388620</xdr:colOff>
      <xdr:row>7</xdr:row>
      <xdr:rowOff>38100</xdr:rowOff>
    </xdr:from>
    <xdr:to>
      <xdr:col>13</xdr:col>
      <xdr:colOff>7620</xdr:colOff>
      <xdr:row>7</xdr:row>
      <xdr:rowOff>38100</xdr:rowOff>
    </xdr:to>
    <xdr:sp macro="" textlink="">
      <xdr:nvSpPr>
        <xdr:cNvPr id="1244489" name="Line 120">
          <a:extLst>
            <a:ext uri="{FF2B5EF4-FFF2-40B4-BE49-F238E27FC236}">
              <a16:creationId xmlns:a16="http://schemas.microsoft.com/office/drawing/2014/main" id="{00000000-0008-0000-4F00-000049FD1200}"/>
            </a:ext>
          </a:extLst>
        </xdr:cNvPr>
        <xdr:cNvSpPr/>
      </xdr:nvSpPr>
      <xdr:spPr>
        <a:xfrm>
          <a:off x="5827395" y="1995170"/>
          <a:ext cx="752475" cy="0"/>
        </a:xfrm>
        <a:prstGeom prst="line">
          <a:avLst/>
        </a:prstGeom>
        <a:ln w="9525" cap="flat" cmpd="sng">
          <a:solidFill>
            <a:srgbClr val="000000"/>
          </a:solidFill>
          <a:prstDash val="solid"/>
          <a:round/>
          <a:headEnd type="oval" w="med" len="med"/>
          <a:tailEnd type="triangle" w="lg" len="lg"/>
        </a:ln>
      </xdr:spPr>
    </xdr:sp>
    <xdr:clientData/>
  </xdr:twoCellAnchor>
  <xdr:twoCellAnchor>
    <xdr:from>
      <xdr:col>3</xdr:col>
      <xdr:colOff>381000</xdr:colOff>
      <xdr:row>19</xdr:row>
      <xdr:rowOff>236220</xdr:rowOff>
    </xdr:from>
    <xdr:to>
      <xdr:col>5</xdr:col>
      <xdr:colOff>7620</xdr:colOff>
      <xdr:row>21</xdr:row>
      <xdr:rowOff>137795</xdr:rowOff>
    </xdr:to>
    <xdr:sp macro="" textlink="">
      <xdr:nvSpPr>
        <xdr:cNvPr id="1244490" name="Line 121">
          <a:extLst>
            <a:ext uri="{FF2B5EF4-FFF2-40B4-BE49-F238E27FC236}">
              <a16:creationId xmlns:a16="http://schemas.microsoft.com/office/drawing/2014/main" id="{00000000-0008-0000-4F00-00004AFD1200}"/>
            </a:ext>
          </a:extLst>
        </xdr:cNvPr>
        <xdr:cNvSpPr/>
      </xdr:nvSpPr>
      <xdr:spPr>
        <a:xfrm flipH="1">
          <a:off x="1990725" y="5256530"/>
          <a:ext cx="369570" cy="412115"/>
        </a:xfrm>
        <a:prstGeom prst="line">
          <a:avLst/>
        </a:prstGeom>
        <a:ln w="31750" cap="flat" cmpd="dbl">
          <a:solidFill>
            <a:srgbClr val="000000"/>
          </a:solidFill>
          <a:prstDash val="solid"/>
          <a:round/>
          <a:headEnd type="none" w="med" len="med"/>
          <a:tailEnd type="none" w="med" len="med"/>
        </a:ln>
      </xdr:spPr>
    </xdr:sp>
    <xdr:clientData/>
  </xdr:twoCellAnchor>
  <xdr:twoCellAnchor>
    <xdr:from>
      <xdr:col>5</xdr:col>
      <xdr:colOff>243840</xdr:colOff>
      <xdr:row>18</xdr:row>
      <xdr:rowOff>137795</xdr:rowOff>
    </xdr:from>
    <xdr:to>
      <xdr:col>5</xdr:col>
      <xdr:colOff>350520</xdr:colOff>
      <xdr:row>19</xdr:row>
      <xdr:rowOff>0</xdr:rowOff>
    </xdr:to>
    <xdr:sp macro="" textlink="">
      <xdr:nvSpPr>
        <xdr:cNvPr id="1244491" name="Line 122">
          <a:extLst>
            <a:ext uri="{FF2B5EF4-FFF2-40B4-BE49-F238E27FC236}">
              <a16:creationId xmlns:a16="http://schemas.microsoft.com/office/drawing/2014/main" id="{00000000-0008-0000-4F00-00004BFD1200}"/>
            </a:ext>
          </a:extLst>
        </xdr:cNvPr>
        <xdr:cNvSpPr/>
      </xdr:nvSpPr>
      <xdr:spPr>
        <a:xfrm flipH="1">
          <a:off x="2596515" y="4902835"/>
          <a:ext cx="106680" cy="117475"/>
        </a:xfrm>
        <a:prstGeom prst="line">
          <a:avLst/>
        </a:prstGeom>
        <a:ln w="31750" cap="flat" cmpd="dbl">
          <a:solidFill>
            <a:srgbClr val="000000"/>
          </a:solidFill>
          <a:prstDash val="solid"/>
          <a:round/>
          <a:headEnd type="none" w="med" len="med"/>
          <a:tailEnd type="none" w="med" len="med"/>
        </a:ln>
      </xdr:spPr>
    </xdr:sp>
    <xdr:clientData/>
  </xdr:twoCellAnchor>
  <xdr:twoCellAnchor>
    <xdr:from>
      <xdr:col>4</xdr:col>
      <xdr:colOff>76200</xdr:colOff>
      <xdr:row>18</xdr:row>
      <xdr:rowOff>159385</xdr:rowOff>
    </xdr:from>
    <xdr:to>
      <xdr:col>4</xdr:col>
      <xdr:colOff>190500</xdr:colOff>
      <xdr:row>19</xdr:row>
      <xdr:rowOff>0</xdr:rowOff>
    </xdr:to>
    <xdr:sp macro="" textlink="">
      <xdr:nvSpPr>
        <xdr:cNvPr id="1244492" name="Line 123">
          <a:extLst>
            <a:ext uri="{FF2B5EF4-FFF2-40B4-BE49-F238E27FC236}">
              <a16:creationId xmlns:a16="http://schemas.microsoft.com/office/drawing/2014/main" id="{00000000-0008-0000-4F00-00004CFD1200}"/>
            </a:ext>
          </a:extLst>
        </xdr:cNvPr>
        <xdr:cNvSpPr/>
      </xdr:nvSpPr>
      <xdr:spPr>
        <a:xfrm>
          <a:off x="2228850" y="4924425"/>
          <a:ext cx="114300" cy="95885"/>
        </a:xfrm>
        <a:prstGeom prst="line">
          <a:avLst/>
        </a:prstGeom>
        <a:ln w="9525" cap="flat" cmpd="sng">
          <a:solidFill>
            <a:srgbClr val="000000"/>
          </a:solidFill>
          <a:prstDash val="solid"/>
          <a:round/>
          <a:headEnd type="arrow" w="sm" len="sm"/>
          <a:tailEnd type="oval" w="sm" len="sm"/>
        </a:ln>
      </xdr:spPr>
    </xdr:sp>
    <xdr:clientData/>
  </xdr:twoCellAnchor>
  <xdr:twoCellAnchor>
    <xdr:from>
      <xdr:col>6</xdr:col>
      <xdr:colOff>0</xdr:colOff>
      <xdr:row>19</xdr:row>
      <xdr:rowOff>0</xdr:rowOff>
    </xdr:from>
    <xdr:to>
      <xdr:col>6</xdr:col>
      <xdr:colOff>175260</xdr:colOff>
      <xdr:row>19</xdr:row>
      <xdr:rowOff>175260</xdr:rowOff>
    </xdr:to>
    <xdr:sp macro="" textlink="">
      <xdr:nvSpPr>
        <xdr:cNvPr id="1244493" name="Line 124">
          <a:extLst>
            <a:ext uri="{FF2B5EF4-FFF2-40B4-BE49-F238E27FC236}">
              <a16:creationId xmlns:a16="http://schemas.microsoft.com/office/drawing/2014/main" id="{00000000-0008-0000-4F00-00004DFD1200}"/>
            </a:ext>
          </a:extLst>
        </xdr:cNvPr>
        <xdr:cNvSpPr/>
      </xdr:nvSpPr>
      <xdr:spPr>
        <a:xfrm flipH="1">
          <a:off x="2743200" y="5020310"/>
          <a:ext cx="175260" cy="175260"/>
        </a:xfrm>
        <a:prstGeom prst="line">
          <a:avLst/>
        </a:prstGeom>
        <a:ln w="31750" cap="flat" cmpd="dbl">
          <a:solidFill>
            <a:srgbClr val="000000"/>
          </a:solidFill>
          <a:prstDash val="solid"/>
          <a:round/>
          <a:headEnd type="none" w="med" len="med"/>
          <a:tailEnd type="none" w="med" len="med"/>
        </a:ln>
      </xdr:spPr>
    </xdr:sp>
    <xdr:clientData/>
  </xdr:twoCellAnchor>
  <xdr:twoCellAnchor>
    <xdr:from>
      <xdr:col>6</xdr:col>
      <xdr:colOff>129540</xdr:colOff>
      <xdr:row>21</xdr:row>
      <xdr:rowOff>75565</xdr:rowOff>
    </xdr:from>
    <xdr:to>
      <xdr:col>6</xdr:col>
      <xdr:colOff>182880</xdr:colOff>
      <xdr:row>21</xdr:row>
      <xdr:rowOff>121920</xdr:rowOff>
    </xdr:to>
    <xdr:sp macro="" textlink="">
      <xdr:nvSpPr>
        <xdr:cNvPr id="1244494" name="Line 125">
          <a:extLst>
            <a:ext uri="{FF2B5EF4-FFF2-40B4-BE49-F238E27FC236}">
              <a16:creationId xmlns:a16="http://schemas.microsoft.com/office/drawing/2014/main" id="{00000000-0008-0000-4F00-00004EFD1200}"/>
            </a:ext>
          </a:extLst>
        </xdr:cNvPr>
        <xdr:cNvSpPr/>
      </xdr:nvSpPr>
      <xdr:spPr>
        <a:xfrm flipH="1">
          <a:off x="2872740" y="5606415"/>
          <a:ext cx="53340" cy="46355"/>
        </a:xfrm>
        <a:prstGeom prst="line">
          <a:avLst/>
        </a:prstGeom>
        <a:ln w="31750" cap="flat" cmpd="dbl">
          <a:solidFill>
            <a:srgbClr val="000000"/>
          </a:solidFill>
          <a:prstDash val="solid"/>
          <a:round/>
          <a:headEnd type="none" w="med" len="med"/>
          <a:tailEnd type="none" w="med" len="med"/>
        </a:ln>
      </xdr:spPr>
    </xdr:sp>
    <xdr:clientData/>
  </xdr:twoCellAnchor>
  <xdr:twoCellAnchor editAs="absolute">
    <xdr:from>
      <xdr:col>8</xdr:col>
      <xdr:colOff>0</xdr:colOff>
      <xdr:row>0</xdr:row>
      <xdr:rowOff>0</xdr:rowOff>
    </xdr:from>
    <xdr:to>
      <xdr:col>9</xdr:col>
      <xdr:colOff>236044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4F00-000002000000}"/>
            </a:ext>
          </a:extLst>
        </xdr:cNvPr>
        <xdr:cNvSpPr>
          <a:spLocks noChangeAspect="1"/>
        </xdr:cNvSpPr>
      </xdr:nvSpPr>
      <xdr:spPr>
        <a:xfrm flipH="1">
          <a:off x="38100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2</xdr:col>
      <xdr:colOff>350520</xdr:colOff>
      <xdr:row>6</xdr:row>
      <xdr:rowOff>83820</xdr:rowOff>
    </xdr:from>
    <xdr:to>
      <xdr:col>3</xdr:col>
      <xdr:colOff>0</xdr:colOff>
      <xdr:row>6</xdr:row>
      <xdr:rowOff>83820</xdr:rowOff>
    </xdr:to>
    <xdr:sp macro="" textlink="">
      <xdr:nvSpPr>
        <xdr:cNvPr id="1242808" name="Line 32">
          <a:extLst>
            <a:ext uri="{FF2B5EF4-FFF2-40B4-BE49-F238E27FC236}">
              <a16:creationId xmlns:a16="http://schemas.microsoft.com/office/drawing/2014/main" id="{00000000-0008-0000-5000-0000B8F61200}"/>
            </a:ext>
          </a:extLst>
        </xdr:cNvPr>
        <xdr:cNvSpPr/>
      </xdr:nvSpPr>
      <xdr:spPr>
        <a:xfrm rot="2700000">
          <a:off x="884555" y="1784350"/>
          <a:ext cx="0" cy="1905"/>
        </a:xfrm>
        <a:prstGeom prst="line">
          <a:avLst/>
        </a:prstGeom>
        <a:ln w="31750" cap="flat" cmpd="dbl">
          <a:solidFill>
            <a:srgbClr val="000000"/>
          </a:solidFill>
          <a:prstDash val="solid"/>
          <a:round/>
          <a:headEnd type="none" w="med" len="med"/>
          <a:tailEnd type="none" w="med" len="med"/>
        </a:ln>
      </xdr:spPr>
    </xdr:sp>
    <xdr:clientData/>
  </xdr:twoCellAnchor>
  <xdr:twoCellAnchor>
    <xdr:from>
      <xdr:col>2</xdr:col>
      <xdr:colOff>350520</xdr:colOff>
      <xdr:row>11</xdr:row>
      <xdr:rowOff>121920</xdr:rowOff>
    </xdr:from>
    <xdr:to>
      <xdr:col>3</xdr:col>
      <xdr:colOff>0</xdr:colOff>
      <xdr:row>11</xdr:row>
      <xdr:rowOff>121920</xdr:rowOff>
    </xdr:to>
    <xdr:sp macro="" textlink="">
      <xdr:nvSpPr>
        <xdr:cNvPr id="1242809" name="Line 41">
          <a:extLst>
            <a:ext uri="{FF2B5EF4-FFF2-40B4-BE49-F238E27FC236}">
              <a16:creationId xmlns:a16="http://schemas.microsoft.com/office/drawing/2014/main" id="{00000000-0008-0000-5000-0000B9F61200}"/>
            </a:ext>
          </a:extLst>
        </xdr:cNvPr>
        <xdr:cNvSpPr/>
      </xdr:nvSpPr>
      <xdr:spPr>
        <a:xfrm>
          <a:off x="883920" y="3092450"/>
          <a:ext cx="190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121920</xdr:colOff>
      <xdr:row>7</xdr:row>
      <xdr:rowOff>175260</xdr:rowOff>
    </xdr:from>
    <xdr:to>
      <xdr:col>3</xdr:col>
      <xdr:colOff>76200</xdr:colOff>
      <xdr:row>7</xdr:row>
      <xdr:rowOff>175260</xdr:rowOff>
    </xdr:to>
    <xdr:sp macro="" textlink="">
      <xdr:nvSpPr>
        <xdr:cNvPr id="1242810" name="Line 99">
          <a:extLst>
            <a:ext uri="{FF2B5EF4-FFF2-40B4-BE49-F238E27FC236}">
              <a16:creationId xmlns:a16="http://schemas.microsoft.com/office/drawing/2014/main" id="{00000000-0008-0000-5000-0000BAF61200}"/>
            </a:ext>
          </a:extLst>
        </xdr:cNvPr>
        <xdr:cNvSpPr/>
      </xdr:nvSpPr>
      <xdr:spPr>
        <a:xfrm>
          <a:off x="407670" y="2132330"/>
          <a:ext cx="55435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167640</xdr:colOff>
      <xdr:row>8</xdr:row>
      <xdr:rowOff>38100</xdr:rowOff>
    </xdr:from>
    <xdr:to>
      <xdr:col>3</xdr:col>
      <xdr:colOff>167640</xdr:colOff>
      <xdr:row>10</xdr:row>
      <xdr:rowOff>84455</xdr:rowOff>
    </xdr:to>
    <xdr:sp macro="" textlink="">
      <xdr:nvSpPr>
        <xdr:cNvPr id="1242811" name="Line 100">
          <a:extLst>
            <a:ext uri="{FF2B5EF4-FFF2-40B4-BE49-F238E27FC236}">
              <a16:creationId xmlns:a16="http://schemas.microsoft.com/office/drawing/2014/main" id="{00000000-0008-0000-5000-0000BBF61200}"/>
            </a:ext>
          </a:extLst>
        </xdr:cNvPr>
        <xdr:cNvSpPr/>
      </xdr:nvSpPr>
      <xdr:spPr>
        <a:xfrm>
          <a:off x="1053465" y="2250440"/>
          <a:ext cx="0" cy="556895"/>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15240</xdr:colOff>
      <xdr:row>10</xdr:row>
      <xdr:rowOff>84455</xdr:rowOff>
    </xdr:from>
    <xdr:to>
      <xdr:col>5</xdr:col>
      <xdr:colOff>114300</xdr:colOff>
      <xdr:row>10</xdr:row>
      <xdr:rowOff>84455</xdr:rowOff>
    </xdr:to>
    <xdr:sp macro="" textlink="">
      <xdr:nvSpPr>
        <xdr:cNvPr id="1242812" name="Line 101">
          <a:extLst>
            <a:ext uri="{FF2B5EF4-FFF2-40B4-BE49-F238E27FC236}">
              <a16:creationId xmlns:a16="http://schemas.microsoft.com/office/drawing/2014/main" id="{00000000-0008-0000-5000-0000BCF61200}"/>
            </a:ext>
          </a:extLst>
        </xdr:cNvPr>
        <xdr:cNvSpPr/>
      </xdr:nvSpPr>
      <xdr:spPr>
        <a:xfrm>
          <a:off x="300990" y="2807335"/>
          <a:ext cx="127063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60960</xdr:colOff>
      <xdr:row>7</xdr:row>
      <xdr:rowOff>175260</xdr:rowOff>
    </xdr:from>
    <xdr:to>
      <xdr:col>3</xdr:col>
      <xdr:colOff>167640</xdr:colOff>
      <xdr:row>8</xdr:row>
      <xdr:rowOff>52705</xdr:rowOff>
    </xdr:to>
    <xdr:sp macro="" textlink="">
      <xdr:nvSpPr>
        <xdr:cNvPr id="1242813" name="Arc 102">
          <a:extLst>
            <a:ext uri="{FF2B5EF4-FFF2-40B4-BE49-F238E27FC236}">
              <a16:creationId xmlns:a16="http://schemas.microsoft.com/office/drawing/2014/main" id="{00000000-0008-0000-5000-0000BDF61200}"/>
            </a:ext>
          </a:extLst>
        </xdr:cNvPr>
        <xdr:cNvSpPr/>
      </xdr:nvSpPr>
      <xdr:spPr>
        <a:xfrm>
          <a:off x="946785" y="2132330"/>
          <a:ext cx="106680" cy="132715"/>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xdr:col>
      <xdr:colOff>83820</xdr:colOff>
      <xdr:row>7</xdr:row>
      <xdr:rowOff>175260</xdr:rowOff>
    </xdr:from>
    <xdr:to>
      <xdr:col>1</xdr:col>
      <xdr:colOff>167640</xdr:colOff>
      <xdr:row>10</xdr:row>
      <xdr:rowOff>84455</xdr:rowOff>
    </xdr:to>
    <xdr:sp macro="" textlink="">
      <xdr:nvSpPr>
        <xdr:cNvPr id="1242814" name="FreeForm 103">
          <a:extLst>
            <a:ext uri="{FF2B5EF4-FFF2-40B4-BE49-F238E27FC236}">
              <a16:creationId xmlns:a16="http://schemas.microsoft.com/office/drawing/2014/main" id="{00000000-0008-0000-5000-0000BEF61200}"/>
            </a:ext>
          </a:extLst>
        </xdr:cNvPr>
        <xdr:cNvSpPr/>
      </xdr:nvSpPr>
      <xdr:spPr>
        <a:xfrm>
          <a:off x="369570" y="2132330"/>
          <a:ext cx="83820" cy="67500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3</xdr:col>
      <xdr:colOff>182880</xdr:colOff>
      <xdr:row>9</xdr:row>
      <xdr:rowOff>31115</xdr:rowOff>
    </xdr:from>
    <xdr:to>
      <xdr:col>7</xdr:col>
      <xdr:colOff>99060</xdr:colOff>
      <xdr:row>10</xdr:row>
      <xdr:rowOff>0</xdr:rowOff>
    </xdr:to>
    <xdr:sp macro="" textlink="">
      <xdr:nvSpPr>
        <xdr:cNvPr id="1242815" name="Rectangle 104">
          <a:extLst>
            <a:ext uri="{FF2B5EF4-FFF2-40B4-BE49-F238E27FC236}">
              <a16:creationId xmlns:a16="http://schemas.microsoft.com/office/drawing/2014/main" id="{00000000-0008-0000-5000-0000BFF61200}"/>
            </a:ext>
          </a:extLst>
        </xdr:cNvPr>
        <xdr:cNvSpPr/>
      </xdr:nvSpPr>
      <xdr:spPr>
        <a:xfrm>
          <a:off x="1068705" y="2498725"/>
          <a:ext cx="1211580" cy="224155"/>
        </a:xfrm>
        <a:prstGeom prst="rect">
          <a:avLst/>
        </a:prstGeom>
        <a:noFill/>
        <a:ln w="9525" cap="flat" cmpd="sng">
          <a:solidFill>
            <a:srgbClr val="000000"/>
          </a:solidFill>
          <a:prstDash val="solid"/>
          <a:miter/>
          <a:headEnd type="none" w="med" len="med"/>
          <a:tailEnd type="none" w="med" len="med"/>
        </a:ln>
      </xdr:spPr>
    </xdr:sp>
    <xdr:clientData/>
  </xdr:twoCellAnchor>
  <xdr:twoCellAnchor>
    <xdr:from>
      <xdr:col>5</xdr:col>
      <xdr:colOff>129540</xdr:colOff>
      <xdr:row>10</xdr:row>
      <xdr:rowOff>0</xdr:rowOff>
    </xdr:from>
    <xdr:to>
      <xdr:col>5</xdr:col>
      <xdr:colOff>297180</xdr:colOff>
      <xdr:row>11</xdr:row>
      <xdr:rowOff>221615</xdr:rowOff>
    </xdr:to>
    <xdr:sp macro="" textlink="">
      <xdr:nvSpPr>
        <xdr:cNvPr id="1242816" name="Rectangle 105">
          <a:extLst>
            <a:ext uri="{FF2B5EF4-FFF2-40B4-BE49-F238E27FC236}">
              <a16:creationId xmlns:a16="http://schemas.microsoft.com/office/drawing/2014/main" id="{00000000-0008-0000-5000-0000C0F61200}"/>
            </a:ext>
          </a:extLst>
        </xdr:cNvPr>
        <xdr:cNvSpPr/>
      </xdr:nvSpPr>
      <xdr:spPr>
        <a:xfrm>
          <a:off x="1586865" y="2722880"/>
          <a:ext cx="167640" cy="469265"/>
        </a:xfrm>
        <a:prstGeom prst="rect">
          <a:avLst/>
        </a:prstGeom>
        <a:noFill/>
        <a:ln w="9525" cap="flat" cmpd="sng">
          <a:solidFill>
            <a:srgbClr val="000000"/>
          </a:solidFill>
          <a:prstDash val="solid"/>
          <a:miter/>
          <a:headEnd type="none" w="med" len="med"/>
          <a:tailEnd type="none" w="med" len="med"/>
        </a:ln>
      </xdr:spPr>
    </xdr:sp>
    <xdr:clientData/>
  </xdr:twoCellAnchor>
  <xdr:twoCellAnchor>
    <xdr:from>
      <xdr:col>5</xdr:col>
      <xdr:colOff>114300</xdr:colOff>
      <xdr:row>10</xdr:row>
      <xdr:rowOff>84455</xdr:rowOff>
    </xdr:from>
    <xdr:to>
      <xdr:col>5</xdr:col>
      <xdr:colOff>114300</xdr:colOff>
      <xdr:row>11</xdr:row>
      <xdr:rowOff>198120</xdr:rowOff>
    </xdr:to>
    <xdr:sp macro="" textlink="">
      <xdr:nvSpPr>
        <xdr:cNvPr id="1242817" name="Line 106">
          <a:extLst>
            <a:ext uri="{FF2B5EF4-FFF2-40B4-BE49-F238E27FC236}">
              <a16:creationId xmlns:a16="http://schemas.microsoft.com/office/drawing/2014/main" id="{00000000-0008-0000-5000-0000C1F61200}"/>
            </a:ext>
          </a:extLst>
        </xdr:cNvPr>
        <xdr:cNvSpPr/>
      </xdr:nvSpPr>
      <xdr:spPr>
        <a:xfrm>
          <a:off x="1571625" y="2807335"/>
          <a:ext cx="0" cy="361315"/>
        </a:xfrm>
        <a:prstGeom prst="line">
          <a:avLst/>
        </a:prstGeom>
        <a:ln w="9525" cap="flat" cmpd="sng">
          <a:solidFill>
            <a:srgbClr val="000000"/>
          </a:solidFill>
          <a:prstDash val="solid"/>
          <a:round/>
          <a:headEnd type="none" w="med" len="med"/>
          <a:tailEnd type="none" w="med" len="med"/>
        </a:ln>
      </xdr:spPr>
    </xdr:sp>
    <xdr:clientData/>
  </xdr:twoCellAnchor>
  <xdr:twoCellAnchor>
    <xdr:from>
      <xdr:col>5</xdr:col>
      <xdr:colOff>312420</xdr:colOff>
      <xdr:row>10</xdr:row>
      <xdr:rowOff>84455</xdr:rowOff>
    </xdr:from>
    <xdr:to>
      <xdr:col>9</xdr:col>
      <xdr:colOff>274320</xdr:colOff>
      <xdr:row>10</xdr:row>
      <xdr:rowOff>84455</xdr:rowOff>
    </xdr:to>
    <xdr:sp macro="" textlink="">
      <xdr:nvSpPr>
        <xdr:cNvPr id="1242818" name="Line 107">
          <a:extLst>
            <a:ext uri="{FF2B5EF4-FFF2-40B4-BE49-F238E27FC236}">
              <a16:creationId xmlns:a16="http://schemas.microsoft.com/office/drawing/2014/main" id="{00000000-0008-0000-5000-0000C2F61200}"/>
            </a:ext>
          </a:extLst>
        </xdr:cNvPr>
        <xdr:cNvSpPr/>
      </xdr:nvSpPr>
      <xdr:spPr>
        <a:xfrm>
          <a:off x="1769745" y="2807335"/>
          <a:ext cx="12573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5</xdr:col>
      <xdr:colOff>312420</xdr:colOff>
      <xdr:row>10</xdr:row>
      <xdr:rowOff>84455</xdr:rowOff>
    </xdr:from>
    <xdr:to>
      <xdr:col>5</xdr:col>
      <xdr:colOff>312420</xdr:colOff>
      <xdr:row>11</xdr:row>
      <xdr:rowOff>198120</xdr:rowOff>
    </xdr:to>
    <xdr:sp macro="" textlink="">
      <xdr:nvSpPr>
        <xdr:cNvPr id="1242819" name="Line 108">
          <a:extLst>
            <a:ext uri="{FF2B5EF4-FFF2-40B4-BE49-F238E27FC236}">
              <a16:creationId xmlns:a16="http://schemas.microsoft.com/office/drawing/2014/main" id="{00000000-0008-0000-5000-0000C3F61200}"/>
            </a:ext>
          </a:extLst>
        </xdr:cNvPr>
        <xdr:cNvSpPr/>
      </xdr:nvSpPr>
      <xdr:spPr>
        <a:xfrm flipH="1">
          <a:off x="1769745" y="2807335"/>
          <a:ext cx="0" cy="361315"/>
        </a:xfrm>
        <a:prstGeom prst="line">
          <a:avLst/>
        </a:prstGeom>
        <a:ln w="9525" cap="flat" cmpd="sng">
          <a:solidFill>
            <a:srgbClr val="000000"/>
          </a:solidFill>
          <a:prstDash val="solid"/>
          <a:round/>
          <a:headEnd type="none" w="med" len="med"/>
          <a:tailEnd type="none" w="med" len="med"/>
        </a:ln>
      </xdr:spPr>
    </xdr:sp>
    <xdr:clientData/>
  </xdr:twoCellAnchor>
  <xdr:twoCellAnchor>
    <xdr:from>
      <xdr:col>7</xdr:col>
      <xdr:colOff>114300</xdr:colOff>
      <xdr:row>8</xdr:row>
      <xdr:rowOff>52705</xdr:rowOff>
    </xdr:from>
    <xdr:to>
      <xdr:col>7</xdr:col>
      <xdr:colOff>114300</xdr:colOff>
      <xdr:row>10</xdr:row>
      <xdr:rowOff>84455</xdr:rowOff>
    </xdr:to>
    <xdr:sp macro="" textlink="">
      <xdr:nvSpPr>
        <xdr:cNvPr id="1242820" name="Line 109">
          <a:extLst>
            <a:ext uri="{FF2B5EF4-FFF2-40B4-BE49-F238E27FC236}">
              <a16:creationId xmlns:a16="http://schemas.microsoft.com/office/drawing/2014/main" id="{00000000-0008-0000-5000-0000C4F61200}"/>
            </a:ext>
          </a:extLst>
        </xdr:cNvPr>
        <xdr:cNvSpPr/>
      </xdr:nvSpPr>
      <xdr:spPr>
        <a:xfrm>
          <a:off x="2295525" y="2265045"/>
          <a:ext cx="0" cy="54229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121920</xdr:colOff>
      <xdr:row>7</xdr:row>
      <xdr:rowOff>175260</xdr:rowOff>
    </xdr:from>
    <xdr:to>
      <xdr:col>9</xdr:col>
      <xdr:colOff>198120</xdr:colOff>
      <xdr:row>10</xdr:row>
      <xdr:rowOff>84455</xdr:rowOff>
    </xdr:to>
    <xdr:sp macro="" textlink="">
      <xdr:nvSpPr>
        <xdr:cNvPr id="1242821" name="FreeForm 110">
          <a:extLst>
            <a:ext uri="{FF2B5EF4-FFF2-40B4-BE49-F238E27FC236}">
              <a16:creationId xmlns:a16="http://schemas.microsoft.com/office/drawing/2014/main" id="{00000000-0008-0000-5000-0000C5F61200}"/>
            </a:ext>
          </a:extLst>
        </xdr:cNvPr>
        <xdr:cNvSpPr/>
      </xdr:nvSpPr>
      <xdr:spPr>
        <a:xfrm>
          <a:off x="2874645" y="2132330"/>
          <a:ext cx="76200" cy="67500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7</xdr:col>
      <xdr:colOff>205740</xdr:colOff>
      <xdr:row>7</xdr:row>
      <xdr:rowOff>175260</xdr:rowOff>
    </xdr:from>
    <xdr:to>
      <xdr:col>9</xdr:col>
      <xdr:colOff>160020</xdr:colOff>
      <xdr:row>7</xdr:row>
      <xdr:rowOff>175260</xdr:rowOff>
    </xdr:to>
    <xdr:sp macro="" textlink="">
      <xdr:nvSpPr>
        <xdr:cNvPr id="1242822" name="Line 111">
          <a:extLst>
            <a:ext uri="{FF2B5EF4-FFF2-40B4-BE49-F238E27FC236}">
              <a16:creationId xmlns:a16="http://schemas.microsoft.com/office/drawing/2014/main" id="{00000000-0008-0000-5000-0000C6F61200}"/>
            </a:ext>
          </a:extLst>
        </xdr:cNvPr>
        <xdr:cNvSpPr/>
      </xdr:nvSpPr>
      <xdr:spPr>
        <a:xfrm>
          <a:off x="2386965" y="2132330"/>
          <a:ext cx="52578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7</xdr:col>
      <xdr:colOff>114300</xdr:colOff>
      <xdr:row>7</xdr:row>
      <xdr:rowOff>175260</xdr:rowOff>
    </xdr:from>
    <xdr:to>
      <xdr:col>7</xdr:col>
      <xdr:colOff>220980</xdr:colOff>
      <xdr:row>8</xdr:row>
      <xdr:rowOff>52705</xdr:rowOff>
    </xdr:to>
    <xdr:sp macro="" textlink="">
      <xdr:nvSpPr>
        <xdr:cNvPr id="1242823" name="Arc 112">
          <a:extLst>
            <a:ext uri="{FF2B5EF4-FFF2-40B4-BE49-F238E27FC236}">
              <a16:creationId xmlns:a16="http://schemas.microsoft.com/office/drawing/2014/main" id="{00000000-0008-0000-5000-0000C7F61200}"/>
            </a:ext>
          </a:extLst>
        </xdr:cNvPr>
        <xdr:cNvSpPr/>
      </xdr:nvSpPr>
      <xdr:spPr>
        <a:xfrm rot="-5400000">
          <a:off x="2282190" y="2145030"/>
          <a:ext cx="132715" cy="10668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9</xdr:col>
      <xdr:colOff>228600</xdr:colOff>
      <xdr:row>10</xdr:row>
      <xdr:rowOff>84455</xdr:rowOff>
    </xdr:from>
    <xdr:to>
      <xdr:col>10</xdr:col>
      <xdr:colOff>7620</xdr:colOff>
      <xdr:row>11</xdr:row>
      <xdr:rowOff>198120</xdr:rowOff>
    </xdr:to>
    <xdr:sp macro="" textlink="">
      <xdr:nvSpPr>
        <xdr:cNvPr id="1242824" name="FreeForm 113">
          <a:extLst>
            <a:ext uri="{FF2B5EF4-FFF2-40B4-BE49-F238E27FC236}">
              <a16:creationId xmlns:a16="http://schemas.microsoft.com/office/drawing/2014/main" id="{00000000-0008-0000-5000-0000C8F61200}"/>
            </a:ext>
          </a:extLst>
        </xdr:cNvPr>
        <xdr:cNvSpPr/>
      </xdr:nvSpPr>
      <xdr:spPr>
        <a:xfrm rot="10800000">
          <a:off x="2981325" y="2807335"/>
          <a:ext cx="64770" cy="36131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1</xdr:col>
      <xdr:colOff>15240</xdr:colOff>
      <xdr:row>10</xdr:row>
      <xdr:rowOff>84455</xdr:rowOff>
    </xdr:from>
    <xdr:to>
      <xdr:col>1</xdr:col>
      <xdr:colOff>45720</xdr:colOff>
      <xdr:row>11</xdr:row>
      <xdr:rowOff>190500</xdr:rowOff>
    </xdr:to>
    <xdr:sp macro="" textlink="">
      <xdr:nvSpPr>
        <xdr:cNvPr id="1242825" name="FreeForm 114">
          <a:extLst>
            <a:ext uri="{FF2B5EF4-FFF2-40B4-BE49-F238E27FC236}">
              <a16:creationId xmlns:a16="http://schemas.microsoft.com/office/drawing/2014/main" id="{00000000-0008-0000-5000-0000C9F61200}"/>
            </a:ext>
          </a:extLst>
        </xdr:cNvPr>
        <xdr:cNvSpPr/>
      </xdr:nvSpPr>
      <xdr:spPr>
        <a:xfrm rot="10800000">
          <a:off x="300990" y="2807335"/>
          <a:ext cx="30480" cy="35369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4</xdr:col>
      <xdr:colOff>30480</xdr:colOff>
      <xdr:row>8</xdr:row>
      <xdr:rowOff>236220</xdr:rowOff>
    </xdr:from>
    <xdr:to>
      <xdr:col>6</xdr:col>
      <xdr:colOff>259080</xdr:colOff>
      <xdr:row>8</xdr:row>
      <xdr:rowOff>236220</xdr:rowOff>
    </xdr:to>
    <xdr:sp macro="" textlink="">
      <xdr:nvSpPr>
        <xdr:cNvPr id="1242826" name="Line 115">
          <a:extLst>
            <a:ext uri="{FF2B5EF4-FFF2-40B4-BE49-F238E27FC236}">
              <a16:creationId xmlns:a16="http://schemas.microsoft.com/office/drawing/2014/main" id="{00000000-0008-0000-5000-0000CAF61200}"/>
            </a:ext>
          </a:extLst>
        </xdr:cNvPr>
        <xdr:cNvSpPr/>
      </xdr:nvSpPr>
      <xdr:spPr>
        <a:xfrm>
          <a:off x="1202055" y="2448560"/>
          <a:ext cx="952500" cy="0"/>
        </a:xfrm>
        <a:prstGeom prst="line">
          <a:avLst/>
        </a:prstGeom>
        <a:ln w="76200" cap="flat" cmpd="sng">
          <a:solidFill>
            <a:srgbClr val="000000"/>
          </a:solidFill>
          <a:prstDash val="solid"/>
          <a:round/>
          <a:headEnd type="none" w="med" len="med"/>
          <a:tailEnd type="none" w="med" len="med"/>
        </a:ln>
      </xdr:spPr>
    </xdr:sp>
    <xdr:clientData/>
  </xdr:twoCellAnchor>
  <xdr:twoCellAnchor>
    <xdr:from>
      <xdr:col>6</xdr:col>
      <xdr:colOff>259080</xdr:colOff>
      <xdr:row>8</xdr:row>
      <xdr:rowOff>121920</xdr:rowOff>
    </xdr:from>
    <xdr:to>
      <xdr:col>7</xdr:col>
      <xdr:colOff>68580</xdr:colOff>
      <xdr:row>8</xdr:row>
      <xdr:rowOff>236220</xdr:rowOff>
    </xdr:to>
    <xdr:sp macro="" textlink="">
      <xdr:nvSpPr>
        <xdr:cNvPr id="1242827" name="Arc 116">
          <a:extLst>
            <a:ext uri="{FF2B5EF4-FFF2-40B4-BE49-F238E27FC236}">
              <a16:creationId xmlns:a16="http://schemas.microsoft.com/office/drawing/2014/main" id="{00000000-0008-0000-5000-0000CBF61200}"/>
            </a:ext>
          </a:extLst>
        </xdr:cNvPr>
        <xdr:cNvSpPr/>
      </xdr:nvSpPr>
      <xdr:spPr>
        <a:xfrm rot="-10800000" flipH="1">
          <a:off x="2154555" y="2334260"/>
          <a:ext cx="95250" cy="11430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3</xdr:col>
      <xdr:colOff>213360</xdr:colOff>
      <xdr:row>8</xdr:row>
      <xdr:rowOff>137795</xdr:rowOff>
    </xdr:from>
    <xdr:to>
      <xdr:col>4</xdr:col>
      <xdr:colOff>30480</xdr:colOff>
      <xdr:row>8</xdr:row>
      <xdr:rowOff>236220</xdr:rowOff>
    </xdr:to>
    <xdr:sp macro="" textlink="">
      <xdr:nvSpPr>
        <xdr:cNvPr id="1242828" name="Arc 118">
          <a:extLst>
            <a:ext uri="{FF2B5EF4-FFF2-40B4-BE49-F238E27FC236}">
              <a16:creationId xmlns:a16="http://schemas.microsoft.com/office/drawing/2014/main" id="{00000000-0008-0000-5000-0000CCF61200}"/>
            </a:ext>
          </a:extLst>
        </xdr:cNvPr>
        <xdr:cNvSpPr/>
      </xdr:nvSpPr>
      <xdr:spPr>
        <a:xfrm rot="-5400000" flipH="1">
          <a:off x="1101090" y="2347595"/>
          <a:ext cx="98425" cy="10287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3</xdr:col>
      <xdr:colOff>213360</xdr:colOff>
      <xdr:row>6</xdr:row>
      <xdr:rowOff>213360</xdr:rowOff>
    </xdr:from>
    <xdr:to>
      <xdr:col>3</xdr:col>
      <xdr:colOff>213360</xdr:colOff>
      <xdr:row>8</xdr:row>
      <xdr:rowOff>137795</xdr:rowOff>
    </xdr:to>
    <xdr:sp macro="" textlink="">
      <xdr:nvSpPr>
        <xdr:cNvPr id="1242829" name="Line 119">
          <a:extLst>
            <a:ext uri="{FF2B5EF4-FFF2-40B4-BE49-F238E27FC236}">
              <a16:creationId xmlns:a16="http://schemas.microsoft.com/office/drawing/2014/main" id="{00000000-0008-0000-5000-0000CDF61200}"/>
            </a:ext>
          </a:extLst>
        </xdr:cNvPr>
        <xdr:cNvSpPr/>
      </xdr:nvSpPr>
      <xdr:spPr>
        <a:xfrm>
          <a:off x="1099185" y="1915160"/>
          <a:ext cx="0" cy="434975"/>
        </a:xfrm>
        <a:prstGeom prst="line">
          <a:avLst/>
        </a:prstGeom>
        <a:ln w="76200" cap="flat" cmpd="sng">
          <a:solidFill>
            <a:srgbClr val="000000"/>
          </a:solidFill>
          <a:prstDash val="solid"/>
          <a:round/>
          <a:headEnd type="none" w="med" len="med"/>
          <a:tailEnd type="none" w="med" len="med"/>
        </a:ln>
      </xdr:spPr>
    </xdr:sp>
    <xdr:clientData/>
  </xdr:twoCellAnchor>
  <xdr:twoCellAnchor>
    <xdr:from>
      <xdr:col>7</xdr:col>
      <xdr:colOff>68580</xdr:colOff>
      <xdr:row>6</xdr:row>
      <xdr:rowOff>213360</xdr:rowOff>
    </xdr:from>
    <xdr:to>
      <xdr:col>7</xdr:col>
      <xdr:colOff>68580</xdr:colOff>
      <xdr:row>8</xdr:row>
      <xdr:rowOff>137795</xdr:rowOff>
    </xdr:to>
    <xdr:sp macro="" textlink="">
      <xdr:nvSpPr>
        <xdr:cNvPr id="1242830" name="Line 120">
          <a:extLst>
            <a:ext uri="{FF2B5EF4-FFF2-40B4-BE49-F238E27FC236}">
              <a16:creationId xmlns:a16="http://schemas.microsoft.com/office/drawing/2014/main" id="{00000000-0008-0000-5000-0000CEF61200}"/>
            </a:ext>
          </a:extLst>
        </xdr:cNvPr>
        <xdr:cNvSpPr/>
      </xdr:nvSpPr>
      <xdr:spPr>
        <a:xfrm>
          <a:off x="2249805" y="1915160"/>
          <a:ext cx="0" cy="434975"/>
        </a:xfrm>
        <a:prstGeom prst="line">
          <a:avLst/>
        </a:prstGeom>
        <a:ln w="76200" cap="flat" cmpd="sng">
          <a:solidFill>
            <a:srgbClr val="000000"/>
          </a:solidFill>
          <a:prstDash val="solid"/>
          <a:round/>
          <a:headEnd type="none" w="med" len="med"/>
          <a:tailEnd type="none" w="med" len="med"/>
        </a:ln>
      </xdr:spPr>
    </xdr:sp>
    <xdr:clientData/>
  </xdr:twoCellAnchor>
  <xdr:twoCellAnchor>
    <xdr:from>
      <xdr:col>3</xdr:col>
      <xdr:colOff>251460</xdr:colOff>
      <xdr:row>5</xdr:row>
      <xdr:rowOff>114935</xdr:rowOff>
    </xdr:from>
    <xdr:to>
      <xdr:col>3</xdr:col>
      <xdr:colOff>251460</xdr:colOff>
      <xdr:row>6</xdr:row>
      <xdr:rowOff>213360</xdr:rowOff>
    </xdr:to>
    <xdr:sp macro="" textlink="">
      <xdr:nvSpPr>
        <xdr:cNvPr id="1242831" name="Line 122">
          <a:extLst>
            <a:ext uri="{FF2B5EF4-FFF2-40B4-BE49-F238E27FC236}">
              <a16:creationId xmlns:a16="http://schemas.microsoft.com/office/drawing/2014/main" id="{00000000-0008-0000-5000-0000CFF61200}"/>
            </a:ext>
          </a:extLst>
        </xdr:cNvPr>
        <xdr:cNvSpPr/>
      </xdr:nvSpPr>
      <xdr:spPr>
        <a:xfrm flipH="1">
          <a:off x="1137285" y="1561465"/>
          <a:ext cx="0" cy="353695"/>
        </a:xfrm>
        <a:prstGeom prst="line">
          <a:avLst/>
        </a:prstGeom>
        <a:ln w="9525" cap="flat" cmpd="sng">
          <a:solidFill>
            <a:srgbClr val="000000"/>
          </a:solidFill>
          <a:prstDash val="solid"/>
          <a:round/>
          <a:headEnd type="none" w="med" len="med"/>
          <a:tailEnd type="none" w="med" len="med"/>
        </a:ln>
      </xdr:spPr>
    </xdr:sp>
    <xdr:clientData/>
  </xdr:twoCellAnchor>
  <xdr:twoCellAnchor>
    <xdr:from>
      <xdr:col>7</xdr:col>
      <xdr:colOff>30480</xdr:colOff>
      <xdr:row>5</xdr:row>
      <xdr:rowOff>114935</xdr:rowOff>
    </xdr:from>
    <xdr:to>
      <xdr:col>7</xdr:col>
      <xdr:colOff>30480</xdr:colOff>
      <xdr:row>6</xdr:row>
      <xdr:rowOff>213360</xdr:rowOff>
    </xdr:to>
    <xdr:sp macro="" textlink="">
      <xdr:nvSpPr>
        <xdr:cNvPr id="1242832" name="Line 123">
          <a:extLst>
            <a:ext uri="{FF2B5EF4-FFF2-40B4-BE49-F238E27FC236}">
              <a16:creationId xmlns:a16="http://schemas.microsoft.com/office/drawing/2014/main" id="{00000000-0008-0000-5000-0000D0F61200}"/>
            </a:ext>
          </a:extLst>
        </xdr:cNvPr>
        <xdr:cNvSpPr/>
      </xdr:nvSpPr>
      <xdr:spPr>
        <a:xfrm flipH="1">
          <a:off x="2211705" y="1561465"/>
          <a:ext cx="0" cy="353695"/>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251460</xdr:colOff>
      <xdr:row>5</xdr:row>
      <xdr:rowOff>38100</xdr:rowOff>
    </xdr:from>
    <xdr:to>
      <xdr:col>7</xdr:col>
      <xdr:colOff>30480</xdr:colOff>
      <xdr:row>5</xdr:row>
      <xdr:rowOff>152400</xdr:rowOff>
    </xdr:to>
    <xdr:sp macro="" textlink="">
      <xdr:nvSpPr>
        <xdr:cNvPr id="1242833" name="FreeForm 124">
          <a:extLst>
            <a:ext uri="{FF2B5EF4-FFF2-40B4-BE49-F238E27FC236}">
              <a16:creationId xmlns:a16="http://schemas.microsoft.com/office/drawing/2014/main" id="{00000000-0008-0000-5000-0000D1F61200}"/>
            </a:ext>
          </a:extLst>
        </xdr:cNvPr>
        <xdr:cNvSpPr/>
      </xdr:nvSpPr>
      <xdr:spPr>
        <a:xfrm>
          <a:off x="1137285" y="1484630"/>
          <a:ext cx="1074420" cy="114300"/>
        </a:xfrm>
        <a:custGeom>
          <a:avLst/>
          <a:gdLst/>
          <a:ahLst/>
          <a:cxnLst>
            <a:cxn ang="0">
              <a:pos x="0" y="8"/>
            </a:cxn>
            <a:cxn ang="0">
              <a:pos x="24" y="0"/>
            </a:cxn>
            <a:cxn ang="0">
              <a:pos x="49" y="8"/>
            </a:cxn>
            <a:cxn ang="0">
              <a:pos x="64" y="4"/>
            </a:cxn>
            <a:cxn ang="0">
              <a:pos x="86" y="11"/>
            </a:cxn>
            <a:cxn ang="0">
              <a:pos x="107" y="8"/>
            </a:cxn>
          </a:cxnLst>
          <a:rect l="0" t="0" r="0" b="0"/>
          <a:pathLst>
            <a:path w="107" h="12">
              <a:moveTo>
                <a:pt x="0" y="8"/>
              </a:moveTo>
              <a:cubicBezTo>
                <a:pt x="8" y="4"/>
                <a:pt x="16" y="0"/>
                <a:pt x="24" y="0"/>
              </a:cubicBezTo>
              <a:cubicBezTo>
                <a:pt x="32" y="0"/>
                <a:pt x="42" y="7"/>
                <a:pt x="49" y="8"/>
              </a:cubicBezTo>
              <a:cubicBezTo>
                <a:pt x="56" y="9"/>
                <a:pt x="58" y="4"/>
                <a:pt x="64" y="4"/>
              </a:cubicBezTo>
              <a:cubicBezTo>
                <a:pt x="70" y="4"/>
                <a:pt x="79" y="10"/>
                <a:pt x="86" y="11"/>
              </a:cubicBezTo>
              <a:cubicBezTo>
                <a:pt x="93" y="12"/>
                <a:pt x="104" y="9"/>
                <a:pt x="107" y="8"/>
              </a:cubicBezTo>
            </a:path>
          </a:pathLst>
        </a:custGeom>
        <a:noFill/>
        <a:ln w="9525" cap="flat" cmpd="sng">
          <a:solidFill>
            <a:srgbClr val="000000"/>
          </a:solidFill>
          <a:prstDash val="solid"/>
          <a:round/>
          <a:headEnd type="none" w="med" len="med"/>
          <a:tailEnd type="none" w="med" len="med"/>
        </a:ln>
      </xdr:spPr>
    </xdr:sp>
    <xdr:clientData/>
  </xdr:twoCellAnchor>
  <xdr:twoCellAnchor>
    <xdr:from>
      <xdr:col>5</xdr:col>
      <xdr:colOff>205740</xdr:colOff>
      <xdr:row>5</xdr:row>
      <xdr:rowOff>31115</xdr:rowOff>
    </xdr:from>
    <xdr:to>
      <xdr:col>5</xdr:col>
      <xdr:colOff>205740</xdr:colOff>
      <xdr:row>6</xdr:row>
      <xdr:rowOff>228600</xdr:rowOff>
    </xdr:to>
    <xdr:sp macro="" textlink="">
      <xdr:nvSpPr>
        <xdr:cNvPr id="1242834" name="Line 126">
          <a:extLst>
            <a:ext uri="{FF2B5EF4-FFF2-40B4-BE49-F238E27FC236}">
              <a16:creationId xmlns:a16="http://schemas.microsoft.com/office/drawing/2014/main" id="{00000000-0008-0000-5000-0000D2F61200}"/>
            </a:ext>
          </a:extLst>
        </xdr:cNvPr>
        <xdr:cNvSpPr/>
      </xdr:nvSpPr>
      <xdr:spPr>
        <a:xfrm>
          <a:off x="1663065" y="1477645"/>
          <a:ext cx="0" cy="452755"/>
        </a:xfrm>
        <a:prstGeom prst="line">
          <a:avLst/>
        </a:prstGeom>
        <a:ln w="57150" cap="flat" cmpd="sng">
          <a:solidFill>
            <a:srgbClr val="000000"/>
          </a:solidFill>
          <a:prstDash val="solid"/>
          <a:round/>
          <a:headEnd type="none" w="med" len="med"/>
          <a:tailEnd type="triangle" w="med" len="med"/>
        </a:ln>
      </xdr:spPr>
    </xdr:sp>
    <xdr:clientData/>
  </xdr:twoCellAnchor>
  <xdr:twoCellAnchor>
    <xdr:from>
      <xdr:col>5</xdr:col>
      <xdr:colOff>213360</xdr:colOff>
      <xdr:row>11</xdr:row>
      <xdr:rowOff>38100</xdr:rowOff>
    </xdr:from>
    <xdr:to>
      <xdr:col>5</xdr:col>
      <xdr:colOff>213360</xdr:colOff>
      <xdr:row>12</xdr:row>
      <xdr:rowOff>0</xdr:rowOff>
    </xdr:to>
    <xdr:sp macro="" textlink="">
      <xdr:nvSpPr>
        <xdr:cNvPr id="1242835" name="Line 127">
          <a:extLst>
            <a:ext uri="{FF2B5EF4-FFF2-40B4-BE49-F238E27FC236}">
              <a16:creationId xmlns:a16="http://schemas.microsoft.com/office/drawing/2014/main" id="{00000000-0008-0000-5000-0000D3F61200}"/>
            </a:ext>
          </a:extLst>
        </xdr:cNvPr>
        <xdr:cNvSpPr/>
      </xdr:nvSpPr>
      <xdr:spPr>
        <a:xfrm flipV="1">
          <a:off x="1670685" y="3008630"/>
          <a:ext cx="0" cy="217170"/>
        </a:xfrm>
        <a:prstGeom prst="line">
          <a:avLst/>
        </a:prstGeom>
        <a:ln w="38100" cap="flat" cmpd="sng">
          <a:solidFill>
            <a:srgbClr val="000000"/>
          </a:solidFill>
          <a:prstDash val="solid"/>
          <a:round/>
          <a:headEnd type="none" w="med" len="med"/>
          <a:tailEnd type="triangle" w="sm" len="sm"/>
        </a:ln>
      </xdr:spPr>
    </xdr:sp>
    <xdr:clientData/>
  </xdr:twoCellAnchor>
  <xdr:twoCellAnchor>
    <xdr:from>
      <xdr:col>16</xdr:col>
      <xdr:colOff>114300</xdr:colOff>
      <xdr:row>10</xdr:row>
      <xdr:rowOff>76200</xdr:rowOff>
    </xdr:from>
    <xdr:to>
      <xdr:col>16</xdr:col>
      <xdr:colOff>281940</xdr:colOff>
      <xdr:row>11</xdr:row>
      <xdr:rowOff>213360</xdr:rowOff>
    </xdr:to>
    <xdr:sp macro="" textlink="">
      <xdr:nvSpPr>
        <xdr:cNvPr id="1242836" name="Rectangle 130">
          <a:extLst>
            <a:ext uri="{FF2B5EF4-FFF2-40B4-BE49-F238E27FC236}">
              <a16:creationId xmlns:a16="http://schemas.microsoft.com/office/drawing/2014/main" id="{00000000-0008-0000-5000-0000D4F61200}"/>
            </a:ext>
          </a:extLst>
        </xdr:cNvPr>
        <xdr:cNvSpPr/>
      </xdr:nvSpPr>
      <xdr:spPr>
        <a:xfrm>
          <a:off x="4895850" y="2799080"/>
          <a:ext cx="167640" cy="384810"/>
        </a:xfrm>
        <a:prstGeom prst="rect">
          <a:avLst/>
        </a:prstGeom>
        <a:noFill/>
        <a:ln w="9525" cap="flat" cmpd="sng">
          <a:solidFill>
            <a:srgbClr val="000000"/>
          </a:solidFill>
          <a:prstDash val="solid"/>
          <a:miter/>
          <a:headEnd type="none" w="med" len="med"/>
          <a:tailEnd type="none" w="med" len="med"/>
        </a:ln>
      </xdr:spPr>
    </xdr:sp>
    <xdr:clientData/>
  </xdr:twoCellAnchor>
  <xdr:twoCellAnchor>
    <xdr:from>
      <xdr:col>14</xdr:col>
      <xdr:colOff>167640</xdr:colOff>
      <xdr:row>9</xdr:row>
      <xdr:rowOff>45720</xdr:rowOff>
    </xdr:from>
    <xdr:to>
      <xdr:col>18</xdr:col>
      <xdr:colOff>91440</xdr:colOff>
      <xdr:row>10</xdr:row>
      <xdr:rowOff>76200</xdr:rowOff>
    </xdr:to>
    <xdr:sp macro="" textlink="">
      <xdr:nvSpPr>
        <xdr:cNvPr id="1242837" name="Rectangle 131">
          <a:extLst>
            <a:ext uri="{FF2B5EF4-FFF2-40B4-BE49-F238E27FC236}">
              <a16:creationId xmlns:a16="http://schemas.microsoft.com/office/drawing/2014/main" id="{00000000-0008-0000-5000-0000D5F61200}"/>
            </a:ext>
          </a:extLst>
        </xdr:cNvPr>
        <xdr:cNvSpPr/>
      </xdr:nvSpPr>
      <xdr:spPr>
        <a:xfrm>
          <a:off x="4377690" y="2513330"/>
          <a:ext cx="1219200" cy="285750"/>
        </a:xfrm>
        <a:prstGeom prst="rect">
          <a:avLst/>
        </a:prstGeom>
        <a:noFill/>
        <a:ln w="9525" cap="flat" cmpd="sng">
          <a:solidFill>
            <a:srgbClr val="000000"/>
          </a:solidFill>
          <a:prstDash val="solid"/>
          <a:miter/>
          <a:headEnd type="none" w="med" len="med"/>
          <a:tailEnd type="none" w="med" len="med"/>
        </a:ln>
      </xdr:spPr>
    </xdr:sp>
    <xdr:clientData/>
  </xdr:twoCellAnchor>
  <xdr:twoCellAnchor>
    <xdr:from>
      <xdr:col>12</xdr:col>
      <xdr:colOff>7620</xdr:colOff>
      <xdr:row>10</xdr:row>
      <xdr:rowOff>84455</xdr:rowOff>
    </xdr:from>
    <xdr:to>
      <xdr:col>16</xdr:col>
      <xdr:colOff>83820</xdr:colOff>
      <xdr:row>10</xdr:row>
      <xdr:rowOff>84455</xdr:rowOff>
    </xdr:to>
    <xdr:sp macro="" textlink="">
      <xdr:nvSpPr>
        <xdr:cNvPr id="1242838" name="Line 132">
          <a:extLst>
            <a:ext uri="{FF2B5EF4-FFF2-40B4-BE49-F238E27FC236}">
              <a16:creationId xmlns:a16="http://schemas.microsoft.com/office/drawing/2014/main" id="{00000000-0008-0000-5000-0000D6F61200}"/>
            </a:ext>
          </a:extLst>
        </xdr:cNvPr>
        <xdr:cNvSpPr/>
      </xdr:nvSpPr>
      <xdr:spPr>
        <a:xfrm>
          <a:off x="3617595" y="2807335"/>
          <a:ext cx="124777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304800</xdr:colOff>
      <xdr:row>10</xdr:row>
      <xdr:rowOff>84455</xdr:rowOff>
    </xdr:from>
    <xdr:to>
      <xdr:col>20</xdr:col>
      <xdr:colOff>266700</xdr:colOff>
      <xdr:row>10</xdr:row>
      <xdr:rowOff>84455</xdr:rowOff>
    </xdr:to>
    <xdr:sp macro="" textlink="">
      <xdr:nvSpPr>
        <xdr:cNvPr id="1242839" name="Line 133">
          <a:extLst>
            <a:ext uri="{FF2B5EF4-FFF2-40B4-BE49-F238E27FC236}">
              <a16:creationId xmlns:a16="http://schemas.microsoft.com/office/drawing/2014/main" id="{00000000-0008-0000-5000-0000D7F61200}"/>
            </a:ext>
          </a:extLst>
        </xdr:cNvPr>
        <xdr:cNvSpPr/>
      </xdr:nvSpPr>
      <xdr:spPr>
        <a:xfrm>
          <a:off x="5086350" y="2807335"/>
          <a:ext cx="124777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83820</xdr:colOff>
      <xdr:row>10</xdr:row>
      <xdr:rowOff>84455</xdr:rowOff>
    </xdr:from>
    <xdr:to>
      <xdr:col>16</xdr:col>
      <xdr:colOff>83820</xdr:colOff>
      <xdr:row>11</xdr:row>
      <xdr:rowOff>198120</xdr:rowOff>
    </xdr:to>
    <xdr:sp macro="" textlink="">
      <xdr:nvSpPr>
        <xdr:cNvPr id="1242840" name="Line 135">
          <a:extLst>
            <a:ext uri="{FF2B5EF4-FFF2-40B4-BE49-F238E27FC236}">
              <a16:creationId xmlns:a16="http://schemas.microsoft.com/office/drawing/2014/main" id="{00000000-0008-0000-5000-0000D8F61200}"/>
            </a:ext>
          </a:extLst>
        </xdr:cNvPr>
        <xdr:cNvSpPr/>
      </xdr:nvSpPr>
      <xdr:spPr>
        <a:xfrm>
          <a:off x="4865370" y="2807335"/>
          <a:ext cx="0" cy="361315"/>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160020</xdr:colOff>
      <xdr:row>8</xdr:row>
      <xdr:rowOff>68580</xdr:rowOff>
    </xdr:from>
    <xdr:to>
      <xdr:col>14</xdr:col>
      <xdr:colOff>160020</xdr:colOff>
      <xdr:row>10</xdr:row>
      <xdr:rowOff>84455</xdr:rowOff>
    </xdr:to>
    <xdr:sp macro="" textlink="">
      <xdr:nvSpPr>
        <xdr:cNvPr id="1242841" name="Line 137">
          <a:extLst>
            <a:ext uri="{FF2B5EF4-FFF2-40B4-BE49-F238E27FC236}">
              <a16:creationId xmlns:a16="http://schemas.microsoft.com/office/drawing/2014/main" id="{00000000-0008-0000-5000-0000D9F61200}"/>
            </a:ext>
          </a:extLst>
        </xdr:cNvPr>
        <xdr:cNvSpPr/>
      </xdr:nvSpPr>
      <xdr:spPr>
        <a:xfrm>
          <a:off x="4370070" y="2280920"/>
          <a:ext cx="0" cy="526415"/>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304800</xdr:colOff>
      <xdr:row>10</xdr:row>
      <xdr:rowOff>76200</xdr:rowOff>
    </xdr:from>
    <xdr:to>
      <xdr:col>16</xdr:col>
      <xdr:colOff>304800</xdr:colOff>
      <xdr:row>11</xdr:row>
      <xdr:rowOff>190500</xdr:rowOff>
    </xdr:to>
    <xdr:sp macro="" textlink="">
      <xdr:nvSpPr>
        <xdr:cNvPr id="1242842" name="Line 138">
          <a:extLst>
            <a:ext uri="{FF2B5EF4-FFF2-40B4-BE49-F238E27FC236}">
              <a16:creationId xmlns:a16="http://schemas.microsoft.com/office/drawing/2014/main" id="{00000000-0008-0000-5000-0000DAF61200}"/>
            </a:ext>
          </a:extLst>
        </xdr:cNvPr>
        <xdr:cNvSpPr/>
      </xdr:nvSpPr>
      <xdr:spPr>
        <a:xfrm>
          <a:off x="5086350" y="2799080"/>
          <a:ext cx="0" cy="361950"/>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99060</xdr:colOff>
      <xdr:row>8</xdr:row>
      <xdr:rowOff>83820</xdr:rowOff>
    </xdr:from>
    <xdr:to>
      <xdr:col>18</xdr:col>
      <xdr:colOff>99060</xdr:colOff>
      <xdr:row>10</xdr:row>
      <xdr:rowOff>76200</xdr:rowOff>
    </xdr:to>
    <xdr:sp macro="" textlink="">
      <xdr:nvSpPr>
        <xdr:cNvPr id="1242843" name="Line 139">
          <a:extLst>
            <a:ext uri="{FF2B5EF4-FFF2-40B4-BE49-F238E27FC236}">
              <a16:creationId xmlns:a16="http://schemas.microsoft.com/office/drawing/2014/main" id="{00000000-0008-0000-5000-0000DBF61200}"/>
            </a:ext>
          </a:extLst>
        </xdr:cNvPr>
        <xdr:cNvSpPr/>
      </xdr:nvSpPr>
      <xdr:spPr>
        <a:xfrm>
          <a:off x="5604510" y="2296160"/>
          <a:ext cx="0" cy="502920"/>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99060</xdr:colOff>
      <xdr:row>7</xdr:row>
      <xdr:rowOff>159385</xdr:rowOff>
    </xdr:from>
    <xdr:to>
      <xdr:col>18</xdr:col>
      <xdr:colOff>251460</xdr:colOff>
      <xdr:row>8</xdr:row>
      <xdr:rowOff>83820</xdr:rowOff>
    </xdr:to>
    <xdr:sp macro="" textlink="">
      <xdr:nvSpPr>
        <xdr:cNvPr id="1242844" name="Arc 140">
          <a:extLst>
            <a:ext uri="{FF2B5EF4-FFF2-40B4-BE49-F238E27FC236}">
              <a16:creationId xmlns:a16="http://schemas.microsoft.com/office/drawing/2014/main" id="{00000000-0008-0000-5000-0000DCF61200}"/>
            </a:ext>
          </a:extLst>
        </xdr:cNvPr>
        <xdr:cNvSpPr/>
      </xdr:nvSpPr>
      <xdr:spPr>
        <a:xfrm rot="-5400000">
          <a:off x="5590540" y="2129790"/>
          <a:ext cx="179705" cy="15240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14</xdr:col>
      <xdr:colOff>15240</xdr:colOff>
      <xdr:row>7</xdr:row>
      <xdr:rowOff>159385</xdr:rowOff>
    </xdr:from>
    <xdr:to>
      <xdr:col>14</xdr:col>
      <xdr:colOff>160020</xdr:colOff>
      <xdr:row>8</xdr:row>
      <xdr:rowOff>75565</xdr:rowOff>
    </xdr:to>
    <xdr:sp macro="" textlink="">
      <xdr:nvSpPr>
        <xdr:cNvPr id="1242845" name="Arc 141">
          <a:extLst>
            <a:ext uri="{FF2B5EF4-FFF2-40B4-BE49-F238E27FC236}">
              <a16:creationId xmlns:a16="http://schemas.microsoft.com/office/drawing/2014/main" id="{00000000-0008-0000-5000-0000DDF61200}"/>
            </a:ext>
          </a:extLst>
        </xdr:cNvPr>
        <xdr:cNvSpPr/>
      </xdr:nvSpPr>
      <xdr:spPr>
        <a:xfrm>
          <a:off x="4225290" y="2116455"/>
          <a:ext cx="144780" cy="17145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15</xdr:col>
      <xdr:colOff>22860</xdr:colOff>
      <xdr:row>9</xdr:row>
      <xdr:rowOff>8255</xdr:rowOff>
    </xdr:from>
    <xdr:to>
      <xdr:col>17</xdr:col>
      <xdr:colOff>251460</xdr:colOff>
      <xdr:row>9</xdr:row>
      <xdr:rowOff>8255</xdr:rowOff>
    </xdr:to>
    <xdr:sp macro="" textlink="">
      <xdr:nvSpPr>
        <xdr:cNvPr id="1242846" name="Line 142">
          <a:extLst>
            <a:ext uri="{FF2B5EF4-FFF2-40B4-BE49-F238E27FC236}">
              <a16:creationId xmlns:a16="http://schemas.microsoft.com/office/drawing/2014/main" id="{00000000-0008-0000-5000-0000DEF61200}"/>
            </a:ext>
          </a:extLst>
        </xdr:cNvPr>
        <xdr:cNvSpPr/>
      </xdr:nvSpPr>
      <xdr:spPr>
        <a:xfrm>
          <a:off x="4518660" y="2475865"/>
          <a:ext cx="952500" cy="0"/>
        </a:xfrm>
        <a:prstGeom prst="line">
          <a:avLst/>
        </a:prstGeom>
        <a:ln w="76200" cap="flat" cmpd="sng">
          <a:solidFill>
            <a:srgbClr val="000000"/>
          </a:solidFill>
          <a:prstDash val="solid"/>
          <a:round/>
          <a:headEnd type="none" w="med" len="med"/>
          <a:tailEnd type="none" w="med" len="med"/>
        </a:ln>
      </xdr:spPr>
    </xdr:sp>
    <xdr:clientData/>
  </xdr:twoCellAnchor>
  <xdr:twoCellAnchor>
    <xdr:from>
      <xdr:col>18</xdr:col>
      <xdr:colOff>60960</xdr:colOff>
      <xdr:row>6</xdr:row>
      <xdr:rowOff>228600</xdr:rowOff>
    </xdr:from>
    <xdr:to>
      <xdr:col>18</xdr:col>
      <xdr:colOff>60960</xdr:colOff>
      <xdr:row>8</xdr:row>
      <xdr:rowOff>152400</xdr:rowOff>
    </xdr:to>
    <xdr:sp macro="" textlink="">
      <xdr:nvSpPr>
        <xdr:cNvPr id="1242847" name="Line 143">
          <a:extLst>
            <a:ext uri="{FF2B5EF4-FFF2-40B4-BE49-F238E27FC236}">
              <a16:creationId xmlns:a16="http://schemas.microsoft.com/office/drawing/2014/main" id="{00000000-0008-0000-5000-0000DFF61200}"/>
            </a:ext>
          </a:extLst>
        </xdr:cNvPr>
        <xdr:cNvSpPr/>
      </xdr:nvSpPr>
      <xdr:spPr>
        <a:xfrm>
          <a:off x="5566410" y="1930400"/>
          <a:ext cx="0" cy="434340"/>
        </a:xfrm>
        <a:prstGeom prst="line">
          <a:avLst/>
        </a:prstGeom>
        <a:ln w="76200" cap="flat" cmpd="sng">
          <a:solidFill>
            <a:srgbClr val="000000"/>
          </a:solidFill>
          <a:prstDash val="solid"/>
          <a:round/>
          <a:headEnd type="none" w="med" len="med"/>
          <a:tailEnd type="none" w="med" len="med"/>
        </a:ln>
      </xdr:spPr>
    </xdr:sp>
    <xdr:clientData/>
  </xdr:twoCellAnchor>
  <xdr:twoCellAnchor>
    <xdr:from>
      <xdr:col>17</xdr:col>
      <xdr:colOff>251460</xdr:colOff>
      <xdr:row>8</xdr:row>
      <xdr:rowOff>144780</xdr:rowOff>
    </xdr:from>
    <xdr:to>
      <xdr:col>18</xdr:col>
      <xdr:colOff>60960</xdr:colOff>
      <xdr:row>9</xdr:row>
      <xdr:rowOff>8255</xdr:rowOff>
    </xdr:to>
    <xdr:sp macro="" textlink="">
      <xdr:nvSpPr>
        <xdr:cNvPr id="1242848" name="Arc 144">
          <a:extLst>
            <a:ext uri="{FF2B5EF4-FFF2-40B4-BE49-F238E27FC236}">
              <a16:creationId xmlns:a16="http://schemas.microsoft.com/office/drawing/2014/main" id="{00000000-0008-0000-5000-0000E0F61200}"/>
            </a:ext>
          </a:extLst>
        </xdr:cNvPr>
        <xdr:cNvSpPr/>
      </xdr:nvSpPr>
      <xdr:spPr>
        <a:xfrm rot="-10800000" flipH="1">
          <a:off x="5471160" y="2357120"/>
          <a:ext cx="95250" cy="118745"/>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14</xdr:col>
      <xdr:colOff>205740</xdr:colOff>
      <xdr:row>8</xdr:row>
      <xdr:rowOff>152400</xdr:rowOff>
    </xdr:from>
    <xdr:to>
      <xdr:col>15</xdr:col>
      <xdr:colOff>22860</xdr:colOff>
      <xdr:row>9</xdr:row>
      <xdr:rowOff>8255</xdr:rowOff>
    </xdr:to>
    <xdr:sp macro="" textlink="">
      <xdr:nvSpPr>
        <xdr:cNvPr id="1242849" name="Arc 145">
          <a:extLst>
            <a:ext uri="{FF2B5EF4-FFF2-40B4-BE49-F238E27FC236}">
              <a16:creationId xmlns:a16="http://schemas.microsoft.com/office/drawing/2014/main" id="{00000000-0008-0000-5000-0000E1F61200}"/>
            </a:ext>
          </a:extLst>
        </xdr:cNvPr>
        <xdr:cNvSpPr/>
      </xdr:nvSpPr>
      <xdr:spPr>
        <a:xfrm rot="-5400000" flipH="1">
          <a:off x="4411345" y="2368550"/>
          <a:ext cx="111125" cy="10287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14</xdr:col>
      <xdr:colOff>205740</xdr:colOff>
      <xdr:row>6</xdr:row>
      <xdr:rowOff>228600</xdr:rowOff>
    </xdr:from>
    <xdr:to>
      <xdr:col>14</xdr:col>
      <xdr:colOff>205740</xdr:colOff>
      <xdr:row>8</xdr:row>
      <xdr:rowOff>152400</xdr:rowOff>
    </xdr:to>
    <xdr:sp macro="" textlink="">
      <xdr:nvSpPr>
        <xdr:cNvPr id="1242850" name="Line 146">
          <a:extLst>
            <a:ext uri="{FF2B5EF4-FFF2-40B4-BE49-F238E27FC236}">
              <a16:creationId xmlns:a16="http://schemas.microsoft.com/office/drawing/2014/main" id="{00000000-0008-0000-5000-0000E2F61200}"/>
            </a:ext>
          </a:extLst>
        </xdr:cNvPr>
        <xdr:cNvSpPr/>
      </xdr:nvSpPr>
      <xdr:spPr>
        <a:xfrm>
          <a:off x="4415790" y="1930400"/>
          <a:ext cx="0" cy="434340"/>
        </a:xfrm>
        <a:prstGeom prst="line">
          <a:avLst/>
        </a:prstGeom>
        <a:ln w="76200" cap="flat" cmpd="sng">
          <a:solidFill>
            <a:srgbClr val="000000"/>
          </a:solidFill>
          <a:prstDash val="solid"/>
          <a:round/>
          <a:headEnd type="none" w="med" len="med"/>
          <a:tailEnd type="none" w="med" len="med"/>
        </a:ln>
      </xdr:spPr>
    </xdr:sp>
    <xdr:clientData/>
  </xdr:twoCellAnchor>
  <xdr:twoCellAnchor>
    <xdr:from>
      <xdr:col>12</xdr:col>
      <xdr:colOff>114300</xdr:colOff>
      <xdr:row>7</xdr:row>
      <xdr:rowOff>159385</xdr:rowOff>
    </xdr:from>
    <xdr:to>
      <xdr:col>14</xdr:col>
      <xdr:colOff>22860</xdr:colOff>
      <xdr:row>7</xdr:row>
      <xdr:rowOff>159385</xdr:rowOff>
    </xdr:to>
    <xdr:sp macro="" textlink="">
      <xdr:nvSpPr>
        <xdr:cNvPr id="1242851" name="Line 147">
          <a:extLst>
            <a:ext uri="{FF2B5EF4-FFF2-40B4-BE49-F238E27FC236}">
              <a16:creationId xmlns:a16="http://schemas.microsoft.com/office/drawing/2014/main" id="{00000000-0008-0000-5000-0000E3F61200}"/>
            </a:ext>
          </a:extLst>
        </xdr:cNvPr>
        <xdr:cNvSpPr/>
      </xdr:nvSpPr>
      <xdr:spPr>
        <a:xfrm>
          <a:off x="3724275" y="2116455"/>
          <a:ext cx="50863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251460</xdr:colOff>
      <xdr:row>7</xdr:row>
      <xdr:rowOff>159385</xdr:rowOff>
    </xdr:from>
    <xdr:to>
      <xdr:col>20</xdr:col>
      <xdr:colOff>160020</xdr:colOff>
      <xdr:row>7</xdr:row>
      <xdr:rowOff>159385</xdr:rowOff>
    </xdr:to>
    <xdr:sp macro="" textlink="">
      <xdr:nvSpPr>
        <xdr:cNvPr id="1242852" name="Line 148">
          <a:extLst>
            <a:ext uri="{FF2B5EF4-FFF2-40B4-BE49-F238E27FC236}">
              <a16:creationId xmlns:a16="http://schemas.microsoft.com/office/drawing/2014/main" id="{00000000-0008-0000-5000-0000E4F61200}"/>
            </a:ext>
          </a:extLst>
        </xdr:cNvPr>
        <xdr:cNvSpPr/>
      </xdr:nvSpPr>
      <xdr:spPr>
        <a:xfrm>
          <a:off x="5756910" y="2116455"/>
          <a:ext cx="470535"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20</xdr:col>
      <xdr:colOff>121920</xdr:colOff>
      <xdr:row>7</xdr:row>
      <xdr:rowOff>175260</xdr:rowOff>
    </xdr:from>
    <xdr:to>
      <xdr:col>20</xdr:col>
      <xdr:colOff>198120</xdr:colOff>
      <xdr:row>10</xdr:row>
      <xdr:rowOff>84455</xdr:rowOff>
    </xdr:to>
    <xdr:sp macro="" textlink="">
      <xdr:nvSpPr>
        <xdr:cNvPr id="1242853" name="FreeForm 149">
          <a:extLst>
            <a:ext uri="{FF2B5EF4-FFF2-40B4-BE49-F238E27FC236}">
              <a16:creationId xmlns:a16="http://schemas.microsoft.com/office/drawing/2014/main" id="{00000000-0008-0000-5000-0000E5F61200}"/>
            </a:ext>
          </a:extLst>
        </xdr:cNvPr>
        <xdr:cNvSpPr/>
      </xdr:nvSpPr>
      <xdr:spPr>
        <a:xfrm>
          <a:off x="6189345" y="2132330"/>
          <a:ext cx="76200" cy="67500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20</xdr:col>
      <xdr:colOff>220980</xdr:colOff>
      <xdr:row>10</xdr:row>
      <xdr:rowOff>84455</xdr:rowOff>
    </xdr:from>
    <xdr:to>
      <xdr:col>21</xdr:col>
      <xdr:colOff>0</xdr:colOff>
      <xdr:row>11</xdr:row>
      <xdr:rowOff>213360</xdr:rowOff>
    </xdr:to>
    <xdr:sp macro="" textlink="">
      <xdr:nvSpPr>
        <xdr:cNvPr id="1242854" name="FreeForm 150">
          <a:extLst>
            <a:ext uri="{FF2B5EF4-FFF2-40B4-BE49-F238E27FC236}">
              <a16:creationId xmlns:a16="http://schemas.microsoft.com/office/drawing/2014/main" id="{00000000-0008-0000-5000-0000E6F61200}"/>
            </a:ext>
          </a:extLst>
        </xdr:cNvPr>
        <xdr:cNvSpPr/>
      </xdr:nvSpPr>
      <xdr:spPr>
        <a:xfrm rot="10800000">
          <a:off x="6288405" y="2807335"/>
          <a:ext cx="64770" cy="37655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12</xdr:col>
      <xdr:colOff>68580</xdr:colOff>
      <xdr:row>7</xdr:row>
      <xdr:rowOff>159385</xdr:rowOff>
    </xdr:from>
    <xdr:to>
      <xdr:col>12</xdr:col>
      <xdr:colOff>144780</xdr:colOff>
      <xdr:row>10</xdr:row>
      <xdr:rowOff>76200</xdr:rowOff>
    </xdr:to>
    <xdr:sp macro="" textlink="">
      <xdr:nvSpPr>
        <xdr:cNvPr id="1242855" name="FreeForm 151">
          <a:extLst>
            <a:ext uri="{FF2B5EF4-FFF2-40B4-BE49-F238E27FC236}">
              <a16:creationId xmlns:a16="http://schemas.microsoft.com/office/drawing/2014/main" id="{00000000-0008-0000-5000-0000E7F61200}"/>
            </a:ext>
          </a:extLst>
        </xdr:cNvPr>
        <xdr:cNvSpPr/>
      </xdr:nvSpPr>
      <xdr:spPr>
        <a:xfrm>
          <a:off x="3678555" y="2116455"/>
          <a:ext cx="76200" cy="68262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11</xdr:col>
      <xdr:colOff>274320</xdr:colOff>
      <xdr:row>10</xdr:row>
      <xdr:rowOff>84455</xdr:rowOff>
    </xdr:from>
    <xdr:to>
      <xdr:col>12</xdr:col>
      <xdr:colOff>22860</xdr:colOff>
      <xdr:row>11</xdr:row>
      <xdr:rowOff>198120</xdr:rowOff>
    </xdr:to>
    <xdr:sp macro="" textlink="">
      <xdr:nvSpPr>
        <xdr:cNvPr id="1242856" name="FreeForm 152">
          <a:extLst>
            <a:ext uri="{FF2B5EF4-FFF2-40B4-BE49-F238E27FC236}">
              <a16:creationId xmlns:a16="http://schemas.microsoft.com/office/drawing/2014/main" id="{00000000-0008-0000-5000-0000E8F61200}"/>
            </a:ext>
          </a:extLst>
        </xdr:cNvPr>
        <xdr:cNvSpPr/>
      </xdr:nvSpPr>
      <xdr:spPr>
        <a:xfrm rot="10800000">
          <a:off x="3598545" y="2807335"/>
          <a:ext cx="34290" cy="361315"/>
        </a:xfrm>
        <a:custGeom>
          <a:avLst/>
          <a:gdLst/>
          <a:ahLst/>
          <a:cxnLst>
            <a:cxn ang="0">
              <a:pos x="5" y="0"/>
            </a:cxn>
            <a:cxn ang="0">
              <a:pos x="1" y="18"/>
            </a:cxn>
            <a:cxn ang="0">
              <a:pos x="9" y="37"/>
            </a:cxn>
            <a:cxn ang="0">
              <a:pos x="4" y="56"/>
            </a:cxn>
            <a:cxn ang="0">
              <a:pos x="4" y="60"/>
            </a:cxn>
          </a:cxnLst>
          <a:rect l="0" t="0" r="0" b="0"/>
          <a:pathLst>
            <a:path w="9" h="60">
              <a:moveTo>
                <a:pt x="5" y="0"/>
              </a:moveTo>
              <a:cubicBezTo>
                <a:pt x="2" y="6"/>
                <a:pt x="0" y="12"/>
                <a:pt x="1" y="18"/>
              </a:cubicBezTo>
              <a:cubicBezTo>
                <a:pt x="2" y="24"/>
                <a:pt x="9" y="31"/>
                <a:pt x="9" y="37"/>
              </a:cubicBezTo>
              <a:cubicBezTo>
                <a:pt x="9" y="43"/>
                <a:pt x="5" y="52"/>
                <a:pt x="4" y="56"/>
              </a:cubicBezTo>
              <a:cubicBezTo>
                <a:pt x="3" y="60"/>
                <a:pt x="3" y="60"/>
                <a:pt x="4" y="60"/>
              </a:cubicBezTo>
            </a:path>
          </a:pathLst>
        </a:custGeom>
        <a:noFill/>
        <a:ln w="9525" cap="flat" cmpd="sng">
          <a:solidFill>
            <a:srgbClr val="000000"/>
          </a:solidFill>
          <a:prstDash val="solid"/>
          <a:round/>
          <a:headEnd type="none" w="med" len="med"/>
          <a:tailEnd type="none" w="med" len="med"/>
        </a:ln>
      </xdr:spPr>
    </xdr:sp>
    <xdr:clientData/>
  </xdr:twoCellAnchor>
  <xdr:twoCellAnchor>
    <xdr:from>
      <xdr:col>14</xdr:col>
      <xdr:colOff>236220</xdr:colOff>
      <xdr:row>5</xdr:row>
      <xdr:rowOff>137795</xdr:rowOff>
    </xdr:from>
    <xdr:to>
      <xdr:col>14</xdr:col>
      <xdr:colOff>236220</xdr:colOff>
      <xdr:row>6</xdr:row>
      <xdr:rowOff>228600</xdr:rowOff>
    </xdr:to>
    <xdr:sp macro="" textlink="">
      <xdr:nvSpPr>
        <xdr:cNvPr id="1242857" name="Line 153">
          <a:extLst>
            <a:ext uri="{FF2B5EF4-FFF2-40B4-BE49-F238E27FC236}">
              <a16:creationId xmlns:a16="http://schemas.microsoft.com/office/drawing/2014/main" id="{00000000-0008-0000-5000-0000E9F61200}"/>
            </a:ext>
          </a:extLst>
        </xdr:cNvPr>
        <xdr:cNvSpPr/>
      </xdr:nvSpPr>
      <xdr:spPr>
        <a:xfrm flipH="1">
          <a:off x="4446270" y="1584325"/>
          <a:ext cx="0" cy="346075"/>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22860</xdr:colOff>
      <xdr:row>5</xdr:row>
      <xdr:rowOff>137795</xdr:rowOff>
    </xdr:from>
    <xdr:to>
      <xdr:col>18</xdr:col>
      <xdr:colOff>22860</xdr:colOff>
      <xdr:row>6</xdr:row>
      <xdr:rowOff>228600</xdr:rowOff>
    </xdr:to>
    <xdr:sp macro="" textlink="">
      <xdr:nvSpPr>
        <xdr:cNvPr id="1242858" name="Line 154">
          <a:extLst>
            <a:ext uri="{FF2B5EF4-FFF2-40B4-BE49-F238E27FC236}">
              <a16:creationId xmlns:a16="http://schemas.microsoft.com/office/drawing/2014/main" id="{00000000-0008-0000-5000-0000EAF61200}"/>
            </a:ext>
          </a:extLst>
        </xdr:cNvPr>
        <xdr:cNvSpPr/>
      </xdr:nvSpPr>
      <xdr:spPr>
        <a:xfrm flipH="1">
          <a:off x="5528310" y="1584325"/>
          <a:ext cx="0" cy="346075"/>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236220</xdr:colOff>
      <xdr:row>5</xdr:row>
      <xdr:rowOff>52705</xdr:rowOff>
    </xdr:from>
    <xdr:to>
      <xdr:col>18</xdr:col>
      <xdr:colOff>22860</xdr:colOff>
      <xdr:row>5</xdr:row>
      <xdr:rowOff>175260</xdr:rowOff>
    </xdr:to>
    <xdr:sp macro="" textlink="">
      <xdr:nvSpPr>
        <xdr:cNvPr id="1242859" name="FreeForm 155">
          <a:extLst>
            <a:ext uri="{FF2B5EF4-FFF2-40B4-BE49-F238E27FC236}">
              <a16:creationId xmlns:a16="http://schemas.microsoft.com/office/drawing/2014/main" id="{00000000-0008-0000-5000-0000EBF61200}"/>
            </a:ext>
          </a:extLst>
        </xdr:cNvPr>
        <xdr:cNvSpPr/>
      </xdr:nvSpPr>
      <xdr:spPr>
        <a:xfrm>
          <a:off x="4446270" y="1499235"/>
          <a:ext cx="1082040" cy="122555"/>
        </a:xfrm>
        <a:custGeom>
          <a:avLst/>
          <a:gdLst/>
          <a:ahLst/>
          <a:cxnLst>
            <a:cxn ang="0">
              <a:pos x="0" y="8"/>
            </a:cxn>
            <a:cxn ang="0">
              <a:pos x="24" y="0"/>
            </a:cxn>
            <a:cxn ang="0">
              <a:pos x="49" y="8"/>
            </a:cxn>
            <a:cxn ang="0">
              <a:pos x="64" y="4"/>
            </a:cxn>
            <a:cxn ang="0">
              <a:pos x="86" y="11"/>
            </a:cxn>
            <a:cxn ang="0">
              <a:pos x="107" y="8"/>
            </a:cxn>
          </a:cxnLst>
          <a:rect l="0" t="0" r="0" b="0"/>
          <a:pathLst>
            <a:path w="107" h="12">
              <a:moveTo>
                <a:pt x="0" y="8"/>
              </a:moveTo>
              <a:cubicBezTo>
                <a:pt x="8" y="4"/>
                <a:pt x="16" y="0"/>
                <a:pt x="24" y="0"/>
              </a:cubicBezTo>
              <a:cubicBezTo>
                <a:pt x="32" y="0"/>
                <a:pt x="42" y="7"/>
                <a:pt x="49" y="8"/>
              </a:cubicBezTo>
              <a:cubicBezTo>
                <a:pt x="56" y="9"/>
                <a:pt x="58" y="4"/>
                <a:pt x="64" y="4"/>
              </a:cubicBezTo>
              <a:cubicBezTo>
                <a:pt x="70" y="4"/>
                <a:pt x="79" y="10"/>
                <a:pt x="86" y="11"/>
              </a:cubicBezTo>
              <a:cubicBezTo>
                <a:pt x="93" y="12"/>
                <a:pt x="104" y="9"/>
                <a:pt x="107" y="8"/>
              </a:cubicBezTo>
            </a:path>
          </a:pathLst>
        </a:custGeom>
        <a:noFill/>
        <a:ln w="9525" cap="flat" cmpd="sng">
          <a:solidFill>
            <a:srgbClr val="000000"/>
          </a:solidFill>
          <a:prstDash val="solid"/>
          <a:round/>
          <a:headEnd type="none" w="med" len="med"/>
          <a:tailEnd type="none" w="med" len="med"/>
        </a:ln>
      </xdr:spPr>
    </xdr:sp>
    <xdr:clientData/>
  </xdr:twoCellAnchor>
  <xdr:twoCellAnchor>
    <xdr:from>
      <xdr:col>16</xdr:col>
      <xdr:colOff>198120</xdr:colOff>
      <xdr:row>5</xdr:row>
      <xdr:rowOff>15240</xdr:rowOff>
    </xdr:from>
    <xdr:to>
      <xdr:col>16</xdr:col>
      <xdr:colOff>198120</xdr:colOff>
      <xdr:row>6</xdr:row>
      <xdr:rowOff>182245</xdr:rowOff>
    </xdr:to>
    <xdr:sp macro="" textlink="">
      <xdr:nvSpPr>
        <xdr:cNvPr id="1242860" name="Line 156">
          <a:extLst>
            <a:ext uri="{FF2B5EF4-FFF2-40B4-BE49-F238E27FC236}">
              <a16:creationId xmlns:a16="http://schemas.microsoft.com/office/drawing/2014/main" id="{00000000-0008-0000-5000-0000ECF61200}"/>
            </a:ext>
          </a:extLst>
        </xdr:cNvPr>
        <xdr:cNvSpPr/>
      </xdr:nvSpPr>
      <xdr:spPr>
        <a:xfrm>
          <a:off x="4979670" y="1461770"/>
          <a:ext cx="0" cy="422275"/>
        </a:xfrm>
        <a:prstGeom prst="line">
          <a:avLst/>
        </a:prstGeom>
        <a:ln w="57150" cap="flat" cmpd="sng">
          <a:solidFill>
            <a:srgbClr val="000000"/>
          </a:solidFill>
          <a:prstDash val="solid"/>
          <a:round/>
          <a:headEnd type="none" w="med" len="med"/>
          <a:tailEnd type="triangle" w="med" len="med"/>
        </a:ln>
      </xdr:spPr>
    </xdr:sp>
    <xdr:clientData/>
  </xdr:twoCellAnchor>
  <xdr:twoCellAnchor>
    <xdr:from>
      <xdr:col>14</xdr:col>
      <xdr:colOff>259080</xdr:colOff>
      <xdr:row>8</xdr:row>
      <xdr:rowOff>38100</xdr:rowOff>
    </xdr:from>
    <xdr:to>
      <xdr:col>15</xdr:col>
      <xdr:colOff>114300</xdr:colOff>
      <xdr:row>8</xdr:row>
      <xdr:rowOff>198120</xdr:rowOff>
    </xdr:to>
    <xdr:sp macro="" textlink="">
      <xdr:nvSpPr>
        <xdr:cNvPr id="1242861" name="Line 159">
          <a:extLst>
            <a:ext uri="{FF2B5EF4-FFF2-40B4-BE49-F238E27FC236}">
              <a16:creationId xmlns:a16="http://schemas.microsoft.com/office/drawing/2014/main" id="{00000000-0008-0000-5000-0000EDF61200}"/>
            </a:ext>
          </a:extLst>
        </xdr:cNvPr>
        <xdr:cNvSpPr/>
      </xdr:nvSpPr>
      <xdr:spPr>
        <a:xfrm flipV="1">
          <a:off x="4469130" y="2250440"/>
          <a:ext cx="140970" cy="160020"/>
        </a:xfrm>
        <a:prstGeom prst="line">
          <a:avLst/>
        </a:prstGeom>
        <a:ln w="15875" cap="flat" cmpd="sng">
          <a:solidFill>
            <a:srgbClr val="000000"/>
          </a:solidFill>
          <a:prstDash val="solid"/>
          <a:round/>
          <a:headEnd type="arrow" w="sm" len="sm"/>
          <a:tailEnd type="oval" w="sm" len="sm"/>
        </a:ln>
      </xdr:spPr>
    </xdr:sp>
    <xdr:clientData/>
  </xdr:twoCellAnchor>
  <xdr:twoCellAnchor>
    <xdr:from>
      <xdr:col>15</xdr:col>
      <xdr:colOff>99060</xdr:colOff>
      <xdr:row>7</xdr:row>
      <xdr:rowOff>121920</xdr:rowOff>
    </xdr:from>
    <xdr:to>
      <xdr:col>16</xdr:col>
      <xdr:colOff>0</xdr:colOff>
      <xdr:row>8</xdr:row>
      <xdr:rowOff>45720</xdr:rowOff>
    </xdr:to>
    <xdr:sp macro="" textlink="">
      <xdr:nvSpPr>
        <xdr:cNvPr id="1242862" name="Line 160">
          <a:extLst>
            <a:ext uri="{FF2B5EF4-FFF2-40B4-BE49-F238E27FC236}">
              <a16:creationId xmlns:a16="http://schemas.microsoft.com/office/drawing/2014/main" id="{00000000-0008-0000-5000-0000EEF61200}"/>
            </a:ext>
          </a:extLst>
        </xdr:cNvPr>
        <xdr:cNvSpPr/>
      </xdr:nvSpPr>
      <xdr:spPr>
        <a:xfrm flipV="1">
          <a:off x="4594860" y="2078990"/>
          <a:ext cx="186690" cy="17907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266700</xdr:colOff>
      <xdr:row>8</xdr:row>
      <xdr:rowOff>45720</xdr:rowOff>
    </xdr:from>
    <xdr:to>
      <xdr:col>4</xdr:col>
      <xdr:colOff>114300</xdr:colOff>
      <xdr:row>8</xdr:row>
      <xdr:rowOff>182245</xdr:rowOff>
    </xdr:to>
    <xdr:sp macro="" textlink="">
      <xdr:nvSpPr>
        <xdr:cNvPr id="1242863" name="Line 161">
          <a:extLst>
            <a:ext uri="{FF2B5EF4-FFF2-40B4-BE49-F238E27FC236}">
              <a16:creationId xmlns:a16="http://schemas.microsoft.com/office/drawing/2014/main" id="{00000000-0008-0000-5000-0000EFF61200}"/>
            </a:ext>
          </a:extLst>
        </xdr:cNvPr>
        <xdr:cNvSpPr/>
      </xdr:nvSpPr>
      <xdr:spPr>
        <a:xfrm flipH="1">
          <a:off x="1152525" y="2258060"/>
          <a:ext cx="133350" cy="136525"/>
        </a:xfrm>
        <a:prstGeom prst="line">
          <a:avLst/>
        </a:prstGeom>
        <a:ln w="15875" cap="flat" cmpd="sng">
          <a:solidFill>
            <a:srgbClr val="000000"/>
          </a:solidFill>
          <a:prstDash val="solid"/>
          <a:round/>
          <a:headEnd type="oval" w="sm" len="sm"/>
          <a:tailEnd type="arrow" w="sm" len="sm"/>
        </a:ln>
      </xdr:spPr>
    </xdr:sp>
    <xdr:clientData/>
  </xdr:twoCellAnchor>
  <xdr:twoCellAnchor>
    <xdr:from>
      <xdr:col>4</xdr:col>
      <xdr:colOff>129540</xdr:colOff>
      <xdr:row>7</xdr:row>
      <xdr:rowOff>121920</xdr:rowOff>
    </xdr:from>
    <xdr:to>
      <xdr:col>5</xdr:col>
      <xdr:colOff>7620</xdr:colOff>
      <xdr:row>8</xdr:row>
      <xdr:rowOff>31115</xdr:rowOff>
    </xdr:to>
    <xdr:sp macro="" textlink="">
      <xdr:nvSpPr>
        <xdr:cNvPr id="1242864" name="Line 162">
          <a:extLst>
            <a:ext uri="{FF2B5EF4-FFF2-40B4-BE49-F238E27FC236}">
              <a16:creationId xmlns:a16="http://schemas.microsoft.com/office/drawing/2014/main" id="{00000000-0008-0000-5000-0000F0F61200}"/>
            </a:ext>
          </a:extLst>
        </xdr:cNvPr>
        <xdr:cNvSpPr/>
      </xdr:nvSpPr>
      <xdr:spPr>
        <a:xfrm flipV="1">
          <a:off x="1301115" y="2078990"/>
          <a:ext cx="163830" cy="164465"/>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0</xdr:colOff>
      <xdr:row>7</xdr:row>
      <xdr:rowOff>221615</xdr:rowOff>
    </xdr:from>
    <xdr:to>
      <xdr:col>14</xdr:col>
      <xdr:colOff>121920</xdr:colOff>
      <xdr:row>8</xdr:row>
      <xdr:rowOff>106680</xdr:rowOff>
    </xdr:to>
    <xdr:sp macro="" textlink="">
      <xdr:nvSpPr>
        <xdr:cNvPr id="1242865" name="Line 164">
          <a:extLst>
            <a:ext uri="{FF2B5EF4-FFF2-40B4-BE49-F238E27FC236}">
              <a16:creationId xmlns:a16="http://schemas.microsoft.com/office/drawing/2014/main" id="{00000000-0008-0000-5000-0000F1F61200}"/>
            </a:ext>
          </a:extLst>
        </xdr:cNvPr>
        <xdr:cNvSpPr/>
      </xdr:nvSpPr>
      <xdr:spPr>
        <a:xfrm flipH="1">
          <a:off x="4210050" y="2178685"/>
          <a:ext cx="121920" cy="140335"/>
        </a:xfrm>
        <a:prstGeom prst="line">
          <a:avLst/>
        </a:prstGeom>
        <a:ln w="9525" cap="flat" cmpd="sng">
          <a:solidFill>
            <a:srgbClr val="000000"/>
          </a:solidFill>
          <a:prstDash val="solid"/>
          <a:round/>
          <a:headEnd type="arrow" w="sm" len="sm"/>
          <a:tailEnd type="oval" w="sm" len="sm"/>
        </a:ln>
      </xdr:spPr>
    </xdr:sp>
    <xdr:clientData/>
  </xdr:twoCellAnchor>
  <xdr:twoCellAnchor>
    <xdr:from>
      <xdr:col>3</xdr:col>
      <xdr:colOff>0</xdr:colOff>
      <xdr:row>7</xdr:row>
      <xdr:rowOff>213360</xdr:rowOff>
    </xdr:from>
    <xdr:to>
      <xdr:col>3</xdr:col>
      <xdr:colOff>137160</xdr:colOff>
      <xdr:row>8</xdr:row>
      <xdr:rowOff>114935</xdr:rowOff>
    </xdr:to>
    <xdr:sp macro="" textlink="">
      <xdr:nvSpPr>
        <xdr:cNvPr id="1242866" name="Line 165">
          <a:extLst>
            <a:ext uri="{FF2B5EF4-FFF2-40B4-BE49-F238E27FC236}">
              <a16:creationId xmlns:a16="http://schemas.microsoft.com/office/drawing/2014/main" id="{00000000-0008-0000-5000-0000F2F61200}"/>
            </a:ext>
          </a:extLst>
        </xdr:cNvPr>
        <xdr:cNvSpPr/>
      </xdr:nvSpPr>
      <xdr:spPr>
        <a:xfrm flipH="1">
          <a:off x="885825" y="2170430"/>
          <a:ext cx="137160" cy="156845"/>
        </a:xfrm>
        <a:prstGeom prst="line">
          <a:avLst/>
        </a:prstGeom>
        <a:ln w="9525" cap="flat" cmpd="sng">
          <a:solidFill>
            <a:srgbClr val="000000"/>
          </a:solidFill>
          <a:prstDash val="solid"/>
          <a:round/>
          <a:headEnd type="arrow" w="sm" len="sm"/>
          <a:tailEnd type="oval" w="sm" len="sm"/>
        </a:ln>
      </xdr:spPr>
    </xdr:sp>
    <xdr:clientData/>
  </xdr:twoCellAnchor>
  <xdr:twoCellAnchor>
    <xdr:from>
      <xdr:col>3</xdr:col>
      <xdr:colOff>167640</xdr:colOff>
      <xdr:row>10</xdr:row>
      <xdr:rowOff>92075</xdr:rowOff>
    </xdr:from>
    <xdr:to>
      <xdr:col>3</xdr:col>
      <xdr:colOff>167640</xdr:colOff>
      <xdr:row>14</xdr:row>
      <xdr:rowOff>175260</xdr:rowOff>
    </xdr:to>
    <xdr:sp macro="" textlink="">
      <xdr:nvSpPr>
        <xdr:cNvPr id="1242867" name="Line 166">
          <a:extLst>
            <a:ext uri="{FF2B5EF4-FFF2-40B4-BE49-F238E27FC236}">
              <a16:creationId xmlns:a16="http://schemas.microsoft.com/office/drawing/2014/main" id="{00000000-0008-0000-5000-0000F3F61200}"/>
            </a:ext>
          </a:extLst>
        </xdr:cNvPr>
        <xdr:cNvSpPr/>
      </xdr:nvSpPr>
      <xdr:spPr>
        <a:xfrm>
          <a:off x="1053465" y="2814955"/>
          <a:ext cx="0" cy="1096645"/>
        </a:xfrm>
        <a:prstGeom prst="line">
          <a:avLst/>
        </a:prstGeom>
        <a:ln w="3175" cap="flat" cmpd="sng">
          <a:solidFill>
            <a:srgbClr val="000000"/>
          </a:solidFill>
          <a:prstDash val="solid"/>
          <a:round/>
          <a:headEnd type="none" w="med" len="med"/>
          <a:tailEnd type="none" w="med" len="med"/>
        </a:ln>
      </xdr:spPr>
    </xdr:sp>
    <xdr:clientData/>
  </xdr:twoCellAnchor>
  <xdr:twoCellAnchor>
    <xdr:from>
      <xdr:col>7</xdr:col>
      <xdr:colOff>114300</xdr:colOff>
      <xdr:row>10</xdr:row>
      <xdr:rowOff>84455</xdr:rowOff>
    </xdr:from>
    <xdr:to>
      <xdr:col>7</xdr:col>
      <xdr:colOff>114300</xdr:colOff>
      <xdr:row>14</xdr:row>
      <xdr:rowOff>213360</xdr:rowOff>
    </xdr:to>
    <xdr:sp macro="" textlink="">
      <xdr:nvSpPr>
        <xdr:cNvPr id="1242868" name="Line 167">
          <a:extLst>
            <a:ext uri="{FF2B5EF4-FFF2-40B4-BE49-F238E27FC236}">
              <a16:creationId xmlns:a16="http://schemas.microsoft.com/office/drawing/2014/main" id="{00000000-0008-0000-5000-0000F4F61200}"/>
            </a:ext>
          </a:extLst>
        </xdr:cNvPr>
        <xdr:cNvSpPr/>
      </xdr:nvSpPr>
      <xdr:spPr>
        <a:xfrm>
          <a:off x="2295525" y="2807335"/>
          <a:ext cx="0" cy="1142365"/>
        </a:xfrm>
        <a:prstGeom prst="line">
          <a:avLst/>
        </a:prstGeom>
        <a:ln w="3175" cap="flat" cmpd="sng">
          <a:solidFill>
            <a:srgbClr val="000000"/>
          </a:solidFill>
          <a:prstDash val="solid"/>
          <a:round/>
          <a:headEnd type="none" w="med" len="med"/>
          <a:tailEnd type="none" w="med" len="med"/>
        </a:ln>
      </xdr:spPr>
    </xdr:sp>
    <xdr:clientData/>
  </xdr:twoCellAnchor>
  <xdr:twoCellAnchor>
    <xdr:from>
      <xdr:col>3</xdr:col>
      <xdr:colOff>167640</xdr:colOff>
      <xdr:row>13</xdr:row>
      <xdr:rowOff>114935</xdr:rowOff>
    </xdr:from>
    <xdr:to>
      <xdr:col>4</xdr:col>
      <xdr:colOff>60960</xdr:colOff>
      <xdr:row>13</xdr:row>
      <xdr:rowOff>114935</xdr:rowOff>
    </xdr:to>
    <xdr:sp macro="" textlink="">
      <xdr:nvSpPr>
        <xdr:cNvPr id="1242869" name="Line 168">
          <a:extLst>
            <a:ext uri="{FF2B5EF4-FFF2-40B4-BE49-F238E27FC236}">
              <a16:creationId xmlns:a16="http://schemas.microsoft.com/office/drawing/2014/main" id="{00000000-0008-0000-5000-0000F5F61200}"/>
            </a:ext>
          </a:extLst>
        </xdr:cNvPr>
        <xdr:cNvSpPr/>
      </xdr:nvSpPr>
      <xdr:spPr>
        <a:xfrm>
          <a:off x="1053465" y="3596005"/>
          <a:ext cx="179070" cy="0"/>
        </a:xfrm>
        <a:prstGeom prst="line">
          <a:avLst/>
        </a:prstGeom>
        <a:ln w="9525" cap="flat" cmpd="sng">
          <a:solidFill>
            <a:srgbClr val="000000"/>
          </a:solidFill>
          <a:prstDash val="solid"/>
          <a:round/>
          <a:headEnd type="arrow" w="sm" len="sm"/>
          <a:tailEnd type="none" w="med" len="med"/>
        </a:ln>
      </xdr:spPr>
    </xdr:sp>
    <xdr:clientData/>
  </xdr:twoCellAnchor>
  <xdr:twoCellAnchor>
    <xdr:from>
      <xdr:col>6</xdr:col>
      <xdr:colOff>7620</xdr:colOff>
      <xdr:row>13</xdr:row>
      <xdr:rowOff>114935</xdr:rowOff>
    </xdr:from>
    <xdr:to>
      <xdr:col>7</xdr:col>
      <xdr:colOff>114300</xdr:colOff>
      <xdr:row>13</xdr:row>
      <xdr:rowOff>114935</xdr:rowOff>
    </xdr:to>
    <xdr:sp macro="" textlink="">
      <xdr:nvSpPr>
        <xdr:cNvPr id="1242870" name="Line 169">
          <a:extLst>
            <a:ext uri="{FF2B5EF4-FFF2-40B4-BE49-F238E27FC236}">
              <a16:creationId xmlns:a16="http://schemas.microsoft.com/office/drawing/2014/main" id="{00000000-0008-0000-5000-0000F6F61200}"/>
            </a:ext>
          </a:extLst>
        </xdr:cNvPr>
        <xdr:cNvSpPr/>
      </xdr:nvSpPr>
      <xdr:spPr>
        <a:xfrm>
          <a:off x="1903095" y="3596005"/>
          <a:ext cx="39243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14</xdr:col>
      <xdr:colOff>160020</xdr:colOff>
      <xdr:row>10</xdr:row>
      <xdr:rowOff>92075</xdr:rowOff>
    </xdr:from>
    <xdr:to>
      <xdr:col>14</xdr:col>
      <xdr:colOff>160020</xdr:colOff>
      <xdr:row>14</xdr:row>
      <xdr:rowOff>198120</xdr:rowOff>
    </xdr:to>
    <xdr:sp macro="" textlink="">
      <xdr:nvSpPr>
        <xdr:cNvPr id="1242871" name="Line 170">
          <a:extLst>
            <a:ext uri="{FF2B5EF4-FFF2-40B4-BE49-F238E27FC236}">
              <a16:creationId xmlns:a16="http://schemas.microsoft.com/office/drawing/2014/main" id="{00000000-0008-0000-5000-0000F7F61200}"/>
            </a:ext>
          </a:extLst>
        </xdr:cNvPr>
        <xdr:cNvSpPr/>
      </xdr:nvSpPr>
      <xdr:spPr>
        <a:xfrm>
          <a:off x="4370070" y="2814955"/>
          <a:ext cx="0" cy="1119505"/>
        </a:xfrm>
        <a:prstGeom prst="line">
          <a:avLst/>
        </a:prstGeom>
        <a:ln w="3175" cap="flat" cmpd="sng">
          <a:solidFill>
            <a:srgbClr val="000000"/>
          </a:solidFill>
          <a:prstDash val="solid"/>
          <a:round/>
          <a:headEnd type="none" w="med" len="med"/>
          <a:tailEnd type="none" w="med" len="med"/>
        </a:ln>
      </xdr:spPr>
    </xdr:sp>
    <xdr:clientData/>
  </xdr:twoCellAnchor>
  <xdr:twoCellAnchor>
    <xdr:from>
      <xdr:col>18</xdr:col>
      <xdr:colOff>99060</xdr:colOff>
      <xdr:row>10</xdr:row>
      <xdr:rowOff>92075</xdr:rowOff>
    </xdr:from>
    <xdr:to>
      <xdr:col>18</xdr:col>
      <xdr:colOff>99060</xdr:colOff>
      <xdr:row>14</xdr:row>
      <xdr:rowOff>221615</xdr:rowOff>
    </xdr:to>
    <xdr:sp macro="" textlink="">
      <xdr:nvSpPr>
        <xdr:cNvPr id="1242872" name="Line 171">
          <a:extLst>
            <a:ext uri="{FF2B5EF4-FFF2-40B4-BE49-F238E27FC236}">
              <a16:creationId xmlns:a16="http://schemas.microsoft.com/office/drawing/2014/main" id="{00000000-0008-0000-5000-0000F8F61200}"/>
            </a:ext>
          </a:extLst>
        </xdr:cNvPr>
        <xdr:cNvSpPr/>
      </xdr:nvSpPr>
      <xdr:spPr>
        <a:xfrm>
          <a:off x="5604510" y="2814955"/>
          <a:ext cx="0" cy="1143000"/>
        </a:xfrm>
        <a:prstGeom prst="line">
          <a:avLst/>
        </a:prstGeom>
        <a:ln w="3175" cap="flat" cmpd="sng">
          <a:solidFill>
            <a:srgbClr val="000000"/>
          </a:solidFill>
          <a:prstDash val="solid"/>
          <a:round/>
          <a:headEnd type="none" w="med" len="med"/>
          <a:tailEnd type="none" w="med" len="med"/>
        </a:ln>
      </xdr:spPr>
    </xdr:sp>
    <xdr:clientData/>
  </xdr:twoCellAnchor>
  <xdr:twoCellAnchor>
    <xdr:from>
      <xdr:col>17</xdr:col>
      <xdr:colOff>7620</xdr:colOff>
      <xdr:row>13</xdr:row>
      <xdr:rowOff>144780</xdr:rowOff>
    </xdr:from>
    <xdr:to>
      <xdr:col>18</xdr:col>
      <xdr:colOff>99060</xdr:colOff>
      <xdr:row>13</xdr:row>
      <xdr:rowOff>144780</xdr:rowOff>
    </xdr:to>
    <xdr:sp macro="" textlink="">
      <xdr:nvSpPr>
        <xdr:cNvPr id="1242873" name="Line 172">
          <a:extLst>
            <a:ext uri="{FF2B5EF4-FFF2-40B4-BE49-F238E27FC236}">
              <a16:creationId xmlns:a16="http://schemas.microsoft.com/office/drawing/2014/main" id="{00000000-0008-0000-5000-0000F9F61200}"/>
            </a:ext>
          </a:extLst>
        </xdr:cNvPr>
        <xdr:cNvSpPr/>
      </xdr:nvSpPr>
      <xdr:spPr>
        <a:xfrm>
          <a:off x="5227320" y="3625850"/>
          <a:ext cx="37719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14</xdr:col>
      <xdr:colOff>160020</xdr:colOff>
      <xdr:row>13</xdr:row>
      <xdr:rowOff>137795</xdr:rowOff>
    </xdr:from>
    <xdr:to>
      <xdr:col>15</xdr:col>
      <xdr:colOff>53340</xdr:colOff>
      <xdr:row>13</xdr:row>
      <xdr:rowOff>137795</xdr:rowOff>
    </xdr:to>
    <xdr:sp macro="" textlink="">
      <xdr:nvSpPr>
        <xdr:cNvPr id="1242874" name="Line 173">
          <a:extLst>
            <a:ext uri="{FF2B5EF4-FFF2-40B4-BE49-F238E27FC236}">
              <a16:creationId xmlns:a16="http://schemas.microsoft.com/office/drawing/2014/main" id="{00000000-0008-0000-5000-0000FAF61200}"/>
            </a:ext>
          </a:extLst>
        </xdr:cNvPr>
        <xdr:cNvSpPr/>
      </xdr:nvSpPr>
      <xdr:spPr>
        <a:xfrm flipH="1">
          <a:off x="4370070" y="3618865"/>
          <a:ext cx="17907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2</xdr:col>
      <xdr:colOff>91440</xdr:colOff>
      <xdr:row>20</xdr:row>
      <xdr:rowOff>198120</xdr:rowOff>
    </xdr:from>
    <xdr:to>
      <xdr:col>8</xdr:col>
      <xdr:colOff>76200</xdr:colOff>
      <xdr:row>20</xdr:row>
      <xdr:rowOff>198120</xdr:rowOff>
    </xdr:to>
    <xdr:sp macro="" textlink="">
      <xdr:nvSpPr>
        <xdr:cNvPr id="1242875" name="Line 174">
          <a:extLst>
            <a:ext uri="{FF2B5EF4-FFF2-40B4-BE49-F238E27FC236}">
              <a16:creationId xmlns:a16="http://schemas.microsoft.com/office/drawing/2014/main" id="{00000000-0008-0000-5000-0000FBF61200}"/>
            </a:ext>
          </a:extLst>
        </xdr:cNvPr>
        <xdr:cNvSpPr/>
      </xdr:nvSpPr>
      <xdr:spPr>
        <a:xfrm>
          <a:off x="624840" y="5466080"/>
          <a:ext cx="1918335" cy="0"/>
        </a:xfrm>
        <a:prstGeom prst="line">
          <a:avLst/>
        </a:prstGeom>
        <a:ln w="76200" cap="flat" cmpd="sng">
          <a:solidFill>
            <a:srgbClr val="000000"/>
          </a:solidFill>
          <a:prstDash val="solid"/>
          <a:round/>
          <a:headEnd type="none" w="med" len="med"/>
          <a:tailEnd type="none" w="med" len="med"/>
        </a:ln>
      </xdr:spPr>
    </xdr:sp>
    <xdr:clientData/>
  </xdr:twoCellAnchor>
  <xdr:twoCellAnchor>
    <xdr:from>
      <xdr:col>4</xdr:col>
      <xdr:colOff>259080</xdr:colOff>
      <xdr:row>16</xdr:row>
      <xdr:rowOff>0</xdr:rowOff>
    </xdr:from>
    <xdr:to>
      <xdr:col>11</xdr:col>
      <xdr:colOff>7620</xdr:colOff>
      <xdr:row>16</xdr:row>
      <xdr:rowOff>0</xdr:rowOff>
    </xdr:to>
    <xdr:sp macro="" textlink="">
      <xdr:nvSpPr>
        <xdr:cNvPr id="1242876" name="Line 177">
          <a:extLst>
            <a:ext uri="{FF2B5EF4-FFF2-40B4-BE49-F238E27FC236}">
              <a16:creationId xmlns:a16="http://schemas.microsoft.com/office/drawing/2014/main" id="{00000000-0008-0000-5000-0000FCF61200}"/>
            </a:ext>
          </a:extLst>
        </xdr:cNvPr>
        <xdr:cNvSpPr/>
      </xdr:nvSpPr>
      <xdr:spPr>
        <a:xfrm>
          <a:off x="1430655" y="4246880"/>
          <a:ext cx="1901190" cy="0"/>
        </a:xfrm>
        <a:prstGeom prst="line">
          <a:avLst/>
        </a:prstGeom>
        <a:ln w="76200" cap="flat" cmpd="sng">
          <a:solidFill>
            <a:srgbClr val="000000"/>
          </a:solidFill>
          <a:prstDash val="solid"/>
          <a:round/>
          <a:headEnd type="none" w="med" len="med"/>
          <a:tailEnd type="none" w="med" len="med"/>
        </a:ln>
      </xdr:spPr>
    </xdr:sp>
    <xdr:clientData/>
  </xdr:twoCellAnchor>
  <xdr:twoCellAnchor>
    <xdr:from>
      <xdr:col>9</xdr:col>
      <xdr:colOff>22860</xdr:colOff>
      <xdr:row>16</xdr:row>
      <xdr:rowOff>137795</xdr:rowOff>
    </xdr:from>
    <xdr:to>
      <xdr:col>11</xdr:col>
      <xdr:colOff>198120</xdr:colOff>
      <xdr:row>20</xdr:row>
      <xdr:rowOff>68580</xdr:rowOff>
    </xdr:to>
    <xdr:sp macro="" textlink="">
      <xdr:nvSpPr>
        <xdr:cNvPr id="1242877" name="Line 178">
          <a:extLst>
            <a:ext uri="{FF2B5EF4-FFF2-40B4-BE49-F238E27FC236}">
              <a16:creationId xmlns:a16="http://schemas.microsoft.com/office/drawing/2014/main" id="{00000000-0008-0000-5000-0000FDF61200}"/>
            </a:ext>
          </a:extLst>
        </xdr:cNvPr>
        <xdr:cNvSpPr/>
      </xdr:nvSpPr>
      <xdr:spPr>
        <a:xfrm flipV="1">
          <a:off x="2775585" y="4384675"/>
          <a:ext cx="746760" cy="951865"/>
        </a:xfrm>
        <a:prstGeom prst="line">
          <a:avLst/>
        </a:prstGeom>
        <a:ln w="76200" cap="flat" cmpd="sng">
          <a:solidFill>
            <a:srgbClr val="000000"/>
          </a:solidFill>
          <a:prstDash val="solid"/>
          <a:round/>
          <a:headEnd type="none" w="med" len="med"/>
          <a:tailEnd type="none" w="med" len="med"/>
        </a:ln>
      </xdr:spPr>
    </xdr:sp>
    <xdr:clientData/>
  </xdr:twoCellAnchor>
  <xdr:twoCellAnchor>
    <xdr:from>
      <xdr:col>1</xdr:col>
      <xdr:colOff>167640</xdr:colOff>
      <xdr:row>16</xdr:row>
      <xdr:rowOff>114935</xdr:rowOff>
    </xdr:from>
    <xdr:to>
      <xdr:col>4</xdr:col>
      <xdr:colOff>53340</xdr:colOff>
      <xdr:row>20</xdr:row>
      <xdr:rowOff>45720</xdr:rowOff>
    </xdr:to>
    <xdr:sp macro="" textlink="">
      <xdr:nvSpPr>
        <xdr:cNvPr id="1242878" name="Line 180">
          <a:extLst>
            <a:ext uri="{FF2B5EF4-FFF2-40B4-BE49-F238E27FC236}">
              <a16:creationId xmlns:a16="http://schemas.microsoft.com/office/drawing/2014/main" id="{00000000-0008-0000-5000-0000FEF61200}"/>
            </a:ext>
          </a:extLst>
        </xdr:cNvPr>
        <xdr:cNvSpPr/>
      </xdr:nvSpPr>
      <xdr:spPr>
        <a:xfrm flipV="1">
          <a:off x="453390" y="4361815"/>
          <a:ext cx="771525" cy="951865"/>
        </a:xfrm>
        <a:prstGeom prst="line">
          <a:avLst/>
        </a:prstGeom>
        <a:ln w="57150" cap="flat" cmpd="sng">
          <a:solidFill>
            <a:srgbClr val="000000"/>
          </a:solidFill>
          <a:prstDash val="solid"/>
          <a:round/>
          <a:headEnd type="none" w="med" len="med"/>
          <a:tailEnd type="none" w="med" len="med"/>
        </a:ln>
      </xdr:spPr>
    </xdr:sp>
    <xdr:clientData/>
  </xdr:twoCellAnchor>
  <xdr:twoCellAnchor>
    <xdr:from>
      <xdr:col>2</xdr:col>
      <xdr:colOff>99060</xdr:colOff>
      <xdr:row>20</xdr:row>
      <xdr:rowOff>236220</xdr:rowOff>
    </xdr:from>
    <xdr:to>
      <xdr:col>8</xdr:col>
      <xdr:colOff>83820</xdr:colOff>
      <xdr:row>22</xdr:row>
      <xdr:rowOff>38100</xdr:rowOff>
    </xdr:to>
    <xdr:sp macro="" textlink="">
      <xdr:nvSpPr>
        <xdr:cNvPr id="1242879" name="Rectangle 183">
          <a:extLst>
            <a:ext uri="{FF2B5EF4-FFF2-40B4-BE49-F238E27FC236}">
              <a16:creationId xmlns:a16="http://schemas.microsoft.com/office/drawing/2014/main" id="{00000000-0008-0000-5000-0000FFF61200}"/>
            </a:ext>
          </a:extLst>
        </xdr:cNvPr>
        <xdr:cNvSpPr/>
      </xdr:nvSpPr>
      <xdr:spPr>
        <a:xfrm>
          <a:off x="632460" y="5504180"/>
          <a:ext cx="1918335" cy="312420"/>
        </a:xfrm>
        <a:prstGeom prst="rect">
          <a:avLst/>
        </a:prstGeom>
        <a:noFill/>
        <a:ln w="9525" cap="flat" cmpd="sng">
          <a:solidFill>
            <a:srgbClr val="000000"/>
          </a:solidFill>
          <a:prstDash val="solid"/>
          <a:miter/>
          <a:headEnd type="none" w="med" len="med"/>
          <a:tailEnd type="none" w="med" len="med"/>
        </a:ln>
      </xdr:spPr>
    </xdr:sp>
    <xdr:clientData/>
  </xdr:twoCellAnchor>
  <xdr:twoCellAnchor>
    <xdr:from>
      <xdr:col>9</xdr:col>
      <xdr:colOff>30480</xdr:colOff>
      <xdr:row>17</xdr:row>
      <xdr:rowOff>213360</xdr:rowOff>
    </xdr:from>
    <xdr:to>
      <xdr:col>11</xdr:col>
      <xdr:colOff>205740</xdr:colOff>
      <xdr:row>21</xdr:row>
      <xdr:rowOff>144780</xdr:rowOff>
    </xdr:to>
    <xdr:sp macro="" textlink="">
      <xdr:nvSpPr>
        <xdr:cNvPr id="1242880" name="Line 191">
          <a:extLst>
            <a:ext uri="{FF2B5EF4-FFF2-40B4-BE49-F238E27FC236}">
              <a16:creationId xmlns:a16="http://schemas.microsoft.com/office/drawing/2014/main" id="{00000000-0008-0000-5000-000000F71200}"/>
            </a:ext>
          </a:extLst>
        </xdr:cNvPr>
        <xdr:cNvSpPr/>
      </xdr:nvSpPr>
      <xdr:spPr>
        <a:xfrm flipV="1">
          <a:off x="2783205" y="4715510"/>
          <a:ext cx="746760" cy="95250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259080</xdr:colOff>
      <xdr:row>17</xdr:row>
      <xdr:rowOff>75565</xdr:rowOff>
    </xdr:from>
    <xdr:to>
      <xdr:col>11</xdr:col>
      <xdr:colOff>7620</xdr:colOff>
      <xdr:row>17</xdr:row>
      <xdr:rowOff>75565</xdr:rowOff>
    </xdr:to>
    <xdr:sp macro="" textlink="">
      <xdr:nvSpPr>
        <xdr:cNvPr id="1242881" name="Line 192">
          <a:extLst>
            <a:ext uri="{FF2B5EF4-FFF2-40B4-BE49-F238E27FC236}">
              <a16:creationId xmlns:a16="http://schemas.microsoft.com/office/drawing/2014/main" id="{00000000-0008-0000-5000-000001F71200}"/>
            </a:ext>
          </a:extLst>
        </xdr:cNvPr>
        <xdr:cNvSpPr/>
      </xdr:nvSpPr>
      <xdr:spPr>
        <a:xfrm>
          <a:off x="1430655" y="4577715"/>
          <a:ext cx="1901190" cy="0"/>
        </a:xfrm>
        <a:prstGeom prst="line">
          <a:avLst/>
        </a:prstGeom>
        <a:ln w="76200" cap="flat" cmpd="tri">
          <a:solidFill>
            <a:srgbClr val="000000"/>
          </a:solidFill>
          <a:prstDash val="sysDot"/>
          <a:round/>
          <a:headEnd type="none" w="med" len="med"/>
          <a:tailEnd type="none" w="med" len="med"/>
        </a:ln>
      </xdr:spPr>
    </xdr:sp>
    <xdr:clientData/>
  </xdr:twoCellAnchor>
  <xdr:twoCellAnchor>
    <xdr:from>
      <xdr:col>4</xdr:col>
      <xdr:colOff>266700</xdr:colOff>
      <xdr:row>16</xdr:row>
      <xdr:rowOff>38100</xdr:rowOff>
    </xdr:from>
    <xdr:to>
      <xdr:col>4</xdr:col>
      <xdr:colOff>266700</xdr:colOff>
      <xdr:row>17</xdr:row>
      <xdr:rowOff>75565</xdr:rowOff>
    </xdr:to>
    <xdr:sp macro="" textlink="">
      <xdr:nvSpPr>
        <xdr:cNvPr id="1242882" name="Line 193">
          <a:extLst>
            <a:ext uri="{FF2B5EF4-FFF2-40B4-BE49-F238E27FC236}">
              <a16:creationId xmlns:a16="http://schemas.microsoft.com/office/drawing/2014/main" id="{00000000-0008-0000-5000-000002F71200}"/>
            </a:ext>
          </a:extLst>
        </xdr:cNvPr>
        <xdr:cNvSpPr/>
      </xdr:nvSpPr>
      <xdr:spPr>
        <a:xfrm>
          <a:off x="1438275" y="4284980"/>
          <a:ext cx="0" cy="292735"/>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7620</xdr:colOff>
      <xdr:row>15</xdr:row>
      <xdr:rowOff>213360</xdr:rowOff>
    </xdr:from>
    <xdr:to>
      <xdr:col>11</xdr:col>
      <xdr:colOff>7620</xdr:colOff>
      <xdr:row>17</xdr:row>
      <xdr:rowOff>83820</xdr:rowOff>
    </xdr:to>
    <xdr:sp macro="" textlink="">
      <xdr:nvSpPr>
        <xdr:cNvPr id="1242883" name="Line 194">
          <a:extLst>
            <a:ext uri="{FF2B5EF4-FFF2-40B4-BE49-F238E27FC236}">
              <a16:creationId xmlns:a16="http://schemas.microsoft.com/office/drawing/2014/main" id="{00000000-0008-0000-5000-000003F71200}"/>
            </a:ext>
          </a:extLst>
        </xdr:cNvPr>
        <xdr:cNvSpPr/>
      </xdr:nvSpPr>
      <xdr:spPr>
        <a:xfrm>
          <a:off x="3331845" y="4204970"/>
          <a:ext cx="0" cy="381000"/>
        </a:xfrm>
        <a:prstGeom prst="line">
          <a:avLst/>
        </a:prstGeom>
        <a:ln w="38100" cap="flat" cmpd="sng">
          <a:solidFill>
            <a:srgbClr val="000000"/>
          </a:solidFill>
          <a:prstDash val="solid"/>
          <a:round/>
          <a:headEnd type="none" w="med" len="med"/>
          <a:tailEnd type="none" w="med" len="med"/>
        </a:ln>
      </xdr:spPr>
    </xdr:sp>
    <xdr:clientData/>
  </xdr:twoCellAnchor>
  <xdr:twoCellAnchor>
    <xdr:from>
      <xdr:col>9</xdr:col>
      <xdr:colOff>22860</xdr:colOff>
      <xdr:row>20</xdr:row>
      <xdr:rowOff>45720</xdr:rowOff>
    </xdr:from>
    <xdr:to>
      <xdr:col>9</xdr:col>
      <xdr:colOff>22860</xdr:colOff>
      <xdr:row>21</xdr:row>
      <xdr:rowOff>75565</xdr:rowOff>
    </xdr:to>
    <xdr:sp macro="" textlink="">
      <xdr:nvSpPr>
        <xdr:cNvPr id="1242884" name="Line 196">
          <a:extLst>
            <a:ext uri="{FF2B5EF4-FFF2-40B4-BE49-F238E27FC236}">
              <a16:creationId xmlns:a16="http://schemas.microsoft.com/office/drawing/2014/main" id="{00000000-0008-0000-5000-000004F71200}"/>
            </a:ext>
          </a:extLst>
        </xdr:cNvPr>
        <xdr:cNvSpPr/>
      </xdr:nvSpPr>
      <xdr:spPr>
        <a:xfrm>
          <a:off x="2775585" y="5313680"/>
          <a:ext cx="0" cy="285115"/>
        </a:xfrm>
        <a:prstGeom prst="line">
          <a:avLst/>
        </a:prstGeom>
        <a:ln w="57150" cap="flat" cmpd="sng">
          <a:solidFill>
            <a:srgbClr val="000000"/>
          </a:solidFill>
          <a:prstDash val="solid"/>
          <a:round/>
          <a:headEnd type="none" w="med" len="med"/>
          <a:tailEnd type="none" w="med" len="med"/>
        </a:ln>
      </xdr:spPr>
    </xdr:sp>
    <xdr:clientData/>
  </xdr:twoCellAnchor>
  <xdr:twoCellAnchor>
    <xdr:from>
      <xdr:col>11</xdr:col>
      <xdr:colOff>220980</xdr:colOff>
      <xdr:row>16</xdr:row>
      <xdr:rowOff>159385</xdr:rowOff>
    </xdr:from>
    <xdr:to>
      <xdr:col>11</xdr:col>
      <xdr:colOff>220980</xdr:colOff>
      <xdr:row>17</xdr:row>
      <xdr:rowOff>144780</xdr:rowOff>
    </xdr:to>
    <xdr:sp macro="" textlink="">
      <xdr:nvSpPr>
        <xdr:cNvPr id="1242885" name="Line 197">
          <a:extLst>
            <a:ext uri="{FF2B5EF4-FFF2-40B4-BE49-F238E27FC236}">
              <a16:creationId xmlns:a16="http://schemas.microsoft.com/office/drawing/2014/main" id="{00000000-0008-0000-5000-000005F71200}"/>
            </a:ext>
          </a:extLst>
        </xdr:cNvPr>
        <xdr:cNvSpPr/>
      </xdr:nvSpPr>
      <xdr:spPr>
        <a:xfrm>
          <a:off x="3545205" y="4406265"/>
          <a:ext cx="0" cy="240665"/>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190500</xdr:colOff>
      <xdr:row>17</xdr:row>
      <xdr:rowOff>137795</xdr:rowOff>
    </xdr:from>
    <xdr:to>
      <xdr:col>11</xdr:col>
      <xdr:colOff>220980</xdr:colOff>
      <xdr:row>17</xdr:row>
      <xdr:rowOff>213360</xdr:rowOff>
    </xdr:to>
    <xdr:sp macro="" textlink="">
      <xdr:nvSpPr>
        <xdr:cNvPr id="1242886" name="Arc 199">
          <a:extLst>
            <a:ext uri="{FF2B5EF4-FFF2-40B4-BE49-F238E27FC236}">
              <a16:creationId xmlns:a16="http://schemas.microsoft.com/office/drawing/2014/main" id="{00000000-0008-0000-5000-000006F71200}"/>
            </a:ext>
          </a:extLst>
        </xdr:cNvPr>
        <xdr:cNvSpPr/>
      </xdr:nvSpPr>
      <xdr:spPr>
        <a:xfrm flipV="1">
          <a:off x="3514725" y="4639945"/>
          <a:ext cx="30480" cy="75565"/>
        </a:xfrm>
        <a:custGeom>
          <a:avLst/>
          <a:gdLst/>
          <a:ahLst/>
          <a:cxnLst>
            <a:cxn ang="0">
              <a:pos x="8840" y="0"/>
            </a:cxn>
            <a:cxn ang="0">
              <a:pos x="21438" y="17047"/>
            </a:cxn>
            <a:cxn ang="0">
              <a:pos x="8840" y="0"/>
            </a:cxn>
            <a:cxn ang="0">
              <a:pos x="21438" y="17047"/>
            </a:cxn>
            <a:cxn ang="0">
              <a:pos x="0" y="19708"/>
            </a:cxn>
          </a:cxnLst>
          <a:rect l="0" t="0" r="0" b="0"/>
          <a:pathLst>
            <a:path w="21437" h="19708" fill="none">
              <a:moveTo>
                <a:pt x="8840" y="0"/>
              </a:moveTo>
              <a:cubicBezTo>
                <a:pt x="15595" y="3030"/>
                <a:pt x="20504" y="9428"/>
                <a:pt x="21438" y="17047"/>
              </a:cubicBezTo>
            </a:path>
            <a:path w="21437" h="19708" stroke="0">
              <a:moveTo>
                <a:pt x="8840" y="0"/>
              </a:moveTo>
              <a:cubicBezTo>
                <a:pt x="15595" y="3030"/>
                <a:pt x="20504" y="9428"/>
                <a:pt x="21438" y="17047"/>
              </a:cubicBezTo>
              <a:lnTo>
                <a:pt x="0" y="19708"/>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8</xdr:col>
      <xdr:colOff>236220</xdr:colOff>
      <xdr:row>21</xdr:row>
      <xdr:rowOff>75565</xdr:rowOff>
    </xdr:from>
    <xdr:to>
      <xdr:col>9</xdr:col>
      <xdr:colOff>22860</xdr:colOff>
      <xdr:row>21</xdr:row>
      <xdr:rowOff>159385</xdr:rowOff>
    </xdr:to>
    <xdr:sp macro="" textlink="">
      <xdr:nvSpPr>
        <xdr:cNvPr id="1242887" name="Arc 200">
          <a:extLst>
            <a:ext uri="{FF2B5EF4-FFF2-40B4-BE49-F238E27FC236}">
              <a16:creationId xmlns:a16="http://schemas.microsoft.com/office/drawing/2014/main" id="{00000000-0008-0000-5000-000007F71200}"/>
            </a:ext>
          </a:extLst>
        </xdr:cNvPr>
        <xdr:cNvSpPr/>
      </xdr:nvSpPr>
      <xdr:spPr>
        <a:xfrm flipV="1">
          <a:off x="2703195" y="5598795"/>
          <a:ext cx="72390" cy="83820"/>
        </a:xfrm>
        <a:custGeom>
          <a:avLst/>
          <a:gdLst/>
          <a:ahLst/>
          <a:cxnLst>
            <a:cxn ang="0">
              <a:pos x="0" y="0"/>
            </a:cxn>
            <a:cxn ang="0">
              <a:pos x="21600" y="21600"/>
            </a:cxn>
            <a:cxn ang="0">
              <a:pos x="0" y="0"/>
            </a:cxn>
            <a:cxn ang="0">
              <a:pos x="21600" y="21600"/>
            </a:cxn>
            <a:cxn ang="0">
              <a:pos x="0" y="21600"/>
            </a:cxn>
          </a:cxnLst>
          <a:rect l="0" t="0" r="0" b="0"/>
          <a:pathLst>
            <a:path w="21600" h="21600" fill="none">
              <a:moveTo>
                <a:pt x="0" y="0"/>
              </a:moveTo>
              <a:cubicBezTo>
                <a:pt x="11929" y="0"/>
                <a:pt x="21600" y="9671"/>
                <a:pt x="21600" y="21600"/>
              </a:cubicBezTo>
            </a:path>
            <a:path w="21600" h="21600" stroke="0">
              <a:moveTo>
                <a:pt x="0" y="0"/>
              </a:moveTo>
              <a:cubicBezTo>
                <a:pt x="11929" y="0"/>
                <a:pt x="21600" y="9671"/>
                <a:pt x="21600" y="21600"/>
              </a:cubicBezTo>
              <a:lnTo>
                <a:pt x="0" y="21600"/>
              </a:lnTo>
              <a:close/>
            </a:path>
          </a:pathLst>
        </a:custGeom>
        <a:noFill/>
        <a:ln w="57150" cap="flat" cmpd="sng">
          <a:solidFill>
            <a:srgbClr val="000000"/>
          </a:solidFill>
          <a:prstDash val="solid"/>
          <a:round/>
          <a:headEnd type="none" w="med" len="med"/>
          <a:tailEnd type="none" w="med" len="med"/>
        </a:ln>
      </xdr:spPr>
    </xdr:sp>
    <xdr:clientData/>
  </xdr:twoCellAnchor>
  <xdr:twoCellAnchor>
    <xdr:from>
      <xdr:col>8</xdr:col>
      <xdr:colOff>144780</xdr:colOff>
      <xdr:row>21</xdr:row>
      <xdr:rowOff>144780</xdr:rowOff>
    </xdr:from>
    <xdr:to>
      <xdr:col>8</xdr:col>
      <xdr:colOff>213360</xdr:colOff>
      <xdr:row>22</xdr:row>
      <xdr:rowOff>8255</xdr:rowOff>
    </xdr:to>
    <xdr:sp macro="" textlink="">
      <xdr:nvSpPr>
        <xdr:cNvPr id="1242888" name="Line 201">
          <a:extLst>
            <a:ext uri="{FF2B5EF4-FFF2-40B4-BE49-F238E27FC236}">
              <a16:creationId xmlns:a16="http://schemas.microsoft.com/office/drawing/2014/main" id="{00000000-0008-0000-5000-000008F71200}"/>
            </a:ext>
          </a:extLst>
        </xdr:cNvPr>
        <xdr:cNvSpPr/>
      </xdr:nvSpPr>
      <xdr:spPr>
        <a:xfrm flipV="1">
          <a:off x="2611755" y="5668010"/>
          <a:ext cx="68580" cy="118745"/>
        </a:xfrm>
        <a:prstGeom prst="line">
          <a:avLst/>
        </a:prstGeom>
        <a:ln w="38100" cap="flat" cmpd="sng">
          <a:solidFill>
            <a:srgbClr val="000000"/>
          </a:solidFill>
          <a:prstDash val="solid"/>
          <a:round/>
          <a:headEnd type="none" w="med" len="med"/>
          <a:tailEnd type="none" w="med" len="med"/>
        </a:ln>
      </xdr:spPr>
    </xdr:sp>
    <xdr:clientData/>
  </xdr:twoCellAnchor>
  <xdr:twoCellAnchor>
    <xdr:from>
      <xdr:col>8</xdr:col>
      <xdr:colOff>205740</xdr:colOff>
      <xdr:row>21</xdr:row>
      <xdr:rowOff>159385</xdr:rowOff>
    </xdr:from>
    <xdr:to>
      <xdr:col>8</xdr:col>
      <xdr:colOff>236220</xdr:colOff>
      <xdr:row>21</xdr:row>
      <xdr:rowOff>159385</xdr:rowOff>
    </xdr:to>
    <xdr:sp macro="" textlink="">
      <xdr:nvSpPr>
        <xdr:cNvPr id="1242889" name="Line 202">
          <a:extLst>
            <a:ext uri="{FF2B5EF4-FFF2-40B4-BE49-F238E27FC236}">
              <a16:creationId xmlns:a16="http://schemas.microsoft.com/office/drawing/2014/main" id="{00000000-0008-0000-5000-000009F71200}"/>
            </a:ext>
          </a:extLst>
        </xdr:cNvPr>
        <xdr:cNvSpPr/>
      </xdr:nvSpPr>
      <xdr:spPr>
        <a:xfrm>
          <a:off x="2672715" y="5682615"/>
          <a:ext cx="30480" cy="0"/>
        </a:xfrm>
        <a:prstGeom prst="line">
          <a:avLst/>
        </a:prstGeom>
        <a:ln w="57150" cap="flat" cmpd="sng">
          <a:solidFill>
            <a:srgbClr val="000000"/>
          </a:solidFill>
          <a:prstDash val="solid"/>
          <a:round/>
          <a:headEnd type="none" w="med" len="med"/>
          <a:tailEnd type="none" w="med" len="med"/>
        </a:ln>
      </xdr:spPr>
    </xdr:sp>
    <xdr:clientData/>
  </xdr:twoCellAnchor>
  <xdr:twoCellAnchor>
    <xdr:from>
      <xdr:col>10</xdr:col>
      <xdr:colOff>236220</xdr:colOff>
      <xdr:row>17</xdr:row>
      <xdr:rowOff>75565</xdr:rowOff>
    </xdr:from>
    <xdr:to>
      <xdr:col>11</xdr:col>
      <xdr:colOff>7620</xdr:colOff>
      <xdr:row>17</xdr:row>
      <xdr:rowOff>152400</xdr:rowOff>
    </xdr:to>
    <xdr:sp macro="" textlink="">
      <xdr:nvSpPr>
        <xdr:cNvPr id="1242890" name="Line 203">
          <a:extLst>
            <a:ext uri="{FF2B5EF4-FFF2-40B4-BE49-F238E27FC236}">
              <a16:creationId xmlns:a16="http://schemas.microsoft.com/office/drawing/2014/main" id="{00000000-0008-0000-5000-00000AF71200}"/>
            </a:ext>
          </a:extLst>
        </xdr:cNvPr>
        <xdr:cNvSpPr/>
      </xdr:nvSpPr>
      <xdr:spPr>
        <a:xfrm flipH="1">
          <a:off x="3274695" y="4577715"/>
          <a:ext cx="57150" cy="76835"/>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251460</xdr:colOff>
      <xdr:row>17</xdr:row>
      <xdr:rowOff>152400</xdr:rowOff>
    </xdr:from>
    <xdr:to>
      <xdr:col>11</xdr:col>
      <xdr:colOff>7620</xdr:colOff>
      <xdr:row>17</xdr:row>
      <xdr:rowOff>152400</xdr:rowOff>
    </xdr:to>
    <xdr:sp macro="" textlink="">
      <xdr:nvSpPr>
        <xdr:cNvPr id="1242891" name="Line 204">
          <a:extLst>
            <a:ext uri="{FF2B5EF4-FFF2-40B4-BE49-F238E27FC236}">
              <a16:creationId xmlns:a16="http://schemas.microsoft.com/office/drawing/2014/main" id="{00000000-0008-0000-5000-00000BF71200}"/>
            </a:ext>
          </a:extLst>
        </xdr:cNvPr>
        <xdr:cNvSpPr/>
      </xdr:nvSpPr>
      <xdr:spPr>
        <a:xfrm>
          <a:off x="3289935" y="4654550"/>
          <a:ext cx="4191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68580</xdr:colOff>
      <xdr:row>16</xdr:row>
      <xdr:rowOff>144780</xdr:rowOff>
    </xdr:from>
    <xdr:to>
      <xdr:col>4</xdr:col>
      <xdr:colOff>68580</xdr:colOff>
      <xdr:row>17</xdr:row>
      <xdr:rowOff>144780</xdr:rowOff>
    </xdr:to>
    <xdr:sp macro="" textlink="">
      <xdr:nvSpPr>
        <xdr:cNvPr id="1242892" name="Line 206">
          <a:extLst>
            <a:ext uri="{FF2B5EF4-FFF2-40B4-BE49-F238E27FC236}">
              <a16:creationId xmlns:a16="http://schemas.microsoft.com/office/drawing/2014/main" id="{00000000-0008-0000-5000-00000CF71200}"/>
            </a:ext>
          </a:extLst>
        </xdr:cNvPr>
        <xdr:cNvSpPr/>
      </xdr:nvSpPr>
      <xdr:spPr>
        <a:xfrm>
          <a:off x="1240155" y="4391660"/>
          <a:ext cx="0" cy="25527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68580</xdr:colOff>
      <xdr:row>17</xdr:row>
      <xdr:rowOff>144780</xdr:rowOff>
    </xdr:from>
    <xdr:to>
      <xdr:col>4</xdr:col>
      <xdr:colOff>144780</xdr:colOff>
      <xdr:row>17</xdr:row>
      <xdr:rowOff>243205</xdr:rowOff>
    </xdr:to>
    <xdr:sp macro="" textlink="">
      <xdr:nvSpPr>
        <xdr:cNvPr id="1242893" name="Arc 207">
          <a:extLst>
            <a:ext uri="{FF2B5EF4-FFF2-40B4-BE49-F238E27FC236}">
              <a16:creationId xmlns:a16="http://schemas.microsoft.com/office/drawing/2014/main" id="{00000000-0008-0000-5000-00000DF71200}"/>
            </a:ext>
          </a:extLst>
        </xdr:cNvPr>
        <xdr:cNvSpPr/>
      </xdr:nvSpPr>
      <xdr:spPr>
        <a:xfrm>
          <a:off x="1240155" y="4646930"/>
          <a:ext cx="76200" cy="98425"/>
        </a:xfrm>
        <a:custGeom>
          <a:avLst/>
          <a:gdLst/>
          <a:ahLst/>
          <a:cxnLst>
            <a:cxn ang="0">
              <a:pos x="20276" y="22517"/>
            </a:cxn>
            <a:cxn ang="0">
              <a:pos x="0" y="958"/>
            </a:cxn>
            <a:cxn ang="0">
              <a:pos x="21" y="0"/>
            </a:cxn>
            <a:cxn ang="0">
              <a:pos x="20276" y="22517"/>
            </a:cxn>
            <a:cxn ang="0">
              <a:pos x="0" y="958"/>
            </a:cxn>
            <a:cxn ang="0">
              <a:pos x="21" y="0"/>
            </a:cxn>
            <a:cxn ang="0">
              <a:pos x="21600" y="958"/>
            </a:cxn>
          </a:cxnLst>
          <a:rect l="0" t="0" r="0" b="0"/>
          <a:pathLst>
            <a:path w="21600" h="22517" fill="none">
              <a:moveTo>
                <a:pt x="20276" y="22517"/>
              </a:moveTo>
              <a:cubicBezTo>
                <a:pt x="8960" y="21831"/>
                <a:pt x="0" y="12441"/>
                <a:pt x="0" y="958"/>
              </a:cubicBezTo>
              <a:cubicBezTo>
                <a:pt x="0" y="635"/>
                <a:pt x="7" y="315"/>
                <a:pt x="21" y="0"/>
              </a:cubicBezTo>
            </a:path>
            <a:path w="21600" h="22517" stroke="0">
              <a:moveTo>
                <a:pt x="20276" y="22517"/>
              </a:moveTo>
              <a:cubicBezTo>
                <a:pt x="8960" y="21831"/>
                <a:pt x="0" y="12441"/>
                <a:pt x="0" y="958"/>
              </a:cubicBezTo>
              <a:cubicBezTo>
                <a:pt x="0" y="635"/>
                <a:pt x="7" y="315"/>
                <a:pt x="21" y="0"/>
              </a:cubicBezTo>
              <a:lnTo>
                <a:pt x="21600" y="958"/>
              </a:lnTo>
              <a:close/>
            </a:path>
          </a:pathLst>
        </a:custGeom>
        <a:noFill/>
        <a:ln w="9525" cap="flat" cmpd="sng">
          <a:solidFill>
            <a:srgbClr val="000000"/>
          </a:solidFill>
          <a:prstDash val="solid"/>
          <a:round/>
          <a:headEnd type="none" w="med" len="med"/>
          <a:tailEnd type="none" w="med" len="med"/>
        </a:ln>
      </xdr:spPr>
    </xdr:sp>
    <xdr:clientData/>
  </xdr:twoCellAnchor>
  <xdr:twoCellAnchor>
    <xdr:from>
      <xdr:col>4</xdr:col>
      <xdr:colOff>144780</xdr:colOff>
      <xdr:row>17</xdr:row>
      <xdr:rowOff>236220</xdr:rowOff>
    </xdr:from>
    <xdr:to>
      <xdr:col>4</xdr:col>
      <xdr:colOff>175260</xdr:colOff>
      <xdr:row>17</xdr:row>
      <xdr:rowOff>236220</xdr:rowOff>
    </xdr:to>
    <xdr:sp macro="" textlink="">
      <xdr:nvSpPr>
        <xdr:cNvPr id="1242894" name="Line 208">
          <a:extLst>
            <a:ext uri="{FF2B5EF4-FFF2-40B4-BE49-F238E27FC236}">
              <a16:creationId xmlns:a16="http://schemas.microsoft.com/office/drawing/2014/main" id="{00000000-0008-0000-5000-00000EF71200}"/>
            </a:ext>
          </a:extLst>
        </xdr:cNvPr>
        <xdr:cNvSpPr/>
      </xdr:nvSpPr>
      <xdr:spPr>
        <a:xfrm>
          <a:off x="1316355" y="4738370"/>
          <a:ext cx="3048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182880</xdr:colOff>
      <xdr:row>17</xdr:row>
      <xdr:rowOff>75565</xdr:rowOff>
    </xdr:from>
    <xdr:to>
      <xdr:col>4</xdr:col>
      <xdr:colOff>266700</xdr:colOff>
      <xdr:row>17</xdr:row>
      <xdr:rowOff>228600</xdr:rowOff>
    </xdr:to>
    <xdr:sp macro="" textlink="">
      <xdr:nvSpPr>
        <xdr:cNvPr id="1242895" name="Line 209">
          <a:extLst>
            <a:ext uri="{FF2B5EF4-FFF2-40B4-BE49-F238E27FC236}">
              <a16:creationId xmlns:a16="http://schemas.microsoft.com/office/drawing/2014/main" id="{00000000-0008-0000-5000-00000FF71200}"/>
            </a:ext>
          </a:extLst>
        </xdr:cNvPr>
        <xdr:cNvSpPr/>
      </xdr:nvSpPr>
      <xdr:spPr>
        <a:xfrm flipH="1">
          <a:off x="1354455" y="4577715"/>
          <a:ext cx="83820" cy="153035"/>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190500</xdr:colOff>
      <xdr:row>20</xdr:row>
      <xdr:rowOff>15240</xdr:rowOff>
    </xdr:from>
    <xdr:to>
      <xdr:col>1</xdr:col>
      <xdr:colOff>190500</xdr:colOff>
      <xdr:row>21</xdr:row>
      <xdr:rowOff>45720</xdr:rowOff>
    </xdr:to>
    <xdr:sp macro="" textlink="">
      <xdr:nvSpPr>
        <xdr:cNvPr id="1242896" name="Line 210">
          <a:extLst>
            <a:ext uri="{FF2B5EF4-FFF2-40B4-BE49-F238E27FC236}">
              <a16:creationId xmlns:a16="http://schemas.microsoft.com/office/drawing/2014/main" id="{00000000-0008-0000-5000-000010F71200}"/>
            </a:ext>
          </a:extLst>
        </xdr:cNvPr>
        <xdr:cNvSpPr/>
      </xdr:nvSpPr>
      <xdr:spPr>
        <a:xfrm>
          <a:off x="476250" y="5283200"/>
          <a:ext cx="0" cy="285750"/>
        </a:xfrm>
        <a:prstGeom prst="line">
          <a:avLst/>
        </a:prstGeom>
        <a:ln w="76200" cap="flat" cmpd="sng">
          <a:solidFill>
            <a:srgbClr val="000000"/>
          </a:solidFill>
          <a:prstDash val="solid"/>
          <a:round/>
          <a:headEnd type="none" w="med" len="med"/>
          <a:tailEnd type="none" w="med" len="med"/>
        </a:ln>
      </xdr:spPr>
    </xdr:sp>
    <xdr:clientData/>
  </xdr:twoCellAnchor>
  <xdr:twoCellAnchor>
    <xdr:from>
      <xdr:col>2</xdr:col>
      <xdr:colOff>0</xdr:colOff>
      <xdr:row>21</xdr:row>
      <xdr:rowOff>144780</xdr:rowOff>
    </xdr:from>
    <xdr:to>
      <xdr:col>2</xdr:col>
      <xdr:colOff>99060</xdr:colOff>
      <xdr:row>21</xdr:row>
      <xdr:rowOff>144780</xdr:rowOff>
    </xdr:to>
    <xdr:sp macro="" textlink="">
      <xdr:nvSpPr>
        <xdr:cNvPr id="1242897" name="Line 212">
          <a:extLst>
            <a:ext uri="{FF2B5EF4-FFF2-40B4-BE49-F238E27FC236}">
              <a16:creationId xmlns:a16="http://schemas.microsoft.com/office/drawing/2014/main" id="{00000000-0008-0000-5000-000011F71200}"/>
            </a:ext>
          </a:extLst>
        </xdr:cNvPr>
        <xdr:cNvSpPr/>
      </xdr:nvSpPr>
      <xdr:spPr>
        <a:xfrm>
          <a:off x="533400" y="5668010"/>
          <a:ext cx="99060" cy="0"/>
        </a:xfrm>
        <a:prstGeom prst="line">
          <a:avLst/>
        </a:prstGeom>
        <a:ln w="76200" cap="flat" cmpd="sng">
          <a:solidFill>
            <a:srgbClr val="000000"/>
          </a:solidFill>
          <a:prstDash val="solid"/>
          <a:round/>
          <a:headEnd type="none" w="med" len="med"/>
          <a:tailEnd type="none" w="med" len="med"/>
        </a:ln>
      </xdr:spPr>
    </xdr:sp>
    <xdr:clientData/>
  </xdr:twoCellAnchor>
  <xdr:twoCellAnchor>
    <xdr:from>
      <xdr:col>1</xdr:col>
      <xdr:colOff>190500</xdr:colOff>
      <xdr:row>21</xdr:row>
      <xdr:rowOff>45720</xdr:rowOff>
    </xdr:from>
    <xdr:to>
      <xdr:col>2</xdr:col>
      <xdr:colOff>15240</xdr:colOff>
      <xdr:row>21</xdr:row>
      <xdr:rowOff>144780</xdr:rowOff>
    </xdr:to>
    <xdr:sp macro="" textlink="">
      <xdr:nvSpPr>
        <xdr:cNvPr id="1242898" name="Arc 216">
          <a:extLst>
            <a:ext uri="{FF2B5EF4-FFF2-40B4-BE49-F238E27FC236}">
              <a16:creationId xmlns:a16="http://schemas.microsoft.com/office/drawing/2014/main" id="{00000000-0008-0000-5000-000012F71200}"/>
            </a:ext>
          </a:extLst>
        </xdr:cNvPr>
        <xdr:cNvSpPr/>
      </xdr:nvSpPr>
      <xdr:spPr>
        <a:xfrm>
          <a:off x="476250" y="5568950"/>
          <a:ext cx="72390" cy="99060"/>
        </a:xfrm>
        <a:custGeom>
          <a:avLst/>
          <a:gdLst/>
          <a:ahLst/>
          <a:cxnLst>
            <a:cxn ang="0">
              <a:pos x="20276" y="22517"/>
            </a:cxn>
            <a:cxn ang="0">
              <a:pos x="0" y="958"/>
            </a:cxn>
            <a:cxn ang="0">
              <a:pos x="21" y="0"/>
            </a:cxn>
            <a:cxn ang="0">
              <a:pos x="20276" y="22517"/>
            </a:cxn>
            <a:cxn ang="0">
              <a:pos x="0" y="958"/>
            </a:cxn>
            <a:cxn ang="0">
              <a:pos x="21" y="0"/>
            </a:cxn>
            <a:cxn ang="0">
              <a:pos x="21600" y="958"/>
            </a:cxn>
          </a:cxnLst>
          <a:rect l="0" t="0" r="0" b="0"/>
          <a:pathLst>
            <a:path w="21600" h="22517" fill="none">
              <a:moveTo>
                <a:pt x="20276" y="22517"/>
              </a:moveTo>
              <a:cubicBezTo>
                <a:pt x="8960" y="21831"/>
                <a:pt x="0" y="12441"/>
                <a:pt x="0" y="958"/>
              </a:cubicBezTo>
              <a:cubicBezTo>
                <a:pt x="0" y="635"/>
                <a:pt x="7" y="315"/>
                <a:pt x="21" y="0"/>
              </a:cubicBezTo>
            </a:path>
            <a:path w="21600" h="22517" stroke="0">
              <a:moveTo>
                <a:pt x="20276" y="22517"/>
              </a:moveTo>
              <a:cubicBezTo>
                <a:pt x="8960" y="21831"/>
                <a:pt x="0" y="12441"/>
                <a:pt x="0" y="958"/>
              </a:cubicBezTo>
              <a:cubicBezTo>
                <a:pt x="0" y="635"/>
                <a:pt x="7" y="315"/>
                <a:pt x="21" y="0"/>
              </a:cubicBezTo>
              <a:lnTo>
                <a:pt x="21600" y="958"/>
              </a:lnTo>
              <a:close/>
            </a:path>
          </a:pathLst>
        </a:custGeom>
        <a:noFill/>
        <a:ln w="76200" cap="flat" cmpd="sng">
          <a:solidFill>
            <a:srgbClr val="000000"/>
          </a:solidFill>
          <a:prstDash val="solid"/>
          <a:round/>
          <a:headEnd type="none" w="med" len="med"/>
          <a:tailEnd type="none" w="med" len="med"/>
        </a:ln>
      </xdr:spPr>
    </xdr:sp>
    <xdr:clientData/>
  </xdr:twoCellAnchor>
  <xdr:twoCellAnchor>
    <xdr:from>
      <xdr:col>1</xdr:col>
      <xdr:colOff>228600</xdr:colOff>
      <xdr:row>17</xdr:row>
      <xdr:rowOff>213360</xdr:rowOff>
    </xdr:from>
    <xdr:to>
      <xdr:col>4</xdr:col>
      <xdr:colOff>76200</xdr:colOff>
      <xdr:row>21</xdr:row>
      <xdr:rowOff>121920</xdr:rowOff>
    </xdr:to>
    <xdr:sp macro="" textlink="">
      <xdr:nvSpPr>
        <xdr:cNvPr id="1242899" name="Line 217">
          <a:extLst>
            <a:ext uri="{FF2B5EF4-FFF2-40B4-BE49-F238E27FC236}">
              <a16:creationId xmlns:a16="http://schemas.microsoft.com/office/drawing/2014/main" id="{00000000-0008-0000-5000-000013F71200}"/>
            </a:ext>
          </a:extLst>
        </xdr:cNvPr>
        <xdr:cNvSpPr/>
      </xdr:nvSpPr>
      <xdr:spPr>
        <a:xfrm flipV="1">
          <a:off x="514350" y="4715510"/>
          <a:ext cx="733425" cy="929640"/>
        </a:xfrm>
        <a:prstGeom prst="line">
          <a:avLst/>
        </a:prstGeom>
        <a:ln w="76200" cap="flat" cmpd="tri">
          <a:solidFill>
            <a:srgbClr val="000000"/>
          </a:solidFill>
          <a:prstDash val="sysDot"/>
          <a:round/>
          <a:headEnd type="none" w="med" len="med"/>
          <a:tailEnd type="none" w="med" len="med"/>
        </a:ln>
      </xdr:spPr>
    </xdr:sp>
    <xdr:clientData/>
  </xdr:twoCellAnchor>
  <xdr:twoCellAnchor>
    <xdr:from>
      <xdr:col>2</xdr:col>
      <xdr:colOff>99060</xdr:colOff>
      <xdr:row>22</xdr:row>
      <xdr:rowOff>45720</xdr:rowOff>
    </xdr:from>
    <xdr:to>
      <xdr:col>2</xdr:col>
      <xdr:colOff>99060</xdr:colOff>
      <xdr:row>23</xdr:row>
      <xdr:rowOff>190500</xdr:rowOff>
    </xdr:to>
    <xdr:sp macro="" textlink="">
      <xdr:nvSpPr>
        <xdr:cNvPr id="1242900" name="Line 218">
          <a:extLst>
            <a:ext uri="{FF2B5EF4-FFF2-40B4-BE49-F238E27FC236}">
              <a16:creationId xmlns:a16="http://schemas.microsoft.com/office/drawing/2014/main" id="{00000000-0008-0000-5000-000014F71200}"/>
            </a:ext>
          </a:extLst>
        </xdr:cNvPr>
        <xdr:cNvSpPr/>
      </xdr:nvSpPr>
      <xdr:spPr>
        <a:xfrm>
          <a:off x="632460" y="5824220"/>
          <a:ext cx="0" cy="40005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76200</xdr:colOff>
      <xdr:row>21</xdr:row>
      <xdr:rowOff>228600</xdr:rowOff>
    </xdr:from>
    <xdr:to>
      <xdr:col>8</xdr:col>
      <xdr:colOff>144780</xdr:colOff>
      <xdr:row>22</xdr:row>
      <xdr:rowOff>31115</xdr:rowOff>
    </xdr:to>
    <xdr:sp macro="" textlink="">
      <xdr:nvSpPr>
        <xdr:cNvPr id="1242901" name="Arc 222">
          <a:extLst>
            <a:ext uri="{FF2B5EF4-FFF2-40B4-BE49-F238E27FC236}">
              <a16:creationId xmlns:a16="http://schemas.microsoft.com/office/drawing/2014/main" id="{00000000-0008-0000-5000-000015F71200}"/>
            </a:ext>
          </a:extLst>
        </xdr:cNvPr>
        <xdr:cNvSpPr/>
      </xdr:nvSpPr>
      <xdr:spPr>
        <a:xfrm flipV="1">
          <a:off x="2543175" y="5751830"/>
          <a:ext cx="68580" cy="57785"/>
        </a:xfrm>
        <a:custGeom>
          <a:avLst/>
          <a:gdLst/>
          <a:ahLst/>
          <a:cxnLst>
            <a:cxn ang="0">
              <a:pos x="592" y="26625"/>
            </a:cxn>
            <a:cxn ang="0">
              <a:pos x="-1" y="21600"/>
            </a:cxn>
            <a:cxn ang="0">
              <a:pos x="21599" y="0"/>
            </a:cxn>
            <a:cxn ang="0">
              <a:pos x="41342" y="12824"/>
            </a:cxn>
            <a:cxn ang="0">
              <a:pos x="592" y="26625"/>
            </a:cxn>
            <a:cxn ang="0">
              <a:pos x="-1" y="21600"/>
            </a:cxn>
            <a:cxn ang="0">
              <a:pos x="21599" y="0"/>
            </a:cxn>
            <a:cxn ang="0">
              <a:pos x="41342" y="12824"/>
            </a:cxn>
            <a:cxn ang="0">
              <a:pos x="21600" y="21600"/>
            </a:cxn>
          </a:cxnLst>
          <a:rect l="0" t="0" r="0" b="0"/>
          <a:pathLst>
            <a:path w="41340" h="26625" fill="none">
              <a:moveTo>
                <a:pt x="592" y="26625"/>
              </a:moveTo>
              <a:cubicBezTo>
                <a:pt x="203" y="25016"/>
                <a:pt x="-1" y="23332"/>
                <a:pt x="-1" y="21600"/>
              </a:cubicBezTo>
              <a:cubicBezTo>
                <a:pt x="-1" y="9671"/>
                <a:pt x="9670" y="0"/>
                <a:pt x="21599" y="0"/>
              </a:cubicBezTo>
              <a:cubicBezTo>
                <a:pt x="30405" y="0"/>
                <a:pt x="37980" y="5269"/>
                <a:pt x="41342" y="12824"/>
              </a:cubicBezTo>
            </a:path>
            <a:path w="41340" h="26625" stroke="0">
              <a:moveTo>
                <a:pt x="592" y="26625"/>
              </a:moveTo>
              <a:cubicBezTo>
                <a:pt x="203" y="25016"/>
                <a:pt x="-1" y="23332"/>
                <a:pt x="-1" y="21600"/>
              </a:cubicBezTo>
              <a:cubicBezTo>
                <a:pt x="-1" y="9671"/>
                <a:pt x="9670" y="0"/>
                <a:pt x="21599" y="0"/>
              </a:cubicBezTo>
              <a:cubicBezTo>
                <a:pt x="30405" y="0"/>
                <a:pt x="37980" y="5269"/>
                <a:pt x="41342" y="12824"/>
              </a:cubicBezTo>
              <a:lnTo>
                <a:pt x="21600" y="21600"/>
              </a:lnTo>
              <a:close/>
            </a:path>
          </a:pathLst>
        </a:custGeom>
        <a:noFill/>
        <a:ln w="38100" cap="flat" cmpd="sng">
          <a:solidFill>
            <a:srgbClr val="000000"/>
          </a:solidFill>
          <a:prstDash val="solid"/>
          <a:round/>
          <a:headEnd type="none" w="med" len="med"/>
          <a:tailEnd type="none" w="med" len="med"/>
        </a:ln>
      </xdr:spPr>
    </xdr:sp>
    <xdr:clientData/>
  </xdr:twoCellAnchor>
  <xdr:twoCellAnchor>
    <xdr:from>
      <xdr:col>8</xdr:col>
      <xdr:colOff>83820</xdr:colOff>
      <xdr:row>22</xdr:row>
      <xdr:rowOff>45720</xdr:rowOff>
    </xdr:from>
    <xdr:to>
      <xdr:col>8</xdr:col>
      <xdr:colOff>83820</xdr:colOff>
      <xdr:row>23</xdr:row>
      <xdr:rowOff>190500</xdr:rowOff>
    </xdr:to>
    <xdr:sp macro="" textlink="">
      <xdr:nvSpPr>
        <xdr:cNvPr id="1242902" name="Line 223">
          <a:extLst>
            <a:ext uri="{FF2B5EF4-FFF2-40B4-BE49-F238E27FC236}">
              <a16:creationId xmlns:a16="http://schemas.microsoft.com/office/drawing/2014/main" id="{00000000-0008-0000-5000-000016F71200}"/>
            </a:ext>
          </a:extLst>
        </xdr:cNvPr>
        <xdr:cNvSpPr/>
      </xdr:nvSpPr>
      <xdr:spPr>
        <a:xfrm>
          <a:off x="2550795" y="5824220"/>
          <a:ext cx="0" cy="400050"/>
        </a:xfrm>
        <a:prstGeom prst="line">
          <a:avLst/>
        </a:prstGeom>
        <a:ln w="9525" cap="flat" cmpd="sng">
          <a:solidFill>
            <a:srgbClr val="000000"/>
          </a:solidFill>
          <a:prstDash val="solid"/>
          <a:round/>
          <a:headEnd type="none" w="med" len="med"/>
          <a:tailEnd type="none" w="med" len="med"/>
        </a:ln>
      </xdr:spPr>
    </xdr:sp>
    <xdr:clientData/>
  </xdr:twoCellAnchor>
  <xdr:twoCellAnchor>
    <xdr:from>
      <xdr:col>6</xdr:col>
      <xdr:colOff>0</xdr:colOff>
      <xdr:row>23</xdr:row>
      <xdr:rowOff>137795</xdr:rowOff>
    </xdr:from>
    <xdr:to>
      <xdr:col>8</xdr:col>
      <xdr:colOff>76200</xdr:colOff>
      <xdr:row>23</xdr:row>
      <xdr:rowOff>137795</xdr:rowOff>
    </xdr:to>
    <xdr:sp macro="" textlink="">
      <xdr:nvSpPr>
        <xdr:cNvPr id="1242903" name="Line 224">
          <a:extLst>
            <a:ext uri="{FF2B5EF4-FFF2-40B4-BE49-F238E27FC236}">
              <a16:creationId xmlns:a16="http://schemas.microsoft.com/office/drawing/2014/main" id="{00000000-0008-0000-5000-000017F71200}"/>
            </a:ext>
          </a:extLst>
        </xdr:cNvPr>
        <xdr:cNvSpPr/>
      </xdr:nvSpPr>
      <xdr:spPr>
        <a:xfrm>
          <a:off x="1895475" y="6171565"/>
          <a:ext cx="64770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2</xdr:col>
      <xdr:colOff>99060</xdr:colOff>
      <xdr:row>23</xdr:row>
      <xdr:rowOff>121920</xdr:rowOff>
    </xdr:from>
    <xdr:to>
      <xdr:col>4</xdr:col>
      <xdr:colOff>30480</xdr:colOff>
      <xdr:row>23</xdr:row>
      <xdr:rowOff>121920</xdr:rowOff>
    </xdr:to>
    <xdr:sp macro="" textlink="">
      <xdr:nvSpPr>
        <xdr:cNvPr id="1242904" name="Line 225">
          <a:extLst>
            <a:ext uri="{FF2B5EF4-FFF2-40B4-BE49-F238E27FC236}">
              <a16:creationId xmlns:a16="http://schemas.microsoft.com/office/drawing/2014/main" id="{00000000-0008-0000-5000-000018F71200}"/>
            </a:ext>
          </a:extLst>
        </xdr:cNvPr>
        <xdr:cNvSpPr/>
      </xdr:nvSpPr>
      <xdr:spPr>
        <a:xfrm flipH="1">
          <a:off x="632460" y="6155690"/>
          <a:ext cx="569595" cy="0"/>
        </a:xfrm>
        <a:prstGeom prst="line">
          <a:avLst/>
        </a:prstGeom>
        <a:ln w="9525" cap="flat" cmpd="sng">
          <a:solidFill>
            <a:srgbClr val="000000"/>
          </a:solidFill>
          <a:prstDash val="solid"/>
          <a:round/>
          <a:headEnd type="none" w="med" len="med"/>
          <a:tailEnd type="arrow" w="sm" len="sm"/>
        </a:ln>
      </xdr:spPr>
    </xdr:sp>
    <xdr:clientData/>
  </xdr:twoCellAnchor>
  <xdr:twoCellAnchor>
    <xdr:from>
      <xdr:col>8</xdr:col>
      <xdr:colOff>274320</xdr:colOff>
      <xdr:row>21</xdr:row>
      <xdr:rowOff>182245</xdr:rowOff>
    </xdr:from>
    <xdr:to>
      <xdr:col>11</xdr:col>
      <xdr:colOff>15240</xdr:colOff>
      <xdr:row>21</xdr:row>
      <xdr:rowOff>182245</xdr:rowOff>
    </xdr:to>
    <xdr:sp macro="" textlink="">
      <xdr:nvSpPr>
        <xdr:cNvPr id="1242905" name="Line 226">
          <a:extLst>
            <a:ext uri="{FF2B5EF4-FFF2-40B4-BE49-F238E27FC236}">
              <a16:creationId xmlns:a16="http://schemas.microsoft.com/office/drawing/2014/main" id="{00000000-0008-0000-5000-000019F71200}"/>
            </a:ext>
          </a:extLst>
        </xdr:cNvPr>
        <xdr:cNvSpPr/>
      </xdr:nvSpPr>
      <xdr:spPr>
        <a:xfrm>
          <a:off x="2741295" y="5705475"/>
          <a:ext cx="59817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220980</xdr:colOff>
      <xdr:row>17</xdr:row>
      <xdr:rowOff>175260</xdr:rowOff>
    </xdr:from>
    <xdr:to>
      <xdr:col>13</xdr:col>
      <xdr:colOff>281940</xdr:colOff>
      <xdr:row>17</xdr:row>
      <xdr:rowOff>175260</xdr:rowOff>
    </xdr:to>
    <xdr:sp macro="" textlink="">
      <xdr:nvSpPr>
        <xdr:cNvPr id="1242906" name="Line 227">
          <a:extLst>
            <a:ext uri="{FF2B5EF4-FFF2-40B4-BE49-F238E27FC236}">
              <a16:creationId xmlns:a16="http://schemas.microsoft.com/office/drawing/2014/main" id="{00000000-0008-0000-5000-00001AF71200}"/>
            </a:ext>
          </a:extLst>
        </xdr:cNvPr>
        <xdr:cNvSpPr/>
      </xdr:nvSpPr>
      <xdr:spPr>
        <a:xfrm>
          <a:off x="3545205" y="4677410"/>
          <a:ext cx="5943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198120</xdr:colOff>
      <xdr:row>21</xdr:row>
      <xdr:rowOff>0</xdr:rowOff>
    </xdr:from>
    <xdr:to>
      <xdr:col>11</xdr:col>
      <xdr:colOff>60960</xdr:colOff>
      <xdr:row>21</xdr:row>
      <xdr:rowOff>182245</xdr:rowOff>
    </xdr:to>
    <xdr:sp macro="" textlink="">
      <xdr:nvSpPr>
        <xdr:cNvPr id="1242907" name="Line 228">
          <a:extLst>
            <a:ext uri="{FF2B5EF4-FFF2-40B4-BE49-F238E27FC236}">
              <a16:creationId xmlns:a16="http://schemas.microsoft.com/office/drawing/2014/main" id="{00000000-0008-0000-5000-00001BF71200}"/>
            </a:ext>
          </a:extLst>
        </xdr:cNvPr>
        <xdr:cNvSpPr/>
      </xdr:nvSpPr>
      <xdr:spPr>
        <a:xfrm flipH="1">
          <a:off x="3236595" y="5523230"/>
          <a:ext cx="148590" cy="182245"/>
        </a:xfrm>
        <a:prstGeom prst="line">
          <a:avLst/>
        </a:prstGeom>
        <a:ln w="9525" cap="flat" cmpd="sng">
          <a:solidFill>
            <a:srgbClr val="000000"/>
          </a:solidFill>
          <a:prstDash val="solid"/>
          <a:round/>
          <a:headEnd type="none" w="med" len="med"/>
          <a:tailEnd type="arrow" w="sm" len="sm"/>
        </a:ln>
      </xdr:spPr>
    </xdr:sp>
    <xdr:clientData/>
  </xdr:twoCellAnchor>
  <xdr:twoCellAnchor>
    <xdr:from>
      <xdr:col>11</xdr:col>
      <xdr:colOff>259080</xdr:colOff>
      <xdr:row>17</xdr:row>
      <xdr:rowOff>175260</xdr:rowOff>
    </xdr:from>
    <xdr:to>
      <xdr:col>13</xdr:col>
      <xdr:colOff>175260</xdr:colOff>
      <xdr:row>20</xdr:row>
      <xdr:rowOff>0</xdr:rowOff>
    </xdr:to>
    <xdr:sp macro="" textlink="">
      <xdr:nvSpPr>
        <xdr:cNvPr id="1242908" name="Line 229">
          <a:extLst>
            <a:ext uri="{FF2B5EF4-FFF2-40B4-BE49-F238E27FC236}">
              <a16:creationId xmlns:a16="http://schemas.microsoft.com/office/drawing/2014/main" id="{00000000-0008-0000-5000-00001CF71200}"/>
            </a:ext>
          </a:extLst>
        </xdr:cNvPr>
        <xdr:cNvSpPr/>
      </xdr:nvSpPr>
      <xdr:spPr>
        <a:xfrm flipV="1">
          <a:off x="3583305" y="4677410"/>
          <a:ext cx="449580" cy="590550"/>
        </a:xfrm>
        <a:prstGeom prst="line">
          <a:avLst/>
        </a:prstGeom>
        <a:ln w="9525" cap="flat" cmpd="sng">
          <a:solidFill>
            <a:srgbClr val="000000"/>
          </a:solidFill>
          <a:prstDash val="solid"/>
          <a:round/>
          <a:headEnd type="none" w="med" len="med"/>
          <a:tailEnd type="arrow" w="sm" len="sm"/>
        </a:ln>
      </xdr:spPr>
    </xdr:sp>
    <xdr:clientData/>
  </xdr:twoCellAnchor>
  <xdr:twoCellAnchor>
    <xdr:from>
      <xdr:col>2</xdr:col>
      <xdr:colOff>91440</xdr:colOff>
      <xdr:row>19</xdr:row>
      <xdr:rowOff>137795</xdr:rowOff>
    </xdr:from>
    <xdr:to>
      <xdr:col>3</xdr:col>
      <xdr:colOff>251460</xdr:colOff>
      <xdr:row>19</xdr:row>
      <xdr:rowOff>137795</xdr:rowOff>
    </xdr:to>
    <xdr:sp macro="" textlink="">
      <xdr:nvSpPr>
        <xdr:cNvPr id="1242909" name="Line 232">
          <a:extLst>
            <a:ext uri="{FF2B5EF4-FFF2-40B4-BE49-F238E27FC236}">
              <a16:creationId xmlns:a16="http://schemas.microsoft.com/office/drawing/2014/main" id="{00000000-0008-0000-5000-00001DF71200}"/>
            </a:ext>
          </a:extLst>
        </xdr:cNvPr>
        <xdr:cNvSpPr/>
      </xdr:nvSpPr>
      <xdr:spPr>
        <a:xfrm flipH="1" flipV="1">
          <a:off x="624840" y="5150485"/>
          <a:ext cx="512445" cy="0"/>
        </a:xfrm>
        <a:prstGeom prst="line">
          <a:avLst/>
        </a:prstGeom>
        <a:ln w="9525" cap="flat" cmpd="sng">
          <a:solidFill>
            <a:srgbClr val="000000"/>
          </a:solidFill>
          <a:prstDash val="solid"/>
          <a:round/>
          <a:headEnd type="oval" w="sm" len="sm"/>
          <a:tailEnd type="arrow" w="sm" len="sm"/>
        </a:ln>
      </xdr:spPr>
    </xdr:sp>
    <xdr:clientData/>
  </xdr:twoCellAnchor>
  <xdr:twoCellAnchor>
    <xdr:from>
      <xdr:col>1</xdr:col>
      <xdr:colOff>83820</xdr:colOff>
      <xdr:row>19</xdr:row>
      <xdr:rowOff>137795</xdr:rowOff>
    </xdr:from>
    <xdr:to>
      <xdr:col>2</xdr:col>
      <xdr:colOff>15240</xdr:colOff>
      <xdr:row>19</xdr:row>
      <xdr:rowOff>137795</xdr:rowOff>
    </xdr:to>
    <xdr:sp macro="" textlink="">
      <xdr:nvSpPr>
        <xdr:cNvPr id="1242910" name="Line 233">
          <a:extLst>
            <a:ext uri="{FF2B5EF4-FFF2-40B4-BE49-F238E27FC236}">
              <a16:creationId xmlns:a16="http://schemas.microsoft.com/office/drawing/2014/main" id="{00000000-0008-0000-5000-00001EF71200}"/>
            </a:ext>
          </a:extLst>
        </xdr:cNvPr>
        <xdr:cNvSpPr/>
      </xdr:nvSpPr>
      <xdr:spPr>
        <a:xfrm>
          <a:off x="369570" y="5150485"/>
          <a:ext cx="17907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6</xdr:col>
      <xdr:colOff>144780</xdr:colOff>
      <xdr:row>5</xdr:row>
      <xdr:rowOff>152400</xdr:rowOff>
    </xdr:from>
    <xdr:to>
      <xdr:col>7</xdr:col>
      <xdr:colOff>30480</xdr:colOff>
      <xdr:row>6</xdr:row>
      <xdr:rowOff>98425</xdr:rowOff>
    </xdr:to>
    <xdr:sp macro="" textlink="">
      <xdr:nvSpPr>
        <xdr:cNvPr id="1242911" name="Line 234">
          <a:extLst>
            <a:ext uri="{FF2B5EF4-FFF2-40B4-BE49-F238E27FC236}">
              <a16:creationId xmlns:a16="http://schemas.microsoft.com/office/drawing/2014/main" id="{00000000-0008-0000-5000-00001FF71200}"/>
            </a:ext>
          </a:extLst>
        </xdr:cNvPr>
        <xdr:cNvSpPr/>
      </xdr:nvSpPr>
      <xdr:spPr>
        <a:xfrm>
          <a:off x="2040255" y="1598930"/>
          <a:ext cx="171450" cy="201295"/>
        </a:xfrm>
        <a:prstGeom prst="line">
          <a:avLst/>
        </a:prstGeom>
        <a:ln w="38100" cap="flat" cmpd="dbl">
          <a:solidFill>
            <a:srgbClr val="000000"/>
          </a:solidFill>
          <a:prstDash val="solid"/>
          <a:round/>
          <a:headEnd type="none" w="med" len="med"/>
          <a:tailEnd type="none" w="med" len="med"/>
        </a:ln>
      </xdr:spPr>
    </xdr:sp>
    <xdr:clientData/>
  </xdr:twoCellAnchor>
  <xdr:twoCellAnchor>
    <xdr:from>
      <xdr:col>3</xdr:col>
      <xdr:colOff>251460</xdr:colOff>
      <xdr:row>5</xdr:row>
      <xdr:rowOff>213360</xdr:rowOff>
    </xdr:from>
    <xdr:to>
      <xdr:col>4</xdr:col>
      <xdr:colOff>274320</xdr:colOff>
      <xdr:row>7</xdr:row>
      <xdr:rowOff>52705</xdr:rowOff>
    </xdr:to>
    <xdr:sp macro="" textlink="">
      <xdr:nvSpPr>
        <xdr:cNvPr id="1242912" name="Line 235">
          <a:extLst>
            <a:ext uri="{FF2B5EF4-FFF2-40B4-BE49-F238E27FC236}">
              <a16:creationId xmlns:a16="http://schemas.microsoft.com/office/drawing/2014/main" id="{00000000-0008-0000-5000-000020F71200}"/>
            </a:ext>
          </a:extLst>
        </xdr:cNvPr>
        <xdr:cNvSpPr/>
      </xdr:nvSpPr>
      <xdr:spPr>
        <a:xfrm>
          <a:off x="1137285" y="1659890"/>
          <a:ext cx="308610" cy="349885"/>
        </a:xfrm>
        <a:prstGeom prst="line">
          <a:avLst/>
        </a:prstGeom>
        <a:ln w="38100" cap="flat" cmpd="dbl">
          <a:solidFill>
            <a:srgbClr val="000000"/>
          </a:solidFill>
          <a:prstDash val="solid"/>
          <a:round/>
          <a:headEnd type="none" w="med" len="med"/>
          <a:tailEnd type="none" w="med" len="med"/>
        </a:ln>
      </xdr:spPr>
    </xdr:sp>
    <xdr:clientData/>
  </xdr:twoCellAnchor>
  <xdr:twoCellAnchor>
    <xdr:from>
      <xdr:col>4</xdr:col>
      <xdr:colOff>137160</xdr:colOff>
      <xdr:row>5</xdr:row>
      <xdr:rowOff>52705</xdr:rowOff>
    </xdr:from>
    <xdr:to>
      <xdr:col>5</xdr:col>
      <xdr:colOff>68580</xdr:colOff>
      <xdr:row>6</xdr:row>
      <xdr:rowOff>45720</xdr:rowOff>
    </xdr:to>
    <xdr:sp macro="" textlink="">
      <xdr:nvSpPr>
        <xdr:cNvPr id="1242913" name="Line 236">
          <a:extLst>
            <a:ext uri="{FF2B5EF4-FFF2-40B4-BE49-F238E27FC236}">
              <a16:creationId xmlns:a16="http://schemas.microsoft.com/office/drawing/2014/main" id="{00000000-0008-0000-5000-000021F71200}"/>
            </a:ext>
          </a:extLst>
        </xdr:cNvPr>
        <xdr:cNvSpPr/>
      </xdr:nvSpPr>
      <xdr:spPr>
        <a:xfrm>
          <a:off x="1308735" y="1499235"/>
          <a:ext cx="217170" cy="248285"/>
        </a:xfrm>
        <a:prstGeom prst="line">
          <a:avLst/>
        </a:prstGeom>
        <a:ln w="38100" cap="flat" cmpd="dbl">
          <a:solidFill>
            <a:srgbClr val="000000"/>
          </a:solidFill>
          <a:prstDash val="solid"/>
          <a:round/>
          <a:headEnd type="none" w="med" len="med"/>
          <a:tailEnd type="none" w="med" len="med"/>
        </a:ln>
      </xdr:spPr>
    </xdr:sp>
    <xdr:clientData/>
  </xdr:twoCellAnchor>
  <xdr:twoCellAnchor>
    <xdr:from>
      <xdr:col>5</xdr:col>
      <xdr:colOff>236220</xdr:colOff>
      <xdr:row>5</xdr:row>
      <xdr:rowOff>106680</xdr:rowOff>
    </xdr:from>
    <xdr:to>
      <xdr:col>7</xdr:col>
      <xdr:colOff>45720</xdr:colOff>
      <xdr:row>7</xdr:row>
      <xdr:rowOff>182245</xdr:rowOff>
    </xdr:to>
    <xdr:sp macro="" textlink="">
      <xdr:nvSpPr>
        <xdr:cNvPr id="1242914" name="Line 237">
          <a:extLst>
            <a:ext uri="{FF2B5EF4-FFF2-40B4-BE49-F238E27FC236}">
              <a16:creationId xmlns:a16="http://schemas.microsoft.com/office/drawing/2014/main" id="{00000000-0008-0000-5000-000022F71200}"/>
            </a:ext>
          </a:extLst>
        </xdr:cNvPr>
        <xdr:cNvSpPr/>
      </xdr:nvSpPr>
      <xdr:spPr>
        <a:xfrm>
          <a:off x="1693545" y="1553210"/>
          <a:ext cx="533400" cy="586105"/>
        </a:xfrm>
        <a:prstGeom prst="line">
          <a:avLst/>
        </a:prstGeom>
        <a:ln w="38100" cap="flat" cmpd="dbl">
          <a:solidFill>
            <a:srgbClr val="000000"/>
          </a:solidFill>
          <a:prstDash val="solid"/>
          <a:round/>
          <a:headEnd type="none" w="med" len="med"/>
          <a:tailEnd type="none" w="med" len="med"/>
        </a:ln>
      </xdr:spPr>
    </xdr:sp>
    <xdr:clientData/>
  </xdr:twoCellAnchor>
  <xdr:twoCellAnchor>
    <xdr:from>
      <xdr:col>6</xdr:col>
      <xdr:colOff>7620</xdr:colOff>
      <xdr:row>7</xdr:row>
      <xdr:rowOff>159385</xdr:rowOff>
    </xdr:from>
    <xdr:to>
      <xdr:col>7</xdr:col>
      <xdr:colOff>7620</xdr:colOff>
      <xdr:row>8</xdr:row>
      <xdr:rowOff>221615</xdr:rowOff>
    </xdr:to>
    <xdr:sp macro="" textlink="">
      <xdr:nvSpPr>
        <xdr:cNvPr id="1242915" name="Line 238">
          <a:extLst>
            <a:ext uri="{FF2B5EF4-FFF2-40B4-BE49-F238E27FC236}">
              <a16:creationId xmlns:a16="http://schemas.microsoft.com/office/drawing/2014/main" id="{00000000-0008-0000-5000-000023F71200}"/>
            </a:ext>
          </a:extLst>
        </xdr:cNvPr>
        <xdr:cNvSpPr/>
      </xdr:nvSpPr>
      <xdr:spPr>
        <a:xfrm>
          <a:off x="1903095" y="2116455"/>
          <a:ext cx="285750" cy="317500"/>
        </a:xfrm>
        <a:prstGeom prst="line">
          <a:avLst/>
        </a:prstGeom>
        <a:ln w="38100" cap="flat" cmpd="dbl">
          <a:solidFill>
            <a:srgbClr val="000000"/>
          </a:solidFill>
          <a:prstDash val="solid"/>
          <a:round/>
          <a:headEnd type="none" w="med" len="med"/>
          <a:tailEnd type="none" w="med" len="med"/>
        </a:ln>
      </xdr:spPr>
    </xdr:sp>
    <xdr:clientData/>
  </xdr:twoCellAnchor>
  <xdr:twoCellAnchor>
    <xdr:from>
      <xdr:col>5</xdr:col>
      <xdr:colOff>144780</xdr:colOff>
      <xdr:row>8</xdr:row>
      <xdr:rowOff>8255</xdr:rowOff>
    </xdr:from>
    <xdr:to>
      <xdr:col>5</xdr:col>
      <xdr:colOff>312420</xdr:colOff>
      <xdr:row>8</xdr:row>
      <xdr:rowOff>198120</xdr:rowOff>
    </xdr:to>
    <xdr:sp macro="" textlink="">
      <xdr:nvSpPr>
        <xdr:cNvPr id="1242916" name="Line 239">
          <a:extLst>
            <a:ext uri="{FF2B5EF4-FFF2-40B4-BE49-F238E27FC236}">
              <a16:creationId xmlns:a16="http://schemas.microsoft.com/office/drawing/2014/main" id="{00000000-0008-0000-5000-000024F71200}"/>
            </a:ext>
          </a:extLst>
        </xdr:cNvPr>
        <xdr:cNvSpPr/>
      </xdr:nvSpPr>
      <xdr:spPr>
        <a:xfrm>
          <a:off x="1602105" y="2220595"/>
          <a:ext cx="167640" cy="189865"/>
        </a:xfrm>
        <a:prstGeom prst="line">
          <a:avLst/>
        </a:prstGeom>
        <a:ln w="38100" cap="flat" cmpd="dbl">
          <a:solidFill>
            <a:srgbClr val="000000"/>
          </a:solidFill>
          <a:prstDash val="solid"/>
          <a:round/>
          <a:headEnd type="none" w="med" len="med"/>
          <a:tailEnd type="none" w="med" len="med"/>
        </a:ln>
      </xdr:spPr>
    </xdr:sp>
    <xdr:clientData/>
  </xdr:twoCellAnchor>
  <xdr:twoCellAnchor>
    <xdr:from>
      <xdr:col>3</xdr:col>
      <xdr:colOff>236220</xdr:colOff>
      <xdr:row>7</xdr:row>
      <xdr:rowOff>45720</xdr:rowOff>
    </xdr:from>
    <xdr:to>
      <xdr:col>4</xdr:col>
      <xdr:colOff>99060</xdr:colOff>
      <xdr:row>7</xdr:row>
      <xdr:rowOff>213360</xdr:rowOff>
    </xdr:to>
    <xdr:sp macro="" textlink="">
      <xdr:nvSpPr>
        <xdr:cNvPr id="1242917" name="Line 240">
          <a:extLst>
            <a:ext uri="{FF2B5EF4-FFF2-40B4-BE49-F238E27FC236}">
              <a16:creationId xmlns:a16="http://schemas.microsoft.com/office/drawing/2014/main" id="{00000000-0008-0000-5000-000025F71200}"/>
            </a:ext>
          </a:extLst>
        </xdr:cNvPr>
        <xdr:cNvSpPr/>
      </xdr:nvSpPr>
      <xdr:spPr>
        <a:xfrm>
          <a:off x="1122045" y="2002790"/>
          <a:ext cx="148590" cy="167640"/>
        </a:xfrm>
        <a:prstGeom prst="line">
          <a:avLst/>
        </a:prstGeom>
        <a:ln w="38100" cap="flat" cmpd="dbl">
          <a:solidFill>
            <a:srgbClr val="000000"/>
          </a:solidFill>
          <a:prstDash val="solid"/>
          <a:round/>
          <a:headEnd type="none" w="med" len="med"/>
          <a:tailEnd type="none" w="med" len="med"/>
        </a:ln>
      </xdr:spPr>
    </xdr:sp>
    <xdr:clientData/>
  </xdr:twoCellAnchor>
  <xdr:twoCellAnchor>
    <xdr:from>
      <xdr:col>4</xdr:col>
      <xdr:colOff>205740</xdr:colOff>
      <xdr:row>8</xdr:row>
      <xdr:rowOff>106680</xdr:rowOff>
    </xdr:from>
    <xdr:to>
      <xdr:col>5</xdr:col>
      <xdr:colOff>30480</xdr:colOff>
      <xdr:row>8</xdr:row>
      <xdr:rowOff>228600</xdr:rowOff>
    </xdr:to>
    <xdr:sp macro="" textlink="">
      <xdr:nvSpPr>
        <xdr:cNvPr id="1242918" name="Line 241">
          <a:extLst>
            <a:ext uri="{FF2B5EF4-FFF2-40B4-BE49-F238E27FC236}">
              <a16:creationId xmlns:a16="http://schemas.microsoft.com/office/drawing/2014/main" id="{00000000-0008-0000-5000-000026F71200}"/>
            </a:ext>
          </a:extLst>
        </xdr:cNvPr>
        <xdr:cNvSpPr/>
      </xdr:nvSpPr>
      <xdr:spPr>
        <a:xfrm>
          <a:off x="1377315" y="2319020"/>
          <a:ext cx="110490" cy="121920"/>
        </a:xfrm>
        <a:prstGeom prst="line">
          <a:avLst/>
        </a:prstGeom>
        <a:ln w="38100" cap="flat" cmpd="dbl">
          <a:solidFill>
            <a:srgbClr val="000000"/>
          </a:solidFill>
          <a:prstDash val="solid"/>
          <a:round/>
          <a:headEnd type="none" w="med" len="med"/>
          <a:tailEnd type="none" w="med" len="med"/>
        </a:ln>
      </xdr:spPr>
    </xdr:sp>
    <xdr:clientData/>
  </xdr:twoCellAnchor>
  <xdr:twoCellAnchor>
    <xdr:from>
      <xdr:col>16</xdr:col>
      <xdr:colOff>243840</xdr:colOff>
      <xdr:row>5</xdr:row>
      <xdr:rowOff>114935</xdr:rowOff>
    </xdr:from>
    <xdr:to>
      <xdr:col>18</xdr:col>
      <xdr:colOff>30480</xdr:colOff>
      <xdr:row>7</xdr:row>
      <xdr:rowOff>159385</xdr:rowOff>
    </xdr:to>
    <xdr:sp macro="" textlink="">
      <xdr:nvSpPr>
        <xdr:cNvPr id="1242919" name="Line 242">
          <a:extLst>
            <a:ext uri="{FF2B5EF4-FFF2-40B4-BE49-F238E27FC236}">
              <a16:creationId xmlns:a16="http://schemas.microsoft.com/office/drawing/2014/main" id="{00000000-0008-0000-5000-000027F71200}"/>
            </a:ext>
          </a:extLst>
        </xdr:cNvPr>
        <xdr:cNvSpPr/>
      </xdr:nvSpPr>
      <xdr:spPr>
        <a:xfrm>
          <a:off x="5025390" y="1561465"/>
          <a:ext cx="510540" cy="554990"/>
        </a:xfrm>
        <a:prstGeom prst="line">
          <a:avLst/>
        </a:prstGeom>
        <a:ln w="38100" cap="flat" cmpd="dbl">
          <a:solidFill>
            <a:srgbClr val="000000"/>
          </a:solidFill>
          <a:prstDash val="solid"/>
          <a:round/>
          <a:headEnd type="none" w="med" len="med"/>
          <a:tailEnd type="none" w="med" len="med"/>
        </a:ln>
      </xdr:spPr>
    </xdr:sp>
    <xdr:clientData/>
  </xdr:twoCellAnchor>
  <xdr:twoCellAnchor>
    <xdr:from>
      <xdr:col>17</xdr:col>
      <xdr:colOff>190500</xdr:colOff>
      <xdr:row>5</xdr:row>
      <xdr:rowOff>159385</xdr:rowOff>
    </xdr:from>
    <xdr:to>
      <xdr:col>18</xdr:col>
      <xdr:colOff>15240</xdr:colOff>
      <xdr:row>6</xdr:row>
      <xdr:rowOff>38100</xdr:rowOff>
    </xdr:to>
    <xdr:sp macro="" textlink="">
      <xdr:nvSpPr>
        <xdr:cNvPr id="1242920" name="Line 243">
          <a:extLst>
            <a:ext uri="{FF2B5EF4-FFF2-40B4-BE49-F238E27FC236}">
              <a16:creationId xmlns:a16="http://schemas.microsoft.com/office/drawing/2014/main" id="{00000000-0008-0000-5000-000028F71200}"/>
            </a:ext>
          </a:extLst>
        </xdr:cNvPr>
        <xdr:cNvSpPr/>
      </xdr:nvSpPr>
      <xdr:spPr>
        <a:xfrm>
          <a:off x="5410200" y="1605915"/>
          <a:ext cx="110490" cy="133985"/>
        </a:xfrm>
        <a:prstGeom prst="line">
          <a:avLst/>
        </a:prstGeom>
        <a:ln w="38100" cap="flat" cmpd="dbl">
          <a:solidFill>
            <a:srgbClr val="000000"/>
          </a:solidFill>
          <a:prstDash val="solid"/>
          <a:round/>
          <a:headEnd type="none" w="med" len="med"/>
          <a:tailEnd type="none" w="med" len="med"/>
        </a:ln>
      </xdr:spPr>
    </xdr:sp>
    <xdr:clientData/>
  </xdr:twoCellAnchor>
  <xdr:twoCellAnchor>
    <xdr:from>
      <xdr:col>15</xdr:col>
      <xdr:colOff>121920</xdr:colOff>
      <xdr:row>5</xdr:row>
      <xdr:rowOff>83820</xdr:rowOff>
    </xdr:from>
    <xdr:to>
      <xdr:col>16</xdr:col>
      <xdr:colOff>198120</xdr:colOff>
      <xdr:row>7</xdr:row>
      <xdr:rowOff>0</xdr:rowOff>
    </xdr:to>
    <xdr:sp macro="" textlink="">
      <xdr:nvSpPr>
        <xdr:cNvPr id="1242921" name="Line 244">
          <a:extLst>
            <a:ext uri="{FF2B5EF4-FFF2-40B4-BE49-F238E27FC236}">
              <a16:creationId xmlns:a16="http://schemas.microsoft.com/office/drawing/2014/main" id="{00000000-0008-0000-5000-000029F71200}"/>
            </a:ext>
          </a:extLst>
        </xdr:cNvPr>
        <xdr:cNvSpPr/>
      </xdr:nvSpPr>
      <xdr:spPr>
        <a:xfrm>
          <a:off x="4617720" y="1530350"/>
          <a:ext cx="361950" cy="426720"/>
        </a:xfrm>
        <a:prstGeom prst="line">
          <a:avLst/>
        </a:prstGeom>
        <a:ln w="38100" cap="flat" cmpd="dbl">
          <a:solidFill>
            <a:srgbClr val="000000"/>
          </a:solidFill>
          <a:prstDash val="solid"/>
          <a:round/>
          <a:headEnd type="none" w="med" len="med"/>
          <a:tailEnd type="none" w="med" len="med"/>
        </a:ln>
      </xdr:spPr>
    </xdr:sp>
    <xdr:clientData/>
  </xdr:twoCellAnchor>
  <xdr:twoCellAnchor>
    <xdr:from>
      <xdr:col>16</xdr:col>
      <xdr:colOff>388620</xdr:colOff>
      <xdr:row>7</xdr:row>
      <xdr:rowOff>236220</xdr:rowOff>
    </xdr:from>
    <xdr:to>
      <xdr:col>17</xdr:col>
      <xdr:colOff>213360</xdr:colOff>
      <xdr:row>8</xdr:row>
      <xdr:rowOff>236220</xdr:rowOff>
    </xdr:to>
    <xdr:sp macro="" textlink="">
      <xdr:nvSpPr>
        <xdr:cNvPr id="1242922" name="Line 245">
          <a:extLst>
            <a:ext uri="{FF2B5EF4-FFF2-40B4-BE49-F238E27FC236}">
              <a16:creationId xmlns:a16="http://schemas.microsoft.com/office/drawing/2014/main" id="{00000000-0008-0000-5000-00002AF71200}"/>
            </a:ext>
          </a:extLst>
        </xdr:cNvPr>
        <xdr:cNvSpPr/>
      </xdr:nvSpPr>
      <xdr:spPr>
        <a:xfrm>
          <a:off x="5170170" y="2193290"/>
          <a:ext cx="262890" cy="255270"/>
        </a:xfrm>
        <a:prstGeom prst="line">
          <a:avLst/>
        </a:prstGeom>
        <a:ln w="38100" cap="flat" cmpd="dbl">
          <a:solidFill>
            <a:srgbClr val="000000"/>
          </a:solidFill>
          <a:prstDash val="solid"/>
          <a:round/>
          <a:headEnd type="none" w="med" len="med"/>
          <a:tailEnd type="none" w="med" len="med"/>
        </a:ln>
      </xdr:spPr>
    </xdr:sp>
    <xdr:clientData/>
  </xdr:twoCellAnchor>
  <xdr:twoCellAnchor>
    <xdr:from>
      <xdr:col>14</xdr:col>
      <xdr:colOff>236220</xdr:colOff>
      <xdr:row>6</xdr:row>
      <xdr:rowOff>68580</xdr:rowOff>
    </xdr:from>
    <xdr:to>
      <xdr:col>15</xdr:col>
      <xdr:colOff>198120</xdr:colOff>
      <xdr:row>7</xdr:row>
      <xdr:rowOff>106680</xdr:rowOff>
    </xdr:to>
    <xdr:sp macro="" textlink="">
      <xdr:nvSpPr>
        <xdr:cNvPr id="1242923" name="Line 246">
          <a:extLst>
            <a:ext uri="{FF2B5EF4-FFF2-40B4-BE49-F238E27FC236}">
              <a16:creationId xmlns:a16="http://schemas.microsoft.com/office/drawing/2014/main" id="{00000000-0008-0000-5000-00002BF71200}"/>
            </a:ext>
          </a:extLst>
        </xdr:cNvPr>
        <xdr:cNvSpPr/>
      </xdr:nvSpPr>
      <xdr:spPr>
        <a:xfrm>
          <a:off x="4446270" y="1770380"/>
          <a:ext cx="247650" cy="293370"/>
        </a:xfrm>
        <a:prstGeom prst="line">
          <a:avLst/>
        </a:prstGeom>
        <a:ln w="38100" cap="flat" cmpd="dbl">
          <a:solidFill>
            <a:srgbClr val="000000"/>
          </a:solidFill>
          <a:prstDash val="solid"/>
          <a:round/>
          <a:headEnd type="none" w="med" len="med"/>
          <a:tailEnd type="none" w="med" len="med"/>
        </a:ln>
      </xdr:spPr>
    </xdr:sp>
    <xdr:clientData/>
  </xdr:twoCellAnchor>
  <xdr:twoCellAnchor>
    <xdr:from>
      <xdr:col>16</xdr:col>
      <xdr:colOff>60960</xdr:colOff>
      <xdr:row>8</xdr:row>
      <xdr:rowOff>8255</xdr:rowOff>
    </xdr:from>
    <xdr:to>
      <xdr:col>16</xdr:col>
      <xdr:colOff>228600</xdr:colOff>
      <xdr:row>8</xdr:row>
      <xdr:rowOff>221615</xdr:rowOff>
    </xdr:to>
    <xdr:sp macro="" textlink="">
      <xdr:nvSpPr>
        <xdr:cNvPr id="1242924" name="Line 247">
          <a:extLst>
            <a:ext uri="{FF2B5EF4-FFF2-40B4-BE49-F238E27FC236}">
              <a16:creationId xmlns:a16="http://schemas.microsoft.com/office/drawing/2014/main" id="{00000000-0008-0000-5000-00002CF71200}"/>
            </a:ext>
          </a:extLst>
        </xdr:cNvPr>
        <xdr:cNvSpPr/>
      </xdr:nvSpPr>
      <xdr:spPr>
        <a:xfrm>
          <a:off x="4842510" y="2220595"/>
          <a:ext cx="167640" cy="213360"/>
        </a:xfrm>
        <a:prstGeom prst="line">
          <a:avLst/>
        </a:prstGeom>
        <a:ln w="38100" cap="flat" cmpd="dbl">
          <a:solidFill>
            <a:srgbClr val="000000"/>
          </a:solidFill>
          <a:prstDash val="solid"/>
          <a:round/>
          <a:headEnd type="none" w="med" len="med"/>
          <a:tailEnd type="none" w="med" len="med"/>
        </a:ln>
      </xdr:spPr>
    </xdr:sp>
    <xdr:clientData/>
  </xdr:twoCellAnchor>
  <xdr:twoCellAnchor>
    <xdr:from>
      <xdr:col>15</xdr:col>
      <xdr:colOff>121920</xdr:colOff>
      <xdr:row>8</xdr:row>
      <xdr:rowOff>159385</xdr:rowOff>
    </xdr:from>
    <xdr:to>
      <xdr:col>15</xdr:col>
      <xdr:colOff>198120</xdr:colOff>
      <xdr:row>9</xdr:row>
      <xdr:rowOff>8255</xdr:rowOff>
    </xdr:to>
    <xdr:sp macro="" textlink="">
      <xdr:nvSpPr>
        <xdr:cNvPr id="1242925" name="Line 248">
          <a:extLst>
            <a:ext uri="{FF2B5EF4-FFF2-40B4-BE49-F238E27FC236}">
              <a16:creationId xmlns:a16="http://schemas.microsoft.com/office/drawing/2014/main" id="{00000000-0008-0000-5000-00002DF71200}"/>
            </a:ext>
          </a:extLst>
        </xdr:cNvPr>
        <xdr:cNvSpPr/>
      </xdr:nvSpPr>
      <xdr:spPr>
        <a:xfrm>
          <a:off x="4617720" y="2371725"/>
          <a:ext cx="76200" cy="104140"/>
        </a:xfrm>
        <a:prstGeom prst="line">
          <a:avLst/>
        </a:prstGeom>
        <a:ln w="38100" cap="flat" cmpd="dbl">
          <a:solidFill>
            <a:srgbClr val="000000"/>
          </a:solidFill>
          <a:prstDash val="solid"/>
          <a:round/>
          <a:headEnd type="none" w="med" len="med"/>
          <a:tailEnd type="none" w="med" len="med"/>
        </a:ln>
      </xdr:spPr>
    </xdr:sp>
    <xdr:clientData/>
  </xdr:twoCellAnchor>
  <xdr:twoCellAnchor>
    <xdr:from>
      <xdr:col>14</xdr:col>
      <xdr:colOff>228600</xdr:colOff>
      <xdr:row>7</xdr:row>
      <xdr:rowOff>182245</xdr:rowOff>
    </xdr:from>
    <xdr:to>
      <xdr:col>15</xdr:col>
      <xdr:colOff>22860</xdr:colOff>
      <xdr:row>8</xdr:row>
      <xdr:rowOff>15240</xdr:rowOff>
    </xdr:to>
    <xdr:sp macro="" textlink="">
      <xdr:nvSpPr>
        <xdr:cNvPr id="1242926" name="Line 249">
          <a:extLst>
            <a:ext uri="{FF2B5EF4-FFF2-40B4-BE49-F238E27FC236}">
              <a16:creationId xmlns:a16="http://schemas.microsoft.com/office/drawing/2014/main" id="{00000000-0008-0000-5000-00002EF71200}"/>
            </a:ext>
          </a:extLst>
        </xdr:cNvPr>
        <xdr:cNvSpPr/>
      </xdr:nvSpPr>
      <xdr:spPr>
        <a:xfrm>
          <a:off x="4438650" y="2139315"/>
          <a:ext cx="80010" cy="88265"/>
        </a:xfrm>
        <a:prstGeom prst="line">
          <a:avLst/>
        </a:prstGeom>
        <a:ln w="38100" cap="flat" cmpd="dbl">
          <a:solidFill>
            <a:srgbClr val="000000"/>
          </a:solidFill>
          <a:prstDash val="solid"/>
          <a:round/>
          <a:headEnd type="none" w="med" len="med"/>
          <a:tailEnd type="none" w="med" len="med"/>
        </a:ln>
      </xdr:spPr>
    </xdr:sp>
    <xdr:clientData/>
  </xdr:twoCellAnchor>
  <xdr:twoCellAnchor>
    <xdr:from>
      <xdr:col>12</xdr:col>
      <xdr:colOff>114300</xdr:colOff>
      <xdr:row>10</xdr:row>
      <xdr:rowOff>23495</xdr:rowOff>
    </xdr:from>
    <xdr:to>
      <xdr:col>12</xdr:col>
      <xdr:colOff>198120</xdr:colOff>
      <xdr:row>10</xdr:row>
      <xdr:rowOff>92075</xdr:rowOff>
    </xdr:to>
    <xdr:sp macro="" textlink="">
      <xdr:nvSpPr>
        <xdr:cNvPr id="1242927" name="Line 250">
          <a:extLst>
            <a:ext uri="{FF2B5EF4-FFF2-40B4-BE49-F238E27FC236}">
              <a16:creationId xmlns:a16="http://schemas.microsoft.com/office/drawing/2014/main" id="{00000000-0008-0000-5000-00002FF71200}"/>
            </a:ext>
          </a:extLst>
        </xdr:cNvPr>
        <xdr:cNvSpPr/>
      </xdr:nvSpPr>
      <xdr:spPr>
        <a:xfrm>
          <a:off x="3724275" y="2746375"/>
          <a:ext cx="83820" cy="68580"/>
        </a:xfrm>
        <a:prstGeom prst="line">
          <a:avLst/>
        </a:prstGeom>
        <a:ln w="12700" cap="flat" cmpd="sng">
          <a:solidFill>
            <a:srgbClr val="000000"/>
          </a:solidFill>
          <a:prstDash val="solid"/>
          <a:round/>
          <a:headEnd type="none" w="med" len="med"/>
          <a:tailEnd type="none" w="med" len="med"/>
        </a:ln>
      </xdr:spPr>
    </xdr:sp>
    <xdr:clientData/>
  </xdr:twoCellAnchor>
  <xdr:twoCellAnchor>
    <xdr:from>
      <xdr:col>12</xdr:col>
      <xdr:colOff>144780</xdr:colOff>
      <xdr:row>9</xdr:row>
      <xdr:rowOff>121920</xdr:rowOff>
    </xdr:from>
    <xdr:to>
      <xdr:col>13</xdr:col>
      <xdr:colOff>175260</xdr:colOff>
      <xdr:row>10</xdr:row>
      <xdr:rowOff>84455</xdr:rowOff>
    </xdr:to>
    <xdr:sp macro="" textlink="">
      <xdr:nvSpPr>
        <xdr:cNvPr id="1242928" name="Line 251">
          <a:extLst>
            <a:ext uri="{FF2B5EF4-FFF2-40B4-BE49-F238E27FC236}">
              <a16:creationId xmlns:a16="http://schemas.microsoft.com/office/drawing/2014/main" id="{00000000-0008-0000-5000-000030F71200}"/>
            </a:ext>
          </a:extLst>
        </xdr:cNvPr>
        <xdr:cNvSpPr/>
      </xdr:nvSpPr>
      <xdr:spPr>
        <a:xfrm>
          <a:off x="3754755" y="2589530"/>
          <a:ext cx="278130" cy="217805"/>
        </a:xfrm>
        <a:prstGeom prst="line">
          <a:avLst/>
        </a:prstGeom>
        <a:ln w="12700" cap="flat" cmpd="sng">
          <a:solidFill>
            <a:srgbClr val="000000"/>
          </a:solidFill>
          <a:prstDash val="solid"/>
          <a:round/>
          <a:headEnd type="none" w="med" len="med"/>
          <a:tailEnd type="none" w="med" len="med"/>
        </a:ln>
      </xdr:spPr>
    </xdr:sp>
    <xdr:clientData/>
  </xdr:twoCellAnchor>
  <xdr:twoCellAnchor>
    <xdr:from>
      <xdr:col>12</xdr:col>
      <xdr:colOff>83820</xdr:colOff>
      <xdr:row>8</xdr:row>
      <xdr:rowOff>144780</xdr:rowOff>
    </xdr:from>
    <xdr:to>
      <xdr:col>14</xdr:col>
      <xdr:colOff>60960</xdr:colOff>
      <xdr:row>10</xdr:row>
      <xdr:rowOff>84455</xdr:rowOff>
    </xdr:to>
    <xdr:sp macro="" textlink="">
      <xdr:nvSpPr>
        <xdr:cNvPr id="1242929" name="Line 252">
          <a:extLst>
            <a:ext uri="{FF2B5EF4-FFF2-40B4-BE49-F238E27FC236}">
              <a16:creationId xmlns:a16="http://schemas.microsoft.com/office/drawing/2014/main" id="{00000000-0008-0000-5000-000031F71200}"/>
            </a:ext>
          </a:extLst>
        </xdr:cNvPr>
        <xdr:cNvSpPr/>
      </xdr:nvSpPr>
      <xdr:spPr>
        <a:xfrm>
          <a:off x="3693795" y="2357120"/>
          <a:ext cx="577215" cy="450215"/>
        </a:xfrm>
        <a:prstGeom prst="line">
          <a:avLst/>
        </a:prstGeom>
        <a:ln w="12700" cap="flat" cmpd="sng">
          <a:solidFill>
            <a:srgbClr val="000000"/>
          </a:solidFill>
          <a:prstDash val="solid"/>
          <a:round/>
          <a:headEnd type="none" w="med" len="med"/>
          <a:tailEnd type="none" w="med" len="med"/>
        </a:ln>
      </xdr:spPr>
    </xdr:sp>
    <xdr:clientData/>
  </xdr:twoCellAnchor>
  <xdr:twoCellAnchor>
    <xdr:from>
      <xdr:col>12</xdr:col>
      <xdr:colOff>99060</xdr:colOff>
      <xdr:row>7</xdr:row>
      <xdr:rowOff>236220</xdr:rowOff>
    </xdr:from>
    <xdr:to>
      <xdr:col>13</xdr:col>
      <xdr:colOff>0</xdr:colOff>
      <xdr:row>8</xdr:row>
      <xdr:rowOff>114935</xdr:rowOff>
    </xdr:to>
    <xdr:sp macro="" textlink="">
      <xdr:nvSpPr>
        <xdr:cNvPr id="1242930" name="Line 253">
          <a:extLst>
            <a:ext uri="{FF2B5EF4-FFF2-40B4-BE49-F238E27FC236}">
              <a16:creationId xmlns:a16="http://schemas.microsoft.com/office/drawing/2014/main" id="{00000000-0008-0000-5000-000032F71200}"/>
            </a:ext>
          </a:extLst>
        </xdr:cNvPr>
        <xdr:cNvSpPr/>
      </xdr:nvSpPr>
      <xdr:spPr>
        <a:xfrm>
          <a:off x="3709035" y="2193290"/>
          <a:ext cx="148590" cy="133985"/>
        </a:xfrm>
        <a:prstGeom prst="line">
          <a:avLst/>
        </a:prstGeom>
        <a:ln w="12700" cap="flat" cmpd="sng">
          <a:solidFill>
            <a:srgbClr val="000000"/>
          </a:solidFill>
          <a:prstDash val="solid"/>
          <a:round/>
          <a:headEnd type="none" w="med" len="med"/>
          <a:tailEnd type="none" w="med" len="med"/>
        </a:ln>
      </xdr:spPr>
    </xdr:sp>
    <xdr:clientData/>
  </xdr:twoCellAnchor>
  <xdr:twoCellAnchor>
    <xdr:from>
      <xdr:col>12</xdr:col>
      <xdr:colOff>213360</xdr:colOff>
      <xdr:row>7</xdr:row>
      <xdr:rowOff>159385</xdr:rowOff>
    </xdr:from>
    <xdr:to>
      <xdr:col>13</xdr:col>
      <xdr:colOff>76200</xdr:colOff>
      <xdr:row>8</xdr:row>
      <xdr:rowOff>0</xdr:rowOff>
    </xdr:to>
    <xdr:sp macro="" textlink="">
      <xdr:nvSpPr>
        <xdr:cNvPr id="1242931" name="Line 254">
          <a:extLst>
            <a:ext uri="{FF2B5EF4-FFF2-40B4-BE49-F238E27FC236}">
              <a16:creationId xmlns:a16="http://schemas.microsoft.com/office/drawing/2014/main" id="{00000000-0008-0000-5000-000033F71200}"/>
            </a:ext>
          </a:extLst>
        </xdr:cNvPr>
        <xdr:cNvSpPr/>
      </xdr:nvSpPr>
      <xdr:spPr>
        <a:xfrm>
          <a:off x="3823335" y="2116455"/>
          <a:ext cx="110490" cy="95885"/>
        </a:xfrm>
        <a:prstGeom prst="line">
          <a:avLst/>
        </a:prstGeom>
        <a:ln w="12700" cap="flat" cmpd="sng">
          <a:solidFill>
            <a:srgbClr val="000000"/>
          </a:solidFill>
          <a:prstDash val="solid"/>
          <a:round/>
          <a:headEnd type="none" w="med" len="med"/>
          <a:tailEnd type="none" w="med" len="med"/>
        </a:ln>
      </xdr:spPr>
    </xdr:sp>
    <xdr:clientData/>
  </xdr:twoCellAnchor>
  <xdr:twoCellAnchor>
    <xdr:from>
      <xdr:col>13</xdr:col>
      <xdr:colOff>190500</xdr:colOff>
      <xdr:row>9</xdr:row>
      <xdr:rowOff>0</xdr:rowOff>
    </xdr:from>
    <xdr:to>
      <xdr:col>14</xdr:col>
      <xdr:colOff>152400</xdr:colOff>
      <xdr:row>9</xdr:row>
      <xdr:rowOff>236220</xdr:rowOff>
    </xdr:to>
    <xdr:sp macro="" textlink="">
      <xdr:nvSpPr>
        <xdr:cNvPr id="1242932" name="Line 255">
          <a:extLst>
            <a:ext uri="{FF2B5EF4-FFF2-40B4-BE49-F238E27FC236}">
              <a16:creationId xmlns:a16="http://schemas.microsoft.com/office/drawing/2014/main" id="{00000000-0008-0000-5000-000034F71200}"/>
            </a:ext>
          </a:extLst>
        </xdr:cNvPr>
        <xdr:cNvSpPr/>
      </xdr:nvSpPr>
      <xdr:spPr>
        <a:xfrm>
          <a:off x="4048125" y="2467610"/>
          <a:ext cx="314325" cy="236220"/>
        </a:xfrm>
        <a:prstGeom prst="line">
          <a:avLst/>
        </a:prstGeom>
        <a:ln w="12700" cap="flat" cmpd="sng">
          <a:solidFill>
            <a:srgbClr val="000000"/>
          </a:solidFill>
          <a:prstDash val="solid"/>
          <a:round/>
          <a:headEnd type="none" w="med" len="med"/>
          <a:tailEnd type="none" w="med" len="med"/>
        </a:ln>
      </xdr:spPr>
    </xdr:sp>
    <xdr:clientData/>
  </xdr:twoCellAnchor>
  <xdr:twoCellAnchor>
    <xdr:from>
      <xdr:col>13</xdr:col>
      <xdr:colOff>198120</xdr:colOff>
      <xdr:row>7</xdr:row>
      <xdr:rowOff>159385</xdr:rowOff>
    </xdr:from>
    <xdr:to>
      <xdr:col>13</xdr:col>
      <xdr:colOff>304800</xdr:colOff>
      <xdr:row>8</xdr:row>
      <xdr:rowOff>0</xdr:rowOff>
    </xdr:to>
    <xdr:sp macro="" textlink="">
      <xdr:nvSpPr>
        <xdr:cNvPr id="1242933" name="Line 264">
          <a:extLst>
            <a:ext uri="{FF2B5EF4-FFF2-40B4-BE49-F238E27FC236}">
              <a16:creationId xmlns:a16="http://schemas.microsoft.com/office/drawing/2014/main" id="{00000000-0008-0000-5000-000035F71200}"/>
            </a:ext>
          </a:extLst>
        </xdr:cNvPr>
        <xdr:cNvSpPr/>
      </xdr:nvSpPr>
      <xdr:spPr>
        <a:xfrm>
          <a:off x="4055745" y="2116455"/>
          <a:ext cx="106680" cy="95885"/>
        </a:xfrm>
        <a:prstGeom prst="line">
          <a:avLst/>
        </a:prstGeom>
        <a:ln w="12700" cap="flat" cmpd="sng">
          <a:solidFill>
            <a:srgbClr val="000000"/>
          </a:solidFill>
          <a:prstDash val="solid"/>
          <a:round/>
          <a:headEnd type="none" w="med" len="med"/>
          <a:tailEnd type="none" w="med" len="med"/>
        </a:ln>
      </xdr:spPr>
    </xdr:sp>
    <xdr:clientData/>
  </xdr:twoCellAnchor>
  <xdr:twoCellAnchor>
    <xdr:from>
      <xdr:col>14</xdr:col>
      <xdr:colOff>0</xdr:colOff>
      <xdr:row>8</xdr:row>
      <xdr:rowOff>190500</xdr:rowOff>
    </xdr:from>
    <xdr:to>
      <xdr:col>14</xdr:col>
      <xdr:colOff>152400</xdr:colOff>
      <xdr:row>9</xdr:row>
      <xdr:rowOff>52705</xdr:rowOff>
    </xdr:to>
    <xdr:sp macro="" textlink="">
      <xdr:nvSpPr>
        <xdr:cNvPr id="1242934" name="Line 265">
          <a:extLst>
            <a:ext uri="{FF2B5EF4-FFF2-40B4-BE49-F238E27FC236}">
              <a16:creationId xmlns:a16="http://schemas.microsoft.com/office/drawing/2014/main" id="{00000000-0008-0000-5000-000036F71200}"/>
            </a:ext>
          </a:extLst>
        </xdr:cNvPr>
        <xdr:cNvSpPr/>
      </xdr:nvSpPr>
      <xdr:spPr>
        <a:xfrm>
          <a:off x="4210050" y="2402840"/>
          <a:ext cx="152400" cy="117475"/>
        </a:xfrm>
        <a:prstGeom prst="line">
          <a:avLst/>
        </a:prstGeom>
        <a:ln w="12700" cap="flat" cmpd="sng">
          <a:solidFill>
            <a:srgbClr val="000000"/>
          </a:solidFill>
          <a:prstDash val="solid"/>
          <a:round/>
          <a:headEnd type="none" w="med" len="med"/>
          <a:tailEnd type="none" w="med" len="med"/>
        </a:ln>
      </xdr:spPr>
    </xdr:sp>
    <xdr:clientData/>
  </xdr:twoCellAnchor>
  <xdr:twoCellAnchor>
    <xdr:from>
      <xdr:col>14</xdr:col>
      <xdr:colOff>99060</xdr:colOff>
      <xdr:row>8</xdr:row>
      <xdr:rowOff>83820</xdr:rowOff>
    </xdr:from>
    <xdr:to>
      <xdr:col>14</xdr:col>
      <xdr:colOff>160020</xdr:colOff>
      <xdr:row>8</xdr:row>
      <xdr:rowOff>129540</xdr:rowOff>
    </xdr:to>
    <xdr:sp macro="" textlink="">
      <xdr:nvSpPr>
        <xdr:cNvPr id="1242935" name="Line 266">
          <a:extLst>
            <a:ext uri="{FF2B5EF4-FFF2-40B4-BE49-F238E27FC236}">
              <a16:creationId xmlns:a16="http://schemas.microsoft.com/office/drawing/2014/main" id="{00000000-0008-0000-5000-000037F71200}"/>
            </a:ext>
          </a:extLst>
        </xdr:cNvPr>
        <xdr:cNvSpPr/>
      </xdr:nvSpPr>
      <xdr:spPr>
        <a:xfrm>
          <a:off x="4309110" y="2296160"/>
          <a:ext cx="60960" cy="45720"/>
        </a:xfrm>
        <a:prstGeom prst="line">
          <a:avLst/>
        </a:prstGeom>
        <a:ln w="12700" cap="flat" cmpd="sng">
          <a:solidFill>
            <a:srgbClr val="000000"/>
          </a:solidFill>
          <a:prstDash val="solid"/>
          <a:round/>
          <a:headEnd type="none" w="med" len="med"/>
          <a:tailEnd type="none" w="med" len="med"/>
        </a:ln>
      </xdr:spPr>
    </xdr:sp>
    <xdr:clientData/>
  </xdr:twoCellAnchor>
  <xdr:twoCellAnchor>
    <xdr:from>
      <xdr:col>18</xdr:col>
      <xdr:colOff>99060</xdr:colOff>
      <xdr:row>8</xdr:row>
      <xdr:rowOff>152400</xdr:rowOff>
    </xdr:from>
    <xdr:to>
      <xdr:col>20</xdr:col>
      <xdr:colOff>68580</xdr:colOff>
      <xdr:row>10</xdr:row>
      <xdr:rowOff>76200</xdr:rowOff>
    </xdr:to>
    <xdr:sp macro="" textlink="">
      <xdr:nvSpPr>
        <xdr:cNvPr id="1242936" name="Line 267">
          <a:extLst>
            <a:ext uri="{FF2B5EF4-FFF2-40B4-BE49-F238E27FC236}">
              <a16:creationId xmlns:a16="http://schemas.microsoft.com/office/drawing/2014/main" id="{00000000-0008-0000-5000-000038F71200}"/>
            </a:ext>
          </a:extLst>
        </xdr:cNvPr>
        <xdr:cNvSpPr/>
      </xdr:nvSpPr>
      <xdr:spPr>
        <a:xfrm>
          <a:off x="5604510" y="2364740"/>
          <a:ext cx="531495" cy="434340"/>
        </a:xfrm>
        <a:prstGeom prst="line">
          <a:avLst/>
        </a:prstGeom>
        <a:ln w="12700" cap="flat" cmpd="sng">
          <a:solidFill>
            <a:srgbClr val="000000"/>
          </a:solidFill>
          <a:prstDash val="solid"/>
          <a:round/>
          <a:headEnd type="none" w="med" len="med"/>
          <a:tailEnd type="none" w="med" len="med"/>
        </a:ln>
      </xdr:spPr>
    </xdr:sp>
    <xdr:clientData/>
  </xdr:twoCellAnchor>
  <xdr:twoCellAnchor>
    <xdr:from>
      <xdr:col>18</xdr:col>
      <xdr:colOff>129540</xdr:colOff>
      <xdr:row>8</xdr:row>
      <xdr:rowOff>8255</xdr:rowOff>
    </xdr:from>
    <xdr:to>
      <xdr:col>19</xdr:col>
      <xdr:colOff>205740</xdr:colOff>
      <xdr:row>9</xdr:row>
      <xdr:rowOff>45720</xdr:rowOff>
    </xdr:to>
    <xdr:sp macro="" textlink="">
      <xdr:nvSpPr>
        <xdr:cNvPr id="1242937" name="Line 268">
          <a:extLst>
            <a:ext uri="{FF2B5EF4-FFF2-40B4-BE49-F238E27FC236}">
              <a16:creationId xmlns:a16="http://schemas.microsoft.com/office/drawing/2014/main" id="{00000000-0008-0000-5000-000039F71200}"/>
            </a:ext>
          </a:extLst>
        </xdr:cNvPr>
        <xdr:cNvSpPr/>
      </xdr:nvSpPr>
      <xdr:spPr>
        <a:xfrm>
          <a:off x="5634990" y="2220595"/>
          <a:ext cx="361950" cy="292735"/>
        </a:xfrm>
        <a:prstGeom prst="line">
          <a:avLst/>
        </a:prstGeom>
        <a:ln w="12700" cap="flat" cmpd="sng">
          <a:solidFill>
            <a:srgbClr val="000000"/>
          </a:solidFill>
          <a:prstDash val="solid"/>
          <a:round/>
          <a:headEnd type="none" w="med" len="med"/>
          <a:tailEnd type="none" w="med" len="med"/>
        </a:ln>
      </xdr:spPr>
    </xdr:sp>
    <xdr:clientData/>
  </xdr:twoCellAnchor>
  <xdr:twoCellAnchor>
    <xdr:from>
      <xdr:col>18</xdr:col>
      <xdr:colOff>228600</xdr:colOff>
      <xdr:row>7</xdr:row>
      <xdr:rowOff>159385</xdr:rowOff>
    </xdr:from>
    <xdr:to>
      <xdr:col>19</xdr:col>
      <xdr:colOff>205740</xdr:colOff>
      <xdr:row>8</xdr:row>
      <xdr:rowOff>114935</xdr:rowOff>
    </xdr:to>
    <xdr:sp macro="" textlink="">
      <xdr:nvSpPr>
        <xdr:cNvPr id="1242938" name="Line 269">
          <a:extLst>
            <a:ext uri="{FF2B5EF4-FFF2-40B4-BE49-F238E27FC236}">
              <a16:creationId xmlns:a16="http://schemas.microsoft.com/office/drawing/2014/main" id="{00000000-0008-0000-5000-00003AF71200}"/>
            </a:ext>
          </a:extLst>
        </xdr:cNvPr>
        <xdr:cNvSpPr/>
      </xdr:nvSpPr>
      <xdr:spPr>
        <a:xfrm>
          <a:off x="5734050" y="2116455"/>
          <a:ext cx="262890" cy="210820"/>
        </a:xfrm>
        <a:prstGeom prst="line">
          <a:avLst/>
        </a:prstGeom>
        <a:ln w="12700" cap="flat" cmpd="sng">
          <a:solidFill>
            <a:srgbClr val="000000"/>
          </a:solidFill>
          <a:prstDash val="solid"/>
          <a:round/>
          <a:headEnd type="none" w="med" len="med"/>
          <a:tailEnd type="none" w="med" len="med"/>
        </a:ln>
      </xdr:spPr>
    </xdr:sp>
    <xdr:clientData/>
  </xdr:twoCellAnchor>
  <xdr:twoCellAnchor>
    <xdr:from>
      <xdr:col>19</xdr:col>
      <xdr:colOff>160020</xdr:colOff>
      <xdr:row>7</xdr:row>
      <xdr:rowOff>159385</xdr:rowOff>
    </xdr:from>
    <xdr:to>
      <xdr:col>19</xdr:col>
      <xdr:colOff>220980</xdr:colOff>
      <xdr:row>7</xdr:row>
      <xdr:rowOff>197485</xdr:rowOff>
    </xdr:to>
    <xdr:sp macro="" textlink="">
      <xdr:nvSpPr>
        <xdr:cNvPr id="1242939" name="Line 270">
          <a:extLst>
            <a:ext uri="{FF2B5EF4-FFF2-40B4-BE49-F238E27FC236}">
              <a16:creationId xmlns:a16="http://schemas.microsoft.com/office/drawing/2014/main" id="{00000000-0008-0000-5000-00003BF71200}"/>
            </a:ext>
          </a:extLst>
        </xdr:cNvPr>
        <xdr:cNvSpPr/>
      </xdr:nvSpPr>
      <xdr:spPr>
        <a:xfrm>
          <a:off x="5951220" y="2116455"/>
          <a:ext cx="60960" cy="38100"/>
        </a:xfrm>
        <a:prstGeom prst="line">
          <a:avLst/>
        </a:prstGeom>
        <a:ln w="12700" cap="flat" cmpd="sng">
          <a:solidFill>
            <a:srgbClr val="000000"/>
          </a:solidFill>
          <a:prstDash val="solid"/>
          <a:round/>
          <a:headEnd type="none" w="med" len="med"/>
          <a:tailEnd type="none" w="med" len="med"/>
        </a:ln>
      </xdr:spPr>
    </xdr:sp>
    <xdr:clientData/>
  </xdr:twoCellAnchor>
  <xdr:twoCellAnchor>
    <xdr:from>
      <xdr:col>18</xdr:col>
      <xdr:colOff>114300</xdr:colOff>
      <xdr:row>9</xdr:row>
      <xdr:rowOff>98425</xdr:rowOff>
    </xdr:from>
    <xdr:to>
      <xdr:col>19</xdr:col>
      <xdr:colOff>137160</xdr:colOff>
      <xdr:row>10</xdr:row>
      <xdr:rowOff>84455</xdr:rowOff>
    </xdr:to>
    <xdr:sp macro="" textlink="">
      <xdr:nvSpPr>
        <xdr:cNvPr id="1242940" name="Line 271">
          <a:extLst>
            <a:ext uri="{FF2B5EF4-FFF2-40B4-BE49-F238E27FC236}">
              <a16:creationId xmlns:a16="http://schemas.microsoft.com/office/drawing/2014/main" id="{00000000-0008-0000-5000-00003CF71200}"/>
            </a:ext>
          </a:extLst>
        </xdr:cNvPr>
        <xdr:cNvSpPr/>
      </xdr:nvSpPr>
      <xdr:spPr>
        <a:xfrm>
          <a:off x="5619750" y="2566035"/>
          <a:ext cx="308610" cy="241300"/>
        </a:xfrm>
        <a:prstGeom prst="line">
          <a:avLst/>
        </a:prstGeom>
        <a:ln w="12700" cap="flat" cmpd="sng">
          <a:solidFill>
            <a:srgbClr val="000000"/>
          </a:solidFill>
          <a:prstDash val="solid"/>
          <a:round/>
          <a:headEnd type="none" w="med" len="med"/>
          <a:tailEnd type="none" w="med" len="med"/>
        </a:ln>
      </xdr:spPr>
    </xdr:sp>
    <xdr:clientData/>
  </xdr:twoCellAnchor>
  <xdr:twoCellAnchor>
    <xdr:from>
      <xdr:col>18</xdr:col>
      <xdr:colOff>114300</xdr:colOff>
      <xdr:row>10</xdr:row>
      <xdr:rowOff>31115</xdr:rowOff>
    </xdr:from>
    <xdr:to>
      <xdr:col>18</xdr:col>
      <xdr:colOff>182880</xdr:colOff>
      <xdr:row>10</xdr:row>
      <xdr:rowOff>76200</xdr:rowOff>
    </xdr:to>
    <xdr:sp macro="" textlink="">
      <xdr:nvSpPr>
        <xdr:cNvPr id="1242941" name="Line 272">
          <a:extLst>
            <a:ext uri="{FF2B5EF4-FFF2-40B4-BE49-F238E27FC236}">
              <a16:creationId xmlns:a16="http://schemas.microsoft.com/office/drawing/2014/main" id="{00000000-0008-0000-5000-00003DF71200}"/>
            </a:ext>
          </a:extLst>
        </xdr:cNvPr>
        <xdr:cNvSpPr/>
      </xdr:nvSpPr>
      <xdr:spPr>
        <a:xfrm>
          <a:off x="5619750" y="2753995"/>
          <a:ext cx="68580" cy="45085"/>
        </a:xfrm>
        <a:prstGeom prst="line">
          <a:avLst/>
        </a:prstGeom>
        <a:ln w="12700" cap="flat" cmpd="sng">
          <a:solidFill>
            <a:srgbClr val="000000"/>
          </a:solidFill>
          <a:prstDash val="solid"/>
          <a:round/>
          <a:headEnd type="none" w="med" len="med"/>
          <a:tailEnd type="none" w="med" len="med"/>
        </a:ln>
      </xdr:spPr>
    </xdr:sp>
    <xdr:clientData/>
  </xdr:twoCellAnchor>
  <xdr:twoCellAnchor>
    <xdr:from>
      <xdr:col>20</xdr:col>
      <xdr:colOff>83820</xdr:colOff>
      <xdr:row>7</xdr:row>
      <xdr:rowOff>159385</xdr:rowOff>
    </xdr:from>
    <xdr:to>
      <xdr:col>20</xdr:col>
      <xdr:colOff>152400</xdr:colOff>
      <xdr:row>7</xdr:row>
      <xdr:rowOff>205105</xdr:rowOff>
    </xdr:to>
    <xdr:sp macro="" textlink="">
      <xdr:nvSpPr>
        <xdr:cNvPr id="1242942" name="Line 273">
          <a:extLst>
            <a:ext uri="{FF2B5EF4-FFF2-40B4-BE49-F238E27FC236}">
              <a16:creationId xmlns:a16="http://schemas.microsoft.com/office/drawing/2014/main" id="{00000000-0008-0000-5000-00003EF71200}"/>
            </a:ext>
          </a:extLst>
        </xdr:cNvPr>
        <xdr:cNvSpPr/>
      </xdr:nvSpPr>
      <xdr:spPr>
        <a:xfrm>
          <a:off x="6151245" y="2116455"/>
          <a:ext cx="68580" cy="45720"/>
        </a:xfrm>
        <a:prstGeom prst="line">
          <a:avLst/>
        </a:prstGeom>
        <a:ln w="12700" cap="flat" cmpd="sng">
          <a:solidFill>
            <a:srgbClr val="000000"/>
          </a:solidFill>
          <a:prstDash val="solid"/>
          <a:round/>
          <a:headEnd type="none" w="med" len="med"/>
          <a:tailEnd type="none" w="med" len="med"/>
        </a:ln>
      </xdr:spPr>
    </xdr:sp>
    <xdr:clientData/>
  </xdr:twoCellAnchor>
  <xdr:twoCellAnchor>
    <xdr:from>
      <xdr:col>7</xdr:col>
      <xdr:colOff>114300</xdr:colOff>
      <xdr:row>8</xdr:row>
      <xdr:rowOff>159385</xdr:rowOff>
    </xdr:from>
    <xdr:to>
      <xdr:col>9</xdr:col>
      <xdr:colOff>91440</xdr:colOff>
      <xdr:row>10</xdr:row>
      <xdr:rowOff>84455</xdr:rowOff>
    </xdr:to>
    <xdr:sp macro="" textlink="">
      <xdr:nvSpPr>
        <xdr:cNvPr id="1242943" name="Line 274">
          <a:extLst>
            <a:ext uri="{FF2B5EF4-FFF2-40B4-BE49-F238E27FC236}">
              <a16:creationId xmlns:a16="http://schemas.microsoft.com/office/drawing/2014/main" id="{00000000-0008-0000-5000-00003FF71200}"/>
            </a:ext>
          </a:extLst>
        </xdr:cNvPr>
        <xdr:cNvSpPr/>
      </xdr:nvSpPr>
      <xdr:spPr>
        <a:xfrm>
          <a:off x="2295525" y="2371725"/>
          <a:ext cx="548640" cy="435610"/>
        </a:xfrm>
        <a:prstGeom prst="line">
          <a:avLst/>
        </a:prstGeom>
        <a:ln w="12700" cap="flat" cmpd="sng">
          <a:solidFill>
            <a:srgbClr val="000000"/>
          </a:solidFill>
          <a:prstDash val="solid"/>
          <a:round/>
          <a:headEnd type="none" w="med" len="med"/>
          <a:tailEnd type="none" w="med" len="med"/>
        </a:ln>
      </xdr:spPr>
    </xdr:sp>
    <xdr:clientData/>
  </xdr:twoCellAnchor>
  <xdr:twoCellAnchor>
    <xdr:from>
      <xdr:col>7</xdr:col>
      <xdr:colOff>114300</xdr:colOff>
      <xdr:row>9</xdr:row>
      <xdr:rowOff>106680</xdr:rowOff>
    </xdr:from>
    <xdr:to>
      <xdr:col>8</xdr:col>
      <xdr:colOff>114300</xdr:colOff>
      <xdr:row>10</xdr:row>
      <xdr:rowOff>76200</xdr:rowOff>
    </xdr:to>
    <xdr:sp macro="" textlink="">
      <xdr:nvSpPr>
        <xdr:cNvPr id="1242944" name="Line 275">
          <a:extLst>
            <a:ext uri="{FF2B5EF4-FFF2-40B4-BE49-F238E27FC236}">
              <a16:creationId xmlns:a16="http://schemas.microsoft.com/office/drawing/2014/main" id="{00000000-0008-0000-5000-000040F71200}"/>
            </a:ext>
          </a:extLst>
        </xdr:cNvPr>
        <xdr:cNvSpPr/>
      </xdr:nvSpPr>
      <xdr:spPr>
        <a:xfrm>
          <a:off x="2295525" y="2574290"/>
          <a:ext cx="285750" cy="224790"/>
        </a:xfrm>
        <a:prstGeom prst="line">
          <a:avLst/>
        </a:prstGeom>
        <a:ln w="12700" cap="flat" cmpd="sng">
          <a:solidFill>
            <a:srgbClr val="000000"/>
          </a:solidFill>
          <a:prstDash val="solid"/>
          <a:round/>
          <a:headEnd type="none" w="med" len="med"/>
          <a:tailEnd type="none" w="med" len="med"/>
        </a:ln>
      </xdr:spPr>
    </xdr:sp>
    <xdr:clientData/>
  </xdr:twoCellAnchor>
  <xdr:twoCellAnchor>
    <xdr:from>
      <xdr:col>7</xdr:col>
      <xdr:colOff>114300</xdr:colOff>
      <xdr:row>10</xdr:row>
      <xdr:rowOff>23495</xdr:rowOff>
    </xdr:from>
    <xdr:to>
      <xdr:col>7</xdr:col>
      <xdr:colOff>190500</xdr:colOff>
      <xdr:row>10</xdr:row>
      <xdr:rowOff>92075</xdr:rowOff>
    </xdr:to>
    <xdr:sp macro="" textlink="">
      <xdr:nvSpPr>
        <xdr:cNvPr id="1242945" name="Line 276">
          <a:extLst>
            <a:ext uri="{FF2B5EF4-FFF2-40B4-BE49-F238E27FC236}">
              <a16:creationId xmlns:a16="http://schemas.microsoft.com/office/drawing/2014/main" id="{00000000-0008-0000-5000-000041F71200}"/>
            </a:ext>
          </a:extLst>
        </xdr:cNvPr>
        <xdr:cNvSpPr/>
      </xdr:nvSpPr>
      <xdr:spPr>
        <a:xfrm>
          <a:off x="2295525" y="2746375"/>
          <a:ext cx="76200" cy="68580"/>
        </a:xfrm>
        <a:prstGeom prst="line">
          <a:avLst/>
        </a:prstGeom>
        <a:ln w="12700" cap="flat" cmpd="sng">
          <a:solidFill>
            <a:srgbClr val="000000"/>
          </a:solidFill>
          <a:prstDash val="solid"/>
          <a:round/>
          <a:headEnd type="none" w="med" len="med"/>
          <a:tailEnd type="none" w="med" len="med"/>
        </a:ln>
      </xdr:spPr>
    </xdr:sp>
    <xdr:clientData/>
  </xdr:twoCellAnchor>
  <xdr:twoCellAnchor>
    <xdr:from>
      <xdr:col>7</xdr:col>
      <xdr:colOff>137160</xdr:colOff>
      <xdr:row>7</xdr:row>
      <xdr:rowOff>228600</xdr:rowOff>
    </xdr:from>
    <xdr:to>
      <xdr:col>9</xdr:col>
      <xdr:colOff>182880</xdr:colOff>
      <xdr:row>9</xdr:row>
      <xdr:rowOff>213360</xdr:rowOff>
    </xdr:to>
    <xdr:sp macro="" textlink="">
      <xdr:nvSpPr>
        <xdr:cNvPr id="1242946" name="Line 277">
          <a:extLst>
            <a:ext uri="{FF2B5EF4-FFF2-40B4-BE49-F238E27FC236}">
              <a16:creationId xmlns:a16="http://schemas.microsoft.com/office/drawing/2014/main" id="{00000000-0008-0000-5000-000042F71200}"/>
            </a:ext>
          </a:extLst>
        </xdr:cNvPr>
        <xdr:cNvSpPr/>
      </xdr:nvSpPr>
      <xdr:spPr>
        <a:xfrm>
          <a:off x="2318385" y="2185670"/>
          <a:ext cx="617220" cy="495300"/>
        </a:xfrm>
        <a:prstGeom prst="line">
          <a:avLst/>
        </a:prstGeom>
        <a:ln w="12700" cap="flat" cmpd="sng">
          <a:solidFill>
            <a:srgbClr val="000000"/>
          </a:solidFill>
          <a:prstDash val="solid"/>
          <a:round/>
          <a:headEnd type="none" w="med" len="med"/>
          <a:tailEnd type="none" w="med" len="med"/>
        </a:ln>
      </xdr:spPr>
    </xdr:sp>
    <xdr:clientData/>
  </xdr:twoCellAnchor>
  <xdr:twoCellAnchor>
    <xdr:from>
      <xdr:col>8</xdr:col>
      <xdr:colOff>22860</xdr:colOff>
      <xdr:row>7</xdr:row>
      <xdr:rowOff>175260</xdr:rowOff>
    </xdr:from>
    <xdr:to>
      <xdr:col>8</xdr:col>
      <xdr:colOff>160020</xdr:colOff>
      <xdr:row>8</xdr:row>
      <xdr:rowOff>31115</xdr:rowOff>
    </xdr:to>
    <xdr:sp macro="" textlink="">
      <xdr:nvSpPr>
        <xdr:cNvPr id="1242947" name="Line 278">
          <a:extLst>
            <a:ext uri="{FF2B5EF4-FFF2-40B4-BE49-F238E27FC236}">
              <a16:creationId xmlns:a16="http://schemas.microsoft.com/office/drawing/2014/main" id="{00000000-0008-0000-5000-000043F71200}"/>
            </a:ext>
          </a:extLst>
        </xdr:cNvPr>
        <xdr:cNvSpPr/>
      </xdr:nvSpPr>
      <xdr:spPr>
        <a:xfrm>
          <a:off x="2489835" y="2132330"/>
          <a:ext cx="137160" cy="111125"/>
        </a:xfrm>
        <a:prstGeom prst="line">
          <a:avLst/>
        </a:prstGeom>
        <a:ln w="12700" cap="flat" cmpd="sng">
          <a:solidFill>
            <a:srgbClr val="000000"/>
          </a:solidFill>
          <a:prstDash val="solid"/>
          <a:round/>
          <a:headEnd type="none" w="med" len="med"/>
          <a:tailEnd type="none" w="med" len="med"/>
        </a:ln>
      </xdr:spPr>
    </xdr:sp>
    <xdr:clientData/>
  </xdr:twoCellAnchor>
  <xdr:twoCellAnchor>
    <xdr:from>
      <xdr:col>9</xdr:col>
      <xdr:colOff>68580</xdr:colOff>
      <xdr:row>7</xdr:row>
      <xdr:rowOff>228600</xdr:rowOff>
    </xdr:from>
    <xdr:to>
      <xdr:col>9</xdr:col>
      <xdr:colOff>129540</xdr:colOff>
      <xdr:row>8</xdr:row>
      <xdr:rowOff>38100</xdr:rowOff>
    </xdr:to>
    <xdr:sp macro="" textlink="">
      <xdr:nvSpPr>
        <xdr:cNvPr id="1242948" name="Line 279">
          <a:extLst>
            <a:ext uri="{FF2B5EF4-FFF2-40B4-BE49-F238E27FC236}">
              <a16:creationId xmlns:a16="http://schemas.microsoft.com/office/drawing/2014/main" id="{00000000-0008-0000-5000-000044F71200}"/>
            </a:ext>
          </a:extLst>
        </xdr:cNvPr>
        <xdr:cNvSpPr/>
      </xdr:nvSpPr>
      <xdr:spPr>
        <a:xfrm>
          <a:off x="2821305" y="2185670"/>
          <a:ext cx="60960" cy="64770"/>
        </a:xfrm>
        <a:prstGeom prst="line">
          <a:avLst/>
        </a:prstGeom>
        <a:ln w="12700" cap="flat" cmpd="sng">
          <a:solidFill>
            <a:srgbClr val="000000"/>
          </a:solidFill>
          <a:prstDash val="solid"/>
          <a:round/>
          <a:headEnd type="none" w="med" len="med"/>
          <a:tailEnd type="none" w="med" len="med"/>
        </a:ln>
      </xdr:spPr>
    </xdr:sp>
    <xdr:clientData/>
  </xdr:twoCellAnchor>
  <xdr:twoCellAnchor>
    <xdr:from>
      <xdr:col>1</xdr:col>
      <xdr:colOff>167640</xdr:colOff>
      <xdr:row>9</xdr:row>
      <xdr:rowOff>45720</xdr:rowOff>
    </xdr:from>
    <xdr:to>
      <xdr:col>2</xdr:col>
      <xdr:colOff>281940</xdr:colOff>
      <xdr:row>10</xdr:row>
      <xdr:rowOff>84455</xdr:rowOff>
    </xdr:to>
    <xdr:sp macro="" textlink="">
      <xdr:nvSpPr>
        <xdr:cNvPr id="1242949" name="Line 280">
          <a:extLst>
            <a:ext uri="{FF2B5EF4-FFF2-40B4-BE49-F238E27FC236}">
              <a16:creationId xmlns:a16="http://schemas.microsoft.com/office/drawing/2014/main" id="{00000000-0008-0000-5000-000045F71200}"/>
            </a:ext>
          </a:extLst>
        </xdr:cNvPr>
        <xdr:cNvSpPr/>
      </xdr:nvSpPr>
      <xdr:spPr>
        <a:xfrm>
          <a:off x="453390" y="2513330"/>
          <a:ext cx="361950" cy="294005"/>
        </a:xfrm>
        <a:prstGeom prst="line">
          <a:avLst/>
        </a:prstGeom>
        <a:ln w="12700" cap="flat" cmpd="sng">
          <a:solidFill>
            <a:srgbClr val="000000"/>
          </a:solidFill>
          <a:prstDash val="solid"/>
          <a:round/>
          <a:headEnd type="none" w="med" len="med"/>
          <a:tailEnd type="none" w="med" len="med"/>
        </a:ln>
      </xdr:spPr>
    </xdr:sp>
    <xdr:clientData/>
  </xdr:twoCellAnchor>
  <xdr:twoCellAnchor>
    <xdr:from>
      <xdr:col>1</xdr:col>
      <xdr:colOff>144780</xdr:colOff>
      <xdr:row>9</xdr:row>
      <xdr:rowOff>221615</xdr:rowOff>
    </xdr:from>
    <xdr:to>
      <xdr:col>2</xdr:col>
      <xdr:colOff>30480</xdr:colOff>
      <xdr:row>10</xdr:row>
      <xdr:rowOff>84455</xdr:rowOff>
    </xdr:to>
    <xdr:sp macro="" textlink="">
      <xdr:nvSpPr>
        <xdr:cNvPr id="1242950" name="Line 281">
          <a:extLst>
            <a:ext uri="{FF2B5EF4-FFF2-40B4-BE49-F238E27FC236}">
              <a16:creationId xmlns:a16="http://schemas.microsoft.com/office/drawing/2014/main" id="{00000000-0008-0000-5000-000046F71200}"/>
            </a:ext>
          </a:extLst>
        </xdr:cNvPr>
        <xdr:cNvSpPr/>
      </xdr:nvSpPr>
      <xdr:spPr>
        <a:xfrm>
          <a:off x="430530" y="2689225"/>
          <a:ext cx="133350" cy="118110"/>
        </a:xfrm>
        <a:prstGeom prst="line">
          <a:avLst/>
        </a:prstGeom>
        <a:ln w="12700" cap="flat" cmpd="sng">
          <a:solidFill>
            <a:srgbClr val="000000"/>
          </a:solidFill>
          <a:prstDash val="solid"/>
          <a:round/>
          <a:headEnd type="none" w="med" len="med"/>
          <a:tailEnd type="none" w="med" len="med"/>
        </a:ln>
      </xdr:spPr>
    </xdr:sp>
    <xdr:clientData/>
  </xdr:twoCellAnchor>
  <xdr:twoCellAnchor>
    <xdr:from>
      <xdr:col>1</xdr:col>
      <xdr:colOff>106680</xdr:colOff>
      <xdr:row>8</xdr:row>
      <xdr:rowOff>45720</xdr:rowOff>
    </xdr:from>
    <xdr:to>
      <xdr:col>2</xdr:col>
      <xdr:colOff>0</xdr:colOff>
      <xdr:row>8</xdr:row>
      <xdr:rowOff>159385</xdr:rowOff>
    </xdr:to>
    <xdr:sp macro="" textlink="">
      <xdr:nvSpPr>
        <xdr:cNvPr id="1242951" name="Line 282">
          <a:extLst>
            <a:ext uri="{FF2B5EF4-FFF2-40B4-BE49-F238E27FC236}">
              <a16:creationId xmlns:a16="http://schemas.microsoft.com/office/drawing/2014/main" id="{00000000-0008-0000-5000-000047F71200}"/>
            </a:ext>
          </a:extLst>
        </xdr:cNvPr>
        <xdr:cNvSpPr/>
      </xdr:nvSpPr>
      <xdr:spPr>
        <a:xfrm>
          <a:off x="392430" y="2258060"/>
          <a:ext cx="140970" cy="113665"/>
        </a:xfrm>
        <a:prstGeom prst="line">
          <a:avLst/>
        </a:prstGeom>
        <a:ln w="12700" cap="flat" cmpd="sng">
          <a:solidFill>
            <a:srgbClr val="000000"/>
          </a:solidFill>
          <a:prstDash val="solid"/>
          <a:round/>
          <a:headEnd type="none" w="med" len="med"/>
          <a:tailEnd type="none" w="med" len="med"/>
        </a:ln>
      </xdr:spPr>
    </xdr:sp>
    <xdr:clientData/>
  </xdr:twoCellAnchor>
  <xdr:twoCellAnchor>
    <xdr:from>
      <xdr:col>1</xdr:col>
      <xdr:colOff>236220</xdr:colOff>
      <xdr:row>7</xdr:row>
      <xdr:rowOff>175260</xdr:rowOff>
    </xdr:from>
    <xdr:to>
      <xdr:col>2</xdr:col>
      <xdr:colOff>76200</xdr:colOff>
      <xdr:row>8</xdr:row>
      <xdr:rowOff>0</xdr:rowOff>
    </xdr:to>
    <xdr:sp macro="" textlink="">
      <xdr:nvSpPr>
        <xdr:cNvPr id="1242952" name="Line 283">
          <a:extLst>
            <a:ext uri="{FF2B5EF4-FFF2-40B4-BE49-F238E27FC236}">
              <a16:creationId xmlns:a16="http://schemas.microsoft.com/office/drawing/2014/main" id="{00000000-0008-0000-5000-000048F71200}"/>
            </a:ext>
          </a:extLst>
        </xdr:cNvPr>
        <xdr:cNvSpPr/>
      </xdr:nvSpPr>
      <xdr:spPr>
        <a:xfrm>
          <a:off x="521970" y="2132330"/>
          <a:ext cx="87630" cy="80010"/>
        </a:xfrm>
        <a:prstGeom prst="line">
          <a:avLst/>
        </a:prstGeom>
        <a:ln w="12700" cap="flat" cmpd="sng">
          <a:solidFill>
            <a:srgbClr val="000000"/>
          </a:solidFill>
          <a:prstDash val="solid"/>
          <a:round/>
          <a:headEnd type="none" w="med" len="med"/>
          <a:tailEnd type="none" w="med" len="med"/>
        </a:ln>
      </xdr:spPr>
    </xdr:sp>
    <xdr:clientData/>
  </xdr:twoCellAnchor>
  <xdr:twoCellAnchor>
    <xdr:from>
      <xdr:col>2</xdr:col>
      <xdr:colOff>228600</xdr:colOff>
      <xdr:row>7</xdr:row>
      <xdr:rowOff>175260</xdr:rowOff>
    </xdr:from>
    <xdr:to>
      <xdr:col>2</xdr:col>
      <xdr:colOff>327660</xdr:colOff>
      <xdr:row>8</xdr:row>
      <xdr:rowOff>0</xdr:rowOff>
    </xdr:to>
    <xdr:sp macro="" textlink="">
      <xdr:nvSpPr>
        <xdr:cNvPr id="1242953" name="Line 284">
          <a:extLst>
            <a:ext uri="{FF2B5EF4-FFF2-40B4-BE49-F238E27FC236}">
              <a16:creationId xmlns:a16="http://schemas.microsoft.com/office/drawing/2014/main" id="{00000000-0008-0000-5000-000049F71200}"/>
            </a:ext>
          </a:extLst>
        </xdr:cNvPr>
        <xdr:cNvSpPr/>
      </xdr:nvSpPr>
      <xdr:spPr>
        <a:xfrm>
          <a:off x="762000" y="2132330"/>
          <a:ext cx="99060" cy="80010"/>
        </a:xfrm>
        <a:prstGeom prst="line">
          <a:avLst/>
        </a:prstGeom>
        <a:ln w="12700" cap="flat" cmpd="sng">
          <a:solidFill>
            <a:srgbClr val="000000"/>
          </a:solidFill>
          <a:prstDash val="solid"/>
          <a:round/>
          <a:headEnd type="none" w="med" len="med"/>
          <a:tailEnd type="none" w="med" len="med"/>
        </a:ln>
      </xdr:spPr>
    </xdr:sp>
    <xdr:clientData/>
  </xdr:twoCellAnchor>
  <xdr:twoCellAnchor>
    <xdr:from>
      <xdr:col>2</xdr:col>
      <xdr:colOff>114300</xdr:colOff>
      <xdr:row>9</xdr:row>
      <xdr:rowOff>0</xdr:rowOff>
    </xdr:from>
    <xdr:to>
      <xdr:col>3</xdr:col>
      <xdr:colOff>167640</xdr:colOff>
      <xdr:row>10</xdr:row>
      <xdr:rowOff>53340</xdr:rowOff>
    </xdr:to>
    <xdr:sp macro="" textlink="">
      <xdr:nvSpPr>
        <xdr:cNvPr id="1242954" name="Line 285">
          <a:extLst>
            <a:ext uri="{FF2B5EF4-FFF2-40B4-BE49-F238E27FC236}">
              <a16:creationId xmlns:a16="http://schemas.microsoft.com/office/drawing/2014/main" id="{00000000-0008-0000-5000-00004AF71200}"/>
            </a:ext>
          </a:extLst>
        </xdr:cNvPr>
        <xdr:cNvSpPr/>
      </xdr:nvSpPr>
      <xdr:spPr>
        <a:xfrm>
          <a:off x="647700" y="2467610"/>
          <a:ext cx="405765" cy="308610"/>
        </a:xfrm>
        <a:prstGeom prst="line">
          <a:avLst/>
        </a:prstGeom>
        <a:ln w="12700" cap="flat" cmpd="sng">
          <a:solidFill>
            <a:srgbClr val="000000"/>
          </a:solidFill>
          <a:prstDash val="solid"/>
          <a:round/>
          <a:headEnd type="none" w="med" len="med"/>
          <a:tailEnd type="none" w="med" len="med"/>
        </a:ln>
      </xdr:spPr>
    </xdr:sp>
    <xdr:clientData/>
  </xdr:twoCellAnchor>
  <xdr:twoCellAnchor>
    <xdr:from>
      <xdr:col>3</xdr:col>
      <xdr:colOff>0</xdr:colOff>
      <xdr:row>8</xdr:row>
      <xdr:rowOff>198120</xdr:rowOff>
    </xdr:from>
    <xdr:to>
      <xdr:col>3</xdr:col>
      <xdr:colOff>160020</xdr:colOff>
      <xdr:row>9</xdr:row>
      <xdr:rowOff>75565</xdr:rowOff>
    </xdr:to>
    <xdr:sp macro="" textlink="">
      <xdr:nvSpPr>
        <xdr:cNvPr id="1242955" name="Line 286">
          <a:extLst>
            <a:ext uri="{FF2B5EF4-FFF2-40B4-BE49-F238E27FC236}">
              <a16:creationId xmlns:a16="http://schemas.microsoft.com/office/drawing/2014/main" id="{00000000-0008-0000-5000-00004BF71200}"/>
            </a:ext>
          </a:extLst>
        </xdr:cNvPr>
        <xdr:cNvSpPr/>
      </xdr:nvSpPr>
      <xdr:spPr>
        <a:xfrm>
          <a:off x="885825" y="2410460"/>
          <a:ext cx="160020" cy="132715"/>
        </a:xfrm>
        <a:prstGeom prst="line">
          <a:avLst/>
        </a:prstGeom>
        <a:ln w="12700" cap="flat" cmpd="sng">
          <a:solidFill>
            <a:srgbClr val="000000"/>
          </a:solidFill>
          <a:prstDash val="solid"/>
          <a:round/>
          <a:headEnd type="none" w="med" len="med"/>
          <a:tailEnd type="none" w="med" len="med"/>
        </a:ln>
      </xdr:spPr>
    </xdr:sp>
    <xdr:clientData/>
  </xdr:twoCellAnchor>
  <xdr:twoCellAnchor>
    <xdr:from>
      <xdr:col>3</xdr:col>
      <xdr:colOff>91440</xdr:colOff>
      <xdr:row>8</xdr:row>
      <xdr:rowOff>75565</xdr:rowOff>
    </xdr:from>
    <xdr:to>
      <xdr:col>3</xdr:col>
      <xdr:colOff>160020</xdr:colOff>
      <xdr:row>8</xdr:row>
      <xdr:rowOff>128905</xdr:rowOff>
    </xdr:to>
    <xdr:sp macro="" textlink="">
      <xdr:nvSpPr>
        <xdr:cNvPr id="1242956" name="Line 287">
          <a:extLst>
            <a:ext uri="{FF2B5EF4-FFF2-40B4-BE49-F238E27FC236}">
              <a16:creationId xmlns:a16="http://schemas.microsoft.com/office/drawing/2014/main" id="{00000000-0008-0000-5000-00004CF71200}"/>
            </a:ext>
          </a:extLst>
        </xdr:cNvPr>
        <xdr:cNvSpPr/>
      </xdr:nvSpPr>
      <xdr:spPr>
        <a:xfrm>
          <a:off x="977265" y="2287905"/>
          <a:ext cx="68580" cy="53340"/>
        </a:xfrm>
        <a:prstGeom prst="line">
          <a:avLst/>
        </a:prstGeom>
        <a:ln w="12700" cap="flat" cmpd="sng">
          <a:solidFill>
            <a:srgbClr val="000000"/>
          </a:solidFill>
          <a:prstDash val="solid"/>
          <a:round/>
          <a:headEnd type="none" w="med" len="med"/>
          <a:tailEnd type="none" w="med" len="med"/>
        </a:ln>
      </xdr:spPr>
    </xdr:sp>
    <xdr:clientData/>
  </xdr:twoCellAnchor>
  <xdr:twoCellAnchor>
    <xdr:from>
      <xdr:col>14</xdr:col>
      <xdr:colOff>167640</xdr:colOff>
      <xdr:row>9</xdr:row>
      <xdr:rowOff>52705</xdr:rowOff>
    </xdr:from>
    <xdr:to>
      <xdr:col>15</xdr:col>
      <xdr:colOff>91440</xdr:colOff>
      <xdr:row>9</xdr:row>
      <xdr:rowOff>228600</xdr:rowOff>
    </xdr:to>
    <xdr:sp macro="" textlink="">
      <xdr:nvSpPr>
        <xdr:cNvPr id="1242957" name="Line 288">
          <a:extLst>
            <a:ext uri="{FF2B5EF4-FFF2-40B4-BE49-F238E27FC236}">
              <a16:creationId xmlns:a16="http://schemas.microsoft.com/office/drawing/2014/main" id="{00000000-0008-0000-5000-00004DF71200}"/>
            </a:ext>
          </a:extLst>
        </xdr:cNvPr>
        <xdr:cNvSpPr/>
      </xdr:nvSpPr>
      <xdr:spPr>
        <a:xfrm flipH="1">
          <a:off x="4377690" y="2520315"/>
          <a:ext cx="209550" cy="175895"/>
        </a:xfrm>
        <a:prstGeom prst="line">
          <a:avLst/>
        </a:prstGeom>
        <a:ln w="38100" cap="flat" cmpd="dbl">
          <a:solidFill>
            <a:srgbClr val="000000"/>
          </a:solidFill>
          <a:prstDash val="solid"/>
          <a:round/>
          <a:headEnd type="none" w="med" len="med"/>
          <a:tailEnd type="none" w="med" len="med"/>
        </a:ln>
      </xdr:spPr>
    </xdr:sp>
    <xdr:clientData/>
  </xdr:twoCellAnchor>
  <xdr:twoCellAnchor>
    <xdr:from>
      <xdr:col>15</xdr:col>
      <xdr:colOff>30480</xdr:colOff>
      <xdr:row>9</xdr:row>
      <xdr:rowOff>68580</xdr:rowOff>
    </xdr:from>
    <xdr:to>
      <xdr:col>16</xdr:col>
      <xdr:colOff>68580</xdr:colOff>
      <xdr:row>10</xdr:row>
      <xdr:rowOff>76200</xdr:rowOff>
    </xdr:to>
    <xdr:sp macro="" textlink="">
      <xdr:nvSpPr>
        <xdr:cNvPr id="1242958" name="Line 289">
          <a:extLst>
            <a:ext uri="{FF2B5EF4-FFF2-40B4-BE49-F238E27FC236}">
              <a16:creationId xmlns:a16="http://schemas.microsoft.com/office/drawing/2014/main" id="{00000000-0008-0000-5000-00004EF71200}"/>
            </a:ext>
          </a:extLst>
        </xdr:cNvPr>
        <xdr:cNvSpPr/>
      </xdr:nvSpPr>
      <xdr:spPr>
        <a:xfrm flipH="1">
          <a:off x="4526280" y="2536190"/>
          <a:ext cx="323850" cy="262890"/>
        </a:xfrm>
        <a:prstGeom prst="line">
          <a:avLst/>
        </a:prstGeom>
        <a:ln w="38100" cap="flat" cmpd="dbl">
          <a:solidFill>
            <a:srgbClr val="000000"/>
          </a:solidFill>
          <a:prstDash val="solid"/>
          <a:round/>
          <a:headEnd type="none" w="med" len="med"/>
          <a:tailEnd type="none" w="med" len="med"/>
        </a:ln>
      </xdr:spPr>
    </xdr:sp>
    <xdr:clientData/>
  </xdr:twoCellAnchor>
  <xdr:twoCellAnchor>
    <xdr:from>
      <xdr:col>16</xdr:col>
      <xdr:colOff>30480</xdr:colOff>
      <xdr:row>9</xdr:row>
      <xdr:rowOff>45720</xdr:rowOff>
    </xdr:from>
    <xdr:to>
      <xdr:col>16</xdr:col>
      <xdr:colOff>350520</xdr:colOff>
      <xdr:row>10</xdr:row>
      <xdr:rowOff>53340</xdr:rowOff>
    </xdr:to>
    <xdr:sp macro="" textlink="">
      <xdr:nvSpPr>
        <xdr:cNvPr id="1242959" name="Line 291">
          <a:extLst>
            <a:ext uri="{FF2B5EF4-FFF2-40B4-BE49-F238E27FC236}">
              <a16:creationId xmlns:a16="http://schemas.microsoft.com/office/drawing/2014/main" id="{00000000-0008-0000-5000-00004FF71200}"/>
            </a:ext>
          </a:extLst>
        </xdr:cNvPr>
        <xdr:cNvSpPr/>
      </xdr:nvSpPr>
      <xdr:spPr>
        <a:xfrm flipH="1">
          <a:off x="4812030" y="2513330"/>
          <a:ext cx="320040" cy="262890"/>
        </a:xfrm>
        <a:prstGeom prst="line">
          <a:avLst/>
        </a:prstGeom>
        <a:ln w="38100" cap="flat" cmpd="dbl">
          <a:solidFill>
            <a:srgbClr val="000000"/>
          </a:solidFill>
          <a:prstDash val="solid"/>
          <a:round/>
          <a:headEnd type="none" w="med" len="med"/>
          <a:tailEnd type="none" w="med" len="med"/>
        </a:ln>
      </xdr:spPr>
    </xdr:sp>
    <xdr:clientData/>
  </xdr:twoCellAnchor>
  <xdr:twoCellAnchor>
    <xdr:from>
      <xdr:col>16</xdr:col>
      <xdr:colOff>297180</xdr:colOff>
      <xdr:row>9</xdr:row>
      <xdr:rowOff>52705</xdr:rowOff>
    </xdr:from>
    <xdr:to>
      <xdr:col>17</xdr:col>
      <xdr:colOff>213360</xdr:colOff>
      <xdr:row>10</xdr:row>
      <xdr:rowOff>68580</xdr:rowOff>
    </xdr:to>
    <xdr:sp macro="" textlink="">
      <xdr:nvSpPr>
        <xdr:cNvPr id="1242960" name="Line 292">
          <a:extLst>
            <a:ext uri="{FF2B5EF4-FFF2-40B4-BE49-F238E27FC236}">
              <a16:creationId xmlns:a16="http://schemas.microsoft.com/office/drawing/2014/main" id="{00000000-0008-0000-5000-000050F71200}"/>
            </a:ext>
          </a:extLst>
        </xdr:cNvPr>
        <xdr:cNvSpPr/>
      </xdr:nvSpPr>
      <xdr:spPr>
        <a:xfrm flipH="1">
          <a:off x="5078730" y="2520315"/>
          <a:ext cx="354330" cy="271145"/>
        </a:xfrm>
        <a:prstGeom prst="line">
          <a:avLst/>
        </a:prstGeom>
        <a:ln w="38100" cap="flat" cmpd="dbl">
          <a:solidFill>
            <a:srgbClr val="000000"/>
          </a:solidFill>
          <a:prstDash val="solid"/>
          <a:round/>
          <a:headEnd type="none" w="med" len="med"/>
          <a:tailEnd type="none" w="med" len="med"/>
        </a:ln>
      </xdr:spPr>
    </xdr:sp>
    <xdr:clientData/>
  </xdr:twoCellAnchor>
  <xdr:twoCellAnchor>
    <xdr:from>
      <xdr:col>17</xdr:col>
      <xdr:colOff>190500</xdr:colOff>
      <xdr:row>9</xdr:row>
      <xdr:rowOff>159385</xdr:rowOff>
    </xdr:from>
    <xdr:to>
      <xdr:col>18</xdr:col>
      <xdr:colOff>91440</xdr:colOff>
      <xdr:row>10</xdr:row>
      <xdr:rowOff>68580</xdr:rowOff>
    </xdr:to>
    <xdr:sp macro="" textlink="">
      <xdr:nvSpPr>
        <xdr:cNvPr id="1242961" name="Line 293">
          <a:extLst>
            <a:ext uri="{FF2B5EF4-FFF2-40B4-BE49-F238E27FC236}">
              <a16:creationId xmlns:a16="http://schemas.microsoft.com/office/drawing/2014/main" id="{00000000-0008-0000-5000-000051F71200}"/>
            </a:ext>
          </a:extLst>
        </xdr:cNvPr>
        <xdr:cNvSpPr/>
      </xdr:nvSpPr>
      <xdr:spPr>
        <a:xfrm flipH="1">
          <a:off x="5410200" y="2626995"/>
          <a:ext cx="186690" cy="164465"/>
        </a:xfrm>
        <a:prstGeom prst="line">
          <a:avLst/>
        </a:prstGeom>
        <a:ln w="38100" cap="flat" cmpd="dbl">
          <a:solidFill>
            <a:srgbClr val="000000"/>
          </a:solidFill>
          <a:prstDash val="solid"/>
          <a:round/>
          <a:headEnd type="none" w="med" len="med"/>
          <a:tailEnd type="none" w="med" len="med"/>
        </a:ln>
      </xdr:spPr>
    </xdr:sp>
    <xdr:clientData/>
  </xdr:twoCellAnchor>
  <xdr:twoCellAnchor>
    <xdr:from>
      <xdr:col>3</xdr:col>
      <xdr:colOff>190500</xdr:colOff>
      <xdr:row>9</xdr:row>
      <xdr:rowOff>31115</xdr:rowOff>
    </xdr:from>
    <xdr:to>
      <xdr:col>4</xdr:col>
      <xdr:colOff>83820</xdr:colOff>
      <xdr:row>9</xdr:row>
      <xdr:rowOff>182245</xdr:rowOff>
    </xdr:to>
    <xdr:sp macro="" textlink="">
      <xdr:nvSpPr>
        <xdr:cNvPr id="1242962" name="Line 295">
          <a:extLst>
            <a:ext uri="{FF2B5EF4-FFF2-40B4-BE49-F238E27FC236}">
              <a16:creationId xmlns:a16="http://schemas.microsoft.com/office/drawing/2014/main" id="{00000000-0008-0000-5000-000052F71200}"/>
            </a:ext>
          </a:extLst>
        </xdr:cNvPr>
        <xdr:cNvSpPr/>
      </xdr:nvSpPr>
      <xdr:spPr>
        <a:xfrm flipH="1">
          <a:off x="1076325" y="2498725"/>
          <a:ext cx="179070" cy="151130"/>
        </a:xfrm>
        <a:prstGeom prst="line">
          <a:avLst/>
        </a:prstGeom>
        <a:ln w="38100" cap="flat" cmpd="dbl">
          <a:solidFill>
            <a:srgbClr val="000000"/>
          </a:solidFill>
          <a:prstDash val="solid"/>
          <a:round/>
          <a:headEnd type="none" w="med" len="med"/>
          <a:tailEnd type="none" w="med" len="med"/>
        </a:ln>
      </xdr:spPr>
    </xdr:sp>
    <xdr:clientData/>
  </xdr:twoCellAnchor>
  <xdr:twoCellAnchor>
    <xdr:from>
      <xdr:col>4</xdr:col>
      <xdr:colOff>76200</xdr:colOff>
      <xdr:row>9</xdr:row>
      <xdr:rowOff>38100</xdr:rowOff>
    </xdr:from>
    <xdr:to>
      <xdr:col>5</xdr:col>
      <xdr:colOff>30480</xdr:colOff>
      <xdr:row>10</xdr:row>
      <xdr:rowOff>0</xdr:rowOff>
    </xdr:to>
    <xdr:sp macro="" textlink="">
      <xdr:nvSpPr>
        <xdr:cNvPr id="1242963" name="Line 296">
          <a:extLst>
            <a:ext uri="{FF2B5EF4-FFF2-40B4-BE49-F238E27FC236}">
              <a16:creationId xmlns:a16="http://schemas.microsoft.com/office/drawing/2014/main" id="{00000000-0008-0000-5000-000053F71200}"/>
            </a:ext>
          </a:extLst>
        </xdr:cNvPr>
        <xdr:cNvSpPr/>
      </xdr:nvSpPr>
      <xdr:spPr>
        <a:xfrm flipH="1">
          <a:off x="1247775" y="2505710"/>
          <a:ext cx="240030" cy="217170"/>
        </a:xfrm>
        <a:prstGeom prst="line">
          <a:avLst/>
        </a:prstGeom>
        <a:ln w="38100" cap="flat" cmpd="dbl">
          <a:solidFill>
            <a:srgbClr val="000000"/>
          </a:solidFill>
          <a:prstDash val="solid"/>
          <a:round/>
          <a:headEnd type="none" w="med" len="med"/>
          <a:tailEnd type="none" w="med" len="med"/>
        </a:ln>
      </xdr:spPr>
    </xdr:sp>
    <xdr:clientData/>
  </xdr:twoCellAnchor>
  <xdr:twoCellAnchor>
    <xdr:from>
      <xdr:col>5</xdr:col>
      <xdr:colOff>274320</xdr:colOff>
      <xdr:row>9</xdr:row>
      <xdr:rowOff>31115</xdr:rowOff>
    </xdr:from>
    <xdr:to>
      <xdr:col>6</xdr:col>
      <xdr:colOff>114300</xdr:colOff>
      <xdr:row>9</xdr:row>
      <xdr:rowOff>236220</xdr:rowOff>
    </xdr:to>
    <xdr:sp macro="" textlink="">
      <xdr:nvSpPr>
        <xdr:cNvPr id="1242964" name="Line 297">
          <a:extLst>
            <a:ext uri="{FF2B5EF4-FFF2-40B4-BE49-F238E27FC236}">
              <a16:creationId xmlns:a16="http://schemas.microsoft.com/office/drawing/2014/main" id="{00000000-0008-0000-5000-000054F71200}"/>
            </a:ext>
          </a:extLst>
        </xdr:cNvPr>
        <xdr:cNvSpPr/>
      </xdr:nvSpPr>
      <xdr:spPr>
        <a:xfrm flipH="1">
          <a:off x="1731645" y="2498725"/>
          <a:ext cx="278130" cy="205105"/>
        </a:xfrm>
        <a:prstGeom prst="line">
          <a:avLst/>
        </a:prstGeom>
        <a:ln w="38100" cap="flat" cmpd="dbl">
          <a:solidFill>
            <a:srgbClr val="000000"/>
          </a:solidFill>
          <a:prstDash val="solid"/>
          <a:round/>
          <a:headEnd type="none" w="med" len="med"/>
          <a:tailEnd type="none" w="med" len="med"/>
        </a:ln>
      </xdr:spPr>
    </xdr:sp>
    <xdr:clientData/>
  </xdr:twoCellAnchor>
  <xdr:twoCellAnchor>
    <xdr:from>
      <xdr:col>5</xdr:col>
      <xdr:colOff>30480</xdr:colOff>
      <xdr:row>9</xdr:row>
      <xdr:rowOff>31115</xdr:rowOff>
    </xdr:from>
    <xdr:to>
      <xdr:col>5</xdr:col>
      <xdr:colOff>266700</xdr:colOff>
      <xdr:row>9</xdr:row>
      <xdr:rowOff>244475</xdr:rowOff>
    </xdr:to>
    <xdr:sp macro="" textlink="">
      <xdr:nvSpPr>
        <xdr:cNvPr id="1242965" name="Line 299">
          <a:extLst>
            <a:ext uri="{FF2B5EF4-FFF2-40B4-BE49-F238E27FC236}">
              <a16:creationId xmlns:a16="http://schemas.microsoft.com/office/drawing/2014/main" id="{00000000-0008-0000-5000-000055F71200}"/>
            </a:ext>
          </a:extLst>
        </xdr:cNvPr>
        <xdr:cNvSpPr/>
      </xdr:nvSpPr>
      <xdr:spPr>
        <a:xfrm flipH="1">
          <a:off x="1487805" y="2498725"/>
          <a:ext cx="236220" cy="213360"/>
        </a:xfrm>
        <a:prstGeom prst="line">
          <a:avLst/>
        </a:prstGeom>
        <a:ln w="38100" cap="flat" cmpd="dbl">
          <a:solidFill>
            <a:srgbClr val="000000"/>
          </a:solidFill>
          <a:prstDash val="solid"/>
          <a:round/>
          <a:headEnd type="none" w="med" len="med"/>
          <a:tailEnd type="none" w="med" len="med"/>
        </a:ln>
      </xdr:spPr>
    </xdr:sp>
    <xdr:clientData/>
  </xdr:twoCellAnchor>
  <xdr:twoCellAnchor>
    <xdr:from>
      <xdr:col>6</xdr:col>
      <xdr:colOff>99060</xdr:colOff>
      <xdr:row>9</xdr:row>
      <xdr:rowOff>31115</xdr:rowOff>
    </xdr:from>
    <xdr:to>
      <xdr:col>7</xdr:col>
      <xdr:colOff>60960</xdr:colOff>
      <xdr:row>9</xdr:row>
      <xdr:rowOff>236220</xdr:rowOff>
    </xdr:to>
    <xdr:sp macro="" textlink="">
      <xdr:nvSpPr>
        <xdr:cNvPr id="1242966" name="Line 300">
          <a:extLst>
            <a:ext uri="{FF2B5EF4-FFF2-40B4-BE49-F238E27FC236}">
              <a16:creationId xmlns:a16="http://schemas.microsoft.com/office/drawing/2014/main" id="{00000000-0008-0000-5000-000056F71200}"/>
            </a:ext>
          </a:extLst>
        </xdr:cNvPr>
        <xdr:cNvSpPr/>
      </xdr:nvSpPr>
      <xdr:spPr>
        <a:xfrm flipH="1">
          <a:off x="1994535" y="2498725"/>
          <a:ext cx="247650" cy="205105"/>
        </a:xfrm>
        <a:prstGeom prst="line">
          <a:avLst/>
        </a:prstGeom>
        <a:ln w="38100" cap="flat" cmpd="dbl">
          <a:solidFill>
            <a:srgbClr val="000000"/>
          </a:solidFill>
          <a:prstDash val="solid"/>
          <a:round/>
          <a:headEnd type="none" w="med" len="med"/>
          <a:tailEnd type="none" w="med" len="med"/>
        </a:ln>
      </xdr:spPr>
    </xdr:sp>
    <xdr:clientData/>
  </xdr:twoCellAnchor>
  <xdr:twoCellAnchor>
    <xdr:from>
      <xdr:col>7</xdr:col>
      <xdr:colOff>30480</xdr:colOff>
      <xdr:row>9</xdr:row>
      <xdr:rowOff>182245</xdr:rowOff>
    </xdr:from>
    <xdr:to>
      <xdr:col>7</xdr:col>
      <xdr:colOff>114300</xdr:colOff>
      <xdr:row>10</xdr:row>
      <xdr:rowOff>0</xdr:rowOff>
    </xdr:to>
    <xdr:sp macro="" textlink="">
      <xdr:nvSpPr>
        <xdr:cNvPr id="1242967" name="Line 301">
          <a:extLst>
            <a:ext uri="{FF2B5EF4-FFF2-40B4-BE49-F238E27FC236}">
              <a16:creationId xmlns:a16="http://schemas.microsoft.com/office/drawing/2014/main" id="{00000000-0008-0000-5000-000057F71200}"/>
            </a:ext>
          </a:extLst>
        </xdr:cNvPr>
        <xdr:cNvSpPr/>
      </xdr:nvSpPr>
      <xdr:spPr>
        <a:xfrm flipH="1">
          <a:off x="2211705" y="2649855"/>
          <a:ext cx="83820" cy="73025"/>
        </a:xfrm>
        <a:prstGeom prst="line">
          <a:avLst/>
        </a:prstGeom>
        <a:ln w="38100" cap="flat" cmpd="dbl">
          <a:solidFill>
            <a:srgbClr val="000000"/>
          </a:solidFill>
          <a:prstDash val="solid"/>
          <a:round/>
          <a:headEnd type="none" w="med" len="med"/>
          <a:tailEnd type="none" w="med" len="med"/>
        </a:ln>
      </xdr:spPr>
    </xdr:sp>
    <xdr:clientData/>
  </xdr:twoCellAnchor>
  <xdr:twoCellAnchor>
    <xdr:from>
      <xdr:col>12</xdr:col>
      <xdr:colOff>38100</xdr:colOff>
      <xdr:row>10</xdr:row>
      <xdr:rowOff>92075</xdr:rowOff>
    </xdr:from>
    <xdr:to>
      <xdr:col>13</xdr:col>
      <xdr:colOff>114300</xdr:colOff>
      <xdr:row>11</xdr:row>
      <xdr:rowOff>83820</xdr:rowOff>
    </xdr:to>
    <xdr:sp macro="" textlink="">
      <xdr:nvSpPr>
        <xdr:cNvPr id="1242968" name="Line 302">
          <a:extLst>
            <a:ext uri="{FF2B5EF4-FFF2-40B4-BE49-F238E27FC236}">
              <a16:creationId xmlns:a16="http://schemas.microsoft.com/office/drawing/2014/main" id="{00000000-0008-0000-5000-000058F71200}"/>
            </a:ext>
          </a:extLst>
        </xdr:cNvPr>
        <xdr:cNvSpPr/>
      </xdr:nvSpPr>
      <xdr:spPr>
        <a:xfrm flipH="1">
          <a:off x="3648075" y="2814955"/>
          <a:ext cx="323850" cy="239395"/>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167640</xdr:colOff>
      <xdr:row>10</xdr:row>
      <xdr:rowOff>84455</xdr:rowOff>
    </xdr:from>
    <xdr:to>
      <xdr:col>14</xdr:col>
      <xdr:colOff>30480</xdr:colOff>
      <xdr:row>11</xdr:row>
      <xdr:rowOff>182245</xdr:rowOff>
    </xdr:to>
    <xdr:sp macro="" textlink="">
      <xdr:nvSpPr>
        <xdr:cNvPr id="1242969" name="Line 303">
          <a:extLst>
            <a:ext uri="{FF2B5EF4-FFF2-40B4-BE49-F238E27FC236}">
              <a16:creationId xmlns:a16="http://schemas.microsoft.com/office/drawing/2014/main" id="{00000000-0008-0000-5000-000059F71200}"/>
            </a:ext>
          </a:extLst>
        </xdr:cNvPr>
        <xdr:cNvSpPr/>
      </xdr:nvSpPr>
      <xdr:spPr>
        <a:xfrm flipH="1">
          <a:off x="3777615" y="2807335"/>
          <a:ext cx="462915"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60960</xdr:colOff>
      <xdr:row>10</xdr:row>
      <xdr:rowOff>92075</xdr:rowOff>
    </xdr:from>
    <xdr:to>
      <xdr:col>15</xdr:col>
      <xdr:colOff>228600</xdr:colOff>
      <xdr:row>11</xdr:row>
      <xdr:rowOff>190500</xdr:rowOff>
    </xdr:to>
    <xdr:sp macro="" textlink="">
      <xdr:nvSpPr>
        <xdr:cNvPr id="1242970" name="Line 304">
          <a:extLst>
            <a:ext uri="{FF2B5EF4-FFF2-40B4-BE49-F238E27FC236}">
              <a16:creationId xmlns:a16="http://schemas.microsoft.com/office/drawing/2014/main" id="{00000000-0008-0000-5000-00005AF71200}"/>
            </a:ext>
          </a:extLst>
        </xdr:cNvPr>
        <xdr:cNvSpPr/>
      </xdr:nvSpPr>
      <xdr:spPr>
        <a:xfrm flipH="1">
          <a:off x="4271010" y="2814955"/>
          <a:ext cx="453390" cy="346075"/>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152400</xdr:colOff>
      <xdr:row>10</xdr:row>
      <xdr:rowOff>84455</xdr:rowOff>
    </xdr:from>
    <xdr:to>
      <xdr:col>14</xdr:col>
      <xdr:colOff>274320</xdr:colOff>
      <xdr:row>11</xdr:row>
      <xdr:rowOff>182245</xdr:rowOff>
    </xdr:to>
    <xdr:sp macro="" textlink="">
      <xdr:nvSpPr>
        <xdr:cNvPr id="1242971" name="Line 305">
          <a:extLst>
            <a:ext uri="{FF2B5EF4-FFF2-40B4-BE49-F238E27FC236}">
              <a16:creationId xmlns:a16="http://schemas.microsoft.com/office/drawing/2014/main" id="{00000000-0008-0000-5000-00005BF71200}"/>
            </a:ext>
          </a:extLst>
        </xdr:cNvPr>
        <xdr:cNvSpPr/>
      </xdr:nvSpPr>
      <xdr:spPr>
        <a:xfrm flipH="1">
          <a:off x="4010025" y="2807335"/>
          <a:ext cx="474345"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274320</xdr:colOff>
      <xdr:row>10</xdr:row>
      <xdr:rowOff>84455</xdr:rowOff>
    </xdr:from>
    <xdr:to>
      <xdr:col>12</xdr:col>
      <xdr:colOff>137160</xdr:colOff>
      <xdr:row>10</xdr:row>
      <xdr:rowOff>182880</xdr:rowOff>
    </xdr:to>
    <xdr:sp macro="" textlink="">
      <xdr:nvSpPr>
        <xdr:cNvPr id="1242972" name="Line 306">
          <a:extLst>
            <a:ext uri="{FF2B5EF4-FFF2-40B4-BE49-F238E27FC236}">
              <a16:creationId xmlns:a16="http://schemas.microsoft.com/office/drawing/2014/main" id="{00000000-0008-0000-5000-00005CF71200}"/>
            </a:ext>
          </a:extLst>
        </xdr:cNvPr>
        <xdr:cNvSpPr/>
      </xdr:nvSpPr>
      <xdr:spPr>
        <a:xfrm flipH="1">
          <a:off x="3598545" y="2807335"/>
          <a:ext cx="148590" cy="98425"/>
        </a:xfrm>
        <a:prstGeom prst="line">
          <a:avLst/>
        </a:prstGeom>
        <a:ln w="9525" cap="flat" cmpd="sng">
          <a:solidFill>
            <a:srgbClr val="000000"/>
          </a:solidFill>
          <a:prstDash val="solid"/>
          <a:round/>
          <a:headEnd type="none" w="med" len="med"/>
          <a:tailEnd type="none" w="med" len="med"/>
        </a:ln>
      </xdr:spPr>
    </xdr:sp>
    <xdr:clientData/>
  </xdr:twoCellAnchor>
  <xdr:twoCellAnchor>
    <xdr:from>
      <xdr:col>15</xdr:col>
      <xdr:colOff>22860</xdr:colOff>
      <xdr:row>10</xdr:row>
      <xdr:rowOff>198120</xdr:rowOff>
    </xdr:from>
    <xdr:to>
      <xdr:col>16</xdr:col>
      <xdr:colOff>83820</xdr:colOff>
      <xdr:row>11</xdr:row>
      <xdr:rowOff>221615</xdr:rowOff>
    </xdr:to>
    <xdr:sp macro="" textlink="">
      <xdr:nvSpPr>
        <xdr:cNvPr id="1242973" name="Line 307">
          <a:extLst>
            <a:ext uri="{FF2B5EF4-FFF2-40B4-BE49-F238E27FC236}">
              <a16:creationId xmlns:a16="http://schemas.microsoft.com/office/drawing/2014/main" id="{00000000-0008-0000-5000-00005DF71200}"/>
            </a:ext>
          </a:extLst>
        </xdr:cNvPr>
        <xdr:cNvSpPr/>
      </xdr:nvSpPr>
      <xdr:spPr>
        <a:xfrm flipH="1">
          <a:off x="4518660" y="2921000"/>
          <a:ext cx="346710" cy="271145"/>
        </a:xfrm>
        <a:prstGeom prst="line">
          <a:avLst/>
        </a:prstGeom>
        <a:ln w="9525" cap="flat" cmpd="sng">
          <a:solidFill>
            <a:srgbClr val="000000"/>
          </a:solidFill>
          <a:prstDash val="solid"/>
          <a:round/>
          <a:headEnd type="none" w="med" len="med"/>
          <a:tailEnd type="none" w="med" len="med"/>
        </a:ln>
      </xdr:spPr>
    </xdr:sp>
    <xdr:clientData/>
  </xdr:twoCellAnchor>
  <xdr:twoCellAnchor>
    <xdr:from>
      <xdr:col>15</xdr:col>
      <xdr:colOff>266700</xdr:colOff>
      <xdr:row>11</xdr:row>
      <xdr:rowOff>152400</xdr:rowOff>
    </xdr:from>
    <xdr:to>
      <xdr:col>16</xdr:col>
      <xdr:colOff>68580</xdr:colOff>
      <xdr:row>11</xdr:row>
      <xdr:rowOff>221615</xdr:rowOff>
    </xdr:to>
    <xdr:sp macro="" textlink="">
      <xdr:nvSpPr>
        <xdr:cNvPr id="1242974" name="Line 308">
          <a:extLst>
            <a:ext uri="{FF2B5EF4-FFF2-40B4-BE49-F238E27FC236}">
              <a16:creationId xmlns:a16="http://schemas.microsoft.com/office/drawing/2014/main" id="{00000000-0008-0000-5000-00005EF71200}"/>
            </a:ext>
          </a:extLst>
        </xdr:cNvPr>
        <xdr:cNvSpPr/>
      </xdr:nvSpPr>
      <xdr:spPr>
        <a:xfrm flipH="1">
          <a:off x="4762500" y="3122930"/>
          <a:ext cx="87630" cy="69215"/>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304800</xdr:colOff>
      <xdr:row>10</xdr:row>
      <xdr:rowOff>84455</xdr:rowOff>
    </xdr:from>
    <xdr:to>
      <xdr:col>17</xdr:col>
      <xdr:colOff>83820</xdr:colOff>
      <xdr:row>10</xdr:row>
      <xdr:rowOff>220345</xdr:rowOff>
    </xdr:to>
    <xdr:sp macro="" textlink="">
      <xdr:nvSpPr>
        <xdr:cNvPr id="1242975" name="Line 309">
          <a:extLst>
            <a:ext uri="{FF2B5EF4-FFF2-40B4-BE49-F238E27FC236}">
              <a16:creationId xmlns:a16="http://schemas.microsoft.com/office/drawing/2014/main" id="{00000000-0008-0000-5000-00005FF71200}"/>
            </a:ext>
          </a:extLst>
        </xdr:cNvPr>
        <xdr:cNvSpPr/>
      </xdr:nvSpPr>
      <xdr:spPr>
        <a:xfrm flipH="1">
          <a:off x="5086350" y="2807335"/>
          <a:ext cx="217170" cy="13589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304800</xdr:colOff>
      <xdr:row>10</xdr:row>
      <xdr:rowOff>92075</xdr:rowOff>
    </xdr:from>
    <xdr:to>
      <xdr:col>18</xdr:col>
      <xdr:colOff>53340</xdr:colOff>
      <xdr:row>11</xdr:row>
      <xdr:rowOff>175260</xdr:rowOff>
    </xdr:to>
    <xdr:sp macro="" textlink="">
      <xdr:nvSpPr>
        <xdr:cNvPr id="1242976" name="Line 310">
          <a:extLst>
            <a:ext uri="{FF2B5EF4-FFF2-40B4-BE49-F238E27FC236}">
              <a16:creationId xmlns:a16="http://schemas.microsoft.com/office/drawing/2014/main" id="{00000000-0008-0000-5000-000060F71200}"/>
            </a:ext>
          </a:extLst>
        </xdr:cNvPr>
        <xdr:cNvSpPr/>
      </xdr:nvSpPr>
      <xdr:spPr>
        <a:xfrm flipH="1">
          <a:off x="5086350" y="2814955"/>
          <a:ext cx="472440" cy="330835"/>
        </a:xfrm>
        <a:prstGeom prst="line">
          <a:avLst/>
        </a:prstGeom>
        <a:ln w="9525" cap="flat" cmpd="sng">
          <a:solidFill>
            <a:srgbClr val="000000"/>
          </a:solidFill>
          <a:prstDash val="solid"/>
          <a:round/>
          <a:headEnd type="none" w="med" len="med"/>
          <a:tailEnd type="none" w="med" len="med"/>
        </a:ln>
      </xdr:spPr>
    </xdr:sp>
    <xdr:clientData/>
  </xdr:twoCellAnchor>
  <xdr:twoCellAnchor>
    <xdr:from>
      <xdr:col>17</xdr:col>
      <xdr:colOff>144780</xdr:colOff>
      <xdr:row>10</xdr:row>
      <xdr:rowOff>92075</xdr:rowOff>
    </xdr:from>
    <xdr:to>
      <xdr:col>19</xdr:col>
      <xdr:colOff>38100</xdr:colOff>
      <xdr:row>11</xdr:row>
      <xdr:rowOff>190500</xdr:rowOff>
    </xdr:to>
    <xdr:sp macro="" textlink="">
      <xdr:nvSpPr>
        <xdr:cNvPr id="1242977" name="Line 311">
          <a:extLst>
            <a:ext uri="{FF2B5EF4-FFF2-40B4-BE49-F238E27FC236}">
              <a16:creationId xmlns:a16="http://schemas.microsoft.com/office/drawing/2014/main" id="{00000000-0008-0000-5000-000061F71200}"/>
            </a:ext>
          </a:extLst>
        </xdr:cNvPr>
        <xdr:cNvSpPr/>
      </xdr:nvSpPr>
      <xdr:spPr>
        <a:xfrm flipH="1">
          <a:off x="5364480" y="2814955"/>
          <a:ext cx="464820" cy="346075"/>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121920</xdr:colOff>
      <xdr:row>10</xdr:row>
      <xdr:rowOff>84455</xdr:rowOff>
    </xdr:from>
    <xdr:to>
      <xdr:col>20</xdr:col>
      <xdr:colOff>7620</xdr:colOff>
      <xdr:row>11</xdr:row>
      <xdr:rowOff>182245</xdr:rowOff>
    </xdr:to>
    <xdr:sp macro="" textlink="">
      <xdr:nvSpPr>
        <xdr:cNvPr id="1242978" name="Line 312">
          <a:extLst>
            <a:ext uri="{FF2B5EF4-FFF2-40B4-BE49-F238E27FC236}">
              <a16:creationId xmlns:a16="http://schemas.microsoft.com/office/drawing/2014/main" id="{00000000-0008-0000-5000-000062F71200}"/>
            </a:ext>
          </a:extLst>
        </xdr:cNvPr>
        <xdr:cNvSpPr/>
      </xdr:nvSpPr>
      <xdr:spPr>
        <a:xfrm flipH="1">
          <a:off x="5627370" y="2807335"/>
          <a:ext cx="447675"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19</xdr:col>
      <xdr:colOff>68580</xdr:colOff>
      <xdr:row>10</xdr:row>
      <xdr:rowOff>114300</xdr:rowOff>
    </xdr:from>
    <xdr:to>
      <xdr:col>20</xdr:col>
      <xdr:colOff>236220</xdr:colOff>
      <xdr:row>11</xdr:row>
      <xdr:rowOff>213360</xdr:rowOff>
    </xdr:to>
    <xdr:sp macro="" textlink="">
      <xdr:nvSpPr>
        <xdr:cNvPr id="1242979" name="Line 313">
          <a:extLst>
            <a:ext uri="{FF2B5EF4-FFF2-40B4-BE49-F238E27FC236}">
              <a16:creationId xmlns:a16="http://schemas.microsoft.com/office/drawing/2014/main" id="{00000000-0008-0000-5000-000063F71200}"/>
            </a:ext>
          </a:extLst>
        </xdr:cNvPr>
        <xdr:cNvSpPr/>
      </xdr:nvSpPr>
      <xdr:spPr>
        <a:xfrm flipH="1">
          <a:off x="5859780" y="2837180"/>
          <a:ext cx="443865" cy="346710"/>
        </a:xfrm>
        <a:prstGeom prst="line">
          <a:avLst/>
        </a:prstGeom>
        <a:ln w="9525" cap="flat" cmpd="sng">
          <a:solidFill>
            <a:srgbClr val="000000"/>
          </a:solidFill>
          <a:prstDash val="solid"/>
          <a:round/>
          <a:headEnd type="none" w="med" len="med"/>
          <a:tailEnd type="none" w="med" len="med"/>
        </a:ln>
      </xdr:spPr>
    </xdr:sp>
    <xdr:clientData/>
  </xdr:twoCellAnchor>
  <xdr:twoCellAnchor>
    <xdr:from>
      <xdr:col>20</xdr:col>
      <xdr:colOff>114300</xdr:colOff>
      <xdr:row>11</xdr:row>
      <xdr:rowOff>75565</xdr:rowOff>
    </xdr:from>
    <xdr:to>
      <xdr:col>20</xdr:col>
      <xdr:colOff>259080</xdr:colOff>
      <xdr:row>11</xdr:row>
      <xdr:rowOff>190500</xdr:rowOff>
    </xdr:to>
    <xdr:sp macro="" textlink="">
      <xdr:nvSpPr>
        <xdr:cNvPr id="1242980" name="Line 314">
          <a:extLst>
            <a:ext uri="{FF2B5EF4-FFF2-40B4-BE49-F238E27FC236}">
              <a16:creationId xmlns:a16="http://schemas.microsoft.com/office/drawing/2014/main" id="{00000000-0008-0000-5000-000064F71200}"/>
            </a:ext>
          </a:extLst>
        </xdr:cNvPr>
        <xdr:cNvSpPr/>
      </xdr:nvSpPr>
      <xdr:spPr>
        <a:xfrm flipH="1">
          <a:off x="6181725" y="3046095"/>
          <a:ext cx="144780" cy="114935"/>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15240</xdr:colOff>
      <xdr:row>10</xdr:row>
      <xdr:rowOff>84455</xdr:rowOff>
    </xdr:from>
    <xdr:to>
      <xdr:col>1</xdr:col>
      <xdr:colOff>205740</xdr:colOff>
      <xdr:row>10</xdr:row>
      <xdr:rowOff>236855</xdr:rowOff>
    </xdr:to>
    <xdr:sp macro="" textlink="">
      <xdr:nvSpPr>
        <xdr:cNvPr id="1242981" name="Line 315">
          <a:extLst>
            <a:ext uri="{FF2B5EF4-FFF2-40B4-BE49-F238E27FC236}">
              <a16:creationId xmlns:a16="http://schemas.microsoft.com/office/drawing/2014/main" id="{00000000-0008-0000-5000-000065F71200}"/>
            </a:ext>
          </a:extLst>
        </xdr:cNvPr>
        <xdr:cNvSpPr/>
      </xdr:nvSpPr>
      <xdr:spPr>
        <a:xfrm flipH="1">
          <a:off x="300990" y="2807335"/>
          <a:ext cx="190500" cy="152400"/>
        </a:xfrm>
        <a:prstGeom prst="line">
          <a:avLst/>
        </a:prstGeom>
        <a:ln w="9525" cap="flat" cmpd="sng">
          <a:solidFill>
            <a:srgbClr val="000000"/>
          </a:solidFill>
          <a:prstDash val="solid"/>
          <a:round/>
          <a:headEnd type="none" w="med" len="med"/>
          <a:tailEnd type="none" w="med" len="med"/>
        </a:ln>
      </xdr:spPr>
    </xdr:sp>
    <xdr:clientData/>
  </xdr:twoCellAnchor>
  <xdr:twoCellAnchor>
    <xdr:from>
      <xdr:col>1</xdr:col>
      <xdr:colOff>106680</xdr:colOff>
      <xdr:row>10</xdr:row>
      <xdr:rowOff>84455</xdr:rowOff>
    </xdr:from>
    <xdr:to>
      <xdr:col>2</xdr:col>
      <xdr:colOff>266700</xdr:colOff>
      <xdr:row>11</xdr:row>
      <xdr:rowOff>182245</xdr:rowOff>
    </xdr:to>
    <xdr:sp macro="" textlink="">
      <xdr:nvSpPr>
        <xdr:cNvPr id="1242982" name="Line 316">
          <a:extLst>
            <a:ext uri="{FF2B5EF4-FFF2-40B4-BE49-F238E27FC236}">
              <a16:creationId xmlns:a16="http://schemas.microsoft.com/office/drawing/2014/main" id="{00000000-0008-0000-5000-000066F71200}"/>
            </a:ext>
          </a:extLst>
        </xdr:cNvPr>
        <xdr:cNvSpPr/>
      </xdr:nvSpPr>
      <xdr:spPr>
        <a:xfrm flipH="1">
          <a:off x="392430" y="2807335"/>
          <a:ext cx="407670"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7</xdr:col>
      <xdr:colOff>60960</xdr:colOff>
      <xdr:row>10</xdr:row>
      <xdr:rowOff>84455</xdr:rowOff>
    </xdr:from>
    <xdr:to>
      <xdr:col>8</xdr:col>
      <xdr:colOff>190500</xdr:colOff>
      <xdr:row>11</xdr:row>
      <xdr:rowOff>182245</xdr:rowOff>
    </xdr:to>
    <xdr:sp macro="" textlink="">
      <xdr:nvSpPr>
        <xdr:cNvPr id="1242983" name="Line 317">
          <a:extLst>
            <a:ext uri="{FF2B5EF4-FFF2-40B4-BE49-F238E27FC236}">
              <a16:creationId xmlns:a16="http://schemas.microsoft.com/office/drawing/2014/main" id="{00000000-0008-0000-5000-000067F71200}"/>
            </a:ext>
          </a:extLst>
        </xdr:cNvPr>
        <xdr:cNvSpPr/>
      </xdr:nvSpPr>
      <xdr:spPr>
        <a:xfrm flipH="1">
          <a:off x="2242185" y="2807335"/>
          <a:ext cx="415290"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190500</xdr:colOff>
      <xdr:row>10</xdr:row>
      <xdr:rowOff>84455</xdr:rowOff>
    </xdr:from>
    <xdr:to>
      <xdr:col>3</xdr:col>
      <xdr:colOff>266700</xdr:colOff>
      <xdr:row>11</xdr:row>
      <xdr:rowOff>182245</xdr:rowOff>
    </xdr:to>
    <xdr:sp macro="" textlink="">
      <xdr:nvSpPr>
        <xdr:cNvPr id="1242984" name="Line 318">
          <a:extLst>
            <a:ext uri="{FF2B5EF4-FFF2-40B4-BE49-F238E27FC236}">
              <a16:creationId xmlns:a16="http://schemas.microsoft.com/office/drawing/2014/main" id="{00000000-0008-0000-5000-000068F71200}"/>
            </a:ext>
          </a:extLst>
        </xdr:cNvPr>
        <xdr:cNvSpPr/>
      </xdr:nvSpPr>
      <xdr:spPr>
        <a:xfrm flipH="1">
          <a:off x="723900" y="2807335"/>
          <a:ext cx="428625"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5</xdr:col>
      <xdr:colOff>320040</xdr:colOff>
      <xdr:row>10</xdr:row>
      <xdr:rowOff>92075</xdr:rowOff>
    </xdr:from>
    <xdr:to>
      <xdr:col>6</xdr:col>
      <xdr:colOff>198120</xdr:colOff>
      <xdr:row>11</xdr:row>
      <xdr:rowOff>98425</xdr:rowOff>
    </xdr:to>
    <xdr:sp macro="" textlink="">
      <xdr:nvSpPr>
        <xdr:cNvPr id="1242985" name="Line 319">
          <a:extLst>
            <a:ext uri="{FF2B5EF4-FFF2-40B4-BE49-F238E27FC236}">
              <a16:creationId xmlns:a16="http://schemas.microsoft.com/office/drawing/2014/main" id="{00000000-0008-0000-5000-000069F71200}"/>
            </a:ext>
          </a:extLst>
        </xdr:cNvPr>
        <xdr:cNvSpPr/>
      </xdr:nvSpPr>
      <xdr:spPr>
        <a:xfrm flipH="1">
          <a:off x="1777365" y="2814955"/>
          <a:ext cx="316230" cy="254000"/>
        </a:xfrm>
        <a:prstGeom prst="line">
          <a:avLst/>
        </a:prstGeom>
        <a:ln w="9525" cap="flat" cmpd="sng">
          <a:solidFill>
            <a:srgbClr val="000000"/>
          </a:solidFill>
          <a:prstDash val="solid"/>
          <a:round/>
          <a:headEnd type="none" w="med" len="med"/>
          <a:tailEnd type="none" w="med" len="med"/>
        </a:ln>
      </xdr:spPr>
    </xdr:sp>
    <xdr:clientData/>
  </xdr:twoCellAnchor>
  <xdr:twoCellAnchor>
    <xdr:from>
      <xdr:col>5</xdr:col>
      <xdr:colOff>312420</xdr:colOff>
      <xdr:row>10</xdr:row>
      <xdr:rowOff>84455</xdr:rowOff>
    </xdr:from>
    <xdr:to>
      <xdr:col>5</xdr:col>
      <xdr:colOff>342900</xdr:colOff>
      <xdr:row>10</xdr:row>
      <xdr:rowOff>121920</xdr:rowOff>
    </xdr:to>
    <xdr:sp macro="" textlink="">
      <xdr:nvSpPr>
        <xdr:cNvPr id="1242986" name="Line 320">
          <a:extLst>
            <a:ext uri="{FF2B5EF4-FFF2-40B4-BE49-F238E27FC236}">
              <a16:creationId xmlns:a16="http://schemas.microsoft.com/office/drawing/2014/main" id="{00000000-0008-0000-5000-00006AF71200}"/>
            </a:ext>
          </a:extLst>
        </xdr:cNvPr>
        <xdr:cNvSpPr/>
      </xdr:nvSpPr>
      <xdr:spPr>
        <a:xfrm flipH="1">
          <a:off x="1769745" y="2807335"/>
          <a:ext cx="30480" cy="37465"/>
        </a:xfrm>
        <a:prstGeom prst="line">
          <a:avLst/>
        </a:prstGeom>
        <a:ln w="9525" cap="flat" cmpd="sng">
          <a:solidFill>
            <a:srgbClr val="000000"/>
          </a:solidFill>
          <a:prstDash val="solid"/>
          <a:round/>
          <a:headEnd type="none" w="med" len="med"/>
          <a:tailEnd type="none" w="med" len="med"/>
        </a:ln>
      </xdr:spPr>
    </xdr:sp>
    <xdr:clientData/>
  </xdr:twoCellAnchor>
  <xdr:twoCellAnchor>
    <xdr:from>
      <xdr:col>6</xdr:col>
      <xdr:colOff>76200</xdr:colOff>
      <xdr:row>10</xdr:row>
      <xdr:rowOff>84455</xdr:rowOff>
    </xdr:from>
    <xdr:to>
      <xdr:col>7</xdr:col>
      <xdr:colOff>205740</xdr:colOff>
      <xdr:row>11</xdr:row>
      <xdr:rowOff>182245</xdr:rowOff>
    </xdr:to>
    <xdr:sp macro="" textlink="">
      <xdr:nvSpPr>
        <xdr:cNvPr id="1242987" name="Line 321">
          <a:extLst>
            <a:ext uri="{FF2B5EF4-FFF2-40B4-BE49-F238E27FC236}">
              <a16:creationId xmlns:a16="http://schemas.microsoft.com/office/drawing/2014/main" id="{00000000-0008-0000-5000-00006BF71200}"/>
            </a:ext>
          </a:extLst>
        </xdr:cNvPr>
        <xdr:cNvSpPr/>
      </xdr:nvSpPr>
      <xdr:spPr>
        <a:xfrm flipH="1">
          <a:off x="1971675" y="2807335"/>
          <a:ext cx="415290"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190500</xdr:colOff>
      <xdr:row>11</xdr:row>
      <xdr:rowOff>38100</xdr:rowOff>
    </xdr:from>
    <xdr:to>
      <xdr:col>5</xdr:col>
      <xdr:colOff>99060</xdr:colOff>
      <xdr:row>11</xdr:row>
      <xdr:rowOff>198120</xdr:rowOff>
    </xdr:to>
    <xdr:sp macro="" textlink="">
      <xdr:nvSpPr>
        <xdr:cNvPr id="1242988" name="Line 322">
          <a:extLst>
            <a:ext uri="{FF2B5EF4-FFF2-40B4-BE49-F238E27FC236}">
              <a16:creationId xmlns:a16="http://schemas.microsoft.com/office/drawing/2014/main" id="{00000000-0008-0000-5000-00006CF71200}"/>
            </a:ext>
          </a:extLst>
        </xdr:cNvPr>
        <xdr:cNvSpPr/>
      </xdr:nvSpPr>
      <xdr:spPr>
        <a:xfrm flipH="1">
          <a:off x="1362075" y="3008630"/>
          <a:ext cx="194310" cy="160020"/>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167640</xdr:colOff>
      <xdr:row>10</xdr:row>
      <xdr:rowOff>84455</xdr:rowOff>
    </xdr:from>
    <xdr:to>
      <xdr:col>5</xdr:col>
      <xdr:colOff>15240</xdr:colOff>
      <xdr:row>11</xdr:row>
      <xdr:rowOff>182245</xdr:rowOff>
    </xdr:to>
    <xdr:sp macro="" textlink="">
      <xdr:nvSpPr>
        <xdr:cNvPr id="1242989" name="Line 323">
          <a:extLst>
            <a:ext uri="{FF2B5EF4-FFF2-40B4-BE49-F238E27FC236}">
              <a16:creationId xmlns:a16="http://schemas.microsoft.com/office/drawing/2014/main" id="{00000000-0008-0000-5000-00006DF71200}"/>
            </a:ext>
          </a:extLst>
        </xdr:cNvPr>
        <xdr:cNvSpPr/>
      </xdr:nvSpPr>
      <xdr:spPr>
        <a:xfrm flipH="1">
          <a:off x="1053465" y="2807335"/>
          <a:ext cx="419100"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68580</xdr:colOff>
      <xdr:row>10</xdr:row>
      <xdr:rowOff>84455</xdr:rowOff>
    </xdr:from>
    <xdr:to>
      <xdr:col>9</xdr:col>
      <xdr:colOff>198120</xdr:colOff>
      <xdr:row>11</xdr:row>
      <xdr:rowOff>182245</xdr:rowOff>
    </xdr:to>
    <xdr:sp macro="" textlink="">
      <xdr:nvSpPr>
        <xdr:cNvPr id="1242990" name="Line 324">
          <a:extLst>
            <a:ext uri="{FF2B5EF4-FFF2-40B4-BE49-F238E27FC236}">
              <a16:creationId xmlns:a16="http://schemas.microsoft.com/office/drawing/2014/main" id="{00000000-0008-0000-5000-00006EF71200}"/>
            </a:ext>
          </a:extLst>
        </xdr:cNvPr>
        <xdr:cNvSpPr/>
      </xdr:nvSpPr>
      <xdr:spPr>
        <a:xfrm flipH="1">
          <a:off x="2535555" y="2807335"/>
          <a:ext cx="415290" cy="34544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68580</xdr:colOff>
      <xdr:row>11</xdr:row>
      <xdr:rowOff>38100</xdr:rowOff>
    </xdr:from>
    <xdr:to>
      <xdr:col>9</xdr:col>
      <xdr:colOff>259080</xdr:colOff>
      <xdr:row>11</xdr:row>
      <xdr:rowOff>197485</xdr:rowOff>
    </xdr:to>
    <xdr:sp macro="" textlink="">
      <xdr:nvSpPr>
        <xdr:cNvPr id="1242991" name="Line 325">
          <a:extLst>
            <a:ext uri="{FF2B5EF4-FFF2-40B4-BE49-F238E27FC236}">
              <a16:creationId xmlns:a16="http://schemas.microsoft.com/office/drawing/2014/main" id="{00000000-0008-0000-5000-00006FF71200}"/>
            </a:ext>
          </a:extLst>
        </xdr:cNvPr>
        <xdr:cNvSpPr/>
      </xdr:nvSpPr>
      <xdr:spPr>
        <a:xfrm flipH="1">
          <a:off x="2821305" y="3008630"/>
          <a:ext cx="190500" cy="159385"/>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129540</xdr:colOff>
      <xdr:row>22</xdr:row>
      <xdr:rowOff>45720</xdr:rowOff>
    </xdr:from>
    <xdr:to>
      <xdr:col>8</xdr:col>
      <xdr:colOff>274320</xdr:colOff>
      <xdr:row>23</xdr:row>
      <xdr:rowOff>106680</xdr:rowOff>
    </xdr:to>
    <xdr:sp macro="" textlink="">
      <xdr:nvSpPr>
        <xdr:cNvPr id="1242992" name="Line 326">
          <a:extLst>
            <a:ext uri="{FF2B5EF4-FFF2-40B4-BE49-F238E27FC236}">
              <a16:creationId xmlns:a16="http://schemas.microsoft.com/office/drawing/2014/main" id="{00000000-0008-0000-5000-000070F71200}"/>
            </a:ext>
          </a:extLst>
        </xdr:cNvPr>
        <xdr:cNvSpPr/>
      </xdr:nvSpPr>
      <xdr:spPr>
        <a:xfrm>
          <a:off x="2596515" y="5824220"/>
          <a:ext cx="144780" cy="316230"/>
        </a:xfrm>
        <a:prstGeom prst="line">
          <a:avLst/>
        </a:prstGeom>
        <a:ln w="9525" cap="flat" cmpd="sng">
          <a:solidFill>
            <a:srgbClr val="000000"/>
          </a:solidFill>
          <a:prstDash val="solid"/>
          <a:round/>
          <a:headEnd type="arrow" w="sm" len="sm"/>
          <a:tailEnd type="oval" w="sm" len="sm"/>
        </a:ln>
      </xdr:spPr>
    </xdr:sp>
    <xdr:clientData/>
  </xdr:twoCellAnchor>
  <xdr:twoCellAnchor>
    <xdr:from>
      <xdr:col>14</xdr:col>
      <xdr:colOff>160020</xdr:colOff>
      <xdr:row>14</xdr:row>
      <xdr:rowOff>121920</xdr:rowOff>
    </xdr:from>
    <xdr:to>
      <xdr:col>15</xdr:col>
      <xdr:colOff>30480</xdr:colOff>
      <xdr:row>14</xdr:row>
      <xdr:rowOff>121920</xdr:rowOff>
    </xdr:to>
    <xdr:sp macro="" textlink="">
      <xdr:nvSpPr>
        <xdr:cNvPr id="1242993" name="Line 327">
          <a:extLst>
            <a:ext uri="{FF2B5EF4-FFF2-40B4-BE49-F238E27FC236}">
              <a16:creationId xmlns:a16="http://schemas.microsoft.com/office/drawing/2014/main" id="{00000000-0008-0000-5000-000071F71200}"/>
            </a:ext>
          </a:extLst>
        </xdr:cNvPr>
        <xdr:cNvSpPr/>
      </xdr:nvSpPr>
      <xdr:spPr>
        <a:xfrm flipH="1">
          <a:off x="4370070" y="3858260"/>
          <a:ext cx="15621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17</xdr:col>
      <xdr:colOff>0</xdr:colOff>
      <xdr:row>14</xdr:row>
      <xdr:rowOff>137795</xdr:rowOff>
    </xdr:from>
    <xdr:to>
      <xdr:col>18</xdr:col>
      <xdr:colOff>91440</xdr:colOff>
      <xdr:row>14</xdr:row>
      <xdr:rowOff>137795</xdr:rowOff>
    </xdr:to>
    <xdr:sp macro="" textlink="">
      <xdr:nvSpPr>
        <xdr:cNvPr id="1242994" name="Line 328">
          <a:extLst>
            <a:ext uri="{FF2B5EF4-FFF2-40B4-BE49-F238E27FC236}">
              <a16:creationId xmlns:a16="http://schemas.microsoft.com/office/drawing/2014/main" id="{00000000-0008-0000-5000-000072F71200}"/>
            </a:ext>
          </a:extLst>
        </xdr:cNvPr>
        <xdr:cNvSpPr/>
      </xdr:nvSpPr>
      <xdr:spPr>
        <a:xfrm>
          <a:off x="5219700" y="3874135"/>
          <a:ext cx="37719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6</xdr:col>
      <xdr:colOff>7620</xdr:colOff>
      <xdr:row>14</xdr:row>
      <xdr:rowOff>121920</xdr:rowOff>
    </xdr:from>
    <xdr:to>
      <xdr:col>7</xdr:col>
      <xdr:colOff>114300</xdr:colOff>
      <xdr:row>14</xdr:row>
      <xdr:rowOff>121920</xdr:rowOff>
    </xdr:to>
    <xdr:sp macro="" textlink="">
      <xdr:nvSpPr>
        <xdr:cNvPr id="1242995" name="Line 330">
          <a:extLst>
            <a:ext uri="{FF2B5EF4-FFF2-40B4-BE49-F238E27FC236}">
              <a16:creationId xmlns:a16="http://schemas.microsoft.com/office/drawing/2014/main" id="{00000000-0008-0000-5000-000073F71200}"/>
            </a:ext>
          </a:extLst>
        </xdr:cNvPr>
        <xdr:cNvSpPr/>
      </xdr:nvSpPr>
      <xdr:spPr>
        <a:xfrm>
          <a:off x="1903095" y="3858260"/>
          <a:ext cx="392430" cy="0"/>
        </a:xfrm>
        <a:prstGeom prst="line">
          <a:avLst/>
        </a:prstGeom>
        <a:ln w="9525" cap="flat" cmpd="sng">
          <a:solidFill>
            <a:srgbClr val="000000"/>
          </a:solidFill>
          <a:prstDash val="solid"/>
          <a:round/>
          <a:headEnd type="none" w="med" len="med"/>
          <a:tailEnd type="arrow" w="sm" len="sm"/>
        </a:ln>
      </xdr:spPr>
    </xdr:sp>
    <xdr:clientData/>
  </xdr:twoCellAnchor>
  <xdr:twoCellAnchor>
    <xdr:from>
      <xdr:col>3</xdr:col>
      <xdr:colOff>167640</xdr:colOff>
      <xdr:row>14</xdr:row>
      <xdr:rowOff>114935</xdr:rowOff>
    </xdr:from>
    <xdr:to>
      <xdr:col>4</xdr:col>
      <xdr:colOff>22860</xdr:colOff>
      <xdr:row>14</xdr:row>
      <xdr:rowOff>114935</xdr:rowOff>
    </xdr:to>
    <xdr:sp macro="" textlink="">
      <xdr:nvSpPr>
        <xdr:cNvPr id="1242996" name="Line 331">
          <a:extLst>
            <a:ext uri="{FF2B5EF4-FFF2-40B4-BE49-F238E27FC236}">
              <a16:creationId xmlns:a16="http://schemas.microsoft.com/office/drawing/2014/main" id="{00000000-0008-0000-5000-000074F71200}"/>
            </a:ext>
          </a:extLst>
        </xdr:cNvPr>
        <xdr:cNvSpPr/>
      </xdr:nvSpPr>
      <xdr:spPr>
        <a:xfrm flipV="1">
          <a:off x="1053465" y="3851275"/>
          <a:ext cx="140970" cy="0"/>
        </a:xfrm>
        <a:prstGeom prst="line">
          <a:avLst/>
        </a:prstGeom>
        <a:ln w="9525" cap="flat" cmpd="sng">
          <a:solidFill>
            <a:srgbClr val="000000"/>
          </a:solidFill>
          <a:prstDash val="solid"/>
          <a:round/>
          <a:headEnd type="arrow" w="sm" len="sm"/>
          <a:tailEnd type="none" w="med" len="med"/>
        </a:ln>
      </xdr:spPr>
    </xdr:sp>
    <xdr:clientData/>
  </xdr:twoCellAnchor>
  <xdr:twoCellAnchor>
    <xdr:from>
      <xdr:col>18</xdr:col>
      <xdr:colOff>99060</xdr:colOff>
      <xdr:row>8</xdr:row>
      <xdr:rowOff>182245</xdr:rowOff>
    </xdr:from>
    <xdr:to>
      <xdr:col>20</xdr:col>
      <xdr:colOff>76200</xdr:colOff>
      <xdr:row>8</xdr:row>
      <xdr:rowOff>182245</xdr:rowOff>
    </xdr:to>
    <xdr:sp macro="" textlink="">
      <xdr:nvSpPr>
        <xdr:cNvPr id="1242997" name="Line 337">
          <a:extLst>
            <a:ext uri="{FF2B5EF4-FFF2-40B4-BE49-F238E27FC236}">
              <a16:creationId xmlns:a16="http://schemas.microsoft.com/office/drawing/2014/main" id="{00000000-0008-0000-5000-000075F71200}"/>
            </a:ext>
          </a:extLst>
        </xdr:cNvPr>
        <xdr:cNvSpPr/>
      </xdr:nvSpPr>
      <xdr:spPr>
        <a:xfrm>
          <a:off x="5604510" y="2394585"/>
          <a:ext cx="539115" cy="0"/>
        </a:xfrm>
        <a:prstGeom prst="line">
          <a:avLst/>
        </a:prstGeom>
        <a:ln w="6350" cap="flat" cmpd="sng">
          <a:solidFill>
            <a:srgbClr val="000000"/>
          </a:solidFill>
          <a:prstDash val="solid"/>
          <a:round/>
          <a:headEnd type="none" w="med" len="med"/>
          <a:tailEnd type="none" w="med" len="med"/>
        </a:ln>
      </xdr:spPr>
    </xdr:sp>
    <xdr:clientData/>
  </xdr:twoCellAnchor>
  <xdr:twoCellAnchor>
    <xdr:from>
      <xdr:col>20</xdr:col>
      <xdr:colOff>0</xdr:colOff>
      <xdr:row>8</xdr:row>
      <xdr:rowOff>182245</xdr:rowOff>
    </xdr:from>
    <xdr:to>
      <xdr:col>20</xdr:col>
      <xdr:colOff>0</xdr:colOff>
      <xdr:row>9</xdr:row>
      <xdr:rowOff>114935</xdr:rowOff>
    </xdr:to>
    <xdr:sp macro="" textlink="">
      <xdr:nvSpPr>
        <xdr:cNvPr id="1242998" name="Line 339">
          <a:extLst>
            <a:ext uri="{FF2B5EF4-FFF2-40B4-BE49-F238E27FC236}">
              <a16:creationId xmlns:a16="http://schemas.microsoft.com/office/drawing/2014/main" id="{00000000-0008-0000-5000-000076F71200}"/>
            </a:ext>
          </a:extLst>
        </xdr:cNvPr>
        <xdr:cNvSpPr/>
      </xdr:nvSpPr>
      <xdr:spPr>
        <a:xfrm>
          <a:off x="6067425" y="2394585"/>
          <a:ext cx="0" cy="187960"/>
        </a:xfrm>
        <a:prstGeom prst="line">
          <a:avLst/>
        </a:prstGeom>
        <a:ln w="9525" cap="flat" cmpd="sng">
          <a:solidFill>
            <a:srgbClr val="000000"/>
          </a:solidFill>
          <a:prstDash val="solid"/>
          <a:round/>
          <a:headEnd type="arrow" w="sm" len="sm"/>
          <a:tailEnd type="none" w="sm" len="sm"/>
        </a:ln>
      </xdr:spPr>
    </xdr:sp>
    <xdr:clientData/>
  </xdr:twoCellAnchor>
  <xdr:twoCellAnchor>
    <xdr:from>
      <xdr:col>20</xdr:col>
      <xdr:colOff>0</xdr:colOff>
      <xdr:row>7</xdr:row>
      <xdr:rowOff>8255</xdr:rowOff>
    </xdr:from>
    <xdr:to>
      <xdr:col>20</xdr:col>
      <xdr:colOff>0</xdr:colOff>
      <xdr:row>8</xdr:row>
      <xdr:rowOff>75565</xdr:rowOff>
    </xdr:to>
    <xdr:sp macro="" textlink="">
      <xdr:nvSpPr>
        <xdr:cNvPr id="1242999" name="Line 340">
          <a:extLst>
            <a:ext uri="{FF2B5EF4-FFF2-40B4-BE49-F238E27FC236}">
              <a16:creationId xmlns:a16="http://schemas.microsoft.com/office/drawing/2014/main" id="{00000000-0008-0000-5000-000077F71200}"/>
            </a:ext>
          </a:extLst>
        </xdr:cNvPr>
        <xdr:cNvSpPr/>
      </xdr:nvSpPr>
      <xdr:spPr>
        <a:xfrm flipH="1" flipV="1">
          <a:off x="6067425" y="1965325"/>
          <a:ext cx="0" cy="322580"/>
        </a:xfrm>
        <a:prstGeom prst="line">
          <a:avLst/>
        </a:prstGeom>
        <a:ln w="9525" cap="flat" cmpd="sng">
          <a:solidFill>
            <a:srgbClr val="000000"/>
          </a:solidFill>
          <a:prstDash val="solid"/>
          <a:round/>
          <a:headEnd type="arrow" w="sm" len="sm"/>
          <a:tailEnd type="oval" w="sm" len="sm"/>
        </a:ln>
      </xdr:spPr>
    </xdr:sp>
    <xdr:clientData/>
  </xdr:twoCellAnchor>
  <xdr:twoCellAnchor>
    <xdr:from>
      <xdr:col>20</xdr:col>
      <xdr:colOff>0</xdr:colOff>
      <xdr:row>7</xdr:row>
      <xdr:rowOff>159385</xdr:rowOff>
    </xdr:from>
    <xdr:to>
      <xdr:col>20</xdr:col>
      <xdr:colOff>0</xdr:colOff>
      <xdr:row>8</xdr:row>
      <xdr:rowOff>175260</xdr:rowOff>
    </xdr:to>
    <xdr:sp macro="" textlink="">
      <xdr:nvSpPr>
        <xdr:cNvPr id="1243000" name="Line 352">
          <a:extLst>
            <a:ext uri="{FF2B5EF4-FFF2-40B4-BE49-F238E27FC236}">
              <a16:creationId xmlns:a16="http://schemas.microsoft.com/office/drawing/2014/main" id="{00000000-0008-0000-5000-000078F71200}"/>
            </a:ext>
          </a:extLst>
        </xdr:cNvPr>
        <xdr:cNvSpPr/>
      </xdr:nvSpPr>
      <xdr:spPr>
        <a:xfrm>
          <a:off x="6067425" y="2116455"/>
          <a:ext cx="0" cy="271145"/>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76200</xdr:colOff>
      <xdr:row>20</xdr:row>
      <xdr:rowOff>159385</xdr:rowOff>
    </xdr:from>
    <xdr:to>
      <xdr:col>8</xdr:col>
      <xdr:colOff>76200</xdr:colOff>
      <xdr:row>21</xdr:row>
      <xdr:rowOff>236220</xdr:rowOff>
    </xdr:to>
    <xdr:sp macro="" textlink="">
      <xdr:nvSpPr>
        <xdr:cNvPr id="1243001" name="Line 354">
          <a:extLst>
            <a:ext uri="{FF2B5EF4-FFF2-40B4-BE49-F238E27FC236}">
              <a16:creationId xmlns:a16="http://schemas.microsoft.com/office/drawing/2014/main" id="{00000000-0008-0000-5000-000079F71200}"/>
            </a:ext>
          </a:extLst>
        </xdr:cNvPr>
        <xdr:cNvSpPr/>
      </xdr:nvSpPr>
      <xdr:spPr>
        <a:xfrm>
          <a:off x="2543175" y="5427345"/>
          <a:ext cx="0" cy="332105"/>
        </a:xfrm>
        <a:prstGeom prst="line">
          <a:avLst/>
        </a:prstGeom>
        <a:ln w="38100" cap="flat" cmpd="sng">
          <a:solidFill>
            <a:srgbClr val="000000"/>
          </a:solidFill>
          <a:prstDash val="solid"/>
          <a:round/>
          <a:headEnd type="none" w="med" len="med"/>
          <a:tailEnd type="none" w="med" len="med"/>
        </a:ln>
      </xdr:spPr>
    </xdr:sp>
    <xdr:clientData/>
  </xdr:twoCellAnchor>
  <xdr:twoCellAnchor>
    <xdr:from>
      <xdr:col>11</xdr:col>
      <xdr:colOff>114300</xdr:colOff>
      <xdr:row>16</xdr:row>
      <xdr:rowOff>15240</xdr:rowOff>
    </xdr:from>
    <xdr:to>
      <xdr:col>11</xdr:col>
      <xdr:colOff>243840</xdr:colOff>
      <xdr:row>16</xdr:row>
      <xdr:rowOff>159385</xdr:rowOff>
    </xdr:to>
    <xdr:sp macro="" textlink="">
      <xdr:nvSpPr>
        <xdr:cNvPr id="1243002" name="Rectangle 355">
          <a:extLst>
            <a:ext uri="{FF2B5EF4-FFF2-40B4-BE49-F238E27FC236}">
              <a16:creationId xmlns:a16="http://schemas.microsoft.com/office/drawing/2014/main" id="{00000000-0008-0000-5000-00007AF71200}"/>
            </a:ext>
          </a:extLst>
        </xdr:cNvPr>
        <xdr:cNvSpPr/>
      </xdr:nvSpPr>
      <xdr:spPr>
        <a:xfrm>
          <a:off x="3438525" y="4262120"/>
          <a:ext cx="129540" cy="144145"/>
        </a:xfrm>
        <a:prstGeom prst="rect">
          <a:avLst/>
        </a:prstGeom>
        <a:solidFill>
          <a:srgbClr val="FFFFFF">
            <a:alpha val="100000"/>
          </a:srgbClr>
        </a:solidFill>
        <a:ln w="9525">
          <a:noFill/>
        </a:ln>
      </xdr:spPr>
    </xdr:sp>
    <xdr:clientData/>
  </xdr:twoCellAnchor>
  <xdr:twoCellAnchor>
    <xdr:from>
      <xdr:col>3</xdr:col>
      <xdr:colOff>236220</xdr:colOff>
      <xdr:row>16</xdr:row>
      <xdr:rowOff>0</xdr:rowOff>
    </xdr:from>
    <xdr:to>
      <xdr:col>4</xdr:col>
      <xdr:colOff>99060</xdr:colOff>
      <xdr:row>16</xdr:row>
      <xdr:rowOff>144780</xdr:rowOff>
    </xdr:to>
    <xdr:sp macro="" textlink="">
      <xdr:nvSpPr>
        <xdr:cNvPr id="1243003" name="Rectangle 356">
          <a:extLst>
            <a:ext uri="{FF2B5EF4-FFF2-40B4-BE49-F238E27FC236}">
              <a16:creationId xmlns:a16="http://schemas.microsoft.com/office/drawing/2014/main" id="{00000000-0008-0000-5000-00007BF71200}"/>
            </a:ext>
          </a:extLst>
        </xdr:cNvPr>
        <xdr:cNvSpPr/>
      </xdr:nvSpPr>
      <xdr:spPr>
        <a:xfrm>
          <a:off x="1122045" y="4246880"/>
          <a:ext cx="148590" cy="144780"/>
        </a:xfrm>
        <a:prstGeom prst="rect">
          <a:avLst/>
        </a:prstGeom>
        <a:solidFill>
          <a:srgbClr val="FFFFFF">
            <a:alpha val="100000"/>
          </a:srgbClr>
        </a:solidFill>
        <a:ln w="9525">
          <a:noFill/>
        </a:ln>
      </xdr:spPr>
    </xdr:sp>
    <xdr:clientData/>
  </xdr:twoCellAnchor>
  <xdr:twoCellAnchor>
    <xdr:from>
      <xdr:col>4</xdr:col>
      <xdr:colOff>220980</xdr:colOff>
      <xdr:row>15</xdr:row>
      <xdr:rowOff>159385</xdr:rowOff>
    </xdr:from>
    <xdr:to>
      <xdr:col>5</xdr:col>
      <xdr:colOff>30480</xdr:colOff>
      <xdr:row>16</xdr:row>
      <xdr:rowOff>15240</xdr:rowOff>
    </xdr:to>
    <xdr:sp macro="" textlink="">
      <xdr:nvSpPr>
        <xdr:cNvPr id="1243004" name="Line 357">
          <a:extLst>
            <a:ext uri="{FF2B5EF4-FFF2-40B4-BE49-F238E27FC236}">
              <a16:creationId xmlns:a16="http://schemas.microsoft.com/office/drawing/2014/main" id="{00000000-0008-0000-5000-00007CF71200}"/>
            </a:ext>
          </a:extLst>
        </xdr:cNvPr>
        <xdr:cNvSpPr/>
      </xdr:nvSpPr>
      <xdr:spPr>
        <a:xfrm flipV="1">
          <a:off x="1392555" y="4150995"/>
          <a:ext cx="95250" cy="111125"/>
        </a:xfrm>
        <a:prstGeom prst="line">
          <a:avLst/>
        </a:prstGeom>
        <a:ln w="76200" cap="flat" cmpd="sng">
          <a:solidFill>
            <a:srgbClr val="FFFFFF"/>
          </a:solidFill>
          <a:prstDash val="solid"/>
          <a:round/>
          <a:headEnd type="none" w="med" len="med"/>
          <a:tailEnd type="none" w="med" len="med"/>
        </a:ln>
      </xdr:spPr>
    </xdr:sp>
    <xdr:clientData/>
  </xdr:twoCellAnchor>
  <xdr:twoCellAnchor>
    <xdr:from>
      <xdr:col>20</xdr:col>
      <xdr:colOff>68580</xdr:colOff>
      <xdr:row>9</xdr:row>
      <xdr:rowOff>152400</xdr:rowOff>
    </xdr:from>
    <xdr:to>
      <xdr:col>20</xdr:col>
      <xdr:colOff>167640</xdr:colOff>
      <xdr:row>9</xdr:row>
      <xdr:rowOff>236220</xdr:rowOff>
    </xdr:to>
    <xdr:sp macro="" textlink="">
      <xdr:nvSpPr>
        <xdr:cNvPr id="1243005" name="Line 360">
          <a:extLst>
            <a:ext uri="{FF2B5EF4-FFF2-40B4-BE49-F238E27FC236}">
              <a16:creationId xmlns:a16="http://schemas.microsoft.com/office/drawing/2014/main" id="{00000000-0008-0000-5000-00007DF71200}"/>
            </a:ext>
          </a:extLst>
        </xdr:cNvPr>
        <xdr:cNvSpPr/>
      </xdr:nvSpPr>
      <xdr:spPr>
        <a:xfrm>
          <a:off x="6136005" y="2620010"/>
          <a:ext cx="99060" cy="83820"/>
        </a:xfrm>
        <a:prstGeom prst="line">
          <a:avLst/>
        </a:prstGeom>
        <a:ln w="12700" cap="flat" cmpd="sng">
          <a:solidFill>
            <a:srgbClr val="000000"/>
          </a:solidFill>
          <a:prstDash val="solid"/>
          <a:round/>
          <a:headEnd type="none" w="med" len="med"/>
          <a:tailEnd type="none" w="med" len="med"/>
        </a:ln>
      </xdr:spPr>
    </xdr:sp>
    <xdr:clientData/>
  </xdr:twoCellAnchor>
  <xdr:twoCellAnchor>
    <xdr:from>
      <xdr:col>20</xdr:col>
      <xdr:colOff>53340</xdr:colOff>
      <xdr:row>8</xdr:row>
      <xdr:rowOff>213360</xdr:rowOff>
    </xdr:from>
    <xdr:to>
      <xdr:col>20</xdr:col>
      <xdr:colOff>190500</xdr:colOff>
      <xdr:row>9</xdr:row>
      <xdr:rowOff>75565</xdr:rowOff>
    </xdr:to>
    <xdr:sp macro="" textlink="">
      <xdr:nvSpPr>
        <xdr:cNvPr id="1243006" name="Line 361">
          <a:extLst>
            <a:ext uri="{FF2B5EF4-FFF2-40B4-BE49-F238E27FC236}">
              <a16:creationId xmlns:a16="http://schemas.microsoft.com/office/drawing/2014/main" id="{00000000-0008-0000-5000-00007EF71200}"/>
            </a:ext>
          </a:extLst>
        </xdr:cNvPr>
        <xdr:cNvSpPr/>
      </xdr:nvSpPr>
      <xdr:spPr>
        <a:xfrm>
          <a:off x="6120765" y="2425700"/>
          <a:ext cx="137160" cy="117475"/>
        </a:xfrm>
        <a:prstGeom prst="line">
          <a:avLst/>
        </a:prstGeom>
        <a:ln w="12700" cap="flat" cmpd="sng">
          <a:solidFill>
            <a:srgbClr val="000000"/>
          </a:solidFill>
          <a:prstDash val="solid"/>
          <a:round/>
          <a:headEnd type="none" w="med" len="med"/>
          <a:tailEnd type="none" w="med" len="med"/>
        </a:ln>
      </xdr:spPr>
    </xdr:sp>
    <xdr:clientData/>
  </xdr:twoCellAnchor>
  <xdr:twoCellAnchor>
    <xdr:from>
      <xdr:col>20</xdr:col>
      <xdr:colOff>60960</xdr:colOff>
      <xdr:row>8</xdr:row>
      <xdr:rowOff>45720</xdr:rowOff>
    </xdr:from>
    <xdr:to>
      <xdr:col>20</xdr:col>
      <xdr:colOff>137160</xdr:colOff>
      <xdr:row>8</xdr:row>
      <xdr:rowOff>98425</xdr:rowOff>
    </xdr:to>
    <xdr:sp macro="" textlink="">
      <xdr:nvSpPr>
        <xdr:cNvPr id="1243007" name="Line 362">
          <a:extLst>
            <a:ext uri="{FF2B5EF4-FFF2-40B4-BE49-F238E27FC236}">
              <a16:creationId xmlns:a16="http://schemas.microsoft.com/office/drawing/2014/main" id="{00000000-0008-0000-5000-00007FF71200}"/>
            </a:ext>
          </a:extLst>
        </xdr:cNvPr>
        <xdr:cNvSpPr/>
      </xdr:nvSpPr>
      <xdr:spPr>
        <a:xfrm>
          <a:off x="6128385" y="2258060"/>
          <a:ext cx="76200" cy="52705"/>
        </a:xfrm>
        <a:prstGeom prst="line">
          <a:avLst/>
        </a:prstGeom>
        <a:ln w="12700" cap="flat" cmpd="sng">
          <a:solidFill>
            <a:srgbClr val="000000"/>
          </a:solidFill>
          <a:prstDash val="solid"/>
          <a:round/>
          <a:headEnd type="none" w="med" len="med"/>
          <a:tailEnd type="none" w="med" len="med"/>
        </a:ln>
      </xdr:spPr>
    </xdr:sp>
    <xdr:clientData/>
  </xdr:twoCellAnchor>
  <xdr:twoCellAnchor>
    <xdr:from>
      <xdr:col>7</xdr:col>
      <xdr:colOff>114300</xdr:colOff>
      <xdr:row>8</xdr:row>
      <xdr:rowOff>152400</xdr:rowOff>
    </xdr:from>
    <xdr:to>
      <xdr:col>9</xdr:col>
      <xdr:colOff>76200</xdr:colOff>
      <xdr:row>8</xdr:row>
      <xdr:rowOff>152400</xdr:rowOff>
    </xdr:to>
    <xdr:sp macro="" textlink="">
      <xdr:nvSpPr>
        <xdr:cNvPr id="1243008" name="Line 363">
          <a:extLst>
            <a:ext uri="{FF2B5EF4-FFF2-40B4-BE49-F238E27FC236}">
              <a16:creationId xmlns:a16="http://schemas.microsoft.com/office/drawing/2014/main" id="{00000000-0008-0000-5000-000080F71200}"/>
            </a:ext>
          </a:extLst>
        </xdr:cNvPr>
        <xdr:cNvSpPr/>
      </xdr:nvSpPr>
      <xdr:spPr>
        <a:xfrm>
          <a:off x="2295525" y="2364740"/>
          <a:ext cx="533400" cy="0"/>
        </a:xfrm>
        <a:prstGeom prst="line">
          <a:avLst/>
        </a:prstGeom>
        <a:ln w="6350" cap="flat" cmpd="sng">
          <a:solidFill>
            <a:srgbClr val="000000"/>
          </a:solidFill>
          <a:prstDash val="solid"/>
          <a:round/>
          <a:headEnd type="none" w="med" len="med"/>
          <a:tailEnd type="none" w="med" len="med"/>
        </a:ln>
      </xdr:spPr>
    </xdr:sp>
    <xdr:clientData/>
  </xdr:twoCellAnchor>
  <xdr:twoCellAnchor>
    <xdr:from>
      <xdr:col>7</xdr:col>
      <xdr:colOff>121920</xdr:colOff>
      <xdr:row>8</xdr:row>
      <xdr:rowOff>52705</xdr:rowOff>
    </xdr:from>
    <xdr:to>
      <xdr:col>9</xdr:col>
      <xdr:colOff>60960</xdr:colOff>
      <xdr:row>8</xdr:row>
      <xdr:rowOff>52705</xdr:rowOff>
    </xdr:to>
    <xdr:sp macro="" textlink="">
      <xdr:nvSpPr>
        <xdr:cNvPr id="1243009" name="Line 364">
          <a:extLst>
            <a:ext uri="{FF2B5EF4-FFF2-40B4-BE49-F238E27FC236}">
              <a16:creationId xmlns:a16="http://schemas.microsoft.com/office/drawing/2014/main" id="{00000000-0008-0000-5000-000081F71200}"/>
            </a:ext>
          </a:extLst>
        </xdr:cNvPr>
        <xdr:cNvSpPr/>
      </xdr:nvSpPr>
      <xdr:spPr>
        <a:xfrm>
          <a:off x="2303145" y="2265045"/>
          <a:ext cx="510540" cy="0"/>
        </a:xfrm>
        <a:prstGeom prst="line">
          <a:avLst/>
        </a:prstGeom>
        <a:ln w="6350" cap="flat" cmpd="sng">
          <a:solidFill>
            <a:srgbClr val="000000"/>
          </a:solidFill>
          <a:prstDash val="solid"/>
          <a:round/>
          <a:headEnd type="none" w="med" len="med"/>
          <a:tailEnd type="none" w="med" len="med"/>
        </a:ln>
      </xdr:spPr>
    </xdr:sp>
    <xdr:clientData/>
  </xdr:twoCellAnchor>
  <xdr:twoCellAnchor>
    <xdr:from>
      <xdr:col>18</xdr:col>
      <xdr:colOff>99060</xdr:colOff>
      <xdr:row>8</xdr:row>
      <xdr:rowOff>83820</xdr:rowOff>
    </xdr:from>
    <xdr:to>
      <xdr:col>20</xdr:col>
      <xdr:colOff>76200</xdr:colOff>
      <xdr:row>8</xdr:row>
      <xdr:rowOff>83820</xdr:rowOff>
    </xdr:to>
    <xdr:sp macro="" textlink="">
      <xdr:nvSpPr>
        <xdr:cNvPr id="1243010" name="Line 369">
          <a:extLst>
            <a:ext uri="{FF2B5EF4-FFF2-40B4-BE49-F238E27FC236}">
              <a16:creationId xmlns:a16="http://schemas.microsoft.com/office/drawing/2014/main" id="{00000000-0008-0000-5000-000082F71200}"/>
            </a:ext>
          </a:extLst>
        </xdr:cNvPr>
        <xdr:cNvSpPr/>
      </xdr:nvSpPr>
      <xdr:spPr>
        <a:xfrm>
          <a:off x="5604510" y="2296160"/>
          <a:ext cx="539115" cy="0"/>
        </a:xfrm>
        <a:prstGeom prst="line">
          <a:avLst/>
        </a:prstGeom>
        <a:ln w="6350" cap="flat" cmpd="sng">
          <a:solidFill>
            <a:srgbClr val="000000"/>
          </a:solidFill>
          <a:prstDash val="solid"/>
          <a:round/>
          <a:headEnd type="none" w="med" len="med"/>
          <a:tailEnd type="none" w="med" len="med"/>
        </a:ln>
      </xdr:spPr>
    </xdr:sp>
    <xdr:clientData/>
  </xdr:twoCellAnchor>
  <xdr:twoCellAnchor>
    <xdr:from>
      <xdr:col>9</xdr:col>
      <xdr:colOff>0</xdr:colOff>
      <xdr:row>7</xdr:row>
      <xdr:rowOff>0</xdr:rowOff>
    </xdr:from>
    <xdr:to>
      <xdr:col>9</xdr:col>
      <xdr:colOff>0</xdr:colOff>
      <xdr:row>8</xdr:row>
      <xdr:rowOff>52705</xdr:rowOff>
    </xdr:to>
    <xdr:sp macro="" textlink="">
      <xdr:nvSpPr>
        <xdr:cNvPr id="1243011" name="Line 370">
          <a:extLst>
            <a:ext uri="{FF2B5EF4-FFF2-40B4-BE49-F238E27FC236}">
              <a16:creationId xmlns:a16="http://schemas.microsoft.com/office/drawing/2014/main" id="{00000000-0008-0000-5000-000083F71200}"/>
            </a:ext>
          </a:extLst>
        </xdr:cNvPr>
        <xdr:cNvSpPr/>
      </xdr:nvSpPr>
      <xdr:spPr>
        <a:xfrm>
          <a:off x="2752725" y="1957070"/>
          <a:ext cx="0" cy="307975"/>
        </a:xfrm>
        <a:prstGeom prst="line">
          <a:avLst/>
        </a:prstGeom>
        <a:ln w="9525" cap="flat" cmpd="sng">
          <a:solidFill>
            <a:srgbClr val="000000"/>
          </a:solidFill>
          <a:prstDash val="solid"/>
          <a:round/>
          <a:headEnd type="oval" w="sm" len="sm"/>
          <a:tailEnd type="arrow" w="sm" len="sm"/>
        </a:ln>
      </xdr:spPr>
    </xdr:sp>
    <xdr:clientData/>
  </xdr:twoCellAnchor>
  <xdr:twoCellAnchor>
    <xdr:from>
      <xdr:col>9</xdr:col>
      <xdr:colOff>83820</xdr:colOff>
      <xdr:row>8</xdr:row>
      <xdr:rowOff>182245</xdr:rowOff>
    </xdr:from>
    <xdr:to>
      <xdr:col>9</xdr:col>
      <xdr:colOff>167640</xdr:colOff>
      <xdr:row>9</xdr:row>
      <xdr:rowOff>0</xdr:rowOff>
    </xdr:to>
    <xdr:sp macro="" textlink="">
      <xdr:nvSpPr>
        <xdr:cNvPr id="1243012" name="Line 373">
          <a:extLst>
            <a:ext uri="{FF2B5EF4-FFF2-40B4-BE49-F238E27FC236}">
              <a16:creationId xmlns:a16="http://schemas.microsoft.com/office/drawing/2014/main" id="{00000000-0008-0000-5000-000084F71200}"/>
            </a:ext>
          </a:extLst>
        </xdr:cNvPr>
        <xdr:cNvSpPr/>
      </xdr:nvSpPr>
      <xdr:spPr>
        <a:xfrm>
          <a:off x="2836545" y="2394585"/>
          <a:ext cx="83820" cy="73025"/>
        </a:xfrm>
        <a:prstGeom prst="line">
          <a:avLst/>
        </a:prstGeom>
        <a:ln w="12700" cap="flat" cmpd="sng">
          <a:solidFill>
            <a:srgbClr val="000000"/>
          </a:solidFill>
          <a:prstDash val="solid"/>
          <a:round/>
          <a:headEnd type="none" w="med" len="med"/>
          <a:tailEnd type="none" w="med" len="med"/>
        </a:ln>
      </xdr:spPr>
    </xdr:sp>
    <xdr:clientData/>
  </xdr:twoCellAnchor>
  <xdr:twoCellAnchor>
    <xdr:from>
      <xdr:col>9</xdr:col>
      <xdr:colOff>0</xdr:colOff>
      <xdr:row>8</xdr:row>
      <xdr:rowOff>52705</xdr:rowOff>
    </xdr:from>
    <xdr:to>
      <xdr:col>9</xdr:col>
      <xdr:colOff>0</xdr:colOff>
      <xdr:row>8</xdr:row>
      <xdr:rowOff>151765</xdr:rowOff>
    </xdr:to>
    <xdr:sp macro="" textlink="">
      <xdr:nvSpPr>
        <xdr:cNvPr id="1243013" name="Line 375">
          <a:extLst>
            <a:ext uri="{FF2B5EF4-FFF2-40B4-BE49-F238E27FC236}">
              <a16:creationId xmlns:a16="http://schemas.microsoft.com/office/drawing/2014/main" id="{00000000-0008-0000-5000-000085F71200}"/>
            </a:ext>
          </a:extLst>
        </xdr:cNvPr>
        <xdr:cNvSpPr/>
      </xdr:nvSpPr>
      <xdr:spPr>
        <a:xfrm>
          <a:off x="2752725" y="2265045"/>
          <a:ext cx="0" cy="9906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0</xdr:colOff>
      <xdr:row>8</xdr:row>
      <xdr:rowOff>152400</xdr:rowOff>
    </xdr:from>
    <xdr:to>
      <xdr:col>9</xdr:col>
      <xdr:colOff>0</xdr:colOff>
      <xdr:row>9</xdr:row>
      <xdr:rowOff>38100</xdr:rowOff>
    </xdr:to>
    <xdr:sp macro="" textlink="">
      <xdr:nvSpPr>
        <xdr:cNvPr id="1243014" name="Line 376">
          <a:extLst>
            <a:ext uri="{FF2B5EF4-FFF2-40B4-BE49-F238E27FC236}">
              <a16:creationId xmlns:a16="http://schemas.microsoft.com/office/drawing/2014/main" id="{00000000-0008-0000-5000-000086F71200}"/>
            </a:ext>
          </a:extLst>
        </xdr:cNvPr>
        <xdr:cNvSpPr/>
      </xdr:nvSpPr>
      <xdr:spPr>
        <a:xfrm>
          <a:off x="2752725" y="2364740"/>
          <a:ext cx="0" cy="140970"/>
        </a:xfrm>
        <a:prstGeom prst="line">
          <a:avLst/>
        </a:prstGeom>
        <a:ln w="9525" cap="flat" cmpd="sng">
          <a:solidFill>
            <a:srgbClr val="000000"/>
          </a:solidFill>
          <a:prstDash val="solid"/>
          <a:round/>
          <a:headEnd type="arrow" w="sm" len="sm"/>
          <a:tailEnd type="none" w="sm" len="sm"/>
        </a:ln>
      </xdr:spPr>
    </xdr:sp>
    <xdr:clientData/>
  </xdr:twoCellAnchor>
  <xdr:twoCellAnchor>
    <xdr:from>
      <xdr:col>11</xdr:col>
      <xdr:colOff>236220</xdr:colOff>
      <xdr:row>16</xdr:row>
      <xdr:rowOff>175260</xdr:rowOff>
    </xdr:from>
    <xdr:to>
      <xdr:col>13</xdr:col>
      <xdr:colOff>289560</xdr:colOff>
      <xdr:row>16</xdr:row>
      <xdr:rowOff>175260</xdr:rowOff>
    </xdr:to>
    <xdr:sp macro="" textlink="">
      <xdr:nvSpPr>
        <xdr:cNvPr id="1243015" name="Line 377">
          <a:extLst>
            <a:ext uri="{FF2B5EF4-FFF2-40B4-BE49-F238E27FC236}">
              <a16:creationId xmlns:a16="http://schemas.microsoft.com/office/drawing/2014/main" id="{00000000-0008-0000-5000-000087F71200}"/>
            </a:ext>
          </a:extLst>
        </xdr:cNvPr>
        <xdr:cNvSpPr/>
      </xdr:nvSpPr>
      <xdr:spPr>
        <a:xfrm>
          <a:off x="3560445" y="4422140"/>
          <a:ext cx="586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175260</xdr:colOff>
      <xdr:row>16</xdr:row>
      <xdr:rowOff>175260</xdr:rowOff>
    </xdr:from>
    <xdr:to>
      <xdr:col>13</xdr:col>
      <xdr:colOff>175260</xdr:colOff>
      <xdr:row>17</xdr:row>
      <xdr:rowOff>175260</xdr:rowOff>
    </xdr:to>
    <xdr:sp macro="" textlink="">
      <xdr:nvSpPr>
        <xdr:cNvPr id="1243016" name="Line 378">
          <a:extLst>
            <a:ext uri="{FF2B5EF4-FFF2-40B4-BE49-F238E27FC236}">
              <a16:creationId xmlns:a16="http://schemas.microsoft.com/office/drawing/2014/main" id="{00000000-0008-0000-5000-000088F71200}"/>
            </a:ext>
          </a:extLst>
        </xdr:cNvPr>
        <xdr:cNvSpPr/>
      </xdr:nvSpPr>
      <xdr:spPr>
        <a:xfrm flipV="1">
          <a:off x="4032885" y="4422140"/>
          <a:ext cx="0" cy="255270"/>
        </a:xfrm>
        <a:prstGeom prst="line">
          <a:avLst/>
        </a:prstGeom>
        <a:ln w="9525" cap="flat" cmpd="sng">
          <a:solidFill>
            <a:srgbClr val="000000"/>
          </a:solidFill>
          <a:prstDash val="solid"/>
          <a:round/>
          <a:headEnd type="arrow" w="sm" len="sm"/>
          <a:tailEnd type="arrow" w="sm" len="sm"/>
        </a:ln>
      </xdr:spPr>
    </xdr:sp>
    <xdr:clientData/>
  </xdr:twoCellAnchor>
  <xdr:twoCellAnchor>
    <xdr:from>
      <xdr:col>13</xdr:col>
      <xdr:colOff>175260</xdr:colOff>
      <xdr:row>16</xdr:row>
      <xdr:rowOff>0</xdr:rowOff>
    </xdr:from>
    <xdr:to>
      <xdr:col>13</xdr:col>
      <xdr:colOff>175260</xdr:colOff>
      <xdr:row>16</xdr:row>
      <xdr:rowOff>175260</xdr:rowOff>
    </xdr:to>
    <xdr:sp macro="" textlink="">
      <xdr:nvSpPr>
        <xdr:cNvPr id="1243017" name="Line 379">
          <a:extLst>
            <a:ext uri="{FF2B5EF4-FFF2-40B4-BE49-F238E27FC236}">
              <a16:creationId xmlns:a16="http://schemas.microsoft.com/office/drawing/2014/main" id="{00000000-0008-0000-5000-000089F71200}"/>
            </a:ext>
          </a:extLst>
        </xdr:cNvPr>
        <xdr:cNvSpPr/>
      </xdr:nvSpPr>
      <xdr:spPr>
        <a:xfrm flipV="1">
          <a:off x="4032885" y="4246880"/>
          <a:ext cx="0" cy="17526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198120</xdr:colOff>
      <xdr:row>11</xdr:row>
      <xdr:rowOff>38100</xdr:rowOff>
    </xdr:from>
    <xdr:to>
      <xdr:col>16</xdr:col>
      <xdr:colOff>198120</xdr:colOff>
      <xdr:row>12</xdr:row>
      <xdr:rowOff>0</xdr:rowOff>
    </xdr:to>
    <xdr:sp macro="" textlink="">
      <xdr:nvSpPr>
        <xdr:cNvPr id="1243018" name="Line 389">
          <a:extLst>
            <a:ext uri="{FF2B5EF4-FFF2-40B4-BE49-F238E27FC236}">
              <a16:creationId xmlns:a16="http://schemas.microsoft.com/office/drawing/2014/main" id="{00000000-0008-0000-5000-00008AF71200}"/>
            </a:ext>
          </a:extLst>
        </xdr:cNvPr>
        <xdr:cNvSpPr/>
      </xdr:nvSpPr>
      <xdr:spPr>
        <a:xfrm flipV="1">
          <a:off x="4979670" y="3008630"/>
          <a:ext cx="0" cy="217170"/>
        </a:xfrm>
        <a:prstGeom prst="line">
          <a:avLst/>
        </a:prstGeom>
        <a:ln w="38100" cap="flat" cmpd="sng">
          <a:solidFill>
            <a:srgbClr val="000000"/>
          </a:solidFill>
          <a:prstDash val="solid"/>
          <a:round/>
          <a:headEnd type="none" w="med" len="med"/>
          <a:tailEnd type="triangle" w="sm" len="sm"/>
        </a:ln>
      </xdr:spPr>
    </xdr:sp>
    <xdr:clientData/>
  </xdr:twoCellAnchor>
  <xdr:twoCellAnchor editAs="absolute">
    <xdr:from>
      <xdr:col>14</xdr:col>
      <xdr:colOff>0</xdr:colOff>
      <xdr:row>0</xdr:row>
      <xdr:rowOff>0</xdr:rowOff>
    </xdr:from>
    <xdr:to>
      <xdr:col>16</xdr:col>
      <xdr:colOff>196263</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5000-000002000000}"/>
            </a:ext>
          </a:extLst>
        </xdr:cNvPr>
        <xdr:cNvSpPr>
          <a:spLocks noChangeAspect="1"/>
        </xdr:cNvSpPr>
      </xdr:nvSpPr>
      <xdr:spPr>
        <a:xfrm flipH="1">
          <a:off x="4247029"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5</xdr:col>
      <xdr:colOff>180340</xdr:colOff>
      <xdr:row>10</xdr:row>
      <xdr:rowOff>155575</xdr:rowOff>
    </xdr:from>
    <xdr:to>
      <xdr:col>10</xdr:col>
      <xdr:colOff>198120</xdr:colOff>
      <xdr:row>10</xdr:row>
      <xdr:rowOff>157480</xdr:rowOff>
    </xdr:to>
    <xdr:cxnSp macro="">
      <xdr:nvCxnSpPr>
        <xdr:cNvPr id="2" name="直接箭头连接符 14">
          <a:extLst>
            <a:ext uri="{FF2B5EF4-FFF2-40B4-BE49-F238E27FC236}">
              <a16:creationId xmlns:a16="http://schemas.microsoft.com/office/drawing/2014/main" id="{00000000-0008-0000-5100-000002000000}"/>
            </a:ext>
          </a:extLst>
        </xdr:cNvPr>
        <xdr:cNvCxnSpPr/>
      </xdr:nvCxnSpPr>
      <xdr:spPr>
        <a:xfrm rot="5400000" flipH="1" flipV="1">
          <a:off x="6584315" y="842010"/>
          <a:ext cx="1905" cy="3113405"/>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491491</xdr:colOff>
      <xdr:row>18</xdr:row>
      <xdr:rowOff>76201</xdr:rowOff>
    </xdr:from>
    <xdr:to>
      <xdr:col>15</xdr:col>
      <xdr:colOff>588654</xdr:colOff>
      <xdr:row>18</xdr:row>
      <xdr:rowOff>85725</xdr:rowOff>
    </xdr:to>
    <xdr:cxnSp macro="">
      <xdr:nvCxnSpPr>
        <xdr:cNvPr id="3" name="直接箭头连接符 15">
          <a:extLst>
            <a:ext uri="{FF2B5EF4-FFF2-40B4-BE49-F238E27FC236}">
              <a16:creationId xmlns:a16="http://schemas.microsoft.com/office/drawing/2014/main" id="{00000000-0008-0000-5100-000003000000}"/>
            </a:ext>
          </a:extLst>
        </xdr:cNvPr>
        <xdr:cNvCxnSpPr/>
      </xdr:nvCxnSpPr>
      <xdr:spPr>
        <a:xfrm>
          <a:off x="6577965" y="3938905"/>
          <a:ext cx="5050155" cy="9525"/>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501015</xdr:colOff>
      <xdr:row>8</xdr:row>
      <xdr:rowOff>93346</xdr:rowOff>
    </xdr:from>
    <xdr:to>
      <xdr:col>8</xdr:col>
      <xdr:colOff>502920</xdr:colOff>
      <xdr:row>18</xdr:row>
      <xdr:rowOff>66676</xdr:rowOff>
    </xdr:to>
    <xdr:cxnSp macro="">
      <xdr:nvCxnSpPr>
        <xdr:cNvPr id="4" name="直接连接符 16">
          <a:extLst>
            <a:ext uri="{FF2B5EF4-FFF2-40B4-BE49-F238E27FC236}">
              <a16:creationId xmlns:a16="http://schemas.microsoft.com/office/drawing/2014/main" id="{00000000-0008-0000-5100-000004000000}"/>
            </a:ext>
          </a:extLst>
        </xdr:cNvPr>
        <xdr:cNvCxnSpPr/>
      </xdr:nvCxnSpPr>
      <xdr:spPr>
        <a:xfrm rot="5400000" flipH="1" flipV="1">
          <a:off x="5898515" y="2619375"/>
          <a:ext cx="1998980" cy="62103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521970</xdr:colOff>
      <xdr:row>8</xdr:row>
      <xdr:rowOff>93345</xdr:rowOff>
    </xdr:from>
    <xdr:to>
      <xdr:col>13</xdr:col>
      <xdr:colOff>512445</xdr:colOff>
      <xdr:row>8</xdr:row>
      <xdr:rowOff>97790</xdr:rowOff>
    </xdr:to>
    <xdr:cxnSp macro="">
      <xdr:nvCxnSpPr>
        <xdr:cNvPr id="5" name="直接连接符 17">
          <a:extLst>
            <a:ext uri="{FF2B5EF4-FFF2-40B4-BE49-F238E27FC236}">
              <a16:creationId xmlns:a16="http://schemas.microsoft.com/office/drawing/2014/main" id="{00000000-0008-0000-5100-000005000000}"/>
            </a:ext>
          </a:extLst>
        </xdr:cNvPr>
        <xdr:cNvCxnSpPr/>
      </xdr:nvCxnSpPr>
      <xdr:spPr>
        <a:xfrm>
          <a:off x="7227570" y="1930400"/>
          <a:ext cx="3086100" cy="44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521971</xdr:colOff>
      <xdr:row>8</xdr:row>
      <xdr:rowOff>95249</xdr:rowOff>
    </xdr:from>
    <xdr:to>
      <xdr:col>14</xdr:col>
      <xdr:colOff>491491</xdr:colOff>
      <xdr:row>18</xdr:row>
      <xdr:rowOff>85724</xdr:rowOff>
    </xdr:to>
    <xdr:cxnSp macro="">
      <xdr:nvCxnSpPr>
        <xdr:cNvPr id="6" name="直接连接符 18">
          <a:extLst>
            <a:ext uri="{FF2B5EF4-FFF2-40B4-BE49-F238E27FC236}">
              <a16:creationId xmlns:a16="http://schemas.microsoft.com/office/drawing/2014/main" id="{00000000-0008-0000-5100-000006000000}"/>
            </a:ext>
          </a:extLst>
        </xdr:cNvPr>
        <xdr:cNvCxnSpPr/>
      </xdr:nvCxnSpPr>
      <xdr:spPr>
        <a:xfrm rot="16200000" flipH="1">
          <a:off x="9609455" y="2645410"/>
          <a:ext cx="2016125" cy="5886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502921</xdr:colOff>
      <xdr:row>8</xdr:row>
      <xdr:rowOff>121920</xdr:rowOff>
    </xdr:from>
    <xdr:to>
      <xdr:col>8</xdr:col>
      <xdr:colOff>512446</xdr:colOff>
      <xdr:row>18</xdr:row>
      <xdr:rowOff>112395</xdr:rowOff>
    </xdr:to>
    <xdr:cxnSp macro="">
      <xdr:nvCxnSpPr>
        <xdr:cNvPr id="7" name="直接连接符 19">
          <a:extLst>
            <a:ext uri="{FF2B5EF4-FFF2-40B4-BE49-F238E27FC236}">
              <a16:creationId xmlns:a16="http://schemas.microsoft.com/office/drawing/2014/main" id="{00000000-0008-0000-5100-000007000000}"/>
            </a:ext>
          </a:extLst>
        </xdr:cNvPr>
        <xdr:cNvCxnSpPr/>
      </xdr:nvCxnSpPr>
      <xdr:spPr>
        <a:xfrm rot="5400000">
          <a:off x="6205220" y="2962275"/>
          <a:ext cx="2016125" cy="952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502921</xdr:colOff>
      <xdr:row>8</xdr:row>
      <xdr:rowOff>112395</xdr:rowOff>
    </xdr:from>
    <xdr:to>
      <xdr:col>13</xdr:col>
      <xdr:colOff>512446</xdr:colOff>
      <xdr:row>18</xdr:row>
      <xdr:rowOff>95257</xdr:rowOff>
    </xdr:to>
    <xdr:cxnSp macro="">
      <xdr:nvCxnSpPr>
        <xdr:cNvPr id="8" name="直接连接符 20">
          <a:extLst>
            <a:ext uri="{FF2B5EF4-FFF2-40B4-BE49-F238E27FC236}">
              <a16:creationId xmlns:a16="http://schemas.microsoft.com/office/drawing/2014/main" id="{00000000-0008-0000-5100-000008000000}"/>
            </a:ext>
          </a:extLst>
        </xdr:cNvPr>
        <xdr:cNvCxnSpPr/>
      </xdr:nvCxnSpPr>
      <xdr:spPr>
        <a:xfrm rot="5400000">
          <a:off x="9304020" y="2948940"/>
          <a:ext cx="2009140" cy="952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219075</xdr:colOff>
      <xdr:row>3</xdr:row>
      <xdr:rowOff>0</xdr:rowOff>
    </xdr:from>
    <xdr:to>
      <xdr:col>7</xdr:col>
      <xdr:colOff>491541</xdr:colOff>
      <xdr:row>4</xdr:row>
      <xdr:rowOff>76200</xdr:rowOff>
    </xdr:to>
    <xdr:sp macro="" textlink="">
      <xdr:nvSpPr>
        <xdr:cNvPr id="9" name="矩形 21">
          <a:extLst>
            <a:ext uri="{FF2B5EF4-FFF2-40B4-BE49-F238E27FC236}">
              <a16:creationId xmlns:a16="http://schemas.microsoft.com/office/drawing/2014/main" id="{00000000-0008-0000-5100-000009000000}"/>
            </a:ext>
          </a:extLst>
        </xdr:cNvPr>
        <xdr:cNvSpPr/>
      </xdr:nvSpPr>
      <xdr:spPr>
        <a:xfrm>
          <a:off x="6305550" y="824230"/>
          <a:ext cx="272415" cy="278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V</a:t>
          </a:r>
          <a:endParaRPr lang="zh-CN" altLang="en-US" sz="2800">
            <a:solidFill>
              <a:srgbClr val="FF0000"/>
            </a:solidFill>
          </a:endParaRPr>
        </a:p>
      </xdr:txBody>
    </xdr:sp>
    <xdr:clientData/>
  </xdr:twoCellAnchor>
  <xdr:twoCellAnchor>
    <xdr:from>
      <xdr:col>15</xdr:col>
      <xdr:colOff>304800</xdr:colOff>
      <xdr:row>18</xdr:row>
      <xdr:rowOff>171450</xdr:rowOff>
    </xdr:from>
    <xdr:to>
      <xdr:col>15</xdr:col>
      <xdr:colOff>531495</xdr:colOff>
      <xdr:row>20</xdr:row>
      <xdr:rowOff>49530</xdr:rowOff>
    </xdr:to>
    <xdr:sp macro="" textlink="">
      <xdr:nvSpPr>
        <xdr:cNvPr id="10" name="矩形 22">
          <a:extLst>
            <a:ext uri="{FF2B5EF4-FFF2-40B4-BE49-F238E27FC236}">
              <a16:creationId xmlns:a16="http://schemas.microsoft.com/office/drawing/2014/main" id="{00000000-0008-0000-5100-00000A000000}"/>
            </a:ext>
          </a:extLst>
        </xdr:cNvPr>
        <xdr:cNvSpPr/>
      </xdr:nvSpPr>
      <xdr:spPr>
        <a:xfrm>
          <a:off x="11344275" y="4034155"/>
          <a:ext cx="226695" cy="2832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T</a:t>
          </a:r>
          <a:endParaRPr lang="zh-CN" altLang="en-US" sz="2800">
            <a:solidFill>
              <a:srgbClr val="FF0000"/>
            </a:solidFill>
          </a:endParaRPr>
        </a:p>
      </xdr:txBody>
    </xdr:sp>
    <xdr:clientData/>
  </xdr:twoCellAnchor>
  <xdr:twoCellAnchor>
    <xdr:from>
      <xdr:col>8</xdr:col>
      <xdr:colOff>257175</xdr:colOff>
      <xdr:row>18</xdr:row>
      <xdr:rowOff>131445</xdr:rowOff>
    </xdr:from>
    <xdr:to>
      <xdr:col>9</xdr:col>
      <xdr:colOff>125759</xdr:colOff>
      <xdr:row>20</xdr:row>
      <xdr:rowOff>9525</xdr:rowOff>
    </xdr:to>
    <xdr:sp macro="" textlink="">
      <xdr:nvSpPr>
        <xdr:cNvPr id="11" name="矩形 23">
          <a:extLst>
            <a:ext uri="{FF2B5EF4-FFF2-40B4-BE49-F238E27FC236}">
              <a16:creationId xmlns:a16="http://schemas.microsoft.com/office/drawing/2014/main" id="{00000000-0008-0000-5100-00000B000000}"/>
            </a:ext>
          </a:extLst>
        </xdr:cNvPr>
        <xdr:cNvSpPr/>
      </xdr:nvSpPr>
      <xdr:spPr>
        <a:xfrm>
          <a:off x="6962775" y="3994150"/>
          <a:ext cx="487680" cy="2832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t1</a:t>
          </a:r>
          <a:endParaRPr lang="zh-CN" altLang="en-US" sz="2800">
            <a:solidFill>
              <a:srgbClr val="FF0000"/>
            </a:solidFill>
          </a:endParaRPr>
        </a:p>
      </xdr:txBody>
    </xdr:sp>
    <xdr:clientData/>
  </xdr:twoCellAnchor>
  <xdr:twoCellAnchor>
    <xdr:from>
      <xdr:col>13</xdr:col>
      <xdr:colOff>247650</xdr:colOff>
      <xdr:row>18</xdr:row>
      <xdr:rowOff>131445</xdr:rowOff>
    </xdr:from>
    <xdr:to>
      <xdr:col>14</xdr:col>
      <xdr:colOff>123825</xdr:colOff>
      <xdr:row>20</xdr:row>
      <xdr:rowOff>9525</xdr:rowOff>
    </xdr:to>
    <xdr:sp macro="" textlink="">
      <xdr:nvSpPr>
        <xdr:cNvPr id="12" name="矩形 24">
          <a:extLst>
            <a:ext uri="{FF2B5EF4-FFF2-40B4-BE49-F238E27FC236}">
              <a16:creationId xmlns:a16="http://schemas.microsoft.com/office/drawing/2014/main" id="{00000000-0008-0000-5100-00000C000000}"/>
            </a:ext>
          </a:extLst>
        </xdr:cNvPr>
        <xdr:cNvSpPr/>
      </xdr:nvSpPr>
      <xdr:spPr>
        <a:xfrm>
          <a:off x="10048875" y="3994150"/>
          <a:ext cx="495300" cy="2832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t2</a:t>
          </a:r>
          <a:endParaRPr lang="zh-CN" altLang="en-US" sz="2800">
            <a:solidFill>
              <a:srgbClr val="FF0000"/>
            </a:solidFill>
          </a:endParaRPr>
        </a:p>
      </xdr:txBody>
    </xdr:sp>
    <xdr:clientData/>
  </xdr:twoCellAnchor>
  <xdr:twoCellAnchor>
    <xdr:from>
      <xdr:col>7</xdr:col>
      <xdr:colOff>0</xdr:colOff>
      <xdr:row>7</xdr:row>
      <xdr:rowOff>85725</xdr:rowOff>
    </xdr:from>
    <xdr:to>
      <xdr:col>8</xdr:col>
      <xdr:colOff>76200</xdr:colOff>
      <xdr:row>8</xdr:row>
      <xdr:rowOff>160020</xdr:rowOff>
    </xdr:to>
    <xdr:sp macro="" textlink="">
      <xdr:nvSpPr>
        <xdr:cNvPr id="13" name="矩形 25">
          <a:extLst>
            <a:ext uri="{FF2B5EF4-FFF2-40B4-BE49-F238E27FC236}">
              <a16:creationId xmlns:a16="http://schemas.microsoft.com/office/drawing/2014/main" id="{00000000-0008-0000-5100-00000D000000}"/>
            </a:ext>
          </a:extLst>
        </xdr:cNvPr>
        <xdr:cNvSpPr/>
      </xdr:nvSpPr>
      <xdr:spPr>
        <a:xfrm>
          <a:off x="6086475" y="1720215"/>
          <a:ext cx="695325" cy="2768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V</a:t>
          </a:r>
          <a:r>
            <a:rPr lang="en-US" altLang="zh-CN" sz="1600">
              <a:solidFill>
                <a:srgbClr val="FF0000"/>
              </a:solidFill>
            </a:rPr>
            <a:t>t1</a:t>
          </a:r>
          <a:endParaRPr lang="zh-CN" altLang="en-US" sz="1600">
            <a:solidFill>
              <a:srgbClr val="FF0000"/>
            </a:solidFill>
          </a:endParaRPr>
        </a:p>
      </xdr:txBody>
    </xdr:sp>
    <xdr:clientData/>
  </xdr:twoCellAnchor>
  <xdr:twoCellAnchor>
    <xdr:from>
      <xdr:col>14</xdr:col>
      <xdr:colOff>163830</xdr:colOff>
      <xdr:row>6</xdr:row>
      <xdr:rowOff>188595</xdr:rowOff>
    </xdr:from>
    <xdr:to>
      <xdr:col>15</xdr:col>
      <xdr:colOff>47714</xdr:colOff>
      <xdr:row>8</xdr:row>
      <xdr:rowOff>66675</xdr:rowOff>
    </xdr:to>
    <xdr:sp macro="" textlink="">
      <xdr:nvSpPr>
        <xdr:cNvPr id="14" name="矩形 26">
          <a:extLst>
            <a:ext uri="{FF2B5EF4-FFF2-40B4-BE49-F238E27FC236}">
              <a16:creationId xmlns:a16="http://schemas.microsoft.com/office/drawing/2014/main" id="{00000000-0008-0000-5100-00000E000000}"/>
            </a:ext>
          </a:extLst>
        </xdr:cNvPr>
        <xdr:cNvSpPr/>
      </xdr:nvSpPr>
      <xdr:spPr>
        <a:xfrm>
          <a:off x="10584180" y="1620520"/>
          <a:ext cx="502920" cy="2832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2800">
              <a:solidFill>
                <a:srgbClr val="FF0000"/>
              </a:solidFill>
            </a:rPr>
            <a:t>S</a:t>
          </a:r>
          <a:endParaRPr lang="zh-CN" altLang="en-US" sz="2800">
            <a:solidFill>
              <a:srgbClr val="FF0000"/>
            </a:solidFill>
          </a:endParaRPr>
        </a:p>
      </xdr:txBody>
    </xdr:sp>
    <xdr:clientData/>
  </xdr:twoCellAnchor>
  <xdr:twoCellAnchor editAs="absolute">
    <xdr:from>
      <xdr:col>5</xdr:col>
      <xdr:colOff>0</xdr:colOff>
      <xdr:row>0</xdr:row>
      <xdr:rowOff>0</xdr:rowOff>
    </xdr:from>
    <xdr:to>
      <xdr:col>6</xdr:col>
      <xdr:colOff>159844</xdr:colOff>
      <xdr:row>0</xdr:row>
      <xdr:rowOff>293274</xdr:rowOff>
    </xdr:to>
    <xdr:sp macro="" textlink="">
      <xdr:nvSpPr>
        <xdr:cNvPr id="15" name="五边形 1">
          <a:hlinkClick xmlns:r="http://schemas.openxmlformats.org/officeDocument/2006/relationships" r:id="rId1"/>
          <a:extLst>
            <a:ext uri="{FF2B5EF4-FFF2-40B4-BE49-F238E27FC236}">
              <a16:creationId xmlns:a16="http://schemas.microsoft.com/office/drawing/2014/main" id="{00000000-0008-0000-5100-00000F000000}"/>
            </a:ext>
          </a:extLst>
        </xdr:cNvPr>
        <xdr:cNvSpPr>
          <a:spLocks noChangeAspect="1"/>
        </xdr:cNvSpPr>
      </xdr:nvSpPr>
      <xdr:spPr>
        <a:xfrm flipH="1">
          <a:off x="48482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7</xdr:col>
      <xdr:colOff>411480</xdr:colOff>
      <xdr:row>20</xdr:row>
      <xdr:rowOff>144780</xdr:rowOff>
    </xdr:from>
    <xdr:to>
      <xdr:col>15</xdr:col>
      <xdr:colOff>327660</xdr:colOff>
      <xdr:row>37</xdr:row>
      <xdr:rowOff>0</xdr:rowOff>
    </xdr:to>
    <xdr:graphicFrame macro="">
      <xdr:nvGraphicFramePr>
        <xdr:cNvPr id="1111067" name="Chart 3">
          <a:extLst>
            <a:ext uri="{FF2B5EF4-FFF2-40B4-BE49-F238E27FC236}">
              <a16:creationId xmlns:a16="http://schemas.microsoft.com/office/drawing/2014/main" id="{00000000-0008-0000-5200-00001BF41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1</xdr:row>
      <xdr:rowOff>152400</xdr:rowOff>
    </xdr:from>
    <xdr:to>
      <xdr:col>15</xdr:col>
      <xdr:colOff>213360</xdr:colOff>
      <xdr:row>18</xdr:row>
      <xdr:rowOff>114300</xdr:rowOff>
    </xdr:to>
    <xdr:graphicFrame macro="">
      <xdr:nvGraphicFramePr>
        <xdr:cNvPr id="1111068" name="Chart 4">
          <a:extLst>
            <a:ext uri="{FF2B5EF4-FFF2-40B4-BE49-F238E27FC236}">
              <a16:creationId xmlns:a16="http://schemas.microsoft.com/office/drawing/2014/main" id="{00000000-0008-0000-5200-00001CF41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0</xdr:colOff>
      <xdr:row>0</xdr:row>
      <xdr:rowOff>0</xdr:rowOff>
    </xdr:from>
    <xdr:to>
      <xdr:col>7</xdr:col>
      <xdr:colOff>112219</xdr:colOff>
      <xdr:row>0</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00000000-0008-0000-5200-000002000000}"/>
            </a:ext>
          </a:extLst>
        </xdr:cNvPr>
        <xdr:cNvSpPr>
          <a:spLocks noChangeAspect="1"/>
        </xdr:cNvSpPr>
      </xdr:nvSpPr>
      <xdr:spPr>
        <a:xfrm flipH="1">
          <a:off x="40005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4.xml><?xml version="1.0" encoding="utf-8"?>
<xdr:wsDr xmlns:xdr="http://schemas.openxmlformats.org/drawingml/2006/spreadsheetDrawing" xmlns:a="http://schemas.openxmlformats.org/drawingml/2006/main">
  <xdr:twoCellAnchor editAs="absolute">
    <xdr:from>
      <xdr:col>12</xdr:col>
      <xdr:colOff>0</xdr:colOff>
      <xdr:row>0</xdr:row>
      <xdr:rowOff>0</xdr:rowOff>
    </xdr:from>
    <xdr:to>
      <xdr:col>12</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5300-000002000000}"/>
            </a:ext>
          </a:extLst>
        </xdr:cNvPr>
        <xdr:cNvSpPr>
          <a:spLocks noChangeAspect="1"/>
        </xdr:cNvSpPr>
      </xdr:nvSpPr>
      <xdr:spPr>
        <a:xfrm flipH="1">
          <a:off x="8415618"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8</xdr:col>
      <xdr:colOff>251460</xdr:colOff>
      <xdr:row>1</xdr:row>
      <xdr:rowOff>121285</xdr:rowOff>
    </xdr:from>
    <xdr:to>
      <xdr:col>16</xdr:col>
      <xdr:colOff>525780</xdr:colOff>
      <xdr:row>23</xdr:row>
      <xdr:rowOff>106680</xdr:rowOff>
    </xdr:to>
    <xdr:graphicFrame macro="">
      <xdr:nvGraphicFramePr>
        <xdr:cNvPr id="1191946" name="图表 1">
          <a:extLst>
            <a:ext uri="{FF2B5EF4-FFF2-40B4-BE49-F238E27FC236}">
              <a16:creationId xmlns:a16="http://schemas.microsoft.com/office/drawing/2014/main" id="{00000000-0008-0000-5400-00000A30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112219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54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55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7620</xdr:colOff>
      <xdr:row>22</xdr:row>
      <xdr:rowOff>175260</xdr:rowOff>
    </xdr:from>
    <xdr:to>
      <xdr:col>11</xdr:col>
      <xdr:colOff>60960</xdr:colOff>
      <xdr:row>45</xdr:row>
      <xdr:rowOff>76200</xdr:rowOff>
    </xdr:to>
    <xdr:pic>
      <xdr:nvPicPr>
        <xdr:cNvPr id="1192970" name="图片 4">
          <a:extLst>
            <a:ext uri="{FF2B5EF4-FFF2-40B4-BE49-F238E27FC236}">
              <a16:creationId xmlns:a16="http://schemas.microsoft.com/office/drawing/2014/main" id="{00000000-0008-0000-5600-00000A341200}"/>
            </a:ext>
          </a:extLst>
        </xdr:cNvPr>
        <xdr:cNvPicPr>
          <a:picLocks noChangeAspect="1"/>
        </xdr:cNvPicPr>
      </xdr:nvPicPr>
      <xdr:blipFill>
        <a:blip xmlns:r="http://schemas.openxmlformats.org/officeDocument/2006/relationships" r:embed="rId1" cstate="print"/>
        <a:stretch>
          <a:fillRect/>
        </a:stretch>
      </xdr:blipFill>
      <xdr:spPr>
        <a:xfrm>
          <a:off x="617220" y="4343400"/>
          <a:ext cx="6149340" cy="3848100"/>
        </a:xfrm>
        <a:prstGeom prst="rect">
          <a:avLst/>
        </a:prstGeom>
        <a:noFill/>
        <a:ln w="9525">
          <a:noFill/>
        </a:ln>
      </xdr:spPr>
    </xdr:pic>
    <xdr:clientData/>
  </xdr:twoCellAnchor>
  <xdr:twoCellAnchor editAs="absolute">
    <xdr:from>
      <xdr:col>0</xdr:col>
      <xdr:colOff>0</xdr:colOff>
      <xdr:row>0</xdr:row>
      <xdr:rowOff>0</xdr:rowOff>
    </xdr:from>
    <xdr:to>
      <xdr:col>1</xdr:col>
      <xdr:colOff>173851</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56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106616</xdr:colOff>
      <xdr:row>2</xdr:row>
      <xdr:rowOff>1921</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5700-000002000000}"/>
            </a:ext>
          </a:extLst>
        </xdr:cNvPr>
        <xdr:cNvSpPr>
          <a:spLocks noChangeAspect="1"/>
        </xdr:cNvSpPr>
      </xdr:nvSpPr>
      <xdr:spPr>
        <a:xfrm flipH="1">
          <a:off x="100853" y="100853"/>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89.xml><?xml version="1.0" encoding="utf-8"?>
<xdr:wsDr xmlns:xdr="http://schemas.openxmlformats.org/drawingml/2006/spreadsheetDrawing" xmlns:a="http://schemas.openxmlformats.org/drawingml/2006/main">
  <xdr:twoCellAnchor editAs="absolute">
    <xdr:from>
      <xdr:col>3</xdr:col>
      <xdr:colOff>0</xdr:colOff>
      <xdr:row>1</xdr:row>
      <xdr:rowOff>0</xdr:rowOff>
    </xdr:from>
    <xdr:to>
      <xdr:col>4</xdr:col>
      <xdr:colOff>112219</xdr:colOff>
      <xdr:row>1</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5800-000002000000}"/>
            </a:ext>
          </a:extLst>
        </xdr:cNvPr>
        <xdr:cNvSpPr>
          <a:spLocks noChangeAspect="1"/>
        </xdr:cNvSpPr>
      </xdr:nvSpPr>
      <xdr:spPr>
        <a:xfrm flipH="1">
          <a:off x="2695575" y="10477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10</xdr:col>
      <xdr:colOff>304800</xdr:colOff>
      <xdr:row>48</xdr:row>
      <xdr:rowOff>114300</xdr:rowOff>
    </xdr:from>
    <xdr:to>
      <xdr:col>19</xdr:col>
      <xdr:colOff>213360</xdr:colOff>
      <xdr:row>69</xdr:row>
      <xdr:rowOff>0</xdr:rowOff>
    </xdr:to>
    <xdr:pic>
      <xdr:nvPicPr>
        <xdr:cNvPr id="1194030" name="Picture 1">
          <a:extLst>
            <a:ext uri="{FF2B5EF4-FFF2-40B4-BE49-F238E27FC236}">
              <a16:creationId xmlns:a16="http://schemas.microsoft.com/office/drawing/2014/main" id="{00000000-0008-0000-5900-00002E381200}"/>
            </a:ext>
          </a:extLst>
        </xdr:cNvPr>
        <xdr:cNvPicPr>
          <a:picLocks noChangeAspect="1"/>
        </xdr:cNvPicPr>
      </xdr:nvPicPr>
      <xdr:blipFill>
        <a:blip xmlns:r="http://schemas.openxmlformats.org/officeDocument/2006/relationships" r:embed="rId1" cstate="print"/>
        <a:stretch>
          <a:fillRect/>
        </a:stretch>
      </xdr:blipFill>
      <xdr:spPr>
        <a:xfrm>
          <a:off x="8191500" y="10368915"/>
          <a:ext cx="5909310" cy="3686175"/>
        </a:xfrm>
        <a:prstGeom prst="rect">
          <a:avLst/>
        </a:prstGeom>
        <a:noFill/>
        <a:ln w="1">
          <a:noFill/>
        </a:ln>
      </xdr:spPr>
    </xdr:pic>
    <xdr:clientData/>
  </xdr:twoCellAnchor>
  <xdr:twoCellAnchor editAs="oneCell">
    <xdr:from>
      <xdr:col>13</xdr:col>
      <xdr:colOff>579120</xdr:colOff>
      <xdr:row>2</xdr:row>
      <xdr:rowOff>0</xdr:rowOff>
    </xdr:from>
    <xdr:to>
      <xdr:col>22</xdr:col>
      <xdr:colOff>541020</xdr:colOff>
      <xdr:row>20</xdr:row>
      <xdr:rowOff>183515</xdr:rowOff>
    </xdr:to>
    <xdr:pic>
      <xdr:nvPicPr>
        <xdr:cNvPr id="1194031" name="Picture 2">
          <a:extLst>
            <a:ext uri="{FF2B5EF4-FFF2-40B4-BE49-F238E27FC236}">
              <a16:creationId xmlns:a16="http://schemas.microsoft.com/office/drawing/2014/main" id="{00000000-0008-0000-5900-00002F381200}"/>
            </a:ext>
          </a:extLst>
        </xdr:cNvPr>
        <xdr:cNvPicPr>
          <a:picLocks noChangeAspect="1"/>
        </xdr:cNvPicPr>
      </xdr:nvPicPr>
      <xdr:blipFill>
        <a:blip xmlns:r="http://schemas.openxmlformats.org/officeDocument/2006/relationships" r:embed="rId2" cstate="print"/>
        <a:stretch>
          <a:fillRect/>
        </a:stretch>
      </xdr:blipFill>
      <xdr:spPr>
        <a:xfrm>
          <a:off x="10466070" y="976630"/>
          <a:ext cx="5962650" cy="3841750"/>
        </a:xfrm>
        <a:prstGeom prst="rect">
          <a:avLst/>
        </a:prstGeom>
        <a:noFill/>
        <a:ln w="1">
          <a:noFill/>
        </a:ln>
      </xdr:spPr>
    </xdr:pic>
    <xdr:clientData/>
  </xdr:twoCellAnchor>
  <xdr:twoCellAnchor editAs="oneCell">
    <xdr:from>
      <xdr:col>5</xdr:col>
      <xdr:colOff>662940</xdr:colOff>
      <xdr:row>61</xdr:row>
      <xdr:rowOff>30480</xdr:rowOff>
    </xdr:from>
    <xdr:to>
      <xdr:col>16</xdr:col>
      <xdr:colOff>472440</xdr:colOff>
      <xdr:row>94</xdr:row>
      <xdr:rowOff>122555</xdr:rowOff>
    </xdr:to>
    <xdr:pic>
      <xdr:nvPicPr>
        <xdr:cNvPr id="1194032" name="Picture 4">
          <a:extLst>
            <a:ext uri="{FF2B5EF4-FFF2-40B4-BE49-F238E27FC236}">
              <a16:creationId xmlns:a16="http://schemas.microsoft.com/office/drawing/2014/main" id="{00000000-0008-0000-5900-000030381200}"/>
            </a:ext>
          </a:extLst>
        </xdr:cNvPr>
        <xdr:cNvPicPr>
          <a:picLocks noChangeAspect="1"/>
        </xdr:cNvPicPr>
      </xdr:nvPicPr>
      <xdr:blipFill>
        <a:blip xmlns:r="http://schemas.openxmlformats.org/officeDocument/2006/relationships" r:embed="rId3" cstate="print"/>
        <a:stretch>
          <a:fillRect/>
        </a:stretch>
      </xdr:blipFill>
      <xdr:spPr>
        <a:xfrm>
          <a:off x="5006340" y="12637770"/>
          <a:ext cx="7353300" cy="6064250"/>
        </a:xfrm>
        <a:prstGeom prst="rect">
          <a:avLst/>
        </a:prstGeom>
        <a:noFill/>
        <a:ln w="1">
          <a:noFill/>
        </a:ln>
      </xdr:spPr>
    </xdr:pic>
    <xdr:clientData/>
  </xdr:twoCellAnchor>
  <xdr:twoCellAnchor editAs="oneCell">
    <xdr:from>
      <xdr:col>0</xdr:col>
      <xdr:colOff>0</xdr:colOff>
      <xdr:row>77</xdr:row>
      <xdr:rowOff>114300</xdr:rowOff>
    </xdr:from>
    <xdr:to>
      <xdr:col>5</xdr:col>
      <xdr:colOff>487680</xdr:colOff>
      <xdr:row>93</xdr:row>
      <xdr:rowOff>167640</xdr:rowOff>
    </xdr:to>
    <xdr:pic>
      <xdr:nvPicPr>
        <xdr:cNvPr id="1194033" name="Picture 5">
          <a:extLst>
            <a:ext uri="{FF2B5EF4-FFF2-40B4-BE49-F238E27FC236}">
              <a16:creationId xmlns:a16="http://schemas.microsoft.com/office/drawing/2014/main" id="{00000000-0008-0000-5900-000031381200}"/>
            </a:ext>
          </a:extLst>
        </xdr:cNvPr>
        <xdr:cNvPicPr>
          <a:picLocks noChangeAspect="1"/>
        </xdr:cNvPicPr>
      </xdr:nvPicPr>
      <xdr:blipFill>
        <a:blip xmlns:r="http://schemas.openxmlformats.org/officeDocument/2006/relationships" r:embed="rId4" cstate="print"/>
        <a:stretch>
          <a:fillRect/>
        </a:stretch>
      </xdr:blipFill>
      <xdr:spPr>
        <a:xfrm>
          <a:off x="0" y="15617190"/>
          <a:ext cx="4831080" cy="2948940"/>
        </a:xfrm>
        <a:prstGeom prst="rect">
          <a:avLst/>
        </a:prstGeom>
        <a:noFill/>
        <a:ln w="1">
          <a:noFill/>
        </a:ln>
      </xdr:spPr>
    </xdr:pic>
    <xdr:clientData/>
  </xdr:twoCellAnchor>
  <xdr:twoCellAnchor editAs="oneCell">
    <xdr:from>
      <xdr:col>5</xdr:col>
      <xdr:colOff>182880</xdr:colOff>
      <xdr:row>11</xdr:row>
      <xdr:rowOff>106680</xdr:rowOff>
    </xdr:from>
    <xdr:to>
      <xdr:col>11</xdr:col>
      <xdr:colOff>38100</xdr:colOff>
      <xdr:row>20</xdr:row>
      <xdr:rowOff>152400</xdr:rowOff>
    </xdr:to>
    <xdr:pic>
      <xdr:nvPicPr>
        <xdr:cNvPr id="1194034" name="Picture 6">
          <a:extLst>
            <a:ext uri="{FF2B5EF4-FFF2-40B4-BE49-F238E27FC236}">
              <a16:creationId xmlns:a16="http://schemas.microsoft.com/office/drawing/2014/main" id="{00000000-0008-0000-5900-000032381200}"/>
            </a:ext>
          </a:extLst>
        </xdr:cNvPr>
        <xdr:cNvPicPr>
          <a:picLocks noChangeAspect="1"/>
        </xdr:cNvPicPr>
      </xdr:nvPicPr>
      <xdr:blipFill>
        <a:blip xmlns:r="http://schemas.openxmlformats.org/officeDocument/2006/relationships" r:embed="rId5" cstate="print"/>
        <a:stretch>
          <a:fillRect/>
        </a:stretch>
      </xdr:blipFill>
      <xdr:spPr>
        <a:xfrm>
          <a:off x="4526280" y="3103245"/>
          <a:ext cx="4065270" cy="1684020"/>
        </a:xfrm>
        <a:prstGeom prst="rect">
          <a:avLst/>
        </a:prstGeom>
        <a:noFill/>
        <a:ln w="1">
          <a:noFill/>
        </a:ln>
      </xdr:spPr>
    </xdr:pic>
    <xdr:clientData/>
  </xdr:twoCellAnchor>
  <xdr:twoCellAnchor editAs="absolute">
    <xdr:from>
      <xdr:col>0</xdr:col>
      <xdr:colOff>0</xdr:colOff>
      <xdr:row>0</xdr:row>
      <xdr:rowOff>0</xdr:rowOff>
    </xdr:from>
    <xdr:to>
      <xdr:col>1</xdr:col>
      <xdr:colOff>108078</xdr:colOff>
      <xdr:row>0</xdr:row>
      <xdr:rowOff>293274</xdr:rowOff>
    </xdr:to>
    <xdr:sp macro="" textlink="">
      <xdr:nvSpPr>
        <xdr:cNvPr id="2" name="五边形 1">
          <a:hlinkClick xmlns:r="http://schemas.openxmlformats.org/officeDocument/2006/relationships" r:id="rId6"/>
          <a:extLst>
            <a:ext uri="{FF2B5EF4-FFF2-40B4-BE49-F238E27FC236}">
              <a16:creationId xmlns:a16="http://schemas.microsoft.com/office/drawing/2014/main" id="{00000000-0008-0000-59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1.xml><?xml version="1.0" encoding="utf-8"?>
<xdr:wsDr xmlns:xdr="http://schemas.openxmlformats.org/drawingml/2006/spreadsheetDrawing" xmlns:a="http://schemas.openxmlformats.org/drawingml/2006/main">
  <xdr:twoCellAnchor>
    <xdr:from>
      <xdr:col>0</xdr:col>
      <xdr:colOff>6985</xdr:colOff>
      <xdr:row>12</xdr:row>
      <xdr:rowOff>0</xdr:rowOff>
    </xdr:from>
    <xdr:to>
      <xdr:col>6</xdr:col>
      <xdr:colOff>525780</xdr:colOff>
      <xdr:row>40</xdr:row>
      <xdr:rowOff>30480</xdr:rowOff>
    </xdr:to>
    <xdr:pic>
      <xdr:nvPicPr>
        <xdr:cNvPr id="1195018" name="图片 1">
          <a:extLst>
            <a:ext uri="{FF2B5EF4-FFF2-40B4-BE49-F238E27FC236}">
              <a16:creationId xmlns:a16="http://schemas.microsoft.com/office/drawing/2014/main" id="{00000000-0008-0000-5A00-00000A3C1200}"/>
            </a:ext>
          </a:extLst>
        </xdr:cNvPr>
        <xdr:cNvPicPr>
          <a:picLocks noChangeAspect="1"/>
        </xdr:cNvPicPr>
      </xdr:nvPicPr>
      <xdr:blipFill>
        <a:blip xmlns:r="http://schemas.openxmlformats.org/officeDocument/2006/relationships" r:embed="rId1" cstate="print"/>
        <a:stretch>
          <a:fillRect/>
        </a:stretch>
      </xdr:blipFill>
      <xdr:spPr>
        <a:xfrm>
          <a:off x="6985" y="3407410"/>
          <a:ext cx="8034020" cy="5097780"/>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5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2.xml><?xml version="1.0" encoding="utf-8"?>
<xdr:wsDr xmlns:xdr="http://schemas.openxmlformats.org/drawingml/2006/spreadsheetDrawing" xmlns:a="http://schemas.openxmlformats.org/drawingml/2006/main">
  <xdr:twoCellAnchor editAs="oneCell">
    <xdr:from>
      <xdr:col>11</xdr:col>
      <xdr:colOff>518160</xdr:colOff>
      <xdr:row>0</xdr:row>
      <xdr:rowOff>7620</xdr:rowOff>
    </xdr:from>
    <xdr:to>
      <xdr:col>20</xdr:col>
      <xdr:colOff>426720</xdr:colOff>
      <xdr:row>20</xdr:row>
      <xdr:rowOff>91440</xdr:rowOff>
    </xdr:to>
    <xdr:pic>
      <xdr:nvPicPr>
        <xdr:cNvPr id="1196078" name="Picture 1">
          <a:extLst>
            <a:ext uri="{FF2B5EF4-FFF2-40B4-BE49-F238E27FC236}">
              <a16:creationId xmlns:a16="http://schemas.microsoft.com/office/drawing/2014/main" id="{00000000-0008-0000-5B00-00002E401200}"/>
            </a:ext>
          </a:extLst>
        </xdr:cNvPr>
        <xdr:cNvPicPr>
          <a:picLocks noChangeAspect="1"/>
        </xdr:cNvPicPr>
      </xdr:nvPicPr>
      <xdr:blipFill>
        <a:blip xmlns:r="http://schemas.openxmlformats.org/officeDocument/2006/relationships" r:embed="rId1" cstate="print"/>
        <a:stretch>
          <a:fillRect/>
        </a:stretch>
      </xdr:blipFill>
      <xdr:spPr>
        <a:xfrm>
          <a:off x="8462010" y="7620"/>
          <a:ext cx="5909310" cy="3703320"/>
        </a:xfrm>
        <a:prstGeom prst="rect">
          <a:avLst/>
        </a:prstGeom>
        <a:noFill/>
        <a:ln w="1">
          <a:noFill/>
        </a:ln>
      </xdr:spPr>
    </xdr:pic>
    <xdr:clientData/>
  </xdr:twoCellAnchor>
  <xdr:twoCellAnchor editAs="oneCell">
    <xdr:from>
      <xdr:col>4</xdr:col>
      <xdr:colOff>15240</xdr:colOff>
      <xdr:row>0</xdr:row>
      <xdr:rowOff>0</xdr:rowOff>
    </xdr:from>
    <xdr:to>
      <xdr:col>11</xdr:col>
      <xdr:colOff>518160</xdr:colOff>
      <xdr:row>12</xdr:row>
      <xdr:rowOff>45720</xdr:rowOff>
    </xdr:to>
    <xdr:pic>
      <xdr:nvPicPr>
        <xdr:cNvPr id="1196079" name="Picture 2">
          <a:extLst>
            <a:ext uri="{FF2B5EF4-FFF2-40B4-BE49-F238E27FC236}">
              <a16:creationId xmlns:a16="http://schemas.microsoft.com/office/drawing/2014/main" id="{00000000-0008-0000-5B00-00002F401200}"/>
            </a:ext>
          </a:extLst>
        </xdr:cNvPr>
        <xdr:cNvPicPr>
          <a:picLocks noChangeAspect="1"/>
        </xdr:cNvPicPr>
      </xdr:nvPicPr>
      <xdr:blipFill>
        <a:blip xmlns:r="http://schemas.openxmlformats.org/officeDocument/2006/relationships" r:embed="rId2" cstate="print"/>
        <a:stretch>
          <a:fillRect/>
        </a:stretch>
      </xdr:blipFill>
      <xdr:spPr>
        <a:xfrm>
          <a:off x="3291840" y="0"/>
          <a:ext cx="5170170" cy="2217420"/>
        </a:xfrm>
        <a:prstGeom prst="rect">
          <a:avLst/>
        </a:prstGeom>
        <a:noFill/>
        <a:ln w="1">
          <a:noFill/>
        </a:ln>
      </xdr:spPr>
    </xdr:pic>
    <xdr:clientData/>
  </xdr:twoCellAnchor>
  <xdr:twoCellAnchor editAs="oneCell">
    <xdr:from>
      <xdr:col>4</xdr:col>
      <xdr:colOff>7620</xdr:colOff>
      <xdr:row>21</xdr:row>
      <xdr:rowOff>174625</xdr:rowOff>
    </xdr:from>
    <xdr:to>
      <xdr:col>15</xdr:col>
      <xdr:colOff>15240</xdr:colOff>
      <xdr:row>55</xdr:row>
      <xdr:rowOff>83820</xdr:rowOff>
    </xdr:to>
    <xdr:pic>
      <xdr:nvPicPr>
        <xdr:cNvPr id="1196080" name="Picture 3">
          <a:extLst>
            <a:ext uri="{FF2B5EF4-FFF2-40B4-BE49-F238E27FC236}">
              <a16:creationId xmlns:a16="http://schemas.microsoft.com/office/drawing/2014/main" id="{00000000-0008-0000-5B00-000030401200}"/>
            </a:ext>
          </a:extLst>
        </xdr:cNvPr>
        <xdr:cNvPicPr>
          <a:picLocks noChangeAspect="1"/>
        </xdr:cNvPicPr>
      </xdr:nvPicPr>
      <xdr:blipFill>
        <a:blip xmlns:r="http://schemas.openxmlformats.org/officeDocument/2006/relationships" r:embed="rId3" cstate="print"/>
        <a:stretch>
          <a:fillRect/>
        </a:stretch>
      </xdr:blipFill>
      <xdr:spPr>
        <a:xfrm>
          <a:off x="3284220" y="3975100"/>
          <a:ext cx="7341870" cy="6062345"/>
        </a:xfrm>
        <a:prstGeom prst="rect">
          <a:avLst/>
        </a:prstGeom>
        <a:noFill/>
        <a:ln w="1">
          <a:noFill/>
        </a:ln>
      </xdr:spPr>
    </xdr:pic>
    <xdr:clientData/>
  </xdr:twoCellAnchor>
  <xdr:twoCellAnchor editAs="oneCell">
    <xdr:from>
      <xdr:col>4</xdr:col>
      <xdr:colOff>15240</xdr:colOff>
      <xdr:row>44</xdr:row>
      <xdr:rowOff>160020</xdr:rowOff>
    </xdr:from>
    <xdr:to>
      <xdr:col>15</xdr:col>
      <xdr:colOff>45720</xdr:colOff>
      <xdr:row>69</xdr:row>
      <xdr:rowOff>129540</xdr:rowOff>
    </xdr:to>
    <xdr:pic>
      <xdr:nvPicPr>
        <xdr:cNvPr id="1196081" name="Picture 4">
          <a:extLst>
            <a:ext uri="{FF2B5EF4-FFF2-40B4-BE49-F238E27FC236}">
              <a16:creationId xmlns:a16="http://schemas.microsoft.com/office/drawing/2014/main" id="{00000000-0008-0000-5B00-000031401200}"/>
            </a:ext>
          </a:extLst>
        </xdr:cNvPr>
        <xdr:cNvPicPr>
          <a:picLocks noChangeAspect="1"/>
        </xdr:cNvPicPr>
      </xdr:nvPicPr>
      <xdr:blipFill>
        <a:blip xmlns:r="http://schemas.openxmlformats.org/officeDocument/2006/relationships" r:embed="rId4" cstate="print"/>
        <a:stretch>
          <a:fillRect/>
        </a:stretch>
      </xdr:blipFill>
      <xdr:spPr>
        <a:xfrm>
          <a:off x="3291840" y="8122920"/>
          <a:ext cx="7364730" cy="4493895"/>
        </a:xfrm>
        <a:prstGeom prst="rect">
          <a:avLst/>
        </a:prstGeom>
        <a:noFill/>
        <a:ln w="1">
          <a:noFill/>
        </a:ln>
      </xdr:spPr>
    </xdr:pic>
    <xdr:clientData/>
  </xdr:twoCellAnchor>
  <xdr:twoCellAnchor editAs="oneCell">
    <xdr:from>
      <xdr:col>4</xdr:col>
      <xdr:colOff>7620</xdr:colOff>
      <xdr:row>12</xdr:row>
      <xdr:rowOff>45720</xdr:rowOff>
    </xdr:from>
    <xdr:to>
      <xdr:col>11</xdr:col>
      <xdr:colOff>579120</xdr:colOff>
      <xdr:row>21</xdr:row>
      <xdr:rowOff>144780</xdr:rowOff>
    </xdr:to>
    <xdr:pic>
      <xdr:nvPicPr>
        <xdr:cNvPr id="1196082" name="Picture 5">
          <a:extLst>
            <a:ext uri="{FF2B5EF4-FFF2-40B4-BE49-F238E27FC236}">
              <a16:creationId xmlns:a16="http://schemas.microsoft.com/office/drawing/2014/main" id="{00000000-0008-0000-5B00-000032401200}"/>
            </a:ext>
          </a:extLst>
        </xdr:cNvPr>
        <xdr:cNvPicPr>
          <a:picLocks noChangeAspect="1"/>
        </xdr:cNvPicPr>
      </xdr:nvPicPr>
      <xdr:blipFill>
        <a:blip xmlns:r="http://schemas.openxmlformats.org/officeDocument/2006/relationships" r:embed="rId5" cstate="print"/>
        <a:stretch>
          <a:fillRect/>
        </a:stretch>
      </xdr:blipFill>
      <xdr:spPr>
        <a:xfrm>
          <a:off x="3284220" y="2217420"/>
          <a:ext cx="5238750" cy="1727835"/>
        </a:xfrm>
        <a:prstGeom prst="rect">
          <a:avLst/>
        </a:prstGeom>
        <a:noFill/>
        <a:ln w="1">
          <a:noFill/>
        </a:ln>
      </xdr:spPr>
    </xdr:pic>
    <xdr:clientData/>
  </xdr:twoCellAnchor>
  <xdr:twoCellAnchor editAs="absolute">
    <xdr:from>
      <xdr:col>15</xdr:col>
      <xdr:colOff>0</xdr:colOff>
      <xdr:row>22</xdr:row>
      <xdr:rowOff>0</xdr:rowOff>
    </xdr:from>
    <xdr:to>
      <xdr:col>16</xdr:col>
      <xdr:colOff>112219</xdr:colOff>
      <xdr:row>23</xdr:row>
      <xdr:rowOff>112299</xdr:rowOff>
    </xdr:to>
    <xdr:sp macro="" textlink="">
      <xdr:nvSpPr>
        <xdr:cNvPr id="2" name="五边形 1">
          <a:hlinkClick xmlns:r="http://schemas.openxmlformats.org/officeDocument/2006/relationships" r:id="rId6"/>
          <a:extLst>
            <a:ext uri="{FF2B5EF4-FFF2-40B4-BE49-F238E27FC236}">
              <a16:creationId xmlns:a16="http://schemas.microsoft.com/office/drawing/2014/main" id="{00000000-0008-0000-5B00-000002000000}"/>
            </a:ext>
          </a:extLst>
        </xdr:cNvPr>
        <xdr:cNvSpPr>
          <a:spLocks noChangeAspect="1"/>
        </xdr:cNvSpPr>
      </xdr:nvSpPr>
      <xdr:spPr>
        <a:xfrm flipH="1">
          <a:off x="10610850" y="398145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twoCellAnchor editAs="absolute">
    <xdr:from>
      <xdr:col>0</xdr:col>
      <xdr:colOff>0</xdr:colOff>
      <xdr:row>36</xdr:row>
      <xdr:rowOff>0</xdr:rowOff>
    </xdr:from>
    <xdr:to>
      <xdr:col>0</xdr:col>
      <xdr:colOff>778969</xdr:colOff>
      <xdr:row>37</xdr:row>
      <xdr:rowOff>112299</xdr:rowOff>
    </xdr:to>
    <xdr:sp macro="" textlink="">
      <xdr:nvSpPr>
        <xdr:cNvPr id="3" name="五边形 1">
          <a:hlinkClick xmlns:r="http://schemas.openxmlformats.org/officeDocument/2006/relationships" r:id="rId6"/>
          <a:extLst>
            <a:ext uri="{FF2B5EF4-FFF2-40B4-BE49-F238E27FC236}">
              <a16:creationId xmlns:a16="http://schemas.microsoft.com/office/drawing/2014/main" id="{00000000-0008-0000-5B00-000003000000}"/>
            </a:ext>
          </a:extLst>
        </xdr:cNvPr>
        <xdr:cNvSpPr>
          <a:spLocks noChangeAspect="1"/>
        </xdr:cNvSpPr>
      </xdr:nvSpPr>
      <xdr:spPr>
        <a:xfrm flipH="1">
          <a:off x="0" y="65151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15240</xdr:colOff>
      <xdr:row>46</xdr:row>
      <xdr:rowOff>182880</xdr:rowOff>
    </xdr:from>
    <xdr:to>
      <xdr:col>9</xdr:col>
      <xdr:colOff>38100</xdr:colOff>
      <xdr:row>69</xdr:row>
      <xdr:rowOff>152400</xdr:rowOff>
    </xdr:to>
    <xdr:pic>
      <xdr:nvPicPr>
        <xdr:cNvPr id="1197102" name="Picture 1">
          <a:extLst>
            <a:ext uri="{FF2B5EF4-FFF2-40B4-BE49-F238E27FC236}">
              <a16:creationId xmlns:a16="http://schemas.microsoft.com/office/drawing/2014/main" id="{00000000-0008-0000-5C00-00002E441200}"/>
            </a:ext>
          </a:extLst>
        </xdr:cNvPr>
        <xdr:cNvPicPr>
          <a:picLocks noChangeAspect="1"/>
        </xdr:cNvPicPr>
      </xdr:nvPicPr>
      <xdr:blipFill>
        <a:blip xmlns:r="http://schemas.openxmlformats.org/officeDocument/2006/relationships" r:embed="rId1" cstate="print"/>
        <a:stretch>
          <a:fillRect/>
        </a:stretch>
      </xdr:blipFill>
      <xdr:spPr>
        <a:xfrm>
          <a:off x="15240" y="10012045"/>
          <a:ext cx="6633210" cy="4133850"/>
        </a:xfrm>
        <a:prstGeom prst="rect">
          <a:avLst/>
        </a:prstGeom>
        <a:noFill/>
        <a:ln w="1">
          <a:noFill/>
        </a:ln>
      </xdr:spPr>
    </xdr:pic>
    <xdr:clientData/>
  </xdr:twoCellAnchor>
  <xdr:twoCellAnchor editAs="oneCell">
    <xdr:from>
      <xdr:col>0</xdr:col>
      <xdr:colOff>129540</xdr:colOff>
      <xdr:row>69</xdr:row>
      <xdr:rowOff>137160</xdr:rowOff>
    </xdr:from>
    <xdr:to>
      <xdr:col>8</xdr:col>
      <xdr:colOff>160020</xdr:colOff>
      <xdr:row>90</xdr:row>
      <xdr:rowOff>7620</xdr:rowOff>
    </xdr:to>
    <xdr:pic>
      <xdr:nvPicPr>
        <xdr:cNvPr id="1197103" name="Picture 2">
          <a:extLst>
            <a:ext uri="{FF2B5EF4-FFF2-40B4-BE49-F238E27FC236}">
              <a16:creationId xmlns:a16="http://schemas.microsoft.com/office/drawing/2014/main" id="{00000000-0008-0000-5C00-00002F441200}"/>
            </a:ext>
          </a:extLst>
        </xdr:cNvPr>
        <xdr:cNvPicPr>
          <a:picLocks noChangeAspect="1"/>
        </xdr:cNvPicPr>
      </xdr:nvPicPr>
      <xdr:blipFill>
        <a:blip xmlns:r="http://schemas.openxmlformats.org/officeDocument/2006/relationships" r:embed="rId2" cstate="print"/>
        <a:stretch>
          <a:fillRect/>
        </a:stretch>
      </xdr:blipFill>
      <xdr:spPr>
        <a:xfrm>
          <a:off x="129540" y="14130655"/>
          <a:ext cx="5974080" cy="3670935"/>
        </a:xfrm>
        <a:prstGeom prst="rect">
          <a:avLst/>
        </a:prstGeom>
        <a:noFill/>
        <a:ln w="1">
          <a:noFill/>
        </a:ln>
      </xdr:spPr>
    </xdr:pic>
    <xdr:clientData/>
  </xdr:twoCellAnchor>
  <xdr:twoCellAnchor editAs="oneCell">
    <xdr:from>
      <xdr:col>0</xdr:col>
      <xdr:colOff>0</xdr:colOff>
      <xdr:row>89</xdr:row>
      <xdr:rowOff>190500</xdr:rowOff>
    </xdr:from>
    <xdr:to>
      <xdr:col>10</xdr:col>
      <xdr:colOff>83820</xdr:colOff>
      <xdr:row>123</xdr:row>
      <xdr:rowOff>83820</xdr:rowOff>
    </xdr:to>
    <xdr:pic>
      <xdr:nvPicPr>
        <xdr:cNvPr id="1197104" name="Picture 3">
          <a:extLst>
            <a:ext uri="{FF2B5EF4-FFF2-40B4-BE49-F238E27FC236}">
              <a16:creationId xmlns:a16="http://schemas.microsoft.com/office/drawing/2014/main" id="{00000000-0008-0000-5C00-000030441200}"/>
            </a:ext>
          </a:extLst>
        </xdr:cNvPr>
        <xdr:cNvPicPr>
          <a:picLocks noChangeAspect="1"/>
        </xdr:cNvPicPr>
      </xdr:nvPicPr>
      <xdr:blipFill>
        <a:blip xmlns:r="http://schemas.openxmlformats.org/officeDocument/2006/relationships" r:embed="rId3" cstate="print"/>
        <a:stretch>
          <a:fillRect/>
        </a:stretch>
      </xdr:blipFill>
      <xdr:spPr>
        <a:xfrm>
          <a:off x="0" y="17793970"/>
          <a:ext cx="7360920" cy="6055995"/>
        </a:xfrm>
        <a:prstGeom prst="rect">
          <a:avLst/>
        </a:prstGeom>
        <a:noFill/>
        <a:ln w="1">
          <a:noFill/>
        </a:ln>
      </xdr:spPr>
    </xdr:pic>
    <xdr:clientData/>
  </xdr:twoCellAnchor>
  <xdr:twoCellAnchor editAs="oneCell">
    <xdr:from>
      <xdr:col>0</xdr:col>
      <xdr:colOff>0</xdr:colOff>
      <xdr:row>123</xdr:row>
      <xdr:rowOff>45720</xdr:rowOff>
    </xdr:from>
    <xdr:to>
      <xdr:col>10</xdr:col>
      <xdr:colOff>99060</xdr:colOff>
      <xdr:row>148</xdr:row>
      <xdr:rowOff>23495</xdr:rowOff>
    </xdr:to>
    <xdr:pic>
      <xdr:nvPicPr>
        <xdr:cNvPr id="1197105" name="Picture 4">
          <a:extLst>
            <a:ext uri="{FF2B5EF4-FFF2-40B4-BE49-F238E27FC236}">
              <a16:creationId xmlns:a16="http://schemas.microsoft.com/office/drawing/2014/main" id="{00000000-0008-0000-5C00-000031441200}"/>
            </a:ext>
          </a:extLst>
        </xdr:cNvPr>
        <xdr:cNvPicPr>
          <a:picLocks noChangeAspect="1"/>
        </xdr:cNvPicPr>
      </xdr:nvPicPr>
      <xdr:blipFill>
        <a:blip xmlns:r="http://schemas.openxmlformats.org/officeDocument/2006/relationships" r:embed="rId4" cstate="print"/>
        <a:stretch>
          <a:fillRect/>
        </a:stretch>
      </xdr:blipFill>
      <xdr:spPr>
        <a:xfrm>
          <a:off x="0" y="23811865"/>
          <a:ext cx="7376160" cy="4502150"/>
        </a:xfrm>
        <a:prstGeom prst="rect">
          <a:avLst/>
        </a:prstGeom>
        <a:noFill/>
        <a:ln w="1">
          <a:noFill/>
        </a:ln>
      </xdr:spPr>
    </xdr:pic>
    <xdr:clientData/>
  </xdr:twoCellAnchor>
  <xdr:twoCellAnchor editAs="oneCell">
    <xdr:from>
      <xdr:col>8</xdr:col>
      <xdr:colOff>114300</xdr:colOff>
      <xdr:row>73</xdr:row>
      <xdr:rowOff>144780</xdr:rowOff>
    </xdr:from>
    <xdr:to>
      <xdr:col>16</xdr:col>
      <xdr:colOff>556260</xdr:colOff>
      <xdr:row>87</xdr:row>
      <xdr:rowOff>1905</xdr:rowOff>
    </xdr:to>
    <xdr:pic>
      <xdr:nvPicPr>
        <xdr:cNvPr id="1197106" name="Picture 5">
          <a:extLst>
            <a:ext uri="{FF2B5EF4-FFF2-40B4-BE49-F238E27FC236}">
              <a16:creationId xmlns:a16="http://schemas.microsoft.com/office/drawing/2014/main" id="{00000000-0008-0000-5C00-000032441200}"/>
            </a:ext>
          </a:extLst>
        </xdr:cNvPr>
        <xdr:cNvPicPr>
          <a:picLocks noChangeAspect="1"/>
        </xdr:cNvPicPr>
      </xdr:nvPicPr>
      <xdr:blipFill>
        <a:blip xmlns:r="http://schemas.openxmlformats.org/officeDocument/2006/relationships" r:embed="rId5" cstate="print"/>
        <a:stretch>
          <a:fillRect/>
        </a:stretch>
      </xdr:blipFill>
      <xdr:spPr>
        <a:xfrm>
          <a:off x="6057900" y="14862175"/>
          <a:ext cx="5775960" cy="2390775"/>
        </a:xfrm>
        <a:prstGeom prst="rect">
          <a:avLst/>
        </a:prstGeom>
        <a:noFill/>
        <a:ln w="1">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6"/>
          <a:extLst>
            <a:ext uri="{FF2B5EF4-FFF2-40B4-BE49-F238E27FC236}">
              <a16:creationId xmlns:a16="http://schemas.microsoft.com/office/drawing/2014/main" id="{00000000-0008-0000-5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4.xml><?xml version="1.0" encoding="utf-8"?>
<xdr:wsDr xmlns:xdr="http://schemas.openxmlformats.org/drawingml/2006/spreadsheetDrawing" xmlns:a="http://schemas.openxmlformats.org/drawingml/2006/main">
  <xdr:twoCellAnchor editAs="oneCell">
    <xdr:from>
      <xdr:col>4</xdr:col>
      <xdr:colOff>7620</xdr:colOff>
      <xdr:row>1</xdr:row>
      <xdr:rowOff>0</xdr:rowOff>
    </xdr:from>
    <xdr:to>
      <xdr:col>12</xdr:col>
      <xdr:colOff>586740</xdr:colOff>
      <xdr:row>21</xdr:row>
      <xdr:rowOff>83820</xdr:rowOff>
    </xdr:to>
    <xdr:pic>
      <xdr:nvPicPr>
        <xdr:cNvPr id="1198126" name="Picture 1">
          <a:extLst>
            <a:ext uri="{FF2B5EF4-FFF2-40B4-BE49-F238E27FC236}">
              <a16:creationId xmlns:a16="http://schemas.microsoft.com/office/drawing/2014/main" id="{00000000-0008-0000-5D00-00002E481200}"/>
            </a:ext>
          </a:extLst>
        </xdr:cNvPr>
        <xdr:cNvPicPr>
          <a:picLocks noChangeAspect="1"/>
        </xdr:cNvPicPr>
      </xdr:nvPicPr>
      <xdr:blipFill>
        <a:blip xmlns:r="http://schemas.openxmlformats.org/officeDocument/2006/relationships" r:embed="rId1" cstate="print"/>
        <a:stretch>
          <a:fillRect/>
        </a:stretch>
      </xdr:blipFill>
      <xdr:spPr>
        <a:xfrm>
          <a:off x="3284220" y="852805"/>
          <a:ext cx="5913120" cy="3703320"/>
        </a:xfrm>
        <a:prstGeom prst="rect">
          <a:avLst/>
        </a:prstGeom>
        <a:noFill/>
        <a:ln w="1">
          <a:noFill/>
        </a:ln>
      </xdr:spPr>
    </xdr:pic>
    <xdr:clientData/>
  </xdr:twoCellAnchor>
  <xdr:twoCellAnchor editAs="oneCell">
    <xdr:from>
      <xdr:col>12</xdr:col>
      <xdr:colOff>579120</xdr:colOff>
      <xdr:row>1</xdr:row>
      <xdr:rowOff>0</xdr:rowOff>
    </xdr:from>
    <xdr:to>
      <xdr:col>21</xdr:col>
      <xdr:colOff>541020</xdr:colOff>
      <xdr:row>21</xdr:row>
      <xdr:rowOff>68580</xdr:rowOff>
    </xdr:to>
    <xdr:pic>
      <xdr:nvPicPr>
        <xdr:cNvPr id="1198127" name="Picture 2">
          <a:extLst>
            <a:ext uri="{FF2B5EF4-FFF2-40B4-BE49-F238E27FC236}">
              <a16:creationId xmlns:a16="http://schemas.microsoft.com/office/drawing/2014/main" id="{00000000-0008-0000-5D00-00002F481200}"/>
            </a:ext>
          </a:extLst>
        </xdr:cNvPr>
        <xdr:cNvPicPr>
          <a:picLocks noChangeAspect="1"/>
        </xdr:cNvPicPr>
      </xdr:nvPicPr>
      <xdr:blipFill>
        <a:blip xmlns:r="http://schemas.openxmlformats.org/officeDocument/2006/relationships" r:embed="rId2" cstate="print"/>
        <a:stretch>
          <a:fillRect/>
        </a:stretch>
      </xdr:blipFill>
      <xdr:spPr>
        <a:xfrm>
          <a:off x="9189720" y="852805"/>
          <a:ext cx="5962650" cy="3688080"/>
        </a:xfrm>
        <a:prstGeom prst="rect">
          <a:avLst/>
        </a:prstGeom>
        <a:noFill/>
        <a:ln w="1">
          <a:noFill/>
        </a:ln>
      </xdr:spPr>
    </xdr:pic>
    <xdr:clientData/>
  </xdr:twoCellAnchor>
  <xdr:twoCellAnchor editAs="oneCell">
    <xdr:from>
      <xdr:col>5</xdr:col>
      <xdr:colOff>548640</xdr:colOff>
      <xdr:row>28</xdr:row>
      <xdr:rowOff>68580</xdr:rowOff>
    </xdr:from>
    <xdr:to>
      <xdr:col>16</xdr:col>
      <xdr:colOff>556260</xdr:colOff>
      <xdr:row>61</xdr:row>
      <xdr:rowOff>160020</xdr:rowOff>
    </xdr:to>
    <xdr:pic>
      <xdr:nvPicPr>
        <xdr:cNvPr id="1198128" name="Picture 4">
          <a:extLst>
            <a:ext uri="{FF2B5EF4-FFF2-40B4-BE49-F238E27FC236}">
              <a16:creationId xmlns:a16="http://schemas.microsoft.com/office/drawing/2014/main" id="{00000000-0008-0000-5D00-000030481200}"/>
            </a:ext>
          </a:extLst>
        </xdr:cNvPr>
        <xdr:cNvPicPr>
          <a:picLocks noChangeAspect="1"/>
        </xdr:cNvPicPr>
      </xdr:nvPicPr>
      <xdr:blipFill>
        <a:blip xmlns:r="http://schemas.openxmlformats.org/officeDocument/2006/relationships" r:embed="rId3" cstate="print"/>
        <a:stretch>
          <a:fillRect/>
        </a:stretch>
      </xdr:blipFill>
      <xdr:spPr>
        <a:xfrm>
          <a:off x="4491990" y="5807710"/>
          <a:ext cx="7341870" cy="6063615"/>
        </a:xfrm>
        <a:prstGeom prst="rect">
          <a:avLst/>
        </a:prstGeom>
        <a:noFill/>
        <a:ln w="1">
          <a:noFill/>
        </a:ln>
      </xdr:spPr>
    </xdr:pic>
    <xdr:clientData/>
  </xdr:twoCellAnchor>
  <xdr:twoCellAnchor editAs="oneCell">
    <xdr:from>
      <xdr:col>5</xdr:col>
      <xdr:colOff>556260</xdr:colOff>
      <xdr:row>61</xdr:row>
      <xdr:rowOff>144780</xdr:rowOff>
    </xdr:from>
    <xdr:to>
      <xdr:col>16</xdr:col>
      <xdr:colOff>586740</xdr:colOff>
      <xdr:row>86</xdr:row>
      <xdr:rowOff>114300</xdr:rowOff>
    </xdr:to>
    <xdr:pic>
      <xdr:nvPicPr>
        <xdr:cNvPr id="1198129" name="Picture 5">
          <a:extLst>
            <a:ext uri="{FF2B5EF4-FFF2-40B4-BE49-F238E27FC236}">
              <a16:creationId xmlns:a16="http://schemas.microsoft.com/office/drawing/2014/main" id="{00000000-0008-0000-5D00-000031481200}"/>
            </a:ext>
          </a:extLst>
        </xdr:cNvPr>
        <xdr:cNvPicPr>
          <a:picLocks noChangeAspect="1"/>
        </xdr:cNvPicPr>
      </xdr:nvPicPr>
      <xdr:blipFill>
        <a:blip xmlns:r="http://schemas.openxmlformats.org/officeDocument/2006/relationships" r:embed="rId4" cstate="print"/>
        <a:stretch>
          <a:fillRect/>
        </a:stretch>
      </xdr:blipFill>
      <xdr:spPr>
        <a:xfrm>
          <a:off x="4499610" y="11856085"/>
          <a:ext cx="7364730" cy="4493895"/>
        </a:xfrm>
        <a:prstGeom prst="rect">
          <a:avLst/>
        </a:prstGeom>
        <a:noFill/>
        <a:ln w="1">
          <a:noFill/>
        </a:ln>
      </xdr:spPr>
    </xdr:pic>
    <xdr:clientData/>
  </xdr:twoCellAnchor>
  <xdr:twoCellAnchor editAs="oneCell">
    <xdr:from>
      <xdr:col>10</xdr:col>
      <xdr:colOff>571500</xdr:colOff>
      <xdr:row>21</xdr:row>
      <xdr:rowOff>68580</xdr:rowOff>
    </xdr:from>
    <xdr:to>
      <xdr:col>17</xdr:col>
      <xdr:colOff>45720</xdr:colOff>
      <xdr:row>30</xdr:row>
      <xdr:rowOff>160020</xdr:rowOff>
    </xdr:to>
    <xdr:pic>
      <xdr:nvPicPr>
        <xdr:cNvPr id="1198130" name="Picture 6">
          <a:extLst>
            <a:ext uri="{FF2B5EF4-FFF2-40B4-BE49-F238E27FC236}">
              <a16:creationId xmlns:a16="http://schemas.microsoft.com/office/drawing/2014/main" id="{00000000-0008-0000-5D00-000032481200}"/>
            </a:ext>
          </a:extLst>
        </xdr:cNvPr>
        <xdr:cNvPicPr>
          <a:picLocks noChangeAspect="1"/>
        </xdr:cNvPicPr>
      </xdr:nvPicPr>
      <xdr:blipFill>
        <a:blip xmlns:r="http://schemas.openxmlformats.org/officeDocument/2006/relationships" r:embed="rId5" cstate="print"/>
        <a:stretch>
          <a:fillRect/>
        </a:stretch>
      </xdr:blipFill>
      <xdr:spPr>
        <a:xfrm>
          <a:off x="7848600" y="4540885"/>
          <a:ext cx="4141470" cy="1720215"/>
        </a:xfrm>
        <a:prstGeom prst="rect">
          <a:avLst/>
        </a:prstGeom>
        <a:noFill/>
        <a:ln w="1">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6"/>
          <a:extLst>
            <a:ext uri="{FF2B5EF4-FFF2-40B4-BE49-F238E27FC236}">
              <a16:creationId xmlns:a16="http://schemas.microsoft.com/office/drawing/2014/main" id="{00000000-0008-0000-5D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xdr:col>
      <xdr:colOff>0</xdr:colOff>
      <xdr:row>0</xdr:row>
      <xdr:rowOff>0</xdr:rowOff>
    </xdr:from>
    <xdr:to>
      <xdr:col>5</xdr:col>
      <xdr:colOff>297180</xdr:colOff>
      <xdr:row>0</xdr:row>
      <xdr:rowOff>7620</xdr:rowOff>
    </xdr:to>
    <xdr:graphicFrame macro="">
      <xdr:nvGraphicFramePr>
        <xdr:cNvPr id="1199141" name="Chart 1">
          <a:extLst>
            <a:ext uri="{FF2B5EF4-FFF2-40B4-BE49-F238E27FC236}">
              <a16:creationId xmlns:a16="http://schemas.microsoft.com/office/drawing/2014/main" id="{00000000-0008-0000-5E00-0000254C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0</xdr:row>
      <xdr:rowOff>0</xdr:rowOff>
    </xdr:from>
    <xdr:to>
      <xdr:col>9</xdr:col>
      <xdr:colOff>228600</xdr:colOff>
      <xdr:row>0</xdr:row>
      <xdr:rowOff>7620</xdr:rowOff>
    </xdr:to>
    <xdr:graphicFrame macro="">
      <xdr:nvGraphicFramePr>
        <xdr:cNvPr id="1199142" name="Chart 6">
          <a:extLst>
            <a:ext uri="{FF2B5EF4-FFF2-40B4-BE49-F238E27FC236}">
              <a16:creationId xmlns:a16="http://schemas.microsoft.com/office/drawing/2014/main" id="{00000000-0008-0000-5E00-0000264C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0</xdr:row>
      <xdr:rowOff>0</xdr:rowOff>
    </xdr:from>
    <xdr:to>
      <xdr:col>13</xdr:col>
      <xdr:colOff>160020</xdr:colOff>
      <xdr:row>0</xdr:row>
      <xdr:rowOff>7620</xdr:rowOff>
    </xdr:to>
    <xdr:graphicFrame macro="">
      <xdr:nvGraphicFramePr>
        <xdr:cNvPr id="1199143" name="Chart 7">
          <a:extLst>
            <a:ext uri="{FF2B5EF4-FFF2-40B4-BE49-F238E27FC236}">
              <a16:creationId xmlns:a16="http://schemas.microsoft.com/office/drawing/2014/main" id="{00000000-0008-0000-5E00-0000274C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259080</xdr:colOff>
      <xdr:row>79</xdr:row>
      <xdr:rowOff>53340</xdr:rowOff>
    </xdr:from>
    <xdr:to>
      <xdr:col>14</xdr:col>
      <xdr:colOff>426720</xdr:colOff>
      <xdr:row>87</xdr:row>
      <xdr:rowOff>137160</xdr:rowOff>
    </xdr:to>
    <xdr:graphicFrame macro="">
      <xdr:nvGraphicFramePr>
        <xdr:cNvPr id="1199144" name="Chart 14">
          <a:extLst>
            <a:ext uri="{FF2B5EF4-FFF2-40B4-BE49-F238E27FC236}">
              <a16:creationId xmlns:a16="http://schemas.microsoft.com/office/drawing/2014/main" id="{00000000-0008-0000-5E00-0000284C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0</xdr:row>
      <xdr:rowOff>0</xdr:rowOff>
    </xdr:from>
    <xdr:to>
      <xdr:col>2</xdr:col>
      <xdr:colOff>197944</xdr:colOff>
      <xdr:row>0</xdr:row>
      <xdr:rowOff>293274</xdr:rowOff>
    </xdr:to>
    <xdr:sp macro="" textlink="">
      <xdr:nvSpPr>
        <xdr:cNvPr id="2" name="五边形 1">
          <a:hlinkClick xmlns:r="http://schemas.openxmlformats.org/officeDocument/2006/relationships" r:id="rId5"/>
          <a:extLst>
            <a:ext uri="{FF2B5EF4-FFF2-40B4-BE49-F238E27FC236}">
              <a16:creationId xmlns:a16="http://schemas.microsoft.com/office/drawing/2014/main" id="{00000000-0008-0000-5E00-000002000000}"/>
            </a:ext>
          </a:extLst>
        </xdr:cNvPr>
        <xdr:cNvSpPr>
          <a:spLocks noChangeAspect="1"/>
        </xdr:cNvSpPr>
      </xdr:nvSpPr>
      <xdr:spPr>
        <a:xfrm flipH="1">
          <a:off x="476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2</xdr:col>
      <xdr:colOff>1593215</xdr:colOff>
      <xdr:row>7</xdr:row>
      <xdr:rowOff>236855</xdr:rowOff>
    </xdr:to>
    <xdr:pic>
      <xdr:nvPicPr>
        <xdr:cNvPr id="1200192" name="Picture 1" descr="image004">
          <a:extLst>
            <a:ext uri="{FF2B5EF4-FFF2-40B4-BE49-F238E27FC236}">
              <a16:creationId xmlns:a16="http://schemas.microsoft.com/office/drawing/2014/main" id="{00000000-0008-0000-5F00-000040501200}"/>
            </a:ext>
          </a:extLst>
        </xdr:cNvPr>
        <xdr:cNvPicPr>
          <a:picLocks noChangeAspect="1"/>
        </xdr:cNvPicPr>
      </xdr:nvPicPr>
      <xdr:blipFill>
        <a:blip xmlns:r="http://schemas.openxmlformats.org/officeDocument/2006/relationships" r:embed="rId1" cstate="print"/>
        <a:stretch>
          <a:fillRect/>
        </a:stretch>
      </xdr:blipFill>
      <xdr:spPr>
        <a:xfrm>
          <a:off x="1905000" y="2314575"/>
          <a:ext cx="1593215" cy="236855"/>
        </a:xfrm>
        <a:prstGeom prst="rect">
          <a:avLst/>
        </a:prstGeom>
        <a:noFill/>
        <a:ln w="9525">
          <a:noFill/>
        </a:ln>
      </xdr:spPr>
    </xdr:pic>
    <xdr:clientData/>
  </xdr:twoCellAnchor>
  <xdr:twoCellAnchor editAs="oneCell">
    <xdr:from>
      <xdr:col>2</xdr:col>
      <xdr:colOff>0</xdr:colOff>
      <xdr:row>8</xdr:row>
      <xdr:rowOff>0</xdr:rowOff>
    </xdr:from>
    <xdr:to>
      <xdr:col>2</xdr:col>
      <xdr:colOff>1646555</xdr:colOff>
      <xdr:row>8</xdr:row>
      <xdr:rowOff>236220</xdr:rowOff>
    </xdr:to>
    <xdr:pic>
      <xdr:nvPicPr>
        <xdr:cNvPr id="1200193" name="Picture 3" descr="image008">
          <a:extLst>
            <a:ext uri="{FF2B5EF4-FFF2-40B4-BE49-F238E27FC236}">
              <a16:creationId xmlns:a16="http://schemas.microsoft.com/office/drawing/2014/main" id="{00000000-0008-0000-5F00-000041501200}"/>
            </a:ext>
          </a:extLst>
        </xdr:cNvPr>
        <xdr:cNvPicPr>
          <a:picLocks noChangeAspect="1"/>
        </xdr:cNvPicPr>
      </xdr:nvPicPr>
      <xdr:blipFill>
        <a:blip xmlns:r="http://schemas.openxmlformats.org/officeDocument/2006/relationships" r:embed="rId2" cstate="print"/>
        <a:stretch>
          <a:fillRect/>
        </a:stretch>
      </xdr:blipFill>
      <xdr:spPr>
        <a:xfrm>
          <a:off x="1905000" y="2695575"/>
          <a:ext cx="1646555" cy="236220"/>
        </a:xfrm>
        <a:prstGeom prst="rect">
          <a:avLst/>
        </a:prstGeom>
        <a:noFill/>
        <a:ln w="9525">
          <a:noFill/>
        </a:ln>
      </xdr:spPr>
    </xdr:pic>
    <xdr:clientData/>
  </xdr:twoCellAnchor>
  <xdr:twoCellAnchor editAs="oneCell">
    <xdr:from>
      <xdr:col>2</xdr:col>
      <xdr:colOff>0</xdr:colOff>
      <xdr:row>9</xdr:row>
      <xdr:rowOff>0</xdr:rowOff>
    </xdr:from>
    <xdr:to>
      <xdr:col>2</xdr:col>
      <xdr:colOff>998220</xdr:colOff>
      <xdr:row>9</xdr:row>
      <xdr:rowOff>350520</xdr:rowOff>
    </xdr:to>
    <xdr:pic>
      <xdr:nvPicPr>
        <xdr:cNvPr id="1200194" name="Picture 5" descr="image012">
          <a:extLst>
            <a:ext uri="{FF2B5EF4-FFF2-40B4-BE49-F238E27FC236}">
              <a16:creationId xmlns:a16="http://schemas.microsoft.com/office/drawing/2014/main" id="{00000000-0008-0000-5F00-000042501200}"/>
            </a:ext>
          </a:extLst>
        </xdr:cNvPr>
        <xdr:cNvPicPr>
          <a:picLocks noChangeAspect="1"/>
        </xdr:cNvPicPr>
      </xdr:nvPicPr>
      <xdr:blipFill>
        <a:blip xmlns:r="http://schemas.openxmlformats.org/officeDocument/2006/relationships" r:embed="rId3" cstate="print"/>
        <a:stretch>
          <a:fillRect/>
        </a:stretch>
      </xdr:blipFill>
      <xdr:spPr>
        <a:xfrm>
          <a:off x="1905000" y="3143250"/>
          <a:ext cx="998220" cy="350520"/>
        </a:xfrm>
        <a:prstGeom prst="rect">
          <a:avLst/>
        </a:prstGeom>
        <a:noFill/>
        <a:ln w="9525">
          <a:noFill/>
        </a:ln>
      </xdr:spPr>
    </xdr:pic>
    <xdr:clientData/>
  </xdr:twoCellAnchor>
  <xdr:twoCellAnchor editAs="oneCell">
    <xdr:from>
      <xdr:col>2</xdr:col>
      <xdr:colOff>1485900</xdr:colOff>
      <xdr:row>14</xdr:row>
      <xdr:rowOff>68580</xdr:rowOff>
    </xdr:from>
    <xdr:to>
      <xdr:col>12</xdr:col>
      <xdr:colOff>236220</xdr:colOff>
      <xdr:row>40</xdr:row>
      <xdr:rowOff>38100</xdr:rowOff>
    </xdr:to>
    <xdr:pic>
      <xdr:nvPicPr>
        <xdr:cNvPr id="1200195" name="Picture 7">
          <a:extLst>
            <a:ext uri="{FF2B5EF4-FFF2-40B4-BE49-F238E27FC236}">
              <a16:creationId xmlns:a16="http://schemas.microsoft.com/office/drawing/2014/main" id="{00000000-0008-0000-5F00-000043501200}"/>
            </a:ext>
          </a:extLst>
        </xdr:cNvPr>
        <xdr:cNvPicPr>
          <a:picLocks noChangeAspect="1"/>
        </xdr:cNvPicPr>
      </xdr:nvPicPr>
      <xdr:blipFill>
        <a:blip xmlns:r="http://schemas.openxmlformats.org/officeDocument/2006/relationships" r:embed="rId4" cstate="print"/>
        <a:stretch>
          <a:fillRect/>
        </a:stretch>
      </xdr:blipFill>
      <xdr:spPr>
        <a:xfrm>
          <a:off x="3390900" y="5507355"/>
          <a:ext cx="6579870" cy="4817745"/>
        </a:xfrm>
        <a:prstGeom prst="rect">
          <a:avLst/>
        </a:prstGeom>
        <a:noFill/>
        <a:ln w="1">
          <a:noFill/>
        </a:ln>
      </xdr:spPr>
    </xdr:pic>
    <xdr:clientData/>
  </xdr:twoCellAnchor>
  <xdr:twoCellAnchor editAs="oneCell">
    <xdr:from>
      <xdr:col>2</xdr:col>
      <xdr:colOff>83820</xdr:colOff>
      <xdr:row>11</xdr:row>
      <xdr:rowOff>83185</xdr:rowOff>
    </xdr:from>
    <xdr:to>
      <xdr:col>2</xdr:col>
      <xdr:colOff>1310640</xdr:colOff>
      <xdr:row>11</xdr:row>
      <xdr:rowOff>281305</xdr:rowOff>
    </xdr:to>
    <xdr:pic>
      <xdr:nvPicPr>
        <xdr:cNvPr id="1200196" name="Picture 9" descr="image006">
          <a:extLst>
            <a:ext uri="{FF2B5EF4-FFF2-40B4-BE49-F238E27FC236}">
              <a16:creationId xmlns:a16="http://schemas.microsoft.com/office/drawing/2014/main" id="{00000000-0008-0000-5F00-000044501200}"/>
            </a:ext>
          </a:extLst>
        </xdr:cNvPr>
        <xdr:cNvPicPr>
          <a:picLocks noChangeAspect="1"/>
        </xdr:cNvPicPr>
      </xdr:nvPicPr>
      <xdr:blipFill>
        <a:blip xmlns:r="http://schemas.openxmlformats.org/officeDocument/2006/relationships" r:embed="rId5" cstate="print"/>
        <a:stretch>
          <a:fillRect/>
        </a:stretch>
      </xdr:blipFill>
      <xdr:spPr>
        <a:xfrm>
          <a:off x="1988820" y="4121785"/>
          <a:ext cx="1226820" cy="198120"/>
        </a:xfrm>
        <a:prstGeom prst="rect">
          <a:avLst/>
        </a:prstGeom>
        <a:noFill/>
        <a:ln w="9525">
          <a:noFill/>
        </a:ln>
      </xdr:spPr>
    </xdr:pic>
    <xdr:clientData/>
  </xdr:twoCellAnchor>
  <xdr:twoCellAnchor editAs="oneCell">
    <xdr:from>
      <xdr:col>2</xdr:col>
      <xdr:colOff>107315</xdr:colOff>
      <xdr:row>12</xdr:row>
      <xdr:rowOff>60960</xdr:rowOff>
    </xdr:from>
    <xdr:to>
      <xdr:col>2</xdr:col>
      <xdr:colOff>1052195</xdr:colOff>
      <xdr:row>12</xdr:row>
      <xdr:rowOff>259080</xdr:rowOff>
    </xdr:to>
    <xdr:pic>
      <xdr:nvPicPr>
        <xdr:cNvPr id="1200197" name="Picture 11" descr="image010">
          <a:extLst>
            <a:ext uri="{FF2B5EF4-FFF2-40B4-BE49-F238E27FC236}">
              <a16:creationId xmlns:a16="http://schemas.microsoft.com/office/drawing/2014/main" id="{00000000-0008-0000-5F00-000045501200}"/>
            </a:ext>
          </a:extLst>
        </xdr:cNvPr>
        <xdr:cNvPicPr>
          <a:picLocks noChangeAspect="1"/>
        </xdr:cNvPicPr>
      </xdr:nvPicPr>
      <xdr:blipFill>
        <a:blip xmlns:r="http://schemas.openxmlformats.org/officeDocument/2006/relationships" r:embed="rId6" cstate="print"/>
        <a:stretch>
          <a:fillRect/>
        </a:stretch>
      </xdr:blipFill>
      <xdr:spPr>
        <a:xfrm>
          <a:off x="2012315" y="4480560"/>
          <a:ext cx="944880" cy="198120"/>
        </a:xfrm>
        <a:prstGeom prst="rect">
          <a:avLst/>
        </a:prstGeom>
        <a:noFill/>
        <a:ln w="9525">
          <a:noFill/>
        </a:ln>
      </xdr:spPr>
    </xdr:pic>
    <xdr:clientData/>
  </xdr:twoCellAnchor>
  <xdr:twoCellAnchor editAs="oneCell">
    <xdr:from>
      <xdr:col>2</xdr:col>
      <xdr:colOff>151765</xdr:colOff>
      <xdr:row>13</xdr:row>
      <xdr:rowOff>60325</xdr:rowOff>
    </xdr:from>
    <xdr:to>
      <xdr:col>2</xdr:col>
      <xdr:colOff>1149985</xdr:colOff>
      <xdr:row>13</xdr:row>
      <xdr:rowOff>410845</xdr:rowOff>
    </xdr:to>
    <xdr:pic>
      <xdr:nvPicPr>
        <xdr:cNvPr id="1200198" name="Picture 13" descr="image014">
          <a:extLst>
            <a:ext uri="{FF2B5EF4-FFF2-40B4-BE49-F238E27FC236}">
              <a16:creationId xmlns:a16="http://schemas.microsoft.com/office/drawing/2014/main" id="{00000000-0008-0000-5F00-000046501200}"/>
            </a:ext>
          </a:extLst>
        </xdr:cNvPr>
        <xdr:cNvPicPr>
          <a:picLocks noChangeAspect="1"/>
        </xdr:cNvPicPr>
      </xdr:nvPicPr>
      <xdr:blipFill>
        <a:blip xmlns:r="http://schemas.openxmlformats.org/officeDocument/2006/relationships" r:embed="rId7" cstate="print"/>
        <a:stretch>
          <a:fillRect/>
        </a:stretch>
      </xdr:blipFill>
      <xdr:spPr>
        <a:xfrm>
          <a:off x="2056765" y="4927600"/>
          <a:ext cx="998220" cy="350520"/>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1</xdr:row>
      <xdr:rowOff>1174</xdr:rowOff>
    </xdr:to>
    <xdr:sp macro="" textlink="">
      <xdr:nvSpPr>
        <xdr:cNvPr id="2" name="五边形 1">
          <a:hlinkClick xmlns:r="http://schemas.openxmlformats.org/officeDocument/2006/relationships" r:id="rId8"/>
          <a:extLst>
            <a:ext uri="{FF2B5EF4-FFF2-40B4-BE49-F238E27FC236}">
              <a16:creationId xmlns:a16="http://schemas.microsoft.com/office/drawing/2014/main" id="{00000000-0008-0000-5F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7.xml><?xml version="1.0" encoding="utf-8"?>
<xdr:wsDr xmlns:xdr="http://schemas.openxmlformats.org/drawingml/2006/spreadsheetDrawing" xmlns:a="http://schemas.openxmlformats.org/drawingml/2006/main">
  <xdr:twoCellAnchor editAs="oneCell">
    <xdr:from>
      <xdr:col>4</xdr:col>
      <xdr:colOff>129540</xdr:colOff>
      <xdr:row>10</xdr:row>
      <xdr:rowOff>67945</xdr:rowOff>
    </xdr:from>
    <xdr:to>
      <xdr:col>4</xdr:col>
      <xdr:colOff>1325880</xdr:colOff>
      <xdr:row>10</xdr:row>
      <xdr:rowOff>570865</xdr:rowOff>
    </xdr:to>
    <xdr:pic>
      <xdr:nvPicPr>
        <xdr:cNvPr id="1201198" name="Picture 1">
          <a:extLst>
            <a:ext uri="{FF2B5EF4-FFF2-40B4-BE49-F238E27FC236}">
              <a16:creationId xmlns:a16="http://schemas.microsoft.com/office/drawing/2014/main" id="{00000000-0008-0000-6000-00002E541200}"/>
            </a:ext>
          </a:extLst>
        </xdr:cNvPr>
        <xdr:cNvPicPr>
          <a:picLocks noChangeAspect="1"/>
        </xdr:cNvPicPr>
      </xdr:nvPicPr>
      <xdr:blipFill>
        <a:blip xmlns:r="http://schemas.openxmlformats.org/officeDocument/2006/relationships" r:embed="rId1" cstate="print"/>
        <a:stretch>
          <a:fillRect/>
        </a:stretch>
      </xdr:blipFill>
      <xdr:spPr>
        <a:xfrm>
          <a:off x="1748790" y="2907030"/>
          <a:ext cx="1196340" cy="502920"/>
        </a:xfrm>
        <a:prstGeom prst="rect">
          <a:avLst/>
        </a:prstGeom>
        <a:noFill/>
        <a:ln w="1">
          <a:noFill/>
        </a:ln>
      </xdr:spPr>
    </xdr:pic>
    <xdr:clientData/>
  </xdr:twoCellAnchor>
  <xdr:twoCellAnchor editAs="oneCell">
    <xdr:from>
      <xdr:col>4</xdr:col>
      <xdr:colOff>8255</xdr:colOff>
      <xdr:row>15</xdr:row>
      <xdr:rowOff>46355</xdr:rowOff>
    </xdr:from>
    <xdr:to>
      <xdr:col>5</xdr:col>
      <xdr:colOff>297180</xdr:colOff>
      <xdr:row>15</xdr:row>
      <xdr:rowOff>403860</xdr:rowOff>
    </xdr:to>
    <xdr:pic>
      <xdr:nvPicPr>
        <xdr:cNvPr id="1201199" name="Picture 7">
          <a:extLst>
            <a:ext uri="{FF2B5EF4-FFF2-40B4-BE49-F238E27FC236}">
              <a16:creationId xmlns:a16="http://schemas.microsoft.com/office/drawing/2014/main" id="{00000000-0008-0000-6000-00002F541200}"/>
            </a:ext>
          </a:extLst>
        </xdr:cNvPr>
        <xdr:cNvPicPr>
          <a:picLocks noChangeAspect="1"/>
        </xdr:cNvPicPr>
      </xdr:nvPicPr>
      <xdr:blipFill>
        <a:blip xmlns:r="http://schemas.openxmlformats.org/officeDocument/2006/relationships" r:embed="rId2" cstate="print"/>
        <a:stretch>
          <a:fillRect/>
        </a:stretch>
      </xdr:blipFill>
      <xdr:spPr>
        <a:xfrm>
          <a:off x="1627505" y="5123815"/>
          <a:ext cx="1965325" cy="357505"/>
        </a:xfrm>
        <a:prstGeom prst="rect">
          <a:avLst/>
        </a:prstGeom>
        <a:noFill/>
        <a:ln w="1">
          <a:noFill/>
        </a:ln>
      </xdr:spPr>
    </xdr:pic>
    <xdr:clientData/>
  </xdr:twoCellAnchor>
  <xdr:twoCellAnchor editAs="oneCell">
    <xdr:from>
      <xdr:col>4</xdr:col>
      <xdr:colOff>8255</xdr:colOff>
      <xdr:row>19</xdr:row>
      <xdr:rowOff>38735</xdr:rowOff>
    </xdr:from>
    <xdr:to>
      <xdr:col>4</xdr:col>
      <xdr:colOff>1007110</xdr:colOff>
      <xdr:row>19</xdr:row>
      <xdr:rowOff>351155</xdr:rowOff>
    </xdr:to>
    <xdr:pic>
      <xdr:nvPicPr>
        <xdr:cNvPr id="1201200" name="Picture 8">
          <a:extLst>
            <a:ext uri="{FF2B5EF4-FFF2-40B4-BE49-F238E27FC236}">
              <a16:creationId xmlns:a16="http://schemas.microsoft.com/office/drawing/2014/main" id="{00000000-0008-0000-6000-000030541200}"/>
            </a:ext>
          </a:extLst>
        </xdr:cNvPr>
        <xdr:cNvPicPr>
          <a:picLocks noChangeAspect="1"/>
        </xdr:cNvPicPr>
      </xdr:nvPicPr>
      <xdr:blipFill>
        <a:blip xmlns:r="http://schemas.openxmlformats.org/officeDocument/2006/relationships" r:embed="rId3" cstate="print"/>
        <a:stretch>
          <a:fillRect/>
        </a:stretch>
      </xdr:blipFill>
      <xdr:spPr>
        <a:xfrm>
          <a:off x="1627505" y="6516370"/>
          <a:ext cx="998855" cy="312420"/>
        </a:xfrm>
        <a:prstGeom prst="rect">
          <a:avLst/>
        </a:prstGeom>
        <a:noFill/>
        <a:ln w="1">
          <a:noFill/>
        </a:ln>
      </xdr:spPr>
    </xdr:pic>
    <xdr:clientData/>
  </xdr:twoCellAnchor>
  <xdr:twoCellAnchor editAs="oneCell">
    <xdr:from>
      <xdr:col>4</xdr:col>
      <xdr:colOff>31115</xdr:colOff>
      <xdr:row>20</xdr:row>
      <xdr:rowOff>76200</xdr:rowOff>
    </xdr:from>
    <xdr:to>
      <xdr:col>4</xdr:col>
      <xdr:colOff>1449070</xdr:colOff>
      <xdr:row>20</xdr:row>
      <xdr:rowOff>381635</xdr:rowOff>
    </xdr:to>
    <xdr:pic>
      <xdr:nvPicPr>
        <xdr:cNvPr id="1201201" name="Picture 9">
          <a:extLst>
            <a:ext uri="{FF2B5EF4-FFF2-40B4-BE49-F238E27FC236}">
              <a16:creationId xmlns:a16="http://schemas.microsoft.com/office/drawing/2014/main" id="{00000000-0008-0000-6000-000031541200}"/>
            </a:ext>
          </a:extLst>
        </xdr:cNvPr>
        <xdr:cNvPicPr>
          <a:picLocks noChangeAspect="1"/>
        </xdr:cNvPicPr>
      </xdr:nvPicPr>
      <xdr:blipFill>
        <a:blip xmlns:r="http://schemas.openxmlformats.org/officeDocument/2006/relationships" r:embed="rId4" cstate="print"/>
        <a:stretch>
          <a:fillRect/>
        </a:stretch>
      </xdr:blipFill>
      <xdr:spPr>
        <a:xfrm>
          <a:off x="1650365" y="6934835"/>
          <a:ext cx="1417955" cy="305435"/>
        </a:xfrm>
        <a:prstGeom prst="rect">
          <a:avLst/>
        </a:prstGeom>
        <a:noFill/>
        <a:ln w="1">
          <a:noFill/>
        </a:ln>
      </xdr:spPr>
    </xdr:pic>
    <xdr:clientData/>
  </xdr:twoCellAnchor>
  <xdr:twoCellAnchor editAs="oneCell">
    <xdr:from>
      <xdr:col>0</xdr:col>
      <xdr:colOff>30480</xdr:colOff>
      <xdr:row>21</xdr:row>
      <xdr:rowOff>68580</xdr:rowOff>
    </xdr:from>
    <xdr:to>
      <xdr:col>6</xdr:col>
      <xdr:colOff>7620</xdr:colOff>
      <xdr:row>23</xdr:row>
      <xdr:rowOff>31115</xdr:rowOff>
    </xdr:to>
    <xdr:pic>
      <xdr:nvPicPr>
        <xdr:cNvPr id="1201202" name="Picture 10">
          <a:extLst>
            <a:ext uri="{FF2B5EF4-FFF2-40B4-BE49-F238E27FC236}">
              <a16:creationId xmlns:a16="http://schemas.microsoft.com/office/drawing/2014/main" id="{00000000-0008-0000-6000-000032541200}"/>
            </a:ext>
          </a:extLst>
        </xdr:cNvPr>
        <xdr:cNvPicPr>
          <a:picLocks noChangeAspect="1"/>
        </xdr:cNvPicPr>
      </xdr:nvPicPr>
      <xdr:blipFill>
        <a:blip xmlns:r="http://schemas.openxmlformats.org/officeDocument/2006/relationships" r:embed="rId5" cstate="print"/>
        <a:stretch>
          <a:fillRect/>
        </a:stretch>
      </xdr:blipFill>
      <xdr:spPr>
        <a:xfrm>
          <a:off x="30480" y="7441565"/>
          <a:ext cx="3844290" cy="324485"/>
        </a:xfrm>
        <a:prstGeom prst="rect">
          <a:avLst/>
        </a:prstGeom>
        <a:noFill/>
        <a:ln w="1">
          <a:noFill/>
        </a:ln>
      </xdr:spPr>
    </xdr:pic>
    <xdr:clientData/>
  </xdr:twoCellAnchor>
  <xdr:twoCellAnchor editAs="absolute">
    <xdr:from>
      <xdr:col>0</xdr:col>
      <xdr:colOff>0</xdr:colOff>
      <xdr:row>0</xdr:row>
      <xdr:rowOff>0</xdr:rowOff>
    </xdr:from>
    <xdr:to>
      <xdr:col>2</xdr:col>
      <xdr:colOff>283669</xdr:colOff>
      <xdr:row>0</xdr:row>
      <xdr:rowOff>293274</xdr:rowOff>
    </xdr:to>
    <xdr:sp macro="" textlink="">
      <xdr:nvSpPr>
        <xdr:cNvPr id="2" name="五边形 1">
          <a:hlinkClick xmlns:r="http://schemas.openxmlformats.org/officeDocument/2006/relationships" r:id="rId6"/>
          <a:extLst>
            <a:ext uri="{FF2B5EF4-FFF2-40B4-BE49-F238E27FC236}">
              <a16:creationId xmlns:a16="http://schemas.microsoft.com/office/drawing/2014/main" id="{00000000-0008-0000-60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8.xml><?xml version="1.0" encoding="utf-8"?>
<xdr:wsDr xmlns:xdr="http://schemas.openxmlformats.org/drawingml/2006/spreadsheetDrawing" xmlns:a="http://schemas.openxmlformats.org/drawingml/2006/main">
  <xdr:twoCellAnchor editAs="oneCell">
    <xdr:from>
      <xdr:col>3</xdr:col>
      <xdr:colOff>571500</xdr:colOff>
      <xdr:row>0</xdr:row>
      <xdr:rowOff>139065</xdr:rowOff>
    </xdr:from>
    <xdr:to>
      <xdr:col>12</xdr:col>
      <xdr:colOff>114300</xdr:colOff>
      <xdr:row>0</xdr:row>
      <xdr:rowOff>2677160</xdr:rowOff>
    </xdr:to>
    <xdr:pic>
      <xdr:nvPicPr>
        <xdr:cNvPr id="1202204" name="Picture 2">
          <a:extLst>
            <a:ext uri="{FF2B5EF4-FFF2-40B4-BE49-F238E27FC236}">
              <a16:creationId xmlns:a16="http://schemas.microsoft.com/office/drawing/2014/main" id="{00000000-0008-0000-6100-00001C581200}"/>
            </a:ext>
          </a:extLst>
        </xdr:cNvPr>
        <xdr:cNvPicPr>
          <a:picLocks noChangeAspect="1"/>
        </xdr:cNvPicPr>
      </xdr:nvPicPr>
      <xdr:blipFill>
        <a:blip xmlns:r="http://schemas.openxmlformats.org/officeDocument/2006/relationships" r:embed="rId1" cstate="print"/>
        <a:stretch>
          <a:fillRect/>
        </a:stretch>
      </xdr:blipFill>
      <xdr:spPr>
        <a:xfrm>
          <a:off x="2057400" y="139065"/>
          <a:ext cx="4924425" cy="2538095"/>
        </a:xfrm>
        <a:prstGeom prst="rect">
          <a:avLst/>
        </a:prstGeom>
        <a:noFill/>
        <a:ln w="1">
          <a:noFill/>
        </a:ln>
      </xdr:spPr>
    </xdr:pic>
    <xdr:clientData/>
  </xdr:twoCellAnchor>
  <xdr:twoCellAnchor editAs="oneCell">
    <xdr:from>
      <xdr:col>0</xdr:col>
      <xdr:colOff>60960</xdr:colOff>
      <xdr:row>0</xdr:row>
      <xdr:rowOff>59690</xdr:rowOff>
    </xdr:from>
    <xdr:to>
      <xdr:col>4</xdr:col>
      <xdr:colOff>213360</xdr:colOff>
      <xdr:row>0</xdr:row>
      <xdr:rowOff>2795905</xdr:rowOff>
    </xdr:to>
    <xdr:pic>
      <xdr:nvPicPr>
        <xdr:cNvPr id="1202205" name="Picture 3">
          <a:extLst>
            <a:ext uri="{FF2B5EF4-FFF2-40B4-BE49-F238E27FC236}">
              <a16:creationId xmlns:a16="http://schemas.microsoft.com/office/drawing/2014/main" id="{00000000-0008-0000-6100-00001D581200}"/>
            </a:ext>
          </a:extLst>
        </xdr:cNvPr>
        <xdr:cNvPicPr>
          <a:picLocks noChangeAspect="1"/>
        </xdr:cNvPicPr>
      </xdr:nvPicPr>
      <xdr:blipFill>
        <a:blip xmlns:r="http://schemas.openxmlformats.org/officeDocument/2006/relationships" r:embed="rId2" cstate="print"/>
        <a:stretch>
          <a:fillRect/>
        </a:stretch>
      </xdr:blipFill>
      <xdr:spPr>
        <a:xfrm>
          <a:off x="60960" y="59690"/>
          <a:ext cx="2219325" cy="2736215"/>
        </a:xfrm>
        <a:prstGeom prst="rect">
          <a:avLst/>
        </a:prstGeom>
        <a:noFill/>
        <a:ln w="1">
          <a:noFill/>
        </a:ln>
      </xdr:spPr>
    </xdr:pic>
    <xdr:clientData/>
  </xdr:twoCellAnchor>
  <xdr:twoCellAnchor editAs="oneCell">
    <xdr:from>
      <xdr:col>1</xdr:col>
      <xdr:colOff>22860</xdr:colOff>
      <xdr:row>0</xdr:row>
      <xdr:rowOff>2875280</xdr:rowOff>
    </xdr:from>
    <xdr:to>
      <xdr:col>10</xdr:col>
      <xdr:colOff>182880</xdr:colOff>
      <xdr:row>1</xdr:row>
      <xdr:rowOff>38100</xdr:rowOff>
    </xdr:to>
    <xdr:pic>
      <xdr:nvPicPr>
        <xdr:cNvPr id="1202206" name="Picture 4">
          <a:extLst>
            <a:ext uri="{FF2B5EF4-FFF2-40B4-BE49-F238E27FC236}">
              <a16:creationId xmlns:a16="http://schemas.microsoft.com/office/drawing/2014/main" id="{00000000-0008-0000-6100-00001E581200}"/>
            </a:ext>
          </a:extLst>
        </xdr:cNvPr>
        <xdr:cNvPicPr>
          <a:picLocks noChangeAspect="1"/>
        </xdr:cNvPicPr>
      </xdr:nvPicPr>
      <xdr:blipFill>
        <a:blip xmlns:r="http://schemas.openxmlformats.org/officeDocument/2006/relationships" r:embed="rId3" cstate="print"/>
        <a:stretch>
          <a:fillRect/>
        </a:stretch>
      </xdr:blipFill>
      <xdr:spPr>
        <a:xfrm>
          <a:off x="508635" y="2875280"/>
          <a:ext cx="5379720" cy="2239645"/>
        </a:xfrm>
        <a:prstGeom prst="rect">
          <a:avLst/>
        </a:prstGeom>
        <a:noFill/>
        <a:ln w="1">
          <a:noFill/>
        </a:ln>
      </xdr:spPr>
    </xdr:pic>
    <xdr:clientData/>
  </xdr:twoCellAnchor>
  <xdr:twoCellAnchor editAs="absolute">
    <xdr:from>
      <xdr:col>13</xdr:col>
      <xdr:colOff>0</xdr:colOff>
      <xdr:row>0</xdr:row>
      <xdr:rowOff>0</xdr:rowOff>
    </xdr:from>
    <xdr:to>
      <xdr:col>14</xdr:col>
      <xdr:colOff>196263</xdr:colOff>
      <xdr:row>0</xdr:row>
      <xdr:rowOff>293274</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0000000-0008-0000-6100-000002000000}"/>
            </a:ext>
          </a:extLst>
        </xdr:cNvPr>
        <xdr:cNvSpPr>
          <a:spLocks noChangeAspect="1"/>
        </xdr:cNvSpPr>
      </xdr:nvSpPr>
      <xdr:spPr>
        <a:xfrm flipH="1">
          <a:off x="7451912"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45720</xdr:colOff>
      <xdr:row>10</xdr:row>
      <xdr:rowOff>175895</xdr:rowOff>
    </xdr:from>
    <xdr:to>
      <xdr:col>1</xdr:col>
      <xdr:colOff>2401570</xdr:colOff>
      <xdr:row>10</xdr:row>
      <xdr:rowOff>716915</xdr:rowOff>
    </xdr:to>
    <xdr:pic>
      <xdr:nvPicPr>
        <xdr:cNvPr id="1203228" name="Picture 1">
          <a:extLst>
            <a:ext uri="{FF2B5EF4-FFF2-40B4-BE49-F238E27FC236}">
              <a16:creationId xmlns:a16="http://schemas.microsoft.com/office/drawing/2014/main" id="{00000000-0008-0000-6200-00001C5C1200}"/>
            </a:ext>
          </a:extLst>
        </xdr:cNvPr>
        <xdr:cNvPicPr>
          <a:picLocks noChangeAspect="1"/>
        </xdr:cNvPicPr>
      </xdr:nvPicPr>
      <xdr:blipFill>
        <a:blip xmlns:r="http://schemas.openxmlformats.org/officeDocument/2006/relationships" r:embed="rId1" cstate="print"/>
        <a:srcRect l="31714" r="18286" b="54839"/>
        <a:stretch>
          <a:fillRect/>
        </a:stretch>
      </xdr:blipFill>
      <xdr:spPr>
        <a:xfrm>
          <a:off x="2026920" y="4572000"/>
          <a:ext cx="2355850" cy="541020"/>
        </a:xfrm>
        <a:prstGeom prst="rect">
          <a:avLst/>
        </a:prstGeom>
        <a:noFill/>
        <a:ln w="1">
          <a:noFill/>
        </a:ln>
      </xdr:spPr>
    </xdr:pic>
    <xdr:clientData/>
  </xdr:twoCellAnchor>
  <xdr:twoCellAnchor editAs="oneCell">
    <xdr:from>
      <xdr:col>1</xdr:col>
      <xdr:colOff>740410</xdr:colOff>
      <xdr:row>8</xdr:row>
      <xdr:rowOff>67945</xdr:rowOff>
    </xdr:from>
    <xdr:to>
      <xdr:col>1</xdr:col>
      <xdr:colOff>1480185</xdr:colOff>
      <xdr:row>8</xdr:row>
      <xdr:rowOff>678815</xdr:rowOff>
    </xdr:to>
    <xdr:pic>
      <xdr:nvPicPr>
        <xdr:cNvPr id="1203229" name="Picture 2">
          <a:extLst>
            <a:ext uri="{FF2B5EF4-FFF2-40B4-BE49-F238E27FC236}">
              <a16:creationId xmlns:a16="http://schemas.microsoft.com/office/drawing/2014/main" id="{00000000-0008-0000-6200-00001D5C1200}"/>
            </a:ext>
          </a:extLst>
        </xdr:cNvPr>
        <xdr:cNvPicPr>
          <a:picLocks noChangeAspect="1"/>
        </xdr:cNvPicPr>
      </xdr:nvPicPr>
      <xdr:blipFill>
        <a:blip xmlns:r="http://schemas.openxmlformats.org/officeDocument/2006/relationships" r:embed="rId2" cstate="print"/>
        <a:stretch>
          <a:fillRect/>
        </a:stretch>
      </xdr:blipFill>
      <xdr:spPr>
        <a:xfrm>
          <a:off x="2721610" y="3235325"/>
          <a:ext cx="739775" cy="610870"/>
        </a:xfrm>
        <a:prstGeom prst="rect">
          <a:avLst/>
        </a:prstGeom>
        <a:noFill/>
        <a:ln w="1">
          <a:noFill/>
        </a:ln>
      </xdr:spPr>
    </xdr:pic>
    <xdr:clientData/>
  </xdr:twoCellAnchor>
  <xdr:twoCellAnchor editAs="oneCell">
    <xdr:from>
      <xdr:col>1</xdr:col>
      <xdr:colOff>571500</xdr:colOff>
      <xdr:row>9</xdr:row>
      <xdr:rowOff>15875</xdr:rowOff>
    </xdr:from>
    <xdr:to>
      <xdr:col>1</xdr:col>
      <xdr:colOff>1738630</xdr:colOff>
      <xdr:row>9</xdr:row>
      <xdr:rowOff>473075</xdr:rowOff>
    </xdr:to>
    <xdr:pic>
      <xdr:nvPicPr>
        <xdr:cNvPr id="1203230" name="Picture 3">
          <a:extLst>
            <a:ext uri="{FF2B5EF4-FFF2-40B4-BE49-F238E27FC236}">
              <a16:creationId xmlns:a16="http://schemas.microsoft.com/office/drawing/2014/main" id="{00000000-0008-0000-6200-00001E5C1200}"/>
            </a:ext>
          </a:extLst>
        </xdr:cNvPr>
        <xdr:cNvPicPr>
          <a:picLocks noChangeAspect="1"/>
        </xdr:cNvPicPr>
      </xdr:nvPicPr>
      <xdr:blipFill>
        <a:blip xmlns:r="http://schemas.openxmlformats.org/officeDocument/2006/relationships" r:embed="rId3" cstate="print"/>
        <a:stretch>
          <a:fillRect/>
        </a:stretch>
      </xdr:blipFill>
      <xdr:spPr>
        <a:xfrm>
          <a:off x="2552700" y="3907155"/>
          <a:ext cx="1167130" cy="457200"/>
        </a:xfrm>
        <a:prstGeom prst="rect">
          <a:avLst/>
        </a:prstGeom>
        <a:noFill/>
        <a:ln w="1">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0000000-0008-0000-62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358140</xdr:colOff>
      <xdr:row>0</xdr:row>
      <xdr:rowOff>57785</xdr:rowOff>
    </xdr:from>
    <xdr:to>
      <xdr:col>7</xdr:col>
      <xdr:colOff>304800</xdr:colOff>
      <xdr:row>0</xdr:row>
      <xdr:rowOff>1755775</xdr:rowOff>
    </xdr:to>
    <xdr:pic>
      <xdr:nvPicPr>
        <xdr:cNvPr id="1204234" name="Picture 1">
          <a:extLst>
            <a:ext uri="{FF2B5EF4-FFF2-40B4-BE49-F238E27FC236}">
              <a16:creationId xmlns:a16="http://schemas.microsoft.com/office/drawing/2014/main" id="{00000000-0008-0000-6300-00000A601200}"/>
            </a:ext>
          </a:extLst>
        </xdr:cNvPr>
        <xdr:cNvPicPr>
          <a:picLocks noChangeAspect="1"/>
        </xdr:cNvPicPr>
      </xdr:nvPicPr>
      <xdr:blipFill>
        <a:blip xmlns:r="http://schemas.openxmlformats.org/officeDocument/2006/relationships" r:embed="rId1" cstate="print"/>
        <a:stretch>
          <a:fillRect/>
        </a:stretch>
      </xdr:blipFill>
      <xdr:spPr>
        <a:xfrm>
          <a:off x="643890" y="57785"/>
          <a:ext cx="4547235" cy="1697990"/>
        </a:xfrm>
        <a:prstGeom prst="rect">
          <a:avLst/>
        </a:prstGeom>
        <a:noFill/>
        <a:ln w="1">
          <a:noFill/>
        </a:ln>
      </xdr:spPr>
    </xdr:pic>
    <xdr:clientData/>
  </xdr:twoCellAnchor>
  <xdr:twoCellAnchor editAs="absolute">
    <xdr:from>
      <xdr:col>8</xdr:col>
      <xdr:colOff>0</xdr:colOff>
      <xdr:row>0</xdr:row>
      <xdr:rowOff>0</xdr:rowOff>
    </xdr:from>
    <xdr:to>
      <xdr:col>9</xdr:col>
      <xdr:colOff>218675</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6300-000002000000}"/>
            </a:ext>
          </a:extLst>
        </xdr:cNvPr>
        <xdr:cNvSpPr>
          <a:spLocks noChangeAspect="1"/>
        </xdr:cNvSpPr>
      </xdr:nvSpPr>
      <xdr:spPr>
        <a:xfrm flipH="1">
          <a:off x="5490882"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105869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4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190500</xdr:colOff>
      <xdr:row>0</xdr:row>
      <xdr:rowOff>7620</xdr:rowOff>
    </xdr:to>
    <xdr:pic>
      <xdr:nvPicPr>
        <xdr:cNvPr id="1205267" name="Picture 4" descr="http://www.fordatachina.com/images/spacer.gif">
          <a:extLst>
            <a:ext uri="{FF2B5EF4-FFF2-40B4-BE49-F238E27FC236}">
              <a16:creationId xmlns:a16="http://schemas.microsoft.com/office/drawing/2014/main" id="{00000000-0008-0000-6500-000013641200}"/>
            </a:ext>
          </a:extLst>
        </xdr:cNvPr>
        <xdr:cNvPicPr>
          <a:picLocks noChangeAspect="1"/>
        </xdr:cNvPicPr>
      </xdr:nvPicPr>
      <xdr:blipFill>
        <a:blip xmlns:r="http://schemas.openxmlformats.org/officeDocument/2006/relationships" r:embed="rId1" r:link="rId2"/>
        <a:stretch>
          <a:fillRect/>
        </a:stretch>
      </xdr:blipFill>
      <xdr:spPr>
        <a:xfrm>
          <a:off x="0" y="0"/>
          <a:ext cx="190500" cy="7620"/>
        </a:xfrm>
        <a:prstGeom prst="rect">
          <a:avLst/>
        </a:prstGeom>
        <a:noFill/>
        <a:ln w="9525">
          <a:noFill/>
        </a:ln>
      </xdr:spPr>
    </xdr:pic>
    <xdr:clientData/>
  </xdr:twoCellAnchor>
  <xdr:twoCellAnchor>
    <xdr:from>
      <xdr:col>0</xdr:col>
      <xdr:colOff>297180</xdr:colOff>
      <xdr:row>0</xdr:row>
      <xdr:rowOff>114300</xdr:rowOff>
    </xdr:from>
    <xdr:to>
      <xdr:col>1</xdr:col>
      <xdr:colOff>487680</xdr:colOff>
      <xdr:row>2</xdr:row>
      <xdr:rowOff>182880</xdr:rowOff>
    </xdr:to>
    <xdr:pic>
      <xdr:nvPicPr>
        <xdr:cNvPr id="1205268" name="Picture 3" descr="http://www.fordatachina.com/images/c.gif">
          <a:extLst>
            <a:ext uri="{FF2B5EF4-FFF2-40B4-BE49-F238E27FC236}">
              <a16:creationId xmlns:a16="http://schemas.microsoft.com/office/drawing/2014/main" id="{00000000-0008-0000-6500-000014641200}"/>
            </a:ext>
          </a:extLst>
        </xdr:cNvPr>
        <xdr:cNvPicPr>
          <a:picLocks noChangeAspect="1"/>
        </xdr:cNvPicPr>
      </xdr:nvPicPr>
      <xdr:blipFill>
        <a:blip xmlns:r="http://schemas.openxmlformats.org/officeDocument/2006/relationships" r:embed="rId3" r:link="rId2" cstate="print"/>
        <a:stretch>
          <a:fillRect/>
        </a:stretch>
      </xdr:blipFill>
      <xdr:spPr>
        <a:xfrm>
          <a:off x="297180" y="114300"/>
          <a:ext cx="1209675" cy="428625"/>
        </a:xfrm>
        <a:prstGeom prst="rect">
          <a:avLst/>
        </a:prstGeom>
        <a:noFill/>
        <a:ln w="9525">
          <a:noFill/>
        </a:ln>
      </xdr:spPr>
    </xdr:pic>
    <xdr:clientData/>
  </xdr:twoCellAnchor>
  <xdr:twoCellAnchor editAs="absolute">
    <xdr:from>
      <xdr:col>8</xdr:col>
      <xdr:colOff>0</xdr:colOff>
      <xdr:row>0</xdr:row>
      <xdr:rowOff>0</xdr:rowOff>
    </xdr:from>
    <xdr:to>
      <xdr:col>9</xdr:col>
      <xdr:colOff>112219</xdr:colOff>
      <xdr:row>1</xdr:row>
      <xdr:rowOff>112299</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0000000-0008-0000-6500-000002000000}"/>
            </a:ext>
          </a:extLst>
        </xdr:cNvPr>
        <xdr:cNvSpPr>
          <a:spLocks noChangeAspect="1"/>
        </xdr:cNvSpPr>
      </xdr:nvSpPr>
      <xdr:spPr>
        <a:xfrm flipH="1">
          <a:off x="81534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191135</xdr:colOff>
      <xdr:row>0</xdr:row>
      <xdr:rowOff>7620</xdr:rowOff>
    </xdr:to>
    <xdr:pic>
      <xdr:nvPicPr>
        <xdr:cNvPr id="1206291" name="Picture 2" descr="http://www.fordatachina.com/images/spacer.gif">
          <a:extLst>
            <a:ext uri="{FF2B5EF4-FFF2-40B4-BE49-F238E27FC236}">
              <a16:creationId xmlns:a16="http://schemas.microsoft.com/office/drawing/2014/main" id="{00000000-0008-0000-6600-000013681200}"/>
            </a:ext>
          </a:extLst>
        </xdr:cNvPr>
        <xdr:cNvPicPr>
          <a:picLocks noChangeAspect="1"/>
        </xdr:cNvPicPr>
      </xdr:nvPicPr>
      <xdr:blipFill>
        <a:blip xmlns:r="http://schemas.openxmlformats.org/officeDocument/2006/relationships" r:embed="rId1" r:link="rId2"/>
        <a:stretch>
          <a:fillRect/>
        </a:stretch>
      </xdr:blipFill>
      <xdr:spPr>
        <a:xfrm>
          <a:off x="0" y="0"/>
          <a:ext cx="191135" cy="7620"/>
        </a:xfrm>
        <a:prstGeom prst="rect">
          <a:avLst/>
        </a:prstGeom>
        <a:noFill/>
        <a:ln w="9525">
          <a:noFill/>
        </a:ln>
      </xdr:spPr>
    </xdr:pic>
    <xdr:clientData/>
  </xdr:twoCellAnchor>
  <xdr:twoCellAnchor>
    <xdr:from>
      <xdr:col>0</xdr:col>
      <xdr:colOff>0</xdr:colOff>
      <xdr:row>0</xdr:row>
      <xdr:rowOff>0</xdr:rowOff>
    </xdr:from>
    <xdr:to>
      <xdr:col>1</xdr:col>
      <xdr:colOff>191135</xdr:colOff>
      <xdr:row>2</xdr:row>
      <xdr:rowOff>182880</xdr:rowOff>
    </xdr:to>
    <xdr:pic>
      <xdr:nvPicPr>
        <xdr:cNvPr id="1206292" name="Picture 1" descr="http://www.fordatachina.com/images/b.gif">
          <a:extLst>
            <a:ext uri="{FF2B5EF4-FFF2-40B4-BE49-F238E27FC236}">
              <a16:creationId xmlns:a16="http://schemas.microsoft.com/office/drawing/2014/main" id="{00000000-0008-0000-6600-000014681200}"/>
            </a:ext>
          </a:extLst>
        </xdr:cNvPr>
        <xdr:cNvPicPr>
          <a:picLocks noChangeAspect="1"/>
        </xdr:cNvPicPr>
      </xdr:nvPicPr>
      <xdr:blipFill>
        <a:blip xmlns:r="http://schemas.openxmlformats.org/officeDocument/2006/relationships" r:embed="rId3" r:link="rId2" cstate="print"/>
        <a:stretch>
          <a:fillRect/>
        </a:stretch>
      </xdr:blipFill>
      <xdr:spPr>
        <a:xfrm>
          <a:off x="0" y="0"/>
          <a:ext cx="1057910" cy="542925"/>
        </a:xfrm>
        <a:prstGeom prst="rect">
          <a:avLst/>
        </a:prstGeom>
        <a:noFill/>
        <a:ln w="9525">
          <a:noFill/>
        </a:ln>
      </xdr:spPr>
    </xdr:pic>
    <xdr:clientData/>
  </xdr:twoCellAnchor>
  <xdr:twoCellAnchor editAs="absolute">
    <xdr:from>
      <xdr:col>8</xdr:col>
      <xdr:colOff>0</xdr:colOff>
      <xdr:row>0</xdr:row>
      <xdr:rowOff>0</xdr:rowOff>
    </xdr:from>
    <xdr:to>
      <xdr:col>9</xdr:col>
      <xdr:colOff>112219</xdr:colOff>
      <xdr:row>1</xdr:row>
      <xdr:rowOff>112299</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0000000-0008-0000-6600-000002000000}"/>
            </a:ext>
          </a:extLst>
        </xdr:cNvPr>
        <xdr:cNvSpPr>
          <a:spLocks noChangeAspect="1"/>
        </xdr:cNvSpPr>
      </xdr:nvSpPr>
      <xdr:spPr>
        <a:xfrm flipH="1">
          <a:off x="69342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182880</xdr:colOff>
      <xdr:row>0</xdr:row>
      <xdr:rowOff>7620</xdr:rowOff>
    </xdr:to>
    <xdr:pic>
      <xdr:nvPicPr>
        <xdr:cNvPr id="1207315" name="Picture 2" descr="http://www.fordatachina.com/images/spacer.gif">
          <a:extLst>
            <a:ext uri="{FF2B5EF4-FFF2-40B4-BE49-F238E27FC236}">
              <a16:creationId xmlns:a16="http://schemas.microsoft.com/office/drawing/2014/main" id="{00000000-0008-0000-6700-0000136C1200}"/>
            </a:ext>
          </a:extLst>
        </xdr:cNvPr>
        <xdr:cNvPicPr>
          <a:picLocks noChangeAspect="1"/>
        </xdr:cNvPicPr>
      </xdr:nvPicPr>
      <xdr:blipFill>
        <a:blip xmlns:r="http://schemas.openxmlformats.org/officeDocument/2006/relationships" r:embed="rId1" r:link="rId2"/>
        <a:stretch>
          <a:fillRect/>
        </a:stretch>
      </xdr:blipFill>
      <xdr:spPr>
        <a:xfrm>
          <a:off x="0" y="0"/>
          <a:ext cx="182880" cy="7620"/>
        </a:xfrm>
        <a:prstGeom prst="rect">
          <a:avLst/>
        </a:prstGeom>
        <a:noFill/>
        <a:ln w="9525">
          <a:noFill/>
        </a:ln>
      </xdr:spPr>
    </xdr:pic>
    <xdr:clientData/>
  </xdr:twoCellAnchor>
  <xdr:twoCellAnchor>
    <xdr:from>
      <xdr:col>0</xdr:col>
      <xdr:colOff>464820</xdr:colOff>
      <xdr:row>0</xdr:row>
      <xdr:rowOff>75565</xdr:rowOff>
    </xdr:from>
    <xdr:to>
      <xdr:col>1</xdr:col>
      <xdr:colOff>655320</xdr:colOff>
      <xdr:row>3</xdr:row>
      <xdr:rowOff>75565</xdr:rowOff>
    </xdr:to>
    <xdr:pic>
      <xdr:nvPicPr>
        <xdr:cNvPr id="1207316" name="Picture 1" descr="http://www.fordatachina.com/images/a.gif">
          <a:extLst>
            <a:ext uri="{FF2B5EF4-FFF2-40B4-BE49-F238E27FC236}">
              <a16:creationId xmlns:a16="http://schemas.microsoft.com/office/drawing/2014/main" id="{00000000-0008-0000-6700-0000146C1200}"/>
            </a:ext>
          </a:extLst>
        </xdr:cNvPr>
        <xdr:cNvPicPr>
          <a:picLocks noChangeAspect="1"/>
        </xdr:cNvPicPr>
      </xdr:nvPicPr>
      <xdr:blipFill>
        <a:blip xmlns:r="http://schemas.openxmlformats.org/officeDocument/2006/relationships" r:embed="rId3" r:link="rId2" cstate="print"/>
        <a:stretch>
          <a:fillRect/>
        </a:stretch>
      </xdr:blipFill>
      <xdr:spPr>
        <a:xfrm>
          <a:off x="464820" y="75565"/>
          <a:ext cx="857250" cy="542925"/>
        </a:xfrm>
        <a:prstGeom prst="rect">
          <a:avLst/>
        </a:prstGeom>
        <a:noFill/>
        <a:ln w="9525">
          <a:noFill/>
        </a:ln>
      </xdr:spPr>
    </xdr:pic>
    <xdr:clientData/>
  </xdr:twoCellAnchor>
  <xdr:twoCellAnchor editAs="absolute">
    <xdr:from>
      <xdr:col>8</xdr:col>
      <xdr:colOff>0</xdr:colOff>
      <xdr:row>0</xdr:row>
      <xdr:rowOff>0</xdr:rowOff>
    </xdr:from>
    <xdr:to>
      <xdr:col>9</xdr:col>
      <xdr:colOff>112219</xdr:colOff>
      <xdr:row>1</xdr:row>
      <xdr:rowOff>112299</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0000000-0008-0000-6700-000002000000}"/>
            </a:ext>
          </a:extLst>
        </xdr:cNvPr>
        <xdr:cNvSpPr>
          <a:spLocks noChangeAspect="1"/>
        </xdr:cNvSpPr>
      </xdr:nvSpPr>
      <xdr:spPr>
        <a:xfrm flipH="1">
          <a:off x="54959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18</xdr:col>
      <xdr:colOff>30480</xdr:colOff>
      <xdr:row>35</xdr:row>
      <xdr:rowOff>23495</xdr:rowOff>
    </xdr:to>
    <xdr:pic>
      <xdr:nvPicPr>
        <xdr:cNvPr id="1208330" name="Picture 1">
          <a:extLst>
            <a:ext uri="{FF2B5EF4-FFF2-40B4-BE49-F238E27FC236}">
              <a16:creationId xmlns:a16="http://schemas.microsoft.com/office/drawing/2014/main" id="{00000000-0008-0000-6800-00000A701200}"/>
            </a:ext>
          </a:extLst>
        </xdr:cNvPr>
        <xdr:cNvPicPr>
          <a:picLocks noChangeAspect="1"/>
        </xdr:cNvPicPr>
      </xdr:nvPicPr>
      <xdr:blipFill>
        <a:blip xmlns:r="http://schemas.openxmlformats.org/officeDocument/2006/relationships" r:embed="rId1" cstate="print"/>
        <a:stretch>
          <a:fillRect/>
        </a:stretch>
      </xdr:blipFill>
      <xdr:spPr>
        <a:xfrm>
          <a:off x="0" y="523875"/>
          <a:ext cx="12031980" cy="6176645"/>
        </a:xfrm>
        <a:prstGeom prst="rect">
          <a:avLst/>
        </a:prstGeom>
        <a:noFill/>
        <a:ln w="1">
          <a:noFill/>
        </a:ln>
      </xdr:spPr>
    </xdr:pic>
    <xdr:clientData/>
  </xdr:twoCellAnchor>
  <xdr:twoCellAnchor editAs="absolute">
    <xdr:from>
      <xdr:col>0</xdr:col>
      <xdr:colOff>0</xdr:colOff>
      <xdr:row>0</xdr:row>
      <xdr:rowOff>0</xdr:rowOff>
    </xdr:from>
    <xdr:to>
      <xdr:col>1</xdr:col>
      <xdr:colOff>112219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68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15240</xdr:colOff>
      <xdr:row>1</xdr:row>
      <xdr:rowOff>53340</xdr:rowOff>
    </xdr:from>
    <xdr:to>
      <xdr:col>4</xdr:col>
      <xdr:colOff>471170</xdr:colOff>
      <xdr:row>3</xdr:row>
      <xdr:rowOff>724535</xdr:rowOff>
    </xdr:to>
    <xdr:pic>
      <xdr:nvPicPr>
        <xdr:cNvPr id="1209408" name="Picture 2">
          <a:extLst>
            <a:ext uri="{FF2B5EF4-FFF2-40B4-BE49-F238E27FC236}">
              <a16:creationId xmlns:a16="http://schemas.microsoft.com/office/drawing/2014/main" id="{00000000-0008-0000-6900-000040741200}"/>
            </a:ext>
          </a:extLst>
        </xdr:cNvPr>
        <xdr:cNvPicPr>
          <a:picLocks noChangeAspect="1"/>
        </xdr:cNvPicPr>
      </xdr:nvPicPr>
      <xdr:blipFill>
        <a:blip xmlns:r="http://schemas.openxmlformats.org/officeDocument/2006/relationships" r:embed="rId1" cstate="print"/>
        <a:stretch>
          <a:fillRect/>
        </a:stretch>
      </xdr:blipFill>
      <xdr:spPr>
        <a:xfrm>
          <a:off x="15240" y="358140"/>
          <a:ext cx="2818130" cy="2604770"/>
        </a:xfrm>
        <a:prstGeom prst="rect">
          <a:avLst/>
        </a:prstGeom>
        <a:noFill/>
        <a:ln w="1">
          <a:noFill/>
        </a:ln>
      </xdr:spPr>
    </xdr:pic>
    <xdr:clientData/>
  </xdr:twoCellAnchor>
  <xdr:twoCellAnchor editAs="oneCell">
    <xdr:from>
      <xdr:col>5</xdr:col>
      <xdr:colOff>259080</xdr:colOff>
      <xdr:row>3</xdr:row>
      <xdr:rowOff>81915</xdr:rowOff>
    </xdr:from>
    <xdr:to>
      <xdr:col>6</xdr:col>
      <xdr:colOff>449580</xdr:colOff>
      <xdr:row>3</xdr:row>
      <xdr:rowOff>777875</xdr:rowOff>
    </xdr:to>
    <xdr:pic>
      <xdr:nvPicPr>
        <xdr:cNvPr id="1209409" name="Picture 4">
          <a:extLst>
            <a:ext uri="{FF2B5EF4-FFF2-40B4-BE49-F238E27FC236}">
              <a16:creationId xmlns:a16="http://schemas.microsoft.com/office/drawing/2014/main" id="{00000000-0008-0000-6900-000041741200}"/>
            </a:ext>
          </a:extLst>
        </xdr:cNvPr>
        <xdr:cNvPicPr>
          <a:picLocks noChangeAspect="1"/>
        </xdr:cNvPicPr>
      </xdr:nvPicPr>
      <xdr:blipFill>
        <a:blip xmlns:r="http://schemas.openxmlformats.org/officeDocument/2006/relationships" r:embed="rId2" cstate="print"/>
        <a:stretch>
          <a:fillRect/>
        </a:stretch>
      </xdr:blipFill>
      <xdr:spPr>
        <a:xfrm>
          <a:off x="3288030" y="2320290"/>
          <a:ext cx="857250" cy="695960"/>
        </a:xfrm>
        <a:prstGeom prst="rect">
          <a:avLst/>
        </a:prstGeom>
        <a:noFill/>
        <a:ln w="1">
          <a:noFill/>
        </a:ln>
      </xdr:spPr>
    </xdr:pic>
    <xdr:clientData/>
  </xdr:twoCellAnchor>
  <xdr:twoCellAnchor editAs="oneCell">
    <xdr:from>
      <xdr:col>6</xdr:col>
      <xdr:colOff>586740</xdr:colOff>
      <xdr:row>3</xdr:row>
      <xdr:rowOff>122555</xdr:rowOff>
    </xdr:from>
    <xdr:to>
      <xdr:col>10</xdr:col>
      <xdr:colOff>226695</xdr:colOff>
      <xdr:row>3</xdr:row>
      <xdr:rowOff>753110</xdr:rowOff>
    </xdr:to>
    <xdr:pic>
      <xdr:nvPicPr>
        <xdr:cNvPr id="1209410" name="Picture 5">
          <a:extLst>
            <a:ext uri="{FF2B5EF4-FFF2-40B4-BE49-F238E27FC236}">
              <a16:creationId xmlns:a16="http://schemas.microsoft.com/office/drawing/2014/main" id="{00000000-0008-0000-6900-000042741200}"/>
            </a:ext>
          </a:extLst>
        </xdr:cNvPr>
        <xdr:cNvPicPr>
          <a:picLocks noChangeAspect="1"/>
        </xdr:cNvPicPr>
      </xdr:nvPicPr>
      <xdr:blipFill>
        <a:blip xmlns:r="http://schemas.openxmlformats.org/officeDocument/2006/relationships" r:embed="rId3" cstate="print"/>
        <a:stretch>
          <a:fillRect/>
        </a:stretch>
      </xdr:blipFill>
      <xdr:spPr>
        <a:xfrm>
          <a:off x="4282440" y="2360930"/>
          <a:ext cx="1964055" cy="630555"/>
        </a:xfrm>
        <a:prstGeom prst="rect">
          <a:avLst/>
        </a:prstGeom>
        <a:noFill/>
        <a:ln w="1">
          <a:noFill/>
        </a:ln>
      </xdr:spPr>
    </xdr:pic>
    <xdr:clientData/>
  </xdr:twoCellAnchor>
  <xdr:twoCellAnchor editAs="oneCell">
    <xdr:from>
      <xdr:col>5</xdr:col>
      <xdr:colOff>327660</xdr:colOff>
      <xdr:row>2</xdr:row>
      <xdr:rowOff>161290</xdr:rowOff>
    </xdr:from>
    <xdr:to>
      <xdr:col>6</xdr:col>
      <xdr:colOff>419100</xdr:colOff>
      <xdr:row>2</xdr:row>
      <xdr:rowOff>838200</xdr:rowOff>
    </xdr:to>
    <xdr:pic>
      <xdr:nvPicPr>
        <xdr:cNvPr id="1209411" name="Picture 6">
          <a:extLst>
            <a:ext uri="{FF2B5EF4-FFF2-40B4-BE49-F238E27FC236}">
              <a16:creationId xmlns:a16="http://schemas.microsoft.com/office/drawing/2014/main" id="{00000000-0008-0000-6900-000043741200}"/>
            </a:ext>
          </a:extLst>
        </xdr:cNvPr>
        <xdr:cNvPicPr>
          <a:picLocks noChangeAspect="1"/>
        </xdr:cNvPicPr>
      </xdr:nvPicPr>
      <xdr:blipFill>
        <a:blip xmlns:r="http://schemas.openxmlformats.org/officeDocument/2006/relationships" r:embed="rId4" cstate="print"/>
        <a:stretch>
          <a:fillRect/>
        </a:stretch>
      </xdr:blipFill>
      <xdr:spPr>
        <a:xfrm>
          <a:off x="3356610" y="1437640"/>
          <a:ext cx="758190" cy="676910"/>
        </a:xfrm>
        <a:prstGeom prst="rect">
          <a:avLst/>
        </a:prstGeom>
        <a:noFill/>
        <a:ln w="1">
          <a:noFill/>
        </a:ln>
      </xdr:spPr>
    </xdr:pic>
    <xdr:clientData/>
  </xdr:twoCellAnchor>
  <xdr:twoCellAnchor editAs="oneCell">
    <xdr:from>
      <xdr:col>6</xdr:col>
      <xdr:colOff>601980</xdr:colOff>
      <xdr:row>2</xdr:row>
      <xdr:rowOff>176530</xdr:rowOff>
    </xdr:from>
    <xdr:to>
      <xdr:col>10</xdr:col>
      <xdr:colOff>219075</xdr:colOff>
      <xdr:row>2</xdr:row>
      <xdr:rowOff>785495</xdr:rowOff>
    </xdr:to>
    <xdr:pic>
      <xdr:nvPicPr>
        <xdr:cNvPr id="1209412" name="Picture 7">
          <a:extLst>
            <a:ext uri="{FF2B5EF4-FFF2-40B4-BE49-F238E27FC236}">
              <a16:creationId xmlns:a16="http://schemas.microsoft.com/office/drawing/2014/main" id="{00000000-0008-0000-6900-000044741200}"/>
            </a:ext>
          </a:extLst>
        </xdr:cNvPr>
        <xdr:cNvPicPr>
          <a:picLocks noChangeAspect="1"/>
        </xdr:cNvPicPr>
      </xdr:nvPicPr>
      <xdr:blipFill>
        <a:blip xmlns:r="http://schemas.openxmlformats.org/officeDocument/2006/relationships" r:embed="rId5" cstate="print"/>
        <a:stretch>
          <a:fillRect/>
        </a:stretch>
      </xdr:blipFill>
      <xdr:spPr>
        <a:xfrm>
          <a:off x="4297680" y="1452880"/>
          <a:ext cx="1941195" cy="608965"/>
        </a:xfrm>
        <a:prstGeom prst="rect">
          <a:avLst/>
        </a:prstGeom>
        <a:noFill/>
        <a:ln w="1">
          <a:noFill/>
        </a:ln>
      </xdr:spPr>
    </xdr:pic>
    <xdr:clientData/>
  </xdr:twoCellAnchor>
  <xdr:twoCellAnchor editAs="oneCell">
    <xdr:from>
      <xdr:col>5</xdr:col>
      <xdr:colOff>327660</xdr:colOff>
      <xdr:row>1</xdr:row>
      <xdr:rowOff>144145</xdr:rowOff>
    </xdr:from>
    <xdr:to>
      <xdr:col>6</xdr:col>
      <xdr:colOff>411480</xdr:colOff>
      <xdr:row>1</xdr:row>
      <xdr:rowOff>831215</xdr:rowOff>
    </xdr:to>
    <xdr:pic>
      <xdr:nvPicPr>
        <xdr:cNvPr id="1209413" name="Picture 8">
          <a:extLst>
            <a:ext uri="{FF2B5EF4-FFF2-40B4-BE49-F238E27FC236}">
              <a16:creationId xmlns:a16="http://schemas.microsoft.com/office/drawing/2014/main" id="{00000000-0008-0000-6900-000045741200}"/>
            </a:ext>
          </a:extLst>
        </xdr:cNvPr>
        <xdr:cNvPicPr>
          <a:picLocks noChangeAspect="1"/>
        </xdr:cNvPicPr>
      </xdr:nvPicPr>
      <xdr:blipFill>
        <a:blip xmlns:r="http://schemas.openxmlformats.org/officeDocument/2006/relationships" r:embed="rId6" cstate="print"/>
        <a:stretch>
          <a:fillRect/>
        </a:stretch>
      </xdr:blipFill>
      <xdr:spPr>
        <a:xfrm>
          <a:off x="3356610" y="448945"/>
          <a:ext cx="750570" cy="687070"/>
        </a:xfrm>
        <a:prstGeom prst="rect">
          <a:avLst/>
        </a:prstGeom>
        <a:noFill/>
        <a:ln w="1">
          <a:noFill/>
        </a:ln>
      </xdr:spPr>
    </xdr:pic>
    <xdr:clientData/>
  </xdr:twoCellAnchor>
  <xdr:twoCellAnchor editAs="oneCell">
    <xdr:from>
      <xdr:col>6</xdr:col>
      <xdr:colOff>571500</xdr:colOff>
      <xdr:row>1</xdr:row>
      <xdr:rowOff>189865</xdr:rowOff>
    </xdr:from>
    <xdr:to>
      <xdr:col>10</xdr:col>
      <xdr:colOff>219075</xdr:colOff>
      <xdr:row>1</xdr:row>
      <xdr:rowOff>770255</xdr:rowOff>
    </xdr:to>
    <xdr:pic>
      <xdr:nvPicPr>
        <xdr:cNvPr id="1209414" name="Picture 9">
          <a:extLst>
            <a:ext uri="{FF2B5EF4-FFF2-40B4-BE49-F238E27FC236}">
              <a16:creationId xmlns:a16="http://schemas.microsoft.com/office/drawing/2014/main" id="{00000000-0008-0000-6900-000046741200}"/>
            </a:ext>
          </a:extLst>
        </xdr:cNvPr>
        <xdr:cNvPicPr>
          <a:picLocks noChangeAspect="1"/>
        </xdr:cNvPicPr>
      </xdr:nvPicPr>
      <xdr:blipFill>
        <a:blip xmlns:r="http://schemas.openxmlformats.org/officeDocument/2006/relationships" r:embed="rId7" cstate="print"/>
        <a:stretch>
          <a:fillRect/>
        </a:stretch>
      </xdr:blipFill>
      <xdr:spPr>
        <a:xfrm>
          <a:off x="4267200" y="494665"/>
          <a:ext cx="1971675" cy="580390"/>
        </a:xfrm>
        <a:prstGeom prst="rect">
          <a:avLst/>
        </a:prstGeom>
        <a:noFill/>
        <a:ln w="1">
          <a:noFill/>
        </a:ln>
      </xdr:spPr>
    </xdr:pic>
    <xdr:clientData/>
  </xdr:twoCellAnchor>
  <xdr:twoCellAnchor editAs="absolute">
    <xdr:from>
      <xdr:col>11</xdr:col>
      <xdr:colOff>0</xdr:colOff>
      <xdr:row>0</xdr:row>
      <xdr:rowOff>0</xdr:rowOff>
    </xdr:from>
    <xdr:to>
      <xdr:col>12</xdr:col>
      <xdr:colOff>106616</xdr:colOff>
      <xdr:row>0</xdr:row>
      <xdr:rowOff>293274</xdr:rowOff>
    </xdr:to>
    <xdr:sp macro="" textlink="">
      <xdr:nvSpPr>
        <xdr:cNvPr id="2" name="五边形 1">
          <a:hlinkClick xmlns:r="http://schemas.openxmlformats.org/officeDocument/2006/relationships" r:id="rId8"/>
          <a:extLst>
            <a:ext uri="{FF2B5EF4-FFF2-40B4-BE49-F238E27FC236}">
              <a16:creationId xmlns:a16="http://schemas.microsoft.com/office/drawing/2014/main" id="{00000000-0008-0000-6900-000002000000}"/>
            </a:ext>
          </a:extLst>
        </xdr:cNvPr>
        <xdr:cNvSpPr>
          <a:spLocks noChangeAspect="1"/>
        </xdr:cNvSpPr>
      </xdr:nvSpPr>
      <xdr:spPr>
        <a:xfrm flipH="1">
          <a:off x="673473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11</xdr:col>
      <xdr:colOff>31115</xdr:colOff>
      <xdr:row>24</xdr:row>
      <xdr:rowOff>122555</xdr:rowOff>
    </xdr:from>
    <xdr:to>
      <xdr:col>12</xdr:col>
      <xdr:colOff>601980</xdr:colOff>
      <xdr:row>27</xdr:row>
      <xdr:rowOff>30480</xdr:rowOff>
    </xdr:to>
    <xdr:sp macro="" textlink="">
      <xdr:nvSpPr>
        <xdr:cNvPr id="1210378" name="AutoShape 1">
          <a:extLst>
            <a:ext uri="{FF2B5EF4-FFF2-40B4-BE49-F238E27FC236}">
              <a16:creationId xmlns:a16="http://schemas.microsoft.com/office/drawing/2014/main" id="{00000000-0008-0000-6A00-00000A781200}"/>
            </a:ext>
          </a:extLst>
        </xdr:cNvPr>
        <xdr:cNvSpPr/>
      </xdr:nvSpPr>
      <xdr:spPr>
        <a:xfrm>
          <a:off x="8956040" y="5570855"/>
          <a:ext cx="1256665" cy="593725"/>
        </a:xfrm>
        <a:prstGeom prst="rightArrow">
          <a:avLst>
            <a:gd name="adj1" fmla="val 4027"/>
            <a:gd name="adj2" fmla="val 104564"/>
          </a:avLst>
        </a:prstGeom>
        <a:solidFill>
          <a:srgbClr val="FF0000">
            <a:alpha val="100000"/>
          </a:srgbClr>
        </a:solidFill>
        <a:ln w="9525" cap="flat" cmpd="sng">
          <a:solidFill>
            <a:srgbClr val="000000"/>
          </a:solidFill>
          <a:prstDash val="solid"/>
          <a:miter/>
          <a:headEnd type="none" w="med" len="med"/>
          <a:tailEnd type="none" w="med" len="med"/>
        </a:ln>
      </xdr:spPr>
    </xdr:sp>
    <xdr:clientData/>
  </xdr:twoCellAnchor>
  <xdr:twoCellAnchor editAs="absolute">
    <xdr:from>
      <xdr:col>0</xdr:col>
      <xdr:colOff>0</xdr:colOff>
      <xdr:row>0</xdr:row>
      <xdr:rowOff>0</xdr:rowOff>
    </xdr:from>
    <xdr:to>
      <xdr:col>1</xdr:col>
      <xdr:colOff>98612</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274144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B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0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274144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95410</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D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8</xdr:col>
      <xdr:colOff>22860</xdr:colOff>
      <xdr:row>10</xdr:row>
      <xdr:rowOff>0</xdr:rowOff>
    </xdr:from>
    <xdr:to>
      <xdr:col>8</xdr:col>
      <xdr:colOff>213360</xdr:colOff>
      <xdr:row>10</xdr:row>
      <xdr:rowOff>0</xdr:rowOff>
    </xdr:to>
    <xdr:sp macro="" textlink="">
      <xdr:nvSpPr>
        <xdr:cNvPr id="1211960" name="Line 1">
          <a:extLst>
            <a:ext uri="{FF2B5EF4-FFF2-40B4-BE49-F238E27FC236}">
              <a16:creationId xmlns:a16="http://schemas.microsoft.com/office/drawing/2014/main" id="{00000000-0008-0000-6E00-0000387E1200}"/>
            </a:ext>
          </a:extLst>
        </xdr:cNvPr>
        <xdr:cNvSpPr/>
      </xdr:nvSpPr>
      <xdr:spPr>
        <a:xfrm>
          <a:off x="2004060" y="19411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22860</xdr:colOff>
      <xdr:row>10</xdr:row>
      <xdr:rowOff>0</xdr:rowOff>
    </xdr:from>
    <xdr:to>
      <xdr:col>9</xdr:col>
      <xdr:colOff>213360</xdr:colOff>
      <xdr:row>10</xdr:row>
      <xdr:rowOff>0</xdr:rowOff>
    </xdr:to>
    <xdr:sp macro="" textlink="">
      <xdr:nvSpPr>
        <xdr:cNvPr id="1211961" name="Line 2">
          <a:extLst>
            <a:ext uri="{FF2B5EF4-FFF2-40B4-BE49-F238E27FC236}">
              <a16:creationId xmlns:a16="http://schemas.microsoft.com/office/drawing/2014/main" id="{00000000-0008-0000-6E00-0000397E1200}"/>
            </a:ext>
          </a:extLst>
        </xdr:cNvPr>
        <xdr:cNvSpPr/>
      </xdr:nvSpPr>
      <xdr:spPr>
        <a:xfrm>
          <a:off x="2251710" y="19411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10</xdr:row>
      <xdr:rowOff>0</xdr:rowOff>
    </xdr:from>
    <xdr:to>
      <xdr:col>10</xdr:col>
      <xdr:colOff>213360</xdr:colOff>
      <xdr:row>10</xdr:row>
      <xdr:rowOff>0</xdr:rowOff>
    </xdr:to>
    <xdr:sp macro="" textlink="">
      <xdr:nvSpPr>
        <xdr:cNvPr id="1211962" name="Line 3">
          <a:extLst>
            <a:ext uri="{FF2B5EF4-FFF2-40B4-BE49-F238E27FC236}">
              <a16:creationId xmlns:a16="http://schemas.microsoft.com/office/drawing/2014/main" id="{00000000-0008-0000-6E00-00003A7E1200}"/>
            </a:ext>
          </a:extLst>
        </xdr:cNvPr>
        <xdr:cNvSpPr/>
      </xdr:nvSpPr>
      <xdr:spPr>
        <a:xfrm>
          <a:off x="2499360" y="19411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38100</xdr:colOff>
      <xdr:row>10</xdr:row>
      <xdr:rowOff>0</xdr:rowOff>
    </xdr:from>
    <xdr:to>
      <xdr:col>11</xdr:col>
      <xdr:colOff>228600</xdr:colOff>
      <xdr:row>10</xdr:row>
      <xdr:rowOff>0</xdr:rowOff>
    </xdr:to>
    <xdr:sp macro="" textlink="">
      <xdr:nvSpPr>
        <xdr:cNvPr id="1211963" name="Line 4">
          <a:extLst>
            <a:ext uri="{FF2B5EF4-FFF2-40B4-BE49-F238E27FC236}">
              <a16:creationId xmlns:a16="http://schemas.microsoft.com/office/drawing/2014/main" id="{00000000-0008-0000-6E00-00003B7E1200}"/>
            </a:ext>
          </a:extLst>
        </xdr:cNvPr>
        <xdr:cNvSpPr/>
      </xdr:nvSpPr>
      <xdr:spPr>
        <a:xfrm>
          <a:off x="2762250" y="19411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22860</xdr:colOff>
      <xdr:row>10</xdr:row>
      <xdr:rowOff>0</xdr:rowOff>
    </xdr:from>
    <xdr:to>
      <xdr:col>12</xdr:col>
      <xdr:colOff>213360</xdr:colOff>
      <xdr:row>10</xdr:row>
      <xdr:rowOff>0</xdr:rowOff>
    </xdr:to>
    <xdr:sp macro="" textlink="">
      <xdr:nvSpPr>
        <xdr:cNvPr id="1211964" name="Line 5">
          <a:extLst>
            <a:ext uri="{FF2B5EF4-FFF2-40B4-BE49-F238E27FC236}">
              <a16:creationId xmlns:a16="http://schemas.microsoft.com/office/drawing/2014/main" id="{00000000-0008-0000-6E00-00003C7E1200}"/>
            </a:ext>
          </a:extLst>
        </xdr:cNvPr>
        <xdr:cNvSpPr/>
      </xdr:nvSpPr>
      <xdr:spPr>
        <a:xfrm>
          <a:off x="2994660" y="19411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45720</xdr:colOff>
      <xdr:row>17</xdr:row>
      <xdr:rowOff>183515</xdr:rowOff>
    </xdr:from>
    <xdr:to>
      <xdr:col>8</xdr:col>
      <xdr:colOff>236220</xdr:colOff>
      <xdr:row>17</xdr:row>
      <xdr:rowOff>183515</xdr:rowOff>
    </xdr:to>
    <xdr:sp macro="" textlink="">
      <xdr:nvSpPr>
        <xdr:cNvPr id="1211965" name="Line 20">
          <a:extLst>
            <a:ext uri="{FF2B5EF4-FFF2-40B4-BE49-F238E27FC236}">
              <a16:creationId xmlns:a16="http://schemas.microsoft.com/office/drawing/2014/main" id="{00000000-0008-0000-6E00-00003D7E1200}"/>
            </a:ext>
          </a:extLst>
        </xdr:cNvPr>
        <xdr:cNvSpPr/>
      </xdr:nvSpPr>
      <xdr:spPr>
        <a:xfrm>
          <a:off x="2026920" y="33889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53340</xdr:colOff>
      <xdr:row>17</xdr:row>
      <xdr:rowOff>183515</xdr:rowOff>
    </xdr:from>
    <xdr:to>
      <xdr:col>9</xdr:col>
      <xdr:colOff>243840</xdr:colOff>
      <xdr:row>17</xdr:row>
      <xdr:rowOff>183515</xdr:rowOff>
    </xdr:to>
    <xdr:sp macro="" textlink="">
      <xdr:nvSpPr>
        <xdr:cNvPr id="1211966" name="Line 21">
          <a:extLst>
            <a:ext uri="{FF2B5EF4-FFF2-40B4-BE49-F238E27FC236}">
              <a16:creationId xmlns:a16="http://schemas.microsoft.com/office/drawing/2014/main" id="{00000000-0008-0000-6E00-00003E7E1200}"/>
            </a:ext>
          </a:extLst>
        </xdr:cNvPr>
        <xdr:cNvSpPr/>
      </xdr:nvSpPr>
      <xdr:spPr>
        <a:xfrm>
          <a:off x="2282190" y="33889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53340</xdr:colOff>
      <xdr:row>17</xdr:row>
      <xdr:rowOff>198120</xdr:rowOff>
    </xdr:from>
    <xdr:to>
      <xdr:col>11</xdr:col>
      <xdr:colOff>243840</xdr:colOff>
      <xdr:row>18</xdr:row>
      <xdr:rowOff>7620</xdr:rowOff>
    </xdr:to>
    <xdr:sp macro="" textlink="">
      <xdr:nvSpPr>
        <xdr:cNvPr id="1211967" name="Line 23">
          <a:extLst>
            <a:ext uri="{FF2B5EF4-FFF2-40B4-BE49-F238E27FC236}">
              <a16:creationId xmlns:a16="http://schemas.microsoft.com/office/drawing/2014/main" id="{00000000-0008-0000-6E00-00003F7E1200}"/>
            </a:ext>
          </a:extLst>
        </xdr:cNvPr>
        <xdr:cNvSpPr/>
      </xdr:nvSpPr>
      <xdr:spPr>
        <a:xfrm>
          <a:off x="2777490" y="33889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22860</xdr:colOff>
      <xdr:row>26</xdr:row>
      <xdr:rowOff>0</xdr:rowOff>
    </xdr:from>
    <xdr:to>
      <xdr:col>8</xdr:col>
      <xdr:colOff>213360</xdr:colOff>
      <xdr:row>26</xdr:row>
      <xdr:rowOff>0</xdr:rowOff>
    </xdr:to>
    <xdr:sp macro="" textlink="">
      <xdr:nvSpPr>
        <xdr:cNvPr id="1211968" name="Line 38">
          <a:extLst>
            <a:ext uri="{FF2B5EF4-FFF2-40B4-BE49-F238E27FC236}">
              <a16:creationId xmlns:a16="http://schemas.microsoft.com/office/drawing/2014/main" id="{00000000-0008-0000-6E00-0000407E1200}"/>
            </a:ext>
          </a:extLst>
        </xdr:cNvPr>
        <xdr:cNvSpPr/>
      </xdr:nvSpPr>
      <xdr:spPr>
        <a:xfrm>
          <a:off x="2004060" y="48367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38100</xdr:colOff>
      <xdr:row>26</xdr:row>
      <xdr:rowOff>0</xdr:rowOff>
    </xdr:from>
    <xdr:to>
      <xdr:col>9</xdr:col>
      <xdr:colOff>228600</xdr:colOff>
      <xdr:row>26</xdr:row>
      <xdr:rowOff>0</xdr:rowOff>
    </xdr:to>
    <xdr:sp macro="" textlink="">
      <xdr:nvSpPr>
        <xdr:cNvPr id="1211969" name="Line 39">
          <a:extLst>
            <a:ext uri="{FF2B5EF4-FFF2-40B4-BE49-F238E27FC236}">
              <a16:creationId xmlns:a16="http://schemas.microsoft.com/office/drawing/2014/main" id="{00000000-0008-0000-6E00-0000417E1200}"/>
            </a:ext>
          </a:extLst>
        </xdr:cNvPr>
        <xdr:cNvSpPr/>
      </xdr:nvSpPr>
      <xdr:spPr>
        <a:xfrm>
          <a:off x="2266950" y="48367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26</xdr:row>
      <xdr:rowOff>0</xdr:rowOff>
    </xdr:from>
    <xdr:to>
      <xdr:col>10</xdr:col>
      <xdr:colOff>213360</xdr:colOff>
      <xdr:row>26</xdr:row>
      <xdr:rowOff>0</xdr:rowOff>
    </xdr:to>
    <xdr:sp macro="" textlink="">
      <xdr:nvSpPr>
        <xdr:cNvPr id="1211970" name="Line 40">
          <a:extLst>
            <a:ext uri="{FF2B5EF4-FFF2-40B4-BE49-F238E27FC236}">
              <a16:creationId xmlns:a16="http://schemas.microsoft.com/office/drawing/2014/main" id="{00000000-0008-0000-6E00-0000427E1200}"/>
            </a:ext>
          </a:extLst>
        </xdr:cNvPr>
        <xdr:cNvSpPr/>
      </xdr:nvSpPr>
      <xdr:spPr>
        <a:xfrm>
          <a:off x="2499360" y="48367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38100</xdr:colOff>
      <xdr:row>26</xdr:row>
      <xdr:rowOff>0</xdr:rowOff>
    </xdr:from>
    <xdr:to>
      <xdr:col>11</xdr:col>
      <xdr:colOff>228600</xdr:colOff>
      <xdr:row>26</xdr:row>
      <xdr:rowOff>0</xdr:rowOff>
    </xdr:to>
    <xdr:sp macro="" textlink="">
      <xdr:nvSpPr>
        <xdr:cNvPr id="1211971" name="Line 41">
          <a:extLst>
            <a:ext uri="{FF2B5EF4-FFF2-40B4-BE49-F238E27FC236}">
              <a16:creationId xmlns:a16="http://schemas.microsoft.com/office/drawing/2014/main" id="{00000000-0008-0000-6E00-0000437E1200}"/>
            </a:ext>
          </a:extLst>
        </xdr:cNvPr>
        <xdr:cNvSpPr/>
      </xdr:nvSpPr>
      <xdr:spPr>
        <a:xfrm>
          <a:off x="2762250" y="48367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45720</xdr:colOff>
      <xdr:row>26</xdr:row>
      <xdr:rowOff>0</xdr:rowOff>
    </xdr:from>
    <xdr:to>
      <xdr:col>12</xdr:col>
      <xdr:colOff>236220</xdr:colOff>
      <xdr:row>26</xdr:row>
      <xdr:rowOff>0</xdr:rowOff>
    </xdr:to>
    <xdr:sp macro="" textlink="">
      <xdr:nvSpPr>
        <xdr:cNvPr id="1211972" name="Line 42">
          <a:extLst>
            <a:ext uri="{FF2B5EF4-FFF2-40B4-BE49-F238E27FC236}">
              <a16:creationId xmlns:a16="http://schemas.microsoft.com/office/drawing/2014/main" id="{00000000-0008-0000-6E00-0000447E1200}"/>
            </a:ext>
          </a:extLst>
        </xdr:cNvPr>
        <xdr:cNvSpPr/>
      </xdr:nvSpPr>
      <xdr:spPr>
        <a:xfrm>
          <a:off x="3017520" y="483679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22860</xdr:colOff>
      <xdr:row>30</xdr:row>
      <xdr:rowOff>144780</xdr:rowOff>
    </xdr:from>
    <xdr:to>
      <xdr:col>8</xdr:col>
      <xdr:colOff>213360</xdr:colOff>
      <xdr:row>30</xdr:row>
      <xdr:rowOff>144780</xdr:rowOff>
    </xdr:to>
    <xdr:sp macro="" textlink="">
      <xdr:nvSpPr>
        <xdr:cNvPr id="1211973" name="Line 43">
          <a:extLst>
            <a:ext uri="{FF2B5EF4-FFF2-40B4-BE49-F238E27FC236}">
              <a16:creationId xmlns:a16="http://schemas.microsoft.com/office/drawing/2014/main" id="{00000000-0008-0000-6E00-0000457E1200}"/>
            </a:ext>
          </a:extLst>
        </xdr:cNvPr>
        <xdr:cNvSpPr/>
      </xdr:nvSpPr>
      <xdr:spPr>
        <a:xfrm>
          <a:off x="200406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53340</xdr:colOff>
      <xdr:row>30</xdr:row>
      <xdr:rowOff>144780</xdr:rowOff>
    </xdr:from>
    <xdr:to>
      <xdr:col>9</xdr:col>
      <xdr:colOff>243840</xdr:colOff>
      <xdr:row>30</xdr:row>
      <xdr:rowOff>144780</xdr:rowOff>
    </xdr:to>
    <xdr:sp macro="" textlink="">
      <xdr:nvSpPr>
        <xdr:cNvPr id="1211974" name="Line 44">
          <a:extLst>
            <a:ext uri="{FF2B5EF4-FFF2-40B4-BE49-F238E27FC236}">
              <a16:creationId xmlns:a16="http://schemas.microsoft.com/office/drawing/2014/main" id="{00000000-0008-0000-6E00-0000467E1200}"/>
            </a:ext>
          </a:extLst>
        </xdr:cNvPr>
        <xdr:cNvSpPr/>
      </xdr:nvSpPr>
      <xdr:spPr>
        <a:xfrm>
          <a:off x="228219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30</xdr:row>
      <xdr:rowOff>144780</xdr:rowOff>
    </xdr:from>
    <xdr:to>
      <xdr:col>10</xdr:col>
      <xdr:colOff>213360</xdr:colOff>
      <xdr:row>30</xdr:row>
      <xdr:rowOff>144780</xdr:rowOff>
    </xdr:to>
    <xdr:sp macro="" textlink="">
      <xdr:nvSpPr>
        <xdr:cNvPr id="1211975" name="Line 45">
          <a:extLst>
            <a:ext uri="{FF2B5EF4-FFF2-40B4-BE49-F238E27FC236}">
              <a16:creationId xmlns:a16="http://schemas.microsoft.com/office/drawing/2014/main" id="{00000000-0008-0000-6E00-0000477E1200}"/>
            </a:ext>
          </a:extLst>
        </xdr:cNvPr>
        <xdr:cNvSpPr/>
      </xdr:nvSpPr>
      <xdr:spPr>
        <a:xfrm>
          <a:off x="249936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15240</xdr:colOff>
      <xdr:row>30</xdr:row>
      <xdr:rowOff>144780</xdr:rowOff>
    </xdr:from>
    <xdr:to>
      <xdr:col>11</xdr:col>
      <xdr:colOff>205740</xdr:colOff>
      <xdr:row>30</xdr:row>
      <xdr:rowOff>144780</xdr:rowOff>
    </xdr:to>
    <xdr:sp macro="" textlink="">
      <xdr:nvSpPr>
        <xdr:cNvPr id="1211976" name="Line 46">
          <a:extLst>
            <a:ext uri="{FF2B5EF4-FFF2-40B4-BE49-F238E27FC236}">
              <a16:creationId xmlns:a16="http://schemas.microsoft.com/office/drawing/2014/main" id="{00000000-0008-0000-6E00-0000487E1200}"/>
            </a:ext>
          </a:extLst>
        </xdr:cNvPr>
        <xdr:cNvSpPr/>
      </xdr:nvSpPr>
      <xdr:spPr>
        <a:xfrm>
          <a:off x="273939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45720</xdr:colOff>
      <xdr:row>30</xdr:row>
      <xdr:rowOff>144780</xdr:rowOff>
    </xdr:from>
    <xdr:to>
      <xdr:col>12</xdr:col>
      <xdr:colOff>236220</xdr:colOff>
      <xdr:row>30</xdr:row>
      <xdr:rowOff>144780</xdr:rowOff>
    </xdr:to>
    <xdr:sp macro="" textlink="">
      <xdr:nvSpPr>
        <xdr:cNvPr id="1211977" name="Line 47">
          <a:extLst>
            <a:ext uri="{FF2B5EF4-FFF2-40B4-BE49-F238E27FC236}">
              <a16:creationId xmlns:a16="http://schemas.microsoft.com/office/drawing/2014/main" id="{00000000-0008-0000-6E00-0000497E1200}"/>
            </a:ext>
          </a:extLst>
        </xdr:cNvPr>
        <xdr:cNvSpPr/>
      </xdr:nvSpPr>
      <xdr:spPr>
        <a:xfrm>
          <a:off x="301752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45720</xdr:colOff>
      <xdr:row>33</xdr:row>
      <xdr:rowOff>6985</xdr:rowOff>
    </xdr:from>
    <xdr:to>
      <xdr:col>8</xdr:col>
      <xdr:colOff>236220</xdr:colOff>
      <xdr:row>33</xdr:row>
      <xdr:rowOff>6985</xdr:rowOff>
    </xdr:to>
    <xdr:sp macro="" textlink="">
      <xdr:nvSpPr>
        <xdr:cNvPr id="1211978" name="Line 48">
          <a:extLst>
            <a:ext uri="{FF2B5EF4-FFF2-40B4-BE49-F238E27FC236}">
              <a16:creationId xmlns:a16="http://schemas.microsoft.com/office/drawing/2014/main" id="{00000000-0008-0000-6E00-00004A7E1200}"/>
            </a:ext>
          </a:extLst>
        </xdr:cNvPr>
        <xdr:cNvSpPr/>
      </xdr:nvSpPr>
      <xdr:spPr>
        <a:xfrm>
          <a:off x="2026920" y="611060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38100</xdr:colOff>
      <xdr:row>33</xdr:row>
      <xdr:rowOff>6985</xdr:rowOff>
    </xdr:from>
    <xdr:to>
      <xdr:col>9</xdr:col>
      <xdr:colOff>228600</xdr:colOff>
      <xdr:row>33</xdr:row>
      <xdr:rowOff>6985</xdr:rowOff>
    </xdr:to>
    <xdr:sp macro="" textlink="">
      <xdr:nvSpPr>
        <xdr:cNvPr id="1211979" name="Line 49">
          <a:extLst>
            <a:ext uri="{FF2B5EF4-FFF2-40B4-BE49-F238E27FC236}">
              <a16:creationId xmlns:a16="http://schemas.microsoft.com/office/drawing/2014/main" id="{00000000-0008-0000-6E00-00004B7E1200}"/>
            </a:ext>
          </a:extLst>
        </xdr:cNvPr>
        <xdr:cNvSpPr/>
      </xdr:nvSpPr>
      <xdr:spPr>
        <a:xfrm>
          <a:off x="2266950" y="611060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38100</xdr:colOff>
      <xdr:row>33</xdr:row>
      <xdr:rowOff>6985</xdr:rowOff>
    </xdr:from>
    <xdr:to>
      <xdr:col>10</xdr:col>
      <xdr:colOff>228600</xdr:colOff>
      <xdr:row>33</xdr:row>
      <xdr:rowOff>6985</xdr:rowOff>
    </xdr:to>
    <xdr:sp macro="" textlink="">
      <xdr:nvSpPr>
        <xdr:cNvPr id="1211980" name="Line 50">
          <a:extLst>
            <a:ext uri="{FF2B5EF4-FFF2-40B4-BE49-F238E27FC236}">
              <a16:creationId xmlns:a16="http://schemas.microsoft.com/office/drawing/2014/main" id="{00000000-0008-0000-6E00-00004C7E1200}"/>
            </a:ext>
          </a:extLst>
        </xdr:cNvPr>
        <xdr:cNvSpPr/>
      </xdr:nvSpPr>
      <xdr:spPr>
        <a:xfrm>
          <a:off x="2514600" y="611060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45720</xdr:colOff>
      <xdr:row>33</xdr:row>
      <xdr:rowOff>6985</xdr:rowOff>
    </xdr:from>
    <xdr:to>
      <xdr:col>11</xdr:col>
      <xdr:colOff>236220</xdr:colOff>
      <xdr:row>33</xdr:row>
      <xdr:rowOff>6985</xdr:rowOff>
    </xdr:to>
    <xdr:sp macro="" textlink="">
      <xdr:nvSpPr>
        <xdr:cNvPr id="1211981" name="Line 51">
          <a:extLst>
            <a:ext uri="{FF2B5EF4-FFF2-40B4-BE49-F238E27FC236}">
              <a16:creationId xmlns:a16="http://schemas.microsoft.com/office/drawing/2014/main" id="{00000000-0008-0000-6E00-00004D7E1200}"/>
            </a:ext>
          </a:extLst>
        </xdr:cNvPr>
        <xdr:cNvSpPr/>
      </xdr:nvSpPr>
      <xdr:spPr>
        <a:xfrm>
          <a:off x="2769870" y="611060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38100</xdr:colOff>
      <xdr:row>33</xdr:row>
      <xdr:rowOff>6985</xdr:rowOff>
    </xdr:from>
    <xdr:to>
      <xdr:col>12</xdr:col>
      <xdr:colOff>228600</xdr:colOff>
      <xdr:row>33</xdr:row>
      <xdr:rowOff>6985</xdr:rowOff>
    </xdr:to>
    <xdr:sp macro="" textlink="">
      <xdr:nvSpPr>
        <xdr:cNvPr id="1211982" name="Line 52">
          <a:extLst>
            <a:ext uri="{FF2B5EF4-FFF2-40B4-BE49-F238E27FC236}">
              <a16:creationId xmlns:a16="http://schemas.microsoft.com/office/drawing/2014/main" id="{00000000-0008-0000-6E00-00004E7E1200}"/>
            </a:ext>
          </a:extLst>
        </xdr:cNvPr>
        <xdr:cNvSpPr/>
      </xdr:nvSpPr>
      <xdr:spPr>
        <a:xfrm>
          <a:off x="3009900" y="611060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22860</xdr:colOff>
      <xdr:row>34</xdr:row>
      <xdr:rowOff>198120</xdr:rowOff>
    </xdr:from>
    <xdr:to>
      <xdr:col>8</xdr:col>
      <xdr:colOff>213360</xdr:colOff>
      <xdr:row>35</xdr:row>
      <xdr:rowOff>7620</xdr:rowOff>
    </xdr:to>
    <xdr:sp macro="" textlink="">
      <xdr:nvSpPr>
        <xdr:cNvPr id="1211983" name="Line 53">
          <a:extLst>
            <a:ext uri="{FF2B5EF4-FFF2-40B4-BE49-F238E27FC236}">
              <a16:creationId xmlns:a16="http://schemas.microsoft.com/office/drawing/2014/main" id="{00000000-0008-0000-6E00-00004F7E1200}"/>
            </a:ext>
          </a:extLst>
        </xdr:cNvPr>
        <xdr:cNvSpPr/>
      </xdr:nvSpPr>
      <xdr:spPr>
        <a:xfrm>
          <a:off x="2004060" y="64750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38100</xdr:colOff>
      <xdr:row>34</xdr:row>
      <xdr:rowOff>198120</xdr:rowOff>
    </xdr:from>
    <xdr:to>
      <xdr:col>9</xdr:col>
      <xdr:colOff>228600</xdr:colOff>
      <xdr:row>35</xdr:row>
      <xdr:rowOff>7620</xdr:rowOff>
    </xdr:to>
    <xdr:sp macro="" textlink="">
      <xdr:nvSpPr>
        <xdr:cNvPr id="1211984" name="Line 54">
          <a:extLst>
            <a:ext uri="{FF2B5EF4-FFF2-40B4-BE49-F238E27FC236}">
              <a16:creationId xmlns:a16="http://schemas.microsoft.com/office/drawing/2014/main" id="{00000000-0008-0000-6E00-0000507E1200}"/>
            </a:ext>
          </a:extLst>
        </xdr:cNvPr>
        <xdr:cNvSpPr/>
      </xdr:nvSpPr>
      <xdr:spPr>
        <a:xfrm>
          <a:off x="2266950" y="64750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34</xdr:row>
      <xdr:rowOff>198120</xdr:rowOff>
    </xdr:from>
    <xdr:to>
      <xdr:col>10</xdr:col>
      <xdr:colOff>213360</xdr:colOff>
      <xdr:row>35</xdr:row>
      <xdr:rowOff>7620</xdr:rowOff>
    </xdr:to>
    <xdr:sp macro="" textlink="">
      <xdr:nvSpPr>
        <xdr:cNvPr id="1211985" name="Line 55">
          <a:extLst>
            <a:ext uri="{FF2B5EF4-FFF2-40B4-BE49-F238E27FC236}">
              <a16:creationId xmlns:a16="http://schemas.microsoft.com/office/drawing/2014/main" id="{00000000-0008-0000-6E00-0000517E1200}"/>
            </a:ext>
          </a:extLst>
        </xdr:cNvPr>
        <xdr:cNvSpPr/>
      </xdr:nvSpPr>
      <xdr:spPr>
        <a:xfrm>
          <a:off x="2499360" y="64750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22860</xdr:colOff>
      <xdr:row>34</xdr:row>
      <xdr:rowOff>198120</xdr:rowOff>
    </xdr:from>
    <xdr:to>
      <xdr:col>11</xdr:col>
      <xdr:colOff>213360</xdr:colOff>
      <xdr:row>35</xdr:row>
      <xdr:rowOff>7620</xdr:rowOff>
    </xdr:to>
    <xdr:sp macro="" textlink="">
      <xdr:nvSpPr>
        <xdr:cNvPr id="1211986" name="Line 56">
          <a:extLst>
            <a:ext uri="{FF2B5EF4-FFF2-40B4-BE49-F238E27FC236}">
              <a16:creationId xmlns:a16="http://schemas.microsoft.com/office/drawing/2014/main" id="{00000000-0008-0000-6E00-0000527E1200}"/>
            </a:ext>
          </a:extLst>
        </xdr:cNvPr>
        <xdr:cNvSpPr/>
      </xdr:nvSpPr>
      <xdr:spPr>
        <a:xfrm>
          <a:off x="2747010" y="64750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22860</xdr:colOff>
      <xdr:row>34</xdr:row>
      <xdr:rowOff>198120</xdr:rowOff>
    </xdr:from>
    <xdr:to>
      <xdr:col>12</xdr:col>
      <xdr:colOff>213360</xdr:colOff>
      <xdr:row>35</xdr:row>
      <xdr:rowOff>7620</xdr:rowOff>
    </xdr:to>
    <xdr:sp macro="" textlink="">
      <xdr:nvSpPr>
        <xdr:cNvPr id="1211987" name="Line 57">
          <a:extLst>
            <a:ext uri="{FF2B5EF4-FFF2-40B4-BE49-F238E27FC236}">
              <a16:creationId xmlns:a16="http://schemas.microsoft.com/office/drawing/2014/main" id="{00000000-0008-0000-6E00-0000537E1200}"/>
            </a:ext>
          </a:extLst>
        </xdr:cNvPr>
        <xdr:cNvSpPr/>
      </xdr:nvSpPr>
      <xdr:spPr>
        <a:xfrm>
          <a:off x="2994660" y="6475095"/>
          <a:ext cx="1905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15240</xdr:colOff>
      <xdr:row>30</xdr:row>
      <xdr:rowOff>144780</xdr:rowOff>
    </xdr:from>
    <xdr:to>
      <xdr:col>25</xdr:col>
      <xdr:colOff>205740</xdr:colOff>
      <xdr:row>30</xdr:row>
      <xdr:rowOff>144780</xdr:rowOff>
    </xdr:to>
    <xdr:sp macro="" textlink="">
      <xdr:nvSpPr>
        <xdr:cNvPr id="1211988" name="Line 71">
          <a:extLst>
            <a:ext uri="{FF2B5EF4-FFF2-40B4-BE49-F238E27FC236}">
              <a16:creationId xmlns:a16="http://schemas.microsoft.com/office/drawing/2014/main" id="{00000000-0008-0000-6E00-0000547E1200}"/>
            </a:ext>
          </a:extLst>
        </xdr:cNvPr>
        <xdr:cNvSpPr/>
      </xdr:nvSpPr>
      <xdr:spPr>
        <a:xfrm>
          <a:off x="6206490" y="570547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45720</xdr:colOff>
      <xdr:row>37</xdr:row>
      <xdr:rowOff>22225</xdr:rowOff>
    </xdr:from>
    <xdr:to>
      <xdr:col>21</xdr:col>
      <xdr:colOff>220980</xdr:colOff>
      <xdr:row>37</xdr:row>
      <xdr:rowOff>22225</xdr:rowOff>
    </xdr:to>
    <xdr:sp macro="" textlink="">
      <xdr:nvSpPr>
        <xdr:cNvPr id="1211989" name="Line 163">
          <a:extLst>
            <a:ext uri="{FF2B5EF4-FFF2-40B4-BE49-F238E27FC236}">
              <a16:creationId xmlns:a16="http://schemas.microsoft.com/office/drawing/2014/main" id="{00000000-0008-0000-6E00-0000557E1200}"/>
            </a:ext>
          </a:extLst>
        </xdr:cNvPr>
        <xdr:cNvSpPr/>
      </xdr:nvSpPr>
      <xdr:spPr>
        <a:xfrm>
          <a:off x="5246370" y="68592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38100</xdr:colOff>
      <xdr:row>37</xdr:row>
      <xdr:rowOff>22225</xdr:rowOff>
    </xdr:from>
    <xdr:to>
      <xdr:col>22</xdr:col>
      <xdr:colOff>213360</xdr:colOff>
      <xdr:row>37</xdr:row>
      <xdr:rowOff>22225</xdr:rowOff>
    </xdr:to>
    <xdr:sp macro="" textlink="">
      <xdr:nvSpPr>
        <xdr:cNvPr id="1211990" name="Line 164">
          <a:extLst>
            <a:ext uri="{FF2B5EF4-FFF2-40B4-BE49-F238E27FC236}">
              <a16:creationId xmlns:a16="http://schemas.microsoft.com/office/drawing/2014/main" id="{00000000-0008-0000-6E00-0000567E1200}"/>
            </a:ext>
          </a:extLst>
        </xdr:cNvPr>
        <xdr:cNvSpPr/>
      </xdr:nvSpPr>
      <xdr:spPr>
        <a:xfrm>
          <a:off x="5486400" y="68592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45720</xdr:colOff>
      <xdr:row>37</xdr:row>
      <xdr:rowOff>22225</xdr:rowOff>
    </xdr:from>
    <xdr:to>
      <xdr:col>23</xdr:col>
      <xdr:colOff>220980</xdr:colOff>
      <xdr:row>37</xdr:row>
      <xdr:rowOff>22225</xdr:rowOff>
    </xdr:to>
    <xdr:sp macro="" textlink="">
      <xdr:nvSpPr>
        <xdr:cNvPr id="1211991" name="Line 165">
          <a:extLst>
            <a:ext uri="{FF2B5EF4-FFF2-40B4-BE49-F238E27FC236}">
              <a16:creationId xmlns:a16="http://schemas.microsoft.com/office/drawing/2014/main" id="{00000000-0008-0000-6E00-0000577E1200}"/>
            </a:ext>
          </a:extLst>
        </xdr:cNvPr>
        <xdr:cNvSpPr/>
      </xdr:nvSpPr>
      <xdr:spPr>
        <a:xfrm>
          <a:off x="5741670" y="68592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38100</xdr:colOff>
      <xdr:row>37</xdr:row>
      <xdr:rowOff>37465</xdr:rowOff>
    </xdr:from>
    <xdr:to>
      <xdr:col>24</xdr:col>
      <xdr:colOff>213360</xdr:colOff>
      <xdr:row>37</xdr:row>
      <xdr:rowOff>37465</xdr:rowOff>
    </xdr:to>
    <xdr:sp macro="" textlink="">
      <xdr:nvSpPr>
        <xdr:cNvPr id="1211992" name="Line 166">
          <a:extLst>
            <a:ext uri="{FF2B5EF4-FFF2-40B4-BE49-F238E27FC236}">
              <a16:creationId xmlns:a16="http://schemas.microsoft.com/office/drawing/2014/main" id="{00000000-0008-0000-6E00-0000587E1200}"/>
            </a:ext>
          </a:extLst>
        </xdr:cNvPr>
        <xdr:cNvSpPr/>
      </xdr:nvSpPr>
      <xdr:spPr>
        <a:xfrm>
          <a:off x="5981700" y="687451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22860</xdr:colOff>
      <xdr:row>37</xdr:row>
      <xdr:rowOff>37465</xdr:rowOff>
    </xdr:from>
    <xdr:to>
      <xdr:col>25</xdr:col>
      <xdr:colOff>198120</xdr:colOff>
      <xdr:row>37</xdr:row>
      <xdr:rowOff>37465</xdr:rowOff>
    </xdr:to>
    <xdr:sp macro="" textlink="">
      <xdr:nvSpPr>
        <xdr:cNvPr id="1211993" name="Line 167">
          <a:extLst>
            <a:ext uri="{FF2B5EF4-FFF2-40B4-BE49-F238E27FC236}">
              <a16:creationId xmlns:a16="http://schemas.microsoft.com/office/drawing/2014/main" id="{00000000-0008-0000-6E00-0000597E1200}"/>
            </a:ext>
          </a:extLst>
        </xdr:cNvPr>
        <xdr:cNvSpPr/>
      </xdr:nvSpPr>
      <xdr:spPr>
        <a:xfrm>
          <a:off x="6214110" y="687451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43</xdr:row>
      <xdr:rowOff>129540</xdr:rowOff>
    </xdr:from>
    <xdr:to>
      <xdr:col>21</xdr:col>
      <xdr:colOff>213360</xdr:colOff>
      <xdr:row>43</xdr:row>
      <xdr:rowOff>129540</xdr:rowOff>
    </xdr:to>
    <xdr:sp macro="" textlink="">
      <xdr:nvSpPr>
        <xdr:cNvPr id="1211994" name="Line 169">
          <a:extLst>
            <a:ext uri="{FF2B5EF4-FFF2-40B4-BE49-F238E27FC236}">
              <a16:creationId xmlns:a16="http://schemas.microsoft.com/office/drawing/2014/main" id="{00000000-0008-0000-6E00-00005A7E1200}"/>
            </a:ext>
          </a:extLst>
        </xdr:cNvPr>
        <xdr:cNvSpPr/>
      </xdr:nvSpPr>
      <xdr:spPr>
        <a:xfrm>
          <a:off x="522351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43</xdr:row>
      <xdr:rowOff>129540</xdr:rowOff>
    </xdr:from>
    <xdr:to>
      <xdr:col>21</xdr:col>
      <xdr:colOff>213360</xdr:colOff>
      <xdr:row>43</xdr:row>
      <xdr:rowOff>129540</xdr:rowOff>
    </xdr:to>
    <xdr:sp macro="" textlink="">
      <xdr:nvSpPr>
        <xdr:cNvPr id="1211995" name="Line 170">
          <a:extLst>
            <a:ext uri="{FF2B5EF4-FFF2-40B4-BE49-F238E27FC236}">
              <a16:creationId xmlns:a16="http://schemas.microsoft.com/office/drawing/2014/main" id="{00000000-0008-0000-6E00-00005B7E1200}"/>
            </a:ext>
          </a:extLst>
        </xdr:cNvPr>
        <xdr:cNvSpPr/>
      </xdr:nvSpPr>
      <xdr:spPr>
        <a:xfrm>
          <a:off x="522351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38100</xdr:colOff>
      <xdr:row>43</xdr:row>
      <xdr:rowOff>129540</xdr:rowOff>
    </xdr:from>
    <xdr:to>
      <xdr:col>22</xdr:col>
      <xdr:colOff>228600</xdr:colOff>
      <xdr:row>43</xdr:row>
      <xdr:rowOff>129540</xdr:rowOff>
    </xdr:to>
    <xdr:sp macro="" textlink="">
      <xdr:nvSpPr>
        <xdr:cNvPr id="1211996" name="Line 171">
          <a:extLst>
            <a:ext uri="{FF2B5EF4-FFF2-40B4-BE49-F238E27FC236}">
              <a16:creationId xmlns:a16="http://schemas.microsoft.com/office/drawing/2014/main" id="{00000000-0008-0000-6E00-00005C7E1200}"/>
            </a:ext>
          </a:extLst>
        </xdr:cNvPr>
        <xdr:cNvSpPr/>
      </xdr:nvSpPr>
      <xdr:spPr>
        <a:xfrm>
          <a:off x="548640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22860</xdr:colOff>
      <xdr:row>43</xdr:row>
      <xdr:rowOff>129540</xdr:rowOff>
    </xdr:from>
    <xdr:to>
      <xdr:col>23</xdr:col>
      <xdr:colOff>213360</xdr:colOff>
      <xdr:row>43</xdr:row>
      <xdr:rowOff>129540</xdr:rowOff>
    </xdr:to>
    <xdr:sp macro="" textlink="">
      <xdr:nvSpPr>
        <xdr:cNvPr id="1211997" name="Line 172">
          <a:extLst>
            <a:ext uri="{FF2B5EF4-FFF2-40B4-BE49-F238E27FC236}">
              <a16:creationId xmlns:a16="http://schemas.microsoft.com/office/drawing/2014/main" id="{00000000-0008-0000-6E00-00005D7E1200}"/>
            </a:ext>
          </a:extLst>
        </xdr:cNvPr>
        <xdr:cNvSpPr/>
      </xdr:nvSpPr>
      <xdr:spPr>
        <a:xfrm>
          <a:off x="571881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38100</xdr:colOff>
      <xdr:row>43</xdr:row>
      <xdr:rowOff>129540</xdr:rowOff>
    </xdr:from>
    <xdr:to>
      <xdr:col>24</xdr:col>
      <xdr:colOff>228600</xdr:colOff>
      <xdr:row>43</xdr:row>
      <xdr:rowOff>129540</xdr:rowOff>
    </xdr:to>
    <xdr:sp macro="" textlink="">
      <xdr:nvSpPr>
        <xdr:cNvPr id="1211998" name="Line 173">
          <a:extLst>
            <a:ext uri="{FF2B5EF4-FFF2-40B4-BE49-F238E27FC236}">
              <a16:creationId xmlns:a16="http://schemas.microsoft.com/office/drawing/2014/main" id="{00000000-0008-0000-6E00-00005E7E1200}"/>
            </a:ext>
          </a:extLst>
        </xdr:cNvPr>
        <xdr:cNvSpPr/>
      </xdr:nvSpPr>
      <xdr:spPr>
        <a:xfrm>
          <a:off x="598170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22860</xdr:colOff>
      <xdr:row>43</xdr:row>
      <xdr:rowOff>129540</xdr:rowOff>
    </xdr:from>
    <xdr:to>
      <xdr:col>25</xdr:col>
      <xdr:colOff>213360</xdr:colOff>
      <xdr:row>43</xdr:row>
      <xdr:rowOff>129540</xdr:rowOff>
    </xdr:to>
    <xdr:sp macro="" textlink="">
      <xdr:nvSpPr>
        <xdr:cNvPr id="1211999" name="Line 174">
          <a:extLst>
            <a:ext uri="{FF2B5EF4-FFF2-40B4-BE49-F238E27FC236}">
              <a16:creationId xmlns:a16="http://schemas.microsoft.com/office/drawing/2014/main" id="{00000000-0008-0000-6E00-00005F7E1200}"/>
            </a:ext>
          </a:extLst>
        </xdr:cNvPr>
        <xdr:cNvSpPr/>
      </xdr:nvSpPr>
      <xdr:spPr>
        <a:xfrm>
          <a:off x="6214110" y="8052435"/>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46</xdr:row>
      <xdr:rowOff>129540</xdr:rowOff>
    </xdr:from>
    <xdr:to>
      <xdr:col>21</xdr:col>
      <xdr:colOff>213360</xdr:colOff>
      <xdr:row>46</xdr:row>
      <xdr:rowOff>129540</xdr:rowOff>
    </xdr:to>
    <xdr:sp macro="" textlink="">
      <xdr:nvSpPr>
        <xdr:cNvPr id="1212000" name="Line 175">
          <a:extLst>
            <a:ext uri="{FF2B5EF4-FFF2-40B4-BE49-F238E27FC236}">
              <a16:creationId xmlns:a16="http://schemas.microsoft.com/office/drawing/2014/main" id="{00000000-0008-0000-6E00-0000607E1200}"/>
            </a:ext>
          </a:extLst>
        </xdr:cNvPr>
        <xdr:cNvSpPr/>
      </xdr:nvSpPr>
      <xdr:spPr>
        <a:xfrm>
          <a:off x="522351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46</xdr:row>
      <xdr:rowOff>129540</xdr:rowOff>
    </xdr:from>
    <xdr:to>
      <xdr:col>21</xdr:col>
      <xdr:colOff>213360</xdr:colOff>
      <xdr:row>46</xdr:row>
      <xdr:rowOff>129540</xdr:rowOff>
    </xdr:to>
    <xdr:sp macro="" textlink="">
      <xdr:nvSpPr>
        <xdr:cNvPr id="1212001" name="Line 176">
          <a:extLst>
            <a:ext uri="{FF2B5EF4-FFF2-40B4-BE49-F238E27FC236}">
              <a16:creationId xmlns:a16="http://schemas.microsoft.com/office/drawing/2014/main" id="{00000000-0008-0000-6E00-0000617E1200}"/>
            </a:ext>
          </a:extLst>
        </xdr:cNvPr>
        <xdr:cNvSpPr/>
      </xdr:nvSpPr>
      <xdr:spPr>
        <a:xfrm>
          <a:off x="522351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38100</xdr:colOff>
      <xdr:row>46</xdr:row>
      <xdr:rowOff>129540</xdr:rowOff>
    </xdr:from>
    <xdr:to>
      <xdr:col>22</xdr:col>
      <xdr:colOff>228600</xdr:colOff>
      <xdr:row>46</xdr:row>
      <xdr:rowOff>129540</xdr:rowOff>
    </xdr:to>
    <xdr:sp macro="" textlink="">
      <xdr:nvSpPr>
        <xdr:cNvPr id="1212002" name="Line 177">
          <a:extLst>
            <a:ext uri="{FF2B5EF4-FFF2-40B4-BE49-F238E27FC236}">
              <a16:creationId xmlns:a16="http://schemas.microsoft.com/office/drawing/2014/main" id="{00000000-0008-0000-6E00-0000627E1200}"/>
            </a:ext>
          </a:extLst>
        </xdr:cNvPr>
        <xdr:cNvSpPr/>
      </xdr:nvSpPr>
      <xdr:spPr>
        <a:xfrm>
          <a:off x="548640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22860</xdr:colOff>
      <xdr:row>46</xdr:row>
      <xdr:rowOff>129540</xdr:rowOff>
    </xdr:from>
    <xdr:to>
      <xdr:col>23</xdr:col>
      <xdr:colOff>213360</xdr:colOff>
      <xdr:row>46</xdr:row>
      <xdr:rowOff>129540</xdr:rowOff>
    </xdr:to>
    <xdr:sp macro="" textlink="">
      <xdr:nvSpPr>
        <xdr:cNvPr id="1212003" name="Line 178">
          <a:extLst>
            <a:ext uri="{FF2B5EF4-FFF2-40B4-BE49-F238E27FC236}">
              <a16:creationId xmlns:a16="http://schemas.microsoft.com/office/drawing/2014/main" id="{00000000-0008-0000-6E00-0000637E1200}"/>
            </a:ext>
          </a:extLst>
        </xdr:cNvPr>
        <xdr:cNvSpPr/>
      </xdr:nvSpPr>
      <xdr:spPr>
        <a:xfrm>
          <a:off x="571881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38100</xdr:colOff>
      <xdr:row>46</xdr:row>
      <xdr:rowOff>129540</xdr:rowOff>
    </xdr:from>
    <xdr:to>
      <xdr:col>24</xdr:col>
      <xdr:colOff>228600</xdr:colOff>
      <xdr:row>46</xdr:row>
      <xdr:rowOff>129540</xdr:rowOff>
    </xdr:to>
    <xdr:sp macro="" textlink="">
      <xdr:nvSpPr>
        <xdr:cNvPr id="1212004" name="Line 179">
          <a:extLst>
            <a:ext uri="{FF2B5EF4-FFF2-40B4-BE49-F238E27FC236}">
              <a16:creationId xmlns:a16="http://schemas.microsoft.com/office/drawing/2014/main" id="{00000000-0008-0000-6E00-0000647E1200}"/>
            </a:ext>
          </a:extLst>
        </xdr:cNvPr>
        <xdr:cNvSpPr/>
      </xdr:nvSpPr>
      <xdr:spPr>
        <a:xfrm>
          <a:off x="598170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22860</xdr:colOff>
      <xdr:row>46</xdr:row>
      <xdr:rowOff>129540</xdr:rowOff>
    </xdr:from>
    <xdr:to>
      <xdr:col>25</xdr:col>
      <xdr:colOff>213360</xdr:colOff>
      <xdr:row>46</xdr:row>
      <xdr:rowOff>129540</xdr:rowOff>
    </xdr:to>
    <xdr:sp macro="" textlink="">
      <xdr:nvSpPr>
        <xdr:cNvPr id="1212005" name="Line 180">
          <a:extLst>
            <a:ext uri="{FF2B5EF4-FFF2-40B4-BE49-F238E27FC236}">
              <a16:creationId xmlns:a16="http://schemas.microsoft.com/office/drawing/2014/main" id="{00000000-0008-0000-6E00-0000657E1200}"/>
            </a:ext>
          </a:extLst>
        </xdr:cNvPr>
        <xdr:cNvSpPr/>
      </xdr:nvSpPr>
      <xdr:spPr>
        <a:xfrm>
          <a:off x="6214110" y="859536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45720</xdr:colOff>
      <xdr:row>39</xdr:row>
      <xdr:rowOff>22225</xdr:rowOff>
    </xdr:from>
    <xdr:to>
      <xdr:col>21</xdr:col>
      <xdr:colOff>220980</xdr:colOff>
      <xdr:row>39</xdr:row>
      <xdr:rowOff>22225</xdr:rowOff>
    </xdr:to>
    <xdr:sp macro="" textlink="">
      <xdr:nvSpPr>
        <xdr:cNvPr id="1212006" name="Line 181">
          <a:extLst>
            <a:ext uri="{FF2B5EF4-FFF2-40B4-BE49-F238E27FC236}">
              <a16:creationId xmlns:a16="http://schemas.microsoft.com/office/drawing/2014/main" id="{00000000-0008-0000-6E00-0000667E1200}"/>
            </a:ext>
          </a:extLst>
        </xdr:cNvPr>
        <xdr:cNvSpPr/>
      </xdr:nvSpPr>
      <xdr:spPr>
        <a:xfrm>
          <a:off x="5246370" y="722122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38100</xdr:colOff>
      <xdr:row>39</xdr:row>
      <xdr:rowOff>22225</xdr:rowOff>
    </xdr:from>
    <xdr:to>
      <xdr:col>22</xdr:col>
      <xdr:colOff>213360</xdr:colOff>
      <xdr:row>39</xdr:row>
      <xdr:rowOff>22225</xdr:rowOff>
    </xdr:to>
    <xdr:sp macro="" textlink="">
      <xdr:nvSpPr>
        <xdr:cNvPr id="1212007" name="Line 182">
          <a:extLst>
            <a:ext uri="{FF2B5EF4-FFF2-40B4-BE49-F238E27FC236}">
              <a16:creationId xmlns:a16="http://schemas.microsoft.com/office/drawing/2014/main" id="{00000000-0008-0000-6E00-0000677E1200}"/>
            </a:ext>
          </a:extLst>
        </xdr:cNvPr>
        <xdr:cNvSpPr/>
      </xdr:nvSpPr>
      <xdr:spPr>
        <a:xfrm>
          <a:off x="5486400" y="722122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45720</xdr:colOff>
      <xdr:row>39</xdr:row>
      <xdr:rowOff>22225</xdr:rowOff>
    </xdr:from>
    <xdr:to>
      <xdr:col>23</xdr:col>
      <xdr:colOff>220980</xdr:colOff>
      <xdr:row>39</xdr:row>
      <xdr:rowOff>22225</xdr:rowOff>
    </xdr:to>
    <xdr:sp macro="" textlink="">
      <xdr:nvSpPr>
        <xdr:cNvPr id="1212008" name="Line 183">
          <a:extLst>
            <a:ext uri="{FF2B5EF4-FFF2-40B4-BE49-F238E27FC236}">
              <a16:creationId xmlns:a16="http://schemas.microsoft.com/office/drawing/2014/main" id="{00000000-0008-0000-6E00-0000687E1200}"/>
            </a:ext>
          </a:extLst>
        </xdr:cNvPr>
        <xdr:cNvSpPr/>
      </xdr:nvSpPr>
      <xdr:spPr>
        <a:xfrm>
          <a:off x="5741670" y="722122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38100</xdr:colOff>
      <xdr:row>39</xdr:row>
      <xdr:rowOff>37465</xdr:rowOff>
    </xdr:from>
    <xdr:to>
      <xdr:col>24</xdr:col>
      <xdr:colOff>213360</xdr:colOff>
      <xdr:row>39</xdr:row>
      <xdr:rowOff>37465</xdr:rowOff>
    </xdr:to>
    <xdr:sp macro="" textlink="">
      <xdr:nvSpPr>
        <xdr:cNvPr id="1212009" name="Line 184">
          <a:extLst>
            <a:ext uri="{FF2B5EF4-FFF2-40B4-BE49-F238E27FC236}">
              <a16:creationId xmlns:a16="http://schemas.microsoft.com/office/drawing/2014/main" id="{00000000-0008-0000-6E00-0000697E1200}"/>
            </a:ext>
          </a:extLst>
        </xdr:cNvPr>
        <xdr:cNvSpPr/>
      </xdr:nvSpPr>
      <xdr:spPr>
        <a:xfrm>
          <a:off x="5981700" y="723646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22860</xdr:colOff>
      <xdr:row>39</xdr:row>
      <xdr:rowOff>37465</xdr:rowOff>
    </xdr:from>
    <xdr:to>
      <xdr:col>25</xdr:col>
      <xdr:colOff>198120</xdr:colOff>
      <xdr:row>39</xdr:row>
      <xdr:rowOff>37465</xdr:rowOff>
    </xdr:to>
    <xdr:sp macro="" textlink="">
      <xdr:nvSpPr>
        <xdr:cNvPr id="1212010" name="Line 185">
          <a:extLst>
            <a:ext uri="{FF2B5EF4-FFF2-40B4-BE49-F238E27FC236}">
              <a16:creationId xmlns:a16="http://schemas.microsoft.com/office/drawing/2014/main" id="{00000000-0008-0000-6E00-00006A7E1200}"/>
            </a:ext>
          </a:extLst>
        </xdr:cNvPr>
        <xdr:cNvSpPr/>
      </xdr:nvSpPr>
      <xdr:spPr>
        <a:xfrm>
          <a:off x="6214110" y="723646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45720</xdr:colOff>
      <xdr:row>41</xdr:row>
      <xdr:rowOff>22225</xdr:rowOff>
    </xdr:from>
    <xdr:to>
      <xdr:col>21</xdr:col>
      <xdr:colOff>220980</xdr:colOff>
      <xdr:row>41</xdr:row>
      <xdr:rowOff>22225</xdr:rowOff>
    </xdr:to>
    <xdr:sp macro="" textlink="">
      <xdr:nvSpPr>
        <xdr:cNvPr id="1212011" name="Line 186">
          <a:extLst>
            <a:ext uri="{FF2B5EF4-FFF2-40B4-BE49-F238E27FC236}">
              <a16:creationId xmlns:a16="http://schemas.microsoft.com/office/drawing/2014/main" id="{00000000-0008-0000-6E00-00006B7E1200}"/>
            </a:ext>
          </a:extLst>
        </xdr:cNvPr>
        <xdr:cNvSpPr/>
      </xdr:nvSpPr>
      <xdr:spPr>
        <a:xfrm>
          <a:off x="5246370" y="75831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38100</xdr:colOff>
      <xdr:row>41</xdr:row>
      <xdr:rowOff>22225</xdr:rowOff>
    </xdr:from>
    <xdr:to>
      <xdr:col>22</xdr:col>
      <xdr:colOff>213360</xdr:colOff>
      <xdr:row>41</xdr:row>
      <xdr:rowOff>22225</xdr:rowOff>
    </xdr:to>
    <xdr:sp macro="" textlink="">
      <xdr:nvSpPr>
        <xdr:cNvPr id="1212012" name="Line 187">
          <a:extLst>
            <a:ext uri="{FF2B5EF4-FFF2-40B4-BE49-F238E27FC236}">
              <a16:creationId xmlns:a16="http://schemas.microsoft.com/office/drawing/2014/main" id="{00000000-0008-0000-6E00-00006C7E1200}"/>
            </a:ext>
          </a:extLst>
        </xdr:cNvPr>
        <xdr:cNvSpPr/>
      </xdr:nvSpPr>
      <xdr:spPr>
        <a:xfrm>
          <a:off x="5486400" y="75831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23</xdr:col>
      <xdr:colOff>45720</xdr:colOff>
      <xdr:row>41</xdr:row>
      <xdr:rowOff>22225</xdr:rowOff>
    </xdr:from>
    <xdr:to>
      <xdr:col>23</xdr:col>
      <xdr:colOff>220980</xdr:colOff>
      <xdr:row>41</xdr:row>
      <xdr:rowOff>22225</xdr:rowOff>
    </xdr:to>
    <xdr:sp macro="" textlink="">
      <xdr:nvSpPr>
        <xdr:cNvPr id="1212013" name="Line 188">
          <a:extLst>
            <a:ext uri="{FF2B5EF4-FFF2-40B4-BE49-F238E27FC236}">
              <a16:creationId xmlns:a16="http://schemas.microsoft.com/office/drawing/2014/main" id="{00000000-0008-0000-6E00-00006D7E1200}"/>
            </a:ext>
          </a:extLst>
        </xdr:cNvPr>
        <xdr:cNvSpPr/>
      </xdr:nvSpPr>
      <xdr:spPr>
        <a:xfrm>
          <a:off x="5741670" y="758317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24</xdr:col>
      <xdr:colOff>38100</xdr:colOff>
      <xdr:row>41</xdr:row>
      <xdr:rowOff>37465</xdr:rowOff>
    </xdr:from>
    <xdr:to>
      <xdr:col>24</xdr:col>
      <xdr:colOff>213360</xdr:colOff>
      <xdr:row>41</xdr:row>
      <xdr:rowOff>37465</xdr:rowOff>
    </xdr:to>
    <xdr:sp macro="" textlink="">
      <xdr:nvSpPr>
        <xdr:cNvPr id="1212014" name="Line 189">
          <a:extLst>
            <a:ext uri="{FF2B5EF4-FFF2-40B4-BE49-F238E27FC236}">
              <a16:creationId xmlns:a16="http://schemas.microsoft.com/office/drawing/2014/main" id="{00000000-0008-0000-6E00-00006E7E1200}"/>
            </a:ext>
          </a:extLst>
        </xdr:cNvPr>
        <xdr:cNvSpPr/>
      </xdr:nvSpPr>
      <xdr:spPr>
        <a:xfrm>
          <a:off x="5981700" y="759841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22860</xdr:colOff>
      <xdr:row>41</xdr:row>
      <xdr:rowOff>37465</xdr:rowOff>
    </xdr:from>
    <xdr:to>
      <xdr:col>25</xdr:col>
      <xdr:colOff>198120</xdr:colOff>
      <xdr:row>41</xdr:row>
      <xdr:rowOff>37465</xdr:rowOff>
    </xdr:to>
    <xdr:sp macro="" textlink="">
      <xdr:nvSpPr>
        <xdr:cNvPr id="1212015" name="Line 190">
          <a:extLst>
            <a:ext uri="{FF2B5EF4-FFF2-40B4-BE49-F238E27FC236}">
              <a16:creationId xmlns:a16="http://schemas.microsoft.com/office/drawing/2014/main" id="{00000000-0008-0000-6E00-00006F7E1200}"/>
            </a:ext>
          </a:extLst>
        </xdr:cNvPr>
        <xdr:cNvSpPr/>
      </xdr:nvSpPr>
      <xdr:spPr>
        <a:xfrm>
          <a:off x="6214110" y="7598410"/>
          <a:ext cx="17526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38100</xdr:colOff>
      <xdr:row>33</xdr:row>
      <xdr:rowOff>0</xdr:rowOff>
    </xdr:from>
    <xdr:to>
      <xdr:col>25</xdr:col>
      <xdr:colOff>228600</xdr:colOff>
      <xdr:row>33</xdr:row>
      <xdr:rowOff>0</xdr:rowOff>
    </xdr:to>
    <xdr:sp macro="" textlink="">
      <xdr:nvSpPr>
        <xdr:cNvPr id="1212016" name="Line 191">
          <a:extLst>
            <a:ext uri="{FF2B5EF4-FFF2-40B4-BE49-F238E27FC236}">
              <a16:creationId xmlns:a16="http://schemas.microsoft.com/office/drawing/2014/main" id="{00000000-0008-0000-6E00-0000707E1200}"/>
            </a:ext>
          </a:extLst>
        </xdr:cNvPr>
        <xdr:cNvSpPr/>
      </xdr:nvSpPr>
      <xdr:spPr>
        <a:xfrm>
          <a:off x="6229350" y="610362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15240</xdr:colOff>
      <xdr:row>35</xdr:row>
      <xdr:rowOff>6985</xdr:rowOff>
    </xdr:from>
    <xdr:to>
      <xdr:col>25</xdr:col>
      <xdr:colOff>205740</xdr:colOff>
      <xdr:row>35</xdr:row>
      <xdr:rowOff>6985</xdr:rowOff>
    </xdr:to>
    <xdr:sp macro="" textlink="">
      <xdr:nvSpPr>
        <xdr:cNvPr id="1212017" name="Line 192">
          <a:extLst>
            <a:ext uri="{FF2B5EF4-FFF2-40B4-BE49-F238E27FC236}">
              <a16:creationId xmlns:a16="http://schemas.microsoft.com/office/drawing/2014/main" id="{00000000-0008-0000-6E00-0000717E1200}"/>
            </a:ext>
          </a:extLst>
        </xdr:cNvPr>
        <xdr:cNvSpPr/>
      </xdr:nvSpPr>
      <xdr:spPr>
        <a:xfrm>
          <a:off x="6206490" y="6482080"/>
          <a:ext cx="19050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8</xdr:col>
      <xdr:colOff>7620</xdr:colOff>
      <xdr:row>24</xdr:row>
      <xdr:rowOff>198120</xdr:rowOff>
    </xdr:from>
    <xdr:to>
      <xdr:col>8</xdr:col>
      <xdr:colOff>236220</xdr:colOff>
      <xdr:row>25</xdr:row>
      <xdr:rowOff>7620</xdr:rowOff>
    </xdr:to>
    <xdr:sp macro="" textlink="">
      <xdr:nvSpPr>
        <xdr:cNvPr id="1212018" name="Line 193">
          <a:extLst>
            <a:ext uri="{FF2B5EF4-FFF2-40B4-BE49-F238E27FC236}">
              <a16:creationId xmlns:a16="http://schemas.microsoft.com/office/drawing/2014/main" id="{00000000-0008-0000-6E00-0000727E1200}"/>
            </a:ext>
          </a:extLst>
        </xdr:cNvPr>
        <xdr:cNvSpPr/>
      </xdr:nvSpPr>
      <xdr:spPr>
        <a:xfrm>
          <a:off x="1988820" y="4655820"/>
          <a:ext cx="2286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9</xdr:col>
      <xdr:colOff>15240</xdr:colOff>
      <xdr:row>24</xdr:row>
      <xdr:rowOff>198120</xdr:rowOff>
    </xdr:from>
    <xdr:to>
      <xdr:col>9</xdr:col>
      <xdr:colOff>243840</xdr:colOff>
      <xdr:row>25</xdr:row>
      <xdr:rowOff>7620</xdr:rowOff>
    </xdr:to>
    <xdr:sp macro="" textlink="">
      <xdr:nvSpPr>
        <xdr:cNvPr id="1212019" name="Line 194">
          <a:extLst>
            <a:ext uri="{FF2B5EF4-FFF2-40B4-BE49-F238E27FC236}">
              <a16:creationId xmlns:a16="http://schemas.microsoft.com/office/drawing/2014/main" id="{00000000-0008-0000-6E00-0000737E1200}"/>
            </a:ext>
          </a:extLst>
        </xdr:cNvPr>
        <xdr:cNvSpPr/>
      </xdr:nvSpPr>
      <xdr:spPr>
        <a:xfrm>
          <a:off x="2244090" y="4655820"/>
          <a:ext cx="22860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24</xdr:row>
      <xdr:rowOff>198120</xdr:rowOff>
    </xdr:from>
    <xdr:to>
      <xdr:col>11</xdr:col>
      <xdr:colOff>0</xdr:colOff>
      <xdr:row>25</xdr:row>
      <xdr:rowOff>7620</xdr:rowOff>
    </xdr:to>
    <xdr:sp macro="" textlink="">
      <xdr:nvSpPr>
        <xdr:cNvPr id="1212020" name="Line 195">
          <a:extLst>
            <a:ext uri="{FF2B5EF4-FFF2-40B4-BE49-F238E27FC236}">
              <a16:creationId xmlns:a16="http://schemas.microsoft.com/office/drawing/2014/main" id="{00000000-0008-0000-6E00-0000747E1200}"/>
            </a:ext>
          </a:extLst>
        </xdr:cNvPr>
        <xdr:cNvSpPr/>
      </xdr:nvSpPr>
      <xdr:spPr>
        <a:xfrm>
          <a:off x="2499360" y="4655820"/>
          <a:ext cx="22479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11</xdr:col>
      <xdr:colOff>38100</xdr:colOff>
      <xdr:row>24</xdr:row>
      <xdr:rowOff>198120</xdr:rowOff>
    </xdr:from>
    <xdr:to>
      <xdr:col>12</xdr:col>
      <xdr:colOff>7620</xdr:colOff>
      <xdr:row>25</xdr:row>
      <xdr:rowOff>7620</xdr:rowOff>
    </xdr:to>
    <xdr:sp macro="" textlink="">
      <xdr:nvSpPr>
        <xdr:cNvPr id="1212021" name="Line 196">
          <a:extLst>
            <a:ext uri="{FF2B5EF4-FFF2-40B4-BE49-F238E27FC236}">
              <a16:creationId xmlns:a16="http://schemas.microsoft.com/office/drawing/2014/main" id="{00000000-0008-0000-6E00-0000757E1200}"/>
            </a:ext>
          </a:extLst>
        </xdr:cNvPr>
        <xdr:cNvSpPr/>
      </xdr:nvSpPr>
      <xdr:spPr>
        <a:xfrm>
          <a:off x="2762250" y="4655820"/>
          <a:ext cx="217170" cy="7620"/>
        </a:xfrm>
        <a:prstGeom prst="line">
          <a:avLst/>
        </a:prstGeom>
        <a:ln w="9525" cap="flat" cmpd="sng">
          <a:solidFill>
            <a:srgbClr val="000000"/>
          </a:solidFill>
          <a:prstDash val="solid"/>
          <a:round/>
          <a:headEnd type="none" w="med" len="med"/>
          <a:tailEnd type="none" w="med" len="med"/>
        </a:ln>
      </xdr:spPr>
    </xdr:sp>
    <xdr:clientData/>
  </xdr:twoCellAnchor>
  <xdr:twoCellAnchor>
    <xdr:from>
      <xdr:col>12</xdr:col>
      <xdr:colOff>22860</xdr:colOff>
      <xdr:row>24</xdr:row>
      <xdr:rowOff>198120</xdr:rowOff>
    </xdr:from>
    <xdr:to>
      <xdr:col>13</xdr:col>
      <xdr:colOff>0</xdr:colOff>
      <xdr:row>25</xdr:row>
      <xdr:rowOff>7620</xdr:rowOff>
    </xdr:to>
    <xdr:sp macro="" textlink="">
      <xdr:nvSpPr>
        <xdr:cNvPr id="1212022" name="Line 197">
          <a:extLst>
            <a:ext uri="{FF2B5EF4-FFF2-40B4-BE49-F238E27FC236}">
              <a16:creationId xmlns:a16="http://schemas.microsoft.com/office/drawing/2014/main" id="{00000000-0008-0000-6E00-0000767E1200}"/>
            </a:ext>
          </a:extLst>
        </xdr:cNvPr>
        <xdr:cNvSpPr/>
      </xdr:nvSpPr>
      <xdr:spPr>
        <a:xfrm>
          <a:off x="2994660" y="4655820"/>
          <a:ext cx="224790" cy="7620"/>
        </a:xfrm>
        <a:prstGeom prst="line">
          <a:avLst/>
        </a:prstGeom>
        <a:ln w="9525" cap="flat" cmpd="sng">
          <a:solidFill>
            <a:srgbClr val="000000"/>
          </a:solidFill>
          <a:prstDash val="solid"/>
          <a:round/>
          <a:headEnd type="none" w="med" len="med"/>
          <a:tailEnd type="none" w="med" len="med"/>
        </a:ln>
      </xdr:spPr>
    </xdr:sp>
    <xdr:clientData/>
  </xdr:twoCellAnchor>
  <mc:AlternateContent xmlns:mc="http://schemas.openxmlformats.org/markup-compatibility/2006">
    <mc:Choice xmlns:a14="http://schemas.microsoft.com/office/drawing/2010/main" Requires="a14">
      <xdr:twoCellAnchor>
        <xdr:from>
          <xdr:col>18</xdr:col>
          <xdr:colOff>38100</xdr:colOff>
          <xdr:row>13</xdr:row>
          <xdr:rowOff>0</xdr:rowOff>
        </xdr:from>
        <xdr:to>
          <xdr:col>18</xdr:col>
          <xdr:colOff>142875</xdr:colOff>
          <xdr:row>15</xdr:row>
          <xdr:rowOff>0</xdr:rowOff>
        </xdr:to>
        <xdr:sp macro="" textlink="">
          <xdr:nvSpPr>
            <xdr:cNvPr id="1211393" name="Picture 7" hidden="1">
              <a:extLst>
                <a:ext uri="{63B3BB69-23CF-44E3-9099-C40C66FF867C}">
                  <a14:compatExt spid="_x0000_s1211393"/>
                </a:ext>
                <a:ext uri="{FF2B5EF4-FFF2-40B4-BE49-F238E27FC236}">
                  <a16:creationId xmlns:a16="http://schemas.microsoft.com/office/drawing/2014/main" id="{00000000-0008-0000-6E00-000001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238125</xdr:colOff>
          <xdr:row>13</xdr:row>
          <xdr:rowOff>0</xdr:rowOff>
        </xdr:from>
        <xdr:to>
          <xdr:col>13</xdr:col>
          <xdr:colOff>200025</xdr:colOff>
          <xdr:row>15</xdr:row>
          <xdr:rowOff>0</xdr:rowOff>
        </xdr:to>
        <xdr:sp macro="" textlink="">
          <xdr:nvSpPr>
            <xdr:cNvPr id="1211394" name="Picture 8" hidden="1">
              <a:extLst>
                <a:ext uri="{63B3BB69-23CF-44E3-9099-C40C66FF867C}">
                  <a14:compatExt spid="_x0000_s1211394"/>
                </a:ext>
                <a:ext uri="{FF2B5EF4-FFF2-40B4-BE49-F238E27FC236}">
                  <a16:creationId xmlns:a16="http://schemas.microsoft.com/office/drawing/2014/main" id="{00000000-0008-0000-6E00-000002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9525</xdr:colOff>
          <xdr:row>13</xdr:row>
          <xdr:rowOff>9525</xdr:rowOff>
        </xdr:from>
        <xdr:to>
          <xdr:col>14</xdr:col>
          <xdr:colOff>228600</xdr:colOff>
          <xdr:row>15</xdr:row>
          <xdr:rowOff>0</xdr:rowOff>
        </xdr:to>
        <xdr:sp macro="" textlink="">
          <xdr:nvSpPr>
            <xdr:cNvPr id="1211395" name="Picture 9" hidden="1">
              <a:extLst>
                <a:ext uri="{63B3BB69-23CF-44E3-9099-C40C66FF867C}">
                  <a14:compatExt spid="_x0000_s1211395"/>
                </a:ext>
                <a:ext uri="{FF2B5EF4-FFF2-40B4-BE49-F238E27FC236}">
                  <a16:creationId xmlns:a16="http://schemas.microsoft.com/office/drawing/2014/main" id="{00000000-0008-0000-6E00-000003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76200</xdr:colOff>
          <xdr:row>13</xdr:row>
          <xdr:rowOff>0</xdr:rowOff>
        </xdr:from>
        <xdr:to>
          <xdr:col>15</xdr:col>
          <xdr:colOff>190500</xdr:colOff>
          <xdr:row>15</xdr:row>
          <xdr:rowOff>0</xdr:rowOff>
        </xdr:to>
        <xdr:sp macro="" textlink="">
          <xdr:nvSpPr>
            <xdr:cNvPr id="1211396" name="Picture 10" hidden="1">
              <a:extLst>
                <a:ext uri="{63B3BB69-23CF-44E3-9099-C40C66FF867C}">
                  <a14:compatExt spid="_x0000_s1211396"/>
                </a:ext>
                <a:ext uri="{FF2B5EF4-FFF2-40B4-BE49-F238E27FC236}">
                  <a16:creationId xmlns:a16="http://schemas.microsoft.com/office/drawing/2014/main" id="{00000000-0008-0000-6E00-000004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38100</xdr:colOff>
          <xdr:row>13</xdr:row>
          <xdr:rowOff>0</xdr:rowOff>
        </xdr:from>
        <xdr:to>
          <xdr:col>16</xdr:col>
          <xdr:colOff>238125</xdr:colOff>
          <xdr:row>15</xdr:row>
          <xdr:rowOff>0</xdr:rowOff>
        </xdr:to>
        <xdr:sp macro="" textlink="">
          <xdr:nvSpPr>
            <xdr:cNvPr id="1211397" name="Picture 11" hidden="1">
              <a:extLst>
                <a:ext uri="{63B3BB69-23CF-44E3-9099-C40C66FF867C}">
                  <a14:compatExt spid="_x0000_s1211397"/>
                </a:ext>
                <a:ext uri="{FF2B5EF4-FFF2-40B4-BE49-F238E27FC236}">
                  <a16:creationId xmlns:a16="http://schemas.microsoft.com/office/drawing/2014/main" id="{00000000-0008-0000-6E00-000005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38100</xdr:colOff>
          <xdr:row>12</xdr:row>
          <xdr:rowOff>190500</xdr:rowOff>
        </xdr:from>
        <xdr:to>
          <xdr:col>17</xdr:col>
          <xdr:colOff>228600</xdr:colOff>
          <xdr:row>14</xdr:row>
          <xdr:rowOff>161925</xdr:rowOff>
        </xdr:to>
        <xdr:sp macro="" textlink="">
          <xdr:nvSpPr>
            <xdr:cNvPr id="1211398" name="Picture 12" hidden="1">
              <a:extLst>
                <a:ext uri="{63B3BB69-23CF-44E3-9099-C40C66FF867C}">
                  <a14:compatExt spid="_x0000_s1211398"/>
                </a:ext>
                <a:ext uri="{FF2B5EF4-FFF2-40B4-BE49-F238E27FC236}">
                  <a16:creationId xmlns:a16="http://schemas.microsoft.com/office/drawing/2014/main" id="{00000000-0008-0000-6E00-000006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38100</xdr:colOff>
          <xdr:row>13</xdr:row>
          <xdr:rowOff>0</xdr:rowOff>
        </xdr:from>
        <xdr:to>
          <xdr:col>19</xdr:col>
          <xdr:colOff>152400</xdr:colOff>
          <xdr:row>15</xdr:row>
          <xdr:rowOff>0</xdr:rowOff>
        </xdr:to>
        <xdr:sp macro="" textlink="">
          <xdr:nvSpPr>
            <xdr:cNvPr id="1211399" name="Picture 13" hidden="1">
              <a:extLst>
                <a:ext uri="{63B3BB69-23CF-44E3-9099-C40C66FF867C}">
                  <a14:compatExt spid="_x0000_s1211399"/>
                </a:ext>
                <a:ext uri="{FF2B5EF4-FFF2-40B4-BE49-F238E27FC236}">
                  <a16:creationId xmlns:a16="http://schemas.microsoft.com/office/drawing/2014/main" id="{00000000-0008-0000-6E00-000007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76200</xdr:colOff>
          <xdr:row>13</xdr:row>
          <xdr:rowOff>0</xdr:rowOff>
        </xdr:from>
        <xdr:to>
          <xdr:col>20</xdr:col>
          <xdr:colOff>190500</xdr:colOff>
          <xdr:row>15</xdr:row>
          <xdr:rowOff>0</xdr:rowOff>
        </xdr:to>
        <xdr:sp macro="" textlink="">
          <xdr:nvSpPr>
            <xdr:cNvPr id="1211400" name="Picture 14" hidden="1">
              <a:extLst>
                <a:ext uri="{63B3BB69-23CF-44E3-9099-C40C66FF867C}">
                  <a14:compatExt spid="_x0000_s1211400"/>
                </a:ext>
                <a:ext uri="{FF2B5EF4-FFF2-40B4-BE49-F238E27FC236}">
                  <a16:creationId xmlns:a16="http://schemas.microsoft.com/office/drawing/2014/main" id="{00000000-0008-0000-6E00-000008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57150</xdr:colOff>
          <xdr:row>13</xdr:row>
          <xdr:rowOff>9525</xdr:rowOff>
        </xdr:from>
        <xdr:to>
          <xdr:col>21</xdr:col>
          <xdr:colOff>171450</xdr:colOff>
          <xdr:row>15</xdr:row>
          <xdr:rowOff>0</xdr:rowOff>
        </xdr:to>
        <xdr:sp macro="" textlink="">
          <xdr:nvSpPr>
            <xdr:cNvPr id="1211401" name="Picture 15" hidden="1">
              <a:extLst>
                <a:ext uri="{63B3BB69-23CF-44E3-9099-C40C66FF867C}">
                  <a14:compatExt spid="_x0000_s1211401"/>
                </a:ext>
                <a:ext uri="{FF2B5EF4-FFF2-40B4-BE49-F238E27FC236}">
                  <a16:creationId xmlns:a16="http://schemas.microsoft.com/office/drawing/2014/main" id="{00000000-0008-0000-6E00-000009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76200</xdr:colOff>
          <xdr:row>13</xdr:row>
          <xdr:rowOff>0</xdr:rowOff>
        </xdr:from>
        <xdr:to>
          <xdr:col>22</xdr:col>
          <xdr:colOff>190500</xdr:colOff>
          <xdr:row>15</xdr:row>
          <xdr:rowOff>0</xdr:rowOff>
        </xdr:to>
        <xdr:sp macro="" textlink="">
          <xdr:nvSpPr>
            <xdr:cNvPr id="1211402" name="Picture 16" hidden="1">
              <a:extLst>
                <a:ext uri="{63B3BB69-23CF-44E3-9099-C40C66FF867C}">
                  <a14:compatExt spid="_x0000_s1211402"/>
                </a:ext>
                <a:ext uri="{FF2B5EF4-FFF2-40B4-BE49-F238E27FC236}">
                  <a16:creationId xmlns:a16="http://schemas.microsoft.com/office/drawing/2014/main" id="{00000000-0008-0000-6E00-00000A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114300</xdr:colOff>
          <xdr:row>13</xdr:row>
          <xdr:rowOff>0</xdr:rowOff>
        </xdr:from>
        <xdr:to>
          <xdr:col>23</xdr:col>
          <xdr:colOff>228600</xdr:colOff>
          <xdr:row>15</xdr:row>
          <xdr:rowOff>0</xdr:rowOff>
        </xdr:to>
        <xdr:sp macro="" textlink="">
          <xdr:nvSpPr>
            <xdr:cNvPr id="1211403" name="Picture 17" hidden="1">
              <a:extLst>
                <a:ext uri="{63B3BB69-23CF-44E3-9099-C40C66FF867C}">
                  <a14:compatExt spid="_x0000_s1211403"/>
                </a:ext>
                <a:ext uri="{FF2B5EF4-FFF2-40B4-BE49-F238E27FC236}">
                  <a16:creationId xmlns:a16="http://schemas.microsoft.com/office/drawing/2014/main" id="{00000000-0008-0000-6E00-00000B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66675</xdr:colOff>
          <xdr:row>13</xdr:row>
          <xdr:rowOff>0</xdr:rowOff>
        </xdr:from>
        <xdr:to>
          <xdr:col>24</xdr:col>
          <xdr:colOff>180975</xdr:colOff>
          <xdr:row>15</xdr:row>
          <xdr:rowOff>0</xdr:rowOff>
        </xdr:to>
        <xdr:sp macro="" textlink="">
          <xdr:nvSpPr>
            <xdr:cNvPr id="1211404" name="Picture 18" hidden="1">
              <a:extLst>
                <a:ext uri="{63B3BB69-23CF-44E3-9099-C40C66FF867C}">
                  <a14:compatExt spid="_x0000_s1211404"/>
                </a:ext>
                <a:ext uri="{FF2B5EF4-FFF2-40B4-BE49-F238E27FC236}">
                  <a16:creationId xmlns:a16="http://schemas.microsoft.com/office/drawing/2014/main" id="{00000000-0008-0000-6E00-00000C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xdr:row>
          <xdr:rowOff>200025</xdr:rowOff>
        </xdr:from>
        <xdr:to>
          <xdr:col>25</xdr:col>
          <xdr:colOff>133350</xdr:colOff>
          <xdr:row>9</xdr:row>
          <xdr:rowOff>0</xdr:rowOff>
        </xdr:to>
        <xdr:sp macro="" textlink="">
          <xdr:nvSpPr>
            <xdr:cNvPr id="1211405" name="Picture 19" hidden="1">
              <a:extLst>
                <a:ext uri="{63B3BB69-23CF-44E3-9099-C40C66FF867C}">
                  <a14:compatExt spid="_x0000_s1211405"/>
                </a:ext>
                <a:ext uri="{FF2B5EF4-FFF2-40B4-BE49-F238E27FC236}">
                  <a16:creationId xmlns:a16="http://schemas.microsoft.com/office/drawing/2014/main" id="{00000000-0008-0000-6E00-00000D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21</xdr:row>
          <xdr:rowOff>57150</xdr:rowOff>
        </xdr:from>
        <xdr:to>
          <xdr:col>18</xdr:col>
          <xdr:colOff>161925</xdr:colOff>
          <xdr:row>23</xdr:row>
          <xdr:rowOff>9525</xdr:rowOff>
        </xdr:to>
        <xdr:sp macro="" textlink="">
          <xdr:nvSpPr>
            <xdr:cNvPr id="1211406" name="Picture 25" hidden="1">
              <a:extLst>
                <a:ext uri="{63B3BB69-23CF-44E3-9099-C40C66FF867C}">
                  <a14:compatExt spid="_x0000_s1211406"/>
                </a:ext>
                <a:ext uri="{FF2B5EF4-FFF2-40B4-BE49-F238E27FC236}">
                  <a16:creationId xmlns:a16="http://schemas.microsoft.com/office/drawing/2014/main" id="{00000000-0008-0000-6E00-00000E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21</xdr:row>
          <xdr:rowOff>114300</xdr:rowOff>
        </xdr:from>
        <xdr:to>
          <xdr:col>13</xdr:col>
          <xdr:colOff>238125</xdr:colOff>
          <xdr:row>23</xdr:row>
          <xdr:rowOff>66675</xdr:rowOff>
        </xdr:to>
        <xdr:sp macro="" textlink="">
          <xdr:nvSpPr>
            <xdr:cNvPr id="1211407" name="Picture 26" hidden="1">
              <a:extLst>
                <a:ext uri="{63B3BB69-23CF-44E3-9099-C40C66FF867C}">
                  <a14:compatExt spid="_x0000_s1211407"/>
                </a:ext>
                <a:ext uri="{FF2B5EF4-FFF2-40B4-BE49-F238E27FC236}">
                  <a16:creationId xmlns:a16="http://schemas.microsoft.com/office/drawing/2014/main" id="{00000000-0008-0000-6E00-00000F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9525</xdr:colOff>
          <xdr:row>21</xdr:row>
          <xdr:rowOff>104775</xdr:rowOff>
        </xdr:from>
        <xdr:to>
          <xdr:col>14</xdr:col>
          <xdr:colOff>228600</xdr:colOff>
          <xdr:row>23</xdr:row>
          <xdr:rowOff>57150</xdr:rowOff>
        </xdr:to>
        <xdr:sp macro="" textlink="">
          <xdr:nvSpPr>
            <xdr:cNvPr id="1211408" name="Picture 27" hidden="1">
              <a:extLst>
                <a:ext uri="{63B3BB69-23CF-44E3-9099-C40C66FF867C}">
                  <a14:compatExt spid="_x0000_s1211408"/>
                </a:ext>
                <a:ext uri="{FF2B5EF4-FFF2-40B4-BE49-F238E27FC236}">
                  <a16:creationId xmlns:a16="http://schemas.microsoft.com/office/drawing/2014/main" id="{00000000-0008-0000-6E00-000010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47625</xdr:colOff>
          <xdr:row>21</xdr:row>
          <xdr:rowOff>85725</xdr:rowOff>
        </xdr:from>
        <xdr:to>
          <xdr:col>15</xdr:col>
          <xdr:colOff>161925</xdr:colOff>
          <xdr:row>23</xdr:row>
          <xdr:rowOff>47625</xdr:rowOff>
        </xdr:to>
        <xdr:sp macro="" textlink="">
          <xdr:nvSpPr>
            <xdr:cNvPr id="1211409" name="Picture 28" hidden="1">
              <a:extLst>
                <a:ext uri="{63B3BB69-23CF-44E3-9099-C40C66FF867C}">
                  <a14:compatExt spid="_x0000_s1211409"/>
                </a:ext>
                <a:ext uri="{FF2B5EF4-FFF2-40B4-BE49-F238E27FC236}">
                  <a16:creationId xmlns:a16="http://schemas.microsoft.com/office/drawing/2014/main" id="{00000000-0008-0000-6E00-000011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38100</xdr:colOff>
          <xdr:row>21</xdr:row>
          <xdr:rowOff>66675</xdr:rowOff>
        </xdr:from>
        <xdr:to>
          <xdr:col>16</xdr:col>
          <xdr:colOff>238125</xdr:colOff>
          <xdr:row>23</xdr:row>
          <xdr:rowOff>28575</xdr:rowOff>
        </xdr:to>
        <xdr:sp macro="" textlink="">
          <xdr:nvSpPr>
            <xdr:cNvPr id="1211410" name="Picture 29" hidden="1">
              <a:extLst>
                <a:ext uri="{63B3BB69-23CF-44E3-9099-C40C66FF867C}">
                  <a14:compatExt spid="_x0000_s1211410"/>
                </a:ext>
                <a:ext uri="{FF2B5EF4-FFF2-40B4-BE49-F238E27FC236}">
                  <a16:creationId xmlns:a16="http://schemas.microsoft.com/office/drawing/2014/main" id="{00000000-0008-0000-6E00-000012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47625</xdr:colOff>
          <xdr:row>21</xdr:row>
          <xdr:rowOff>66675</xdr:rowOff>
        </xdr:from>
        <xdr:to>
          <xdr:col>18</xdr:col>
          <xdr:colOff>0</xdr:colOff>
          <xdr:row>23</xdr:row>
          <xdr:rowOff>28575</xdr:rowOff>
        </xdr:to>
        <xdr:sp macro="" textlink="">
          <xdr:nvSpPr>
            <xdr:cNvPr id="1211411" name="Picture 30" hidden="1">
              <a:extLst>
                <a:ext uri="{63B3BB69-23CF-44E3-9099-C40C66FF867C}">
                  <a14:compatExt spid="_x0000_s1211411"/>
                </a:ext>
                <a:ext uri="{FF2B5EF4-FFF2-40B4-BE49-F238E27FC236}">
                  <a16:creationId xmlns:a16="http://schemas.microsoft.com/office/drawing/2014/main" id="{00000000-0008-0000-6E00-000013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66675</xdr:colOff>
          <xdr:row>21</xdr:row>
          <xdr:rowOff>66675</xdr:rowOff>
        </xdr:from>
        <xdr:to>
          <xdr:col>19</xdr:col>
          <xdr:colOff>180975</xdr:colOff>
          <xdr:row>23</xdr:row>
          <xdr:rowOff>28575</xdr:rowOff>
        </xdr:to>
        <xdr:sp macro="" textlink="">
          <xdr:nvSpPr>
            <xdr:cNvPr id="1211412" name="Picture 31" hidden="1">
              <a:extLst>
                <a:ext uri="{63B3BB69-23CF-44E3-9099-C40C66FF867C}">
                  <a14:compatExt spid="_x0000_s1211412"/>
                </a:ext>
                <a:ext uri="{FF2B5EF4-FFF2-40B4-BE49-F238E27FC236}">
                  <a16:creationId xmlns:a16="http://schemas.microsoft.com/office/drawing/2014/main" id="{00000000-0008-0000-6E00-000014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76200</xdr:colOff>
          <xdr:row>21</xdr:row>
          <xdr:rowOff>66675</xdr:rowOff>
        </xdr:from>
        <xdr:to>
          <xdr:col>20</xdr:col>
          <xdr:colOff>190500</xdr:colOff>
          <xdr:row>23</xdr:row>
          <xdr:rowOff>28575</xdr:rowOff>
        </xdr:to>
        <xdr:sp macro="" textlink="">
          <xdr:nvSpPr>
            <xdr:cNvPr id="1211413" name="Picture 32" hidden="1">
              <a:extLst>
                <a:ext uri="{63B3BB69-23CF-44E3-9099-C40C66FF867C}">
                  <a14:compatExt spid="_x0000_s1211413"/>
                </a:ext>
                <a:ext uri="{FF2B5EF4-FFF2-40B4-BE49-F238E27FC236}">
                  <a16:creationId xmlns:a16="http://schemas.microsoft.com/office/drawing/2014/main" id="{00000000-0008-0000-6E00-000015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57150</xdr:colOff>
          <xdr:row>21</xdr:row>
          <xdr:rowOff>66675</xdr:rowOff>
        </xdr:from>
        <xdr:to>
          <xdr:col>21</xdr:col>
          <xdr:colOff>171450</xdr:colOff>
          <xdr:row>23</xdr:row>
          <xdr:rowOff>28575</xdr:rowOff>
        </xdr:to>
        <xdr:sp macro="" textlink="">
          <xdr:nvSpPr>
            <xdr:cNvPr id="1211414" name="Picture 33" hidden="1">
              <a:extLst>
                <a:ext uri="{63B3BB69-23CF-44E3-9099-C40C66FF867C}">
                  <a14:compatExt spid="_x0000_s1211414"/>
                </a:ext>
                <a:ext uri="{FF2B5EF4-FFF2-40B4-BE49-F238E27FC236}">
                  <a16:creationId xmlns:a16="http://schemas.microsoft.com/office/drawing/2014/main" id="{00000000-0008-0000-6E00-000016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66675</xdr:colOff>
          <xdr:row>21</xdr:row>
          <xdr:rowOff>57150</xdr:rowOff>
        </xdr:from>
        <xdr:to>
          <xdr:col>22</xdr:col>
          <xdr:colOff>180975</xdr:colOff>
          <xdr:row>23</xdr:row>
          <xdr:rowOff>9525</xdr:rowOff>
        </xdr:to>
        <xdr:sp macro="" textlink="">
          <xdr:nvSpPr>
            <xdr:cNvPr id="1211415" name="Picture 34" hidden="1">
              <a:extLst>
                <a:ext uri="{63B3BB69-23CF-44E3-9099-C40C66FF867C}">
                  <a14:compatExt spid="_x0000_s1211415"/>
                </a:ext>
                <a:ext uri="{FF2B5EF4-FFF2-40B4-BE49-F238E27FC236}">
                  <a16:creationId xmlns:a16="http://schemas.microsoft.com/office/drawing/2014/main" id="{00000000-0008-0000-6E00-000017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19050</xdr:colOff>
          <xdr:row>21</xdr:row>
          <xdr:rowOff>57150</xdr:rowOff>
        </xdr:from>
        <xdr:to>
          <xdr:col>23</xdr:col>
          <xdr:colOff>133350</xdr:colOff>
          <xdr:row>23</xdr:row>
          <xdr:rowOff>9525</xdr:rowOff>
        </xdr:to>
        <xdr:sp macro="" textlink="">
          <xdr:nvSpPr>
            <xdr:cNvPr id="1211416" name="Picture 35" hidden="1">
              <a:extLst>
                <a:ext uri="{63B3BB69-23CF-44E3-9099-C40C66FF867C}">
                  <a14:compatExt spid="_x0000_s1211416"/>
                </a:ext>
                <a:ext uri="{FF2B5EF4-FFF2-40B4-BE49-F238E27FC236}">
                  <a16:creationId xmlns:a16="http://schemas.microsoft.com/office/drawing/2014/main" id="{00000000-0008-0000-6E00-000018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47625</xdr:colOff>
          <xdr:row>21</xdr:row>
          <xdr:rowOff>47625</xdr:rowOff>
        </xdr:from>
        <xdr:to>
          <xdr:col>24</xdr:col>
          <xdr:colOff>161925</xdr:colOff>
          <xdr:row>23</xdr:row>
          <xdr:rowOff>0</xdr:rowOff>
        </xdr:to>
        <xdr:sp macro="" textlink="">
          <xdr:nvSpPr>
            <xdr:cNvPr id="1211417" name="Picture 36" hidden="1">
              <a:extLst>
                <a:ext uri="{63B3BB69-23CF-44E3-9099-C40C66FF867C}">
                  <a14:compatExt spid="_x0000_s1211417"/>
                </a:ext>
                <a:ext uri="{FF2B5EF4-FFF2-40B4-BE49-F238E27FC236}">
                  <a16:creationId xmlns:a16="http://schemas.microsoft.com/office/drawing/2014/main" id="{00000000-0008-0000-6E00-000019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21</xdr:row>
          <xdr:rowOff>47625</xdr:rowOff>
        </xdr:from>
        <xdr:to>
          <xdr:col>25</xdr:col>
          <xdr:colOff>171450</xdr:colOff>
          <xdr:row>23</xdr:row>
          <xdr:rowOff>0</xdr:rowOff>
        </xdr:to>
        <xdr:sp macro="" textlink="">
          <xdr:nvSpPr>
            <xdr:cNvPr id="1211418" name="Picture 37" hidden="1">
              <a:extLst>
                <a:ext uri="{63B3BB69-23CF-44E3-9099-C40C66FF867C}">
                  <a14:compatExt spid="_x0000_s1211418"/>
                </a:ext>
                <a:ext uri="{FF2B5EF4-FFF2-40B4-BE49-F238E27FC236}">
                  <a16:creationId xmlns:a16="http://schemas.microsoft.com/office/drawing/2014/main" id="{00000000-0008-0000-6E00-00001A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0</xdr:colOff>
          <xdr:row>26</xdr:row>
          <xdr:rowOff>66675</xdr:rowOff>
        </xdr:from>
        <xdr:to>
          <xdr:col>13</xdr:col>
          <xdr:colOff>228600</xdr:colOff>
          <xdr:row>28</xdr:row>
          <xdr:rowOff>28575</xdr:rowOff>
        </xdr:to>
        <xdr:sp macro="" textlink="">
          <xdr:nvSpPr>
            <xdr:cNvPr id="1211419" name="Picture 58" hidden="1">
              <a:extLst>
                <a:ext uri="{63B3BB69-23CF-44E3-9099-C40C66FF867C}">
                  <a14:compatExt spid="_x0000_s1211419"/>
                </a:ext>
                <a:ext uri="{FF2B5EF4-FFF2-40B4-BE49-F238E27FC236}">
                  <a16:creationId xmlns:a16="http://schemas.microsoft.com/office/drawing/2014/main" id="{00000000-0008-0000-6E00-00001B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xdr:colOff>
          <xdr:row>26</xdr:row>
          <xdr:rowOff>104775</xdr:rowOff>
        </xdr:from>
        <xdr:to>
          <xdr:col>14</xdr:col>
          <xdr:colOff>238125</xdr:colOff>
          <xdr:row>28</xdr:row>
          <xdr:rowOff>57150</xdr:rowOff>
        </xdr:to>
        <xdr:sp macro="" textlink="">
          <xdr:nvSpPr>
            <xdr:cNvPr id="1211420" name="Picture 59" hidden="1">
              <a:extLst>
                <a:ext uri="{63B3BB69-23CF-44E3-9099-C40C66FF867C}">
                  <a14:compatExt spid="_x0000_s1211420"/>
                </a:ext>
                <a:ext uri="{FF2B5EF4-FFF2-40B4-BE49-F238E27FC236}">
                  <a16:creationId xmlns:a16="http://schemas.microsoft.com/office/drawing/2014/main" id="{00000000-0008-0000-6E00-00001C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47625</xdr:colOff>
          <xdr:row>26</xdr:row>
          <xdr:rowOff>85725</xdr:rowOff>
        </xdr:from>
        <xdr:to>
          <xdr:col>15</xdr:col>
          <xdr:colOff>161925</xdr:colOff>
          <xdr:row>28</xdr:row>
          <xdr:rowOff>47625</xdr:rowOff>
        </xdr:to>
        <xdr:sp macro="" textlink="">
          <xdr:nvSpPr>
            <xdr:cNvPr id="1211421" name="Picture 60" hidden="1">
              <a:extLst>
                <a:ext uri="{63B3BB69-23CF-44E3-9099-C40C66FF867C}">
                  <a14:compatExt spid="_x0000_s1211421"/>
                </a:ext>
                <a:ext uri="{FF2B5EF4-FFF2-40B4-BE49-F238E27FC236}">
                  <a16:creationId xmlns:a16="http://schemas.microsoft.com/office/drawing/2014/main" id="{00000000-0008-0000-6E00-00001D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0</xdr:colOff>
          <xdr:row>26</xdr:row>
          <xdr:rowOff>104775</xdr:rowOff>
        </xdr:from>
        <xdr:to>
          <xdr:col>16</xdr:col>
          <xdr:colOff>200025</xdr:colOff>
          <xdr:row>28</xdr:row>
          <xdr:rowOff>57150</xdr:rowOff>
        </xdr:to>
        <xdr:sp macro="" textlink="">
          <xdr:nvSpPr>
            <xdr:cNvPr id="1211422" name="Picture 61" hidden="1">
              <a:extLst>
                <a:ext uri="{63B3BB69-23CF-44E3-9099-C40C66FF867C}">
                  <a14:compatExt spid="_x0000_s1211422"/>
                </a:ext>
                <a:ext uri="{FF2B5EF4-FFF2-40B4-BE49-F238E27FC236}">
                  <a16:creationId xmlns:a16="http://schemas.microsoft.com/office/drawing/2014/main" id="{00000000-0008-0000-6E00-00001E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38100</xdr:colOff>
          <xdr:row>26</xdr:row>
          <xdr:rowOff>66675</xdr:rowOff>
        </xdr:from>
        <xdr:to>
          <xdr:col>17</xdr:col>
          <xdr:colOff>228600</xdr:colOff>
          <xdr:row>28</xdr:row>
          <xdr:rowOff>28575</xdr:rowOff>
        </xdr:to>
        <xdr:sp macro="" textlink="">
          <xdr:nvSpPr>
            <xdr:cNvPr id="1211423" name="Picture 62" hidden="1">
              <a:extLst>
                <a:ext uri="{63B3BB69-23CF-44E3-9099-C40C66FF867C}">
                  <a14:compatExt spid="_x0000_s1211423"/>
                </a:ext>
                <a:ext uri="{FF2B5EF4-FFF2-40B4-BE49-F238E27FC236}">
                  <a16:creationId xmlns:a16="http://schemas.microsoft.com/office/drawing/2014/main" id="{00000000-0008-0000-6E00-00001F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26</xdr:row>
          <xdr:rowOff>85725</xdr:rowOff>
        </xdr:from>
        <xdr:to>
          <xdr:col>18</xdr:col>
          <xdr:colOff>161925</xdr:colOff>
          <xdr:row>28</xdr:row>
          <xdr:rowOff>47625</xdr:rowOff>
        </xdr:to>
        <xdr:sp macro="" textlink="">
          <xdr:nvSpPr>
            <xdr:cNvPr id="1211424" name="Picture 63" hidden="1">
              <a:extLst>
                <a:ext uri="{63B3BB69-23CF-44E3-9099-C40C66FF867C}">
                  <a14:compatExt spid="_x0000_s1211424"/>
                </a:ext>
                <a:ext uri="{FF2B5EF4-FFF2-40B4-BE49-F238E27FC236}">
                  <a16:creationId xmlns:a16="http://schemas.microsoft.com/office/drawing/2014/main" id="{00000000-0008-0000-6E00-000020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76200</xdr:colOff>
          <xdr:row>26</xdr:row>
          <xdr:rowOff>114300</xdr:rowOff>
        </xdr:from>
        <xdr:to>
          <xdr:col>19</xdr:col>
          <xdr:colOff>190500</xdr:colOff>
          <xdr:row>28</xdr:row>
          <xdr:rowOff>66675</xdr:rowOff>
        </xdr:to>
        <xdr:sp macro="" textlink="">
          <xdr:nvSpPr>
            <xdr:cNvPr id="1211425" name="Picture 64" hidden="1">
              <a:extLst>
                <a:ext uri="{63B3BB69-23CF-44E3-9099-C40C66FF867C}">
                  <a14:compatExt spid="_x0000_s1211425"/>
                </a:ext>
                <a:ext uri="{FF2B5EF4-FFF2-40B4-BE49-F238E27FC236}">
                  <a16:creationId xmlns:a16="http://schemas.microsoft.com/office/drawing/2014/main" id="{00000000-0008-0000-6E00-000021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66675</xdr:colOff>
          <xdr:row>26</xdr:row>
          <xdr:rowOff>114300</xdr:rowOff>
        </xdr:from>
        <xdr:to>
          <xdr:col>20</xdr:col>
          <xdr:colOff>180975</xdr:colOff>
          <xdr:row>28</xdr:row>
          <xdr:rowOff>66675</xdr:rowOff>
        </xdr:to>
        <xdr:sp macro="" textlink="">
          <xdr:nvSpPr>
            <xdr:cNvPr id="1211426" name="Picture 65" hidden="1">
              <a:extLst>
                <a:ext uri="{63B3BB69-23CF-44E3-9099-C40C66FF867C}">
                  <a14:compatExt spid="_x0000_s1211426"/>
                </a:ext>
                <a:ext uri="{FF2B5EF4-FFF2-40B4-BE49-F238E27FC236}">
                  <a16:creationId xmlns:a16="http://schemas.microsoft.com/office/drawing/2014/main" id="{00000000-0008-0000-6E00-000022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57150</xdr:colOff>
          <xdr:row>26</xdr:row>
          <xdr:rowOff>114300</xdr:rowOff>
        </xdr:from>
        <xdr:to>
          <xdr:col>21</xdr:col>
          <xdr:colOff>171450</xdr:colOff>
          <xdr:row>28</xdr:row>
          <xdr:rowOff>66675</xdr:rowOff>
        </xdr:to>
        <xdr:sp macro="" textlink="">
          <xdr:nvSpPr>
            <xdr:cNvPr id="1211427" name="Picture 66" hidden="1">
              <a:extLst>
                <a:ext uri="{63B3BB69-23CF-44E3-9099-C40C66FF867C}">
                  <a14:compatExt spid="_x0000_s1211427"/>
                </a:ext>
                <a:ext uri="{FF2B5EF4-FFF2-40B4-BE49-F238E27FC236}">
                  <a16:creationId xmlns:a16="http://schemas.microsoft.com/office/drawing/2014/main" id="{00000000-0008-0000-6E00-000023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38100</xdr:colOff>
          <xdr:row>26</xdr:row>
          <xdr:rowOff>123825</xdr:rowOff>
        </xdr:from>
        <xdr:to>
          <xdr:col>22</xdr:col>
          <xdr:colOff>142875</xdr:colOff>
          <xdr:row>28</xdr:row>
          <xdr:rowOff>66675</xdr:rowOff>
        </xdr:to>
        <xdr:sp macro="" textlink="">
          <xdr:nvSpPr>
            <xdr:cNvPr id="1211428" name="Picture 67" hidden="1">
              <a:extLst>
                <a:ext uri="{63B3BB69-23CF-44E3-9099-C40C66FF867C}">
                  <a14:compatExt spid="_x0000_s1211428"/>
                </a:ext>
                <a:ext uri="{FF2B5EF4-FFF2-40B4-BE49-F238E27FC236}">
                  <a16:creationId xmlns:a16="http://schemas.microsoft.com/office/drawing/2014/main" id="{00000000-0008-0000-6E00-000024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76200</xdr:colOff>
          <xdr:row>26</xdr:row>
          <xdr:rowOff>114300</xdr:rowOff>
        </xdr:from>
        <xdr:to>
          <xdr:col>23</xdr:col>
          <xdr:colOff>190500</xdr:colOff>
          <xdr:row>28</xdr:row>
          <xdr:rowOff>66675</xdr:rowOff>
        </xdr:to>
        <xdr:sp macro="" textlink="">
          <xdr:nvSpPr>
            <xdr:cNvPr id="1211429" name="Picture 68" hidden="1">
              <a:extLst>
                <a:ext uri="{63B3BB69-23CF-44E3-9099-C40C66FF867C}">
                  <a14:compatExt spid="_x0000_s1211429"/>
                </a:ext>
                <a:ext uri="{FF2B5EF4-FFF2-40B4-BE49-F238E27FC236}">
                  <a16:creationId xmlns:a16="http://schemas.microsoft.com/office/drawing/2014/main" id="{00000000-0008-0000-6E00-000025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38100</xdr:colOff>
          <xdr:row>26</xdr:row>
          <xdr:rowOff>123825</xdr:rowOff>
        </xdr:from>
        <xdr:to>
          <xdr:col>24</xdr:col>
          <xdr:colOff>142875</xdr:colOff>
          <xdr:row>28</xdr:row>
          <xdr:rowOff>66675</xdr:rowOff>
        </xdr:to>
        <xdr:sp macro="" textlink="">
          <xdr:nvSpPr>
            <xdr:cNvPr id="1211430" name="Picture 69" hidden="1">
              <a:extLst>
                <a:ext uri="{63B3BB69-23CF-44E3-9099-C40C66FF867C}">
                  <a14:compatExt spid="_x0000_s1211430"/>
                </a:ext>
                <a:ext uri="{FF2B5EF4-FFF2-40B4-BE49-F238E27FC236}">
                  <a16:creationId xmlns:a16="http://schemas.microsoft.com/office/drawing/2014/main" id="{00000000-0008-0000-6E00-000026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26</xdr:row>
          <xdr:rowOff>142875</xdr:rowOff>
        </xdr:from>
        <xdr:to>
          <xdr:col>25</xdr:col>
          <xdr:colOff>171450</xdr:colOff>
          <xdr:row>28</xdr:row>
          <xdr:rowOff>104775</xdr:rowOff>
        </xdr:to>
        <xdr:sp macro="" textlink="">
          <xdr:nvSpPr>
            <xdr:cNvPr id="1211431" name="Picture 70" hidden="1">
              <a:extLst>
                <a:ext uri="{63B3BB69-23CF-44E3-9099-C40C66FF867C}">
                  <a14:compatExt spid="_x0000_s1211431"/>
                </a:ext>
                <a:ext uri="{FF2B5EF4-FFF2-40B4-BE49-F238E27FC236}">
                  <a16:creationId xmlns:a16="http://schemas.microsoft.com/office/drawing/2014/main" id="{00000000-0008-0000-6E00-000027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36</xdr:row>
          <xdr:rowOff>123825</xdr:rowOff>
        </xdr:from>
        <xdr:to>
          <xdr:col>6</xdr:col>
          <xdr:colOff>142875</xdr:colOff>
          <xdr:row>41</xdr:row>
          <xdr:rowOff>66675</xdr:rowOff>
        </xdr:to>
        <xdr:sp macro="" textlink="">
          <xdr:nvSpPr>
            <xdr:cNvPr id="1211432" name="Picture 160" hidden="1">
              <a:extLst>
                <a:ext uri="{63B3BB69-23CF-44E3-9099-C40C66FF867C}">
                  <a14:compatExt spid="_x0000_s1211432"/>
                </a:ext>
                <a:ext uri="{FF2B5EF4-FFF2-40B4-BE49-F238E27FC236}">
                  <a16:creationId xmlns:a16="http://schemas.microsoft.com/office/drawing/2014/main" id="{00000000-0008-0000-6E00-000028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43</xdr:row>
          <xdr:rowOff>142875</xdr:rowOff>
        </xdr:from>
        <xdr:to>
          <xdr:col>7</xdr:col>
          <xdr:colOff>190500</xdr:colOff>
          <xdr:row>44</xdr:row>
          <xdr:rowOff>47625</xdr:rowOff>
        </xdr:to>
        <xdr:sp macro="" textlink="">
          <xdr:nvSpPr>
            <xdr:cNvPr id="1211433" name="Picture 168" hidden="1">
              <a:extLst>
                <a:ext uri="{63B3BB69-23CF-44E3-9099-C40C66FF867C}">
                  <a14:compatExt spid="_x0000_s1211433"/>
                </a:ext>
                <a:ext uri="{FF2B5EF4-FFF2-40B4-BE49-F238E27FC236}">
                  <a16:creationId xmlns:a16="http://schemas.microsoft.com/office/drawing/2014/main" id="{00000000-0008-0000-6E00-000029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8</xdr:row>
          <xdr:rowOff>38100</xdr:rowOff>
        </xdr:from>
        <xdr:to>
          <xdr:col>6</xdr:col>
          <xdr:colOff>19050</xdr:colOff>
          <xdr:row>15</xdr:row>
          <xdr:rowOff>123825</xdr:rowOff>
        </xdr:to>
        <xdr:sp macro="" textlink="">
          <xdr:nvSpPr>
            <xdr:cNvPr id="1211434" name="Picture 199" hidden="1">
              <a:extLst>
                <a:ext uri="{63B3BB69-23CF-44E3-9099-C40C66FF867C}">
                  <a14:compatExt spid="_x0000_s1211434"/>
                </a:ext>
                <a:ext uri="{FF2B5EF4-FFF2-40B4-BE49-F238E27FC236}">
                  <a16:creationId xmlns:a16="http://schemas.microsoft.com/office/drawing/2014/main" id="{00000000-0008-0000-6E00-00002A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xdr:row>
          <xdr:rowOff>9525</xdr:rowOff>
        </xdr:from>
        <xdr:to>
          <xdr:col>6</xdr:col>
          <xdr:colOff>66675</xdr:colOff>
          <xdr:row>29</xdr:row>
          <xdr:rowOff>0</xdr:rowOff>
        </xdr:to>
        <xdr:sp macro="" textlink="">
          <xdr:nvSpPr>
            <xdr:cNvPr id="1211435" name="Picture 201" hidden="1">
              <a:extLst>
                <a:ext uri="{63B3BB69-23CF-44E3-9099-C40C66FF867C}">
                  <a14:compatExt spid="_x0000_s1211435"/>
                </a:ext>
                <a:ext uri="{FF2B5EF4-FFF2-40B4-BE49-F238E27FC236}">
                  <a16:creationId xmlns:a16="http://schemas.microsoft.com/office/drawing/2014/main" id="{00000000-0008-0000-6E00-00002B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16</xdr:row>
          <xdr:rowOff>28575</xdr:rowOff>
        </xdr:from>
        <xdr:to>
          <xdr:col>6</xdr:col>
          <xdr:colOff>38100</xdr:colOff>
          <xdr:row>23</xdr:row>
          <xdr:rowOff>161925</xdr:rowOff>
        </xdr:to>
        <xdr:sp macro="" textlink="">
          <xdr:nvSpPr>
            <xdr:cNvPr id="1211436" name="Picture 202" hidden="1">
              <a:extLst>
                <a:ext uri="{63B3BB69-23CF-44E3-9099-C40C66FF867C}">
                  <a14:compatExt spid="_x0000_s1211436"/>
                </a:ext>
                <a:ext uri="{FF2B5EF4-FFF2-40B4-BE49-F238E27FC236}">
                  <a16:creationId xmlns:a16="http://schemas.microsoft.com/office/drawing/2014/main" id="{00000000-0008-0000-6E00-00002C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29</xdr:row>
          <xdr:rowOff>190500</xdr:rowOff>
        </xdr:from>
        <xdr:to>
          <xdr:col>6</xdr:col>
          <xdr:colOff>171450</xdr:colOff>
          <xdr:row>34</xdr:row>
          <xdr:rowOff>161925</xdr:rowOff>
        </xdr:to>
        <xdr:sp macro="" textlink="">
          <xdr:nvSpPr>
            <xdr:cNvPr id="1211437" name="Picture 203" hidden="1">
              <a:extLst>
                <a:ext uri="{63B3BB69-23CF-44E3-9099-C40C66FF867C}">
                  <a14:compatExt spid="_x0000_s1211437"/>
                </a:ext>
                <a:ext uri="{FF2B5EF4-FFF2-40B4-BE49-F238E27FC236}">
                  <a16:creationId xmlns:a16="http://schemas.microsoft.com/office/drawing/2014/main" id="{00000000-0008-0000-6E00-00002D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42</xdr:row>
          <xdr:rowOff>104775</xdr:rowOff>
        </xdr:from>
        <xdr:to>
          <xdr:col>6</xdr:col>
          <xdr:colOff>152400</xdr:colOff>
          <xdr:row>47</xdr:row>
          <xdr:rowOff>123825</xdr:rowOff>
        </xdr:to>
        <xdr:sp macro="" textlink="">
          <xdr:nvSpPr>
            <xdr:cNvPr id="1211438" name="Picture 204" hidden="1">
              <a:extLst>
                <a:ext uri="{63B3BB69-23CF-44E3-9099-C40C66FF867C}">
                  <a14:compatExt spid="_x0000_s1211438"/>
                </a:ext>
                <a:ext uri="{FF2B5EF4-FFF2-40B4-BE49-F238E27FC236}">
                  <a16:creationId xmlns:a16="http://schemas.microsoft.com/office/drawing/2014/main" id="{00000000-0008-0000-6E00-00002E7C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3</xdr:col>
      <xdr:colOff>36019</xdr:colOff>
      <xdr:row>1</xdr:row>
      <xdr:rowOff>83724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E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200025</xdr:colOff>
          <xdr:row>25</xdr:row>
          <xdr:rowOff>0</xdr:rowOff>
        </xdr:from>
        <xdr:to>
          <xdr:col>9</xdr:col>
          <xdr:colOff>76200</xdr:colOff>
          <xdr:row>26</xdr:row>
          <xdr:rowOff>0</xdr:rowOff>
        </xdr:to>
        <xdr:sp macro="" textlink="">
          <xdr:nvSpPr>
            <xdr:cNvPr id="1212417" name="Picture 31" hidden="1">
              <a:extLst>
                <a:ext uri="{63B3BB69-23CF-44E3-9099-C40C66FF867C}">
                  <a14:compatExt spid="_x0000_s1212417"/>
                </a:ext>
                <a:ext uri="{FF2B5EF4-FFF2-40B4-BE49-F238E27FC236}">
                  <a16:creationId xmlns:a16="http://schemas.microsoft.com/office/drawing/2014/main" id="{00000000-0008-0000-6F00-000001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200025</xdr:colOff>
          <xdr:row>24</xdr:row>
          <xdr:rowOff>190500</xdr:rowOff>
        </xdr:from>
        <xdr:to>
          <xdr:col>11</xdr:col>
          <xdr:colOff>76200</xdr:colOff>
          <xdr:row>26</xdr:row>
          <xdr:rowOff>0</xdr:rowOff>
        </xdr:to>
        <xdr:sp macro="" textlink="">
          <xdr:nvSpPr>
            <xdr:cNvPr id="1212418" name="Picture 30" hidden="1">
              <a:extLst>
                <a:ext uri="{63B3BB69-23CF-44E3-9099-C40C66FF867C}">
                  <a14:compatExt spid="_x0000_s1212418"/>
                </a:ext>
                <a:ext uri="{FF2B5EF4-FFF2-40B4-BE49-F238E27FC236}">
                  <a16:creationId xmlns:a16="http://schemas.microsoft.com/office/drawing/2014/main" id="{00000000-0008-0000-6F00-000002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200025</xdr:colOff>
          <xdr:row>24</xdr:row>
          <xdr:rowOff>190500</xdr:rowOff>
        </xdr:from>
        <xdr:to>
          <xdr:col>13</xdr:col>
          <xdr:colOff>76200</xdr:colOff>
          <xdr:row>26</xdr:row>
          <xdr:rowOff>0</xdr:rowOff>
        </xdr:to>
        <xdr:sp macro="" textlink="">
          <xdr:nvSpPr>
            <xdr:cNvPr id="1212419" name="Picture 29" hidden="1">
              <a:extLst>
                <a:ext uri="{63B3BB69-23CF-44E3-9099-C40C66FF867C}">
                  <a14:compatExt spid="_x0000_s1212419"/>
                </a:ext>
                <a:ext uri="{FF2B5EF4-FFF2-40B4-BE49-F238E27FC236}">
                  <a16:creationId xmlns:a16="http://schemas.microsoft.com/office/drawing/2014/main" id="{00000000-0008-0000-6F00-000003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200025</xdr:colOff>
          <xdr:row>25</xdr:row>
          <xdr:rowOff>0</xdr:rowOff>
        </xdr:from>
        <xdr:to>
          <xdr:col>15</xdr:col>
          <xdr:colOff>76200</xdr:colOff>
          <xdr:row>26</xdr:row>
          <xdr:rowOff>0</xdr:rowOff>
        </xdr:to>
        <xdr:sp macro="" textlink="">
          <xdr:nvSpPr>
            <xdr:cNvPr id="1212420" name="Picture 32" hidden="1">
              <a:extLst>
                <a:ext uri="{63B3BB69-23CF-44E3-9099-C40C66FF867C}">
                  <a14:compatExt spid="_x0000_s1212420"/>
                </a:ext>
                <a:ext uri="{FF2B5EF4-FFF2-40B4-BE49-F238E27FC236}">
                  <a16:creationId xmlns:a16="http://schemas.microsoft.com/office/drawing/2014/main" id="{00000000-0008-0000-6F00-000004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200025</xdr:colOff>
          <xdr:row>24</xdr:row>
          <xdr:rowOff>190500</xdr:rowOff>
        </xdr:from>
        <xdr:to>
          <xdr:col>17</xdr:col>
          <xdr:colOff>76200</xdr:colOff>
          <xdr:row>26</xdr:row>
          <xdr:rowOff>0</xdr:rowOff>
        </xdr:to>
        <xdr:sp macro="" textlink="">
          <xdr:nvSpPr>
            <xdr:cNvPr id="1212421" name="Picture 33" hidden="1">
              <a:extLst>
                <a:ext uri="{63B3BB69-23CF-44E3-9099-C40C66FF867C}">
                  <a14:compatExt spid="_x0000_s1212421"/>
                </a:ext>
                <a:ext uri="{FF2B5EF4-FFF2-40B4-BE49-F238E27FC236}">
                  <a16:creationId xmlns:a16="http://schemas.microsoft.com/office/drawing/2014/main" id="{00000000-0008-0000-6F00-000005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200025</xdr:colOff>
          <xdr:row>24</xdr:row>
          <xdr:rowOff>190500</xdr:rowOff>
        </xdr:from>
        <xdr:to>
          <xdr:col>19</xdr:col>
          <xdr:colOff>76200</xdr:colOff>
          <xdr:row>26</xdr:row>
          <xdr:rowOff>0</xdr:rowOff>
        </xdr:to>
        <xdr:sp macro="" textlink="">
          <xdr:nvSpPr>
            <xdr:cNvPr id="1212422" name="Picture 34" hidden="1">
              <a:extLst>
                <a:ext uri="{63B3BB69-23CF-44E3-9099-C40C66FF867C}">
                  <a14:compatExt spid="_x0000_s1212422"/>
                </a:ext>
                <a:ext uri="{FF2B5EF4-FFF2-40B4-BE49-F238E27FC236}">
                  <a16:creationId xmlns:a16="http://schemas.microsoft.com/office/drawing/2014/main" id="{00000000-0008-0000-6F00-000006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200025</xdr:colOff>
          <xdr:row>25</xdr:row>
          <xdr:rowOff>0</xdr:rowOff>
        </xdr:from>
        <xdr:to>
          <xdr:col>21</xdr:col>
          <xdr:colOff>76200</xdr:colOff>
          <xdr:row>26</xdr:row>
          <xdr:rowOff>0</xdr:rowOff>
        </xdr:to>
        <xdr:sp macro="" textlink="">
          <xdr:nvSpPr>
            <xdr:cNvPr id="1212423" name="Picture 35" hidden="1">
              <a:extLst>
                <a:ext uri="{63B3BB69-23CF-44E3-9099-C40C66FF867C}">
                  <a14:compatExt spid="_x0000_s1212423"/>
                </a:ext>
                <a:ext uri="{FF2B5EF4-FFF2-40B4-BE49-F238E27FC236}">
                  <a16:creationId xmlns:a16="http://schemas.microsoft.com/office/drawing/2014/main" id="{00000000-0008-0000-6F00-000007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200025</xdr:colOff>
          <xdr:row>24</xdr:row>
          <xdr:rowOff>190500</xdr:rowOff>
        </xdr:from>
        <xdr:to>
          <xdr:col>23</xdr:col>
          <xdr:colOff>76200</xdr:colOff>
          <xdr:row>26</xdr:row>
          <xdr:rowOff>0</xdr:rowOff>
        </xdr:to>
        <xdr:sp macro="" textlink="">
          <xdr:nvSpPr>
            <xdr:cNvPr id="1212424" name="Picture 36" hidden="1">
              <a:extLst>
                <a:ext uri="{63B3BB69-23CF-44E3-9099-C40C66FF867C}">
                  <a14:compatExt spid="_x0000_s1212424"/>
                </a:ext>
                <a:ext uri="{FF2B5EF4-FFF2-40B4-BE49-F238E27FC236}">
                  <a16:creationId xmlns:a16="http://schemas.microsoft.com/office/drawing/2014/main" id="{00000000-0008-0000-6F00-000008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200025</xdr:colOff>
          <xdr:row>24</xdr:row>
          <xdr:rowOff>190500</xdr:rowOff>
        </xdr:from>
        <xdr:to>
          <xdr:col>25</xdr:col>
          <xdr:colOff>76200</xdr:colOff>
          <xdr:row>26</xdr:row>
          <xdr:rowOff>0</xdr:rowOff>
        </xdr:to>
        <xdr:sp macro="" textlink="">
          <xdr:nvSpPr>
            <xdr:cNvPr id="1212425" name="Picture 37" hidden="1">
              <a:extLst>
                <a:ext uri="{63B3BB69-23CF-44E3-9099-C40C66FF867C}">
                  <a14:compatExt spid="_x0000_s1212425"/>
                </a:ext>
                <a:ext uri="{FF2B5EF4-FFF2-40B4-BE49-F238E27FC236}">
                  <a16:creationId xmlns:a16="http://schemas.microsoft.com/office/drawing/2014/main" id="{00000000-0008-0000-6F00-000009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200025</xdr:colOff>
          <xdr:row>24</xdr:row>
          <xdr:rowOff>0</xdr:rowOff>
        </xdr:from>
        <xdr:to>
          <xdr:col>7</xdr:col>
          <xdr:colOff>66675</xdr:colOff>
          <xdr:row>25</xdr:row>
          <xdr:rowOff>0</xdr:rowOff>
        </xdr:to>
        <xdr:sp macro="" textlink="">
          <xdr:nvSpPr>
            <xdr:cNvPr id="1212426" name="Picture 38" hidden="1">
              <a:extLst>
                <a:ext uri="{63B3BB69-23CF-44E3-9099-C40C66FF867C}">
                  <a14:compatExt spid="_x0000_s1212426"/>
                </a:ext>
                <a:ext uri="{FF2B5EF4-FFF2-40B4-BE49-F238E27FC236}">
                  <a16:creationId xmlns:a16="http://schemas.microsoft.com/office/drawing/2014/main" id="{00000000-0008-0000-6F00-00000A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133350</xdr:colOff>
          <xdr:row>24</xdr:row>
          <xdr:rowOff>28575</xdr:rowOff>
        </xdr:from>
        <xdr:to>
          <xdr:col>5</xdr:col>
          <xdr:colOff>76200</xdr:colOff>
          <xdr:row>25</xdr:row>
          <xdr:rowOff>0</xdr:rowOff>
        </xdr:to>
        <xdr:sp macro="" textlink="">
          <xdr:nvSpPr>
            <xdr:cNvPr id="1212427" name="Picture 39" hidden="1">
              <a:extLst>
                <a:ext uri="{63B3BB69-23CF-44E3-9099-C40C66FF867C}">
                  <a14:compatExt spid="_x0000_s1212427"/>
                </a:ext>
                <a:ext uri="{FF2B5EF4-FFF2-40B4-BE49-F238E27FC236}">
                  <a16:creationId xmlns:a16="http://schemas.microsoft.com/office/drawing/2014/main" id="{00000000-0008-0000-6F00-00000B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5</xdr:row>
          <xdr:rowOff>161925</xdr:rowOff>
        </xdr:from>
        <xdr:to>
          <xdr:col>11</xdr:col>
          <xdr:colOff>19050</xdr:colOff>
          <xdr:row>22</xdr:row>
          <xdr:rowOff>114300</xdr:rowOff>
        </xdr:to>
        <xdr:sp macro="" textlink="">
          <xdr:nvSpPr>
            <xdr:cNvPr id="1212428" name="Picture 45" hidden="1">
              <a:extLst>
                <a:ext uri="{63B3BB69-23CF-44E3-9099-C40C66FF867C}">
                  <a14:compatExt spid="_x0000_s1212428"/>
                </a:ext>
                <a:ext uri="{FF2B5EF4-FFF2-40B4-BE49-F238E27FC236}">
                  <a16:creationId xmlns:a16="http://schemas.microsoft.com/office/drawing/2014/main" id="{00000000-0008-0000-6F00-00000C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5</xdr:row>
          <xdr:rowOff>133350</xdr:rowOff>
        </xdr:from>
        <xdr:to>
          <xdr:col>22</xdr:col>
          <xdr:colOff>228600</xdr:colOff>
          <xdr:row>22</xdr:row>
          <xdr:rowOff>152400</xdr:rowOff>
        </xdr:to>
        <xdr:sp macro="" textlink="">
          <xdr:nvSpPr>
            <xdr:cNvPr id="1212429" name="Picture 46" hidden="1">
              <a:extLst>
                <a:ext uri="{63B3BB69-23CF-44E3-9099-C40C66FF867C}">
                  <a14:compatExt spid="_x0000_s1212429"/>
                </a:ext>
                <a:ext uri="{FF2B5EF4-FFF2-40B4-BE49-F238E27FC236}">
                  <a16:creationId xmlns:a16="http://schemas.microsoft.com/office/drawing/2014/main" id="{00000000-0008-0000-6F00-00000D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133350</xdr:colOff>
          <xdr:row>44</xdr:row>
          <xdr:rowOff>38100</xdr:rowOff>
        </xdr:from>
        <xdr:to>
          <xdr:col>1</xdr:col>
          <xdr:colOff>9525</xdr:colOff>
          <xdr:row>45</xdr:row>
          <xdr:rowOff>85725</xdr:rowOff>
        </xdr:to>
        <xdr:sp macro="" textlink="">
          <xdr:nvSpPr>
            <xdr:cNvPr id="1212430" name="Picture 47" hidden="1">
              <a:extLst>
                <a:ext uri="{63B3BB69-23CF-44E3-9099-C40C66FF867C}">
                  <a14:compatExt spid="_x0000_s1212430"/>
                </a:ext>
                <a:ext uri="{FF2B5EF4-FFF2-40B4-BE49-F238E27FC236}">
                  <a16:creationId xmlns:a16="http://schemas.microsoft.com/office/drawing/2014/main" id="{00000000-0008-0000-6F00-00000E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228600</xdr:colOff>
          <xdr:row>44</xdr:row>
          <xdr:rowOff>47625</xdr:rowOff>
        </xdr:from>
        <xdr:to>
          <xdr:col>6</xdr:col>
          <xdr:colOff>114300</xdr:colOff>
          <xdr:row>45</xdr:row>
          <xdr:rowOff>104775</xdr:rowOff>
        </xdr:to>
        <xdr:sp macro="" textlink="">
          <xdr:nvSpPr>
            <xdr:cNvPr id="1212431" name="Picture 48" hidden="1">
              <a:extLst>
                <a:ext uri="{63B3BB69-23CF-44E3-9099-C40C66FF867C}">
                  <a14:compatExt spid="_x0000_s1212431"/>
                </a:ext>
                <a:ext uri="{FF2B5EF4-FFF2-40B4-BE49-F238E27FC236}">
                  <a16:creationId xmlns:a16="http://schemas.microsoft.com/office/drawing/2014/main" id="{00000000-0008-0000-6F00-00000F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114300</xdr:colOff>
          <xdr:row>45</xdr:row>
          <xdr:rowOff>85725</xdr:rowOff>
        </xdr:from>
        <xdr:to>
          <xdr:col>3</xdr:col>
          <xdr:colOff>0</xdr:colOff>
          <xdr:row>46</xdr:row>
          <xdr:rowOff>152400</xdr:rowOff>
        </xdr:to>
        <xdr:sp macro="" textlink="">
          <xdr:nvSpPr>
            <xdr:cNvPr id="1212432" name="Picture 49" hidden="1">
              <a:extLst>
                <a:ext uri="{63B3BB69-23CF-44E3-9099-C40C66FF867C}">
                  <a14:compatExt spid="_x0000_s1212432"/>
                </a:ext>
                <a:ext uri="{FF2B5EF4-FFF2-40B4-BE49-F238E27FC236}">
                  <a16:creationId xmlns:a16="http://schemas.microsoft.com/office/drawing/2014/main" id="{00000000-0008-0000-6F00-0000108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3</xdr:col>
      <xdr:colOff>36019</xdr:colOff>
      <xdr:row>1</xdr:row>
      <xdr:rowOff>83724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6F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6</xdr:col>
      <xdr:colOff>15240</xdr:colOff>
      <xdr:row>27</xdr:row>
      <xdr:rowOff>114300</xdr:rowOff>
    </xdr:from>
    <xdr:to>
      <xdr:col>6</xdr:col>
      <xdr:colOff>220980</xdr:colOff>
      <xdr:row>27</xdr:row>
      <xdr:rowOff>114300</xdr:rowOff>
    </xdr:to>
    <xdr:sp macro="" textlink="">
      <xdr:nvSpPr>
        <xdr:cNvPr id="1213639" name="Line 6">
          <a:extLst>
            <a:ext uri="{FF2B5EF4-FFF2-40B4-BE49-F238E27FC236}">
              <a16:creationId xmlns:a16="http://schemas.microsoft.com/office/drawing/2014/main" id="{00000000-0008-0000-7000-0000C7841200}"/>
            </a:ext>
          </a:extLst>
        </xdr:cNvPr>
        <xdr:cNvSpPr/>
      </xdr:nvSpPr>
      <xdr:spPr>
        <a:xfrm>
          <a:off x="150114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22860</xdr:colOff>
      <xdr:row>26</xdr:row>
      <xdr:rowOff>114300</xdr:rowOff>
    </xdr:from>
    <xdr:to>
      <xdr:col>10</xdr:col>
      <xdr:colOff>228600</xdr:colOff>
      <xdr:row>26</xdr:row>
      <xdr:rowOff>114300</xdr:rowOff>
    </xdr:to>
    <xdr:sp macro="" textlink="">
      <xdr:nvSpPr>
        <xdr:cNvPr id="1213640" name="Line 7">
          <a:extLst>
            <a:ext uri="{FF2B5EF4-FFF2-40B4-BE49-F238E27FC236}">
              <a16:creationId xmlns:a16="http://schemas.microsoft.com/office/drawing/2014/main" id="{00000000-0008-0000-7000-0000C8841200}"/>
            </a:ext>
          </a:extLst>
        </xdr:cNvPr>
        <xdr:cNvSpPr/>
      </xdr:nvSpPr>
      <xdr:spPr>
        <a:xfrm>
          <a:off x="2499360" y="519112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14</xdr:col>
      <xdr:colOff>15240</xdr:colOff>
      <xdr:row>26</xdr:row>
      <xdr:rowOff>114300</xdr:rowOff>
    </xdr:from>
    <xdr:to>
      <xdr:col>14</xdr:col>
      <xdr:colOff>220980</xdr:colOff>
      <xdr:row>26</xdr:row>
      <xdr:rowOff>114300</xdr:rowOff>
    </xdr:to>
    <xdr:sp macro="" textlink="">
      <xdr:nvSpPr>
        <xdr:cNvPr id="1213641" name="Line 8">
          <a:extLst>
            <a:ext uri="{FF2B5EF4-FFF2-40B4-BE49-F238E27FC236}">
              <a16:creationId xmlns:a16="http://schemas.microsoft.com/office/drawing/2014/main" id="{00000000-0008-0000-7000-0000C9841200}"/>
            </a:ext>
          </a:extLst>
        </xdr:cNvPr>
        <xdr:cNvSpPr/>
      </xdr:nvSpPr>
      <xdr:spPr>
        <a:xfrm>
          <a:off x="3482340" y="519112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16</xdr:col>
      <xdr:colOff>15240</xdr:colOff>
      <xdr:row>26</xdr:row>
      <xdr:rowOff>114300</xdr:rowOff>
    </xdr:from>
    <xdr:to>
      <xdr:col>16</xdr:col>
      <xdr:colOff>220980</xdr:colOff>
      <xdr:row>26</xdr:row>
      <xdr:rowOff>114300</xdr:rowOff>
    </xdr:to>
    <xdr:sp macro="" textlink="">
      <xdr:nvSpPr>
        <xdr:cNvPr id="1213642" name="Line 9">
          <a:extLst>
            <a:ext uri="{FF2B5EF4-FFF2-40B4-BE49-F238E27FC236}">
              <a16:creationId xmlns:a16="http://schemas.microsoft.com/office/drawing/2014/main" id="{00000000-0008-0000-7000-0000CA841200}"/>
            </a:ext>
          </a:extLst>
        </xdr:cNvPr>
        <xdr:cNvSpPr/>
      </xdr:nvSpPr>
      <xdr:spPr>
        <a:xfrm>
          <a:off x="3977640" y="519112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18</xdr:col>
      <xdr:colOff>15240</xdr:colOff>
      <xdr:row>26</xdr:row>
      <xdr:rowOff>114300</xdr:rowOff>
    </xdr:from>
    <xdr:to>
      <xdr:col>18</xdr:col>
      <xdr:colOff>220980</xdr:colOff>
      <xdr:row>26</xdr:row>
      <xdr:rowOff>114300</xdr:rowOff>
    </xdr:to>
    <xdr:sp macro="" textlink="">
      <xdr:nvSpPr>
        <xdr:cNvPr id="1213643" name="Line 10">
          <a:extLst>
            <a:ext uri="{FF2B5EF4-FFF2-40B4-BE49-F238E27FC236}">
              <a16:creationId xmlns:a16="http://schemas.microsoft.com/office/drawing/2014/main" id="{00000000-0008-0000-7000-0000CB841200}"/>
            </a:ext>
          </a:extLst>
        </xdr:cNvPr>
        <xdr:cNvSpPr/>
      </xdr:nvSpPr>
      <xdr:spPr>
        <a:xfrm>
          <a:off x="4472940" y="519112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17</xdr:col>
      <xdr:colOff>45720</xdr:colOff>
      <xdr:row>27</xdr:row>
      <xdr:rowOff>137160</xdr:rowOff>
    </xdr:from>
    <xdr:to>
      <xdr:col>18</xdr:col>
      <xdr:colOff>0</xdr:colOff>
      <xdr:row>27</xdr:row>
      <xdr:rowOff>137160</xdr:rowOff>
    </xdr:to>
    <xdr:sp macro="" textlink="">
      <xdr:nvSpPr>
        <xdr:cNvPr id="1213644" name="Line 11">
          <a:extLst>
            <a:ext uri="{FF2B5EF4-FFF2-40B4-BE49-F238E27FC236}">
              <a16:creationId xmlns:a16="http://schemas.microsoft.com/office/drawing/2014/main" id="{00000000-0008-0000-7000-0000CC841200}"/>
            </a:ext>
          </a:extLst>
        </xdr:cNvPr>
        <xdr:cNvSpPr/>
      </xdr:nvSpPr>
      <xdr:spPr>
        <a:xfrm>
          <a:off x="4255770" y="5394960"/>
          <a:ext cx="20193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15240</xdr:colOff>
      <xdr:row>27</xdr:row>
      <xdr:rowOff>114300</xdr:rowOff>
    </xdr:from>
    <xdr:to>
      <xdr:col>13</xdr:col>
      <xdr:colOff>220980</xdr:colOff>
      <xdr:row>27</xdr:row>
      <xdr:rowOff>114300</xdr:rowOff>
    </xdr:to>
    <xdr:sp macro="" textlink="">
      <xdr:nvSpPr>
        <xdr:cNvPr id="1213645" name="Line 12">
          <a:extLst>
            <a:ext uri="{FF2B5EF4-FFF2-40B4-BE49-F238E27FC236}">
              <a16:creationId xmlns:a16="http://schemas.microsoft.com/office/drawing/2014/main" id="{00000000-0008-0000-7000-0000CD841200}"/>
            </a:ext>
          </a:extLst>
        </xdr:cNvPr>
        <xdr:cNvSpPr/>
      </xdr:nvSpPr>
      <xdr:spPr>
        <a:xfrm>
          <a:off x="323469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15</xdr:col>
      <xdr:colOff>38100</xdr:colOff>
      <xdr:row>27</xdr:row>
      <xdr:rowOff>114300</xdr:rowOff>
    </xdr:from>
    <xdr:to>
      <xdr:col>15</xdr:col>
      <xdr:colOff>243840</xdr:colOff>
      <xdr:row>27</xdr:row>
      <xdr:rowOff>114300</xdr:rowOff>
    </xdr:to>
    <xdr:sp macro="" textlink="">
      <xdr:nvSpPr>
        <xdr:cNvPr id="1213646" name="Line 13">
          <a:extLst>
            <a:ext uri="{FF2B5EF4-FFF2-40B4-BE49-F238E27FC236}">
              <a16:creationId xmlns:a16="http://schemas.microsoft.com/office/drawing/2014/main" id="{00000000-0008-0000-7000-0000CE841200}"/>
            </a:ext>
          </a:extLst>
        </xdr:cNvPr>
        <xdr:cNvSpPr/>
      </xdr:nvSpPr>
      <xdr:spPr>
        <a:xfrm>
          <a:off x="375285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19</xdr:col>
      <xdr:colOff>22860</xdr:colOff>
      <xdr:row>27</xdr:row>
      <xdr:rowOff>114300</xdr:rowOff>
    </xdr:from>
    <xdr:to>
      <xdr:col>19</xdr:col>
      <xdr:colOff>228600</xdr:colOff>
      <xdr:row>27</xdr:row>
      <xdr:rowOff>114300</xdr:rowOff>
    </xdr:to>
    <xdr:sp macro="" textlink="">
      <xdr:nvSpPr>
        <xdr:cNvPr id="1213647" name="Line 14">
          <a:extLst>
            <a:ext uri="{FF2B5EF4-FFF2-40B4-BE49-F238E27FC236}">
              <a16:creationId xmlns:a16="http://schemas.microsoft.com/office/drawing/2014/main" id="{00000000-0008-0000-7000-0000CF841200}"/>
            </a:ext>
          </a:extLst>
        </xdr:cNvPr>
        <xdr:cNvSpPr/>
      </xdr:nvSpPr>
      <xdr:spPr>
        <a:xfrm>
          <a:off x="472821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20</xdr:col>
      <xdr:colOff>22860</xdr:colOff>
      <xdr:row>26</xdr:row>
      <xdr:rowOff>137160</xdr:rowOff>
    </xdr:from>
    <xdr:to>
      <xdr:col>20</xdr:col>
      <xdr:colOff>228600</xdr:colOff>
      <xdr:row>26</xdr:row>
      <xdr:rowOff>137160</xdr:rowOff>
    </xdr:to>
    <xdr:sp macro="" textlink="">
      <xdr:nvSpPr>
        <xdr:cNvPr id="1213648" name="Line 15">
          <a:extLst>
            <a:ext uri="{FF2B5EF4-FFF2-40B4-BE49-F238E27FC236}">
              <a16:creationId xmlns:a16="http://schemas.microsoft.com/office/drawing/2014/main" id="{00000000-0008-0000-7000-0000D0841200}"/>
            </a:ext>
          </a:extLst>
        </xdr:cNvPr>
        <xdr:cNvSpPr/>
      </xdr:nvSpPr>
      <xdr:spPr>
        <a:xfrm>
          <a:off x="4975860" y="521398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15240</xdr:colOff>
      <xdr:row>26</xdr:row>
      <xdr:rowOff>137160</xdr:rowOff>
    </xdr:from>
    <xdr:to>
      <xdr:col>22</xdr:col>
      <xdr:colOff>220980</xdr:colOff>
      <xdr:row>26</xdr:row>
      <xdr:rowOff>137160</xdr:rowOff>
    </xdr:to>
    <xdr:sp macro="" textlink="">
      <xdr:nvSpPr>
        <xdr:cNvPr id="1213649" name="Line 16">
          <a:extLst>
            <a:ext uri="{FF2B5EF4-FFF2-40B4-BE49-F238E27FC236}">
              <a16:creationId xmlns:a16="http://schemas.microsoft.com/office/drawing/2014/main" id="{00000000-0008-0000-7000-0000D1841200}"/>
            </a:ext>
          </a:extLst>
        </xdr:cNvPr>
        <xdr:cNvSpPr/>
      </xdr:nvSpPr>
      <xdr:spPr>
        <a:xfrm>
          <a:off x="5463540" y="521398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27</xdr:row>
      <xdr:rowOff>114300</xdr:rowOff>
    </xdr:from>
    <xdr:to>
      <xdr:col>21</xdr:col>
      <xdr:colOff>228600</xdr:colOff>
      <xdr:row>27</xdr:row>
      <xdr:rowOff>114300</xdr:rowOff>
    </xdr:to>
    <xdr:sp macro="" textlink="">
      <xdr:nvSpPr>
        <xdr:cNvPr id="1213650" name="Line 17">
          <a:extLst>
            <a:ext uri="{FF2B5EF4-FFF2-40B4-BE49-F238E27FC236}">
              <a16:creationId xmlns:a16="http://schemas.microsoft.com/office/drawing/2014/main" id="{00000000-0008-0000-7000-0000D2841200}"/>
            </a:ext>
          </a:extLst>
        </xdr:cNvPr>
        <xdr:cNvSpPr/>
      </xdr:nvSpPr>
      <xdr:spPr>
        <a:xfrm>
          <a:off x="522351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15240</xdr:colOff>
      <xdr:row>27</xdr:row>
      <xdr:rowOff>129540</xdr:rowOff>
    </xdr:from>
    <xdr:to>
      <xdr:col>25</xdr:col>
      <xdr:colOff>220980</xdr:colOff>
      <xdr:row>27</xdr:row>
      <xdr:rowOff>129540</xdr:rowOff>
    </xdr:to>
    <xdr:sp macro="" textlink="">
      <xdr:nvSpPr>
        <xdr:cNvPr id="1213651" name="Line 18">
          <a:extLst>
            <a:ext uri="{FF2B5EF4-FFF2-40B4-BE49-F238E27FC236}">
              <a16:creationId xmlns:a16="http://schemas.microsoft.com/office/drawing/2014/main" id="{00000000-0008-0000-7000-0000D3841200}"/>
            </a:ext>
          </a:extLst>
        </xdr:cNvPr>
        <xdr:cNvSpPr/>
      </xdr:nvSpPr>
      <xdr:spPr>
        <a:xfrm>
          <a:off x="6206490" y="538734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106680</xdr:colOff>
      <xdr:row>29</xdr:row>
      <xdr:rowOff>129540</xdr:rowOff>
    </xdr:from>
    <xdr:to>
      <xdr:col>25</xdr:col>
      <xdr:colOff>129540</xdr:colOff>
      <xdr:row>29</xdr:row>
      <xdr:rowOff>129540</xdr:rowOff>
    </xdr:to>
    <xdr:sp macro="" textlink="">
      <xdr:nvSpPr>
        <xdr:cNvPr id="1213652" name="Line 19">
          <a:extLst>
            <a:ext uri="{FF2B5EF4-FFF2-40B4-BE49-F238E27FC236}">
              <a16:creationId xmlns:a16="http://schemas.microsoft.com/office/drawing/2014/main" id="{00000000-0008-0000-7000-0000D4841200}"/>
            </a:ext>
          </a:extLst>
        </xdr:cNvPr>
        <xdr:cNvSpPr/>
      </xdr:nvSpPr>
      <xdr:spPr>
        <a:xfrm>
          <a:off x="5554980" y="5930265"/>
          <a:ext cx="76581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13</xdr:col>
      <xdr:colOff>15240</xdr:colOff>
      <xdr:row>27</xdr:row>
      <xdr:rowOff>114300</xdr:rowOff>
    </xdr:from>
    <xdr:to>
      <xdr:col>13</xdr:col>
      <xdr:colOff>220980</xdr:colOff>
      <xdr:row>27</xdr:row>
      <xdr:rowOff>114300</xdr:rowOff>
    </xdr:to>
    <xdr:sp macro="" textlink="">
      <xdr:nvSpPr>
        <xdr:cNvPr id="1213653" name="Line 12">
          <a:extLst>
            <a:ext uri="{FF2B5EF4-FFF2-40B4-BE49-F238E27FC236}">
              <a16:creationId xmlns:a16="http://schemas.microsoft.com/office/drawing/2014/main" id="{00000000-0008-0000-7000-0000D5841200}"/>
            </a:ext>
          </a:extLst>
        </xdr:cNvPr>
        <xdr:cNvSpPr/>
      </xdr:nvSpPr>
      <xdr:spPr>
        <a:xfrm>
          <a:off x="323469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15</xdr:col>
      <xdr:colOff>38100</xdr:colOff>
      <xdr:row>27</xdr:row>
      <xdr:rowOff>114300</xdr:rowOff>
    </xdr:from>
    <xdr:to>
      <xdr:col>15</xdr:col>
      <xdr:colOff>243840</xdr:colOff>
      <xdr:row>27</xdr:row>
      <xdr:rowOff>114300</xdr:rowOff>
    </xdr:to>
    <xdr:sp macro="" textlink="">
      <xdr:nvSpPr>
        <xdr:cNvPr id="1213654" name="Line 13">
          <a:extLst>
            <a:ext uri="{FF2B5EF4-FFF2-40B4-BE49-F238E27FC236}">
              <a16:creationId xmlns:a16="http://schemas.microsoft.com/office/drawing/2014/main" id="{00000000-0008-0000-7000-0000D6841200}"/>
            </a:ext>
          </a:extLst>
        </xdr:cNvPr>
        <xdr:cNvSpPr/>
      </xdr:nvSpPr>
      <xdr:spPr>
        <a:xfrm>
          <a:off x="375285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19</xdr:col>
      <xdr:colOff>22860</xdr:colOff>
      <xdr:row>27</xdr:row>
      <xdr:rowOff>114300</xdr:rowOff>
    </xdr:from>
    <xdr:to>
      <xdr:col>19</xdr:col>
      <xdr:colOff>228600</xdr:colOff>
      <xdr:row>27</xdr:row>
      <xdr:rowOff>114300</xdr:rowOff>
    </xdr:to>
    <xdr:sp macro="" textlink="">
      <xdr:nvSpPr>
        <xdr:cNvPr id="1213655" name="Line 14">
          <a:extLst>
            <a:ext uri="{FF2B5EF4-FFF2-40B4-BE49-F238E27FC236}">
              <a16:creationId xmlns:a16="http://schemas.microsoft.com/office/drawing/2014/main" id="{00000000-0008-0000-7000-0000D7841200}"/>
            </a:ext>
          </a:extLst>
        </xdr:cNvPr>
        <xdr:cNvSpPr/>
      </xdr:nvSpPr>
      <xdr:spPr>
        <a:xfrm>
          <a:off x="472821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20</xdr:col>
      <xdr:colOff>22860</xdr:colOff>
      <xdr:row>26</xdr:row>
      <xdr:rowOff>137160</xdr:rowOff>
    </xdr:from>
    <xdr:to>
      <xdr:col>20</xdr:col>
      <xdr:colOff>228600</xdr:colOff>
      <xdr:row>26</xdr:row>
      <xdr:rowOff>137160</xdr:rowOff>
    </xdr:to>
    <xdr:sp macro="" textlink="">
      <xdr:nvSpPr>
        <xdr:cNvPr id="1213656" name="Line 15">
          <a:extLst>
            <a:ext uri="{FF2B5EF4-FFF2-40B4-BE49-F238E27FC236}">
              <a16:creationId xmlns:a16="http://schemas.microsoft.com/office/drawing/2014/main" id="{00000000-0008-0000-7000-0000D8841200}"/>
            </a:ext>
          </a:extLst>
        </xdr:cNvPr>
        <xdr:cNvSpPr/>
      </xdr:nvSpPr>
      <xdr:spPr>
        <a:xfrm>
          <a:off x="4975860" y="521398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15240</xdr:colOff>
      <xdr:row>26</xdr:row>
      <xdr:rowOff>137160</xdr:rowOff>
    </xdr:from>
    <xdr:to>
      <xdr:col>22</xdr:col>
      <xdr:colOff>220980</xdr:colOff>
      <xdr:row>26</xdr:row>
      <xdr:rowOff>137160</xdr:rowOff>
    </xdr:to>
    <xdr:sp macro="" textlink="">
      <xdr:nvSpPr>
        <xdr:cNvPr id="1213657" name="Line 16">
          <a:extLst>
            <a:ext uri="{FF2B5EF4-FFF2-40B4-BE49-F238E27FC236}">
              <a16:creationId xmlns:a16="http://schemas.microsoft.com/office/drawing/2014/main" id="{00000000-0008-0000-7000-0000D9841200}"/>
            </a:ext>
          </a:extLst>
        </xdr:cNvPr>
        <xdr:cNvSpPr/>
      </xdr:nvSpPr>
      <xdr:spPr>
        <a:xfrm>
          <a:off x="5463540" y="5213985"/>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21</xdr:col>
      <xdr:colOff>22860</xdr:colOff>
      <xdr:row>27</xdr:row>
      <xdr:rowOff>114300</xdr:rowOff>
    </xdr:from>
    <xdr:to>
      <xdr:col>21</xdr:col>
      <xdr:colOff>228600</xdr:colOff>
      <xdr:row>27</xdr:row>
      <xdr:rowOff>114300</xdr:rowOff>
    </xdr:to>
    <xdr:sp macro="" textlink="">
      <xdr:nvSpPr>
        <xdr:cNvPr id="1213658" name="Line 17">
          <a:extLst>
            <a:ext uri="{FF2B5EF4-FFF2-40B4-BE49-F238E27FC236}">
              <a16:creationId xmlns:a16="http://schemas.microsoft.com/office/drawing/2014/main" id="{00000000-0008-0000-7000-0000DA841200}"/>
            </a:ext>
          </a:extLst>
        </xdr:cNvPr>
        <xdr:cNvSpPr/>
      </xdr:nvSpPr>
      <xdr:spPr>
        <a:xfrm>
          <a:off x="5223510" y="537210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25</xdr:col>
      <xdr:colOff>15240</xdr:colOff>
      <xdr:row>27</xdr:row>
      <xdr:rowOff>129540</xdr:rowOff>
    </xdr:from>
    <xdr:to>
      <xdr:col>25</xdr:col>
      <xdr:colOff>220980</xdr:colOff>
      <xdr:row>27</xdr:row>
      <xdr:rowOff>129540</xdr:rowOff>
    </xdr:to>
    <xdr:sp macro="" textlink="">
      <xdr:nvSpPr>
        <xdr:cNvPr id="1213659" name="Line 18">
          <a:extLst>
            <a:ext uri="{FF2B5EF4-FFF2-40B4-BE49-F238E27FC236}">
              <a16:creationId xmlns:a16="http://schemas.microsoft.com/office/drawing/2014/main" id="{00000000-0008-0000-7000-0000DB841200}"/>
            </a:ext>
          </a:extLst>
        </xdr:cNvPr>
        <xdr:cNvSpPr/>
      </xdr:nvSpPr>
      <xdr:spPr>
        <a:xfrm>
          <a:off x="6206490" y="5387340"/>
          <a:ext cx="205740" cy="0"/>
        </a:xfrm>
        <a:prstGeom prst="line">
          <a:avLst/>
        </a:prstGeom>
        <a:ln w="9525" cap="flat" cmpd="sng">
          <a:solidFill>
            <a:srgbClr val="000000"/>
          </a:solidFill>
          <a:prstDash val="solid"/>
          <a:round/>
          <a:headEnd type="none" w="med" len="med"/>
          <a:tailEnd type="none" w="med" len="med"/>
        </a:ln>
      </xdr:spPr>
    </xdr:sp>
    <xdr:clientData/>
  </xdr:twoCellAnchor>
  <xdr:twoCellAnchor>
    <xdr:from>
      <xdr:col>22</xdr:col>
      <xdr:colOff>106680</xdr:colOff>
      <xdr:row>29</xdr:row>
      <xdr:rowOff>129540</xdr:rowOff>
    </xdr:from>
    <xdr:to>
      <xdr:col>25</xdr:col>
      <xdr:colOff>129540</xdr:colOff>
      <xdr:row>29</xdr:row>
      <xdr:rowOff>129540</xdr:rowOff>
    </xdr:to>
    <xdr:sp macro="" textlink="">
      <xdr:nvSpPr>
        <xdr:cNvPr id="1213660" name="Line 19">
          <a:extLst>
            <a:ext uri="{FF2B5EF4-FFF2-40B4-BE49-F238E27FC236}">
              <a16:creationId xmlns:a16="http://schemas.microsoft.com/office/drawing/2014/main" id="{00000000-0008-0000-7000-0000DC841200}"/>
            </a:ext>
          </a:extLst>
        </xdr:cNvPr>
        <xdr:cNvSpPr/>
      </xdr:nvSpPr>
      <xdr:spPr>
        <a:xfrm>
          <a:off x="5554980" y="5930265"/>
          <a:ext cx="765810" cy="0"/>
        </a:xfrm>
        <a:prstGeom prst="line">
          <a:avLst/>
        </a:prstGeom>
        <a:ln w="9525" cap="flat" cmpd="sng">
          <a:solidFill>
            <a:srgbClr val="000000"/>
          </a:solidFill>
          <a:prstDash val="solid"/>
          <a:round/>
          <a:headEnd type="none" w="med" len="med"/>
          <a:tailEnd type="none" w="med" len="med"/>
        </a:ln>
      </xdr:spPr>
    </xdr:sp>
    <xdr:clientData/>
  </xdr:twoCellAnchor>
  <mc:AlternateContent xmlns:mc="http://schemas.openxmlformats.org/markup-compatibility/2006">
    <mc:Choice xmlns:a14="http://schemas.microsoft.com/office/drawing/2010/main" Requires="a14">
      <xdr:twoCellAnchor>
        <xdr:from>
          <xdr:col>1</xdr:col>
          <xdr:colOff>161925</xdr:colOff>
          <xdr:row>41</xdr:row>
          <xdr:rowOff>9525</xdr:rowOff>
        </xdr:from>
        <xdr:to>
          <xdr:col>2</xdr:col>
          <xdr:colOff>114300</xdr:colOff>
          <xdr:row>41</xdr:row>
          <xdr:rowOff>190500</xdr:rowOff>
        </xdr:to>
        <xdr:sp macro="" textlink="">
          <xdr:nvSpPr>
            <xdr:cNvPr id="1213441" name="Picture 1" hidden="1">
              <a:extLst>
                <a:ext uri="{63B3BB69-23CF-44E3-9099-C40C66FF867C}">
                  <a14:compatExt spid="_x0000_s1213441"/>
                </a:ext>
                <a:ext uri="{FF2B5EF4-FFF2-40B4-BE49-F238E27FC236}">
                  <a16:creationId xmlns:a16="http://schemas.microsoft.com/office/drawing/2014/main" id="{00000000-0008-0000-7000-000001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123825</xdr:colOff>
          <xdr:row>44</xdr:row>
          <xdr:rowOff>9525</xdr:rowOff>
        </xdr:from>
        <xdr:to>
          <xdr:col>2</xdr:col>
          <xdr:colOff>95250</xdr:colOff>
          <xdr:row>44</xdr:row>
          <xdr:rowOff>190500</xdr:rowOff>
        </xdr:to>
        <xdr:sp macro="" textlink="">
          <xdr:nvSpPr>
            <xdr:cNvPr id="1213442" name="Picture 2" hidden="1">
              <a:extLst>
                <a:ext uri="{63B3BB69-23CF-44E3-9099-C40C66FF867C}">
                  <a14:compatExt spid="_x0000_s1213442"/>
                </a:ext>
                <a:ext uri="{FF2B5EF4-FFF2-40B4-BE49-F238E27FC236}">
                  <a16:creationId xmlns:a16="http://schemas.microsoft.com/office/drawing/2014/main" id="{00000000-0008-0000-7000-000002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123825</xdr:colOff>
          <xdr:row>45</xdr:row>
          <xdr:rowOff>0</xdr:rowOff>
        </xdr:from>
        <xdr:to>
          <xdr:col>2</xdr:col>
          <xdr:colOff>95250</xdr:colOff>
          <xdr:row>45</xdr:row>
          <xdr:rowOff>152400</xdr:rowOff>
        </xdr:to>
        <xdr:sp macro="" textlink="">
          <xdr:nvSpPr>
            <xdr:cNvPr id="1213443" name="Picture 3" hidden="1">
              <a:extLst>
                <a:ext uri="{63B3BB69-23CF-44E3-9099-C40C66FF867C}">
                  <a14:compatExt spid="_x0000_s1213443"/>
                </a:ext>
                <a:ext uri="{FF2B5EF4-FFF2-40B4-BE49-F238E27FC236}">
                  <a16:creationId xmlns:a16="http://schemas.microsoft.com/office/drawing/2014/main" id="{00000000-0008-0000-7000-000003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114300</xdr:colOff>
          <xdr:row>46</xdr:row>
          <xdr:rowOff>0</xdr:rowOff>
        </xdr:from>
        <xdr:to>
          <xdr:col>2</xdr:col>
          <xdr:colOff>76200</xdr:colOff>
          <xdr:row>46</xdr:row>
          <xdr:rowOff>152400</xdr:rowOff>
        </xdr:to>
        <xdr:sp macro="" textlink="">
          <xdr:nvSpPr>
            <xdr:cNvPr id="1213444" name="Picture 4" hidden="1">
              <a:extLst>
                <a:ext uri="{63B3BB69-23CF-44E3-9099-C40C66FF867C}">
                  <a14:compatExt spid="_x0000_s1213444"/>
                </a:ext>
                <a:ext uri="{FF2B5EF4-FFF2-40B4-BE49-F238E27FC236}">
                  <a16:creationId xmlns:a16="http://schemas.microsoft.com/office/drawing/2014/main" id="{00000000-0008-0000-7000-000004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47</xdr:row>
          <xdr:rowOff>0</xdr:rowOff>
        </xdr:from>
        <xdr:to>
          <xdr:col>2</xdr:col>
          <xdr:colOff>76200</xdr:colOff>
          <xdr:row>47</xdr:row>
          <xdr:rowOff>161925</xdr:rowOff>
        </xdr:to>
        <xdr:sp macro="" textlink="">
          <xdr:nvSpPr>
            <xdr:cNvPr id="1213445" name="Picture 5" hidden="1">
              <a:extLst>
                <a:ext uri="{63B3BB69-23CF-44E3-9099-C40C66FF867C}">
                  <a14:compatExt spid="_x0000_s1213445"/>
                </a:ext>
                <a:ext uri="{FF2B5EF4-FFF2-40B4-BE49-F238E27FC236}">
                  <a16:creationId xmlns:a16="http://schemas.microsoft.com/office/drawing/2014/main" id="{00000000-0008-0000-7000-000005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171450</xdr:colOff>
          <xdr:row>30</xdr:row>
          <xdr:rowOff>9525</xdr:rowOff>
        </xdr:from>
        <xdr:to>
          <xdr:col>3</xdr:col>
          <xdr:colOff>161925</xdr:colOff>
          <xdr:row>31</xdr:row>
          <xdr:rowOff>0</xdr:rowOff>
        </xdr:to>
        <xdr:sp macro="" textlink="">
          <xdr:nvSpPr>
            <xdr:cNvPr id="1213446" name="Picture 20" hidden="1">
              <a:extLst>
                <a:ext uri="{63B3BB69-23CF-44E3-9099-C40C66FF867C}">
                  <a14:compatExt spid="_x0000_s1213446"/>
                </a:ext>
                <a:ext uri="{FF2B5EF4-FFF2-40B4-BE49-F238E27FC236}">
                  <a16:creationId xmlns:a16="http://schemas.microsoft.com/office/drawing/2014/main" id="{00000000-0008-0000-7000-000006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180975</xdr:colOff>
          <xdr:row>31</xdr:row>
          <xdr:rowOff>28575</xdr:rowOff>
        </xdr:from>
        <xdr:to>
          <xdr:col>3</xdr:col>
          <xdr:colOff>171450</xdr:colOff>
          <xdr:row>32</xdr:row>
          <xdr:rowOff>0</xdr:rowOff>
        </xdr:to>
        <xdr:sp macro="" textlink="">
          <xdr:nvSpPr>
            <xdr:cNvPr id="1213447" name="Picture 21" hidden="1">
              <a:extLst>
                <a:ext uri="{63B3BB69-23CF-44E3-9099-C40C66FF867C}">
                  <a14:compatExt spid="_x0000_s1213447"/>
                </a:ext>
                <a:ext uri="{FF2B5EF4-FFF2-40B4-BE49-F238E27FC236}">
                  <a16:creationId xmlns:a16="http://schemas.microsoft.com/office/drawing/2014/main" id="{00000000-0008-0000-7000-000007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32</xdr:row>
          <xdr:rowOff>0</xdr:rowOff>
        </xdr:from>
        <xdr:to>
          <xdr:col>3</xdr:col>
          <xdr:colOff>152400</xdr:colOff>
          <xdr:row>32</xdr:row>
          <xdr:rowOff>161925</xdr:rowOff>
        </xdr:to>
        <xdr:sp macro="" textlink="">
          <xdr:nvSpPr>
            <xdr:cNvPr id="1213448" name="Picture 22" hidden="1">
              <a:extLst>
                <a:ext uri="{63B3BB69-23CF-44E3-9099-C40C66FF867C}">
                  <a14:compatExt spid="_x0000_s1213448"/>
                </a:ext>
                <a:ext uri="{FF2B5EF4-FFF2-40B4-BE49-F238E27FC236}">
                  <a16:creationId xmlns:a16="http://schemas.microsoft.com/office/drawing/2014/main" id="{00000000-0008-0000-7000-000008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161925</xdr:colOff>
          <xdr:row>33</xdr:row>
          <xdr:rowOff>0</xdr:rowOff>
        </xdr:from>
        <xdr:to>
          <xdr:col>3</xdr:col>
          <xdr:colOff>161925</xdr:colOff>
          <xdr:row>33</xdr:row>
          <xdr:rowOff>161925</xdr:rowOff>
        </xdr:to>
        <xdr:sp macro="" textlink="">
          <xdr:nvSpPr>
            <xdr:cNvPr id="1213449" name="Picture 23" hidden="1">
              <a:extLst>
                <a:ext uri="{63B3BB69-23CF-44E3-9099-C40C66FF867C}">
                  <a14:compatExt spid="_x0000_s1213449"/>
                </a:ext>
                <a:ext uri="{FF2B5EF4-FFF2-40B4-BE49-F238E27FC236}">
                  <a16:creationId xmlns:a16="http://schemas.microsoft.com/office/drawing/2014/main" id="{00000000-0008-0000-7000-000009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161925</xdr:colOff>
          <xdr:row>34</xdr:row>
          <xdr:rowOff>9525</xdr:rowOff>
        </xdr:from>
        <xdr:to>
          <xdr:col>3</xdr:col>
          <xdr:colOff>180975</xdr:colOff>
          <xdr:row>35</xdr:row>
          <xdr:rowOff>0</xdr:rowOff>
        </xdr:to>
        <xdr:sp macro="" textlink="">
          <xdr:nvSpPr>
            <xdr:cNvPr id="1213450" name="Picture 24" hidden="1">
              <a:extLst>
                <a:ext uri="{63B3BB69-23CF-44E3-9099-C40C66FF867C}">
                  <a14:compatExt spid="_x0000_s1213450"/>
                </a:ext>
                <a:ext uri="{FF2B5EF4-FFF2-40B4-BE49-F238E27FC236}">
                  <a16:creationId xmlns:a16="http://schemas.microsoft.com/office/drawing/2014/main" id="{00000000-0008-0000-7000-00000A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35</xdr:row>
          <xdr:rowOff>28575</xdr:rowOff>
        </xdr:from>
        <xdr:to>
          <xdr:col>3</xdr:col>
          <xdr:colOff>180975</xdr:colOff>
          <xdr:row>36</xdr:row>
          <xdr:rowOff>0</xdr:rowOff>
        </xdr:to>
        <xdr:sp macro="" textlink="">
          <xdr:nvSpPr>
            <xdr:cNvPr id="1213451" name="Picture 25" hidden="1">
              <a:extLst>
                <a:ext uri="{63B3BB69-23CF-44E3-9099-C40C66FF867C}">
                  <a14:compatExt spid="_x0000_s1213451"/>
                </a:ext>
                <a:ext uri="{FF2B5EF4-FFF2-40B4-BE49-F238E27FC236}">
                  <a16:creationId xmlns:a16="http://schemas.microsoft.com/office/drawing/2014/main" id="{00000000-0008-0000-7000-00000B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36</xdr:row>
          <xdr:rowOff>0</xdr:rowOff>
        </xdr:from>
        <xdr:to>
          <xdr:col>3</xdr:col>
          <xdr:colOff>228600</xdr:colOff>
          <xdr:row>37</xdr:row>
          <xdr:rowOff>0</xdr:rowOff>
        </xdr:to>
        <xdr:sp macro="" textlink="">
          <xdr:nvSpPr>
            <xdr:cNvPr id="1213452" name="Picture 26" hidden="1">
              <a:extLst>
                <a:ext uri="{63B3BB69-23CF-44E3-9099-C40C66FF867C}">
                  <a14:compatExt spid="_x0000_s1213452"/>
                </a:ext>
                <a:ext uri="{FF2B5EF4-FFF2-40B4-BE49-F238E27FC236}">
                  <a16:creationId xmlns:a16="http://schemas.microsoft.com/office/drawing/2014/main" id="{00000000-0008-0000-7000-00000C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161925</xdr:colOff>
          <xdr:row>37</xdr:row>
          <xdr:rowOff>9525</xdr:rowOff>
        </xdr:from>
        <xdr:to>
          <xdr:col>3</xdr:col>
          <xdr:colOff>152400</xdr:colOff>
          <xdr:row>38</xdr:row>
          <xdr:rowOff>0</xdr:rowOff>
        </xdr:to>
        <xdr:sp macro="" textlink="">
          <xdr:nvSpPr>
            <xdr:cNvPr id="1213453" name="Picture 27" hidden="1">
              <a:extLst>
                <a:ext uri="{63B3BB69-23CF-44E3-9099-C40C66FF867C}">
                  <a14:compatExt spid="_x0000_s1213453"/>
                </a:ext>
                <a:ext uri="{FF2B5EF4-FFF2-40B4-BE49-F238E27FC236}">
                  <a16:creationId xmlns:a16="http://schemas.microsoft.com/office/drawing/2014/main" id="{00000000-0008-0000-7000-00000D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142875</xdr:colOff>
          <xdr:row>37</xdr:row>
          <xdr:rowOff>190500</xdr:rowOff>
        </xdr:from>
        <xdr:to>
          <xdr:col>3</xdr:col>
          <xdr:colOff>171450</xdr:colOff>
          <xdr:row>39</xdr:row>
          <xdr:rowOff>0</xdr:rowOff>
        </xdr:to>
        <xdr:sp macro="" textlink="">
          <xdr:nvSpPr>
            <xdr:cNvPr id="1213454" name="Picture 28" hidden="1">
              <a:extLst>
                <a:ext uri="{63B3BB69-23CF-44E3-9099-C40C66FF867C}">
                  <a14:compatExt spid="_x0000_s1213454"/>
                </a:ext>
                <a:ext uri="{FF2B5EF4-FFF2-40B4-BE49-F238E27FC236}">
                  <a16:creationId xmlns:a16="http://schemas.microsoft.com/office/drawing/2014/main" id="{00000000-0008-0000-7000-00000E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xdr:row>
          <xdr:rowOff>76200</xdr:rowOff>
        </xdr:from>
        <xdr:to>
          <xdr:col>7</xdr:col>
          <xdr:colOff>238125</xdr:colOff>
          <xdr:row>13</xdr:row>
          <xdr:rowOff>0</xdr:rowOff>
        </xdr:to>
        <xdr:sp macro="" textlink="">
          <xdr:nvSpPr>
            <xdr:cNvPr id="1213455" name="Picture 29" hidden="1">
              <a:extLst>
                <a:ext uri="{63B3BB69-23CF-44E3-9099-C40C66FF867C}">
                  <a14:compatExt spid="_x0000_s1213455"/>
                </a:ext>
                <a:ext uri="{FF2B5EF4-FFF2-40B4-BE49-F238E27FC236}">
                  <a16:creationId xmlns:a16="http://schemas.microsoft.com/office/drawing/2014/main" id="{00000000-0008-0000-7000-00000F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xdr:row>
          <xdr:rowOff>190500</xdr:rowOff>
        </xdr:from>
        <xdr:to>
          <xdr:col>15</xdr:col>
          <xdr:colOff>133350</xdr:colOff>
          <xdr:row>12</xdr:row>
          <xdr:rowOff>85725</xdr:rowOff>
        </xdr:to>
        <xdr:sp macro="" textlink="">
          <xdr:nvSpPr>
            <xdr:cNvPr id="1213456" name="Picture 30" hidden="1">
              <a:extLst>
                <a:ext uri="{63B3BB69-23CF-44E3-9099-C40C66FF867C}">
                  <a14:compatExt spid="_x0000_s1213456"/>
                </a:ext>
                <a:ext uri="{FF2B5EF4-FFF2-40B4-BE49-F238E27FC236}">
                  <a16:creationId xmlns:a16="http://schemas.microsoft.com/office/drawing/2014/main" id="{00000000-0008-0000-7000-000010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142875</xdr:colOff>
          <xdr:row>5</xdr:row>
          <xdr:rowOff>76200</xdr:rowOff>
        </xdr:from>
        <xdr:to>
          <xdr:col>24</xdr:col>
          <xdr:colOff>76200</xdr:colOff>
          <xdr:row>12</xdr:row>
          <xdr:rowOff>133350</xdr:rowOff>
        </xdr:to>
        <xdr:sp macro="" textlink="">
          <xdr:nvSpPr>
            <xdr:cNvPr id="1213457" name="Picture 31" hidden="1">
              <a:extLst>
                <a:ext uri="{63B3BB69-23CF-44E3-9099-C40C66FF867C}">
                  <a14:compatExt spid="_x0000_s1213457"/>
                </a:ext>
                <a:ext uri="{FF2B5EF4-FFF2-40B4-BE49-F238E27FC236}">
                  <a16:creationId xmlns:a16="http://schemas.microsoft.com/office/drawing/2014/main" id="{00000000-0008-0000-7000-000011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133350</xdr:colOff>
          <xdr:row>13</xdr:row>
          <xdr:rowOff>0</xdr:rowOff>
        </xdr:from>
        <xdr:to>
          <xdr:col>8</xdr:col>
          <xdr:colOff>190500</xdr:colOff>
          <xdr:row>25</xdr:row>
          <xdr:rowOff>123825</xdr:rowOff>
        </xdr:to>
        <xdr:sp macro="" textlink="">
          <xdr:nvSpPr>
            <xdr:cNvPr id="1213458" name="Picture 32" hidden="1">
              <a:extLst>
                <a:ext uri="{63B3BB69-23CF-44E3-9099-C40C66FF867C}">
                  <a14:compatExt spid="_x0000_s1213458"/>
                </a:ext>
                <a:ext uri="{FF2B5EF4-FFF2-40B4-BE49-F238E27FC236}">
                  <a16:creationId xmlns:a16="http://schemas.microsoft.com/office/drawing/2014/main" id="{00000000-0008-0000-7000-000012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15</xdr:row>
          <xdr:rowOff>57150</xdr:rowOff>
        </xdr:from>
        <xdr:to>
          <xdr:col>16</xdr:col>
          <xdr:colOff>200025</xdr:colOff>
          <xdr:row>24</xdr:row>
          <xdr:rowOff>161925</xdr:rowOff>
        </xdr:to>
        <xdr:sp macro="" textlink="">
          <xdr:nvSpPr>
            <xdr:cNvPr id="1213459" name="Picture 33" hidden="1">
              <a:extLst>
                <a:ext uri="{63B3BB69-23CF-44E3-9099-C40C66FF867C}">
                  <a14:compatExt spid="_x0000_s1213459"/>
                </a:ext>
                <a:ext uri="{FF2B5EF4-FFF2-40B4-BE49-F238E27FC236}">
                  <a16:creationId xmlns:a16="http://schemas.microsoft.com/office/drawing/2014/main" id="{00000000-0008-0000-7000-000013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15</xdr:row>
          <xdr:rowOff>142875</xdr:rowOff>
        </xdr:from>
        <xdr:to>
          <xdr:col>23</xdr:col>
          <xdr:colOff>95250</xdr:colOff>
          <xdr:row>24</xdr:row>
          <xdr:rowOff>28575</xdr:rowOff>
        </xdr:to>
        <xdr:sp macro="" textlink="">
          <xdr:nvSpPr>
            <xdr:cNvPr id="1213460" name="Picture 34" hidden="1">
              <a:extLst>
                <a:ext uri="{63B3BB69-23CF-44E3-9099-C40C66FF867C}">
                  <a14:compatExt spid="_x0000_s1213460"/>
                </a:ext>
                <a:ext uri="{FF2B5EF4-FFF2-40B4-BE49-F238E27FC236}">
                  <a16:creationId xmlns:a16="http://schemas.microsoft.com/office/drawing/2014/main" id="{00000000-0008-0000-7000-00001484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3</xdr:col>
      <xdr:colOff>36019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0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104775</xdr:colOff>
          <xdr:row>8</xdr:row>
          <xdr:rowOff>28575</xdr:rowOff>
        </xdr:from>
        <xdr:to>
          <xdr:col>10</xdr:col>
          <xdr:colOff>152400</xdr:colOff>
          <xdr:row>18</xdr:row>
          <xdr:rowOff>0</xdr:rowOff>
        </xdr:to>
        <xdr:sp macro="" textlink="">
          <xdr:nvSpPr>
            <xdr:cNvPr id="1214465" name="Picture 74" hidden="1">
              <a:extLst>
                <a:ext uri="{63B3BB69-23CF-44E3-9099-C40C66FF867C}">
                  <a14:compatExt spid="_x0000_s1214465"/>
                </a:ext>
                <a:ext uri="{FF2B5EF4-FFF2-40B4-BE49-F238E27FC236}">
                  <a16:creationId xmlns:a16="http://schemas.microsoft.com/office/drawing/2014/main" id="{00000000-0008-0000-7100-000001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190500</xdr:colOff>
          <xdr:row>7</xdr:row>
          <xdr:rowOff>142875</xdr:rowOff>
        </xdr:from>
        <xdr:to>
          <xdr:col>22</xdr:col>
          <xdr:colOff>228600</xdr:colOff>
          <xdr:row>18</xdr:row>
          <xdr:rowOff>0</xdr:rowOff>
        </xdr:to>
        <xdr:sp macro="" textlink="">
          <xdr:nvSpPr>
            <xdr:cNvPr id="1214466" name="Picture 77" hidden="1">
              <a:extLst>
                <a:ext uri="{63B3BB69-23CF-44E3-9099-C40C66FF867C}">
                  <a14:compatExt spid="_x0000_s1214466"/>
                </a:ext>
                <a:ext uri="{FF2B5EF4-FFF2-40B4-BE49-F238E27FC236}">
                  <a16:creationId xmlns:a16="http://schemas.microsoft.com/office/drawing/2014/main" id="{00000000-0008-0000-7100-000002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56</xdr:row>
          <xdr:rowOff>85725</xdr:rowOff>
        </xdr:from>
        <xdr:to>
          <xdr:col>10</xdr:col>
          <xdr:colOff>76200</xdr:colOff>
          <xdr:row>62</xdr:row>
          <xdr:rowOff>114300</xdr:rowOff>
        </xdr:to>
        <xdr:sp macro="" textlink="">
          <xdr:nvSpPr>
            <xdr:cNvPr id="1214467" name="Picture 82" hidden="1">
              <a:extLst>
                <a:ext uri="{63B3BB69-23CF-44E3-9099-C40C66FF867C}">
                  <a14:compatExt spid="_x0000_s1214467"/>
                </a:ext>
                <a:ext uri="{FF2B5EF4-FFF2-40B4-BE49-F238E27FC236}">
                  <a16:creationId xmlns:a16="http://schemas.microsoft.com/office/drawing/2014/main" id="{00000000-0008-0000-7100-000003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171450</xdr:colOff>
          <xdr:row>66</xdr:row>
          <xdr:rowOff>133350</xdr:rowOff>
        </xdr:from>
        <xdr:to>
          <xdr:col>23</xdr:col>
          <xdr:colOff>238125</xdr:colOff>
          <xdr:row>67</xdr:row>
          <xdr:rowOff>104775</xdr:rowOff>
        </xdr:to>
        <xdr:sp macro="" textlink="">
          <xdr:nvSpPr>
            <xdr:cNvPr id="1214468" name="Picture 83" hidden="1">
              <a:extLst>
                <a:ext uri="{63B3BB69-23CF-44E3-9099-C40C66FF867C}">
                  <a14:compatExt spid="_x0000_s1214468"/>
                </a:ext>
                <a:ext uri="{FF2B5EF4-FFF2-40B4-BE49-F238E27FC236}">
                  <a16:creationId xmlns:a16="http://schemas.microsoft.com/office/drawing/2014/main" id="{00000000-0008-0000-7100-000004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171450</xdr:colOff>
          <xdr:row>68</xdr:row>
          <xdr:rowOff>0</xdr:rowOff>
        </xdr:from>
        <xdr:to>
          <xdr:col>23</xdr:col>
          <xdr:colOff>228600</xdr:colOff>
          <xdr:row>68</xdr:row>
          <xdr:rowOff>190500</xdr:rowOff>
        </xdr:to>
        <xdr:sp macro="" textlink="">
          <xdr:nvSpPr>
            <xdr:cNvPr id="1214469" name="Picture 84" hidden="1">
              <a:extLst>
                <a:ext uri="{63B3BB69-23CF-44E3-9099-C40C66FF867C}">
                  <a14:compatExt spid="_x0000_s1214469"/>
                </a:ext>
                <a:ext uri="{FF2B5EF4-FFF2-40B4-BE49-F238E27FC236}">
                  <a16:creationId xmlns:a16="http://schemas.microsoft.com/office/drawing/2014/main" id="{00000000-0008-0000-7100-000005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161925</xdr:colOff>
          <xdr:row>69</xdr:row>
          <xdr:rowOff>9525</xdr:rowOff>
        </xdr:from>
        <xdr:to>
          <xdr:col>23</xdr:col>
          <xdr:colOff>228600</xdr:colOff>
          <xdr:row>69</xdr:row>
          <xdr:rowOff>190500</xdr:rowOff>
        </xdr:to>
        <xdr:sp macro="" textlink="">
          <xdr:nvSpPr>
            <xdr:cNvPr id="1214470" name="Picture 85" hidden="1">
              <a:extLst>
                <a:ext uri="{63B3BB69-23CF-44E3-9099-C40C66FF867C}">
                  <a14:compatExt spid="_x0000_s1214470"/>
                </a:ext>
                <a:ext uri="{FF2B5EF4-FFF2-40B4-BE49-F238E27FC236}">
                  <a16:creationId xmlns:a16="http://schemas.microsoft.com/office/drawing/2014/main" id="{00000000-0008-0000-7100-000006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171450</xdr:colOff>
          <xdr:row>70</xdr:row>
          <xdr:rowOff>9525</xdr:rowOff>
        </xdr:from>
        <xdr:to>
          <xdr:col>23</xdr:col>
          <xdr:colOff>238125</xdr:colOff>
          <xdr:row>70</xdr:row>
          <xdr:rowOff>180975</xdr:rowOff>
        </xdr:to>
        <xdr:sp macro="" textlink="">
          <xdr:nvSpPr>
            <xdr:cNvPr id="1214471" name="Picture 86" hidden="1">
              <a:extLst>
                <a:ext uri="{63B3BB69-23CF-44E3-9099-C40C66FF867C}">
                  <a14:compatExt spid="_x0000_s1214471"/>
                </a:ext>
                <a:ext uri="{FF2B5EF4-FFF2-40B4-BE49-F238E27FC236}">
                  <a16:creationId xmlns:a16="http://schemas.microsoft.com/office/drawing/2014/main" id="{00000000-0008-0000-7100-000007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79</xdr:row>
          <xdr:rowOff>38100</xdr:rowOff>
        </xdr:from>
        <xdr:to>
          <xdr:col>8</xdr:col>
          <xdr:colOff>9525</xdr:colOff>
          <xdr:row>86</xdr:row>
          <xdr:rowOff>38100</xdr:rowOff>
        </xdr:to>
        <xdr:sp macro="" textlink="">
          <xdr:nvSpPr>
            <xdr:cNvPr id="1214472" name="Picture 90" hidden="1">
              <a:extLst>
                <a:ext uri="{63B3BB69-23CF-44E3-9099-C40C66FF867C}">
                  <a14:compatExt spid="_x0000_s1214472"/>
                </a:ext>
                <a:ext uri="{FF2B5EF4-FFF2-40B4-BE49-F238E27FC236}">
                  <a16:creationId xmlns:a16="http://schemas.microsoft.com/office/drawing/2014/main" id="{00000000-0008-0000-7100-000008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79</xdr:row>
          <xdr:rowOff>38100</xdr:rowOff>
        </xdr:from>
        <xdr:to>
          <xdr:col>4</xdr:col>
          <xdr:colOff>57150</xdr:colOff>
          <xdr:row>86</xdr:row>
          <xdr:rowOff>47625</xdr:rowOff>
        </xdr:to>
        <xdr:sp macro="" textlink="">
          <xdr:nvSpPr>
            <xdr:cNvPr id="1214473" name="Picture 91" hidden="1">
              <a:extLst>
                <a:ext uri="{63B3BB69-23CF-44E3-9099-C40C66FF867C}">
                  <a14:compatExt spid="_x0000_s1214473"/>
                </a:ext>
                <a:ext uri="{FF2B5EF4-FFF2-40B4-BE49-F238E27FC236}">
                  <a16:creationId xmlns:a16="http://schemas.microsoft.com/office/drawing/2014/main" id="{00000000-0008-0000-7100-000009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123825</xdr:colOff>
          <xdr:row>84</xdr:row>
          <xdr:rowOff>9525</xdr:rowOff>
        </xdr:from>
        <xdr:to>
          <xdr:col>14</xdr:col>
          <xdr:colOff>76200</xdr:colOff>
          <xdr:row>85</xdr:row>
          <xdr:rowOff>0</xdr:rowOff>
        </xdr:to>
        <xdr:sp macro="" textlink="">
          <xdr:nvSpPr>
            <xdr:cNvPr id="1214474" name="Picture 92" hidden="1">
              <a:extLst>
                <a:ext uri="{63B3BB69-23CF-44E3-9099-C40C66FF867C}">
                  <a14:compatExt spid="_x0000_s1214474"/>
                </a:ext>
                <a:ext uri="{FF2B5EF4-FFF2-40B4-BE49-F238E27FC236}">
                  <a16:creationId xmlns:a16="http://schemas.microsoft.com/office/drawing/2014/main" id="{00000000-0008-0000-7100-00000A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16</xdr:col>
          <xdr:colOff>190500</xdr:colOff>
          <xdr:row>84</xdr:row>
          <xdr:rowOff>57150</xdr:rowOff>
        </xdr:from>
        <xdr:to>
          <xdr:col>17</xdr:col>
          <xdr:colOff>238125</xdr:colOff>
          <xdr:row>85</xdr:row>
          <xdr:rowOff>28575</xdr:rowOff>
        </xdr:to>
        <xdr:sp macro="" textlink="">
          <xdr:nvSpPr>
            <xdr:cNvPr id="1214475" name="Picture 93" hidden="1">
              <a:extLst>
                <a:ext uri="{63B3BB69-23CF-44E3-9099-C40C66FF867C}">
                  <a14:compatExt spid="_x0000_s1214475"/>
                </a:ext>
                <a:ext uri="{FF2B5EF4-FFF2-40B4-BE49-F238E27FC236}">
                  <a16:creationId xmlns:a16="http://schemas.microsoft.com/office/drawing/2014/main" id="{00000000-0008-0000-7100-00000B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104775</xdr:colOff>
          <xdr:row>84</xdr:row>
          <xdr:rowOff>0</xdr:rowOff>
        </xdr:from>
        <xdr:to>
          <xdr:col>23</xdr:col>
          <xdr:colOff>66675</xdr:colOff>
          <xdr:row>84</xdr:row>
          <xdr:rowOff>161925</xdr:rowOff>
        </xdr:to>
        <xdr:sp macro="" textlink="">
          <xdr:nvSpPr>
            <xdr:cNvPr id="1214476" name="Picture 94" hidden="1">
              <a:extLst>
                <a:ext uri="{63B3BB69-23CF-44E3-9099-C40C66FF867C}">
                  <a14:compatExt spid="_x0000_s1214476"/>
                </a:ext>
                <a:ext uri="{FF2B5EF4-FFF2-40B4-BE49-F238E27FC236}">
                  <a16:creationId xmlns:a16="http://schemas.microsoft.com/office/drawing/2014/main" id="{00000000-0008-0000-7100-00000C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xdr:colOff>
          <xdr:row>91</xdr:row>
          <xdr:rowOff>114300</xdr:rowOff>
        </xdr:from>
        <xdr:to>
          <xdr:col>17</xdr:col>
          <xdr:colOff>57150</xdr:colOff>
          <xdr:row>98</xdr:row>
          <xdr:rowOff>161925</xdr:rowOff>
        </xdr:to>
        <xdr:sp macro="" textlink="">
          <xdr:nvSpPr>
            <xdr:cNvPr id="1214477" name="Picture 96" hidden="1">
              <a:extLst>
                <a:ext uri="{63B3BB69-23CF-44E3-9099-C40C66FF867C}">
                  <a14:compatExt spid="_x0000_s1214477"/>
                </a:ext>
                <a:ext uri="{FF2B5EF4-FFF2-40B4-BE49-F238E27FC236}">
                  <a16:creationId xmlns:a16="http://schemas.microsoft.com/office/drawing/2014/main" id="{00000000-0008-0000-7100-00000D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47625</xdr:colOff>
          <xdr:row>111</xdr:row>
          <xdr:rowOff>9525</xdr:rowOff>
        </xdr:from>
        <xdr:to>
          <xdr:col>21</xdr:col>
          <xdr:colOff>190500</xdr:colOff>
          <xdr:row>112</xdr:row>
          <xdr:rowOff>0</xdr:rowOff>
        </xdr:to>
        <xdr:sp macro="" textlink="">
          <xdr:nvSpPr>
            <xdr:cNvPr id="1214478" name="Picture 99" hidden="1">
              <a:extLst>
                <a:ext uri="{63B3BB69-23CF-44E3-9099-C40C66FF867C}">
                  <a14:compatExt spid="_x0000_s1214478"/>
                </a:ext>
                <a:ext uri="{FF2B5EF4-FFF2-40B4-BE49-F238E27FC236}">
                  <a16:creationId xmlns:a16="http://schemas.microsoft.com/office/drawing/2014/main" id="{00000000-0008-0000-7100-00000E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47625</xdr:colOff>
          <xdr:row>113</xdr:row>
          <xdr:rowOff>190500</xdr:rowOff>
        </xdr:from>
        <xdr:to>
          <xdr:col>21</xdr:col>
          <xdr:colOff>190500</xdr:colOff>
          <xdr:row>114</xdr:row>
          <xdr:rowOff>161925</xdr:rowOff>
        </xdr:to>
        <xdr:sp macro="" textlink="">
          <xdr:nvSpPr>
            <xdr:cNvPr id="1214479" name="Picture 100" hidden="1">
              <a:extLst>
                <a:ext uri="{63B3BB69-23CF-44E3-9099-C40C66FF867C}">
                  <a14:compatExt spid="_x0000_s1214479"/>
                </a:ext>
                <a:ext uri="{FF2B5EF4-FFF2-40B4-BE49-F238E27FC236}">
                  <a16:creationId xmlns:a16="http://schemas.microsoft.com/office/drawing/2014/main" id="{00000000-0008-0000-7100-00000F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38100</xdr:colOff>
          <xdr:row>116</xdr:row>
          <xdr:rowOff>123825</xdr:rowOff>
        </xdr:from>
        <xdr:to>
          <xdr:col>21</xdr:col>
          <xdr:colOff>171450</xdr:colOff>
          <xdr:row>117</xdr:row>
          <xdr:rowOff>85725</xdr:rowOff>
        </xdr:to>
        <xdr:sp macro="" textlink="">
          <xdr:nvSpPr>
            <xdr:cNvPr id="1214480" name="Picture 101" hidden="1">
              <a:extLst>
                <a:ext uri="{63B3BB69-23CF-44E3-9099-C40C66FF867C}">
                  <a14:compatExt spid="_x0000_s1214480"/>
                </a:ext>
                <a:ext uri="{FF2B5EF4-FFF2-40B4-BE49-F238E27FC236}">
                  <a16:creationId xmlns:a16="http://schemas.microsoft.com/office/drawing/2014/main" id="{00000000-0008-0000-7100-000010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76200</xdr:colOff>
          <xdr:row>118</xdr:row>
          <xdr:rowOff>123825</xdr:rowOff>
        </xdr:from>
        <xdr:to>
          <xdr:col>21</xdr:col>
          <xdr:colOff>152400</xdr:colOff>
          <xdr:row>119</xdr:row>
          <xdr:rowOff>85725</xdr:rowOff>
        </xdr:to>
        <xdr:sp macro="" textlink="">
          <xdr:nvSpPr>
            <xdr:cNvPr id="1214481" name="Picture 102" hidden="1">
              <a:extLst>
                <a:ext uri="{63B3BB69-23CF-44E3-9099-C40C66FF867C}">
                  <a14:compatExt spid="_x0000_s1214481"/>
                </a:ext>
                <a:ext uri="{FF2B5EF4-FFF2-40B4-BE49-F238E27FC236}">
                  <a16:creationId xmlns:a16="http://schemas.microsoft.com/office/drawing/2014/main" id="{00000000-0008-0000-7100-000011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76200</xdr:colOff>
          <xdr:row>121</xdr:row>
          <xdr:rowOff>9525</xdr:rowOff>
        </xdr:from>
        <xdr:to>
          <xdr:col>21</xdr:col>
          <xdr:colOff>152400</xdr:colOff>
          <xdr:row>122</xdr:row>
          <xdr:rowOff>0</xdr:rowOff>
        </xdr:to>
        <xdr:sp macro="" textlink="">
          <xdr:nvSpPr>
            <xdr:cNvPr id="1214482" name="Picture 103" hidden="1">
              <a:extLst>
                <a:ext uri="{63B3BB69-23CF-44E3-9099-C40C66FF867C}">
                  <a14:compatExt spid="_x0000_s1214482"/>
                </a:ext>
                <a:ext uri="{FF2B5EF4-FFF2-40B4-BE49-F238E27FC236}">
                  <a16:creationId xmlns:a16="http://schemas.microsoft.com/office/drawing/2014/main" id="{00000000-0008-0000-7100-000012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228600</xdr:colOff>
          <xdr:row>110</xdr:row>
          <xdr:rowOff>9525</xdr:rowOff>
        </xdr:from>
        <xdr:to>
          <xdr:col>17</xdr:col>
          <xdr:colOff>47625</xdr:colOff>
          <xdr:row>111</xdr:row>
          <xdr:rowOff>0</xdr:rowOff>
        </xdr:to>
        <xdr:sp macro="" textlink="">
          <xdr:nvSpPr>
            <xdr:cNvPr id="1214483" name="Picture 104" hidden="1">
              <a:extLst>
                <a:ext uri="{63B3BB69-23CF-44E3-9099-C40C66FF867C}">
                  <a14:compatExt spid="_x0000_s1214483"/>
                </a:ext>
                <a:ext uri="{FF2B5EF4-FFF2-40B4-BE49-F238E27FC236}">
                  <a16:creationId xmlns:a16="http://schemas.microsoft.com/office/drawing/2014/main" id="{00000000-0008-0000-7100-000013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190500</xdr:colOff>
          <xdr:row>112</xdr:row>
          <xdr:rowOff>0</xdr:rowOff>
        </xdr:from>
        <xdr:to>
          <xdr:col>17</xdr:col>
          <xdr:colOff>76200</xdr:colOff>
          <xdr:row>113</xdr:row>
          <xdr:rowOff>0</xdr:rowOff>
        </xdr:to>
        <xdr:sp macro="" textlink="">
          <xdr:nvSpPr>
            <xdr:cNvPr id="1214484" name="Picture 105" hidden="1">
              <a:extLst>
                <a:ext uri="{63B3BB69-23CF-44E3-9099-C40C66FF867C}">
                  <a14:compatExt spid="_x0000_s1214484"/>
                </a:ext>
                <a:ext uri="{FF2B5EF4-FFF2-40B4-BE49-F238E27FC236}">
                  <a16:creationId xmlns:a16="http://schemas.microsoft.com/office/drawing/2014/main" id="{00000000-0008-0000-7100-000014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190500</xdr:colOff>
          <xdr:row>114</xdr:row>
          <xdr:rowOff>180975</xdr:rowOff>
        </xdr:from>
        <xdr:to>
          <xdr:col>17</xdr:col>
          <xdr:colOff>76200</xdr:colOff>
          <xdr:row>115</xdr:row>
          <xdr:rowOff>152400</xdr:rowOff>
        </xdr:to>
        <xdr:sp macro="" textlink="">
          <xdr:nvSpPr>
            <xdr:cNvPr id="1214485" name="Picture 106" hidden="1">
              <a:extLst>
                <a:ext uri="{63B3BB69-23CF-44E3-9099-C40C66FF867C}">
                  <a14:compatExt spid="_x0000_s1214485"/>
                </a:ext>
                <a:ext uri="{FF2B5EF4-FFF2-40B4-BE49-F238E27FC236}">
                  <a16:creationId xmlns:a16="http://schemas.microsoft.com/office/drawing/2014/main" id="{00000000-0008-0000-7100-000015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180975</xdr:colOff>
          <xdr:row>117</xdr:row>
          <xdr:rowOff>142875</xdr:rowOff>
        </xdr:from>
        <xdr:to>
          <xdr:col>17</xdr:col>
          <xdr:colOff>66675</xdr:colOff>
          <xdr:row>118</xdr:row>
          <xdr:rowOff>114300</xdr:rowOff>
        </xdr:to>
        <xdr:sp macro="" textlink="">
          <xdr:nvSpPr>
            <xdr:cNvPr id="1214486" name="Picture 107" hidden="1">
              <a:extLst>
                <a:ext uri="{63B3BB69-23CF-44E3-9099-C40C66FF867C}">
                  <a14:compatExt spid="_x0000_s1214486"/>
                </a:ext>
                <a:ext uri="{FF2B5EF4-FFF2-40B4-BE49-F238E27FC236}">
                  <a16:creationId xmlns:a16="http://schemas.microsoft.com/office/drawing/2014/main" id="{00000000-0008-0000-7100-000016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190500</xdr:colOff>
          <xdr:row>119</xdr:row>
          <xdr:rowOff>180975</xdr:rowOff>
        </xdr:from>
        <xdr:to>
          <xdr:col>17</xdr:col>
          <xdr:colOff>76200</xdr:colOff>
          <xdr:row>120</xdr:row>
          <xdr:rowOff>152400</xdr:rowOff>
        </xdr:to>
        <xdr:sp macro="" textlink="">
          <xdr:nvSpPr>
            <xdr:cNvPr id="1214487" name="Picture 108" hidden="1">
              <a:extLst>
                <a:ext uri="{63B3BB69-23CF-44E3-9099-C40C66FF867C}">
                  <a14:compatExt spid="_x0000_s1214487"/>
                </a:ext>
                <a:ext uri="{FF2B5EF4-FFF2-40B4-BE49-F238E27FC236}">
                  <a16:creationId xmlns:a16="http://schemas.microsoft.com/office/drawing/2014/main" id="{00000000-0008-0000-7100-000017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209550</xdr:colOff>
          <xdr:row>121</xdr:row>
          <xdr:rowOff>66675</xdr:rowOff>
        </xdr:from>
        <xdr:to>
          <xdr:col>17</xdr:col>
          <xdr:colOff>38100</xdr:colOff>
          <xdr:row>122</xdr:row>
          <xdr:rowOff>38100</xdr:rowOff>
        </xdr:to>
        <xdr:sp macro="" textlink="">
          <xdr:nvSpPr>
            <xdr:cNvPr id="1214488" name="Picture 109" hidden="1">
              <a:extLst>
                <a:ext uri="{63B3BB69-23CF-44E3-9099-C40C66FF867C}">
                  <a14:compatExt spid="_x0000_s1214488"/>
                </a:ext>
                <a:ext uri="{FF2B5EF4-FFF2-40B4-BE49-F238E27FC236}">
                  <a16:creationId xmlns:a16="http://schemas.microsoft.com/office/drawing/2014/main" id="{00000000-0008-0000-7100-000018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152400</xdr:colOff>
          <xdr:row>110</xdr:row>
          <xdr:rowOff>142875</xdr:rowOff>
        </xdr:from>
        <xdr:to>
          <xdr:col>12</xdr:col>
          <xdr:colOff>38100</xdr:colOff>
          <xdr:row>111</xdr:row>
          <xdr:rowOff>114300</xdr:rowOff>
        </xdr:to>
        <xdr:sp macro="" textlink="">
          <xdr:nvSpPr>
            <xdr:cNvPr id="1214489" name="Picture 110" hidden="1">
              <a:extLst>
                <a:ext uri="{63B3BB69-23CF-44E3-9099-C40C66FF867C}">
                  <a14:compatExt spid="_x0000_s1214489"/>
                </a:ext>
                <a:ext uri="{FF2B5EF4-FFF2-40B4-BE49-F238E27FC236}">
                  <a16:creationId xmlns:a16="http://schemas.microsoft.com/office/drawing/2014/main" id="{00000000-0008-0000-7100-000019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133350</xdr:colOff>
          <xdr:row>113</xdr:row>
          <xdr:rowOff>0</xdr:rowOff>
        </xdr:from>
        <xdr:to>
          <xdr:col>12</xdr:col>
          <xdr:colOff>19050</xdr:colOff>
          <xdr:row>114</xdr:row>
          <xdr:rowOff>0</xdr:rowOff>
        </xdr:to>
        <xdr:sp macro="" textlink="">
          <xdr:nvSpPr>
            <xdr:cNvPr id="1214490" name="Picture 111" hidden="1">
              <a:extLst>
                <a:ext uri="{63B3BB69-23CF-44E3-9099-C40C66FF867C}">
                  <a14:compatExt spid="_x0000_s1214490"/>
                </a:ext>
                <a:ext uri="{FF2B5EF4-FFF2-40B4-BE49-F238E27FC236}">
                  <a16:creationId xmlns:a16="http://schemas.microsoft.com/office/drawing/2014/main" id="{00000000-0008-0000-7100-00001A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171450</xdr:colOff>
          <xdr:row>115</xdr:row>
          <xdr:rowOff>142875</xdr:rowOff>
        </xdr:from>
        <xdr:to>
          <xdr:col>12</xdr:col>
          <xdr:colOff>57150</xdr:colOff>
          <xdr:row>116</xdr:row>
          <xdr:rowOff>114300</xdr:rowOff>
        </xdr:to>
        <xdr:sp macro="" textlink="">
          <xdr:nvSpPr>
            <xdr:cNvPr id="1214491" name="Picture 112" hidden="1">
              <a:extLst>
                <a:ext uri="{63B3BB69-23CF-44E3-9099-C40C66FF867C}">
                  <a14:compatExt spid="_x0000_s1214491"/>
                </a:ext>
                <a:ext uri="{FF2B5EF4-FFF2-40B4-BE49-F238E27FC236}">
                  <a16:creationId xmlns:a16="http://schemas.microsoft.com/office/drawing/2014/main" id="{00000000-0008-0000-7100-00001B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228600</xdr:colOff>
          <xdr:row>117</xdr:row>
          <xdr:rowOff>123825</xdr:rowOff>
        </xdr:from>
        <xdr:to>
          <xdr:col>12</xdr:col>
          <xdr:colOff>38100</xdr:colOff>
          <xdr:row>118</xdr:row>
          <xdr:rowOff>85725</xdr:rowOff>
        </xdr:to>
        <xdr:sp macro="" textlink="">
          <xdr:nvSpPr>
            <xdr:cNvPr id="1214492" name="Picture 113" hidden="1">
              <a:extLst>
                <a:ext uri="{63B3BB69-23CF-44E3-9099-C40C66FF867C}">
                  <a14:compatExt spid="_x0000_s1214492"/>
                </a:ext>
                <a:ext uri="{FF2B5EF4-FFF2-40B4-BE49-F238E27FC236}">
                  <a16:creationId xmlns:a16="http://schemas.microsoft.com/office/drawing/2014/main" id="{00000000-0008-0000-7100-00001C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200025</xdr:colOff>
          <xdr:row>120</xdr:row>
          <xdr:rowOff>0</xdr:rowOff>
        </xdr:from>
        <xdr:to>
          <xdr:col>12</xdr:col>
          <xdr:colOff>19050</xdr:colOff>
          <xdr:row>121</xdr:row>
          <xdr:rowOff>0</xdr:rowOff>
        </xdr:to>
        <xdr:sp macro="" textlink="">
          <xdr:nvSpPr>
            <xdr:cNvPr id="1214493" name="Picture 114" hidden="1">
              <a:extLst>
                <a:ext uri="{63B3BB69-23CF-44E3-9099-C40C66FF867C}">
                  <a14:compatExt spid="_x0000_s1214493"/>
                </a:ext>
                <a:ext uri="{FF2B5EF4-FFF2-40B4-BE49-F238E27FC236}">
                  <a16:creationId xmlns:a16="http://schemas.microsoft.com/office/drawing/2014/main" id="{00000000-0008-0000-7100-00001D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200025</xdr:colOff>
          <xdr:row>122</xdr:row>
          <xdr:rowOff>28575</xdr:rowOff>
        </xdr:from>
        <xdr:to>
          <xdr:col>12</xdr:col>
          <xdr:colOff>19050</xdr:colOff>
          <xdr:row>123</xdr:row>
          <xdr:rowOff>0</xdr:rowOff>
        </xdr:to>
        <xdr:sp macro="" textlink="">
          <xdr:nvSpPr>
            <xdr:cNvPr id="1214494" name="Picture 115" hidden="1">
              <a:extLst>
                <a:ext uri="{63B3BB69-23CF-44E3-9099-C40C66FF867C}">
                  <a14:compatExt spid="_x0000_s1214494"/>
                </a:ext>
                <a:ext uri="{FF2B5EF4-FFF2-40B4-BE49-F238E27FC236}">
                  <a16:creationId xmlns:a16="http://schemas.microsoft.com/office/drawing/2014/main" id="{00000000-0008-0000-7100-00001E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104775</xdr:colOff>
          <xdr:row>111</xdr:row>
          <xdr:rowOff>0</xdr:rowOff>
        </xdr:from>
        <xdr:to>
          <xdr:col>7</xdr:col>
          <xdr:colOff>161925</xdr:colOff>
          <xdr:row>113</xdr:row>
          <xdr:rowOff>0</xdr:rowOff>
        </xdr:to>
        <xdr:sp macro="" textlink="">
          <xdr:nvSpPr>
            <xdr:cNvPr id="1214495" name="Picture 116" hidden="1">
              <a:extLst>
                <a:ext uri="{63B3BB69-23CF-44E3-9099-C40C66FF867C}">
                  <a14:compatExt spid="_x0000_s1214495"/>
                </a:ext>
                <a:ext uri="{FF2B5EF4-FFF2-40B4-BE49-F238E27FC236}">
                  <a16:creationId xmlns:a16="http://schemas.microsoft.com/office/drawing/2014/main" id="{00000000-0008-0000-7100-00001F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115</xdr:row>
          <xdr:rowOff>66675</xdr:rowOff>
        </xdr:from>
        <xdr:to>
          <xdr:col>7</xdr:col>
          <xdr:colOff>152400</xdr:colOff>
          <xdr:row>117</xdr:row>
          <xdr:rowOff>66675</xdr:rowOff>
        </xdr:to>
        <xdr:sp macro="" textlink="">
          <xdr:nvSpPr>
            <xdr:cNvPr id="1214496" name="Picture 117" hidden="1">
              <a:extLst>
                <a:ext uri="{63B3BB69-23CF-44E3-9099-C40C66FF867C}">
                  <a14:compatExt spid="_x0000_s1214496"/>
                </a:ext>
                <a:ext uri="{FF2B5EF4-FFF2-40B4-BE49-F238E27FC236}">
                  <a16:creationId xmlns:a16="http://schemas.microsoft.com/office/drawing/2014/main" id="{00000000-0008-0000-7100-000020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119</xdr:row>
          <xdr:rowOff>180975</xdr:rowOff>
        </xdr:from>
        <xdr:to>
          <xdr:col>7</xdr:col>
          <xdr:colOff>152400</xdr:colOff>
          <xdr:row>121</xdr:row>
          <xdr:rowOff>161925</xdr:rowOff>
        </xdr:to>
        <xdr:sp macro="" textlink="">
          <xdr:nvSpPr>
            <xdr:cNvPr id="1214497" name="Picture 118" hidden="1">
              <a:extLst>
                <a:ext uri="{63B3BB69-23CF-44E3-9099-C40C66FF867C}">
                  <a14:compatExt spid="_x0000_s1214497"/>
                </a:ext>
                <a:ext uri="{FF2B5EF4-FFF2-40B4-BE49-F238E27FC236}">
                  <a16:creationId xmlns:a16="http://schemas.microsoft.com/office/drawing/2014/main" id="{00000000-0008-0000-7100-000021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76200</xdr:colOff>
          <xdr:row>123</xdr:row>
          <xdr:rowOff>152400</xdr:rowOff>
        </xdr:from>
        <xdr:to>
          <xdr:col>21</xdr:col>
          <xdr:colOff>209550</xdr:colOff>
          <xdr:row>124</xdr:row>
          <xdr:rowOff>142875</xdr:rowOff>
        </xdr:to>
        <xdr:sp macro="" textlink="">
          <xdr:nvSpPr>
            <xdr:cNvPr id="1214498" name="Picture 119" hidden="1">
              <a:extLst>
                <a:ext uri="{63B3BB69-23CF-44E3-9099-C40C66FF867C}">
                  <a14:compatExt spid="_x0000_s1214498"/>
                </a:ext>
                <a:ext uri="{FF2B5EF4-FFF2-40B4-BE49-F238E27FC236}">
                  <a16:creationId xmlns:a16="http://schemas.microsoft.com/office/drawing/2014/main" id="{00000000-0008-0000-7100-000022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200025</xdr:colOff>
          <xdr:row>123</xdr:row>
          <xdr:rowOff>142875</xdr:rowOff>
        </xdr:from>
        <xdr:to>
          <xdr:col>25</xdr:col>
          <xdr:colOff>95250</xdr:colOff>
          <xdr:row>124</xdr:row>
          <xdr:rowOff>133350</xdr:rowOff>
        </xdr:to>
        <xdr:sp macro="" textlink="">
          <xdr:nvSpPr>
            <xdr:cNvPr id="1214499" name="Picture 120" hidden="1">
              <a:extLst>
                <a:ext uri="{63B3BB69-23CF-44E3-9099-C40C66FF867C}">
                  <a14:compatExt spid="_x0000_s1214499"/>
                </a:ext>
                <a:ext uri="{FF2B5EF4-FFF2-40B4-BE49-F238E27FC236}">
                  <a16:creationId xmlns:a16="http://schemas.microsoft.com/office/drawing/2014/main" id="{00000000-0008-0000-7100-0000238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0</xdr:colOff>
      <xdr:row>0</xdr:row>
      <xdr:rowOff>0</xdr:rowOff>
    </xdr:from>
    <xdr:to>
      <xdr:col>3</xdr:col>
      <xdr:colOff>36019</xdr:colOff>
      <xdr:row>1</xdr:row>
      <xdr:rowOff>83724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1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7</xdr:col>
      <xdr:colOff>53340</xdr:colOff>
      <xdr:row>0</xdr:row>
      <xdr:rowOff>0</xdr:rowOff>
    </xdr:from>
    <xdr:to>
      <xdr:col>15</xdr:col>
      <xdr:colOff>472440</xdr:colOff>
      <xdr:row>51</xdr:row>
      <xdr:rowOff>152400</xdr:rowOff>
    </xdr:to>
    <xdr:grpSp>
      <xdr:nvGrpSpPr>
        <xdr:cNvPr id="1215552" name="Group 3">
          <a:extLst>
            <a:ext uri="{FF2B5EF4-FFF2-40B4-BE49-F238E27FC236}">
              <a16:creationId xmlns:a16="http://schemas.microsoft.com/office/drawing/2014/main" id="{00000000-0008-0000-7200-0000408C1200}"/>
            </a:ext>
          </a:extLst>
        </xdr:cNvPr>
        <xdr:cNvGrpSpPr/>
      </xdr:nvGrpSpPr>
      <xdr:grpSpPr>
        <a:xfrm>
          <a:off x="8054340" y="0"/>
          <a:ext cx="5905500" cy="13916025"/>
          <a:chOff x="493" y="86"/>
          <a:chExt cx="620" cy="1425"/>
        </a:xfrm>
      </xdr:grpSpPr>
      <xdr:pic>
        <xdr:nvPicPr>
          <xdr:cNvPr id="1215553" name="Picture 1">
            <a:extLst>
              <a:ext uri="{FF2B5EF4-FFF2-40B4-BE49-F238E27FC236}">
                <a16:creationId xmlns:a16="http://schemas.microsoft.com/office/drawing/2014/main" id="{00000000-0008-0000-7200-0000418C1200}"/>
              </a:ext>
            </a:extLst>
          </xdr:cNvPr>
          <xdr:cNvPicPr>
            <a:picLocks noChangeAspect="1"/>
          </xdr:cNvPicPr>
        </xdr:nvPicPr>
        <xdr:blipFill>
          <a:blip xmlns:r="http://schemas.openxmlformats.org/officeDocument/2006/relationships" r:embed="rId1" cstate="print"/>
          <a:stretch>
            <a:fillRect/>
          </a:stretch>
        </xdr:blipFill>
        <xdr:spPr>
          <a:xfrm>
            <a:off x="493" y="86"/>
            <a:ext cx="619" cy="738"/>
          </a:xfrm>
          <a:prstGeom prst="rect">
            <a:avLst/>
          </a:prstGeom>
          <a:noFill/>
          <a:ln w="1">
            <a:noFill/>
          </a:ln>
        </xdr:spPr>
      </xdr:pic>
      <xdr:pic>
        <xdr:nvPicPr>
          <xdr:cNvPr id="1215554" name="Picture 2">
            <a:extLst>
              <a:ext uri="{FF2B5EF4-FFF2-40B4-BE49-F238E27FC236}">
                <a16:creationId xmlns:a16="http://schemas.microsoft.com/office/drawing/2014/main" id="{00000000-0008-0000-7200-0000428C1200}"/>
              </a:ext>
            </a:extLst>
          </xdr:cNvPr>
          <xdr:cNvPicPr>
            <a:picLocks noChangeAspect="1"/>
          </xdr:cNvPicPr>
        </xdr:nvPicPr>
        <xdr:blipFill>
          <a:blip xmlns:r="http://schemas.openxmlformats.org/officeDocument/2006/relationships" r:embed="rId2" cstate="print"/>
          <a:stretch>
            <a:fillRect/>
          </a:stretch>
        </xdr:blipFill>
        <xdr:spPr>
          <a:xfrm>
            <a:off x="495" y="804"/>
            <a:ext cx="618" cy="707"/>
          </a:xfrm>
          <a:prstGeom prst="rect">
            <a:avLst/>
          </a:prstGeom>
          <a:noFill/>
          <a:ln w="1">
            <a:noFill/>
          </a:ln>
        </xdr:spPr>
      </xdr:pic>
    </xdr:grpSp>
    <xdr:clientData/>
  </xdr:twoCellAnchor>
  <xdr:twoCellAnchor>
    <xdr:from>
      <xdr:col>15</xdr:col>
      <xdr:colOff>0</xdr:colOff>
      <xdr:row>9</xdr:row>
      <xdr:rowOff>11430</xdr:rowOff>
    </xdr:from>
    <xdr:to>
      <xdr:col>15</xdr:col>
      <xdr:colOff>171450</xdr:colOff>
      <xdr:row>9</xdr:row>
      <xdr:rowOff>240030</xdr:rowOff>
    </xdr:to>
    <xdr:sp macro="" textlink="">
      <xdr:nvSpPr>
        <xdr:cNvPr id="2" name="AutoShape 4">
          <a:extLst>
            <a:ext uri="{FF2B5EF4-FFF2-40B4-BE49-F238E27FC236}">
              <a16:creationId xmlns:a16="http://schemas.microsoft.com/office/drawing/2014/main" id="{00000000-0008-0000-7200-000002000000}"/>
            </a:ext>
          </a:extLst>
        </xdr:cNvPr>
        <xdr:cNvSpPr>
          <a:spLocks noChangeArrowheads="1"/>
        </xdr:cNvSpPr>
      </xdr:nvSpPr>
      <xdr:spPr>
        <a:xfrm>
          <a:off x="13487400" y="2573655"/>
          <a:ext cx="171450" cy="228600"/>
        </a:xfrm>
        <a:prstGeom prst="wedgeRectCallout">
          <a:avLst>
            <a:gd name="adj1" fmla="val -205556"/>
            <a:gd name="adj2" fmla="val 33333"/>
          </a:avLst>
        </a:prstGeom>
        <a:solidFill>
          <a:srgbClr val="FFFFFF"/>
        </a:solidFill>
        <a:ln w="9525">
          <a:solidFill>
            <a:srgbClr val="000000"/>
          </a:solidFill>
          <a:miter lim="800000"/>
        </a:ln>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en-US" altLang="zh-CN" sz="1200" b="0" i="0" u="none" strike="noStrike" baseline="0">
              <a:solidFill>
                <a:srgbClr val="000000"/>
              </a:solidFill>
              <a:latin typeface="宋体" panose="02010600030101010101" pitchFamily="7" charset="-122"/>
              <a:ea typeface="宋体" panose="02010600030101010101" pitchFamily="7" charset="-122"/>
            </a:rPr>
            <a:t>V</a:t>
          </a:r>
        </a:p>
      </xdr:txBody>
    </xdr:sp>
    <xdr:clientData/>
  </xdr:twoCellAnchor>
  <xdr:twoCellAnchor>
    <xdr:from>
      <xdr:col>0</xdr:col>
      <xdr:colOff>19050</xdr:colOff>
      <xdr:row>16</xdr:row>
      <xdr:rowOff>0</xdr:rowOff>
    </xdr:from>
    <xdr:to>
      <xdr:col>3</xdr:col>
      <xdr:colOff>1032510</xdr:colOff>
      <xdr:row>20</xdr:row>
      <xdr:rowOff>219075</xdr:rowOff>
    </xdr:to>
    <xdr:sp macro="" textlink="">
      <xdr:nvSpPr>
        <xdr:cNvPr id="3" name="Rectangle 6">
          <a:extLst>
            <a:ext uri="{FF2B5EF4-FFF2-40B4-BE49-F238E27FC236}">
              <a16:creationId xmlns:a16="http://schemas.microsoft.com/office/drawing/2014/main" id="{00000000-0008-0000-7200-000003000000}"/>
            </a:ext>
          </a:extLst>
        </xdr:cNvPr>
        <xdr:cNvSpPr>
          <a:spLocks noChangeArrowheads="1"/>
        </xdr:cNvSpPr>
      </xdr:nvSpPr>
      <xdr:spPr>
        <a:xfrm>
          <a:off x="19050" y="4429125"/>
          <a:ext cx="4328160" cy="1285875"/>
        </a:xfrm>
        <a:prstGeom prst="rect">
          <a:avLst/>
        </a:prstGeom>
        <a:solidFill>
          <a:srgbClr val="FF99CC"/>
        </a:solidFill>
        <a:ln w="9525">
          <a:solidFill>
            <a:srgbClr val="000000"/>
          </a:solidFill>
          <a:miter lim="800000"/>
        </a:ln>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1200" b="1" i="0" u="none" strike="noStrike" baseline="0">
              <a:solidFill>
                <a:srgbClr val="000000"/>
              </a:solidFill>
              <a:latin typeface="宋体" panose="02010600030101010101" pitchFamily="7" charset="-122"/>
              <a:ea typeface="宋体" panose="02010600030101010101" pitchFamily="7" charset="-122"/>
            </a:rPr>
            <a:t>能量单位</a:t>
          </a:r>
          <a:r>
            <a:rPr lang="zh-CN" altLang="en-US" sz="1200" b="0" i="0" u="none" strike="noStrike" baseline="0">
              <a:solidFill>
                <a:srgbClr val="000000"/>
              </a:solidFill>
              <a:latin typeface="宋体" panose="02010600030101010101" pitchFamily="7" charset="-122"/>
              <a:ea typeface="宋体" panose="02010600030101010101" pitchFamily="7" charset="-122"/>
            </a:rPr>
            <a:t>  </a:t>
          </a:r>
        </a:p>
        <a:p>
          <a:pPr algn="l"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焦尔</a:t>
          </a:r>
          <a:r>
            <a:rPr lang="en-US" altLang="zh-CN" sz="1200" b="0" i="0" u="none" strike="noStrike" baseline="0">
              <a:solidFill>
                <a:srgbClr val="000000"/>
              </a:solidFill>
              <a:latin typeface="宋体" panose="02010600030101010101" pitchFamily="7" charset="-122"/>
              <a:ea typeface="宋体" panose="02010600030101010101" pitchFamily="7" charset="-122"/>
            </a:rPr>
            <a:t>joule</a:t>
          </a:r>
          <a:r>
            <a:rPr lang="zh-CN" altLang="en-US" sz="1200" b="0" i="0" u="none" strike="noStrike" baseline="0">
              <a:solidFill>
                <a:srgbClr val="000000"/>
              </a:solidFill>
              <a:latin typeface="宋体" panose="02010600030101010101" pitchFamily="7" charset="-122"/>
              <a:ea typeface="宋体" panose="02010600030101010101" pitchFamily="7" charset="-122"/>
            </a:rPr>
            <a:t>，</a:t>
          </a:r>
          <a:r>
            <a:rPr lang="en-US" altLang="zh-CN" sz="1200" b="0" i="0" u="none" strike="noStrike" baseline="0">
              <a:solidFill>
                <a:srgbClr val="000000"/>
              </a:solidFill>
              <a:latin typeface="宋体" panose="02010600030101010101" pitchFamily="7" charset="-122"/>
              <a:ea typeface="宋体" panose="02010600030101010101" pitchFamily="7" charset="-122"/>
            </a:rPr>
            <a:t>J; </a:t>
          </a:r>
          <a:r>
            <a:rPr lang="zh-CN" altLang="en-US" sz="1200" b="0" i="0" u="none" strike="noStrike" baseline="0">
              <a:solidFill>
                <a:srgbClr val="000000"/>
              </a:solidFill>
              <a:latin typeface="宋体" panose="02010600030101010101" pitchFamily="7" charset="-122"/>
              <a:ea typeface="宋体" panose="02010600030101010101" pitchFamily="7" charset="-122"/>
            </a:rPr>
            <a:t>千焦</a:t>
          </a:r>
          <a:r>
            <a:rPr lang="en-US" altLang="zh-CN" sz="1200" b="0" i="0" u="none" strike="noStrike" baseline="0">
              <a:solidFill>
                <a:srgbClr val="000000"/>
              </a:solidFill>
              <a:latin typeface="宋体" panose="02010600030101010101" pitchFamily="7" charset="-122"/>
              <a:ea typeface="宋体" panose="02010600030101010101" pitchFamily="7" charset="-122"/>
            </a:rPr>
            <a:t>(KJ); </a:t>
          </a:r>
          <a:r>
            <a:rPr lang="zh-CN" altLang="en-US" sz="1200" b="0" i="0" u="none" strike="noStrike" baseline="0">
              <a:solidFill>
                <a:srgbClr val="000000"/>
              </a:solidFill>
              <a:latin typeface="宋体" panose="02010600030101010101" pitchFamily="7" charset="-122"/>
              <a:ea typeface="宋体" panose="02010600030101010101" pitchFamily="7" charset="-122"/>
            </a:rPr>
            <a:t>兆焦</a:t>
          </a:r>
          <a:r>
            <a:rPr lang="en-US" altLang="zh-CN" sz="1200" b="0" i="0" u="none" strike="noStrike" baseline="0">
              <a:solidFill>
                <a:srgbClr val="000000"/>
              </a:solidFill>
              <a:latin typeface="宋体" panose="02010600030101010101" pitchFamily="7" charset="-122"/>
              <a:ea typeface="宋体" panose="02010600030101010101" pitchFamily="7" charset="-122"/>
            </a:rPr>
            <a:t>(MJ); </a:t>
          </a:r>
          <a:r>
            <a:rPr lang="zh-CN" altLang="en-US" sz="1200" b="0" i="0" u="none" strike="noStrike" baseline="0">
              <a:solidFill>
                <a:srgbClr val="000000"/>
              </a:solidFill>
              <a:latin typeface="宋体" panose="02010600030101010101" pitchFamily="7" charset="-122"/>
              <a:ea typeface="宋体" panose="02010600030101010101" pitchFamily="7" charset="-122"/>
            </a:rPr>
            <a:t>千兆焦</a:t>
          </a:r>
          <a:r>
            <a:rPr lang="en-US" altLang="zh-CN" sz="1200" b="0" i="0" u="none" strike="noStrike" baseline="0">
              <a:solidFill>
                <a:srgbClr val="000000"/>
              </a:solidFill>
              <a:latin typeface="宋体" panose="02010600030101010101" pitchFamily="7" charset="-122"/>
              <a:ea typeface="宋体" panose="02010600030101010101" pitchFamily="7" charset="-122"/>
            </a:rPr>
            <a:t>(GJ);</a:t>
          </a:r>
          <a:r>
            <a:rPr lang="zh-CN" altLang="en-US" sz="1200" b="0" i="0" u="none" strike="noStrike" baseline="0">
              <a:solidFill>
                <a:srgbClr val="000000"/>
              </a:solidFill>
              <a:latin typeface="宋体" panose="02010600030101010101" pitchFamily="7" charset="-122"/>
              <a:ea typeface="宋体" panose="02010600030101010101" pitchFamily="7" charset="-122"/>
            </a:rPr>
            <a:t>太焦</a:t>
          </a:r>
          <a:r>
            <a:rPr lang="en-US" altLang="zh-CN" sz="1200" b="0" i="0" u="none" strike="noStrike" baseline="0">
              <a:solidFill>
                <a:srgbClr val="000000"/>
              </a:solidFill>
              <a:latin typeface="宋体" panose="02010600030101010101" pitchFamily="7" charset="-122"/>
              <a:ea typeface="宋体" panose="02010600030101010101" pitchFamily="7" charset="-122"/>
            </a:rPr>
            <a:t>(TJ).  1J</a:t>
          </a:r>
          <a:r>
            <a:rPr lang="zh-CN" altLang="en-US" sz="1200" b="0" i="0" u="none" strike="noStrike" baseline="0">
              <a:solidFill>
                <a:srgbClr val="000000"/>
              </a:solidFill>
              <a:latin typeface="宋体" panose="02010600030101010101" pitchFamily="7" charset="-122"/>
              <a:ea typeface="宋体" panose="02010600030101010101" pitchFamily="7" charset="-122"/>
            </a:rPr>
            <a:t>能量是指用</a:t>
          </a:r>
          <a:r>
            <a:rPr lang="en-US" altLang="zh-CN" sz="1200" b="0" i="0" u="none" strike="noStrike" baseline="0">
              <a:solidFill>
                <a:srgbClr val="000000"/>
              </a:solidFill>
              <a:latin typeface="宋体" panose="02010600030101010101" pitchFamily="7" charset="-122"/>
              <a:ea typeface="宋体" panose="02010600030101010101" pitchFamily="7" charset="-122"/>
            </a:rPr>
            <a:t>1</a:t>
          </a:r>
          <a:r>
            <a:rPr lang="zh-CN" altLang="en-US" sz="1200" b="0" i="0" u="none" strike="noStrike" baseline="0">
              <a:solidFill>
                <a:srgbClr val="000000"/>
              </a:solidFill>
              <a:latin typeface="宋体" panose="02010600030101010101" pitchFamily="7" charset="-122"/>
              <a:ea typeface="宋体" panose="02010600030101010101" pitchFamily="7" charset="-122"/>
            </a:rPr>
            <a:t>牛顿的力把</a:t>
          </a:r>
          <a:r>
            <a:rPr lang="en-US" altLang="zh-CN" sz="1200" b="0" i="0" u="none" strike="noStrike" baseline="0">
              <a:solidFill>
                <a:srgbClr val="000000"/>
              </a:solidFill>
              <a:latin typeface="宋体" panose="02010600030101010101" pitchFamily="7" charset="-122"/>
              <a:ea typeface="宋体" panose="02010600030101010101" pitchFamily="7" charset="-122"/>
            </a:rPr>
            <a:t>1000g</a:t>
          </a:r>
          <a:r>
            <a:rPr lang="zh-CN" altLang="en-US" sz="1200" b="0" i="0" u="none" strike="noStrike" baseline="0">
              <a:solidFill>
                <a:srgbClr val="000000"/>
              </a:solidFill>
              <a:latin typeface="宋体" panose="02010600030101010101" pitchFamily="7" charset="-122"/>
              <a:ea typeface="宋体" panose="02010600030101010101" pitchFamily="7" charset="-122"/>
            </a:rPr>
            <a:t>物体移动</a:t>
          </a:r>
          <a:r>
            <a:rPr lang="en-US" altLang="zh-CN" sz="1200" b="0" i="0" u="none" strike="noStrike" baseline="0">
              <a:solidFill>
                <a:srgbClr val="000000"/>
              </a:solidFill>
              <a:latin typeface="宋体" panose="02010600030101010101" pitchFamily="7" charset="-122"/>
              <a:ea typeface="宋体" panose="02010600030101010101" pitchFamily="7" charset="-122"/>
            </a:rPr>
            <a:t>1m</a:t>
          </a:r>
          <a:r>
            <a:rPr lang="zh-CN" altLang="en-US" sz="1200" b="0" i="0" u="none" strike="noStrike" baseline="0">
              <a:solidFill>
                <a:srgbClr val="000000"/>
              </a:solidFill>
              <a:latin typeface="宋体" panose="02010600030101010101" pitchFamily="7" charset="-122"/>
              <a:ea typeface="宋体" panose="02010600030101010101" pitchFamily="7" charset="-122"/>
            </a:rPr>
            <a:t>所需要的能量（或所作的功），因此焦耳又称为牛顿米。  </a:t>
          </a:r>
        </a:p>
        <a:p>
          <a:pPr algn="l" rtl="0">
            <a:defRPr sz="1000"/>
          </a:pPr>
          <a:r>
            <a:rPr lang="en-US" altLang="zh-CN" sz="1200" b="0" i="0" u="none" strike="noStrike" baseline="0">
              <a:solidFill>
                <a:srgbClr val="000000"/>
              </a:solidFill>
              <a:latin typeface="宋体" panose="02010600030101010101" pitchFamily="7" charset="-122"/>
              <a:ea typeface="宋体" panose="02010600030101010101" pitchFamily="7" charset="-122"/>
            </a:rPr>
            <a:t>1TJ=1000GJ,1GJ=1000MJ,1MJ=1000kJ,1kJ=1000J,  </a:t>
          </a:r>
          <a:r>
            <a:rPr lang="en-US" altLang="zh-CN" sz="1200" b="1" i="0" u="none" strike="noStrike" baseline="0">
              <a:solidFill>
                <a:srgbClr val="000000"/>
              </a:solidFill>
              <a:latin typeface="宋体" panose="02010600030101010101" pitchFamily="7" charset="-122"/>
              <a:ea typeface="宋体" panose="02010600030101010101" pitchFamily="7" charset="-122"/>
            </a:rPr>
            <a:t>1J=1 N.m</a:t>
          </a:r>
          <a:r>
            <a:rPr lang="en-US" altLang="zh-CN" sz="1200" b="0" i="0" u="none" strike="noStrike" baseline="0">
              <a:solidFill>
                <a:srgbClr val="000000"/>
              </a:solidFill>
              <a:latin typeface="宋体" panose="02010600030101010101" pitchFamily="7" charset="-122"/>
              <a:ea typeface="宋体" panose="02010600030101010101" pitchFamily="7" charset="-122"/>
            </a:rPr>
            <a:t> 1KJ=0.239kcal= 0.948 Btu </a:t>
          </a:r>
        </a:p>
      </xdr:txBody>
    </xdr:sp>
    <xdr:clientData/>
  </xdr:twoCellAnchor>
  <xdr:twoCellAnchor editAs="oneCell">
    <xdr:from>
      <xdr:col>0</xdr:col>
      <xdr:colOff>60325</xdr:colOff>
      <xdr:row>21</xdr:row>
      <xdr:rowOff>76200</xdr:rowOff>
    </xdr:from>
    <xdr:to>
      <xdr:col>5</xdr:col>
      <xdr:colOff>601345</xdr:colOff>
      <xdr:row>45</xdr:row>
      <xdr:rowOff>175260</xdr:rowOff>
    </xdr:to>
    <xdr:pic>
      <xdr:nvPicPr>
        <xdr:cNvPr id="1215557" name="Picture 7">
          <a:extLst>
            <a:ext uri="{FF2B5EF4-FFF2-40B4-BE49-F238E27FC236}">
              <a16:creationId xmlns:a16="http://schemas.microsoft.com/office/drawing/2014/main" id="{00000000-0008-0000-7200-0000458C1200}"/>
            </a:ext>
          </a:extLst>
        </xdr:cNvPr>
        <xdr:cNvPicPr>
          <a:picLocks noChangeAspect="1"/>
        </xdr:cNvPicPr>
      </xdr:nvPicPr>
      <xdr:blipFill>
        <a:blip xmlns:r="http://schemas.openxmlformats.org/officeDocument/2006/relationships" r:embed="rId3" cstate="print"/>
        <a:stretch>
          <a:fillRect/>
        </a:stretch>
      </xdr:blipFill>
      <xdr:spPr>
        <a:xfrm>
          <a:off x="60325" y="5838825"/>
          <a:ext cx="6084570" cy="6499860"/>
        </a:xfrm>
        <a:prstGeom prst="rect">
          <a:avLst/>
        </a:prstGeom>
        <a:noFill/>
        <a:ln w="1">
          <a:noFill/>
        </a:ln>
      </xdr:spPr>
    </xdr:pic>
    <xdr:clientData/>
  </xdr:twoCellAnchor>
  <xdr:twoCellAnchor>
    <xdr:from>
      <xdr:col>4</xdr:col>
      <xdr:colOff>0</xdr:colOff>
      <xdr:row>14</xdr:row>
      <xdr:rowOff>127001</xdr:rowOff>
    </xdr:from>
    <xdr:to>
      <xdr:col>7</xdr:col>
      <xdr:colOff>42334</xdr:colOff>
      <xdr:row>20</xdr:row>
      <xdr:rowOff>222251</xdr:rowOff>
    </xdr:to>
    <xdr:sp macro="" textlink="">
      <xdr:nvSpPr>
        <xdr:cNvPr id="4" name="Rectangle 6">
          <a:extLst>
            <a:ext uri="{FF2B5EF4-FFF2-40B4-BE49-F238E27FC236}">
              <a16:creationId xmlns:a16="http://schemas.microsoft.com/office/drawing/2014/main" id="{00000000-0008-0000-7200-000004000000}"/>
            </a:ext>
          </a:extLst>
        </xdr:cNvPr>
        <xdr:cNvSpPr>
          <a:spLocks noChangeArrowheads="1"/>
        </xdr:cNvSpPr>
      </xdr:nvSpPr>
      <xdr:spPr>
        <a:xfrm>
          <a:off x="4429125" y="4022725"/>
          <a:ext cx="3613785" cy="1695450"/>
        </a:xfrm>
        <a:prstGeom prst="rect">
          <a:avLst/>
        </a:prstGeom>
        <a:solidFill>
          <a:schemeClr val="accent2">
            <a:lumMod val="60000"/>
            <a:lumOff val="40000"/>
          </a:schemeClr>
        </a:solidFill>
        <a:ln w="9525">
          <a:solidFill>
            <a:srgbClr val="000000"/>
          </a:solidFill>
          <a:miter lim="800000"/>
        </a:ln>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1200" b="1" i="0" u="none" strike="noStrike" baseline="0">
              <a:solidFill>
                <a:srgbClr val="000000"/>
              </a:solidFill>
              <a:latin typeface="宋体" panose="02010600030101010101" pitchFamily="7" charset="-122"/>
              <a:ea typeface="宋体" panose="02010600030101010101" pitchFamily="7" charset="-122"/>
            </a:rPr>
            <a:t>应用案例：</a:t>
          </a:r>
          <a:endParaRPr lang="en-US" altLang="zh-CN" sz="1200" b="1" i="0" u="none" strike="noStrike" baseline="0">
            <a:solidFill>
              <a:srgbClr val="000000"/>
            </a:solidFill>
            <a:latin typeface="宋体" panose="02010600030101010101" pitchFamily="7" charset="-122"/>
            <a:ea typeface="宋体" panose="02010600030101010101" pitchFamily="7" charset="-122"/>
          </a:endParaRPr>
        </a:p>
        <a:p>
          <a:pPr algn="l" rtl="0">
            <a:defRPr sz="1000"/>
          </a:pPr>
          <a:r>
            <a:rPr lang="en-US" altLang="zh-CN" sz="1200" b="0" i="0" u="none" strike="noStrike" baseline="0">
              <a:solidFill>
                <a:srgbClr val="000000"/>
              </a:solidFill>
              <a:latin typeface="宋体" panose="02010600030101010101" pitchFamily="7" charset="-122"/>
              <a:ea typeface="宋体" panose="02010600030101010101" pitchFamily="7" charset="-122"/>
            </a:rPr>
            <a:t>GZ14226</a:t>
          </a:r>
          <a:r>
            <a:rPr lang="zh-CN" altLang="en-US" sz="1200" b="0" i="0" u="none" strike="noStrike" baseline="0">
              <a:solidFill>
                <a:srgbClr val="000000"/>
              </a:solidFill>
              <a:latin typeface="宋体" panose="02010600030101010101" pitchFamily="7" charset="-122"/>
              <a:ea typeface="宋体" panose="02010600030101010101" pitchFamily="7" charset="-122"/>
            </a:rPr>
            <a:t>升高器全检机中，</a:t>
          </a:r>
          <a:endParaRPr lang="en-US" altLang="zh-CN" sz="1200" b="0" i="0" u="none" strike="noStrike" baseline="0">
            <a:solidFill>
              <a:srgbClr val="000000"/>
            </a:solidFill>
            <a:latin typeface="宋体" panose="02010600030101010101" pitchFamily="7" charset="-122"/>
            <a:ea typeface="宋体" panose="02010600030101010101" pitchFamily="7" charset="-122"/>
          </a:endParaRPr>
        </a:p>
        <a:p>
          <a:pPr algn="l"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气缸：</a:t>
          </a:r>
          <a:r>
            <a:rPr lang="en-US" altLang="zh-CN" sz="1200" b="0" i="0" u="none" strike="noStrike" baseline="0">
              <a:solidFill>
                <a:srgbClr val="000000"/>
              </a:solidFill>
              <a:latin typeface="宋体" panose="02010600030101010101" pitchFamily="7" charset="-122"/>
              <a:ea typeface="+mn-ea"/>
            </a:rPr>
            <a:t>SC-32*150-S  </a:t>
          </a:r>
          <a:r>
            <a:rPr lang="zh-CN" altLang="en-US" sz="1200" b="0" i="0" u="none" strike="noStrike" baseline="0">
              <a:solidFill>
                <a:srgbClr val="000000"/>
              </a:solidFill>
              <a:latin typeface="宋体" panose="02010600030101010101" pitchFamily="7" charset="-122"/>
              <a:ea typeface="+mn-ea"/>
            </a:rPr>
            <a:t>出力：</a:t>
          </a:r>
          <a:r>
            <a:rPr lang="en-US" altLang="zh-CN" sz="1200" b="0" i="0" u="none" strike="noStrike" baseline="0">
              <a:solidFill>
                <a:srgbClr val="000000"/>
              </a:solidFill>
              <a:latin typeface="宋体" panose="02010600030101010101" pitchFamily="7" charset="-122"/>
              <a:ea typeface="+mn-ea"/>
            </a:rPr>
            <a:t>402</a:t>
          </a:r>
        </a:p>
        <a:p>
          <a:pPr algn="l" rtl="0">
            <a:defRPr sz="1000"/>
          </a:pPr>
          <a:r>
            <a:rPr lang="zh-CN" altLang="en-US" sz="1200" b="0" i="0" u="none" strike="noStrike" baseline="0">
              <a:solidFill>
                <a:srgbClr val="000000"/>
              </a:solidFill>
              <a:latin typeface="宋体" panose="02010600030101010101" pitchFamily="7" charset="-122"/>
              <a:ea typeface="+mn-ea"/>
            </a:rPr>
            <a:t>负载总质量约：</a:t>
          </a:r>
          <a:r>
            <a:rPr lang="en-US" altLang="zh-CN" sz="1200" b="0" i="0" u="none" strike="noStrike" baseline="0">
              <a:solidFill>
                <a:srgbClr val="000000"/>
              </a:solidFill>
              <a:latin typeface="宋体" panose="02010600030101010101" pitchFamily="7" charset="-122"/>
              <a:ea typeface="+mn-ea"/>
            </a:rPr>
            <a:t>19.2KG   </a:t>
          </a:r>
          <a:r>
            <a:rPr lang="zh-CN" altLang="en-US" sz="1200" b="0" i="0" u="none" strike="noStrike" baseline="0">
              <a:solidFill>
                <a:srgbClr val="000000"/>
              </a:solidFill>
              <a:latin typeface="宋体" panose="02010600030101010101" pitchFamily="7" charset="-122"/>
              <a:ea typeface="+mn-ea"/>
            </a:rPr>
            <a:t>缓冲行程：</a:t>
          </a:r>
          <a:r>
            <a:rPr lang="en-US" altLang="zh-CN" sz="1200" b="0" i="0" u="none" strike="noStrike" baseline="0">
              <a:solidFill>
                <a:srgbClr val="000000"/>
              </a:solidFill>
              <a:latin typeface="宋体" panose="02010600030101010101" pitchFamily="7" charset="-122"/>
              <a:ea typeface="+mn-ea"/>
            </a:rPr>
            <a:t>6mm</a:t>
          </a:r>
        </a:p>
        <a:p>
          <a:pPr algn="l" rtl="0">
            <a:defRPr sz="1000"/>
          </a:pPr>
          <a:r>
            <a:rPr lang="zh-CN" altLang="en-US" sz="1200" b="0" i="0" u="none" strike="noStrike" baseline="0">
              <a:solidFill>
                <a:srgbClr val="000000"/>
              </a:solidFill>
              <a:latin typeface="宋体" panose="02010600030101010101" pitchFamily="7" charset="-122"/>
              <a:ea typeface="+mn-ea"/>
            </a:rPr>
            <a:t>代入上面公式中得出总能量为：</a:t>
          </a:r>
          <a:r>
            <a:rPr lang="en-US" altLang="zh-CN" sz="1200" b="0" i="0" u="none" strike="noStrike" baseline="0">
              <a:solidFill>
                <a:srgbClr val="000000"/>
              </a:solidFill>
              <a:latin typeface="宋体" panose="02010600030101010101" pitchFamily="7" charset="-122"/>
              <a:ea typeface="+mn-ea"/>
            </a:rPr>
            <a:t>4.812</a:t>
          </a:r>
        </a:p>
        <a:p>
          <a:pPr algn="l" rtl="0">
            <a:defRPr sz="1000"/>
          </a:pPr>
          <a:r>
            <a:rPr lang="zh-CN" altLang="en-US" sz="1200" b="1" i="0" u="none" strike="noStrike" baseline="0">
              <a:solidFill>
                <a:srgbClr val="000000"/>
              </a:solidFill>
              <a:latin typeface="宋体" panose="02010600030101010101" pitchFamily="7" charset="-122"/>
              <a:ea typeface="+mn-ea"/>
            </a:rPr>
            <a:t>正常选择需考虑安全系数</a:t>
          </a:r>
          <a:r>
            <a:rPr lang="en-US" altLang="zh-CN" sz="1200" b="1" i="0" u="none" strike="noStrike" baseline="0">
              <a:solidFill>
                <a:srgbClr val="000000"/>
              </a:solidFill>
              <a:latin typeface="宋体" panose="02010600030101010101" pitchFamily="7" charset="-122"/>
              <a:ea typeface="+mn-ea"/>
            </a:rPr>
            <a:t>*2</a:t>
          </a:r>
        </a:p>
        <a:p>
          <a:pPr algn="l" rtl="0">
            <a:defRPr sz="1000"/>
          </a:pPr>
          <a:r>
            <a:rPr lang="zh-CN" altLang="en-US" sz="1200" b="0" i="0" u="none" strike="noStrike" baseline="0">
              <a:solidFill>
                <a:srgbClr val="000000"/>
              </a:solidFill>
              <a:latin typeface="宋体" panose="02010600030101010101" pitchFamily="7" charset="-122"/>
              <a:ea typeface="宋体" panose="02010600030101010101" pitchFamily="7" charset="-122"/>
            </a:rPr>
            <a:t>由上可得出：</a:t>
          </a:r>
          <a:r>
            <a:rPr lang="en-US" altLang="zh-CN" sz="1200" b="0" i="0" u="none" strike="noStrike" baseline="0">
              <a:solidFill>
                <a:srgbClr val="000000"/>
              </a:solidFill>
              <a:latin typeface="宋体" panose="02010600030101010101" pitchFamily="7" charset="-122"/>
              <a:ea typeface="宋体" panose="02010600030101010101" pitchFamily="7" charset="-122"/>
            </a:rPr>
            <a:t>ACA1210-1</a:t>
          </a:r>
          <a:r>
            <a:rPr lang="zh-CN" altLang="en-US" sz="1200" b="0" i="0" u="none" strike="noStrike" baseline="0">
              <a:solidFill>
                <a:srgbClr val="000000"/>
              </a:solidFill>
              <a:latin typeface="宋体" panose="02010600030101010101" pitchFamily="7" charset="-122"/>
              <a:ea typeface="宋体" panose="02010600030101010101" pitchFamily="7" charset="-122"/>
            </a:rPr>
            <a:t>缓冲器适用；</a:t>
          </a:r>
          <a:r>
            <a:rPr lang="en-US" altLang="zh-CN" sz="1200" b="0" i="0" u="none" strike="noStrike" baseline="0">
              <a:solidFill>
                <a:srgbClr val="000000"/>
              </a:solidFill>
              <a:latin typeface="宋体" panose="02010600030101010101" pitchFamily="7" charset="-122"/>
              <a:ea typeface="宋体" panose="02010600030101010101" pitchFamily="7" charset="-122"/>
            </a:rPr>
            <a:t>(</a:t>
          </a:r>
          <a:r>
            <a:rPr lang="zh-CN" altLang="en-US" sz="1200" b="0" i="0" u="none" strike="noStrike" baseline="0">
              <a:solidFill>
                <a:srgbClr val="000000"/>
              </a:solidFill>
              <a:latin typeface="宋体" panose="02010600030101010101" pitchFamily="7" charset="-122"/>
              <a:ea typeface="宋体" panose="02010600030101010101" pitchFamily="7" charset="-122"/>
            </a:rPr>
            <a:t>最大吸收能量为</a:t>
          </a:r>
          <a:r>
            <a:rPr lang="en-US" altLang="zh-CN" sz="1200" b="0" i="0" u="none" strike="noStrike" baseline="0">
              <a:solidFill>
                <a:srgbClr val="000000"/>
              </a:solidFill>
              <a:latin typeface="宋体" panose="02010600030101010101" pitchFamily="7" charset="-122"/>
              <a:ea typeface="宋体" panose="02010600030101010101" pitchFamily="7" charset="-122"/>
            </a:rPr>
            <a:t>10NM)</a:t>
          </a:r>
          <a:r>
            <a:rPr lang="zh-CN" altLang="en-US" sz="1200" b="0" i="0" u="none" strike="noStrike" baseline="0">
              <a:solidFill>
                <a:srgbClr val="000000"/>
              </a:solidFill>
              <a:latin typeface="宋体" panose="02010600030101010101" pitchFamily="7" charset="-122"/>
              <a:ea typeface="宋体" panose="02010600030101010101" pitchFamily="7" charset="-122"/>
            </a:rPr>
            <a:t>，行程</a:t>
          </a:r>
          <a:r>
            <a:rPr lang="en-US" altLang="zh-CN" sz="1200" b="0" i="0" u="none" strike="noStrike" baseline="0">
              <a:solidFill>
                <a:srgbClr val="000000"/>
              </a:solidFill>
              <a:latin typeface="宋体" panose="02010600030101010101" pitchFamily="7" charset="-122"/>
              <a:ea typeface="宋体" panose="02010600030101010101" pitchFamily="7" charset="-122"/>
            </a:rPr>
            <a:t>10mm</a:t>
          </a:r>
          <a:r>
            <a:rPr lang="zh-CN" altLang="en-US" sz="1200" b="0" i="0" u="none" strike="noStrike" baseline="0">
              <a:solidFill>
                <a:srgbClr val="000000"/>
              </a:solidFill>
              <a:latin typeface="宋体" panose="02010600030101010101" pitchFamily="7" charset="-122"/>
              <a:ea typeface="宋体" panose="02010600030101010101" pitchFamily="7" charset="-122"/>
            </a:rPr>
            <a:t>使用</a:t>
          </a:r>
          <a:r>
            <a:rPr lang="en-US" altLang="zh-CN" sz="1200" b="0" i="0" u="none" strike="noStrike" baseline="0">
              <a:solidFill>
                <a:srgbClr val="000000"/>
              </a:solidFill>
              <a:latin typeface="宋体" panose="02010600030101010101" pitchFamily="7" charset="-122"/>
              <a:ea typeface="宋体" panose="02010600030101010101" pitchFamily="7" charset="-122"/>
            </a:rPr>
            <a:t>6mm</a:t>
          </a:r>
          <a:r>
            <a:rPr lang="zh-CN" altLang="en-US" sz="1200" b="0" i="0" u="none" strike="noStrike" baseline="0">
              <a:solidFill>
                <a:srgbClr val="000000"/>
              </a:solidFill>
              <a:latin typeface="宋体" panose="02010600030101010101" pitchFamily="7" charset="-122"/>
              <a:ea typeface="宋体" panose="02010600030101010101" pitchFamily="7" charset="-122"/>
            </a:rPr>
            <a:t>在范围内。</a:t>
          </a:r>
        </a:p>
      </xdr:txBody>
    </xdr:sp>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5" name="五边形 1">
          <a:hlinkClick xmlns:r="http://schemas.openxmlformats.org/officeDocument/2006/relationships" r:id="rId4"/>
          <a:extLst>
            <a:ext uri="{FF2B5EF4-FFF2-40B4-BE49-F238E27FC236}">
              <a16:creationId xmlns:a16="http://schemas.microsoft.com/office/drawing/2014/main" id="{00000000-0008-0000-7200-000005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3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119546</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4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95797</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5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19.xml><?xml version="1.0" encoding="utf-8"?>
<xdr:wsDr xmlns:xdr="http://schemas.openxmlformats.org/drawingml/2006/spreadsheetDrawing" xmlns:a="http://schemas.openxmlformats.org/drawingml/2006/main">
  <xdr:twoCellAnchor editAs="oneCell">
    <xdr:from>
      <xdr:col>3</xdr:col>
      <xdr:colOff>449580</xdr:colOff>
      <xdr:row>0</xdr:row>
      <xdr:rowOff>38100</xdr:rowOff>
    </xdr:from>
    <xdr:to>
      <xdr:col>10</xdr:col>
      <xdr:colOff>327660</xdr:colOff>
      <xdr:row>12</xdr:row>
      <xdr:rowOff>45720</xdr:rowOff>
    </xdr:to>
    <xdr:pic>
      <xdr:nvPicPr>
        <xdr:cNvPr id="1216522" name="图片 1">
          <a:extLst>
            <a:ext uri="{FF2B5EF4-FFF2-40B4-BE49-F238E27FC236}">
              <a16:creationId xmlns:a16="http://schemas.microsoft.com/office/drawing/2014/main" id="{00000000-0008-0000-7600-00000A901200}"/>
            </a:ext>
          </a:extLst>
        </xdr:cNvPr>
        <xdr:cNvPicPr/>
      </xdr:nvPicPr>
      <xdr:blipFill>
        <a:blip xmlns:r="http://schemas.openxmlformats.org/officeDocument/2006/relationships" r:embed="rId1" cstate="print"/>
        <a:stretch>
          <a:fillRect/>
        </a:stretch>
      </xdr:blipFill>
      <xdr:spPr>
        <a:xfrm>
          <a:off x="2506980" y="38100"/>
          <a:ext cx="4678680" cy="2607945"/>
        </a:xfrm>
        <a:prstGeom prst="rect">
          <a:avLst/>
        </a:prstGeom>
        <a:noFill/>
        <a:ln w="9525">
          <a:noFill/>
        </a:ln>
      </xdr:spPr>
    </xdr:pic>
    <xdr:clientData/>
  </xdr:twoCellAnchor>
  <xdr:twoCellAnchor editAs="absolute">
    <xdr:from>
      <xdr:col>0</xdr:col>
      <xdr:colOff>0</xdr:colOff>
      <xdr:row>0</xdr:row>
      <xdr:rowOff>0</xdr:rowOff>
    </xdr:from>
    <xdr:to>
      <xdr:col>1</xdr:col>
      <xdr:colOff>98612</xdr:colOff>
      <xdr:row>1</xdr:row>
      <xdr:rowOff>116381</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76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388444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7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16969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8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16969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9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169369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B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5.xml><?xml version="1.0" encoding="utf-8"?>
<xdr:wsDr xmlns:xdr="http://schemas.openxmlformats.org/drawingml/2006/spreadsheetDrawing" xmlns:a="http://schemas.openxmlformats.org/drawingml/2006/main">
  <xdr:twoCellAnchor editAs="oneCell">
    <xdr:from>
      <xdr:col>6</xdr:col>
      <xdr:colOff>152400</xdr:colOff>
      <xdr:row>2</xdr:row>
      <xdr:rowOff>205740</xdr:rowOff>
    </xdr:from>
    <xdr:to>
      <xdr:col>11</xdr:col>
      <xdr:colOff>487680</xdr:colOff>
      <xdr:row>16</xdr:row>
      <xdr:rowOff>144780</xdr:rowOff>
    </xdr:to>
    <xdr:pic>
      <xdr:nvPicPr>
        <xdr:cNvPr id="1217555" name="Picture 2">
          <a:extLst>
            <a:ext uri="{FF2B5EF4-FFF2-40B4-BE49-F238E27FC236}">
              <a16:creationId xmlns:a16="http://schemas.microsoft.com/office/drawing/2014/main" id="{00000000-0008-0000-7C00-000013941200}"/>
            </a:ext>
          </a:extLst>
        </xdr:cNvPr>
        <xdr:cNvPicPr>
          <a:picLocks noChangeAspect="1"/>
        </xdr:cNvPicPr>
      </xdr:nvPicPr>
      <xdr:blipFill>
        <a:blip xmlns:r="http://schemas.openxmlformats.org/officeDocument/2006/relationships" r:embed="rId1" cstate="print"/>
        <a:stretch>
          <a:fillRect/>
        </a:stretch>
      </xdr:blipFill>
      <xdr:spPr>
        <a:xfrm>
          <a:off x="5410200" y="1363345"/>
          <a:ext cx="4059555" cy="2661920"/>
        </a:xfrm>
        <a:prstGeom prst="rect">
          <a:avLst/>
        </a:prstGeom>
        <a:noFill/>
        <a:ln w="9525">
          <a:noFill/>
        </a:ln>
      </xdr:spPr>
    </xdr:pic>
    <xdr:clientData/>
  </xdr:twoCellAnchor>
  <xdr:twoCellAnchor editAs="oneCell">
    <xdr:from>
      <xdr:col>0</xdr:col>
      <xdr:colOff>0</xdr:colOff>
      <xdr:row>79</xdr:row>
      <xdr:rowOff>45720</xdr:rowOff>
    </xdr:from>
    <xdr:to>
      <xdr:col>11</xdr:col>
      <xdr:colOff>381000</xdr:colOff>
      <xdr:row>146</xdr:row>
      <xdr:rowOff>7620</xdr:rowOff>
    </xdr:to>
    <xdr:pic>
      <xdr:nvPicPr>
        <xdr:cNvPr id="1217556" name="图片 7" descr="正名分割器选型目录 16.tif">
          <a:extLst>
            <a:ext uri="{FF2B5EF4-FFF2-40B4-BE49-F238E27FC236}">
              <a16:creationId xmlns:a16="http://schemas.microsoft.com/office/drawing/2014/main" id="{00000000-0008-0000-7C00-000014941200}"/>
            </a:ext>
          </a:extLst>
        </xdr:cNvPr>
        <xdr:cNvPicPr>
          <a:picLocks noChangeAspect="1"/>
        </xdr:cNvPicPr>
      </xdr:nvPicPr>
      <xdr:blipFill>
        <a:blip xmlns:r="http://schemas.openxmlformats.org/officeDocument/2006/relationships" r:embed="rId2" cstate="print"/>
        <a:stretch>
          <a:fillRect/>
        </a:stretch>
      </xdr:blipFill>
      <xdr:spPr>
        <a:xfrm>
          <a:off x="0" y="13027025"/>
          <a:ext cx="9363075" cy="12087225"/>
        </a:xfrm>
        <a:prstGeom prst="rect">
          <a:avLst/>
        </a:prstGeom>
        <a:noFill/>
        <a:ln w="9525">
          <a:noFill/>
        </a:ln>
      </xdr:spPr>
    </xdr:pic>
    <xdr:clientData/>
  </xdr:twoCellAnchor>
  <xdr:twoCellAnchor editAs="absolute">
    <xdr:from>
      <xdr:col>0</xdr:col>
      <xdr:colOff>0</xdr:colOff>
      <xdr:row>0</xdr:row>
      <xdr:rowOff>0</xdr:rowOff>
    </xdr:from>
    <xdr:to>
      <xdr:col>1</xdr:col>
      <xdr:colOff>173851</xdr:colOff>
      <xdr:row>0</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00000000-0008-0000-7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6.xml><?xml version="1.0" encoding="utf-8"?>
<xdr:wsDr xmlns:xdr="http://schemas.openxmlformats.org/drawingml/2006/spreadsheetDrawing" xmlns:a="http://schemas.openxmlformats.org/drawingml/2006/main">
  <xdr:twoCellAnchor editAs="oneCell">
    <xdr:from>
      <xdr:col>5</xdr:col>
      <xdr:colOff>83820</xdr:colOff>
      <xdr:row>2</xdr:row>
      <xdr:rowOff>114300</xdr:rowOff>
    </xdr:from>
    <xdr:to>
      <xdr:col>11</xdr:col>
      <xdr:colOff>0</xdr:colOff>
      <xdr:row>12</xdr:row>
      <xdr:rowOff>160020</xdr:rowOff>
    </xdr:to>
    <xdr:pic>
      <xdr:nvPicPr>
        <xdr:cNvPr id="1218579" name="图片 1" descr="QQ图片20150917123337">
          <a:extLst>
            <a:ext uri="{FF2B5EF4-FFF2-40B4-BE49-F238E27FC236}">
              <a16:creationId xmlns:a16="http://schemas.microsoft.com/office/drawing/2014/main" id="{00000000-0008-0000-7D00-000013981200}"/>
            </a:ext>
          </a:extLst>
        </xdr:cNvPr>
        <xdr:cNvPicPr>
          <a:picLocks noChangeAspect="1"/>
        </xdr:cNvPicPr>
      </xdr:nvPicPr>
      <xdr:blipFill>
        <a:blip xmlns:r="http://schemas.openxmlformats.org/officeDocument/2006/relationships" r:embed="rId1" cstate="print"/>
        <a:stretch>
          <a:fillRect/>
        </a:stretch>
      </xdr:blipFill>
      <xdr:spPr>
        <a:xfrm>
          <a:off x="4874895" y="1167130"/>
          <a:ext cx="4173855" cy="3379470"/>
        </a:xfrm>
        <a:prstGeom prst="rect">
          <a:avLst/>
        </a:prstGeom>
        <a:noFill/>
        <a:ln w="9525">
          <a:noFill/>
        </a:ln>
      </xdr:spPr>
    </xdr:pic>
    <xdr:clientData/>
  </xdr:twoCellAnchor>
  <xdr:twoCellAnchor editAs="oneCell">
    <xdr:from>
      <xdr:col>0</xdr:col>
      <xdr:colOff>7620</xdr:colOff>
      <xdr:row>83</xdr:row>
      <xdr:rowOff>669925</xdr:rowOff>
    </xdr:from>
    <xdr:to>
      <xdr:col>13</xdr:col>
      <xdr:colOff>229235</xdr:colOff>
      <xdr:row>132</xdr:row>
      <xdr:rowOff>29845</xdr:rowOff>
    </xdr:to>
    <xdr:pic>
      <xdr:nvPicPr>
        <xdr:cNvPr id="1218580" name="图片 2" descr="兆奕分割器型錄20130222_页面_14">
          <a:extLst>
            <a:ext uri="{FF2B5EF4-FFF2-40B4-BE49-F238E27FC236}">
              <a16:creationId xmlns:a16="http://schemas.microsoft.com/office/drawing/2014/main" id="{00000000-0008-0000-7D00-000014981200}"/>
            </a:ext>
          </a:extLst>
        </xdr:cNvPr>
        <xdr:cNvPicPr>
          <a:picLocks noChangeAspect="1"/>
        </xdr:cNvPicPr>
      </xdr:nvPicPr>
      <xdr:blipFill>
        <a:blip xmlns:r="http://schemas.openxmlformats.org/officeDocument/2006/relationships" r:embed="rId2" cstate="print"/>
        <a:stretch>
          <a:fillRect/>
        </a:stretch>
      </xdr:blipFill>
      <xdr:spPr>
        <a:xfrm>
          <a:off x="7620" y="24819610"/>
          <a:ext cx="11099165" cy="16033750"/>
        </a:xfrm>
        <a:prstGeom prst="rect">
          <a:avLst/>
        </a:prstGeom>
        <a:noFill/>
        <a:ln w="9525">
          <a:noFill/>
        </a:ln>
      </xdr:spPr>
    </xdr:pic>
    <xdr:clientData/>
  </xdr:twoCellAnchor>
  <xdr:twoCellAnchor editAs="absolute">
    <xdr:from>
      <xdr:col>0</xdr:col>
      <xdr:colOff>7620</xdr:colOff>
      <xdr:row>83</xdr:row>
      <xdr:rowOff>381181</xdr:rowOff>
    </xdr:from>
    <xdr:to>
      <xdr:col>1</xdr:col>
      <xdr:colOff>174268</xdr:colOff>
      <xdr:row>84</xdr:row>
      <xdr:rowOff>7705</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00000000-0008-0000-7D00-000002000000}"/>
            </a:ext>
          </a:extLst>
        </xdr:cNvPr>
        <xdr:cNvSpPr>
          <a:spLocks noChangeAspect="1"/>
        </xdr:cNvSpPr>
      </xdr:nvSpPr>
      <xdr:spPr>
        <a:xfrm flipH="1">
          <a:off x="7620" y="2481961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twoCellAnchor editAs="absolute">
    <xdr:from>
      <xdr:col>0</xdr:col>
      <xdr:colOff>0</xdr:colOff>
      <xdr:row>0</xdr:row>
      <xdr:rowOff>0</xdr:rowOff>
    </xdr:from>
    <xdr:to>
      <xdr:col>1</xdr:col>
      <xdr:colOff>166648</xdr:colOff>
      <xdr:row>0</xdr:row>
      <xdr:rowOff>293274</xdr:rowOff>
    </xdr:to>
    <xdr:sp macro="" textlink="">
      <xdr:nvSpPr>
        <xdr:cNvPr id="3" name="五边形 1">
          <a:hlinkClick xmlns:r="http://schemas.openxmlformats.org/officeDocument/2006/relationships" r:id="rId3"/>
          <a:extLst>
            <a:ext uri="{FF2B5EF4-FFF2-40B4-BE49-F238E27FC236}">
              <a16:creationId xmlns:a16="http://schemas.microsoft.com/office/drawing/2014/main" id="{00000000-0008-0000-7D00-000003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7.xml><?xml version="1.0" encoding="utf-8"?>
<xdr:wsDr xmlns:xdr="http://schemas.openxmlformats.org/drawingml/2006/spreadsheetDrawing" xmlns:a="http://schemas.openxmlformats.org/drawingml/2006/main">
  <xdr:twoCellAnchor editAs="oneCell">
    <xdr:from>
      <xdr:col>3</xdr:col>
      <xdr:colOff>1188085</xdr:colOff>
      <xdr:row>24</xdr:row>
      <xdr:rowOff>53340</xdr:rowOff>
    </xdr:from>
    <xdr:to>
      <xdr:col>7</xdr:col>
      <xdr:colOff>540385</xdr:colOff>
      <xdr:row>39</xdr:row>
      <xdr:rowOff>152400</xdr:rowOff>
    </xdr:to>
    <xdr:pic>
      <xdr:nvPicPr>
        <xdr:cNvPr id="1219828" name="Picture 20" descr="1">
          <a:extLst>
            <a:ext uri="{FF2B5EF4-FFF2-40B4-BE49-F238E27FC236}">
              <a16:creationId xmlns:a16="http://schemas.microsoft.com/office/drawing/2014/main" id="{00000000-0008-0000-7E00-0000F49C1200}"/>
            </a:ext>
          </a:extLst>
        </xdr:cNvPr>
        <xdr:cNvPicPr>
          <a:picLocks noChangeAspect="1"/>
        </xdr:cNvPicPr>
      </xdr:nvPicPr>
      <xdr:blipFill>
        <a:blip xmlns:r="http://schemas.openxmlformats.org/officeDocument/2006/relationships" r:embed="rId1" cstate="print"/>
        <a:stretch>
          <a:fillRect/>
        </a:stretch>
      </xdr:blipFill>
      <xdr:spPr>
        <a:xfrm>
          <a:off x="1188085" y="5301615"/>
          <a:ext cx="2990850" cy="2813685"/>
        </a:xfrm>
        <a:prstGeom prst="rect">
          <a:avLst/>
        </a:prstGeom>
        <a:noFill/>
        <a:ln w="9525">
          <a:noFill/>
        </a:ln>
      </xdr:spPr>
    </xdr:pic>
    <xdr:clientData/>
  </xdr:twoCellAnchor>
  <xdr:twoCellAnchor editAs="oneCell">
    <xdr:from>
      <xdr:col>9</xdr:col>
      <xdr:colOff>205740</xdr:colOff>
      <xdr:row>29</xdr:row>
      <xdr:rowOff>144780</xdr:rowOff>
    </xdr:from>
    <xdr:to>
      <xdr:col>11</xdr:col>
      <xdr:colOff>457200</xdr:colOff>
      <xdr:row>39</xdr:row>
      <xdr:rowOff>168275</xdr:rowOff>
    </xdr:to>
    <xdr:pic>
      <xdr:nvPicPr>
        <xdr:cNvPr id="1219829" name="Picture 21" descr="2">
          <a:extLst>
            <a:ext uri="{FF2B5EF4-FFF2-40B4-BE49-F238E27FC236}">
              <a16:creationId xmlns:a16="http://schemas.microsoft.com/office/drawing/2014/main" id="{00000000-0008-0000-7E00-0000F59C1200}"/>
            </a:ext>
          </a:extLst>
        </xdr:cNvPr>
        <xdr:cNvPicPr>
          <a:picLocks noChangeAspect="1"/>
        </xdr:cNvPicPr>
      </xdr:nvPicPr>
      <xdr:blipFill>
        <a:blip xmlns:r="http://schemas.openxmlformats.org/officeDocument/2006/relationships" r:embed="rId2" cstate="print"/>
        <a:stretch>
          <a:fillRect/>
        </a:stretch>
      </xdr:blipFill>
      <xdr:spPr>
        <a:xfrm>
          <a:off x="5663565" y="6297930"/>
          <a:ext cx="1623060" cy="1833245"/>
        </a:xfrm>
        <a:prstGeom prst="rect">
          <a:avLst/>
        </a:prstGeom>
        <a:noFill/>
        <a:ln w="9525">
          <a:noFill/>
        </a:ln>
      </xdr:spPr>
    </xdr:pic>
    <xdr:clientData/>
  </xdr:twoCellAnchor>
  <xdr:twoCellAnchor>
    <xdr:from>
      <xdr:col>14</xdr:col>
      <xdr:colOff>518160</xdr:colOff>
      <xdr:row>21</xdr:row>
      <xdr:rowOff>53340</xdr:rowOff>
    </xdr:from>
    <xdr:to>
      <xdr:col>14</xdr:col>
      <xdr:colOff>518160</xdr:colOff>
      <xdr:row>25</xdr:row>
      <xdr:rowOff>6985</xdr:rowOff>
    </xdr:to>
    <xdr:sp macro="" textlink="">
      <xdr:nvSpPr>
        <xdr:cNvPr id="1219830" name="Line 9">
          <a:extLst>
            <a:ext uri="{FF2B5EF4-FFF2-40B4-BE49-F238E27FC236}">
              <a16:creationId xmlns:a16="http://schemas.microsoft.com/office/drawing/2014/main" id="{00000000-0008-0000-7E00-0000F69C1200}"/>
            </a:ext>
          </a:extLst>
        </xdr:cNvPr>
        <xdr:cNvSpPr/>
      </xdr:nvSpPr>
      <xdr:spPr>
        <a:xfrm>
          <a:off x="9176385" y="4701540"/>
          <a:ext cx="0" cy="734695"/>
        </a:xfrm>
        <a:prstGeom prst="line">
          <a:avLst/>
        </a:prstGeom>
        <a:ln w="9525" cap="flat" cmpd="sng">
          <a:solidFill>
            <a:srgbClr val="000000"/>
          </a:solidFill>
          <a:prstDash val="solid"/>
          <a:round/>
          <a:headEnd type="none" w="med" len="med"/>
          <a:tailEnd type="none" w="med" len="med"/>
        </a:ln>
      </xdr:spPr>
    </xdr:sp>
    <xdr:clientData/>
  </xdr:twoCellAnchor>
  <xdr:twoCellAnchor>
    <xdr:from>
      <xdr:col>10</xdr:col>
      <xdr:colOff>274320</xdr:colOff>
      <xdr:row>29</xdr:row>
      <xdr:rowOff>144780</xdr:rowOff>
    </xdr:from>
    <xdr:to>
      <xdr:col>10</xdr:col>
      <xdr:colOff>274320</xdr:colOff>
      <xdr:row>33</xdr:row>
      <xdr:rowOff>106680</xdr:rowOff>
    </xdr:to>
    <xdr:sp macro="" textlink="">
      <xdr:nvSpPr>
        <xdr:cNvPr id="1219831" name="Line 10">
          <a:extLst>
            <a:ext uri="{FF2B5EF4-FFF2-40B4-BE49-F238E27FC236}">
              <a16:creationId xmlns:a16="http://schemas.microsoft.com/office/drawing/2014/main" id="{00000000-0008-0000-7E00-0000F79C1200}"/>
            </a:ext>
          </a:extLst>
        </xdr:cNvPr>
        <xdr:cNvSpPr/>
      </xdr:nvSpPr>
      <xdr:spPr>
        <a:xfrm>
          <a:off x="6551295" y="6297930"/>
          <a:ext cx="0" cy="685800"/>
        </a:xfrm>
        <a:prstGeom prst="line">
          <a:avLst/>
        </a:prstGeom>
        <a:ln w="9525" cap="flat" cmpd="sng">
          <a:solidFill>
            <a:srgbClr val="00FF00"/>
          </a:solidFill>
          <a:prstDash val="solid"/>
          <a:round/>
          <a:headEnd type="none" w="med" len="med"/>
          <a:tailEnd type="none" w="med" len="med"/>
        </a:ln>
      </xdr:spPr>
    </xdr:sp>
    <xdr:clientData/>
  </xdr:twoCellAnchor>
  <xdr:twoCellAnchor>
    <xdr:from>
      <xdr:col>9</xdr:col>
      <xdr:colOff>670560</xdr:colOff>
      <xdr:row>29</xdr:row>
      <xdr:rowOff>6985</xdr:rowOff>
    </xdr:from>
    <xdr:to>
      <xdr:col>10</xdr:col>
      <xdr:colOff>83820</xdr:colOff>
      <xdr:row>29</xdr:row>
      <xdr:rowOff>6985</xdr:rowOff>
    </xdr:to>
    <xdr:sp macro="" textlink="">
      <xdr:nvSpPr>
        <xdr:cNvPr id="1219832" name="Line 11">
          <a:extLst>
            <a:ext uri="{FF2B5EF4-FFF2-40B4-BE49-F238E27FC236}">
              <a16:creationId xmlns:a16="http://schemas.microsoft.com/office/drawing/2014/main" id="{00000000-0008-0000-7E00-0000F89C1200}"/>
            </a:ext>
          </a:extLst>
        </xdr:cNvPr>
        <xdr:cNvSpPr/>
      </xdr:nvSpPr>
      <xdr:spPr>
        <a:xfrm>
          <a:off x="6128385" y="6160135"/>
          <a:ext cx="232410" cy="0"/>
        </a:xfrm>
        <a:prstGeom prst="line">
          <a:avLst/>
        </a:prstGeom>
        <a:ln w="9525" cap="flat" cmpd="sng">
          <a:solidFill>
            <a:srgbClr val="00FF00"/>
          </a:solidFill>
          <a:prstDash val="solid"/>
          <a:round/>
          <a:headEnd type="none" w="med" len="med"/>
          <a:tailEnd type="triangle" w="med" len="med"/>
        </a:ln>
      </xdr:spPr>
    </xdr:sp>
    <xdr:clientData/>
  </xdr:twoCellAnchor>
  <xdr:twoCellAnchor>
    <xdr:from>
      <xdr:col>10</xdr:col>
      <xdr:colOff>228600</xdr:colOff>
      <xdr:row>31</xdr:row>
      <xdr:rowOff>6985</xdr:rowOff>
    </xdr:from>
    <xdr:to>
      <xdr:col>11</xdr:col>
      <xdr:colOff>121920</xdr:colOff>
      <xdr:row>32</xdr:row>
      <xdr:rowOff>190500</xdr:rowOff>
    </xdr:to>
    <xdr:sp macro="" textlink="">
      <xdr:nvSpPr>
        <xdr:cNvPr id="1219833" name="Line 12">
          <a:extLst>
            <a:ext uri="{FF2B5EF4-FFF2-40B4-BE49-F238E27FC236}">
              <a16:creationId xmlns:a16="http://schemas.microsoft.com/office/drawing/2014/main" id="{00000000-0008-0000-7E00-0000F99C1200}"/>
            </a:ext>
          </a:extLst>
        </xdr:cNvPr>
        <xdr:cNvSpPr/>
      </xdr:nvSpPr>
      <xdr:spPr>
        <a:xfrm flipH="1">
          <a:off x="6505575" y="6522085"/>
          <a:ext cx="445770" cy="354965"/>
        </a:xfrm>
        <a:prstGeom prst="line">
          <a:avLst/>
        </a:prstGeom>
        <a:ln w="9525" cap="flat" cmpd="sng">
          <a:solidFill>
            <a:srgbClr val="00FF00"/>
          </a:solidFill>
          <a:prstDash val="solid"/>
          <a:round/>
          <a:headEnd type="none" w="med" len="med"/>
          <a:tailEnd type="triangle" w="med" len="med"/>
        </a:ln>
      </xdr:spPr>
    </xdr:sp>
    <xdr:clientData/>
  </xdr:twoCellAnchor>
  <xdr:twoCellAnchor>
    <xdr:from>
      <xdr:col>15</xdr:col>
      <xdr:colOff>67945</xdr:colOff>
      <xdr:row>24</xdr:row>
      <xdr:rowOff>110490</xdr:rowOff>
    </xdr:from>
    <xdr:to>
      <xdr:col>15</xdr:col>
      <xdr:colOff>399581</xdr:colOff>
      <xdr:row>25</xdr:row>
      <xdr:rowOff>123969</xdr:rowOff>
    </xdr:to>
    <xdr:sp macro="" textlink="">
      <xdr:nvSpPr>
        <xdr:cNvPr id="2" name="Rectangle 13">
          <a:extLst>
            <a:ext uri="{FF2B5EF4-FFF2-40B4-BE49-F238E27FC236}">
              <a16:creationId xmlns:a16="http://schemas.microsoft.com/office/drawing/2014/main" id="{00000000-0008-0000-7E00-000002000000}"/>
            </a:ext>
          </a:extLst>
        </xdr:cNvPr>
        <xdr:cNvSpPr/>
      </xdr:nvSpPr>
      <xdr:spPr>
        <a:xfrm>
          <a:off x="9335770" y="5358765"/>
          <a:ext cx="331470" cy="194310"/>
        </a:xfrm>
        <a:prstGeom prst="rect">
          <a:avLst/>
        </a:prstGeom>
        <a:noFill/>
        <a:ln w="9525">
          <a:noFill/>
          <a:miter/>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A</a:t>
          </a:r>
        </a:p>
      </xdr:txBody>
    </xdr:sp>
    <xdr:clientData/>
  </xdr:twoCellAnchor>
  <xdr:twoCellAnchor>
    <xdr:from>
      <xdr:col>16</xdr:col>
      <xdr:colOff>45720</xdr:colOff>
      <xdr:row>20</xdr:row>
      <xdr:rowOff>22225</xdr:rowOff>
    </xdr:from>
    <xdr:to>
      <xdr:col>16</xdr:col>
      <xdr:colOff>373380</xdr:colOff>
      <xdr:row>26</xdr:row>
      <xdr:rowOff>114300</xdr:rowOff>
    </xdr:to>
    <xdr:sp macro="" textlink="">
      <xdr:nvSpPr>
        <xdr:cNvPr id="1219835" name="Line 16">
          <a:extLst>
            <a:ext uri="{FF2B5EF4-FFF2-40B4-BE49-F238E27FC236}">
              <a16:creationId xmlns:a16="http://schemas.microsoft.com/office/drawing/2014/main" id="{00000000-0008-0000-7E00-0000FB9C1200}"/>
            </a:ext>
          </a:extLst>
        </xdr:cNvPr>
        <xdr:cNvSpPr/>
      </xdr:nvSpPr>
      <xdr:spPr>
        <a:xfrm flipH="1" flipV="1">
          <a:off x="9923145" y="4470400"/>
          <a:ext cx="327660" cy="1254125"/>
        </a:xfrm>
        <a:prstGeom prst="line">
          <a:avLst/>
        </a:prstGeom>
        <a:ln w="9525" cap="flat" cmpd="sng">
          <a:solidFill>
            <a:srgbClr val="000000"/>
          </a:solidFill>
          <a:prstDash val="solid"/>
          <a:round/>
          <a:headEnd type="none" w="med" len="med"/>
          <a:tailEnd type="triangle" w="med" len="med"/>
        </a:ln>
      </xdr:spPr>
    </xdr:sp>
    <xdr:clientData/>
  </xdr:twoCellAnchor>
  <xdr:twoCellAnchor>
    <xdr:from>
      <xdr:col>15</xdr:col>
      <xdr:colOff>194945</xdr:colOff>
      <xdr:row>26</xdr:row>
      <xdr:rowOff>161925</xdr:rowOff>
    </xdr:from>
    <xdr:to>
      <xdr:col>15</xdr:col>
      <xdr:colOff>541655</xdr:colOff>
      <xdr:row>27</xdr:row>
      <xdr:rowOff>190500</xdr:rowOff>
    </xdr:to>
    <xdr:sp macro="" textlink="">
      <xdr:nvSpPr>
        <xdr:cNvPr id="3" name="Rectangle 17">
          <a:extLst>
            <a:ext uri="{FF2B5EF4-FFF2-40B4-BE49-F238E27FC236}">
              <a16:creationId xmlns:a16="http://schemas.microsoft.com/office/drawing/2014/main" id="{00000000-0008-0000-7E00-000003000000}"/>
            </a:ext>
          </a:extLst>
        </xdr:cNvPr>
        <xdr:cNvSpPr/>
      </xdr:nvSpPr>
      <xdr:spPr>
        <a:xfrm>
          <a:off x="9462770" y="5772150"/>
          <a:ext cx="346710" cy="200025"/>
        </a:xfrm>
        <a:prstGeom prst="rect">
          <a:avLst/>
        </a:prstGeom>
        <a:noFill/>
        <a:ln w="9525">
          <a:noFill/>
          <a:miter/>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D2</a:t>
          </a:r>
        </a:p>
      </xdr:txBody>
    </xdr:sp>
    <xdr:clientData/>
  </xdr:twoCellAnchor>
  <xdr:twoCellAnchor>
    <xdr:from>
      <xdr:col>10</xdr:col>
      <xdr:colOff>15240</xdr:colOff>
      <xdr:row>29</xdr:row>
      <xdr:rowOff>144780</xdr:rowOff>
    </xdr:from>
    <xdr:to>
      <xdr:col>10</xdr:col>
      <xdr:colOff>15240</xdr:colOff>
      <xdr:row>33</xdr:row>
      <xdr:rowOff>106680</xdr:rowOff>
    </xdr:to>
    <xdr:sp macro="" textlink="">
      <xdr:nvSpPr>
        <xdr:cNvPr id="1219837" name="Line 19">
          <a:extLst>
            <a:ext uri="{FF2B5EF4-FFF2-40B4-BE49-F238E27FC236}">
              <a16:creationId xmlns:a16="http://schemas.microsoft.com/office/drawing/2014/main" id="{00000000-0008-0000-7E00-0000FD9C1200}"/>
            </a:ext>
          </a:extLst>
        </xdr:cNvPr>
        <xdr:cNvSpPr/>
      </xdr:nvSpPr>
      <xdr:spPr>
        <a:xfrm>
          <a:off x="6292215" y="6297930"/>
          <a:ext cx="0" cy="685800"/>
        </a:xfrm>
        <a:prstGeom prst="line">
          <a:avLst/>
        </a:prstGeom>
        <a:ln w="9525" cap="flat" cmpd="sng">
          <a:solidFill>
            <a:srgbClr val="00FF00"/>
          </a:solidFill>
          <a:prstDash val="solid"/>
          <a:round/>
          <a:headEnd type="none" w="med" len="med"/>
          <a:tailEnd type="none" w="med" len="med"/>
        </a:ln>
      </xdr:spPr>
    </xdr:sp>
    <xdr:clientData/>
  </xdr:twoCellAnchor>
  <xdr:twoCellAnchor>
    <xdr:from>
      <xdr:col>10</xdr:col>
      <xdr:colOff>76200</xdr:colOff>
      <xdr:row>28</xdr:row>
      <xdr:rowOff>121920</xdr:rowOff>
    </xdr:from>
    <xdr:to>
      <xdr:col>10</xdr:col>
      <xdr:colOff>76200</xdr:colOff>
      <xdr:row>32</xdr:row>
      <xdr:rowOff>83820</xdr:rowOff>
    </xdr:to>
    <xdr:sp macro="" textlink="">
      <xdr:nvSpPr>
        <xdr:cNvPr id="1219838" name="Line 23">
          <a:extLst>
            <a:ext uri="{FF2B5EF4-FFF2-40B4-BE49-F238E27FC236}">
              <a16:creationId xmlns:a16="http://schemas.microsoft.com/office/drawing/2014/main" id="{00000000-0008-0000-7E00-0000FE9C1200}"/>
            </a:ext>
          </a:extLst>
        </xdr:cNvPr>
        <xdr:cNvSpPr/>
      </xdr:nvSpPr>
      <xdr:spPr>
        <a:xfrm>
          <a:off x="6353175" y="6094095"/>
          <a:ext cx="0" cy="685800"/>
        </a:xfrm>
        <a:prstGeom prst="line">
          <a:avLst/>
        </a:prstGeom>
        <a:ln w="9525" cap="flat" cmpd="sng">
          <a:solidFill>
            <a:srgbClr val="00FF00"/>
          </a:solidFill>
          <a:prstDash val="solid"/>
          <a:round/>
          <a:headEnd type="none" w="med" len="med"/>
          <a:tailEnd type="none" w="med" len="med"/>
        </a:ln>
      </xdr:spPr>
    </xdr:sp>
    <xdr:clientData/>
  </xdr:twoCellAnchor>
  <xdr:twoCellAnchor>
    <xdr:from>
      <xdr:col>10</xdr:col>
      <xdr:colOff>213360</xdr:colOff>
      <xdr:row>28</xdr:row>
      <xdr:rowOff>121920</xdr:rowOff>
    </xdr:from>
    <xdr:to>
      <xdr:col>10</xdr:col>
      <xdr:colOff>213360</xdr:colOff>
      <xdr:row>32</xdr:row>
      <xdr:rowOff>83820</xdr:rowOff>
    </xdr:to>
    <xdr:sp macro="" textlink="">
      <xdr:nvSpPr>
        <xdr:cNvPr id="1219839" name="Line 24">
          <a:extLst>
            <a:ext uri="{FF2B5EF4-FFF2-40B4-BE49-F238E27FC236}">
              <a16:creationId xmlns:a16="http://schemas.microsoft.com/office/drawing/2014/main" id="{00000000-0008-0000-7E00-0000FF9C1200}"/>
            </a:ext>
          </a:extLst>
        </xdr:cNvPr>
        <xdr:cNvSpPr/>
      </xdr:nvSpPr>
      <xdr:spPr>
        <a:xfrm>
          <a:off x="6490335" y="6094095"/>
          <a:ext cx="0" cy="685800"/>
        </a:xfrm>
        <a:prstGeom prst="line">
          <a:avLst/>
        </a:prstGeom>
        <a:ln w="9525" cap="flat" cmpd="sng">
          <a:solidFill>
            <a:srgbClr val="00FF00"/>
          </a:solidFill>
          <a:prstDash val="solid"/>
          <a:round/>
          <a:headEnd type="none" w="med" len="med"/>
          <a:tailEnd type="none" w="med" len="med"/>
        </a:ln>
      </xdr:spPr>
    </xdr:sp>
    <xdr:clientData/>
  </xdr:twoCellAnchor>
  <xdr:twoCellAnchor>
    <xdr:from>
      <xdr:col>3</xdr:col>
      <xdr:colOff>1188085</xdr:colOff>
      <xdr:row>32</xdr:row>
      <xdr:rowOff>0</xdr:rowOff>
    </xdr:from>
    <xdr:to>
      <xdr:col>3</xdr:col>
      <xdr:colOff>1188085</xdr:colOff>
      <xdr:row>32</xdr:row>
      <xdr:rowOff>0</xdr:rowOff>
    </xdr:to>
    <xdr:cxnSp macro="">
      <xdr:nvCxnSpPr>
        <xdr:cNvPr id="1219840" name="AutoShape 25">
          <a:extLst>
            <a:ext uri="{FF2B5EF4-FFF2-40B4-BE49-F238E27FC236}">
              <a16:creationId xmlns:a16="http://schemas.microsoft.com/office/drawing/2014/main" id="{00000000-0008-0000-7E00-0000009D1200}"/>
            </a:ext>
          </a:extLst>
        </xdr:cNvPr>
        <xdr:cNvCxnSpPr/>
      </xdr:nvCxnSpPr>
      <xdr:spPr>
        <a:xfrm>
          <a:off x="1188085" y="6696075"/>
          <a:ext cx="0" cy="0"/>
        </a:xfrm>
        <a:prstGeom prst="straightConnector1">
          <a:avLst/>
        </a:prstGeom>
        <a:ln w="9525" cap="flat" cmpd="sng">
          <a:solidFill>
            <a:srgbClr val="000000"/>
          </a:solidFill>
          <a:prstDash val="solid"/>
          <a:round/>
          <a:headEnd type="triangle" w="med" len="med"/>
          <a:tailEnd type="triangle" w="med" len="med"/>
        </a:ln>
      </xdr:spPr>
    </xdr:cxnSp>
    <xdr:clientData/>
  </xdr:twoCellAnchor>
  <xdr:twoCellAnchor>
    <xdr:from>
      <xdr:col>4</xdr:col>
      <xdr:colOff>479425</xdr:colOff>
      <xdr:row>28</xdr:row>
      <xdr:rowOff>0</xdr:rowOff>
    </xdr:from>
    <xdr:to>
      <xdr:col>6</xdr:col>
      <xdr:colOff>694055</xdr:colOff>
      <xdr:row>36</xdr:row>
      <xdr:rowOff>183515</xdr:rowOff>
    </xdr:to>
    <xdr:cxnSp macro="">
      <xdr:nvCxnSpPr>
        <xdr:cNvPr id="1219841" name="AutoShape 26">
          <a:extLst>
            <a:ext uri="{FF2B5EF4-FFF2-40B4-BE49-F238E27FC236}">
              <a16:creationId xmlns:a16="http://schemas.microsoft.com/office/drawing/2014/main" id="{00000000-0008-0000-7E00-0000019D1200}"/>
            </a:ext>
          </a:extLst>
        </xdr:cNvPr>
        <xdr:cNvCxnSpPr/>
      </xdr:nvCxnSpPr>
      <xdr:spPr>
        <a:xfrm>
          <a:off x="1746250" y="5972175"/>
          <a:ext cx="1671955" cy="1628775"/>
        </a:xfrm>
        <a:prstGeom prst="straightConnector1">
          <a:avLst/>
        </a:prstGeom>
        <a:ln w="9525" cap="flat" cmpd="sng">
          <a:solidFill>
            <a:srgbClr val="00FF00"/>
          </a:solidFill>
          <a:prstDash val="solid"/>
          <a:round/>
          <a:headEnd type="triangle" w="med" len="med"/>
          <a:tailEnd type="triangle" w="med" len="med"/>
        </a:ln>
      </xdr:spPr>
    </xdr:cxnSp>
    <xdr:clientData fLocksWithSheet="0"/>
  </xdr:twoCellAnchor>
  <xdr:twoCellAnchor>
    <xdr:from>
      <xdr:col>4</xdr:col>
      <xdr:colOff>243840</xdr:colOff>
      <xdr:row>31</xdr:row>
      <xdr:rowOff>114300</xdr:rowOff>
    </xdr:from>
    <xdr:to>
      <xdr:col>7</xdr:col>
      <xdr:colOff>38100</xdr:colOff>
      <xdr:row>33</xdr:row>
      <xdr:rowOff>83820</xdr:rowOff>
    </xdr:to>
    <xdr:cxnSp macro="">
      <xdr:nvCxnSpPr>
        <xdr:cNvPr id="1219842" name="AutoShape 27">
          <a:extLst>
            <a:ext uri="{FF2B5EF4-FFF2-40B4-BE49-F238E27FC236}">
              <a16:creationId xmlns:a16="http://schemas.microsoft.com/office/drawing/2014/main" id="{00000000-0008-0000-7E00-0000029D1200}"/>
            </a:ext>
          </a:extLst>
        </xdr:cNvPr>
        <xdr:cNvCxnSpPr/>
      </xdr:nvCxnSpPr>
      <xdr:spPr>
        <a:xfrm>
          <a:off x="1510665" y="6629400"/>
          <a:ext cx="2165985" cy="331470"/>
        </a:xfrm>
        <a:prstGeom prst="straightConnector1">
          <a:avLst/>
        </a:prstGeom>
        <a:ln w="9525" cap="flat" cmpd="sng">
          <a:solidFill>
            <a:srgbClr val="00FF00"/>
          </a:solidFill>
          <a:prstDash val="solid"/>
          <a:round/>
          <a:headEnd type="triangle" w="med" len="med"/>
          <a:tailEnd type="triangle" w="med" len="med"/>
        </a:ln>
      </xdr:spPr>
    </xdr:cxnSp>
    <xdr:clientData/>
  </xdr:twoCellAnchor>
  <xdr:twoCellAnchor>
    <xdr:from>
      <xdr:col>4</xdr:col>
      <xdr:colOff>290195</xdr:colOff>
      <xdr:row>29</xdr:row>
      <xdr:rowOff>190500</xdr:rowOff>
    </xdr:from>
    <xdr:to>
      <xdr:col>6</xdr:col>
      <xdr:colOff>868680</xdr:colOff>
      <xdr:row>34</xdr:row>
      <xdr:rowOff>198755</xdr:rowOff>
    </xdr:to>
    <xdr:cxnSp macro="">
      <xdr:nvCxnSpPr>
        <xdr:cNvPr id="1219843" name="AutoShape 29">
          <a:extLst>
            <a:ext uri="{FF2B5EF4-FFF2-40B4-BE49-F238E27FC236}">
              <a16:creationId xmlns:a16="http://schemas.microsoft.com/office/drawing/2014/main" id="{00000000-0008-0000-7E00-0000039D1200}"/>
            </a:ext>
          </a:extLst>
        </xdr:cNvPr>
        <xdr:cNvCxnSpPr/>
      </xdr:nvCxnSpPr>
      <xdr:spPr>
        <a:xfrm>
          <a:off x="1557020" y="6334125"/>
          <a:ext cx="2035810" cy="904875"/>
        </a:xfrm>
        <a:prstGeom prst="straightConnector1">
          <a:avLst/>
        </a:prstGeom>
        <a:ln w="9525" cap="flat" cmpd="sng">
          <a:solidFill>
            <a:srgbClr val="00FF00"/>
          </a:solidFill>
          <a:prstDash val="solid"/>
          <a:round/>
          <a:headEnd type="triangle" w="med" len="med"/>
          <a:tailEnd type="triangle" w="med" len="med"/>
        </a:ln>
      </xdr:spPr>
    </xdr:cxnSp>
    <xdr:clientData/>
  </xdr:twoCellAnchor>
  <xdr:twoCellAnchor>
    <xdr:from>
      <xdr:col>3</xdr:col>
      <xdr:colOff>914400</xdr:colOff>
      <xdr:row>27</xdr:row>
      <xdr:rowOff>6985</xdr:rowOff>
    </xdr:from>
    <xdr:to>
      <xdr:col>4</xdr:col>
      <xdr:colOff>266700</xdr:colOff>
      <xdr:row>27</xdr:row>
      <xdr:rowOff>6985</xdr:rowOff>
    </xdr:to>
    <xdr:sp macro="" textlink="">
      <xdr:nvSpPr>
        <xdr:cNvPr id="1219844" name="Line 30">
          <a:extLst>
            <a:ext uri="{FF2B5EF4-FFF2-40B4-BE49-F238E27FC236}">
              <a16:creationId xmlns:a16="http://schemas.microsoft.com/office/drawing/2014/main" id="{00000000-0008-0000-7E00-0000049D1200}"/>
            </a:ext>
          </a:extLst>
        </xdr:cNvPr>
        <xdr:cNvSpPr/>
      </xdr:nvSpPr>
      <xdr:spPr>
        <a:xfrm>
          <a:off x="914400" y="5798185"/>
          <a:ext cx="619125"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4</xdr:col>
      <xdr:colOff>46355</xdr:colOff>
      <xdr:row>29</xdr:row>
      <xdr:rowOff>76200</xdr:rowOff>
    </xdr:from>
    <xdr:to>
      <xdr:col>4</xdr:col>
      <xdr:colOff>312420</xdr:colOff>
      <xdr:row>29</xdr:row>
      <xdr:rowOff>198755</xdr:rowOff>
    </xdr:to>
    <xdr:sp macro="" textlink="">
      <xdr:nvSpPr>
        <xdr:cNvPr id="1219845" name="Line 31">
          <a:extLst>
            <a:ext uri="{FF2B5EF4-FFF2-40B4-BE49-F238E27FC236}">
              <a16:creationId xmlns:a16="http://schemas.microsoft.com/office/drawing/2014/main" id="{00000000-0008-0000-7E00-0000059D1200}"/>
            </a:ext>
          </a:extLst>
        </xdr:cNvPr>
        <xdr:cNvSpPr/>
      </xdr:nvSpPr>
      <xdr:spPr>
        <a:xfrm>
          <a:off x="1313180" y="6229350"/>
          <a:ext cx="266065" cy="104775"/>
        </a:xfrm>
        <a:prstGeom prst="line">
          <a:avLst/>
        </a:prstGeom>
        <a:ln w="9525" cap="flat" cmpd="sng">
          <a:solidFill>
            <a:srgbClr val="00FF00"/>
          </a:solidFill>
          <a:prstDash val="solid"/>
          <a:round/>
          <a:headEnd type="none" w="med" len="med"/>
          <a:tailEnd type="none" w="med" len="med"/>
        </a:ln>
      </xdr:spPr>
    </xdr:sp>
    <xdr:clientData/>
  </xdr:twoCellAnchor>
  <xdr:twoCellAnchor>
    <xdr:from>
      <xdr:col>3</xdr:col>
      <xdr:colOff>1204595</xdr:colOff>
      <xdr:row>31</xdr:row>
      <xdr:rowOff>83820</xdr:rowOff>
    </xdr:from>
    <xdr:to>
      <xdr:col>4</xdr:col>
      <xdr:colOff>259715</xdr:colOff>
      <xdr:row>31</xdr:row>
      <xdr:rowOff>137160</xdr:rowOff>
    </xdr:to>
    <xdr:sp macro="" textlink="">
      <xdr:nvSpPr>
        <xdr:cNvPr id="1219846" name="Line 32">
          <a:extLst>
            <a:ext uri="{FF2B5EF4-FFF2-40B4-BE49-F238E27FC236}">
              <a16:creationId xmlns:a16="http://schemas.microsoft.com/office/drawing/2014/main" id="{00000000-0008-0000-7E00-0000069D1200}"/>
            </a:ext>
          </a:extLst>
        </xdr:cNvPr>
        <xdr:cNvSpPr/>
      </xdr:nvSpPr>
      <xdr:spPr>
        <a:xfrm>
          <a:off x="1204595" y="6598920"/>
          <a:ext cx="321945" cy="53340"/>
        </a:xfrm>
        <a:prstGeom prst="line">
          <a:avLst/>
        </a:prstGeom>
        <a:ln w="9525" cap="flat" cmpd="sng">
          <a:solidFill>
            <a:srgbClr val="00FF00"/>
          </a:solidFill>
          <a:prstDash val="solid"/>
          <a:round/>
          <a:headEnd type="none" w="med" len="med"/>
          <a:tailEnd type="none" w="med" len="med"/>
        </a:ln>
      </xdr:spPr>
    </xdr:sp>
    <xdr:clientData/>
  </xdr:twoCellAnchor>
  <xdr:twoCellAnchor>
    <xdr:from>
      <xdr:col>4</xdr:col>
      <xdr:colOff>266700</xdr:colOff>
      <xdr:row>27</xdr:row>
      <xdr:rowOff>6985</xdr:rowOff>
    </xdr:from>
    <xdr:to>
      <xdr:col>4</xdr:col>
      <xdr:colOff>487680</xdr:colOff>
      <xdr:row>28</xdr:row>
      <xdr:rowOff>6985</xdr:rowOff>
    </xdr:to>
    <xdr:sp macro="" textlink="">
      <xdr:nvSpPr>
        <xdr:cNvPr id="1219847" name="Line 33">
          <a:extLst>
            <a:ext uri="{FF2B5EF4-FFF2-40B4-BE49-F238E27FC236}">
              <a16:creationId xmlns:a16="http://schemas.microsoft.com/office/drawing/2014/main" id="{00000000-0008-0000-7E00-0000079D1200}"/>
            </a:ext>
          </a:extLst>
        </xdr:cNvPr>
        <xdr:cNvSpPr/>
      </xdr:nvSpPr>
      <xdr:spPr>
        <a:xfrm>
          <a:off x="1533525" y="5798185"/>
          <a:ext cx="220980" cy="180975"/>
        </a:xfrm>
        <a:prstGeom prst="line">
          <a:avLst/>
        </a:prstGeom>
        <a:ln w="9525" cap="flat" cmpd="sng">
          <a:solidFill>
            <a:srgbClr val="00FF00"/>
          </a:solidFill>
          <a:prstDash val="solid"/>
          <a:round/>
          <a:headEnd type="none" w="med" len="med"/>
          <a:tailEnd type="none" w="med" len="med"/>
        </a:ln>
      </xdr:spPr>
    </xdr:sp>
    <xdr:clientData/>
  </xdr:twoCellAnchor>
  <xdr:twoCellAnchor>
    <xdr:from>
      <xdr:col>15</xdr:col>
      <xdr:colOff>160655</xdr:colOff>
      <xdr:row>27</xdr:row>
      <xdr:rowOff>158750</xdr:rowOff>
    </xdr:from>
    <xdr:to>
      <xdr:col>15</xdr:col>
      <xdr:colOff>508000</xdr:colOff>
      <xdr:row>28</xdr:row>
      <xdr:rowOff>171041</xdr:rowOff>
    </xdr:to>
    <xdr:sp macro="" textlink="">
      <xdr:nvSpPr>
        <xdr:cNvPr id="4" name="Rectangle 34">
          <a:extLst>
            <a:ext uri="{FF2B5EF4-FFF2-40B4-BE49-F238E27FC236}">
              <a16:creationId xmlns:a16="http://schemas.microsoft.com/office/drawing/2014/main" id="{00000000-0008-0000-7E00-000004000000}"/>
            </a:ext>
          </a:extLst>
        </xdr:cNvPr>
        <xdr:cNvSpPr/>
      </xdr:nvSpPr>
      <xdr:spPr>
        <a:xfrm>
          <a:off x="9428480" y="5949950"/>
          <a:ext cx="347345" cy="193040"/>
        </a:xfrm>
        <a:prstGeom prst="rect">
          <a:avLst/>
        </a:prstGeom>
        <a:noFill/>
        <a:ln w="9525">
          <a:noFill/>
          <a:miter/>
        </a:ln>
      </xdr:spPr>
      <xdr:txBody>
        <a:bodyPr vertOverflow="clip" vert="horz" wrap="square" lIns="27432" tIns="18288" rIns="27432" bIns="0"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Times New Roman" panose="02020603050405020304" charset="0"/>
              <a:ea typeface="Times New Roman" panose="02020603050405020304" charset="0"/>
              <a:cs typeface="Times New Roman" panose="02020603050405020304" charset="0"/>
              <a:sym typeface="Times New Roman" panose="02020603050405020304" charset="0"/>
            </a:rPr>
            <a:t>D2</a:t>
          </a:r>
        </a:p>
      </xdr:txBody>
    </xdr:sp>
    <xdr:clientData/>
  </xdr:twoCellAnchor>
  <xdr:twoCellAnchor>
    <xdr:from>
      <xdr:col>3</xdr:col>
      <xdr:colOff>921385</xdr:colOff>
      <xdr:row>29</xdr:row>
      <xdr:rowOff>76200</xdr:rowOff>
    </xdr:from>
    <xdr:to>
      <xdr:col>4</xdr:col>
      <xdr:colOff>60960</xdr:colOff>
      <xdr:row>29</xdr:row>
      <xdr:rowOff>76200</xdr:rowOff>
    </xdr:to>
    <xdr:sp macro="" textlink="">
      <xdr:nvSpPr>
        <xdr:cNvPr id="1219849" name="Line 35">
          <a:extLst>
            <a:ext uri="{FF2B5EF4-FFF2-40B4-BE49-F238E27FC236}">
              <a16:creationId xmlns:a16="http://schemas.microsoft.com/office/drawing/2014/main" id="{00000000-0008-0000-7E00-0000099D1200}"/>
            </a:ext>
          </a:extLst>
        </xdr:cNvPr>
        <xdr:cNvSpPr/>
      </xdr:nvSpPr>
      <xdr:spPr>
        <a:xfrm>
          <a:off x="921385" y="6229350"/>
          <a:ext cx="406400"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3</xdr:col>
      <xdr:colOff>921385</xdr:colOff>
      <xdr:row>31</xdr:row>
      <xdr:rowOff>83820</xdr:rowOff>
    </xdr:from>
    <xdr:to>
      <xdr:col>3</xdr:col>
      <xdr:colOff>1241425</xdr:colOff>
      <xdr:row>31</xdr:row>
      <xdr:rowOff>83820</xdr:rowOff>
    </xdr:to>
    <xdr:sp macro="" textlink="">
      <xdr:nvSpPr>
        <xdr:cNvPr id="1219850" name="Line 36">
          <a:extLst>
            <a:ext uri="{FF2B5EF4-FFF2-40B4-BE49-F238E27FC236}">
              <a16:creationId xmlns:a16="http://schemas.microsoft.com/office/drawing/2014/main" id="{00000000-0008-0000-7E00-00000A9D1200}"/>
            </a:ext>
          </a:extLst>
        </xdr:cNvPr>
        <xdr:cNvSpPr/>
      </xdr:nvSpPr>
      <xdr:spPr>
        <a:xfrm>
          <a:off x="921385" y="6598920"/>
          <a:ext cx="320040"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7</xdr:col>
      <xdr:colOff>426085</xdr:colOff>
      <xdr:row>29</xdr:row>
      <xdr:rowOff>190500</xdr:rowOff>
    </xdr:from>
    <xdr:to>
      <xdr:col>7</xdr:col>
      <xdr:colOff>746760</xdr:colOff>
      <xdr:row>29</xdr:row>
      <xdr:rowOff>190500</xdr:rowOff>
    </xdr:to>
    <xdr:sp macro="" textlink="">
      <xdr:nvSpPr>
        <xdr:cNvPr id="1219851" name="Line 37">
          <a:extLst>
            <a:ext uri="{FF2B5EF4-FFF2-40B4-BE49-F238E27FC236}">
              <a16:creationId xmlns:a16="http://schemas.microsoft.com/office/drawing/2014/main" id="{00000000-0008-0000-7E00-00000B9D1200}"/>
            </a:ext>
          </a:extLst>
        </xdr:cNvPr>
        <xdr:cNvSpPr/>
      </xdr:nvSpPr>
      <xdr:spPr>
        <a:xfrm>
          <a:off x="4064635" y="6334125"/>
          <a:ext cx="320675"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11</xdr:col>
      <xdr:colOff>129540</xdr:colOff>
      <xdr:row>31</xdr:row>
      <xdr:rowOff>0</xdr:rowOff>
    </xdr:from>
    <xdr:to>
      <xdr:col>12</xdr:col>
      <xdr:colOff>15240</xdr:colOff>
      <xdr:row>31</xdr:row>
      <xdr:rowOff>0</xdr:rowOff>
    </xdr:to>
    <xdr:sp macro="" textlink="">
      <xdr:nvSpPr>
        <xdr:cNvPr id="1219852" name="Line 38">
          <a:extLst>
            <a:ext uri="{FF2B5EF4-FFF2-40B4-BE49-F238E27FC236}">
              <a16:creationId xmlns:a16="http://schemas.microsoft.com/office/drawing/2014/main" id="{00000000-0008-0000-7E00-00000C9D1200}"/>
            </a:ext>
          </a:extLst>
        </xdr:cNvPr>
        <xdr:cNvSpPr/>
      </xdr:nvSpPr>
      <xdr:spPr>
        <a:xfrm>
          <a:off x="6958965" y="6515100"/>
          <a:ext cx="495300"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3</xdr:col>
      <xdr:colOff>1058545</xdr:colOff>
      <xdr:row>32</xdr:row>
      <xdr:rowOff>30480</xdr:rowOff>
    </xdr:from>
    <xdr:to>
      <xdr:col>4</xdr:col>
      <xdr:colOff>114300</xdr:colOff>
      <xdr:row>32</xdr:row>
      <xdr:rowOff>30480</xdr:rowOff>
    </xdr:to>
    <xdr:sp macro="" textlink="">
      <xdr:nvSpPr>
        <xdr:cNvPr id="1219853" name="Line 39">
          <a:extLst>
            <a:ext uri="{FF2B5EF4-FFF2-40B4-BE49-F238E27FC236}">
              <a16:creationId xmlns:a16="http://schemas.microsoft.com/office/drawing/2014/main" id="{00000000-0008-0000-7E00-00000D9D1200}"/>
            </a:ext>
          </a:extLst>
        </xdr:cNvPr>
        <xdr:cNvSpPr/>
      </xdr:nvSpPr>
      <xdr:spPr>
        <a:xfrm>
          <a:off x="1058545" y="6726555"/>
          <a:ext cx="322580" cy="0"/>
        </a:xfrm>
        <a:prstGeom prst="line">
          <a:avLst/>
        </a:prstGeom>
        <a:ln w="9525" cap="flat" cmpd="sng">
          <a:solidFill>
            <a:srgbClr val="00FF00"/>
          </a:solidFill>
          <a:prstDash val="solid"/>
          <a:round/>
          <a:headEnd type="none" w="med" len="med"/>
          <a:tailEnd type="none" w="med" len="med"/>
        </a:ln>
      </xdr:spPr>
    </xdr:sp>
    <xdr:clientData/>
  </xdr:twoCellAnchor>
  <xdr:twoCellAnchor>
    <xdr:from>
      <xdr:col>9</xdr:col>
      <xdr:colOff>601980</xdr:colOff>
      <xdr:row>29</xdr:row>
      <xdr:rowOff>190500</xdr:rowOff>
    </xdr:from>
    <xdr:to>
      <xdr:col>10</xdr:col>
      <xdr:colOff>15240</xdr:colOff>
      <xdr:row>29</xdr:row>
      <xdr:rowOff>190500</xdr:rowOff>
    </xdr:to>
    <xdr:sp macro="" textlink="">
      <xdr:nvSpPr>
        <xdr:cNvPr id="1219854" name="Line 40">
          <a:extLst>
            <a:ext uri="{FF2B5EF4-FFF2-40B4-BE49-F238E27FC236}">
              <a16:creationId xmlns:a16="http://schemas.microsoft.com/office/drawing/2014/main" id="{00000000-0008-0000-7E00-00000E9D1200}"/>
            </a:ext>
          </a:extLst>
        </xdr:cNvPr>
        <xdr:cNvSpPr/>
      </xdr:nvSpPr>
      <xdr:spPr>
        <a:xfrm>
          <a:off x="6059805" y="6334125"/>
          <a:ext cx="232410" cy="0"/>
        </a:xfrm>
        <a:prstGeom prst="line">
          <a:avLst/>
        </a:prstGeom>
        <a:ln w="9525" cap="flat" cmpd="sng">
          <a:solidFill>
            <a:srgbClr val="00FF00"/>
          </a:solidFill>
          <a:prstDash val="solid"/>
          <a:round/>
          <a:headEnd type="none" w="med" len="me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3</xdr:col>
          <xdr:colOff>114300</xdr:colOff>
          <xdr:row>43</xdr:row>
          <xdr:rowOff>47625</xdr:rowOff>
        </xdr:from>
        <xdr:to>
          <xdr:col>13</xdr:col>
          <xdr:colOff>152400</xdr:colOff>
          <xdr:row>71</xdr:row>
          <xdr:rowOff>38100</xdr:rowOff>
        </xdr:to>
        <xdr:sp macro="" textlink="">
          <xdr:nvSpPr>
            <xdr:cNvPr id="1219585" name="Picture 8" hidden="1">
              <a:extLst>
                <a:ext uri="{63B3BB69-23CF-44E3-9099-C40C66FF867C}">
                  <a14:compatExt spid="_x0000_s1219585"/>
                </a:ext>
                <a:ext uri="{FF2B5EF4-FFF2-40B4-BE49-F238E27FC236}">
                  <a16:creationId xmlns:a16="http://schemas.microsoft.com/office/drawing/2014/main" id="{00000000-0008-0000-7E00-0000019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3</xdr:col>
      <xdr:colOff>778969</xdr:colOff>
      <xdr:row>0</xdr:row>
      <xdr:rowOff>293274</xdr:rowOff>
    </xdr:to>
    <xdr:sp macro="" textlink="">
      <xdr:nvSpPr>
        <xdr:cNvPr id="5" name="五边形 1">
          <a:hlinkClick xmlns:r="http://schemas.openxmlformats.org/officeDocument/2006/relationships" r:id="rId3"/>
          <a:extLst>
            <a:ext uri="{FF2B5EF4-FFF2-40B4-BE49-F238E27FC236}">
              <a16:creationId xmlns:a16="http://schemas.microsoft.com/office/drawing/2014/main" id="{00000000-0008-0000-7E00-000005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8.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7F00-000002000000}"/>
            </a:ext>
          </a:extLst>
        </xdr:cNvPr>
        <xdr:cNvSpPr>
          <a:spLocks noChangeAspect="1"/>
        </xdr:cNvSpPr>
      </xdr:nvSpPr>
      <xdr:spPr>
        <a:xfrm flipH="1">
          <a:off x="68008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29.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000-000002000000}"/>
            </a:ext>
          </a:extLst>
        </xdr:cNvPr>
        <xdr:cNvSpPr>
          <a:spLocks noChangeAspect="1"/>
        </xdr:cNvSpPr>
      </xdr:nvSpPr>
      <xdr:spPr>
        <a:xfrm flipH="1">
          <a:off x="68008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0.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100-000002000000}"/>
            </a:ext>
          </a:extLst>
        </xdr:cNvPr>
        <xdr:cNvSpPr>
          <a:spLocks noChangeAspect="1"/>
        </xdr:cNvSpPr>
      </xdr:nvSpPr>
      <xdr:spPr>
        <a:xfrm flipH="1">
          <a:off x="68008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1.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200-000002000000}"/>
            </a:ext>
          </a:extLst>
        </xdr:cNvPr>
        <xdr:cNvSpPr>
          <a:spLocks noChangeAspect="1"/>
        </xdr:cNvSpPr>
      </xdr:nvSpPr>
      <xdr:spPr>
        <a:xfrm flipH="1">
          <a:off x="68008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2.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300-000002000000}"/>
            </a:ext>
          </a:extLst>
        </xdr:cNvPr>
        <xdr:cNvSpPr>
          <a:spLocks noChangeAspect="1"/>
        </xdr:cNvSpPr>
      </xdr:nvSpPr>
      <xdr:spPr>
        <a:xfrm flipH="1">
          <a:off x="68008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3.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400-000002000000}"/>
            </a:ext>
          </a:extLst>
        </xdr:cNvPr>
        <xdr:cNvSpPr>
          <a:spLocks noChangeAspect="1"/>
        </xdr:cNvSpPr>
      </xdr:nvSpPr>
      <xdr:spPr>
        <a:xfrm flipH="1">
          <a:off x="63055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4.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7</xdr:col>
      <xdr:colOff>159844</xdr:colOff>
      <xdr:row>1</xdr:row>
      <xdr:rowOff>102774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500-000002000000}"/>
            </a:ext>
          </a:extLst>
        </xdr:cNvPr>
        <xdr:cNvSpPr>
          <a:spLocks noChangeAspect="1"/>
        </xdr:cNvSpPr>
      </xdr:nvSpPr>
      <xdr:spPr>
        <a:xfrm flipH="1">
          <a:off x="68961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5.xml><?xml version="1.0" encoding="utf-8"?>
<xdr:wsDr xmlns:xdr="http://schemas.openxmlformats.org/drawingml/2006/spreadsheetDrawing" xmlns:a="http://schemas.openxmlformats.org/drawingml/2006/main">
  <xdr:twoCellAnchor editAs="absolute">
    <xdr:from>
      <xdr:col>7</xdr:col>
      <xdr:colOff>0</xdr:colOff>
      <xdr:row>0</xdr:row>
      <xdr:rowOff>0</xdr:rowOff>
    </xdr:from>
    <xdr:to>
      <xdr:col>8</xdr:col>
      <xdr:colOff>159844</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600-000002000000}"/>
            </a:ext>
          </a:extLst>
        </xdr:cNvPr>
        <xdr:cNvSpPr>
          <a:spLocks noChangeAspect="1"/>
        </xdr:cNvSpPr>
      </xdr:nvSpPr>
      <xdr:spPr>
        <a:xfrm flipH="1">
          <a:off x="696277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6.xml><?xml version="1.0" encoding="utf-8"?>
<xdr:wsDr xmlns:xdr="http://schemas.openxmlformats.org/drawingml/2006/spreadsheetDrawing" xmlns:a="http://schemas.openxmlformats.org/drawingml/2006/main">
  <xdr:twoCellAnchor editAs="absolute">
    <xdr:from>
      <xdr:col>6</xdr:col>
      <xdr:colOff>0</xdr:colOff>
      <xdr:row>0</xdr:row>
      <xdr:rowOff>0</xdr:rowOff>
    </xdr:from>
    <xdr:to>
      <xdr:col>6</xdr:col>
      <xdr:colOff>778969</xdr:colOff>
      <xdr:row>1</xdr:row>
      <xdr:rowOff>45624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700-000002000000}"/>
            </a:ext>
          </a:extLst>
        </xdr:cNvPr>
        <xdr:cNvSpPr>
          <a:spLocks noChangeAspect="1"/>
        </xdr:cNvSpPr>
      </xdr:nvSpPr>
      <xdr:spPr>
        <a:xfrm flipH="1">
          <a:off x="61722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125826</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8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8.xml><?xml version="1.0" encoding="utf-8"?>
<xdr:wsDr xmlns:xdr="http://schemas.openxmlformats.org/drawingml/2006/spreadsheetDrawing" xmlns:a="http://schemas.openxmlformats.org/drawingml/2006/main">
  <xdr:twoCellAnchor editAs="oneCell">
    <xdr:from>
      <xdr:col>11</xdr:col>
      <xdr:colOff>329565</xdr:colOff>
      <xdr:row>10</xdr:row>
      <xdr:rowOff>61595</xdr:rowOff>
    </xdr:from>
    <xdr:to>
      <xdr:col>16</xdr:col>
      <xdr:colOff>492156</xdr:colOff>
      <xdr:row>22</xdr:row>
      <xdr:rowOff>300990</xdr:rowOff>
    </xdr:to>
    <xdr:pic>
      <xdr:nvPicPr>
        <xdr:cNvPr id="2" name="图片 1" descr="QQ图片20150917123509">
          <a:extLst>
            <a:ext uri="{FF2B5EF4-FFF2-40B4-BE49-F238E27FC236}">
              <a16:creationId xmlns:a16="http://schemas.microsoft.com/office/drawing/2014/main" id="{00000000-0008-0000-8900-000002000000}"/>
            </a:ext>
          </a:extLst>
        </xdr:cNvPr>
        <xdr:cNvPicPr>
          <a:picLocks noChangeAspect="1"/>
        </xdr:cNvPicPr>
      </xdr:nvPicPr>
      <xdr:blipFill>
        <a:blip xmlns:r="http://schemas.openxmlformats.org/officeDocument/2006/relationships" r:embed="rId1" cstate="print"/>
        <a:stretch>
          <a:fillRect/>
        </a:stretch>
      </xdr:blipFill>
      <xdr:spPr>
        <a:xfrm>
          <a:off x="10102215" y="3491230"/>
          <a:ext cx="4105910" cy="3987800"/>
        </a:xfrm>
        <a:prstGeom prst="rect">
          <a:avLst/>
        </a:prstGeom>
        <a:effectLst>
          <a:softEdge rad="63500"/>
        </a:effectLst>
        <a:scene3d>
          <a:camera prst="orthographicFront"/>
          <a:lightRig rig="threePt" dir="t"/>
        </a:scene3d>
        <a:sp3d prstMaterial="dkEdge"/>
      </xdr:spPr>
    </xdr:pic>
    <xdr:clientData/>
  </xdr:twoCellAnchor>
  <xdr:twoCellAnchor>
    <xdr:from>
      <xdr:col>5</xdr:col>
      <xdr:colOff>198120</xdr:colOff>
      <xdr:row>2</xdr:row>
      <xdr:rowOff>107315</xdr:rowOff>
    </xdr:from>
    <xdr:to>
      <xdr:col>9</xdr:col>
      <xdr:colOff>1386205</xdr:colOff>
      <xdr:row>10</xdr:row>
      <xdr:rowOff>259715</xdr:rowOff>
    </xdr:to>
    <xdr:pic>
      <xdr:nvPicPr>
        <xdr:cNvPr id="1221661" name="图片 3">
          <a:extLst>
            <a:ext uri="{FF2B5EF4-FFF2-40B4-BE49-F238E27FC236}">
              <a16:creationId xmlns:a16="http://schemas.microsoft.com/office/drawing/2014/main" id="{00000000-0008-0000-8900-00001DA41200}"/>
            </a:ext>
          </a:extLst>
        </xdr:cNvPr>
        <xdr:cNvPicPr>
          <a:picLocks noChangeAspect="1"/>
        </xdr:cNvPicPr>
      </xdr:nvPicPr>
      <xdr:blipFill>
        <a:blip xmlns:r="http://schemas.openxmlformats.org/officeDocument/2006/relationships" r:embed="rId2" cstate="print"/>
        <a:stretch>
          <a:fillRect/>
        </a:stretch>
      </xdr:blipFill>
      <xdr:spPr>
        <a:xfrm>
          <a:off x="4912995" y="1098550"/>
          <a:ext cx="3969385" cy="2590800"/>
        </a:xfrm>
        <a:prstGeom prst="rect">
          <a:avLst/>
        </a:prstGeom>
        <a:noFill/>
        <a:ln w="9525">
          <a:noFill/>
        </a:ln>
      </xdr:spPr>
    </xdr:pic>
    <xdr:clientData/>
  </xdr:twoCellAnchor>
  <xdr:twoCellAnchor editAs="oneCell">
    <xdr:from>
      <xdr:col>0</xdr:col>
      <xdr:colOff>7620</xdr:colOff>
      <xdr:row>71</xdr:row>
      <xdr:rowOff>0</xdr:rowOff>
    </xdr:from>
    <xdr:to>
      <xdr:col>9</xdr:col>
      <xdr:colOff>1371600</xdr:colOff>
      <xdr:row>134</xdr:row>
      <xdr:rowOff>122555</xdr:rowOff>
    </xdr:to>
    <xdr:pic>
      <xdr:nvPicPr>
        <xdr:cNvPr id="1221662" name="图片 2" descr="兆奕分割器型錄20130222_页面_13">
          <a:extLst>
            <a:ext uri="{FF2B5EF4-FFF2-40B4-BE49-F238E27FC236}">
              <a16:creationId xmlns:a16="http://schemas.microsoft.com/office/drawing/2014/main" id="{00000000-0008-0000-8900-00001EA41200}"/>
            </a:ext>
          </a:extLst>
        </xdr:cNvPr>
        <xdr:cNvPicPr>
          <a:picLocks noChangeAspect="1"/>
        </xdr:cNvPicPr>
      </xdr:nvPicPr>
      <xdr:blipFill>
        <a:blip xmlns:r="http://schemas.openxmlformats.org/officeDocument/2006/relationships" r:embed="rId3" cstate="print"/>
        <a:stretch>
          <a:fillRect/>
        </a:stretch>
      </xdr:blipFill>
      <xdr:spPr>
        <a:xfrm>
          <a:off x="7620" y="15658465"/>
          <a:ext cx="8860155" cy="11523980"/>
        </a:xfrm>
        <a:prstGeom prst="rect">
          <a:avLst/>
        </a:prstGeom>
        <a:noFill/>
        <a:ln w="9525">
          <a:noFill/>
        </a:ln>
      </xdr:spPr>
    </xdr:pic>
    <xdr:clientData/>
  </xdr:twoCellAnchor>
  <xdr:twoCellAnchor editAs="absolute">
    <xdr:from>
      <xdr:col>12</xdr:col>
      <xdr:colOff>0</xdr:colOff>
      <xdr:row>0</xdr:row>
      <xdr:rowOff>0</xdr:rowOff>
    </xdr:from>
    <xdr:to>
      <xdr:col>13</xdr:col>
      <xdr:colOff>98612</xdr:colOff>
      <xdr:row>0</xdr:row>
      <xdr:rowOff>293274</xdr:rowOff>
    </xdr:to>
    <xdr:sp macro="" textlink="">
      <xdr:nvSpPr>
        <xdr:cNvPr id="3" name="五边形 1">
          <a:hlinkClick xmlns:r="http://schemas.openxmlformats.org/officeDocument/2006/relationships" r:id="rId4"/>
          <a:extLst>
            <a:ext uri="{FF2B5EF4-FFF2-40B4-BE49-F238E27FC236}">
              <a16:creationId xmlns:a16="http://schemas.microsoft.com/office/drawing/2014/main" id="{00000000-0008-0000-8900-000003000000}"/>
            </a:ext>
          </a:extLst>
        </xdr:cNvPr>
        <xdr:cNvSpPr>
          <a:spLocks noChangeAspect="1"/>
        </xdr:cNvSpPr>
      </xdr:nvSpPr>
      <xdr:spPr>
        <a:xfrm flipH="1">
          <a:off x="10205357"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3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A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0.xml><?xml version="1.0" encoding="utf-8"?>
<xdr:wsDr xmlns:xdr="http://schemas.openxmlformats.org/drawingml/2006/spreadsheetDrawing" xmlns:a="http://schemas.openxmlformats.org/drawingml/2006/main">
  <xdr:twoCellAnchor editAs="oneCell">
    <xdr:from>
      <xdr:col>7</xdr:col>
      <xdr:colOff>144780</xdr:colOff>
      <xdr:row>66</xdr:row>
      <xdr:rowOff>76200</xdr:rowOff>
    </xdr:from>
    <xdr:to>
      <xdr:col>13</xdr:col>
      <xdr:colOff>617220</xdr:colOff>
      <xdr:row>91</xdr:row>
      <xdr:rowOff>175260</xdr:rowOff>
    </xdr:to>
    <xdr:pic>
      <xdr:nvPicPr>
        <xdr:cNvPr id="1222666" name="图片 17" descr="KNNN7GV7FW`7CACI@M1~D0V">
          <a:extLst>
            <a:ext uri="{FF2B5EF4-FFF2-40B4-BE49-F238E27FC236}">
              <a16:creationId xmlns:a16="http://schemas.microsoft.com/office/drawing/2014/main" id="{00000000-0008-0000-8B00-00000AA81200}"/>
            </a:ext>
          </a:extLst>
        </xdr:cNvPr>
        <xdr:cNvPicPr>
          <a:picLocks noChangeAspect="1"/>
        </xdr:cNvPicPr>
      </xdr:nvPicPr>
      <xdr:blipFill>
        <a:blip xmlns:r="http://schemas.openxmlformats.org/officeDocument/2006/relationships" r:embed="rId1" cstate="print"/>
        <a:stretch>
          <a:fillRect/>
        </a:stretch>
      </xdr:blipFill>
      <xdr:spPr>
        <a:xfrm>
          <a:off x="5888355" y="16884650"/>
          <a:ext cx="5130165" cy="641731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1</xdr:col>
          <xdr:colOff>19050</xdr:colOff>
          <xdr:row>4</xdr:row>
          <xdr:rowOff>28575</xdr:rowOff>
        </xdr:from>
        <xdr:to>
          <xdr:col>1</xdr:col>
          <xdr:colOff>962025</xdr:colOff>
          <xdr:row>5</xdr:row>
          <xdr:rowOff>228600</xdr:rowOff>
        </xdr:to>
        <xdr:sp macro="" textlink="">
          <xdr:nvSpPr>
            <xdr:cNvPr id="1222657" name="公式 1" hidden="1">
              <a:extLst>
                <a:ext uri="{63B3BB69-23CF-44E3-9099-C40C66FF867C}">
                  <a14:compatExt spid="_x0000_s1222657"/>
                </a:ext>
                <a:ext uri="{FF2B5EF4-FFF2-40B4-BE49-F238E27FC236}">
                  <a16:creationId xmlns:a16="http://schemas.microsoft.com/office/drawing/2014/main" id="{00000000-0008-0000-8B00-000001A8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638175</xdr:colOff>
          <xdr:row>18</xdr:row>
          <xdr:rowOff>228600</xdr:rowOff>
        </xdr:from>
        <xdr:to>
          <xdr:col>4</xdr:col>
          <xdr:colOff>600075</xdr:colOff>
          <xdr:row>20</xdr:row>
          <xdr:rowOff>104775</xdr:rowOff>
        </xdr:to>
        <xdr:sp macro="" textlink="">
          <xdr:nvSpPr>
            <xdr:cNvPr id="1222658" name="公式 2" hidden="1">
              <a:extLst>
                <a:ext uri="{63B3BB69-23CF-44E3-9099-C40C66FF867C}">
                  <a14:compatExt spid="_x0000_s1222658"/>
                </a:ext>
                <a:ext uri="{FF2B5EF4-FFF2-40B4-BE49-F238E27FC236}">
                  <a16:creationId xmlns:a16="http://schemas.microsoft.com/office/drawing/2014/main" id="{00000000-0008-0000-8B00-000002A81200}"/>
                </a:ext>
              </a:extLst>
            </xdr:cNvPr>
            <xdr:cNvSpPr/>
          </xdr:nvSpPr>
          <xdr:spPr bwMode="auto">
            <a:xfrm>
              <a:off x="0" y="0"/>
              <a:ext cx="0" cy="0"/>
            </a:xfrm>
            <a:prstGeom prst="rect">
              <a:avLst/>
            </a:prstGeom>
            <a:noFill/>
            <a:ln w="9525">
              <a:solidFill>
                <a:srgbClr val="000000"/>
              </a:solidFill>
              <a:miter lim="800000"/>
              <a:headEnd/>
              <a:tailEnd/>
            </a:ln>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52</xdr:row>
          <xdr:rowOff>28575</xdr:rowOff>
        </xdr:from>
        <xdr:to>
          <xdr:col>1</xdr:col>
          <xdr:colOff>885825</xdr:colOff>
          <xdr:row>53</xdr:row>
          <xdr:rowOff>171450</xdr:rowOff>
        </xdr:to>
        <xdr:sp macro="" textlink="">
          <xdr:nvSpPr>
            <xdr:cNvPr id="1222659" name="公式 10" hidden="1">
              <a:extLst>
                <a:ext uri="{63B3BB69-23CF-44E3-9099-C40C66FF867C}">
                  <a14:compatExt spid="_x0000_s1222659"/>
                </a:ext>
                <a:ext uri="{FF2B5EF4-FFF2-40B4-BE49-F238E27FC236}">
                  <a16:creationId xmlns:a16="http://schemas.microsoft.com/office/drawing/2014/main" id="{00000000-0008-0000-8B00-000003A81200}"/>
                </a:ext>
              </a:extLst>
            </xdr:cNvPr>
            <xdr:cNvSpPr/>
          </xdr:nvSpPr>
          <xdr:spPr bwMode="auto">
            <a:xfrm>
              <a:off x="0" y="0"/>
              <a:ext cx="0" cy="0"/>
            </a:xfrm>
            <a:prstGeom prst="rect">
              <a:avLst/>
            </a:prstGeom>
            <a:solidFill>
              <a:srgbClr val="FFFFFF"/>
            </a:solidFill>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70</xdr:row>
          <xdr:rowOff>28575</xdr:rowOff>
        </xdr:from>
        <xdr:to>
          <xdr:col>6</xdr:col>
          <xdr:colOff>66675</xdr:colOff>
          <xdr:row>71</xdr:row>
          <xdr:rowOff>0</xdr:rowOff>
        </xdr:to>
        <xdr:sp macro="" textlink="">
          <xdr:nvSpPr>
            <xdr:cNvPr id="1222660" name="图片 18" hidden="1">
              <a:extLst>
                <a:ext uri="{63B3BB69-23CF-44E3-9099-C40C66FF867C}">
                  <a14:compatExt spid="_x0000_s1222660"/>
                </a:ext>
                <a:ext uri="{FF2B5EF4-FFF2-40B4-BE49-F238E27FC236}">
                  <a16:creationId xmlns:a16="http://schemas.microsoft.com/office/drawing/2014/main" id="{00000000-0008-0000-8B00-000004A81200}"/>
                </a:ext>
              </a:extLst>
            </xdr:cNvPr>
            <xdr:cNvSpPr/>
          </xdr:nvSpPr>
          <xdr:spPr bwMode="auto">
            <a:xfrm>
              <a:off x="0" y="0"/>
              <a:ext cx="0" cy="0"/>
            </a:xfrm>
            <a:prstGeom prst="rect">
              <a:avLst/>
            </a:prstGeom>
            <a:solidFill>
              <a:srgbClr val="FFFFFF"/>
            </a:solidFill>
          </xdr:spPr>
        </xdr:sp>
        <xdr:clientData/>
      </xdr:twoCellAnchor>
    </mc:Choice>
    <mc:Fallback/>
  </mc:AlternateContent>
  <xdr:twoCellAnchor editAs="absolute">
    <xdr:from>
      <xdr:col>8</xdr:col>
      <xdr:colOff>0</xdr:colOff>
      <xdr:row>0</xdr:row>
      <xdr:rowOff>0</xdr:rowOff>
    </xdr:from>
    <xdr:to>
      <xdr:col>8</xdr:col>
      <xdr:colOff>778969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00000000-0008-0000-8B00-000002000000}"/>
            </a:ext>
          </a:extLst>
        </xdr:cNvPr>
        <xdr:cNvSpPr>
          <a:spLocks noChangeAspect="1"/>
        </xdr:cNvSpPr>
      </xdr:nvSpPr>
      <xdr:spPr>
        <a:xfrm flipH="1">
          <a:off x="644387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1.xml><?xml version="1.0" encoding="utf-8"?>
<xdr:wsDr xmlns:xdr="http://schemas.openxmlformats.org/drawingml/2006/spreadsheetDrawing" xmlns:a="http://schemas.openxmlformats.org/drawingml/2006/main">
  <xdr:twoCellAnchor editAs="oneCell">
    <xdr:from>
      <xdr:col>8</xdr:col>
      <xdr:colOff>259080</xdr:colOff>
      <xdr:row>2</xdr:row>
      <xdr:rowOff>198120</xdr:rowOff>
    </xdr:from>
    <xdr:to>
      <xdr:col>12</xdr:col>
      <xdr:colOff>335280</xdr:colOff>
      <xdr:row>8</xdr:row>
      <xdr:rowOff>45720</xdr:rowOff>
    </xdr:to>
    <xdr:pic>
      <xdr:nvPicPr>
        <xdr:cNvPr id="1223699" name="Picture 1">
          <a:extLst>
            <a:ext uri="{FF2B5EF4-FFF2-40B4-BE49-F238E27FC236}">
              <a16:creationId xmlns:a16="http://schemas.microsoft.com/office/drawing/2014/main" id="{00000000-0008-0000-8C00-000013AC1200}"/>
            </a:ext>
          </a:extLst>
        </xdr:cNvPr>
        <xdr:cNvPicPr>
          <a:picLocks noChangeAspect="1"/>
        </xdr:cNvPicPr>
      </xdr:nvPicPr>
      <xdr:blipFill>
        <a:blip xmlns:r="http://schemas.openxmlformats.org/officeDocument/2006/relationships" r:embed="rId1" cstate="print"/>
        <a:stretch>
          <a:fillRect/>
        </a:stretch>
      </xdr:blipFill>
      <xdr:spPr>
        <a:xfrm>
          <a:off x="6297930" y="796290"/>
          <a:ext cx="2819400" cy="1379220"/>
        </a:xfrm>
        <a:prstGeom prst="rect">
          <a:avLst/>
        </a:prstGeom>
        <a:noFill/>
        <a:ln w="9525">
          <a:noFill/>
        </a:ln>
      </xdr:spPr>
    </xdr:pic>
    <xdr:clientData/>
  </xdr:twoCellAnchor>
  <xdr:twoCellAnchor editAs="oneCell">
    <xdr:from>
      <xdr:col>1</xdr:col>
      <xdr:colOff>45720</xdr:colOff>
      <xdr:row>21</xdr:row>
      <xdr:rowOff>68580</xdr:rowOff>
    </xdr:from>
    <xdr:to>
      <xdr:col>8</xdr:col>
      <xdr:colOff>609600</xdr:colOff>
      <xdr:row>23</xdr:row>
      <xdr:rowOff>175260</xdr:rowOff>
    </xdr:to>
    <xdr:pic>
      <xdr:nvPicPr>
        <xdr:cNvPr id="1223700" name="Picture 3">
          <a:extLst>
            <a:ext uri="{FF2B5EF4-FFF2-40B4-BE49-F238E27FC236}">
              <a16:creationId xmlns:a16="http://schemas.microsoft.com/office/drawing/2014/main" id="{00000000-0008-0000-8C00-000014AC1200}"/>
            </a:ext>
          </a:extLst>
        </xdr:cNvPr>
        <xdr:cNvPicPr>
          <a:picLocks noChangeAspect="1"/>
        </xdr:cNvPicPr>
      </xdr:nvPicPr>
      <xdr:blipFill>
        <a:blip xmlns:r="http://schemas.openxmlformats.org/officeDocument/2006/relationships" r:embed="rId2" cstate="print"/>
        <a:stretch>
          <a:fillRect/>
        </a:stretch>
      </xdr:blipFill>
      <xdr:spPr>
        <a:xfrm>
          <a:off x="731520" y="5516880"/>
          <a:ext cx="5916930" cy="617220"/>
        </a:xfrm>
        <a:prstGeom prst="rect">
          <a:avLst/>
        </a:prstGeom>
        <a:noFill/>
        <a:ln w="9525">
          <a:noFill/>
        </a:ln>
      </xdr:spPr>
    </xdr:pic>
    <xdr:clientData/>
  </xdr:twoCellAnchor>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00000000-0008-0000-8C00-00000200000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95250</xdr:colOff>
          <xdr:row>10</xdr:row>
          <xdr:rowOff>57150</xdr:rowOff>
        </xdr:from>
        <xdr:to>
          <xdr:col>17</xdr:col>
          <xdr:colOff>666750</xdr:colOff>
          <xdr:row>23</xdr:row>
          <xdr:rowOff>57150</xdr:rowOff>
        </xdr:to>
        <xdr:sp macro="" textlink="">
          <xdr:nvSpPr>
            <xdr:cNvPr id="1224705" name="Picture 2" hidden="1">
              <a:extLst>
                <a:ext uri="{63B3BB69-23CF-44E3-9099-C40C66FF867C}">
                  <a14:compatExt spid="_x0000_s1224705"/>
                </a:ext>
                <a:ext uri="{FF2B5EF4-FFF2-40B4-BE49-F238E27FC236}">
                  <a16:creationId xmlns:a16="http://schemas.microsoft.com/office/drawing/2014/main" id="{00000000-0008-0000-8D00-000001B01200}"/>
                </a:ext>
              </a:extLst>
            </xdr:cNvPr>
            <xdr:cNvSpPr/>
          </xdr:nvSpPr>
          <xdr:spPr bwMode="auto">
            <a:xfrm>
              <a:off x="0" y="0"/>
              <a:ext cx="0" cy="0"/>
            </a:xfrm>
            <a:prstGeom prst="rect">
              <a:avLst/>
            </a:prstGeom>
            <a:solidFill>
              <a:srgbClr val="FFFFFF"/>
            </a:solidFill>
          </xdr:spPr>
        </xdr:sp>
        <xdr:clientData/>
      </xdr:twoCellAnchor>
    </mc:Choice>
    <mc:Fallback/>
  </mc:AlternateContent>
  <xdr:twoCellAnchor editAs="absolute">
    <xdr:from>
      <xdr:col>17</xdr:col>
      <xdr:colOff>0</xdr:colOff>
      <xdr:row>0</xdr:row>
      <xdr:rowOff>0</xdr:rowOff>
    </xdr:from>
    <xdr:to>
      <xdr:col>18</xdr:col>
      <xdr:colOff>95410</xdr:colOff>
      <xdr:row>1</xdr:row>
      <xdr:rowOff>1921</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D00-000002000000}"/>
            </a:ext>
          </a:extLst>
        </xdr:cNvPr>
        <xdr:cNvSpPr>
          <a:spLocks noChangeAspect="1"/>
        </xdr:cNvSpPr>
      </xdr:nvSpPr>
      <xdr:spPr>
        <a:xfrm flipH="1">
          <a:off x="926726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3.xml><?xml version="1.0" encoding="utf-8"?>
<xdr:wsDr xmlns:xdr="http://schemas.openxmlformats.org/drawingml/2006/spreadsheetDrawing" xmlns:a="http://schemas.openxmlformats.org/drawingml/2006/main">
  <xdr:twoCellAnchor editAs="absolute">
    <xdr:from>
      <xdr:col>11</xdr:col>
      <xdr:colOff>0</xdr:colOff>
      <xdr:row>0</xdr:row>
      <xdr:rowOff>0</xdr:rowOff>
    </xdr:from>
    <xdr:to>
      <xdr:col>12</xdr:col>
      <xdr:colOff>95410</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E00-000002000000}"/>
            </a:ext>
          </a:extLst>
        </xdr:cNvPr>
        <xdr:cNvSpPr>
          <a:spLocks noChangeAspect="1"/>
        </xdr:cNvSpPr>
      </xdr:nvSpPr>
      <xdr:spPr>
        <a:xfrm flipH="1">
          <a:off x="7519147"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4.xml><?xml version="1.0" encoding="utf-8"?>
<xdr:wsDr xmlns:xdr="http://schemas.openxmlformats.org/drawingml/2006/spreadsheetDrawing" xmlns:a="http://schemas.openxmlformats.org/drawingml/2006/main">
  <xdr:twoCellAnchor editAs="absolute">
    <xdr:from>
      <xdr:col>5</xdr:col>
      <xdr:colOff>0</xdr:colOff>
      <xdr:row>0</xdr:row>
      <xdr:rowOff>0</xdr:rowOff>
    </xdr:from>
    <xdr:to>
      <xdr:col>7</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00000000-0008-0000-8F00-000002000000}"/>
            </a:ext>
          </a:extLst>
        </xdr:cNvPr>
        <xdr:cNvSpPr>
          <a:spLocks noChangeAspect="1"/>
        </xdr:cNvSpPr>
      </xdr:nvSpPr>
      <xdr:spPr>
        <a:xfrm flipH="1">
          <a:off x="59912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5.xml><?xml version="1.0" encoding="utf-8"?>
<xdr:wsDr xmlns:xdr="http://schemas.openxmlformats.org/drawingml/2006/spreadsheetDrawing" xmlns:a="http://schemas.openxmlformats.org/drawingml/2006/main">
  <xdr:twoCellAnchor editAs="oneCell">
    <xdr:from>
      <xdr:col>2</xdr:col>
      <xdr:colOff>76200</xdr:colOff>
      <xdr:row>42</xdr:row>
      <xdr:rowOff>75565</xdr:rowOff>
    </xdr:from>
    <xdr:to>
      <xdr:col>2</xdr:col>
      <xdr:colOff>1181100</xdr:colOff>
      <xdr:row>42</xdr:row>
      <xdr:rowOff>410210</xdr:rowOff>
    </xdr:to>
    <xdr:pic>
      <xdr:nvPicPr>
        <xdr:cNvPr id="1225882" name="Picture 12" descr="J7[%F53G8Z]B%U@KLR0%ILR">
          <a:extLst>
            <a:ext uri="{FF2B5EF4-FFF2-40B4-BE49-F238E27FC236}">
              <a16:creationId xmlns:a16="http://schemas.microsoft.com/office/drawing/2014/main" id="{00000000-0008-0000-9000-00009AB41200}"/>
            </a:ext>
          </a:extLst>
        </xdr:cNvPr>
        <xdr:cNvPicPr>
          <a:picLocks noChangeAspect="1"/>
        </xdr:cNvPicPr>
      </xdr:nvPicPr>
      <xdr:blipFill>
        <a:blip xmlns:r="http://schemas.openxmlformats.org/officeDocument/2006/relationships" r:embed="rId1" cstate="print"/>
        <a:stretch>
          <a:fillRect/>
        </a:stretch>
      </xdr:blipFill>
      <xdr:spPr>
        <a:xfrm>
          <a:off x="3086100" y="9848215"/>
          <a:ext cx="1104900" cy="334645"/>
        </a:xfrm>
        <a:prstGeom prst="rect">
          <a:avLst/>
        </a:prstGeom>
        <a:noFill/>
        <a:ln w="9525">
          <a:noFill/>
        </a:ln>
      </xdr:spPr>
    </xdr:pic>
    <xdr:clientData/>
  </xdr:twoCellAnchor>
  <xdr:twoCellAnchor editAs="oneCell">
    <xdr:from>
      <xdr:col>1</xdr:col>
      <xdr:colOff>113665</xdr:colOff>
      <xdr:row>50</xdr:row>
      <xdr:rowOff>83820</xdr:rowOff>
    </xdr:from>
    <xdr:to>
      <xdr:col>2</xdr:col>
      <xdr:colOff>1219200</xdr:colOff>
      <xdr:row>55</xdr:row>
      <xdr:rowOff>60959</xdr:rowOff>
    </xdr:to>
    <xdr:pic>
      <xdr:nvPicPr>
        <xdr:cNvPr id="1225883" name="Picture 13" descr="DDX8EX2$U7JL1{%8MDZVCWE">
          <a:extLst>
            <a:ext uri="{FF2B5EF4-FFF2-40B4-BE49-F238E27FC236}">
              <a16:creationId xmlns:a16="http://schemas.microsoft.com/office/drawing/2014/main" id="{00000000-0008-0000-9000-00009BB41200}"/>
            </a:ext>
          </a:extLst>
        </xdr:cNvPr>
        <xdr:cNvPicPr>
          <a:picLocks noChangeAspect="1"/>
        </xdr:cNvPicPr>
      </xdr:nvPicPr>
      <xdr:blipFill>
        <a:blip xmlns:r="http://schemas.openxmlformats.org/officeDocument/2006/relationships" r:embed="rId2" cstate="print"/>
        <a:stretch>
          <a:fillRect/>
        </a:stretch>
      </xdr:blipFill>
      <xdr:spPr>
        <a:xfrm>
          <a:off x="799465" y="11618595"/>
          <a:ext cx="3429635" cy="882015"/>
        </a:xfrm>
        <a:prstGeom prst="rect">
          <a:avLst/>
        </a:prstGeom>
        <a:noFill/>
        <a:ln w="9525">
          <a:noFill/>
        </a:ln>
      </xdr:spPr>
    </xdr:pic>
    <xdr:clientData/>
  </xdr:twoCellAnchor>
  <xdr:twoCellAnchor>
    <xdr:from>
      <xdr:col>5</xdr:col>
      <xdr:colOff>327660</xdr:colOff>
      <xdr:row>12</xdr:row>
      <xdr:rowOff>83820</xdr:rowOff>
    </xdr:from>
    <xdr:to>
      <xdr:col>12</xdr:col>
      <xdr:colOff>106680</xdr:colOff>
      <xdr:row>18</xdr:row>
      <xdr:rowOff>0</xdr:rowOff>
    </xdr:to>
    <xdr:grpSp>
      <xdr:nvGrpSpPr>
        <xdr:cNvPr id="1225884" name="Group 26">
          <a:extLst>
            <a:ext uri="{FF2B5EF4-FFF2-40B4-BE49-F238E27FC236}">
              <a16:creationId xmlns:a16="http://schemas.microsoft.com/office/drawing/2014/main" id="{00000000-0008-0000-9000-00009CB41200}"/>
            </a:ext>
          </a:extLst>
        </xdr:cNvPr>
        <xdr:cNvGrpSpPr/>
      </xdr:nvGrpSpPr>
      <xdr:grpSpPr>
        <a:xfrm>
          <a:off x="6558131" y="2425849"/>
          <a:ext cx="2759784" cy="991945"/>
          <a:chOff x="0" y="0"/>
          <a:chExt cx="328" cy="106"/>
        </a:xfrm>
      </xdr:grpSpPr>
      <xdr:sp macro="" textlink="">
        <xdr:nvSpPr>
          <xdr:cNvPr id="1225885" name="Line 17">
            <a:extLst>
              <a:ext uri="{FF2B5EF4-FFF2-40B4-BE49-F238E27FC236}">
                <a16:creationId xmlns:a16="http://schemas.microsoft.com/office/drawing/2014/main" id="{00000000-0008-0000-9000-00009DB41200}"/>
              </a:ext>
            </a:extLst>
          </xdr:cNvPr>
          <xdr:cNvSpPr/>
        </xdr:nvSpPr>
        <xdr:spPr>
          <a:xfrm flipV="1">
            <a:off x="44" y="30"/>
            <a:ext cx="37" cy="75"/>
          </a:xfrm>
          <a:prstGeom prst="line">
            <a:avLst/>
          </a:prstGeom>
          <a:ln w="9525" cap="flat" cmpd="sng">
            <a:solidFill>
              <a:srgbClr val="000000"/>
            </a:solidFill>
            <a:prstDash val="solid"/>
            <a:round/>
            <a:headEnd type="none" w="med" len="med"/>
            <a:tailEnd type="none" w="med" len="med"/>
          </a:ln>
        </xdr:spPr>
      </xdr:sp>
      <xdr:sp macro="" textlink="">
        <xdr:nvSpPr>
          <xdr:cNvPr id="1225886" name="Line 18">
            <a:extLst>
              <a:ext uri="{FF2B5EF4-FFF2-40B4-BE49-F238E27FC236}">
                <a16:creationId xmlns:a16="http://schemas.microsoft.com/office/drawing/2014/main" id="{00000000-0008-0000-9000-00009EB41200}"/>
              </a:ext>
            </a:extLst>
          </xdr:cNvPr>
          <xdr:cNvSpPr/>
        </xdr:nvSpPr>
        <xdr:spPr>
          <a:xfrm>
            <a:off x="81" y="30"/>
            <a:ext cx="114" cy="0"/>
          </a:xfrm>
          <a:prstGeom prst="line">
            <a:avLst/>
          </a:prstGeom>
          <a:ln w="9525" cap="flat" cmpd="sng">
            <a:solidFill>
              <a:srgbClr val="000000"/>
            </a:solidFill>
            <a:prstDash val="solid"/>
            <a:round/>
            <a:headEnd type="none" w="med" len="med"/>
            <a:tailEnd type="none" w="med" len="med"/>
          </a:ln>
        </xdr:spPr>
      </xdr:sp>
      <xdr:sp macro="" textlink="">
        <xdr:nvSpPr>
          <xdr:cNvPr id="1225887" name="Line 19">
            <a:extLst>
              <a:ext uri="{FF2B5EF4-FFF2-40B4-BE49-F238E27FC236}">
                <a16:creationId xmlns:a16="http://schemas.microsoft.com/office/drawing/2014/main" id="{00000000-0008-0000-9000-00009FB41200}"/>
              </a:ext>
            </a:extLst>
          </xdr:cNvPr>
          <xdr:cNvSpPr/>
        </xdr:nvSpPr>
        <xdr:spPr>
          <a:xfrm>
            <a:off x="196" y="30"/>
            <a:ext cx="37" cy="76"/>
          </a:xfrm>
          <a:prstGeom prst="line">
            <a:avLst/>
          </a:prstGeom>
          <a:ln w="9525" cap="flat" cmpd="sng">
            <a:solidFill>
              <a:srgbClr val="000000"/>
            </a:solidFill>
            <a:prstDash val="solid"/>
            <a:round/>
            <a:headEnd type="none" w="med" len="med"/>
            <a:tailEnd type="none" w="med" len="med"/>
          </a:ln>
        </xdr:spPr>
      </xdr:sp>
      <xdr:sp macro="" textlink="">
        <xdr:nvSpPr>
          <xdr:cNvPr id="1225888" name="Line 21">
            <a:extLst>
              <a:ext uri="{FF2B5EF4-FFF2-40B4-BE49-F238E27FC236}">
                <a16:creationId xmlns:a16="http://schemas.microsoft.com/office/drawing/2014/main" id="{00000000-0008-0000-9000-0000A0B41200}"/>
              </a:ext>
            </a:extLst>
          </xdr:cNvPr>
          <xdr:cNvSpPr/>
        </xdr:nvSpPr>
        <xdr:spPr>
          <a:xfrm flipV="1">
            <a:off x="272" y="29"/>
            <a:ext cx="38" cy="76"/>
          </a:xfrm>
          <a:prstGeom prst="line">
            <a:avLst/>
          </a:prstGeom>
          <a:ln w="9525" cap="flat" cmpd="sng">
            <a:solidFill>
              <a:srgbClr val="000000"/>
            </a:solidFill>
            <a:prstDash val="solid"/>
            <a:round/>
            <a:headEnd type="none" w="med" len="med"/>
            <a:tailEnd type="none" w="med" len="med"/>
          </a:ln>
        </xdr:spPr>
      </xdr:sp>
      <xdr:sp macro="" textlink="">
        <xdr:nvSpPr>
          <xdr:cNvPr id="1225889" name="Line 22">
            <a:extLst>
              <a:ext uri="{FF2B5EF4-FFF2-40B4-BE49-F238E27FC236}">
                <a16:creationId xmlns:a16="http://schemas.microsoft.com/office/drawing/2014/main" id="{00000000-0008-0000-9000-0000A1B41200}"/>
              </a:ext>
            </a:extLst>
          </xdr:cNvPr>
          <xdr:cNvSpPr/>
        </xdr:nvSpPr>
        <xdr:spPr>
          <a:xfrm>
            <a:off x="310" y="29"/>
            <a:ext cx="18" cy="0"/>
          </a:xfrm>
          <a:prstGeom prst="line">
            <a:avLst/>
          </a:prstGeom>
          <a:ln w="9525" cap="flat" cmpd="sng">
            <a:solidFill>
              <a:srgbClr val="000000"/>
            </a:solidFill>
            <a:prstDash val="solid"/>
            <a:round/>
            <a:headEnd type="none" w="med" len="med"/>
            <a:tailEnd type="none" w="med" len="med"/>
          </a:ln>
        </xdr:spPr>
      </xdr:sp>
      <xdr:sp macro="" textlink="">
        <xdr:nvSpPr>
          <xdr:cNvPr id="1225890" name="Line 23">
            <a:extLst>
              <a:ext uri="{FF2B5EF4-FFF2-40B4-BE49-F238E27FC236}">
                <a16:creationId xmlns:a16="http://schemas.microsoft.com/office/drawing/2014/main" id="{00000000-0008-0000-9000-0000A2B41200}"/>
              </a:ext>
            </a:extLst>
          </xdr:cNvPr>
          <xdr:cNvSpPr/>
        </xdr:nvSpPr>
        <xdr:spPr>
          <a:xfrm flipH="1">
            <a:off x="4" y="30"/>
            <a:ext cx="77" cy="0"/>
          </a:xfrm>
          <a:prstGeom prst="line">
            <a:avLst/>
          </a:prstGeom>
          <a:ln w="9525" cap="flat" cmpd="sng">
            <a:solidFill>
              <a:srgbClr val="000000"/>
            </a:solidFill>
            <a:prstDash val="dash"/>
            <a:round/>
            <a:headEnd type="none" w="med" len="med"/>
            <a:tailEnd type="none" w="med" len="med"/>
          </a:ln>
        </xdr:spPr>
      </xdr:sp>
      <xdr:sp macro="" textlink="">
        <xdr:nvSpPr>
          <xdr:cNvPr id="1225891" name="Line 24">
            <a:extLst>
              <a:ext uri="{FF2B5EF4-FFF2-40B4-BE49-F238E27FC236}">
                <a16:creationId xmlns:a16="http://schemas.microsoft.com/office/drawing/2014/main" id="{00000000-0008-0000-9000-0000A3B41200}"/>
              </a:ext>
            </a:extLst>
          </xdr:cNvPr>
          <xdr:cNvSpPr/>
        </xdr:nvSpPr>
        <xdr:spPr>
          <a:xfrm>
            <a:off x="0" y="106"/>
            <a:ext cx="327" cy="0"/>
          </a:xfrm>
          <a:prstGeom prst="line">
            <a:avLst/>
          </a:prstGeom>
          <a:ln w="9525" cap="flat" cmpd="sng">
            <a:solidFill>
              <a:srgbClr val="000000"/>
            </a:solidFill>
            <a:prstDash val="solid"/>
            <a:round/>
            <a:headEnd type="none" w="med" len="med"/>
            <a:tailEnd type="stealth" w="med" len="med"/>
          </a:ln>
        </xdr:spPr>
      </xdr:sp>
      <xdr:sp macro="" textlink="">
        <xdr:nvSpPr>
          <xdr:cNvPr id="1225892" name="Line 25">
            <a:extLst>
              <a:ext uri="{FF2B5EF4-FFF2-40B4-BE49-F238E27FC236}">
                <a16:creationId xmlns:a16="http://schemas.microsoft.com/office/drawing/2014/main" id="{00000000-0008-0000-9000-0000A4B41200}"/>
              </a:ext>
            </a:extLst>
          </xdr:cNvPr>
          <xdr:cNvSpPr/>
        </xdr:nvSpPr>
        <xdr:spPr>
          <a:xfrm flipV="1">
            <a:off x="5" y="0"/>
            <a:ext cx="0" cy="106"/>
          </a:xfrm>
          <a:prstGeom prst="line">
            <a:avLst/>
          </a:prstGeom>
          <a:ln w="9525" cap="flat" cmpd="sng">
            <a:solidFill>
              <a:srgbClr val="000000"/>
            </a:solidFill>
            <a:prstDash val="solid"/>
            <a:round/>
            <a:headEnd type="none" w="med" len="med"/>
            <a:tailEnd type="stealth" w="med" len="med"/>
          </a:ln>
        </xdr:spPr>
      </xdr:sp>
    </xdr:grpSp>
    <xdr:clientData/>
  </xdr:twoCellAnchor>
  <xdr:twoCellAnchor editAs="oneCell">
    <xdr:from>
      <xdr:col>7</xdr:col>
      <xdr:colOff>121920</xdr:colOff>
      <xdr:row>42</xdr:row>
      <xdr:rowOff>487680</xdr:rowOff>
    </xdr:from>
    <xdr:to>
      <xdr:col>15</xdr:col>
      <xdr:colOff>266700</xdr:colOff>
      <xdr:row>71</xdr:row>
      <xdr:rowOff>122555</xdr:rowOff>
    </xdr:to>
    <xdr:pic>
      <xdr:nvPicPr>
        <xdr:cNvPr id="1225893" name="Picture 27" descr="[FS$)7%AMHH~)U0G}M02)PO">
          <a:extLst>
            <a:ext uri="{FF2B5EF4-FFF2-40B4-BE49-F238E27FC236}">
              <a16:creationId xmlns:a16="http://schemas.microsoft.com/office/drawing/2014/main" id="{00000000-0008-0000-9000-0000A5B41200}"/>
            </a:ext>
          </a:extLst>
        </xdr:cNvPr>
        <xdr:cNvPicPr>
          <a:picLocks noChangeAspect="1"/>
        </xdr:cNvPicPr>
      </xdr:nvPicPr>
      <xdr:blipFill>
        <a:blip xmlns:r="http://schemas.openxmlformats.org/officeDocument/2006/relationships" r:embed="rId3" cstate="print"/>
        <a:stretch>
          <a:fillRect/>
        </a:stretch>
      </xdr:blipFill>
      <xdr:spPr>
        <a:xfrm>
          <a:off x="7056120" y="10260330"/>
          <a:ext cx="3516630" cy="5197475"/>
        </a:xfrm>
        <a:prstGeom prst="rect">
          <a:avLst/>
        </a:prstGeom>
        <a:noFill/>
        <a:ln w="9525">
          <a:noFill/>
        </a:ln>
      </xdr:spPr>
    </xdr:pic>
    <xdr:clientData/>
  </xdr:twoCellAnchor>
  <xdr:twoCellAnchor editAs="oneCell">
    <xdr:from>
      <xdr:col>2</xdr:col>
      <xdr:colOff>76200</xdr:colOff>
      <xdr:row>23</xdr:row>
      <xdr:rowOff>53975</xdr:rowOff>
    </xdr:from>
    <xdr:to>
      <xdr:col>2</xdr:col>
      <xdr:colOff>1226820</xdr:colOff>
      <xdr:row>23</xdr:row>
      <xdr:rowOff>510540</xdr:rowOff>
    </xdr:to>
    <xdr:pic>
      <xdr:nvPicPr>
        <xdr:cNvPr id="1225894" name="Picture 28" descr="USE@$XD@S8QYG66I%H7WMOW">
          <a:extLst>
            <a:ext uri="{FF2B5EF4-FFF2-40B4-BE49-F238E27FC236}">
              <a16:creationId xmlns:a16="http://schemas.microsoft.com/office/drawing/2014/main" id="{00000000-0008-0000-9000-0000A6B41200}"/>
            </a:ext>
          </a:extLst>
        </xdr:cNvPr>
        <xdr:cNvPicPr>
          <a:picLocks noChangeAspect="1"/>
        </xdr:cNvPicPr>
      </xdr:nvPicPr>
      <xdr:blipFill>
        <a:blip xmlns:r="http://schemas.openxmlformats.org/officeDocument/2006/relationships" r:embed="rId4" cstate="print"/>
        <a:stretch>
          <a:fillRect/>
        </a:stretch>
      </xdr:blipFill>
      <xdr:spPr>
        <a:xfrm>
          <a:off x="3086100" y="4273550"/>
          <a:ext cx="1150620" cy="456565"/>
        </a:xfrm>
        <a:prstGeom prst="rect">
          <a:avLst/>
        </a:prstGeom>
        <a:noFill/>
        <a:ln w="9525">
          <a:noFill/>
        </a:ln>
      </xdr:spPr>
    </xdr:pic>
    <xdr:clientData/>
  </xdr:twoCellAnchor>
  <xdr:twoCellAnchor editAs="oneCell">
    <xdr:from>
      <xdr:col>2</xdr:col>
      <xdr:colOff>61595</xdr:colOff>
      <xdr:row>24</xdr:row>
      <xdr:rowOff>100330</xdr:rowOff>
    </xdr:from>
    <xdr:to>
      <xdr:col>2</xdr:col>
      <xdr:colOff>1204595</xdr:colOff>
      <xdr:row>24</xdr:row>
      <xdr:rowOff>450215</xdr:rowOff>
    </xdr:to>
    <xdr:pic>
      <xdr:nvPicPr>
        <xdr:cNvPr id="1225895" name="Picture 29" descr="GPVPPF4GG`}7}M33KHY19(8">
          <a:extLst>
            <a:ext uri="{FF2B5EF4-FFF2-40B4-BE49-F238E27FC236}">
              <a16:creationId xmlns:a16="http://schemas.microsoft.com/office/drawing/2014/main" id="{00000000-0008-0000-9000-0000A7B41200}"/>
            </a:ext>
          </a:extLst>
        </xdr:cNvPr>
        <xdr:cNvPicPr>
          <a:picLocks noChangeAspect="1"/>
        </xdr:cNvPicPr>
      </xdr:nvPicPr>
      <xdr:blipFill>
        <a:blip xmlns:r="http://schemas.openxmlformats.org/officeDocument/2006/relationships" r:embed="rId5" cstate="print"/>
        <a:stretch>
          <a:fillRect/>
        </a:stretch>
      </xdr:blipFill>
      <xdr:spPr>
        <a:xfrm>
          <a:off x="3071495" y="4853305"/>
          <a:ext cx="1143000" cy="349885"/>
        </a:xfrm>
        <a:prstGeom prst="rect">
          <a:avLst/>
        </a:prstGeom>
        <a:noFill/>
        <a:ln w="9525">
          <a:noFill/>
        </a:ln>
      </xdr:spPr>
    </xdr:pic>
    <xdr:clientData/>
  </xdr:twoCellAnchor>
  <xdr:twoCellAnchor editAs="oneCell">
    <xdr:from>
      <xdr:col>2</xdr:col>
      <xdr:colOff>61595</xdr:colOff>
      <xdr:row>28</xdr:row>
      <xdr:rowOff>68580</xdr:rowOff>
    </xdr:from>
    <xdr:to>
      <xdr:col>2</xdr:col>
      <xdr:colOff>1211580</xdr:colOff>
      <xdr:row>28</xdr:row>
      <xdr:rowOff>366395</xdr:rowOff>
    </xdr:to>
    <xdr:pic>
      <xdr:nvPicPr>
        <xdr:cNvPr id="1225896" name="Picture 30" descr="K$)733W374PZ~}_T9B2{ART">
          <a:extLst>
            <a:ext uri="{FF2B5EF4-FFF2-40B4-BE49-F238E27FC236}">
              <a16:creationId xmlns:a16="http://schemas.microsoft.com/office/drawing/2014/main" id="{00000000-0008-0000-9000-0000A8B41200}"/>
            </a:ext>
          </a:extLst>
        </xdr:cNvPr>
        <xdr:cNvPicPr>
          <a:picLocks noChangeAspect="1"/>
        </xdr:cNvPicPr>
      </xdr:nvPicPr>
      <xdr:blipFill>
        <a:blip xmlns:r="http://schemas.openxmlformats.org/officeDocument/2006/relationships" r:embed="rId6" cstate="print"/>
        <a:stretch>
          <a:fillRect/>
        </a:stretch>
      </xdr:blipFill>
      <xdr:spPr>
        <a:xfrm>
          <a:off x="3071495" y="6250305"/>
          <a:ext cx="1149985" cy="297815"/>
        </a:xfrm>
        <a:prstGeom prst="rect">
          <a:avLst/>
        </a:prstGeom>
        <a:noFill/>
        <a:ln w="9525">
          <a:noFill/>
        </a:ln>
      </xdr:spPr>
    </xdr:pic>
    <xdr:clientData/>
  </xdr:twoCellAnchor>
  <xdr:twoCellAnchor editAs="oneCell">
    <xdr:from>
      <xdr:col>2</xdr:col>
      <xdr:colOff>182880</xdr:colOff>
      <xdr:row>29</xdr:row>
      <xdr:rowOff>53340</xdr:rowOff>
    </xdr:from>
    <xdr:to>
      <xdr:col>2</xdr:col>
      <xdr:colOff>876935</xdr:colOff>
      <xdr:row>29</xdr:row>
      <xdr:rowOff>426085</xdr:rowOff>
    </xdr:to>
    <xdr:pic>
      <xdr:nvPicPr>
        <xdr:cNvPr id="1225897" name="Picture 31" descr="Y)$`D3`R~U3FQODR2M`F0~A">
          <a:extLst>
            <a:ext uri="{FF2B5EF4-FFF2-40B4-BE49-F238E27FC236}">
              <a16:creationId xmlns:a16="http://schemas.microsoft.com/office/drawing/2014/main" id="{00000000-0008-0000-9000-0000A9B41200}"/>
            </a:ext>
          </a:extLst>
        </xdr:cNvPr>
        <xdr:cNvPicPr>
          <a:picLocks noChangeAspect="1"/>
        </xdr:cNvPicPr>
      </xdr:nvPicPr>
      <xdr:blipFill>
        <a:blip xmlns:r="http://schemas.openxmlformats.org/officeDocument/2006/relationships" r:embed="rId7" cstate="print"/>
        <a:stretch>
          <a:fillRect/>
        </a:stretch>
      </xdr:blipFill>
      <xdr:spPr>
        <a:xfrm>
          <a:off x="3192780" y="6673215"/>
          <a:ext cx="694055" cy="372745"/>
        </a:xfrm>
        <a:prstGeom prst="rect">
          <a:avLst/>
        </a:prstGeom>
        <a:noFill/>
        <a:ln w="9525">
          <a:noFill/>
        </a:ln>
      </xdr:spPr>
    </xdr:pic>
    <xdr:clientData/>
  </xdr:twoCellAnchor>
  <xdr:twoCellAnchor editAs="oneCell">
    <xdr:from>
      <xdr:col>6</xdr:col>
      <xdr:colOff>68580</xdr:colOff>
      <xdr:row>2</xdr:row>
      <xdr:rowOff>83820</xdr:rowOff>
    </xdr:from>
    <xdr:to>
      <xdr:col>10</xdr:col>
      <xdr:colOff>274320</xdr:colOff>
      <xdr:row>9</xdr:row>
      <xdr:rowOff>114299</xdr:rowOff>
    </xdr:to>
    <xdr:pic>
      <xdr:nvPicPr>
        <xdr:cNvPr id="1225898" name="Picture 32" descr="WH4_Z0Y3B@I~~(Q$ZP`UC9B">
          <a:extLst>
            <a:ext uri="{FF2B5EF4-FFF2-40B4-BE49-F238E27FC236}">
              <a16:creationId xmlns:a16="http://schemas.microsoft.com/office/drawing/2014/main" id="{00000000-0008-0000-9000-0000AAB41200}"/>
            </a:ext>
          </a:extLst>
        </xdr:cNvPr>
        <xdr:cNvPicPr>
          <a:picLocks noChangeAspect="1"/>
        </xdr:cNvPicPr>
      </xdr:nvPicPr>
      <xdr:blipFill>
        <a:blip xmlns:r="http://schemas.openxmlformats.org/officeDocument/2006/relationships" r:embed="rId8" cstate="print"/>
        <a:stretch>
          <a:fillRect/>
        </a:stretch>
      </xdr:blipFill>
      <xdr:spPr>
        <a:xfrm>
          <a:off x="6669405" y="502920"/>
          <a:ext cx="2129790" cy="1297305"/>
        </a:xfrm>
        <a:prstGeom prst="rect">
          <a:avLst/>
        </a:prstGeom>
        <a:noFill/>
        <a:ln w="9525">
          <a:noFill/>
        </a:ln>
      </xdr:spPr>
    </xdr:pic>
    <xdr:clientData/>
  </xdr:twoCellAnchor>
  <xdr:twoCellAnchor editAs="absolute">
    <xdr:from>
      <xdr:col>0</xdr:col>
      <xdr:colOff>0</xdr:colOff>
      <xdr:row>0</xdr:row>
      <xdr:rowOff>0</xdr:rowOff>
    </xdr:from>
    <xdr:to>
      <xdr:col>1</xdr:col>
      <xdr:colOff>95410</xdr:colOff>
      <xdr:row>0</xdr:row>
      <xdr:rowOff>293274</xdr:rowOff>
    </xdr:to>
    <xdr:sp macro="" textlink="">
      <xdr:nvSpPr>
        <xdr:cNvPr id="2" name="五边形 1">
          <a:hlinkClick xmlns:r="http://schemas.openxmlformats.org/officeDocument/2006/relationships" r:id="rId9"/>
          <a:extLst>
            <a:ext uri="{FF2B5EF4-FFF2-40B4-BE49-F238E27FC236}">
              <a16:creationId xmlns:a16="http://schemas.microsoft.com/office/drawing/2014/main" id="{22D17569-4916-4F32-B375-F74386D13494}"/>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1</xdr:row>
      <xdr:rowOff>109343</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472B4094-9E34-4AD2-9EC3-4AEB0A70EB05}"/>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371475</xdr:colOff>
      <xdr:row>1</xdr:row>
      <xdr:rowOff>123825</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47320916-E709-4A12-94AE-74C594AABADF}"/>
            </a:ext>
          </a:extLst>
        </xdr:cNvPr>
        <xdr:cNvSpPr>
          <a:spLocks noChangeAspect="1"/>
        </xdr:cNvSpPr>
      </xdr:nvSpPr>
      <xdr:spPr>
        <a:xfrm flipH="1">
          <a:off x="0" y="0"/>
          <a:ext cx="638175" cy="438150"/>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48.xml><?xml version="1.0" encoding="utf-8"?>
<xdr:wsDr xmlns:xdr="http://schemas.openxmlformats.org/drawingml/2006/spreadsheetDrawing" xmlns:a="http://schemas.openxmlformats.org/drawingml/2006/main">
  <xdr:twoCellAnchor editAs="absolute">
    <xdr:from>
      <xdr:col>5</xdr:col>
      <xdr:colOff>0</xdr:colOff>
      <xdr:row>0</xdr:row>
      <xdr:rowOff>0</xdr:rowOff>
    </xdr:from>
    <xdr:to>
      <xdr:col>6</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AF286B29-041E-4754-B49E-CD6488643679}"/>
            </a:ext>
          </a:extLst>
        </xdr:cNvPr>
        <xdr:cNvSpPr>
          <a:spLocks noChangeAspect="1"/>
        </xdr:cNvSpPr>
      </xdr:nvSpPr>
      <xdr:spPr>
        <a:xfrm flipH="1">
          <a:off x="48006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twoCellAnchor editAs="absolute">
    <xdr:from>
      <xdr:col>8</xdr:col>
      <xdr:colOff>0</xdr:colOff>
      <xdr:row>4</xdr:row>
      <xdr:rowOff>0</xdr:rowOff>
    </xdr:from>
    <xdr:to>
      <xdr:col>9</xdr:col>
      <xdr:colOff>93169</xdr:colOff>
      <xdr:row>5</xdr:row>
      <xdr:rowOff>93249</xdr:rowOff>
    </xdr:to>
    <xdr:sp macro="" textlink="">
      <xdr:nvSpPr>
        <xdr:cNvPr id="6" name="五边形 1">
          <a:hlinkClick xmlns:r="http://schemas.openxmlformats.org/officeDocument/2006/relationships" r:id="rId1"/>
          <a:extLst>
            <a:ext uri="{FF2B5EF4-FFF2-40B4-BE49-F238E27FC236}">
              <a16:creationId xmlns:a16="http://schemas.microsoft.com/office/drawing/2014/main" id="{07E05FF4-2511-496C-BC61-C726707E0A33}"/>
            </a:ext>
          </a:extLst>
        </xdr:cNvPr>
        <xdr:cNvSpPr>
          <a:spLocks noChangeAspect="1"/>
        </xdr:cNvSpPr>
      </xdr:nvSpPr>
      <xdr:spPr>
        <a:xfrm flipH="1">
          <a:off x="6858000" y="1419225"/>
          <a:ext cx="778969" cy="293274"/>
        </a:xfrm>
        <a:prstGeom prst="homePlate">
          <a:avLst/>
        </a:prstGeom>
        <a:gradFill flip="none" rotWithShape="1">
          <a:gsLst>
            <a:gs pos="0">
              <a:srgbClr val="ED7D31">
                <a:lumMod val="67000"/>
              </a:srgbClr>
            </a:gs>
            <a:gs pos="48000">
              <a:srgbClr val="ED7D31">
                <a:lumMod val="97000"/>
                <a:lumOff val="3000"/>
              </a:srgbClr>
            </a:gs>
            <a:gs pos="100000">
              <a:srgbClr val="ED7D31">
                <a:lumMod val="60000"/>
                <a:lumOff val="40000"/>
              </a:srgbClr>
            </a:gs>
          </a:gsLst>
          <a:lin ang="16200000" scaled="1"/>
          <a:tileRect/>
        </a:gradFill>
        <a:ln>
          <a:noFill/>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zh-CN" altLang="en-US" sz="1000" b="1" i="0" u="none" strike="noStrike" kern="0" cap="none" spc="0" normalizeH="0" baseline="0" noProof="0">
              <a:ln>
                <a:noFill/>
              </a:ln>
              <a:solidFill>
                <a:sysClr val="window" lastClr="FFFFFF"/>
              </a:solidFill>
              <a:effectLst/>
              <a:uLnTx/>
              <a:uFillTx/>
              <a:latin typeface="时尚中黑简体" pitchFamily="2" charset="-122"/>
              <a:ea typeface="时尚中黑简体" pitchFamily="2" charset="-122"/>
              <a:cs typeface="+mn-cs"/>
            </a:rPr>
            <a:t>返回首页</a:t>
          </a:r>
        </a:p>
      </xdr:txBody>
    </xdr:sp>
    <xdr:clientData/>
  </xdr:twoCellAnchor>
</xdr:wsDr>
</file>

<file path=xl/drawings/drawing14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DF5AE8D3-1BFF-4A25-8768-9C0312455F5B}"/>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0.xml><?xml version="1.0" encoding="utf-8"?>
<xdr:wsDr xmlns:xdr="http://schemas.openxmlformats.org/drawingml/2006/spreadsheetDrawing" xmlns:a="http://schemas.openxmlformats.org/drawingml/2006/main">
  <xdr:twoCellAnchor>
    <xdr:from>
      <xdr:col>3</xdr:col>
      <xdr:colOff>8255</xdr:colOff>
      <xdr:row>5</xdr:row>
      <xdr:rowOff>15240</xdr:rowOff>
    </xdr:from>
    <xdr:to>
      <xdr:col>3</xdr:col>
      <xdr:colOff>1028065</xdr:colOff>
      <xdr:row>6</xdr:row>
      <xdr:rowOff>7620</xdr:rowOff>
    </xdr:to>
    <xdr:sp macro="" textlink="">
      <xdr:nvSpPr>
        <xdr:cNvPr id="1227849" name="Line 1">
          <a:extLst>
            <a:ext uri="{FF2B5EF4-FFF2-40B4-BE49-F238E27FC236}">
              <a16:creationId xmlns:a16="http://schemas.microsoft.com/office/drawing/2014/main" id="{00000000-0008-0000-9500-000049BC1200}"/>
            </a:ext>
          </a:extLst>
        </xdr:cNvPr>
        <xdr:cNvSpPr/>
      </xdr:nvSpPr>
      <xdr:spPr>
        <a:xfrm flipV="1">
          <a:off x="4037330" y="1437005"/>
          <a:ext cx="1019810" cy="230505"/>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0</xdr:colOff>
      <xdr:row>5</xdr:row>
      <xdr:rowOff>15240</xdr:rowOff>
    </xdr:from>
    <xdr:to>
      <xdr:col>4</xdr:col>
      <xdr:colOff>1028065</xdr:colOff>
      <xdr:row>6</xdr:row>
      <xdr:rowOff>7620</xdr:rowOff>
    </xdr:to>
    <xdr:sp macro="" textlink="">
      <xdr:nvSpPr>
        <xdr:cNvPr id="1227850" name="Line 2">
          <a:extLst>
            <a:ext uri="{FF2B5EF4-FFF2-40B4-BE49-F238E27FC236}">
              <a16:creationId xmlns:a16="http://schemas.microsoft.com/office/drawing/2014/main" id="{00000000-0008-0000-9500-00004ABC1200}"/>
            </a:ext>
          </a:extLst>
        </xdr:cNvPr>
        <xdr:cNvSpPr/>
      </xdr:nvSpPr>
      <xdr:spPr>
        <a:xfrm flipV="1">
          <a:off x="5067300" y="1437005"/>
          <a:ext cx="1028065" cy="23050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0</xdr:colOff>
      <xdr:row>6</xdr:row>
      <xdr:rowOff>15240</xdr:rowOff>
    </xdr:from>
    <xdr:to>
      <xdr:col>2</xdr:col>
      <xdr:colOff>1012825</xdr:colOff>
      <xdr:row>7</xdr:row>
      <xdr:rowOff>0</xdr:rowOff>
    </xdr:to>
    <xdr:sp macro="" textlink="">
      <xdr:nvSpPr>
        <xdr:cNvPr id="1227851" name="Line 3">
          <a:extLst>
            <a:ext uri="{FF2B5EF4-FFF2-40B4-BE49-F238E27FC236}">
              <a16:creationId xmlns:a16="http://schemas.microsoft.com/office/drawing/2014/main" id="{00000000-0008-0000-9500-00004BBC1200}"/>
            </a:ext>
          </a:extLst>
        </xdr:cNvPr>
        <xdr:cNvSpPr/>
      </xdr:nvSpPr>
      <xdr:spPr>
        <a:xfrm flipV="1">
          <a:off x="2990850" y="1675130"/>
          <a:ext cx="1012825" cy="22288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8255</xdr:colOff>
      <xdr:row>7</xdr:row>
      <xdr:rowOff>15240</xdr:rowOff>
    </xdr:from>
    <xdr:to>
      <xdr:col>2</xdr:col>
      <xdr:colOff>1012825</xdr:colOff>
      <xdr:row>8</xdr:row>
      <xdr:rowOff>7620</xdr:rowOff>
    </xdr:to>
    <xdr:sp macro="" textlink="">
      <xdr:nvSpPr>
        <xdr:cNvPr id="1227852" name="Line 4">
          <a:extLst>
            <a:ext uri="{FF2B5EF4-FFF2-40B4-BE49-F238E27FC236}">
              <a16:creationId xmlns:a16="http://schemas.microsoft.com/office/drawing/2014/main" id="{00000000-0008-0000-9500-00004CBC1200}"/>
            </a:ext>
          </a:extLst>
        </xdr:cNvPr>
        <xdr:cNvSpPr/>
      </xdr:nvSpPr>
      <xdr:spPr>
        <a:xfrm flipV="1">
          <a:off x="2999105" y="1913255"/>
          <a:ext cx="1004570" cy="230505"/>
        </a:xfrm>
        <a:prstGeom prst="line">
          <a:avLst/>
        </a:prstGeom>
        <a:ln w="9525" cap="flat" cmpd="sng">
          <a:solidFill>
            <a:srgbClr val="000000"/>
          </a:solidFill>
          <a:prstDash val="solid"/>
          <a:round/>
          <a:headEnd type="none" w="med" len="med"/>
          <a:tailEnd type="none" w="med" len="med"/>
        </a:ln>
      </xdr:spPr>
    </xdr:sp>
    <xdr:clientData/>
  </xdr:twoCellAnchor>
  <xdr:twoCellAnchor>
    <xdr:from>
      <xdr:col>2</xdr:col>
      <xdr:colOff>0</xdr:colOff>
      <xdr:row>8</xdr:row>
      <xdr:rowOff>15240</xdr:rowOff>
    </xdr:from>
    <xdr:to>
      <xdr:col>2</xdr:col>
      <xdr:colOff>1028065</xdr:colOff>
      <xdr:row>9</xdr:row>
      <xdr:rowOff>0</xdr:rowOff>
    </xdr:to>
    <xdr:sp macro="" textlink="">
      <xdr:nvSpPr>
        <xdr:cNvPr id="1227853" name="Line 5">
          <a:extLst>
            <a:ext uri="{FF2B5EF4-FFF2-40B4-BE49-F238E27FC236}">
              <a16:creationId xmlns:a16="http://schemas.microsoft.com/office/drawing/2014/main" id="{00000000-0008-0000-9500-00004DBC1200}"/>
            </a:ext>
          </a:extLst>
        </xdr:cNvPr>
        <xdr:cNvSpPr/>
      </xdr:nvSpPr>
      <xdr:spPr>
        <a:xfrm flipV="1">
          <a:off x="2990850" y="2151380"/>
          <a:ext cx="1028065" cy="222885"/>
        </a:xfrm>
        <a:prstGeom prst="line">
          <a:avLst/>
        </a:prstGeom>
        <a:ln w="9525" cap="flat" cmpd="sng">
          <a:solidFill>
            <a:srgbClr val="000000"/>
          </a:solidFill>
          <a:prstDash val="solid"/>
          <a:round/>
          <a:headEnd type="none" w="med" len="med"/>
          <a:tailEnd type="none" w="med" len="med"/>
        </a:ln>
      </xdr:spPr>
    </xdr:sp>
    <xdr:clientData/>
  </xdr:twoCellAnchor>
  <xdr:twoCellAnchor>
    <xdr:from>
      <xdr:col>3</xdr:col>
      <xdr:colOff>23495</xdr:colOff>
      <xdr:row>17</xdr:row>
      <xdr:rowOff>7620</xdr:rowOff>
    </xdr:from>
    <xdr:to>
      <xdr:col>3</xdr:col>
      <xdr:colOff>1029335</xdr:colOff>
      <xdr:row>17</xdr:row>
      <xdr:rowOff>213360</xdr:rowOff>
    </xdr:to>
    <xdr:sp macro="" textlink="">
      <xdr:nvSpPr>
        <xdr:cNvPr id="1227854" name="Line 7">
          <a:extLst>
            <a:ext uri="{FF2B5EF4-FFF2-40B4-BE49-F238E27FC236}">
              <a16:creationId xmlns:a16="http://schemas.microsoft.com/office/drawing/2014/main" id="{00000000-0008-0000-9500-00004EBC1200}"/>
            </a:ext>
          </a:extLst>
        </xdr:cNvPr>
        <xdr:cNvSpPr/>
      </xdr:nvSpPr>
      <xdr:spPr>
        <a:xfrm flipV="1">
          <a:off x="4052570" y="4286885"/>
          <a:ext cx="1005840" cy="205740"/>
        </a:xfrm>
        <a:prstGeom prst="line">
          <a:avLst/>
        </a:prstGeom>
        <a:ln w="9525" cap="flat" cmpd="sng">
          <a:solidFill>
            <a:srgbClr val="000000"/>
          </a:solidFill>
          <a:prstDash val="solid"/>
          <a:round/>
          <a:headEnd type="none" w="med" len="med"/>
          <a:tailEnd type="none" w="med" len="med"/>
        </a:ln>
      </xdr:spPr>
    </xdr:sp>
    <xdr:clientData/>
  </xdr:twoCellAnchor>
  <xdr:twoCellAnchor>
    <xdr:from>
      <xdr:col>4</xdr:col>
      <xdr:colOff>8255</xdr:colOff>
      <xdr:row>17</xdr:row>
      <xdr:rowOff>7620</xdr:rowOff>
    </xdr:from>
    <xdr:to>
      <xdr:col>5</xdr:col>
      <xdr:colOff>0</xdr:colOff>
      <xdr:row>18</xdr:row>
      <xdr:rowOff>0</xdr:rowOff>
    </xdr:to>
    <xdr:sp macro="" textlink="">
      <xdr:nvSpPr>
        <xdr:cNvPr id="1227855" name="Line 8">
          <a:extLst>
            <a:ext uri="{FF2B5EF4-FFF2-40B4-BE49-F238E27FC236}">
              <a16:creationId xmlns:a16="http://schemas.microsoft.com/office/drawing/2014/main" id="{00000000-0008-0000-9500-00004FBC1200}"/>
            </a:ext>
          </a:extLst>
        </xdr:cNvPr>
        <xdr:cNvSpPr/>
      </xdr:nvSpPr>
      <xdr:spPr>
        <a:xfrm flipV="1">
          <a:off x="5075555" y="4286885"/>
          <a:ext cx="1029970" cy="230505"/>
        </a:xfrm>
        <a:prstGeom prst="line">
          <a:avLst/>
        </a:prstGeom>
        <a:ln w="9525" cap="flat" cmpd="sng">
          <a:solidFill>
            <a:srgbClr val="000000"/>
          </a:solidFill>
          <a:prstDash val="solid"/>
          <a:round/>
          <a:headEnd type="none" w="med" len="med"/>
          <a:tailEnd type="none" w="med" len="med"/>
        </a:ln>
      </xdr:spPr>
    </xdr:sp>
    <xdr:clientData/>
  </xdr:twoCellAnchor>
  <xdr:twoCellAnchor editAs="oneCell">
    <xdr:from>
      <xdr:col>0</xdr:col>
      <xdr:colOff>0</xdr:colOff>
      <xdr:row>28</xdr:row>
      <xdr:rowOff>152400</xdr:rowOff>
    </xdr:from>
    <xdr:to>
      <xdr:col>13</xdr:col>
      <xdr:colOff>259080</xdr:colOff>
      <xdr:row>57</xdr:row>
      <xdr:rowOff>152400</xdr:rowOff>
    </xdr:to>
    <xdr:pic>
      <xdr:nvPicPr>
        <xdr:cNvPr id="1227856" name="Picture 9" descr="标准齿轮">
          <a:extLst>
            <a:ext uri="{FF2B5EF4-FFF2-40B4-BE49-F238E27FC236}">
              <a16:creationId xmlns:a16="http://schemas.microsoft.com/office/drawing/2014/main" id="{00000000-0008-0000-9500-000050BC1200}"/>
            </a:ext>
          </a:extLst>
        </xdr:cNvPr>
        <xdr:cNvPicPr>
          <a:picLocks noChangeAspect="1"/>
        </xdr:cNvPicPr>
      </xdr:nvPicPr>
      <xdr:blipFill>
        <a:blip xmlns:r="http://schemas.openxmlformats.org/officeDocument/2006/relationships" r:embed="rId1" cstate="print"/>
        <a:stretch>
          <a:fillRect/>
        </a:stretch>
      </xdr:blipFill>
      <xdr:spPr>
        <a:xfrm>
          <a:off x="0" y="6993890"/>
          <a:ext cx="11851005" cy="5248275"/>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79254A8C-13FB-4497-A45A-5D94F97F738E}"/>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1.xml><?xml version="1.0" encoding="utf-8"?>
<xdr:wsDr xmlns:xdr="http://schemas.openxmlformats.org/drawingml/2006/spreadsheetDrawing" xmlns:a="http://schemas.openxmlformats.org/drawingml/2006/main">
  <xdr:twoCellAnchor editAs="oneCell">
    <xdr:from>
      <xdr:col>1</xdr:col>
      <xdr:colOff>38100</xdr:colOff>
      <xdr:row>30</xdr:row>
      <xdr:rowOff>0</xdr:rowOff>
    </xdr:from>
    <xdr:to>
      <xdr:col>8</xdr:col>
      <xdr:colOff>670560</xdr:colOff>
      <xdr:row>50</xdr:row>
      <xdr:rowOff>106680</xdr:rowOff>
    </xdr:to>
    <xdr:pic>
      <xdr:nvPicPr>
        <xdr:cNvPr id="1228810" name="Picture 1" descr="齿轮齿条">
          <a:extLst>
            <a:ext uri="{FF2B5EF4-FFF2-40B4-BE49-F238E27FC236}">
              <a16:creationId xmlns:a16="http://schemas.microsoft.com/office/drawing/2014/main" id="{00000000-0008-0000-9600-00000AC01200}"/>
            </a:ext>
          </a:extLst>
        </xdr:cNvPr>
        <xdr:cNvPicPr>
          <a:picLocks noChangeAspect="1"/>
        </xdr:cNvPicPr>
      </xdr:nvPicPr>
      <xdr:blipFill>
        <a:blip xmlns:r="http://schemas.openxmlformats.org/officeDocument/2006/relationships" r:embed="rId1" cstate="print"/>
        <a:stretch>
          <a:fillRect/>
        </a:stretch>
      </xdr:blipFill>
      <xdr:spPr>
        <a:xfrm>
          <a:off x="723900" y="6191250"/>
          <a:ext cx="6499860" cy="3726180"/>
        </a:xfrm>
        <a:prstGeom prst="rect">
          <a:avLst/>
        </a:prstGeom>
        <a:noFill/>
        <a:ln w="9525">
          <a:noFill/>
        </a:ln>
      </xdr:spPr>
    </xdr:pic>
    <xdr:clientData/>
  </xdr:twoCellAnchor>
  <xdr:twoCellAnchor editAs="absolute">
    <xdr:from>
      <xdr:col>0</xdr:col>
      <xdr:colOff>0</xdr:colOff>
      <xdr:row>0</xdr:row>
      <xdr:rowOff>0</xdr:rowOff>
    </xdr:from>
    <xdr:to>
      <xdr:col>1</xdr:col>
      <xdr:colOff>93169</xdr:colOff>
      <xdr:row>1</xdr:row>
      <xdr:rowOff>7524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EF36B0E5-AD88-4A41-8859-2C72F7C61B32}"/>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351F0EBB-9C02-4DEF-839A-9E5559768E24}"/>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3.xml><?xml version="1.0" encoding="utf-8"?>
<xdr:wsDr xmlns:xdr="http://schemas.openxmlformats.org/drawingml/2006/spreadsheetDrawing" xmlns:a="http://schemas.openxmlformats.org/drawingml/2006/main">
  <xdr:twoCellAnchor editAs="oneCell">
    <xdr:from>
      <xdr:col>0</xdr:col>
      <xdr:colOff>0</xdr:colOff>
      <xdr:row>36</xdr:row>
      <xdr:rowOff>220980</xdr:rowOff>
    </xdr:from>
    <xdr:to>
      <xdr:col>10</xdr:col>
      <xdr:colOff>76200</xdr:colOff>
      <xdr:row>59</xdr:row>
      <xdr:rowOff>76200</xdr:rowOff>
    </xdr:to>
    <xdr:pic>
      <xdr:nvPicPr>
        <xdr:cNvPr id="1229834" name="Picture 1" descr="蜗轮蜗杆">
          <a:extLst>
            <a:ext uri="{FF2B5EF4-FFF2-40B4-BE49-F238E27FC236}">
              <a16:creationId xmlns:a16="http://schemas.microsoft.com/office/drawing/2014/main" id="{00000000-0008-0000-9800-00000AC41200}"/>
            </a:ext>
          </a:extLst>
        </xdr:cNvPr>
        <xdr:cNvPicPr>
          <a:picLocks noChangeAspect="1"/>
        </xdr:cNvPicPr>
      </xdr:nvPicPr>
      <xdr:blipFill>
        <a:blip xmlns:r="http://schemas.openxmlformats.org/officeDocument/2006/relationships" r:embed="rId1" cstate="print"/>
        <a:stretch>
          <a:fillRect/>
        </a:stretch>
      </xdr:blipFill>
      <xdr:spPr>
        <a:xfrm>
          <a:off x="0" y="10422255"/>
          <a:ext cx="12201525" cy="5332095"/>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73B9CEE2-DB36-408C-8091-697C716E507D}"/>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67769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860B45A0-3428-4F93-957B-5D65CBA52EAB}"/>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5.xml><?xml version="1.0" encoding="utf-8"?>
<xdr:wsDr xmlns:xdr="http://schemas.openxmlformats.org/drawingml/2006/spreadsheetDrawing" xmlns:a="http://schemas.openxmlformats.org/drawingml/2006/main">
  <xdr:twoCellAnchor editAs="oneCell">
    <xdr:from>
      <xdr:col>5</xdr:col>
      <xdr:colOff>30480</xdr:colOff>
      <xdr:row>0</xdr:row>
      <xdr:rowOff>14605</xdr:rowOff>
    </xdr:from>
    <xdr:to>
      <xdr:col>10</xdr:col>
      <xdr:colOff>327660</xdr:colOff>
      <xdr:row>5</xdr:row>
      <xdr:rowOff>205740</xdr:rowOff>
    </xdr:to>
    <xdr:pic>
      <xdr:nvPicPr>
        <xdr:cNvPr id="1230858" name="图片 1" descr="26a78812a438de78aedadb715649946c">
          <a:extLst>
            <a:ext uri="{FF2B5EF4-FFF2-40B4-BE49-F238E27FC236}">
              <a16:creationId xmlns:a16="http://schemas.microsoft.com/office/drawing/2014/main" id="{00000000-0008-0000-9A00-00000AC81200}"/>
            </a:ext>
          </a:extLst>
        </xdr:cNvPr>
        <xdr:cNvPicPr>
          <a:picLocks noChangeAspect="1"/>
        </xdr:cNvPicPr>
      </xdr:nvPicPr>
      <xdr:blipFill>
        <a:blip xmlns:r="http://schemas.openxmlformats.org/officeDocument/2006/relationships" r:embed="rId1" cstate="print"/>
        <a:stretch>
          <a:fillRect/>
        </a:stretch>
      </xdr:blipFill>
      <xdr:spPr>
        <a:xfrm>
          <a:off x="5640705" y="14605"/>
          <a:ext cx="3726180" cy="2025650"/>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8F2DA3FE-084D-4837-BE4E-298CD9F3E7BE}"/>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33223AB3-9DC4-4121-9127-9F1E455F32B8}"/>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C8161461-E34A-4C2A-896A-97C12818999A}"/>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75A5A07B-5BE8-4335-93A3-E1F7C0082DAE}"/>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5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3AF6BD6B-3BBD-47C3-A0EC-675025CE1B54}"/>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0.xml><?xml version="1.0" encoding="utf-8"?>
<xdr:wsDr xmlns:xdr="http://schemas.openxmlformats.org/drawingml/2006/spreadsheetDrawing" xmlns:a="http://schemas.openxmlformats.org/drawingml/2006/main">
  <xdr:twoCellAnchor>
    <xdr:from>
      <xdr:col>1</xdr:col>
      <xdr:colOff>7620</xdr:colOff>
      <xdr:row>3</xdr:row>
      <xdr:rowOff>0</xdr:rowOff>
    </xdr:from>
    <xdr:to>
      <xdr:col>1</xdr:col>
      <xdr:colOff>434340</xdr:colOff>
      <xdr:row>3</xdr:row>
      <xdr:rowOff>0</xdr:rowOff>
    </xdr:to>
    <xdr:sp macro="" textlink="">
      <xdr:nvSpPr>
        <xdr:cNvPr id="1231900" name="Line 1">
          <a:extLst>
            <a:ext uri="{FF2B5EF4-FFF2-40B4-BE49-F238E27FC236}">
              <a16:creationId xmlns:a16="http://schemas.microsoft.com/office/drawing/2014/main" id="{00000000-0008-0000-9F00-00001CCC1200}"/>
            </a:ext>
          </a:extLst>
        </xdr:cNvPr>
        <xdr:cNvSpPr/>
      </xdr:nvSpPr>
      <xdr:spPr>
        <a:xfrm>
          <a:off x="693420" y="771525"/>
          <a:ext cx="426720" cy="0"/>
        </a:xfrm>
        <a:prstGeom prst="line">
          <a:avLst/>
        </a:prstGeom>
        <a:ln w="19050" cap="flat" cmpd="sng">
          <a:solidFill>
            <a:srgbClr val="FF0000"/>
          </a:solidFill>
          <a:prstDash val="solid"/>
          <a:round/>
          <a:headEnd type="none" w="med" len="med"/>
          <a:tailEnd type="none" w="med" len="med"/>
        </a:ln>
      </xdr:spPr>
    </xdr:sp>
    <xdr:clientData/>
  </xdr:twoCellAnchor>
  <xdr:twoCellAnchor>
    <xdr:from>
      <xdr:col>9</xdr:col>
      <xdr:colOff>8255</xdr:colOff>
      <xdr:row>3</xdr:row>
      <xdr:rowOff>0</xdr:rowOff>
    </xdr:from>
    <xdr:to>
      <xdr:col>10</xdr:col>
      <xdr:colOff>0</xdr:colOff>
      <xdr:row>3</xdr:row>
      <xdr:rowOff>0</xdr:rowOff>
    </xdr:to>
    <xdr:sp macro="" textlink="">
      <xdr:nvSpPr>
        <xdr:cNvPr id="1231901" name="Line 3">
          <a:extLst>
            <a:ext uri="{FF2B5EF4-FFF2-40B4-BE49-F238E27FC236}">
              <a16:creationId xmlns:a16="http://schemas.microsoft.com/office/drawing/2014/main" id="{00000000-0008-0000-9F00-00001DCC1200}"/>
            </a:ext>
          </a:extLst>
        </xdr:cNvPr>
        <xdr:cNvSpPr/>
      </xdr:nvSpPr>
      <xdr:spPr>
        <a:xfrm flipV="1">
          <a:off x="6047105" y="771525"/>
          <a:ext cx="810895" cy="0"/>
        </a:xfrm>
        <a:prstGeom prst="line">
          <a:avLst/>
        </a:prstGeom>
        <a:ln w="19050" cap="flat" cmpd="sng">
          <a:solidFill>
            <a:srgbClr val="FF0000"/>
          </a:solidFill>
          <a:prstDash val="solid"/>
          <a:round/>
          <a:headEnd type="none" w="med" len="med"/>
          <a:tailEnd type="none" w="med" len="med"/>
        </a:ln>
      </xdr:spPr>
    </xdr:sp>
    <xdr:clientData/>
  </xdr:twoCellAnchor>
  <xdr:twoCellAnchor>
    <xdr:from>
      <xdr:col>11</xdr:col>
      <xdr:colOff>427355</xdr:colOff>
      <xdr:row>5</xdr:row>
      <xdr:rowOff>76200</xdr:rowOff>
    </xdr:from>
    <xdr:to>
      <xdr:col>12</xdr:col>
      <xdr:colOff>121920</xdr:colOff>
      <xdr:row>5</xdr:row>
      <xdr:rowOff>76200</xdr:rowOff>
    </xdr:to>
    <xdr:sp macro="" textlink="">
      <xdr:nvSpPr>
        <xdr:cNvPr id="1231902" name="Line 4">
          <a:extLst>
            <a:ext uri="{FF2B5EF4-FFF2-40B4-BE49-F238E27FC236}">
              <a16:creationId xmlns:a16="http://schemas.microsoft.com/office/drawing/2014/main" id="{00000000-0008-0000-9F00-00001ECC1200}"/>
            </a:ext>
          </a:extLst>
        </xdr:cNvPr>
        <xdr:cNvSpPr/>
      </xdr:nvSpPr>
      <xdr:spPr>
        <a:xfrm>
          <a:off x="7971155" y="1362075"/>
          <a:ext cx="1018540" cy="0"/>
        </a:xfrm>
        <a:prstGeom prst="line">
          <a:avLst/>
        </a:prstGeom>
        <a:ln w="19050" cap="flat" cmpd="sng">
          <a:solidFill>
            <a:srgbClr val="FF0000"/>
          </a:solidFill>
          <a:prstDash val="solid"/>
          <a:round/>
          <a:headEnd type="none" w="med" len="med"/>
          <a:tailEnd type="none" w="med" len="med"/>
        </a:ln>
      </xdr:spPr>
    </xdr:sp>
    <xdr:clientData/>
  </xdr:twoCellAnchor>
  <xdr:twoCellAnchor editAs="absolute">
    <xdr:from>
      <xdr:col>0</xdr:col>
      <xdr:colOff>0</xdr:colOff>
      <xdr:row>0</xdr:row>
      <xdr:rowOff>0</xdr:rowOff>
    </xdr:from>
    <xdr:to>
      <xdr:col>1</xdr:col>
      <xdr:colOff>91512</xdr:colOff>
      <xdr:row>1</xdr:row>
      <xdr:rowOff>3383</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D0AD94DE-8DF7-44AE-860F-FF5588BD861F}"/>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6CDB7A28-B173-49C3-9F39-7072725E6E8D}"/>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2.xml><?xml version="1.0" encoding="utf-8"?>
<xdr:wsDr xmlns:xdr="http://schemas.openxmlformats.org/drawingml/2006/spreadsheetDrawing" xmlns:a="http://schemas.openxmlformats.org/drawingml/2006/main">
  <xdr:twoCellAnchor editAs="absolute">
    <xdr:from>
      <xdr:col>0</xdr:col>
      <xdr:colOff>0</xdr:colOff>
      <xdr:row>56</xdr:row>
      <xdr:rowOff>0</xdr:rowOff>
    </xdr:from>
    <xdr:to>
      <xdr:col>0</xdr:col>
      <xdr:colOff>778969</xdr:colOff>
      <xdr:row>57</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86EE6699-0446-4979-BB43-4F41209614DE}"/>
            </a:ext>
          </a:extLst>
        </xdr:cNvPr>
        <xdr:cNvSpPr>
          <a:spLocks noChangeAspect="1"/>
        </xdr:cNvSpPr>
      </xdr:nvSpPr>
      <xdr:spPr>
        <a:xfrm flipH="1">
          <a:off x="0" y="1061085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F6A043BD-805B-4102-A07A-6B45F8DB4CC9}"/>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483694</xdr:colOff>
      <xdr:row>1</xdr:row>
      <xdr:rowOff>7524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86CC43E2-B2EA-4370-81C2-B9F7C0A57B13}"/>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5.xml><?xml version="1.0" encoding="utf-8"?>
<xdr:wsDr xmlns:xdr="http://schemas.openxmlformats.org/drawingml/2006/spreadsheetDrawing" xmlns:a="http://schemas.openxmlformats.org/drawingml/2006/main">
  <xdr:twoCellAnchor editAs="absolute">
    <xdr:from>
      <xdr:col>12</xdr:col>
      <xdr:colOff>0</xdr:colOff>
      <xdr:row>0</xdr:row>
      <xdr:rowOff>0</xdr:rowOff>
    </xdr:from>
    <xdr:to>
      <xdr:col>12</xdr:col>
      <xdr:colOff>778969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1C542850-F6EE-4D4C-9B8E-D6A2536A7DBA}"/>
            </a:ext>
          </a:extLst>
        </xdr:cNvPr>
        <xdr:cNvSpPr>
          <a:spLocks noChangeAspect="1"/>
        </xdr:cNvSpPr>
      </xdr:nvSpPr>
      <xdr:spPr>
        <a:xfrm flipH="1">
          <a:off x="1128712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6.xml><?xml version="1.0" encoding="utf-8"?>
<xdr:wsDr xmlns:xdr="http://schemas.openxmlformats.org/drawingml/2006/spreadsheetDrawing" xmlns:a="http://schemas.openxmlformats.org/drawingml/2006/main">
  <xdr:twoCellAnchor editAs="absolute">
    <xdr:from>
      <xdr:col>12</xdr:col>
      <xdr:colOff>0</xdr:colOff>
      <xdr:row>0</xdr:row>
      <xdr:rowOff>0</xdr:rowOff>
    </xdr:from>
    <xdr:to>
      <xdr:col>13</xdr:col>
      <xdr:colOff>93169</xdr:colOff>
      <xdr:row>1</xdr:row>
      <xdr:rowOff>93249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7C9D7F40-C47D-49CD-B5D6-0567FED2345E}"/>
            </a:ext>
          </a:extLst>
        </xdr:cNvPr>
        <xdr:cNvSpPr>
          <a:spLocks noChangeAspect="1"/>
        </xdr:cNvSpPr>
      </xdr:nvSpPr>
      <xdr:spPr>
        <a:xfrm flipH="1">
          <a:off x="7991475"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388444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9599F082-335E-447B-B9B8-86027094FA7C}"/>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8.xml><?xml version="1.0" encoding="utf-8"?>
<xdr:wsDr xmlns:xdr="http://schemas.openxmlformats.org/drawingml/2006/spreadsheetDrawing" xmlns:a="http://schemas.openxmlformats.org/drawingml/2006/main">
  <xdr:twoCellAnchor editAs="absolute">
    <xdr:from>
      <xdr:col>6</xdr:col>
      <xdr:colOff>0</xdr:colOff>
      <xdr:row>9</xdr:row>
      <xdr:rowOff>0</xdr:rowOff>
    </xdr:from>
    <xdr:to>
      <xdr:col>6</xdr:col>
      <xdr:colOff>778969</xdr:colOff>
      <xdr:row>10</xdr:row>
      <xdr:rowOff>93249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688B7E82-8A74-472D-8A66-681A3DFE91EB}"/>
            </a:ext>
          </a:extLst>
        </xdr:cNvPr>
        <xdr:cNvSpPr>
          <a:spLocks noChangeAspect="1"/>
        </xdr:cNvSpPr>
      </xdr:nvSpPr>
      <xdr:spPr>
        <a:xfrm flipH="1">
          <a:off x="11182350" y="1914525"/>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6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609600</xdr:colOff>
          <xdr:row>5</xdr:row>
          <xdr:rowOff>76200</xdr:rowOff>
        </xdr:from>
        <xdr:to>
          <xdr:col>5</xdr:col>
          <xdr:colOff>0</xdr:colOff>
          <xdr:row>17</xdr:row>
          <xdr:rowOff>38100</xdr:rowOff>
        </xdr:to>
        <xdr:sp macro="" textlink="">
          <xdr:nvSpPr>
            <xdr:cNvPr id="1232897" name="Picture 1" hidden="1">
              <a:extLst>
                <a:ext uri="{63B3BB69-23CF-44E3-9099-C40C66FF867C}">
                  <a14:compatExt spid="_x0000_s1232897"/>
                </a:ext>
                <a:ext uri="{FF2B5EF4-FFF2-40B4-BE49-F238E27FC236}">
                  <a16:creationId xmlns:a16="http://schemas.microsoft.com/office/drawing/2014/main" id="{00000000-0008-0000-A800-000001D012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6</xdr:col>
      <xdr:colOff>0</xdr:colOff>
      <xdr:row>0</xdr:row>
      <xdr:rowOff>0</xdr:rowOff>
    </xdr:from>
    <xdr:to>
      <xdr:col>6</xdr:col>
      <xdr:colOff>778969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CDC53B1E-792E-4F5C-9D61-43C5EB219CBA}"/>
            </a:ext>
          </a:extLst>
        </xdr:cNvPr>
        <xdr:cNvSpPr>
          <a:spLocks noChangeAspect="1"/>
        </xdr:cNvSpPr>
      </xdr:nvSpPr>
      <xdr:spPr>
        <a:xfrm flipH="1">
          <a:off x="51054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388444</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89084B5F-2931-4547-93F6-B87BD8D6176B}"/>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107F3350-F4A8-43D3-BE88-26C138B3454A}"/>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2C075992-1EA5-4E6C-B64D-C0A2890C619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3.xml><?xml version="1.0" encoding="utf-8"?>
<xdr:wsDr xmlns:xdr="http://schemas.openxmlformats.org/drawingml/2006/spreadsheetDrawing" xmlns:a="http://schemas.openxmlformats.org/drawingml/2006/main">
  <xdr:twoCellAnchor editAs="oneCell">
    <xdr:from>
      <xdr:col>5</xdr:col>
      <xdr:colOff>464820</xdr:colOff>
      <xdr:row>20</xdr:row>
      <xdr:rowOff>38100</xdr:rowOff>
    </xdr:from>
    <xdr:to>
      <xdr:col>10</xdr:col>
      <xdr:colOff>289560</xdr:colOff>
      <xdr:row>24</xdr:row>
      <xdr:rowOff>144780</xdr:rowOff>
    </xdr:to>
    <xdr:pic>
      <xdr:nvPicPr>
        <xdr:cNvPr id="1235017" name="Picture 1026">
          <a:extLst>
            <a:ext uri="{FF2B5EF4-FFF2-40B4-BE49-F238E27FC236}">
              <a16:creationId xmlns:a16="http://schemas.microsoft.com/office/drawing/2014/main" id="{00000000-0008-0000-AC00-000049D81200}"/>
            </a:ext>
          </a:extLst>
        </xdr:cNvPr>
        <xdr:cNvPicPr>
          <a:picLocks noChangeAspect="1"/>
        </xdr:cNvPicPr>
      </xdr:nvPicPr>
      <xdr:blipFill>
        <a:blip xmlns:r="http://schemas.openxmlformats.org/officeDocument/2006/relationships" r:embed="rId1" cstate="print"/>
        <a:stretch>
          <a:fillRect/>
        </a:stretch>
      </xdr:blipFill>
      <xdr:spPr>
        <a:xfrm>
          <a:off x="4160520" y="4253230"/>
          <a:ext cx="3253740" cy="830580"/>
        </a:xfrm>
        <a:prstGeom prst="rect">
          <a:avLst/>
        </a:prstGeom>
        <a:noFill/>
        <a:ln w="9525">
          <a:noFill/>
        </a:ln>
      </xdr:spPr>
    </xdr:pic>
    <xdr:clientData/>
  </xdr:twoCellAnchor>
  <xdr:twoCellAnchor editAs="oneCell">
    <xdr:from>
      <xdr:col>5</xdr:col>
      <xdr:colOff>579120</xdr:colOff>
      <xdr:row>29</xdr:row>
      <xdr:rowOff>160020</xdr:rowOff>
    </xdr:from>
    <xdr:to>
      <xdr:col>7</xdr:col>
      <xdr:colOff>220980</xdr:colOff>
      <xdr:row>37</xdr:row>
      <xdr:rowOff>106680</xdr:rowOff>
    </xdr:to>
    <xdr:pic>
      <xdr:nvPicPr>
        <xdr:cNvPr id="1235018" name="Picture 1030">
          <a:extLst>
            <a:ext uri="{FF2B5EF4-FFF2-40B4-BE49-F238E27FC236}">
              <a16:creationId xmlns:a16="http://schemas.microsoft.com/office/drawing/2014/main" id="{00000000-0008-0000-AC00-00004AD81200}"/>
            </a:ext>
          </a:extLst>
        </xdr:cNvPr>
        <xdr:cNvPicPr>
          <a:picLocks noChangeAspect="1"/>
        </xdr:cNvPicPr>
      </xdr:nvPicPr>
      <xdr:blipFill>
        <a:blip xmlns:r="http://schemas.openxmlformats.org/officeDocument/2006/relationships" r:embed="rId2" cstate="print"/>
        <a:stretch>
          <a:fillRect/>
        </a:stretch>
      </xdr:blipFill>
      <xdr:spPr>
        <a:xfrm>
          <a:off x="4274820" y="6003925"/>
          <a:ext cx="1013460" cy="1394460"/>
        </a:xfrm>
        <a:prstGeom prst="rect">
          <a:avLst/>
        </a:prstGeom>
        <a:noFill/>
        <a:ln w="9525">
          <a:noFill/>
        </a:ln>
      </xdr:spPr>
    </xdr:pic>
    <xdr:clientData/>
  </xdr:twoCellAnchor>
  <xdr:twoCellAnchor editAs="oneCell">
    <xdr:from>
      <xdr:col>6</xdr:col>
      <xdr:colOff>7620</xdr:colOff>
      <xdr:row>41</xdr:row>
      <xdr:rowOff>75565</xdr:rowOff>
    </xdr:from>
    <xdr:to>
      <xdr:col>12</xdr:col>
      <xdr:colOff>45720</xdr:colOff>
      <xdr:row>47</xdr:row>
      <xdr:rowOff>0</xdr:rowOff>
    </xdr:to>
    <xdr:pic>
      <xdr:nvPicPr>
        <xdr:cNvPr id="1235019" name="Picture 1032">
          <a:extLst>
            <a:ext uri="{FF2B5EF4-FFF2-40B4-BE49-F238E27FC236}">
              <a16:creationId xmlns:a16="http://schemas.microsoft.com/office/drawing/2014/main" id="{00000000-0008-0000-AC00-00004BD81200}"/>
            </a:ext>
          </a:extLst>
        </xdr:cNvPr>
        <xdr:cNvPicPr>
          <a:picLocks noChangeAspect="1"/>
        </xdr:cNvPicPr>
      </xdr:nvPicPr>
      <xdr:blipFill>
        <a:blip xmlns:r="http://schemas.openxmlformats.org/officeDocument/2006/relationships" r:embed="rId3" cstate="print"/>
        <a:stretch>
          <a:fillRect/>
        </a:stretch>
      </xdr:blipFill>
      <xdr:spPr>
        <a:xfrm>
          <a:off x="4389120" y="8091170"/>
          <a:ext cx="4152900" cy="1010285"/>
        </a:xfrm>
        <a:prstGeom prst="rect">
          <a:avLst/>
        </a:prstGeom>
        <a:noFill/>
        <a:ln w="9525">
          <a:noFill/>
        </a:ln>
      </xdr:spPr>
    </xdr:pic>
    <xdr:clientData/>
  </xdr:twoCellAnchor>
  <xdr:twoCellAnchor editAs="oneCell">
    <xdr:from>
      <xdr:col>6</xdr:col>
      <xdr:colOff>0</xdr:colOff>
      <xdr:row>53</xdr:row>
      <xdr:rowOff>0</xdr:rowOff>
    </xdr:from>
    <xdr:to>
      <xdr:col>8</xdr:col>
      <xdr:colOff>449580</xdr:colOff>
      <xdr:row>59</xdr:row>
      <xdr:rowOff>106680</xdr:rowOff>
    </xdr:to>
    <xdr:pic>
      <xdr:nvPicPr>
        <xdr:cNvPr id="1235020" name="Picture 1034">
          <a:extLst>
            <a:ext uri="{FF2B5EF4-FFF2-40B4-BE49-F238E27FC236}">
              <a16:creationId xmlns:a16="http://schemas.microsoft.com/office/drawing/2014/main" id="{00000000-0008-0000-AC00-00004CD81200}"/>
            </a:ext>
          </a:extLst>
        </xdr:cNvPr>
        <xdr:cNvPicPr>
          <a:picLocks noChangeAspect="1"/>
        </xdr:cNvPicPr>
      </xdr:nvPicPr>
      <xdr:blipFill>
        <a:blip xmlns:r="http://schemas.openxmlformats.org/officeDocument/2006/relationships" r:embed="rId4" cstate="print"/>
        <a:stretch>
          <a:fillRect/>
        </a:stretch>
      </xdr:blipFill>
      <xdr:spPr>
        <a:xfrm>
          <a:off x="4381500" y="10187305"/>
          <a:ext cx="1821180" cy="1192530"/>
        </a:xfrm>
        <a:prstGeom prst="rect">
          <a:avLst/>
        </a:prstGeom>
        <a:noFill/>
        <a:ln w="9525">
          <a:noFill/>
        </a:ln>
      </xdr:spPr>
    </xdr:pic>
    <xdr:clientData/>
  </xdr:twoCellAnchor>
  <xdr:twoCellAnchor editAs="oneCell">
    <xdr:from>
      <xdr:col>5</xdr:col>
      <xdr:colOff>579120</xdr:colOff>
      <xdr:row>29</xdr:row>
      <xdr:rowOff>160020</xdr:rowOff>
    </xdr:from>
    <xdr:to>
      <xdr:col>7</xdr:col>
      <xdr:colOff>220980</xdr:colOff>
      <xdr:row>37</xdr:row>
      <xdr:rowOff>106680</xdr:rowOff>
    </xdr:to>
    <xdr:pic>
      <xdr:nvPicPr>
        <xdr:cNvPr id="1235021" name="Picture 1030">
          <a:extLst>
            <a:ext uri="{FF2B5EF4-FFF2-40B4-BE49-F238E27FC236}">
              <a16:creationId xmlns:a16="http://schemas.microsoft.com/office/drawing/2014/main" id="{00000000-0008-0000-AC00-00004DD81200}"/>
            </a:ext>
          </a:extLst>
        </xdr:cNvPr>
        <xdr:cNvPicPr>
          <a:picLocks noChangeAspect="1"/>
        </xdr:cNvPicPr>
      </xdr:nvPicPr>
      <xdr:blipFill>
        <a:blip xmlns:r="http://schemas.openxmlformats.org/officeDocument/2006/relationships" r:embed="rId2" cstate="print"/>
        <a:stretch>
          <a:fillRect/>
        </a:stretch>
      </xdr:blipFill>
      <xdr:spPr>
        <a:xfrm>
          <a:off x="4274820" y="6003925"/>
          <a:ext cx="1013460" cy="1394460"/>
        </a:xfrm>
        <a:prstGeom prst="rect">
          <a:avLst/>
        </a:prstGeom>
        <a:noFill/>
        <a:ln w="9525">
          <a:noFill/>
        </a:ln>
      </xdr:spPr>
    </xdr:pic>
    <xdr:clientData/>
  </xdr:twoCellAnchor>
  <xdr:twoCellAnchor editAs="oneCell">
    <xdr:from>
      <xdr:col>6</xdr:col>
      <xdr:colOff>0</xdr:colOff>
      <xdr:row>53</xdr:row>
      <xdr:rowOff>0</xdr:rowOff>
    </xdr:from>
    <xdr:to>
      <xdr:col>8</xdr:col>
      <xdr:colOff>449580</xdr:colOff>
      <xdr:row>59</xdr:row>
      <xdr:rowOff>106680</xdr:rowOff>
    </xdr:to>
    <xdr:pic>
      <xdr:nvPicPr>
        <xdr:cNvPr id="1235022" name="Picture 1034">
          <a:extLst>
            <a:ext uri="{FF2B5EF4-FFF2-40B4-BE49-F238E27FC236}">
              <a16:creationId xmlns:a16="http://schemas.microsoft.com/office/drawing/2014/main" id="{00000000-0008-0000-AC00-00004ED81200}"/>
            </a:ext>
          </a:extLst>
        </xdr:cNvPr>
        <xdr:cNvPicPr>
          <a:picLocks noChangeAspect="1"/>
        </xdr:cNvPicPr>
      </xdr:nvPicPr>
      <xdr:blipFill>
        <a:blip xmlns:r="http://schemas.openxmlformats.org/officeDocument/2006/relationships" r:embed="rId4" cstate="print"/>
        <a:stretch>
          <a:fillRect/>
        </a:stretch>
      </xdr:blipFill>
      <xdr:spPr>
        <a:xfrm>
          <a:off x="4381500" y="10187305"/>
          <a:ext cx="1821180" cy="1192530"/>
        </a:xfrm>
        <a:prstGeom prst="rect">
          <a:avLst/>
        </a:prstGeom>
        <a:noFill/>
        <a:ln w="9525">
          <a:noFill/>
        </a:ln>
      </xdr:spPr>
    </xdr:pic>
    <xdr:clientData/>
  </xdr:twoCellAnchor>
  <xdr:twoCellAnchor editAs="oneCell">
    <xdr:from>
      <xdr:col>5</xdr:col>
      <xdr:colOff>579120</xdr:colOff>
      <xdr:row>29</xdr:row>
      <xdr:rowOff>160020</xdr:rowOff>
    </xdr:from>
    <xdr:to>
      <xdr:col>7</xdr:col>
      <xdr:colOff>220980</xdr:colOff>
      <xdr:row>37</xdr:row>
      <xdr:rowOff>106680</xdr:rowOff>
    </xdr:to>
    <xdr:pic>
      <xdr:nvPicPr>
        <xdr:cNvPr id="1235023" name="Picture 1030">
          <a:extLst>
            <a:ext uri="{FF2B5EF4-FFF2-40B4-BE49-F238E27FC236}">
              <a16:creationId xmlns:a16="http://schemas.microsoft.com/office/drawing/2014/main" id="{00000000-0008-0000-AC00-00004FD81200}"/>
            </a:ext>
          </a:extLst>
        </xdr:cNvPr>
        <xdr:cNvPicPr>
          <a:picLocks noChangeAspect="1"/>
        </xdr:cNvPicPr>
      </xdr:nvPicPr>
      <xdr:blipFill>
        <a:blip xmlns:r="http://schemas.openxmlformats.org/officeDocument/2006/relationships" r:embed="rId2" cstate="print"/>
        <a:stretch>
          <a:fillRect/>
        </a:stretch>
      </xdr:blipFill>
      <xdr:spPr>
        <a:xfrm>
          <a:off x="4274820" y="6003925"/>
          <a:ext cx="1013460" cy="1394460"/>
        </a:xfrm>
        <a:prstGeom prst="rect">
          <a:avLst/>
        </a:prstGeom>
        <a:noFill/>
        <a:ln w="9525">
          <a:noFill/>
        </a:ln>
      </xdr:spPr>
    </xdr:pic>
    <xdr:clientData/>
  </xdr:twoCellAnchor>
  <xdr:twoCellAnchor editAs="oneCell">
    <xdr:from>
      <xdr:col>6</xdr:col>
      <xdr:colOff>0</xdr:colOff>
      <xdr:row>53</xdr:row>
      <xdr:rowOff>0</xdr:rowOff>
    </xdr:from>
    <xdr:to>
      <xdr:col>8</xdr:col>
      <xdr:colOff>449580</xdr:colOff>
      <xdr:row>59</xdr:row>
      <xdr:rowOff>106680</xdr:rowOff>
    </xdr:to>
    <xdr:pic>
      <xdr:nvPicPr>
        <xdr:cNvPr id="1235024" name="Picture 1034">
          <a:extLst>
            <a:ext uri="{FF2B5EF4-FFF2-40B4-BE49-F238E27FC236}">
              <a16:creationId xmlns:a16="http://schemas.microsoft.com/office/drawing/2014/main" id="{00000000-0008-0000-AC00-000050D81200}"/>
            </a:ext>
          </a:extLst>
        </xdr:cNvPr>
        <xdr:cNvPicPr>
          <a:picLocks noChangeAspect="1"/>
        </xdr:cNvPicPr>
      </xdr:nvPicPr>
      <xdr:blipFill>
        <a:blip xmlns:r="http://schemas.openxmlformats.org/officeDocument/2006/relationships" r:embed="rId4" cstate="print"/>
        <a:stretch>
          <a:fillRect/>
        </a:stretch>
      </xdr:blipFill>
      <xdr:spPr>
        <a:xfrm>
          <a:off x="4381500" y="10187305"/>
          <a:ext cx="1821180" cy="119253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4</xdr:col>
          <xdr:colOff>228600</xdr:colOff>
          <xdr:row>23</xdr:row>
          <xdr:rowOff>161925</xdr:rowOff>
        </xdr:to>
        <xdr:sp macro="" textlink="">
          <xdr:nvSpPr>
            <xdr:cNvPr id="1234945" name="Picture 1028" hidden="1">
              <a:extLst>
                <a:ext uri="{63B3BB69-23CF-44E3-9099-C40C66FF867C}">
                  <a14:compatExt spid="_x0000_s1234945"/>
                </a:ext>
                <a:ext uri="{FF2B5EF4-FFF2-40B4-BE49-F238E27FC236}">
                  <a16:creationId xmlns:a16="http://schemas.microsoft.com/office/drawing/2014/main" id="{00000000-0008-0000-AC00-000001D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4</xdr:col>
          <xdr:colOff>209550</xdr:colOff>
          <xdr:row>26</xdr:row>
          <xdr:rowOff>57150</xdr:rowOff>
        </xdr:to>
        <xdr:sp macro="" textlink="">
          <xdr:nvSpPr>
            <xdr:cNvPr id="1234946" name="Picture 1029" hidden="1">
              <a:extLst>
                <a:ext uri="{63B3BB69-23CF-44E3-9099-C40C66FF867C}">
                  <a14:compatExt spid="_x0000_s1234946"/>
                </a:ext>
                <a:ext uri="{FF2B5EF4-FFF2-40B4-BE49-F238E27FC236}">
                  <a16:creationId xmlns:a16="http://schemas.microsoft.com/office/drawing/2014/main" id="{00000000-0008-0000-AC00-000002D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4</xdr:col>
          <xdr:colOff>114300</xdr:colOff>
          <xdr:row>36</xdr:row>
          <xdr:rowOff>38100</xdr:rowOff>
        </xdr:to>
        <xdr:sp macro="" textlink="">
          <xdr:nvSpPr>
            <xdr:cNvPr id="1234947" name="Picture 1031" hidden="1">
              <a:extLst>
                <a:ext uri="{63B3BB69-23CF-44E3-9099-C40C66FF867C}">
                  <a14:compatExt spid="_x0000_s1234947"/>
                </a:ext>
                <a:ext uri="{FF2B5EF4-FFF2-40B4-BE49-F238E27FC236}">
                  <a16:creationId xmlns:a16="http://schemas.microsoft.com/office/drawing/2014/main" id="{00000000-0008-0000-AC00-000003D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4</xdr:col>
          <xdr:colOff>533400</xdr:colOff>
          <xdr:row>46</xdr:row>
          <xdr:rowOff>152400</xdr:rowOff>
        </xdr:to>
        <xdr:sp macro="" textlink="">
          <xdr:nvSpPr>
            <xdr:cNvPr id="1234948" name="Picture 1033" hidden="1">
              <a:extLst>
                <a:ext uri="{63B3BB69-23CF-44E3-9099-C40C66FF867C}">
                  <a14:compatExt spid="_x0000_s1234948"/>
                </a:ext>
                <a:ext uri="{FF2B5EF4-FFF2-40B4-BE49-F238E27FC236}">
                  <a16:creationId xmlns:a16="http://schemas.microsoft.com/office/drawing/2014/main" id="{00000000-0008-0000-AC00-000004D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3</xdr:col>
          <xdr:colOff>114300</xdr:colOff>
          <xdr:row>55</xdr:row>
          <xdr:rowOff>161925</xdr:rowOff>
        </xdr:to>
        <xdr:sp macro="" textlink="">
          <xdr:nvSpPr>
            <xdr:cNvPr id="1234949" name="Picture 1035" hidden="1">
              <a:extLst>
                <a:ext uri="{63B3BB69-23CF-44E3-9099-C40C66FF867C}">
                  <a14:compatExt spid="_x0000_s1234949"/>
                </a:ext>
                <a:ext uri="{FF2B5EF4-FFF2-40B4-BE49-F238E27FC236}">
                  <a16:creationId xmlns:a16="http://schemas.microsoft.com/office/drawing/2014/main" id="{00000000-0008-0000-AC00-000005D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0</xdr:col>
      <xdr:colOff>778969</xdr:colOff>
      <xdr:row>0</xdr:row>
      <xdr:rowOff>293274</xdr:rowOff>
    </xdr:to>
    <xdr:sp macro="" textlink="">
      <xdr:nvSpPr>
        <xdr:cNvPr id="2" name="五边形 1">
          <a:hlinkClick xmlns:r="http://schemas.openxmlformats.org/officeDocument/2006/relationships" r:id="rId5"/>
          <a:extLst>
            <a:ext uri="{FF2B5EF4-FFF2-40B4-BE49-F238E27FC236}">
              <a16:creationId xmlns:a16="http://schemas.microsoft.com/office/drawing/2014/main" id="{4DCAC101-E910-412B-A6D8-EDB18565AB5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4.xml><?xml version="1.0" encoding="utf-8"?>
<xdr:wsDr xmlns:xdr="http://schemas.openxmlformats.org/drawingml/2006/spreadsheetDrawing" xmlns:a="http://schemas.openxmlformats.org/drawingml/2006/main">
  <xdr:twoCellAnchor editAs="oneCell">
    <xdr:from>
      <xdr:col>5</xdr:col>
      <xdr:colOff>685800</xdr:colOff>
      <xdr:row>11</xdr:row>
      <xdr:rowOff>23495</xdr:rowOff>
    </xdr:from>
    <xdr:to>
      <xdr:col>8</xdr:col>
      <xdr:colOff>502920</xdr:colOff>
      <xdr:row>19</xdr:row>
      <xdr:rowOff>83820</xdr:rowOff>
    </xdr:to>
    <xdr:pic>
      <xdr:nvPicPr>
        <xdr:cNvPr id="1236014" name="Picture 2">
          <a:extLst>
            <a:ext uri="{FF2B5EF4-FFF2-40B4-BE49-F238E27FC236}">
              <a16:creationId xmlns:a16="http://schemas.microsoft.com/office/drawing/2014/main" id="{00000000-0008-0000-AD00-00002EDC1200}"/>
            </a:ext>
          </a:extLst>
        </xdr:cNvPr>
        <xdr:cNvPicPr>
          <a:picLocks noChangeAspect="1"/>
        </xdr:cNvPicPr>
      </xdr:nvPicPr>
      <xdr:blipFill>
        <a:blip xmlns:r="http://schemas.openxmlformats.org/officeDocument/2006/relationships" r:embed="rId1" cstate="print"/>
        <a:stretch>
          <a:fillRect/>
        </a:stretch>
      </xdr:blipFill>
      <xdr:spPr>
        <a:xfrm>
          <a:off x="4886325" y="2614930"/>
          <a:ext cx="1874520" cy="1851660"/>
        </a:xfrm>
        <a:prstGeom prst="rect">
          <a:avLst/>
        </a:prstGeom>
        <a:noFill/>
        <a:ln w="9525">
          <a:noFill/>
        </a:ln>
      </xdr:spPr>
    </xdr:pic>
    <xdr:clientData/>
  </xdr:twoCellAnchor>
  <xdr:twoCellAnchor editAs="oneCell">
    <xdr:from>
      <xdr:col>5</xdr:col>
      <xdr:colOff>609600</xdr:colOff>
      <xdr:row>22</xdr:row>
      <xdr:rowOff>432435</xdr:rowOff>
    </xdr:from>
    <xdr:to>
      <xdr:col>7</xdr:col>
      <xdr:colOff>457200</xdr:colOff>
      <xdr:row>30</xdr:row>
      <xdr:rowOff>1905</xdr:rowOff>
    </xdr:to>
    <xdr:pic>
      <xdr:nvPicPr>
        <xdr:cNvPr id="1236015" name="Picture 5">
          <a:extLst>
            <a:ext uri="{FF2B5EF4-FFF2-40B4-BE49-F238E27FC236}">
              <a16:creationId xmlns:a16="http://schemas.microsoft.com/office/drawing/2014/main" id="{00000000-0008-0000-AD00-00002FDC1200}"/>
            </a:ext>
          </a:extLst>
        </xdr:cNvPr>
        <xdr:cNvPicPr>
          <a:picLocks noChangeAspect="1"/>
        </xdr:cNvPicPr>
      </xdr:nvPicPr>
      <xdr:blipFill>
        <a:blip xmlns:r="http://schemas.openxmlformats.org/officeDocument/2006/relationships" r:embed="rId2" cstate="print"/>
        <a:stretch>
          <a:fillRect/>
        </a:stretch>
      </xdr:blipFill>
      <xdr:spPr>
        <a:xfrm>
          <a:off x="4810125" y="5396230"/>
          <a:ext cx="1219200" cy="1393825"/>
        </a:xfrm>
        <a:prstGeom prst="rect">
          <a:avLst/>
        </a:prstGeom>
        <a:noFill/>
        <a:ln w="9525">
          <a:noFill/>
        </a:ln>
      </xdr:spPr>
    </xdr:pic>
    <xdr:clientData/>
  </xdr:twoCellAnchor>
  <xdr:twoCellAnchor editAs="oneCell">
    <xdr:from>
      <xdr:col>6</xdr:col>
      <xdr:colOff>198120</xdr:colOff>
      <xdr:row>34</xdr:row>
      <xdr:rowOff>75565</xdr:rowOff>
    </xdr:from>
    <xdr:to>
      <xdr:col>7</xdr:col>
      <xdr:colOff>594360</xdr:colOff>
      <xdr:row>41</xdr:row>
      <xdr:rowOff>15240</xdr:rowOff>
    </xdr:to>
    <xdr:pic>
      <xdr:nvPicPr>
        <xdr:cNvPr id="1236016" name="Picture 10">
          <a:extLst>
            <a:ext uri="{FF2B5EF4-FFF2-40B4-BE49-F238E27FC236}">
              <a16:creationId xmlns:a16="http://schemas.microsoft.com/office/drawing/2014/main" id="{00000000-0008-0000-AD00-000030DC1200}"/>
            </a:ext>
          </a:extLst>
        </xdr:cNvPr>
        <xdr:cNvPicPr>
          <a:picLocks noChangeAspect="1"/>
        </xdr:cNvPicPr>
      </xdr:nvPicPr>
      <xdr:blipFill>
        <a:blip xmlns:r="http://schemas.openxmlformats.org/officeDocument/2006/relationships" r:embed="rId3" cstate="print"/>
        <a:stretch>
          <a:fillRect/>
        </a:stretch>
      </xdr:blipFill>
      <xdr:spPr>
        <a:xfrm>
          <a:off x="5084445" y="7811770"/>
          <a:ext cx="1082040" cy="1330325"/>
        </a:xfrm>
        <a:prstGeom prst="rect">
          <a:avLst/>
        </a:prstGeom>
        <a:noFill/>
        <a:ln w="9525">
          <a:noFill/>
        </a:ln>
      </xdr:spPr>
    </xdr:pic>
    <xdr:clientData/>
  </xdr:twoCellAnchor>
  <xdr:twoCellAnchor editAs="oneCell">
    <xdr:from>
      <xdr:col>6</xdr:col>
      <xdr:colOff>114300</xdr:colOff>
      <xdr:row>45</xdr:row>
      <xdr:rowOff>76200</xdr:rowOff>
    </xdr:from>
    <xdr:to>
      <xdr:col>7</xdr:col>
      <xdr:colOff>480060</xdr:colOff>
      <xdr:row>49</xdr:row>
      <xdr:rowOff>144780</xdr:rowOff>
    </xdr:to>
    <xdr:pic>
      <xdr:nvPicPr>
        <xdr:cNvPr id="1236017" name="Picture 8">
          <a:extLst>
            <a:ext uri="{FF2B5EF4-FFF2-40B4-BE49-F238E27FC236}">
              <a16:creationId xmlns:a16="http://schemas.microsoft.com/office/drawing/2014/main" id="{00000000-0008-0000-AD00-000031DC1200}"/>
            </a:ext>
          </a:extLst>
        </xdr:cNvPr>
        <xdr:cNvPicPr>
          <a:picLocks noChangeAspect="1"/>
        </xdr:cNvPicPr>
      </xdr:nvPicPr>
      <xdr:blipFill>
        <a:blip xmlns:r="http://schemas.openxmlformats.org/officeDocument/2006/relationships" r:embed="rId4" cstate="print"/>
        <a:stretch>
          <a:fillRect/>
        </a:stretch>
      </xdr:blipFill>
      <xdr:spPr>
        <a:xfrm>
          <a:off x="5000625" y="10165080"/>
          <a:ext cx="1051560" cy="1350010"/>
        </a:xfrm>
        <a:prstGeom prst="rect">
          <a:avLst/>
        </a:prstGeom>
        <a:noFill/>
        <a:ln w="9525">
          <a:noFill/>
        </a:ln>
      </xdr:spPr>
    </xdr:pic>
    <xdr:clientData/>
  </xdr:twoCellAnchor>
  <xdr:twoCellAnchor editAs="oneCell">
    <xdr:from>
      <xdr:col>5</xdr:col>
      <xdr:colOff>31115</xdr:colOff>
      <xdr:row>63</xdr:row>
      <xdr:rowOff>129540</xdr:rowOff>
    </xdr:from>
    <xdr:to>
      <xdr:col>6</xdr:col>
      <xdr:colOff>213360</xdr:colOff>
      <xdr:row>69</xdr:row>
      <xdr:rowOff>114300</xdr:rowOff>
    </xdr:to>
    <xdr:pic>
      <xdr:nvPicPr>
        <xdr:cNvPr id="1236018" name="Picture 14">
          <a:extLst>
            <a:ext uri="{FF2B5EF4-FFF2-40B4-BE49-F238E27FC236}">
              <a16:creationId xmlns:a16="http://schemas.microsoft.com/office/drawing/2014/main" id="{00000000-0008-0000-AD00-000032DC1200}"/>
            </a:ext>
          </a:extLst>
        </xdr:cNvPr>
        <xdr:cNvPicPr>
          <a:picLocks noChangeAspect="1"/>
        </xdr:cNvPicPr>
      </xdr:nvPicPr>
      <xdr:blipFill>
        <a:blip xmlns:r="http://schemas.openxmlformats.org/officeDocument/2006/relationships" r:embed="rId5" cstate="print"/>
        <a:stretch>
          <a:fillRect/>
        </a:stretch>
      </xdr:blipFill>
      <xdr:spPr>
        <a:xfrm>
          <a:off x="4231640" y="14834235"/>
          <a:ext cx="868045" cy="1447165"/>
        </a:xfrm>
        <a:prstGeom prst="rect">
          <a:avLst/>
        </a:prstGeom>
        <a:noFill/>
        <a:ln w="9525">
          <a:noFill/>
        </a:ln>
      </xdr:spPr>
    </xdr:pic>
    <xdr:clientData/>
  </xdr:twoCellAnchor>
  <xdr:twoCellAnchor editAs="oneCell">
    <xdr:from>
      <xdr:col>10</xdr:col>
      <xdr:colOff>0</xdr:colOff>
      <xdr:row>2</xdr:row>
      <xdr:rowOff>0</xdr:rowOff>
    </xdr:from>
    <xdr:to>
      <xdr:col>20</xdr:col>
      <xdr:colOff>525780</xdr:colOff>
      <xdr:row>31</xdr:row>
      <xdr:rowOff>32385</xdr:rowOff>
    </xdr:to>
    <xdr:pic>
      <xdr:nvPicPr>
        <xdr:cNvPr id="2" name="Picture 4">
          <a:extLst>
            <a:ext uri="{FF2B5EF4-FFF2-40B4-BE49-F238E27FC236}">
              <a16:creationId xmlns:a16="http://schemas.microsoft.com/office/drawing/2014/main" id="{00000000-0008-0000-AD00-000002000000}"/>
            </a:ext>
          </a:extLst>
        </xdr:cNvPr>
        <xdr:cNvPicPr>
          <a:picLocks noChangeAspect="1"/>
        </xdr:cNvPicPr>
      </xdr:nvPicPr>
      <xdr:blipFill>
        <a:blip xmlns:r="http://schemas.openxmlformats.org/officeDocument/2006/relationships" r:embed="rId6" cstate="print"/>
        <a:stretch>
          <a:fillRect/>
        </a:stretch>
      </xdr:blipFill>
      <xdr:spPr>
        <a:xfrm>
          <a:off x="7629525" y="690880"/>
          <a:ext cx="7383780" cy="6310630"/>
        </a:xfrm>
        <a:prstGeom prst="rect">
          <a:avLst/>
        </a:prstGeom>
        <a:noFill/>
        <a:ln w="1">
          <a:noFill/>
        </a:ln>
      </xdr:spPr>
    </xdr:pic>
    <xdr:clientData/>
  </xdr:twoCellAnchor>
  <mc:AlternateContent xmlns:mc="http://schemas.openxmlformats.org/markup-compatibility/2006">
    <mc:Choice xmlns:a14="http://schemas.microsoft.com/office/drawing/2010/main" Requires="a14">
      <xdr:twoCellAnchor editAs="oneCell">
        <xdr:from>
          <xdr:col>4</xdr:col>
          <xdr:colOff>609600</xdr:colOff>
          <xdr:row>19</xdr:row>
          <xdr:rowOff>9525</xdr:rowOff>
        </xdr:from>
        <xdr:to>
          <xdr:col>9</xdr:col>
          <xdr:colOff>533400</xdr:colOff>
          <xdr:row>20</xdr:row>
          <xdr:rowOff>180975</xdr:rowOff>
        </xdr:to>
        <xdr:sp macro="" textlink="">
          <xdr:nvSpPr>
            <xdr:cNvPr id="1235969" name="Picture 18" hidden="1">
              <a:extLst>
                <a:ext uri="{63B3BB69-23CF-44E3-9099-C40C66FF867C}">
                  <a14:compatExt spid="_x0000_s1235969"/>
                </a:ext>
                <a:ext uri="{FF2B5EF4-FFF2-40B4-BE49-F238E27FC236}">
                  <a16:creationId xmlns:a16="http://schemas.microsoft.com/office/drawing/2014/main" id="{00000000-0008-0000-AD00-000001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342900</xdr:colOff>
          <xdr:row>64</xdr:row>
          <xdr:rowOff>28575</xdr:rowOff>
        </xdr:from>
        <xdr:to>
          <xdr:col>7</xdr:col>
          <xdr:colOff>381000</xdr:colOff>
          <xdr:row>65</xdr:row>
          <xdr:rowOff>19050</xdr:rowOff>
        </xdr:to>
        <xdr:sp macro="" textlink="">
          <xdr:nvSpPr>
            <xdr:cNvPr id="1235970" name="Picture 20" hidden="1">
              <a:extLst>
                <a:ext uri="{63B3BB69-23CF-44E3-9099-C40C66FF867C}">
                  <a14:compatExt spid="_x0000_s1235970"/>
                </a:ext>
                <a:ext uri="{FF2B5EF4-FFF2-40B4-BE49-F238E27FC236}">
                  <a16:creationId xmlns:a16="http://schemas.microsoft.com/office/drawing/2014/main" id="{00000000-0008-0000-AD00-000002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29</xdr:row>
          <xdr:rowOff>161925</xdr:rowOff>
        </xdr:from>
        <xdr:to>
          <xdr:col>8</xdr:col>
          <xdr:colOff>247650</xdr:colOff>
          <xdr:row>31</xdr:row>
          <xdr:rowOff>171450</xdr:rowOff>
        </xdr:to>
        <xdr:sp macro="" textlink="">
          <xdr:nvSpPr>
            <xdr:cNvPr id="1235971" name="Picture 21" hidden="1">
              <a:extLst>
                <a:ext uri="{63B3BB69-23CF-44E3-9099-C40C66FF867C}">
                  <a14:compatExt spid="_x0000_s1235971"/>
                </a:ext>
                <a:ext uri="{FF2B5EF4-FFF2-40B4-BE49-F238E27FC236}">
                  <a16:creationId xmlns:a16="http://schemas.microsoft.com/office/drawing/2014/main" id="{00000000-0008-0000-AD00-000003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457200</xdr:colOff>
          <xdr:row>50</xdr:row>
          <xdr:rowOff>152400</xdr:rowOff>
        </xdr:from>
        <xdr:to>
          <xdr:col>7</xdr:col>
          <xdr:colOff>638175</xdr:colOff>
          <xdr:row>52</xdr:row>
          <xdr:rowOff>133350</xdr:rowOff>
        </xdr:to>
        <xdr:sp macro="" textlink="">
          <xdr:nvSpPr>
            <xdr:cNvPr id="1235972" name="Picture 22" hidden="1">
              <a:extLst>
                <a:ext uri="{63B3BB69-23CF-44E3-9099-C40C66FF867C}">
                  <a14:compatExt spid="_x0000_s1235972"/>
                </a:ext>
                <a:ext uri="{FF2B5EF4-FFF2-40B4-BE49-F238E27FC236}">
                  <a16:creationId xmlns:a16="http://schemas.microsoft.com/office/drawing/2014/main" id="{00000000-0008-0000-AD00-000004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41</xdr:row>
          <xdr:rowOff>19050</xdr:rowOff>
        </xdr:from>
        <xdr:to>
          <xdr:col>8</xdr:col>
          <xdr:colOff>333375</xdr:colOff>
          <xdr:row>42</xdr:row>
          <xdr:rowOff>171450</xdr:rowOff>
        </xdr:to>
        <xdr:sp macro="" textlink="">
          <xdr:nvSpPr>
            <xdr:cNvPr id="1235973" name="Picture 23" hidden="1">
              <a:extLst>
                <a:ext uri="{63B3BB69-23CF-44E3-9099-C40C66FF867C}">
                  <a14:compatExt spid="_x0000_s1235973"/>
                </a:ext>
                <a:ext uri="{FF2B5EF4-FFF2-40B4-BE49-F238E27FC236}">
                  <a16:creationId xmlns:a16="http://schemas.microsoft.com/office/drawing/2014/main" id="{00000000-0008-0000-AD00-000005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142875</xdr:colOff>
          <xdr:row>57</xdr:row>
          <xdr:rowOff>190500</xdr:rowOff>
        </xdr:from>
        <xdr:to>
          <xdr:col>6</xdr:col>
          <xdr:colOff>295275</xdr:colOff>
          <xdr:row>59</xdr:row>
          <xdr:rowOff>95250</xdr:rowOff>
        </xdr:to>
        <xdr:sp macro="" textlink="">
          <xdr:nvSpPr>
            <xdr:cNvPr id="1235974" name="Picture 27" hidden="1">
              <a:extLst>
                <a:ext uri="{63B3BB69-23CF-44E3-9099-C40C66FF867C}">
                  <a14:compatExt spid="_x0000_s1235974"/>
                </a:ext>
                <a:ext uri="{FF2B5EF4-FFF2-40B4-BE49-F238E27FC236}">
                  <a16:creationId xmlns:a16="http://schemas.microsoft.com/office/drawing/2014/main" id="{00000000-0008-0000-AD00-000006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66</xdr:row>
          <xdr:rowOff>9525</xdr:rowOff>
        </xdr:from>
        <xdr:to>
          <xdr:col>3</xdr:col>
          <xdr:colOff>552450</xdr:colOff>
          <xdr:row>66</xdr:row>
          <xdr:rowOff>381000</xdr:rowOff>
        </xdr:to>
        <xdr:sp macro="" textlink="">
          <xdr:nvSpPr>
            <xdr:cNvPr id="1235975" name="Picture 28" hidden="1">
              <a:extLst>
                <a:ext uri="{63B3BB69-23CF-44E3-9099-C40C66FF867C}">
                  <a14:compatExt spid="_x0000_s1235975"/>
                </a:ext>
                <a:ext uri="{FF2B5EF4-FFF2-40B4-BE49-F238E27FC236}">
                  <a16:creationId xmlns:a16="http://schemas.microsoft.com/office/drawing/2014/main" id="{00000000-0008-0000-AD00-000007D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0</xdr:col>
      <xdr:colOff>778969</xdr:colOff>
      <xdr:row>1</xdr:row>
      <xdr:rowOff>113980</xdr:rowOff>
    </xdr:to>
    <xdr:sp macro="" textlink="">
      <xdr:nvSpPr>
        <xdr:cNvPr id="3" name="五边形 1">
          <a:hlinkClick xmlns:r="http://schemas.openxmlformats.org/officeDocument/2006/relationships" r:id="rId7"/>
          <a:extLst>
            <a:ext uri="{FF2B5EF4-FFF2-40B4-BE49-F238E27FC236}">
              <a16:creationId xmlns:a16="http://schemas.microsoft.com/office/drawing/2014/main" id="{9992DBDA-7EAC-4406-B88B-3BBC694C49B1}"/>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5.xml><?xml version="1.0" encoding="utf-8"?>
<xdr:wsDr xmlns:xdr="http://schemas.openxmlformats.org/drawingml/2006/spreadsheetDrawing" xmlns:a="http://schemas.openxmlformats.org/drawingml/2006/main">
  <xdr:twoCellAnchor editAs="oneCell">
    <xdr:from>
      <xdr:col>8</xdr:col>
      <xdr:colOff>190500</xdr:colOff>
      <xdr:row>22</xdr:row>
      <xdr:rowOff>75565</xdr:rowOff>
    </xdr:from>
    <xdr:to>
      <xdr:col>10</xdr:col>
      <xdr:colOff>342900</xdr:colOff>
      <xdr:row>27</xdr:row>
      <xdr:rowOff>144145</xdr:rowOff>
    </xdr:to>
    <xdr:pic>
      <xdr:nvPicPr>
        <xdr:cNvPr id="1237020" name="Picture 4">
          <a:extLst>
            <a:ext uri="{FF2B5EF4-FFF2-40B4-BE49-F238E27FC236}">
              <a16:creationId xmlns:a16="http://schemas.microsoft.com/office/drawing/2014/main" id="{00000000-0008-0000-AE00-00001CE01200}"/>
            </a:ext>
          </a:extLst>
        </xdr:cNvPr>
        <xdr:cNvPicPr>
          <a:picLocks noChangeAspect="1"/>
        </xdr:cNvPicPr>
      </xdr:nvPicPr>
      <xdr:blipFill>
        <a:blip xmlns:r="http://schemas.openxmlformats.org/officeDocument/2006/relationships" r:embed="rId1" cstate="print"/>
        <a:stretch>
          <a:fillRect/>
        </a:stretch>
      </xdr:blipFill>
      <xdr:spPr>
        <a:xfrm>
          <a:off x="6372225" y="5234305"/>
          <a:ext cx="1524000" cy="1059180"/>
        </a:xfrm>
        <a:prstGeom prst="rect">
          <a:avLst/>
        </a:prstGeom>
        <a:noFill/>
        <a:ln w="9525">
          <a:noFill/>
        </a:ln>
      </xdr:spPr>
    </xdr:pic>
    <xdr:clientData/>
  </xdr:twoCellAnchor>
  <xdr:twoCellAnchor editAs="oneCell">
    <xdr:from>
      <xdr:col>7</xdr:col>
      <xdr:colOff>15240</xdr:colOff>
      <xdr:row>4</xdr:row>
      <xdr:rowOff>45720</xdr:rowOff>
    </xdr:from>
    <xdr:to>
      <xdr:col>10</xdr:col>
      <xdr:colOff>510540</xdr:colOff>
      <xdr:row>8</xdr:row>
      <xdr:rowOff>152400</xdr:rowOff>
    </xdr:to>
    <xdr:pic>
      <xdr:nvPicPr>
        <xdr:cNvPr id="1237021" name="Picture 23">
          <a:extLst>
            <a:ext uri="{FF2B5EF4-FFF2-40B4-BE49-F238E27FC236}">
              <a16:creationId xmlns:a16="http://schemas.microsoft.com/office/drawing/2014/main" id="{00000000-0008-0000-AE00-00001DE01200}"/>
            </a:ext>
          </a:extLst>
        </xdr:cNvPr>
        <xdr:cNvPicPr>
          <a:picLocks noChangeAspect="1"/>
        </xdr:cNvPicPr>
      </xdr:nvPicPr>
      <xdr:blipFill>
        <a:blip xmlns:r="http://schemas.openxmlformats.org/officeDocument/2006/relationships" r:embed="rId2" cstate="print"/>
        <a:stretch>
          <a:fillRect/>
        </a:stretch>
      </xdr:blipFill>
      <xdr:spPr>
        <a:xfrm>
          <a:off x="5511165" y="1236980"/>
          <a:ext cx="2552700" cy="997585"/>
        </a:xfrm>
        <a:prstGeom prst="rect">
          <a:avLst/>
        </a:prstGeom>
        <a:noFill/>
        <a:ln w="9525">
          <a:noFill/>
        </a:ln>
      </xdr:spPr>
    </xdr:pic>
    <xdr:clientData/>
  </xdr:twoCellAnchor>
  <xdr:twoCellAnchor editAs="oneCell">
    <xdr:from>
      <xdr:col>7</xdr:col>
      <xdr:colOff>281940</xdr:colOff>
      <xdr:row>9</xdr:row>
      <xdr:rowOff>45720</xdr:rowOff>
    </xdr:from>
    <xdr:to>
      <xdr:col>10</xdr:col>
      <xdr:colOff>0</xdr:colOff>
      <xdr:row>14</xdr:row>
      <xdr:rowOff>122555</xdr:rowOff>
    </xdr:to>
    <xdr:pic>
      <xdr:nvPicPr>
        <xdr:cNvPr id="1237022" name="Picture 6">
          <a:extLst>
            <a:ext uri="{FF2B5EF4-FFF2-40B4-BE49-F238E27FC236}">
              <a16:creationId xmlns:a16="http://schemas.microsoft.com/office/drawing/2014/main" id="{00000000-0008-0000-AE00-00001EE01200}"/>
            </a:ext>
          </a:extLst>
        </xdr:cNvPr>
        <xdr:cNvPicPr>
          <a:picLocks noChangeAspect="1"/>
        </xdr:cNvPicPr>
      </xdr:nvPicPr>
      <xdr:blipFill>
        <a:blip xmlns:r="http://schemas.openxmlformats.org/officeDocument/2006/relationships" r:embed="rId3" cstate="print"/>
        <a:stretch>
          <a:fillRect/>
        </a:stretch>
      </xdr:blipFill>
      <xdr:spPr>
        <a:xfrm>
          <a:off x="5777865" y="2327910"/>
          <a:ext cx="1775460" cy="132461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133350</xdr:colOff>
          <xdr:row>31</xdr:row>
          <xdr:rowOff>66675</xdr:rowOff>
        </xdr:from>
        <xdr:to>
          <xdr:col>6</xdr:col>
          <xdr:colOff>190500</xdr:colOff>
          <xdr:row>31</xdr:row>
          <xdr:rowOff>266700</xdr:rowOff>
        </xdr:to>
        <xdr:sp macro="" textlink="">
          <xdr:nvSpPr>
            <xdr:cNvPr id="1236993" name="Picture 11" hidden="1">
              <a:extLst>
                <a:ext uri="{63B3BB69-23CF-44E3-9099-C40C66FF867C}">
                  <a14:compatExt spid="_x0000_s1236993"/>
                </a:ext>
                <a:ext uri="{FF2B5EF4-FFF2-40B4-BE49-F238E27FC236}">
                  <a16:creationId xmlns:a16="http://schemas.microsoft.com/office/drawing/2014/main" id="{00000000-0008-0000-AE00-000001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34</xdr:row>
          <xdr:rowOff>0</xdr:rowOff>
        </xdr:from>
        <xdr:to>
          <xdr:col>4</xdr:col>
          <xdr:colOff>390525</xdr:colOff>
          <xdr:row>35</xdr:row>
          <xdr:rowOff>123825</xdr:rowOff>
        </xdr:to>
        <xdr:sp macro="" textlink="">
          <xdr:nvSpPr>
            <xdr:cNvPr id="1236994" name="Picture 14" hidden="1">
              <a:extLst>
                <a:ext uri="{63B3BB69-23CF-44E3-9099-C40C66FF867C}">
                  <a14:compatExt spid="_x0000_s1236994"/>
                </a:ext>
                <a:ext uri="{FF2B5EF4-FFF2-40B4-BE49-F238E27FC236}">
                  <a16:creationId xmlns:a16="http://schemas.microsoft.com/office/drawing/2014/main" id="{00000000-0008-0000-AE00-000002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43</xdr:row>
          <xdr:rowOff>28575</xdr:rowOff>
        </xdr:from>
        <xdr:to>
          <xdr:col>4</xdr:col>
          <xdr:colOff>1104900</xdr:colOff>
          <xdr:row>47</xdr:row>
          <xdr:rowOff>161925</xdr:rowOff>
        </xdr:to>
        <xdr:sp macro="" textlink="">
          <xdr:nvSpPr>
            <xdr:cNvPr id="1236995" name="Picture 15" hidden="1">
              <a:extLst>
                <a:ext uri="{63B3BB69-23CF-44E3-9099-C40C66FF867C}">
                  <a14:compatExt spid="_x0000_s1236995"/>
                </a:ext>
                <a:ext uri="{FF2B5EF4-FFF2-40B4-BE49-F238E27FC236}">
                  <a16:creationId xmlns:a16="http://schemas.microsoft.com/office/drawing/2014/main" id="{00000000-0008-0000-AE00-000003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50</xdr:row>
          <xdr:rowOff>28575</xdr:rowOff>
        </xdr:from>
        <xdr:to>
          <xdr:col>4</xdr:col>
          <xdr:colOff>962025</xdr:colOff>
          <xdr:row>51</xdr:row>
          <xdr:rowOff>190500</xdr:rowOff>
        </xdr:to>
        <xdr:sp macro="" textlink="">
          <xdr:nvSpPr>
            <xdr:cNvPr id="1236996" name="Picture 16" hidden="1">
              <a:extLst>
                <a:ext uri="{63B3BB69-23CF-44E3-9099-C40C66FF867C}">
                  <a14:compatExt spid="_x0000_s1236996"/>
                </a:ext>
                <a:ext uri="{FF2B5EF4-FFF2-40B4-BE49-F238E27FC236}">
                  <a16:creationId xmlns:a16="http://schemas.microsoft.com/office/drawing/2014/main" id="{00000000-0008-0000-AE00-000004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37</xdr:row>
          <xdr:rowOff>114300</xdr:rowOff>
        </xdr:from>
        <xdr:to>
          <xdr:col>4</xdr:col>
          <xdr:colOff>495300</xdr:colOff>
          <xdr:row>39</xdr:row>
          <xdr:rowOff>180975</xdr:rowOff>
        </xdr:to>
        <xdr:sp macro="" textlink="">
          <xdr:nvSpPr>
            <xdr:cNvPr id="1236997" name="Picture 17" hidden="1">
              <a:extLst>
                <a:ext uri="{63B3BB69-23CF-44E3-9099-C40C66FF867C}">
                  <a14:compatExt spid="_x0000_s1236997"/>
                </a:ext>
                <a:ext uri="{FF2B5EF4-FFF2-40B4-BE49-F238E27FC236}">
                  <a16:creationId xmlns:a16="http://schemas.microsoft.com/office/drawing/2014/main" id="{00000000-0008-0000-AE00-000005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56</xdr:row>
          <xdr:rowOff>123825</xdr:rowOff>
        </xdr:from>
        <xdr:to>
          <xdr:col>4</xdr:col>
          <xdr:colOff>752475</xdr:colOff>
          <xdr:row>58</xdr:row>
          <xdr:rowOff>66675</xdr:rowOff>
        </xdr:to>
        <xdr:sp macro="" textlink="">
          <xdr:nvSpPr>
            <xdr:cNvPr id="1236998" name="Picture 18" hidden="1">
              <a:extLst>
                <a:ext uri="{63B3BB69-23CF-44E3-9099-C40C66FF867C}">
                  <a14:compatExt spid="_x0000_s1236998"/>
                </a:ext>
                <a:ext uri="{FF2B5EF4-FFF2-40B4-BE49-F238E27FC236}">
                  <a16:creationId xmlns:a16="http://schemas.microsoft.com/office/drawing/2014/main" id="{00000000-0008-0000-AE00-000006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67</xdr:row>
          <xdr:rowOff>142875</xdr:rowOff>
        </xdr:from>
        <xdr:to>
          <xdr:col>4</xdr:col>
          <xdr:colOff>685800</xdr:colOff>
          <xdr:row>69</xdr:row>
          <xdr:rowOff>85725</xdr:rowOff>
        </xdr:to>
        <xdr:sp macro="" textlink="">
          <xdr:nvSpPr>
            <xdr:cNvPr id="1236999" name="Picture 19" hidden="1">
              <a:extLst>
                <a:ext uri="{63B3BB69-23CF-44E3-9099-C40C66FF867C}">
                  <a14:compatExt spid="_x0000_s1236999"/>
                </a:ext>
                <a:ext uri="{FF2B5EF4-FFF2-40B4-BE49-F238E27FC236}">
                  <a16:creationId xmlns:a16="http://schemas.microsoft.com/office/drawing/2014/main" id="{00000000-0008-0000-AE00-000007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19</xdr:row>
          <xdr:rowOff>133350</xdr:rowOff>
        </xdr:from>
        <xdr:to>
          <xdr:col>7</xdr:col>
          <xdr:colOff>533400</xdr:colOff>
          <xdr:row>23</xdr:row>
          <xdr:rowOff>133350</xdr:rowOff>
        </xdr:to>
        <xdr:sp macro="" textlink="">
          <xdr:nvSpPr>
            <xdr:cNvPr id="1237000" name="Picture 24" hidden="1">
              <a:extLst>
                <a:ext uri="{63B3BB69-23CF-44E3-9099-C40C66FF867C}">
                  <a14:compatExt spid="_x0000_s1237000"/>
                </a:ext>
                <a:ext uri="{FF2B5EF4-FFF2-40B4-BE49-F238E27FC236}">
                  <a16:creationId xmlns:a16="http://schemas.microsoft.com/office/drawing/2014/main" id="{00000000-0008-0000-AE00-000008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60</xdr:row>
          <xdr:rowOff>0</xdr:rowOff>
        </xdr:from>
        <xdr:to>
          <xdr:col>4</xdr:col>
          <xdr:colOff>609600</xdr:colOff>
          <xdr:row>61</xdr:row>
          <xdr:rowOff>0</xdr:rowOff>
        </xdr:to>
        <xdr:sp macro="" textlink="">
          <xdr:nvSpPr>
            <xdr:cNvPr id="1237001" name="Picture 25" hidden="1">
              <a:extLst>
                <a:ext uri="{63B3BB69-23CF-44E3-9099-C40C66FF867C}">
                  <a14:compatExt spid="_x0000_s1237001"/>
                </a:ext>
                <a:ext uri="{FF2B5EF4-FFF2-40B4-BE49-F238E27FC236}">
                  <a16:creationId xmlns:a16="http://schemas.microsoft.com/office/drawing/2014/main" id="{00000000-0008-0000-AE00-000009E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82D6DEAF-ED2C-46EA-A2C3-844AE4AA1783}"/>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6.xml><?xml version="1.0" encoding="utf-8"?>
<xdr:wsDr xmlns:xdr="http://schemas.openxmlformats.org/drawingml/2006/spreadsheetDrawing" xmlns:a="http://schemas.openxmlformats.org/drawingml/2006/main">
  <xdr:twoCellAnchor editAs="oneCell">
    <xdr:from>
      <xdr:col>7</xdr:col>
      <xdr:colOff>106680</xdr:colOff>
      <xdr:row>15</xdr:row>
      <xdr:rowOff>106680</xdr:rowOff>
    </xdr:from>
    <xdr:to>
      <xdr:col>9</xdr:col>
      <xdr:colOff>259080</xdr:colOff>
      <xdr:row>21</xdr:row>
      <xdr:rowOff>122554</xdr:rowOff>
    </xdr:to>
    <xdr:pic>
      <xdr:nvPicPr>
        <xdr:cNvPr id="1238035" name="Picture 1">
          <a:extLst>
            <a:ext uri="{FF2B5EF4-FFF2-40B4-BE49-F238E27FC236}">
              <a16:creationId xmlns:a16="http://schemas.microsoft.com/office/drawing/2014/main" id="{00000000-0008-0000-AF00-000013E41200}"/>
            </a:ext>
          </a:extLst>
        </xdr:cNvPr>
        <xdr:cNvPicPr>
          <a:picLocks noChangeAspect="1"/>
        </xdr:cNvPicPr>
      </xdr:nvPicPr>
      <xdr:blipFill>
        <a:blip xmlns:r="http://schemas.openxmlformats.org/officeDocument/2006/relationships" r:embed="rId1" cstate="print"/>
        <a:stretch>
          <a:fillRect/>
        </a:stretch>
      </xdr:blipFill>
      <xdr:spPr>
        <a:xfrm>
          <a:off x="5354955" y="3230880"/>
          <a:ext cx="1524000" cy="1158875"/>
        </a:xfrm>
        <a:prstGeom prst="rect">
          <a:avLst/>
        </a:prstGeom>
        <a:noFill/>
        <a:ln w="9525">
          <a:noFill/>
        </a:ln>
      </xdr:spPr>
    </xdr:pic>
    <xdr:clientData/>
  </xdr:twoCellAnchor>
  <xdr:twoCellAnchor editAs="oneCell">
    <xdr:from>
      <xdr:col>7</xdr:col>
      <xdr:colOff>160020</xdr:colOff>
      <xdr:row>21</xdr:row>
      <xdr:rowOff>122555</xdr:rowOff>
    </xdr:from>
    <xdr:to>
      <xdr:col>11</xdr:col>
      <xdr:colOff>251460</xdr:colOff>
      <xdr:row>31</xdr:row>
      <xdr:rowOff>106680</xdr:rowOff>
    </xdr:to>
    <xdr:pic>
      <xdr:nvPicPr>
        <xdr:cNvPr id="1238036" name="Picture 2">
          <a:extLst>
            <a:ext uri="{FF2B5EF4-FFF2-40B4-BE49-F238E27FC236}">
              <a16:creationId xmlns:a16="http://schemas.microsoft.com/office/drawing/2014/main" id="{00000000-0008-0000-AF00-000014E41200}"/>
            </a:ext>
          </a:extLst>
        </xdr:cNvPr>
        <xdr:cNvPicPr>
          <a:picLocks noChangeAspect="1"/>
        </xdr:cNvPicPr>
      </xdr:nvPicPr>
      <xdr:blipFill>
        <a:blip xmlns:r="http://schemas.openxmlformats.org/officeDocument/2006/relationships" r:embed="rId2" cstate="print"/>
        <a:stretch>
          <a:fillRect/>
        </a:stretch>
      </xdr:blipFill>
      <xdr:spPr>
        <a:xfrm>
          <a:off x="5408295" y="4389755"/>
          <a:ext cx="2834640" cy="207010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4</xdr:col>
          <xdr:colOff>9525</xdr:colOff>
          <xdr:row>21</xdr:row>
          <xdr:rowOff>0</xdr:rowOff>
        </xdr:from>
        <xdr:to>
          <xdr:col>6</xdr:col>
          <xdr:colOff>323850</xdr:colOff>
          <xdr:row>22</xdr:row>
          <xdr:rowOff>1</xdr:rowOff>
        </xdr:to>
        <xdr:sp macro="" textlink="">
          <xdr:nvSpPr>
            <xdr:cNvPr id="1238017" name="Picture 5" hidden="1">
              <a:extLst>
                <a:ext uri="{63B3BB69-23CF-44E3-9099-C40C66FF867C}">
                  <a14:compatExt spid="_x0000_s1238017"/>
                </a:ext>
                <a:ext uri="{FF2B5EF4-FFF2-40B4-BE49-F238E27FC236}">
                  <a16:creationId xmlns:a16="http://schemas.microsoft.com/office/drawing/2014/main" id="{00000000-0008-0000-AF00-000001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24</xdr:row>
          <xdr:rowOff>0</xdr:rowOff>
        </xdr:from>
        <xdr:to>
          <xdr:col>4</xdr:col>
          <xdr:colOff>390525</xdr:colOff>
          <xdr:row>25</xdr:row>
          <xdr:rowOff>123825</xdr:rowOff>
        </xdr:to>
        <xdr:sp macro="" textlink="">
          <xdr:nvSpPr>
            <xdr:cNvPr id="1238018" name="Picture 6" hidden="1">
              <a:extLst>
                <a:ext uri="{63B3BB69-23CF-44E3-9099-C40C66FF867C}">
                  <a14:compatExt spid="_x0000_s1238018"/>
                </a:ext>
                <a:ext uri="{FF2B5EF4-FFF2-40B4-BE49-F238E27FC236}">
                  <a16:creationId xmlns:a16="http://schemas.microsoft.com/office/drawing/2014/main" id="{00000000-0008-0000-AF00-000002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33</xdr:row>
          <xdr:rowOff>76200</xdr:rowOff>
        </xdr:from>
        <xdr:to>
          <xdr:col>5</xdr:col>
          <xdr:colOff>28575</xdr:colOff>
          <xdr:row>37</xdr:row>
          <xdr:rowOff>161926</xdr:rowOff>
        </xdr:to>
        <xdr:sp macro="" textlink="">
          <xdr:nvSpPr>
            <xdr:cNvPr id="1238019" name="Picture 7" hidden="1">
              <a:extLst>
                <a:ext uri="{63B3BB69-23CF-44E3-9099-C40C66FF867C}">
                  <a14:compatExt spid="_x0000_s1238019"/>
                </a:ext>
                <a:ext uri="{FF2B5EF4-FFF2-40B4-BE49-F238E27FC236}">
                  <a16:creationId xmlns:a16="http://schemas.microsoft.com/office/drawing/2014/main" id="{00000000-0008-0000-AF00-000003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40</xdr:row>
          <xdr:rowOff>9525</xdr:rowOff>
        </xdr:from>
        <xdr:to>
          <xdr:col>4</xdr:col>
          <xdr:colOff>904875</xdr:colOff>
          <xdr:row>41</xdr:row>
          <xdr:rowOff>161924</xdr:rowOff>
        </xdr:to>
        <xdr:sp macro="" textlink="">
          <xdr:nvSpPr>
            <xdr:cNvPr id="1238020" name="Picture 8" hidden="1">
              <a:extLst>
                <a:ext uri="{63B3BB69-23CF-44E3-9099-C40C66FF867C}">
                  <a14:compatExt spid="_x0000_s1238020"/>
                </a:ext>
                <a:ext uri="{FF2B5EF4-FFF2-40B4-BE49-F238E27FC236}">
                  <a16:creationId xmlns:a16="http://schemas.microsoft.com/office/drawing/2014/main" id="{00000000-0008-0000-AF00-000004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xdr:row>
          <xdr:rowOff>66675</xdr:rowOff>
        </xdr:from>
        <xdr:to>
          <xdr:col>4</xdr:col>
          <xdr:colOff>504825</xdr:colOff>
          <xdr:row>29</xdr:row>
          <xdr:rowOff>342901</xdr:rowOff>
        </xdr:to>
        <xdr:sp macro="" textlink="">
          <xdr:nvSpPr>
            <xdr:cNvPr id="1238021" name="Picture 9" hidden="1">
              <a:extLst>
                <a:ext uri="{63B3BB69-23CF-44E3-9099-C40C66FF867C}">
                  <a14:compatExt spid="_x0000_s1238021"/>
                </a:ext>
                <a:ext uri="{FF2B5EF4-FFF2-40B4-BE49-F238E27FC236}">
                  <a16:creationId xmlns:a16="http://schemas.microsoft.com/office/drawing/2014/main" id="{00000000-0008-0000-AF00-000005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53</xdr:row>
          <xdr:rowOff>0</xdr:rowOff>
        </xdr:from>
        <xdr:to>
          <xdr:col>4</xdr:col>
          <xdr:colOff>771525</xdr:colOff>
          <xdr:row>54</xdr:row>
          <xdr:rowOff>152400</xdr:rowOff>
        </xdr:to>
        <xdr:sp macro="" textlink="">
          <xdr:nvSpPr>
            <xdr:cNvPr id="1238022" name="Picture 11" hidden="1">
              <a:extLst>
                <a:ext uri="{63B3BB69-23CF-44E3-9099-C40C66FF867C}">
                  <a14:compatExt spid="_x0000_s1238022"/>
                </a:ext>
                <a:ext uri="{FF2B5EF4-FFF2-40B4-BE49-F238E27FC236}">
                  <a16:creationId xmlns:a16="http://schemas.microsoft.com/office/drawing/2014/main" id="{00000000-0008-0000-AF00-000006E4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1</xdr:col>
      <xdr:colOff>91512</xdr:colOff>
      <xdr:row>0</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FAE9960C-D703-497B-8D8B-2DA4CF4A6397}"/>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7.xml><?xml version="1.0" encoding="utf-8"?>
<xdr:wsDr xmlns:xdr="http://schemas.openxmlformats.org/drawingml/2006/spreadsheetDrawing" xmlns:a="http://schemas.openxmlformats.org/drawingml/2006/main">
  <xdr:twoCellAnchor editAs="oneCell">
    <xdr:from>
      <xdr:col>6</xdr:col>
      <xdr:colOff>861060</xdr:colOff>
      <xdr:row>15</xdr:row>
      <xdr:rowOff>53340</xdr:rowOff>
    </xdr:from>
    <xdr:to>
      <xdr:col>12</xdr:col>
      <xdr:colOff>213360</xdr:colOff>
      <xdr:row>26</xdr:row>
      <xdr:rowOff>68580</xdr:rowOff>
    </xdr:to>
    <xdr:pic>
      <xdr:nvPicPr>
        <xdr:cNvPr id="1185811" name="Picture 17">
          <a:extLst>
            <a:ext uri="{FF2B5EF4-FFF2-40B4-BE49-F238E27FC236}">
              <a16:creationId xmlns:a16="http://schemas.microsoft.com/office/drawing/2014/main" id="{00000000-0008-0000-B000-000013181200}"/>
            </a:ext>
          </a:extLst>
        </xdr:cNvPr>
        <xdr:cNvPicPr>
          <a:picLocks noChangeAspect="1"/>
        </xdr:cNvPicPr>
      </xdr:nvPicPr>
      <xdr:blipFill>
        <a:blip xmlns:r="http://schemas.openxmlformats.org/officeDocument/2006/relationships" r:embed="rId1" cstate="print"/>
        <a:stretch>
          <a:fillRect/>
        </a:stretch>
      </xdr:blipFill>
      <xdr:spPr>
        <a:xfrm>
          <a:off x="5433060" y="3787140"/>
          <a:ext cx="3657600" cy="2729865"/>
        </a:xfrm>
        <a:prstGeom prst="rect">
          <a:avLst/>
        </a:prstGeom>
        <a:noFill/>
        <a:ln w="9525">
          <a:noFill/>
        </a:ln>
      </xdr:spPr>
    </xdr:pic>
    <xdr:clientData/>
  </xdr:twoCellAnchor>
  <xdr:twoCellAnchor editAs="oneCell">
    <xdr:from>
      <xdr:col>8</xdr:col>
      <xdr:colOff>53340</xdr:colOff>
      <xdr:row>8</xdr:row>
      <xdr:rowOff>228600</xdr:rowOff>
    </xdr:from>
    <xdr:to>
      <xdr:col>12</xdr:col>
      <xdr:colOff>464820</xdr:colOff>
      <xdr:row>14</xdr:row>
      <xdr:rowOff>0</xdr:rowOff>
    </xdr:to>
    <xdr:pic>
      <xdr:nvPicPr>
        <xdr:cNvPr id="1185812" name="Picture 23">
          <a:extLst>
            <a:ext uri="{FF2B5EF4-FFF2-40B4-BE49-F238E27FC236}">
              <a16:creationId xmlns:a16="http://schemas.microsoft.com/office/drawing/2014/main" id="{00000000-0008-0000-B000-000014181200}"/>
            </a:ext>
          </a:extLst>
        </xdr:cNvPr>
        <xdr:cNvPicPr>
          <a:picLocks noChangeAspect="1"/>
        </xdr:cNvPicPr>
      </xdr:nvPicPr>
      <xdr:blipFill>
        <a:blip xmlns:r="http://schemas.openxmlformats.org/officeDocument/2006/relationships" r:embed="rId2" cstate="print"/>
        <a:stretch>
          <a:fillRect/>
        </a:stretch>
      </xdr:blipFill>
      <xdr:spPr>
        <a:xfrm>
          <a:off x="6187440" y="2133600"/>
          <a:ext cx="3154680" cy="1304925"/>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5</xdr:col>
          <xdr:colOff>0</xdr:colOff>
          <xdr:row>75</xdr:row>
          <xdr:rowOff>152400</xdr:rowOff>
        </xdr:from>
        <xdr:to>
          <xdr:col>5</xdr:col>
          <xdr:colOff>685800</xdr:colOff>
          <xdr:row>77</xdr:row>
          <xdr:rowOff>85725</xdr:rowOff>
        </xdr:to>
        <xdr:sp macro="" textlink="">
          <xdr:nvSpPr>
            <xdr:cNvPr id="1185792" name="Picture 9" hidden="1">
              <a:extLst>
                <a:ext uri="{63B3BB69-23CF-44E3-9099-C40C66FF867C}">
                  <a14:compatExt spid="_x0000_s1185792"/>
                </a:ext>
                <a:ext uri="{FF2B5EF4-FFF2-40B4-BE49-F238E27FC236}">
                  <a16:creationId xmlns:a16="http://schemas.microsoft.com/office/drawing/2014/main" id="{00000000-0008-0000-B000-000000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47</xdr:row>
          <xdr:rowOff>114300</xdr:rowOff>
        </xdr:from>
        <xdr:to>
          <xdr:col>6</xdr:col>
          <xdr:colOff>57150</xdr:colOff>
          <xdr:row>49</xdr:row>
          <xdr:rowOff>85725</xdr:rowOff>
        </xdr:to>
        <xdr:sp macro="" textlink="">
          <xdr:nvSpPr>
            <xdr:cNvPr id="1185793" name="Picture 11" hidden="1">
              <a:extLst>
                <a:ext uri="{63B3BB69-23CF-44E3-9099-C40C66FF867C}">
                  <a14:compatExt spid="_x0000_s1185793"/>
                </a:ext>
                <a:ext uri="{FF2B5EF4-FFF2-40B4-BE49-F238E27FC236}">
                  <a16:creationId xmlns:a16="http://schemas.microsoft.com/office/drawing/2014/main" id="{00000000-0008-0000-B000-000001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152400</xdr:rowOff>
        </xdr:from>
        <xdr:to>
          <xdr:col>6</xdr:col>
          <xdr:colOff>38100</xdr:colOff>
          <xdr:row>44</xdr:row>
          <xdr:rowOff>114300</xdr:rowOff>
        </xdr:to>
        <xdr:sp macro="" textlink="">
          <xdr:nvSpPr>
            <xdr:cNvPr id="1185794" name="Picture 12" hidden="1">
              <a:extLst>
                <a:ext uri="{63B3BB69-23CF-44E3-9099-C40C66FF867C}">
                  <a14:compatExt spid="_x0000_s1185794"/>
                </a:ext>
                <a:ext uri="{FF2B5EF4-FFF2-40B4-BE49-F238E27FC236}">
                  <a16:creationId xmlns:a16="http://schemas.microsoft.com/office/drawing/2014/main" id="{00000000-0008-0000-B000-000002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53</xdr:row>
          <xdr:rowOff>9525</xdr:rowOff>
        </xdr:from>
        <xdr:to>
          <xdr:col>5</xdr:col>
          <xdr:colOff>866775</xdr:colOff>
          <xdr:row>53</xdr:row>
          <xdr:rowOff>342900</xdr:rowOff>
        </xdr:to>
        <xdr:sp macro="" textlink="">
          <xdr:nvSpPr>
            <xdr:cNvPr id="1185795" name="Picture 13" hidden="1">
              <a:extLst>
                <a:ext uri="{63B3BB69-23CF-44E3-9099-C40C66FF867C}">
                  <a14:compatExt spid="_x0000_s1185795"/>
                </a:ext>
                <a:ext uri="{FF2B5EF4-FFF2-40B4-BE49-F238E27FC236}">
                  <a16:creationId xmlns:a16="http://schemas.microsoft.com/office/drawing/2014/main" id="{00000000-0008-0000-B000-000003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55</xdr:row>
          <xdr:rowOff>161925</xdr:rowOff>
        </xdr:from>
        <xdr:to>
          <xdr:col>6</xdr:col>
          <xdr:colOff>266700</xdr:colOff>
          <xdr:row>56</xdr:row>
          <xdr:rowOff>266700</xdr:rowOff>
        </xdr:to>
        <xdr:sp macro="" textlink="">
          <xdr:nvSpPr>
            <xdr:cNvPr id="1185796" name="Picture 14" hidden="1">
              <a:extLst>
                <a:ext uri="{63B3BB69-23CF-44E3-9099-C40C66FF867C}">
                  <a14:compatExt spid="_x0000_s1185796"/>
                </a:ext>
                <a:ext uri="{FF2B5EF4-FFF2-40B4-BE49-F238E27FC236}">
                  <a16:creationId xmlns:a16="http://schemas.microsoft.com/office/drawing/2014/main" id="{00000000-0008-0000-B000-000004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68</xdr:row>
          <xdr:rowOff>0</xdr:rowOff>
        </xdr:from>
        <xdr:to>
          <xdr:col>6</xdr:col>
          <xdr:colOff>114300</xdr:colOff>
          <xdr:row>69</xdr:row>
          <xdr:rowOff>0</xdr:rowOff>
        </xdr:to>
        <xdr:sp macro="" textlink="">
          <xdr:nvSpPr>
            <xdr:cNvPr id="1185797" name="Picture 22" hidden="1">
              <a:extLst>
                <a:ext uri="{63B3BB69-23CF-44E3-9099-C40C66FF867C}">
                  <a14:compatExt spid="_x0000_s1185797"/>
                </a:ext>
                <a:ext uri="{FF2B5EF4-FFF2-40B4-BE49-F238E27FC236}">
                  <a16:creationId xmlns:a16="http://schemas.microsoft.com/office/drawing/2014/main" id="{00000000-0008-0000-B000-000005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22</xdr:row>
          <xdr:rowOff>0</xdr:rowOff>
        </xdr:from>
        <xdr:to>
          <xdr:col>5</xdr:col>
          <xdr:colOff>866775</xdr:colOff>
          <xdr:row>22</xdr:row>
          <xdr:rowOff>495300</xdr:rowOff>
        </xdr:to>
        <xdr:sp macro="" textlink="">
          <xdr:nvSpPr>
            <xdr:cNvPr id="1185798" name="Picture 24" hidden="1">
              <a:extLst>
                <a:ext uri="{63B3BB69-23CF-44E3-9099-C40C66FF867C}">
                  <a14:compatExt spid="_x0000_s1185798"/>
                </a:ext>
                <a:ext uri="{FF2B5EF4-FFF2-40B4-BE49-F238E27FC236}">
                  <a16:creationId xmlns:a16="http://schemas.microsoft.com/office/drawing/2014/main" id="{00000000-0008-0000-B000-000006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25</xdr:row>
          <xdr:rowOff>66675</xdr:rowOff>
        </xdr:from>
        <xdr:to>
          <xdr:col>5</xdr:col>
          <xdr:colOff>876300</xdr:colOff>
          <xdr:row>27</xdr:row>
          <xdr:rowOff>114300</xdr:rowOff>
        </xdr:to>
        <xdr:sp macro="" textlink="">
          <xdr:nvSpPr>
            <xdr:cNvPr id="1185799" name="Picture 26" hidden="1">
              <a:extLst>
                <a:ext uri="{63B3BB69-23CF-44E3-9099-C40C66FF867C}">
                  <a14:compatExt spid="_x0000_s1185799"/>
                </a:ext>
                <a:ext uri="{FF2B5EF4-FFF2-40B4-BE49-F238E27FC236}">
                  <a16:creationId xmlns:a16="http://schemas.microsoft.com/office/drawing/2014/main" id="{00000000-0008-0000-B000-00000718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A1B6A355-DA50-43C6-A62D-87C2A10F91C1}"/>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8.xml><?xml version="1.0" encoding="utf-8"?>
<xdr:wsDr xmlns:xdr="http://schemas.openxmlformats.org/drawingml/2006/spreadsheetDrawing" xmlns:a="http://schemas.openxmlformats.org/drawingml/2006/main">
  <xdr:twoCellAnchor editAs="oneCell">
    <xdr:from>
      <xdr:col>10</xdr:col>
      <xdr:colOff>31115</xdr:colOff>
      <xdr:row>17</xdr:row>
      <xdr:rowOff>68580</xdr:rowOff>
    </xdr:from>
    <xdr:to>
      <xdr:col>12</xdr:col>
      <xdr:colOff>182880</xdr:colOff>
      <xdr:row>23</xdr:row>
      <xdr:rowOff>23495</xdr:rowOff>
    </xdr:to>
    <xdr:pic>
      <xdr:nvPicPr>
        <xdr:cNvPr id="1186835" name="Picture 1">
          <a:extLst>
            <a:ext uri="{FF2B5EF4-FFF2-40B4-BE49-F238E27FC236}">
              <a16:creationId xmlns:a16="http://schemas.microsoft.com/office/drawing/2014/main" id="{00000000-0008-0000-B100-0000131C1200}"/>
            </a:ext>
          </a:extLst>
        </xdr:cNvPr>
        <xdr:cNvPicPr>
          <a:picLocks noChangeAspect="1"/>
        </xdr:cNvPicPr>
      </xdr:nvPicPr>
      <xdr:blipFill>
        <a:blip xmlns:r="http://schemas.openxmlformats.org/officeDocument/2006/relationships" r:embed="rId1" cstate="print"/>
        <a:stretch>
          <a:fillRect/>
        </a:stretch>
      </xdr:blipFill>
      <xdr:spPr>
        <a:xfrm>
          <a:off x="7584440" y="3783330"/>
          <a:ext cx="1523365" cy="1107440"/>
        </a:xfrm>
        <a:prstGeom prst="rect">
          <a:avLst/>
        </a:prstGeom>
        <a:noFill/>
        <a:ln w="9525">
          <a:noFill/>
        </a:ln>
      </xdr:spPr>
    </xdr:pic>
    <xdr:clientData/>
  </xdr:twoCellAnchor>
  <xdr:twoCellAnchor editAs="oneCell">
    <xdr:from>
      <xdr:col>8</xdr:col>
      <xdr:colOff>175260</xdr:colOff>
      <xdr:row>7</xdr:row>
      <xdr:rowOff>106045</xdr:rowOff>
    </xdr:from>
    <xdr:to>
      <xdr:col>12</xdr:col>
      <xdr:colOff>579120</xdr:colOff>
      <xdr:row>14</xdr:row>
      <xdr:rowOff>53340</xdr:rowOff>
    </xdr:to>
    <xdr:pic>
      <xdr:nvPicPr>
        <xdr:cNvPr id="1186836" name="Picture 10">
          <a:extLst>
            <a:ext uri="{FF2B5EF4-FFF2-40B4-BE49-F238E27FC236}">
              <a16:creationId xmlns:a16="http://schemas.microsoft.com/office/drawing/2014/main" id="{00000000-0008-0000-B100-0000141C1200}"/>
            </a:ext>
          </a:extLst>
        </xdr:cNvPr>
        <xdr:cNvPicPr>
          <a:picLocks noChangeAspect="1"/>
        </xdr:cNvPicPr>
      </xdr:nvPicPr>
      <xdr:blipFill>
        <a:blip xmlns:r="http://schemas.openxmlformats.org/officeDocument/2006/relationships" r:embed="rId2" cstate="print"/>
        <a:stretch>
          <a:fillRect/>
        </a:stretch>
      </xdr:blipFill>
      <xdr:spPr>
        <a:xfrm>
          <a:off x="6356985" y="1649095"/>
          <a:ext cx="3147060" cy="140462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editAs="oneCell">
        <xdr:from>
          <xdr:col>5</xdr:col>
          <xdr:colOff>38100</xdr:colOff>
          <xdr:row>13</xdr:row>
          <xdr:rowOff>104775</xdr:rowOff>
        </xdr:from>
        <xdr:to>
          <xdr:col>5</xdr:col>
          <xdr:colOff>962025</xdr:colOff>
          <xdr:row>15</xdr:row>
          <xdr:rowOff>190500</xdr:rowOff>
        </xdr:to>
        <xdr:sp macro="" textlink="">
          <xdr:nvSpPr>
            <xdr:cNvPr id="1186816" name="Picture 17" hidden="1">
              <a:extLst>
                <a:ext uri="{63B3BB69-23CF-44E3-9099-C40C66FF867C}">
                  <a14:compatExt spid="_x0000_s1186816"/>
                </a:ext>
                <a:ext uri="{FF2B5EF4-FFF2-40B4-BE49-F238E27FC236}">
                  <a16:creationId xmlns:a16="http://schemas.microsoft.com/office/drawing/2014/main" id="{00000000-0008-0000-B100-0000001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17</xdr:row>
          <xdr:rowOff>123825</xdr:rowOff>
        </xdr:from>
        <xdr:to>
          <xdr:col>5</xdr:col>
          <xdr:colOff>942975</xdr:colOff>
          <xdr:row>19</xdr:row>
          <xdr:rowOff>142875</xdr:rowOff>
        </xdr:to>
        <xdr:sp macro="" textlink="">
          <xdr:nvSpPr>
            <xdr:cNvPr id="1186817" name="Picture 18" hidden="1">
              <a:extLst>
                <a:ext uri="{63B3BB69-23CF-44E3-9099-C40C66FF867C}">
                  <a14:compatExt spid="_x0000_s1186817"/>
                </a:ext>
                <a:ext uri="{FF2B5EF4-FFF2-40B4-BE49-F238E27FC236}">
                  <a16:creationId xmlns:a16="http://schemas.microsoft.com/office/drawing/2014/main" id="{00000000-0008-0000-B100-0000011C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1</xdr:row>
      <xdr:rowOff>0</xdr:rowOff>
    </xdr:from>
    <xdr:to>
      <xdr:col>1</xdr:col>
      <xdr:colOff>93169</xdr:colOff>
      <xdr:row>1</xdr:row>
      <xdr:rowOff>293274</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5B8E1683-2ACB-43FB-80D4-7BB6A8142F02}"/>
            </a:ext>
          </a:extLst>
        </xdr:cNvPr>
        <xdr:cNvSpPr>
          <a:spLocks noChangeAspect="1"/>
        </xdr:cNvSpPr>
      </xdr:nvSpPr>
      <xdr:spPr>
        <a:xfrm flipH="1">
          <a:off x="0" y="17780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7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19</xdr:row>
          <xdr:rowOff>0</xdr:rowOff>
        </xdr:from>
        <xdr:to>
          <xdr:col>3</xdr:col>
          <xdr:colOff>76200</xdr:colOff>
          <xdr:row>22</xdr:row>
          <xdr:rowOff>0</xdr:rowOff>
        </xdr:to>
        <xdr:sp macro="" textlink="">
          <xdr:nvSpPr>
            <xdr:cNvPr id="1187840" name="Picture 1" hidden="1">
              <a:extLst>
                <a:ext uri="{63B3BB69-23CF-44E3-9099-C40C66FF867C}">
                  <a14:compatExt spid="_x0000_s1187840"/>
                </a:ext>
                <a:ext uri="{FF2B5EF4-FFF2-40B4-BE49-F238E27FC236}">
                  <a16:creationId xmlns:a16="http://schemas.microsoft.com/office/drawing/2014/main" id="{00000000-0008-0000-B200-0000002012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absolute">
    <xdr:from>
      <xdr:col>0</xdr:col>
      <xdr:colOff>0</xdr:colOff>
      <xdr:row>0</xdr:row>
      <xdr:rowOff>0</xdr:rowOff>
    </xdr:from>
    <xdr:to>
      <xdr:col>1</xdr:col>
      <xdr:colOff>502744</xdr:colOff>
      <xdr:row>1</xdr:row>
      <xdr:rowOff>112299</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CC8503A5-5176-431B-BD54-CC1039CEBC15}"/>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79B93BC3-6C9A-4E53-94EF-6502B761AD13}"/>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525780</xdr:colOff>
      <xdr:row>30</xdr:row>
      <xdr:rowOff>75565</xdr:rowOff>
    </xdr:to>
    <xdr:pic>
      <xdr:nvPicPr>
        <xdr:cNvPr id="1188883" name="图片 1">
          <a:extLst>
            <a:ext uri="{FF2B5EF4-FFF2-40B4-BE49-F238E27FC236}">
              <a16:creationId xmlns:a16="http://schemas.microsoft.com/office/drawing/2014/main" id="{00000000-0008-0000-B400-000013241200}"/>
            </a:ext>
          </a:extLst>
        </xdr:cNvPr>
        <xdr:cNvPicPr>
          <a:picLocks noChangeAspect="1"/>
        </xdr:cNvPicPr>
      </xdr:nvPicPr>
      <xdr:blipFill>
        <a:blip xmlns:r="http://schemas.openxmlformats.org/officeDocument/2006/relationships" r:embed="rId1" cstate="print"/>
        <a:stretch>
          <a:fillRect/>
        </a:stretch>
      </xdr:blipFill>
      <xdr:spPr>
        <a:xfrm>
          <a:off x="0" y="0"/>
          <a:ext cx="6526530" cy="5504815"/>
        </a:xfrm>
        <a:prstGeom prst="rect">
          <a:avLst/>
        </a:prstGeom>
        <a:noFill/>
        <a:ln w="9525">
          <a:noFill/>
        </a:ln>
      </xdr:spPr>
    </xdr:pic>
    <xdr:clientData/>
  </xdr:twoCellAnchor>
  <xdr:twoCellAnchor>
    <xdr:from>
      <xdr:col>0</xdr:col>
      <xdr:colOff>38100</xdr:colOff>
      <xdr:row>29</xdr:row>
      <xdr:rowOff>182880</xdr:rowOff>
    </xdr:from>
    <xdr:to>
      <xdr:col>8</xdr:col>
      <xdr:colOff>609600</xdr:colOff>
      <xdr:row>57</xdr:row>
      <xdr:rowOff>91440</xdr:rowOff>
    </xdr:to>
    <xdr:pic>
      <xdr:nvPicPr>
        <xdr:cNvPr id="1188884" name="图片 1">
          <a:extLst>
            <a:ext uri="{FF2B5EF4-FFF2-40B4-BE49-F238E27FC236}">
              <a16:creationId xmlns:a16="http://schemas.microsoft.com/office/drawing/2014/main" id="{00000000-0008-0000-B400-000014241200}"/>
            </a:ext>
          </a:extLst>
        </xdr:cNvPr>
        <xdr:cNvPicPr>
          <a:picLocks noChangeAspect="1"/>
        </xdr:cNvPicPr>
      </xdr:nvPicPr>
      <xdr:blipFill>
        <a:blip xmlns:r="http://schemas.openxmlformats.org/officeDocument/2006/relationships" r:embed="rId2" cstate="print"/>
        <a:stretch>
          <a:fillRect/>
        </a:stretch>
      </xdr:blipFill>
      <xdr:spPr>
        <a:xfrm>
          <a:off x="38100" y="5429250"/>
          <a:ext cx="5905500" cy="4977765"/>
        </a:xfrm>
        <a:prstGeom prst="rect">
          <a:avLst/>
        </a:prstGeom>
        <a:noFill/>
        <a:ln w="9525">
          <a:noFill/>
        </a:ln>
      </xdr:spPr>
    </xdr:pic>
    <xdr:clientData/>
  </xdr:twoCellAnchor>
  <xdr:twoCellAnchor editAs="absolute">
    <xdr:from>
      <xdr:col>10</xdr:col>
      <xdr:colOff>0</xdr:colOff>
      <xdr:row>0</xdr:row>
      <xdr:rowOff>0</xdr:rowOff>
    </xdr:from>
    <xdr:to>
      <xdr:col>11</xdr:col>
      <xdr:colOff>106616</xdr:colOff>
      <xdr:row>1</xdr:row>
      <xdr:rowOff>113980</xdr:rowOff>
    </xdr:to>
    <xdr:sp macro="" textlink="">
      <xdr:nvSpPr>
        <xdr:cNvPr id="2" name="五边形 1">
          <a:hlinkClick xmlns:r="http://schemas.openxmlformats.org/officeDocument/2006/relationships" r:id="rId3"/>
          <a:extLst>
            <a:ext uri="{FF2B5EF4-FFF2-40B4-BE49-F238E27FC236}">
              <a16:creationId xmlns:a16="http://schemas.microsoft.com/office/drawing/2014/main" id="{33359B24-2127-4B20-8F65-B6F051002354}"/>
            </a:ext>
          </a:extLst>
        </xdr:cNvPr>
        <xdr:cNvSpPr>
          <a:spLocks noChangeAspect="1"/>
        </xdr:cNvSpPr>
      </xdr:nvSpPr>
      <xdr:spPr>
        <a:xfrm flipH="1">
          <a:off x="6723529"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2.xml><?xml version="1.0" encoding="utf-8"?>
<xdr:wsDr xmlns:xdr="http://schemas.openxmlformats.org/drawingml/2006/spreadsheetDrawing" xmlns:a="http://schemas.openxmlformats.org/drawingml/2006/main">
  <xdr:twoCellAnchor editAs="oneCell">
    <xdr:from>
      <xdr:col>0</xdr:col>
      <xdr:colOff>0</xdr:colOff>
      <xdr:row>25</xdr:row>
      <xdr:rowOff>334645</xdr:rowOff>
    </xdr:from>
    <xdr:to>
      <xdr:col>6</xdr:col>
      <xdr:colOff>68580</xdr:colOff>
      <xdr:row>51</xdr:row>
      <xdr:rowOff>22860</xdr:rowOff>
    </xdr:to>
    <xdr:pic>
      <xdr:nvPicPr>
        <xdr:cNvPr id="1182748" name="图片 1">
          <a:extLst>
            <a:ext uri="{FF2B5EF4-FFF2-40B4-BE49-F238E27FC236}">
              <a16:creationId xmlns:a16="http://schemas.microsoft.com/office/drawing/2014/main" id="{00000000-0008-0000-B500-00001C0C1200}"/>
            </a:ext>
          </a:extLst>
        </xdr:cNvPr>
        <xdr:cNvPicPr>
          <a:picLocks noChangeAspect="1"/>
        </xdr:cNvPicPr>
      </xdr:nvPicPr>
      <xdr:blipFill>
        <a:blip xmlns:r="http://schemas.openxmlformats.org/officeDocument/2006/relationships" r:embed="rId1" cstate="print"/>
        <a:stretch>
          <a:fillRect/>
        </a:stretch>
      </xdr:blipFill>
      <xdr:spPr>
        <a:xfrm>
          <a:off x="0" y="7125970"/>
          <a:ext cx="5516880" cy="4317365"/>
        </a:xfrm>
        <a:prstGeom prst="rect">
          <a:avLst/>
        </a:prstGeom>
        <a:noFill/>
        <a:ln w="9525">
          <a:noFill/>
        </a:ln>
      </xdr:spPr>
    </xdr:pic>
    <xdr:clientData/>
  </xdr:twoCellAnchor>
  <xdr:twoCellAnchor editAs="oneCell">
    <xdr:from>
      <xdr:col>0</xdr:col>
      <xdr:colOff>0</xdr:colOff>
      <xdr:row>50</xdr:row>
      <xdr:rowOff>106680</xdr:rowOff>
    </xdr:from>
    <xdr:to>
      <xdr:col>6</xdr:col>
      <xdr:colOff>68580</xdr:colOff>
      <xdr:row>81</xdr:row>
      <xdr:rowOff>152400</xdr:rowOff>
    </xdr:to>
    <xdr:pic>
      <xdr:nvPicPr>
        <xdr:cNvPr id="1182749" name="图片 2">
          <a:extLst>
            <a:ext uri="{FF2B5EF4-FFF2-40B4-BE49-F238E27FC236}">
              <a16:creationId xmlns:a16="http://schemas.microsoft.com/office/drawing/2014/main" id="{00000000-0008-0000-B500-00001D0C1200}"/>
            </a:ext>
          </a:extLst>
        </xdr:cNvPr>
        <xdr:cNvPicPr>
          <a:picLocks noChangeAspect="1"/>
        </xdr:cNvPicPr>
      </xdr:nvPicPr>
      <xdr:blipFill>
        <a:blip xmlns:r="http://schemas.openxmlformats.org/officeDocument/2006/relationships" r:embed="rId2" cstate="print"/>
        <a:stretch>
          <a:fillRect/>
        </a:stretch>
      </xdr:blipFill>
      <xdr:spPr>
        <a:xfrm>
          <a:off x="0" y="11355705"/>
          <a:ext cx="5516880" cy="5360670"/>
        </a:xfrm>
        <a:prstGeom prst="rect">
          <a:avLst/>
        </a:prstGeom>
        <a:noFill/>
        <a:ln w="9525">
          <a:noFill/>
        </a:ln>
      </xdr:spPr>
    </xdr:pic>
    <xdr:clientData/>
  </xdr:twoCellAnchor>
  <xdr:twoCellAnchor editAs="oneCell">
    <xdr:from>
      <xdr:col>8</xdr:col>
      <xdr:colOff>67945</xdr:colOff>
      <xdr:row>26</xdr:row>
      <xdr:rowOff>76200</xdr:rowOff>
    </xdr:from>
    <xdr:to>
      <xdr:col>13</xdr:col>
      <xdr:colOff>518160</xdr:colOff>
      <xdr:row>57</xdr:row>
      <xdr:rowOff>60960</xdr:rowOff>
    </xdr:to>
    <xdr:pic>
      <xdr:nvPicPr>
        <xdr:cNvPr id="1182750" name="图片 3">
          <a:extLst>
            <a:ext uri="{FF2B5EF4-FFF2-40B4-BE49-F238E27FC236}">
              <a16:creationId xmlns:a16="http://schemas.microsoft.com/office/drawing/2014/main" id="{00000000-0008-0000-B500-00001E0C1200}"/>
            </a:ext>
          </a:extLst>
        </xdr:cNvPr>
        <xdr:cNvPicPr>
          <a:picLocks noChangeAspect="1"/>
        </xdr:cNvPicPr>
      </xdr:nvPicPr>
      <xdr:blipFill>
        <a:blip xmlns:r="http://schemas.openxmlformats.org/officeDocument/2006/relationships" r:embed="rId3" cstate="print"/>
        <a:stretch>
          <a:fillRect/>
        </a:stretch>
      </xdr:blipFill>
      <xdr:spPr>
        <a:xfrm>
          <a:off x="6583045" y="7210425"/>
          <a:ext cx="4926965" cy="5299710"/>
        </a:xfrm>
        <a:prstGeom prst="rect">
          <a:avLst/>
        </a:prstGeom>
        <a:noFill/>
        <a:ln w="9525">
          <a:noFill/>
        </a:ln>
      </xdr:spPr>
    </xdr:pic>
    <xdr:clientData/>
  </xdr:twoCellAnchor>
  <xdr:twoCellAnchor editAs="absolute">
    <xdr:from>
      <xdr:col>0</xdr:col>
      <xdr:colOff>0</xdr:colOff>
      <xdr:row>0</xdr:row>
      <xdr:rowOff>0</xdr:rowOff>
    </xdr:from>
    <xdr:to>
      <xdr:col>0</xdr:col>
      <xdr:colOff>778969</xdr:colOff>
      <xdr:row>1</xdr:row>
      <xdr:rowOff>121824</xdr:rowOff>
    </xdr:to>
    <xdr:sp macro="" textlink="">
      <xdr:nvSpPr>
        <xdr:cNvPr id="2" name="五边形 1">
          <a:hlinkClick xmlns:r="http://schemas.openxmlformats.org/officeDocument/2006/relationships" r:id="rId4"/>
          <a:extLst>
            <a:ext uri="{FF2B5EF4-FFF2-40B4-BE49-F238E27FC236}">
              <a16:creationId xmlns:a16="http://schemas.microsoft.com/office/drawing/2014/main" id="{06B9BBFF-EED0-4798-96B3-83F98D09D5BC}"/>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3.xml><?xml version="1.0" encoding="utf-8"?>
<xdr:wsDr xmlns:xdr="http://schemas.openxmlformats.org/drawingml/2006/spreadsheetDrawing" xmlns:a="http://schemas.openxmlformats.org/drawingml/2006/main">
  <xdr:twoCellAnchor editAs="oneCell">
    <xdr:from>
      <xdr:col>0</xdr:col>
      <xdr:colOff>0</xdr:colOff>
      <xdr:row>1</xdr:row>
      <xdr:rowOff>7620</xdr:rowOff>
    </xdr:from>
    <xdr:to>
      <xdr:col>10</xdr:col>
      <xdr:colOff>38100</xdr:colOff>
      <xdr:row>31</xdr:row>
      <xdr:rowOff>75565</xdr:rowOff>
    </xdr:to>
    <xdr:pic>
      <xdr:nvPicPr>
        <xdr:cNvPr id="1184778" name="图片 1" descr="塞打螺丝规格表">
          <a:extLst>
            <a:ext uri="{FF2B5EF4-FFF2-40B4-BE49-F238E27FC236}">
              <a16:creationId xmlns:a16="http://schemas.microsoft.com/office/drawing/2014/main" id="{00000000-0008-0000-B600-00000A141200}"/>
            </a:ext>
          </a:extLst>
        </xdr:cNvPr>
        <xdr:cNvPicPr>
          <a:picLocks noChangeAspect="1"/>
        </xdr:cNvPicPr>
      </xdr:nvPicPr>
      <xdr:blipFill>
        <a:blip xmlns:r="http://schemas.openxmlformats.org/officeDocument/2006/relationships" r:embed="rId1" cstate="print"/>
        <a:stretch>
          <a:fillRect/>
        </a:stretch>
      </xdr:blipFill>
      <xdr:spPr>
        <a:xfrm>
          <a:off x="0" y="541020"/>
          <a:ext cx="6705600" cy="5497195"/>
        </a:xfrm>
        <a:prstGeom prst="rect">
          <a:avLst/>
        </a:prstGeom>
        <a:noFill/>
        <a:ln w="9525">
          <a:noFill/>
        </a:ln>
      </xdr:spPr>
    </xdr:pic>
    <xdr:clientData/>
  </xdr:twoCellAnchor>
  <xdr:twoCellAnchor editAs="absolute">
    <xdr:from>
      <xdr:col>0</xdr:col>
      <xdr:colOff>0</xdr:colOff>
      <xdr:row>0</xdr:row>
      <xdr:rowOff>0</xdr:rowOff>
    </xdr:from>
    <xdr:to>
      <xdr:col>1</xdr:col>
      <xdr:colOff>112219</xdr:colOff>
      <xdr:row>0</xdr:row>
      <xdr:rowOff>293274</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67419407-88ED-49B8-A17E-5D89FF737950}"/>
            </a:ext>
          </a:extLst>
        </xdr:cNvPr>
        <xdr:cNvSpPr>
          <a:spLocks noChangeAspect="1"/>
        </xdr:cNvSpPr>
      </xdr:nvSpPr>
      <xdr:spPr>
        <a:xfrm flipH="1">
          <a:off x="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4.xml><?xml version="1.0" encoding="utf-8"?>
<xdr:wsDr xmlns:xdr="http://schemas.openxmlformats.org/drawingml/2006/spreadsheetDrawing" xmlns:a="http://schemas.openxmlformats.org/drawingml/2006/main">
  <xdr:twoCellAnchor>
    <xdr:from>
      <xdr:col>0</xdr:col>
      <xdr:colOff>7620</xdr:colOff>
      <xdr:row>0</xdr:row>
      <xdr:rowOff>7620</xdr:rowOff>
    </xdr:from>
    <xdr:to>
      <xdr:col>16</xdr:col>
      <xdr:colOff>487680</xdr:colOff>
      <xdr:row>85</xdr:row>
      <xdr:rowOff>122555</xdr:rowOff>
    </xdr:to>
    <xdr:pic>
      <xdr:nvPicPr>
        <xdr:cNvPr id="1183754" name="图片 3">
          <a:extLst>
            <a:ext uri="{FF2B5EF4-FFF2-40B4-BE49-F238E27FC236}">
              <a16:creationId xmlns:a16="http://schemas.microsoft.com/office/drawing/2014/main" id="{00000000-0008-0000-B700-00000A101200}"/>
            </a:ext>
          </a:extLst>
        </xdr:cNvPr>
        <xdr:cNvPicPr>
          <a:picLocks noChangeAspect="1"/>
        </xdr:cNvPicPr>
      </xdr:nvPicPr>
      <xdr:blipFill>
        <a:blip xmlns:r="http://schemas.openxmlformats.org/officeDocument/2006/relationships" r:embed="rId1" cstate="print"/>
        <a:stretch>
          <a:fillRect/>
        </a:stretch>
      </xdr:blipFill>
      <xdr:spPr>
        <a:xfrm>
          <a:off x="7620" y="7620"/>
          <a:ext cx="11148060" cy="15497810"/>
        </a:xfrm>
        <a:prstGeom prst="rect">
          <a:avLst/>
        </a:prstGeom>
        <a:noFill/>
        <a:ln w="9525">
          <a:noFill/>
        </a:ln>
      </xdr:spPr>
    </xdr:pic>
    <xdr:clientData/>
  </xdr:twoCellAnchor>
  <xdr:twoCellAnchor editAs="absolute">
    <xdr:from>
      <xdr:col>17</xdr:col>
      <xdr:colOff>0</xdr:colOff>
      <xdr:row>3</xdr:row>
      <xdr:rowOff>0</xdr:rowOff>
    </xdr:from>
    <xdr:to>
      <xdr:col>18</xdr:col>
      <xdr:colOff>112219</xdr:colOff>
      <xdr:row>4</xdr:row>
      <xdr:rowOff>116382</xdr:rowOff>
    </xdr:to>
    <xdr:sp macro="" textlink="">
      <xdr:nvSpPr>
        <xdr:cNvPr id="2" name="五边形 1">
          <a:hlinkClick xmlns:r="http://schemas.openxmlformats.org/officeDocument/2006/relationships" r:id="rId2"/>
          <a:extLst>
            <a:ext uri="{FF2B5EF4-FFF2-40B4-BE49-F238E27FC236}">
              <a16:creationId xmlns:a16="http://schemas.microsoft.com/office/drawing/2014/main" id="{C258B61E-A750-4711-819F-58BBFF361710}"/>
            </a:ext>
          </a:extLst>
        </xdr:cNvPr>
        <xdr:cNvSpPr>
          <a:spLocks noChangeAspect="1"/>
        </xdr:cNvSpPr>
      </xdr:nvSpPr>
      <xdr:spPr>
        <a:xfrm flipH="1">
          <a:off x="11334750" y="530679"/>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5.xml><?xml version="1.0" encoding="utf-8"?>
<xdr:wsDr xmlns:xdr="http://schemas.openxmlformats.org/drawingml/2006/spreadsheetDrawing" xmlns:a="http://schemas.openxmlformats.org/drawingml/2006/main">
  <xdr:twoCellAnchor>
    <xdr:from>
      <xdr:col>12</xdr:col>
      <xdr:colOff>257175</xdr:colOff>
      <xdr:row>52</xdr:row>
      <xdr:rowOff>104776</xdr:rowOff>
    </xdr:from>
    <xdr:to>
      <xdr:col>14</xdr:col>
      <xdr:colOff>148842</xdr:colOff>
      <xdr:row>52</xdr:row>
      <xdr:rowOff>447676</xdr:rowOff>
    </xdr:to>
    <xdr:pic>
      <xdr:nvPicPr>
        <xdr:cNvPr id="2" name="Picture 2">
          <a:extLst>
            <a:ext uri="{FF2B5EF4-FFF2-40B4-BE49-F238E27FC236}">
              <a16:creationId xmlns:a16="http://schemas.microsoft.com/office/drawing/2014/main" id="{00000000-0008-0000-B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3724275" y="8932545"/>
          <a:ext cx="320040" cy="342900"/>
        </a:xfrm>
        <a:prstGeom prst="rect">
          <a:avLst/>
        </a:prstGeom>
        <a:noFill/>
      </xdr:spPr>
    </xdr:pic>
    <xdr:clientData/>
  </xdr:twoCellAnchor>
  <xdr:twoCellAnchor editAs="oneCell">
    <xdr:from>
      <xdr:col>24</xdr:col>
      <xdr:colOff>114300</xdr:colOff>
      <xdr:row>52</xdr:row>
      <xdr:rowOff>66675</xdr:rowOff>
    </xdr:from>
    <xdr:to>
      <xdr:col>25</xdr:col>
      <xdr:colOff>314325</xdr:colOff>
      <xdr:row>52</xdr:row>
      <xdr:rowOff>457200</xdr:rowOff>
    </xdr:to>
    <xdr:pic>
      <xdr:nvPicPr>
        <xdr:cNvPr id="3" name="图片 2" descr="image004.gif">
          <a:extLst>
            <a:ext uri="{FF2B5EF4-FFF2-40B4-BE49-F238E27FC236}">
              <a16:creationId xmlns:a16="http://schemas.microsoft.com/office/drawing/2014/main" id="{00000000-0008-0000-B800-000003000000}"/>
            </a:ext>
          </a:extLst>
        </xdr:cNvPr>
        <xdr:cNvPicPr>
          <a:picLocks noChangeAspect="1"/>
        </xdr:cNvPicPr>
      </xdr:nvPicPr>
      <xdr:blipFill>
        <a:blip xmlns:r="http://schemas.openxmlformats.org/officeDocument/2006/relationships" r:embed="rId2" cstate="print"/>
        <a:stretch>
          <a:fillRect/>
        </a:stretch>
      </xdr:blipFill>
      <xdr:spPr>
        <a:xfrm>
          <a:off x="6972300" y="8894445"/>
          <a:ext cx="542925" cy="390525"/>
        </a:xfrm>
        <a:prstGeom prst="rect">
          <a:avLst/>
        </a:prstGeom>
      </xdr:spPr>
    </xdr:pic>
    <xdr:clientData/>
  </xdr:twoCellAnchor>
  <xdr:twoCellAnchor editAs="absolute">
    <xdr:from>
      <xdr:col>1</xdr:col>
      <xdr:colOff>0</xdr:colOff>
      <xdr:row>3</xdr:row>
      <xdr:rowOff>0</xdr:rowOff>
    </xdr:from>
    <xdr:to>
      <xdr:col>3</xdr:col>
      <xdr:colOff>93169</xdr:colOff>
      <xdr:row>4</xdr:row>
      <xdr:rowOff>121824</xdr:rowOff>
    </xdr:to>
    <xdr:sp macro="" textlink="">
      <xdr:nvSpPr>
        <xdr:cNvPr id="4" name="五边形 1">
          <a:hlinkClick xmlns:r="http://schemas.openxmlformats.org/officeDocument/2006/relationships" r:id="rId3"/>
          <a:extLst>
            <a:ext uri="{FF2B5EF4-FFF2-40B4-BE49-F238E27FC236}">
              <a16:creationId xmlns:a16="http://schemas.microsoft.com/office/drawing/2014/main" id="{B4FB1041-6310-4B3D-896F-F24E261D94E4}"/>
            </a:ext>
          </a:extLst>
        </xdr:cNvPr>
        <xdr:cNvSpPr>
          <a:spLocks noChangeAspect="1"/>
        </xdr:cNvSpPr>
      </xdr:nvSpPr>
      <xdr:spPr>
        <a:xfrm flipH="1">
          <a:off x="28575" y="40005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6.xml><?xml version="1.0" encoding="utf-8"?>
<xdr:wsDr xmlns:xdr="http://schemas.openxmlformats.org/drawingml/2006/spreadsheetDrawing" xmlns:a="http://schemas.openxmlformats.org/drawingml/2006/main">
  <xdr:twoCellAnchor editAs="oneCell">
    <xdr:from>
      <xdr:col>0</xdr:col>
      <xdr:colOff>7620</xdr:colOff>
      <xdr:row>1</xdr:row>
      <xdr:rowOff>7620</xdr:rowOff>
    </xdr:from>
    <xdr:to>
      <xdr:col>13</xdr:col>
      <xdr:colOff>499745</xdr:colOff>
      <xdr:row>65</xdr:row>
      <xdr:rowOff>40005</xdr:rowOff>
    </xdr:to>
    <xdr:pic>
      <xdr:nvPicPr>
        <xdr:cNvPr id="2" name="图片 1" descr="1">
          <a:extLst>
            <a:ext uri="{FF2B5EF4-FFF2-40B4-BE49-F238E27FC236}">
              <a16:creationId xmlns:a16="http://schemas.microsoft.com/office/drawing/2014/main" id="{00000000-0008-0000-B900-000002000000}"/>
            </a:ext>
          </a:extLst>
        </xdr:cNvPr>
        <xdr:cNvPicPr>
          <a:picLocks noChangeAspect="1"/>
        </xdr:cNvPicPr>
      </xdr:nvPicPr>
      <xdr:blipFill>
        <a:blip xmlns:r="http://schemas.openxmlformats.org/officeDocument/2006/relationships" r:embed="rId1" cstate="print"/>
        <a:stretch>
          <a:fillRect/>
        </a:stretch>
      </xdr:blipFill>
      <xdr:spPr>
        <a:xfrm>
          <a:off x="7620" y="655320"/>
          <a:ext cx="9159875" cy="11614785"/>
        </a:xfrm>
        <a:prstGeom prst="rect">
          <a:avLst/>
        </a:prstGeom>
      </xdr:spPr>
    </xdr:pic>
    <xdr:clientData/>
  </xdr:twoCellAnchor>
  <xdr:twoCellAnchor editAs="absolute">
    <xdr:from>
      <xdr:col>14</xdr:col>
      <xdr:colOff>0</xdr:colOff>
      <xdr:row>0</xdr:row>
      <xdr:rowOff>0</xdr:rowOff>
    </xdr:from>
    <xdr:to>
      <xdr:col>15</xdr:col>
      <xdr:colOff>112219</xdr:colOff>
      <xdr:row>0</xdr:row>
      <xdr:rowOff>293274</xdr:rowOff>
    </xdr:to>
    <xdr:sp macro="" textlink="">
      <xdr:nvSpPr>
        <xdr:cNvPr id="3" name="五边形 1">
          <a:hlinkClick xmlns:r="http://schemas.openxmlformats.org/officeDocument/2006/relationships" r:id="rId2"/>
          <a:extLst>
            <a:ext uri="{FF2B5EF4-FFF2-40B4-BE49-F238E27FC236}">
              <a16:creationId xmlns:a16="http://schemas.microsoft.com/office/drawing/2014/main" id="{C580A4EE-B2E0-4DDD-A938-247F575CF3DE}"/>
            </a:ext>
          </a:extLst>
        </xdr:cNvPr>
        <xdr:cNvSpPr>
          <a:spLocks noChangeAspect="1"/>
        </xdr:cNvSpPr>
      </xdr:nvSpPr>
      <xdr:spPr>
        <a:xfrm flipH="1">
          <a:off x="933450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drawings/drawing187.xml><?xml version="1.0" encoding="utf-8"?>
<xdr:wsDr xmlns:xdr="http://schemas.openxmlformats.org/drawingml/2006/spreadsheetDrawing" xmlns:a="http://schemas.openxmlformats.org/drawingml/2006/main">
  <xdr:twoCellAnchor editAs="absolute">
    <xdr:from>
      <xdr:col>4</xdr:col>
      <xdr:colOff>0</xdr:colOff>
      <xdr:row>0</xdr:row>
      <xdr:rowOff>0</xdr:rowOff>
    </xdr:from>
    <xdr:to>
      <xdr:col>5</xdr:col>
      <xdr:colOff>93169</xdr:colOff>
      <xdr:row>0</xdr:row>
      <xdr:rowOff>293274</xdr:rowOff>
    </xdr:to>
    <xdr:sp macro="" textlink="">
      <xdr:nvSpPr>
        <xdr:cNvPr id="2" name="五边形 1">
          <a:hlinkClick xmlns:r="http://schemas.openxmlformats.org/officeDocument/2006/relationships" r:id="rId1"/>
          <a:extLst>
            <a:ext uri="{FF2B5EF4-FFF2-40B4-BE49-F238E27FC236}">
              <a16:creationId xmlns:a16="http://schemas.microsoft.com/office/drawing/2014/main" id="{CEE139DD-EE54-4DA2-A88E-A8F890EC2C1E}"/>
            </a:ext>
          </a:extLst>
        </xdr:cNvPr>
        <xdr:cNvSpPr>
          <a:spLocks noChangeAspect="1"/>
        </xdr:cNvSpPr>
      </xdr:nvSpPr>
      <xdr:spPr>
        <a:xfrm flipH="1">
          <a:off x="3257550" y="0"/>
          <a:ext cx="778969" cy="293274"/>
        </a:xfrm>
        <a:prstGeom prst="homePlate">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rtlCol="0" anchor="ctr"/>
        <a:lstStyle/>
        <a:p>
          <a:pPr algn="ctr"/>
          <a:r>
            <a:rPr lang="zh-CN" altLang="en-US" sz="1000" b="1">
              <a:latin typeface="时尚中黑简体" pitchFamily="2" charset="-122"/>
              <a:ea typeface="时尚中黑简体" pitchFamily="2" charset="-122"/>
            </a:rPr>
            <a:t>返回首页</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Users\Administrator\Documents\Tencent%20Files\994410571\FileRecv\&#38750;&#26631;&#35774;&#35745;&#35745;&#31639;&#26631;&#20934;&#38598;&#21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5774;&#35745;&#34920;&#26684;\&#38750;&#26631;&#35774;&#35745;&#26368;&#24378;&#33258;&#21160;&#35745;&#31639;.V16.SP2(2016.06.26&#26356;&#2603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BaiduNetdiskDownload\&#20869;&#12289;&#22806;&#26631;&#20934;&#34746;&#32441;&#23610;&#23544;&#22823;&#208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Administrator/&#26700;&#38754;/&#27694;&#27668;&#24377;&#31783;&#35745;&#31639;(KALL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2447;&#24615;&#23610;&#23544;&#38142;&#35745;&#31639;&#34920;(&#32456;&#32467;&#29256;)s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24494;&#20449;\WeChat%20Files\lilele618828\Files\&#30382;&#24102;Excel&#26684;&#24335;&#35745;&#31639;&#2007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Users\Administrator\Documents\Tencent%20Files\994410571\FileRecv\&#27668;&#21160;&#36873;&#22411;&#35745;&#316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山东赛扬自动化科技有限公司"/>
      <sheetName val="总目录"/>
      <sheetName val="搖擺資料"/>
      <sheetName val="輸送帶計算"/>
      <sheetName val="齒輪分割計算"/>
      <sheetName val="棘轮计算"/>
      <sheetName val="弹簧计算"/>
      <sheetName val="齿式联轴器计算"/>
      <sheetName val="万向联轴器计算"/>
      <sheetName val="过盈计算"/>
      <sheetName val="减速机公称功率"/>
      <sheetName val="链轮计算"/>
      <sheetName val="链条计算"/>
      <sheetName val="焊缝及键连接受力计算比较"/>
      <sheetName val="销的强度计算"/>
      <sheetName val="键的强度计算 "/>
      <sheetName val="同步带轮传动设计计算"/>
      <sheetName val="分度盘选型计算公式"/>
      <sheetName val="单位换算"/>
      <sheetName val="真空元件的选定"/>
      <sheetName val="耗气量计算及电磁阀选择"/>
      <sheetName val="气缸与系统选型指南"/>
      <sheetName val="三角皮带参数表"/>
      <sheetName val="气缸理论出力表"/>
      <sheetName val="气缸推力计算"/>
      <sheetName val="气缸内径选型"/>
      <sheetName val="伺服电机选型自动版"/>
      <sheetName val="材料价格计算表"/>
      <sheetName val="压入力计算"/>
      <sheetName val="弹性模量、泊松系数"/>
      <sheetName val="材料摩擦系数"/>
      <sheetName val="电机功率确定程序"/>
      <sheetName val="变位圆柱"/>
      <sheetName val="齿轮齿条"/>
      <sheetName val="齿轮常用材料及其力学性能 (2)"/>
      <sheetName val="圆柱蜗杆传动基本几何尺寸计算公式"/>
      <sheetName val="蜗杆常用材料"/>
      <sheetName val="圆柱蜗杆传动主要参数搭配推荐值"/>
      <sheetName val="三角皮带长度计算"/>
      <sheetName val="美制螺纹"/>
      <sheetName val="粗螺纹"/>
      <sheetName val="细螺纹"/>
      <sheetName val="迫牙丝攻钻孔径"/>
      <sheetName val="美制特细螺纹及英制电器螺纹"/>
      <sheetName val="管螺纹"/>
      <sheetName val="螺纹及针车用螺纹"/>
      <sheetName val="螺栓扭矩标准"/>
      <sheetName val="链轮参数计算"/>
      <sheetName val="立柱计算"/>
      <sheetName val="稳定性系数"/>
      <sheetName val="模 具 钢"/>
      <sheetName val="   齿轮齿条传动设计计算    "/>
      <sheetName val="齿轮常用材料及其力学性能"/>
      <sheetName val="蜗轮传动"/>
      <sheetName val="高度变位斜齿轮跨棒(球)距"/>
      <sheetName val="外花键跨棒距"/>
      <sheetName val="内花键棒间距"/>
      <sheetName val="高变位齿轮尺寸计算"/>
      <sheetName val="超越离合器设计计算表"/>
      <sheetName val="常用Y系列电机型号参数表"/>
      <sheetName val="锥齿轮传动设计计算"/>
      <sheetName val="概述"/>
      <sheetName val="负载转矩计算"/>
      <sheetName val="惯量计算"/>
      <sheetName val="丝杠水平运动 "/>
      <sheetName val="丝杠垂直运动"/>
      <sheetName val="皮带轮间歇运动"/>
      <sheetName val="皮带轮连续运动"/>
      <sheetName val="分度盘"/>
      <sheetName val="其他"/>
      <sheetName val="电机常识"/>
      <sheetName val="圆盘"/>
      <sheetName val="分割器选型基础知识"/>
      <sheetName val="惯性距计算"/>
      <sheetName val="分割器计算"/>
      <sheetName val="公差"/>
      <sheetName val="轴偏差"/>
      <sheetName val="空偏差"/>
      <sheetName val="形位公差"/>
      <sheetName val="标准件重"/>
      <sheetName val="O型圈"/>
      <sheetName val="无缝管"/>
      <sheetName val="密度"/>
      <sheetName val="标准筛目"/>
      <sheetName val="形状位置公差加工方法"/>
      <sheetName val="平键和键槽标准尺寸规格表"/>
      <sheetName val="凸轮各曲线特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总目录"/>
      <sheetName val="亚德客缓冲器"/>
      <sheetName val="材质硬度对照表"/>
      <sheetName val="推力球轴承尺寸表"/>
      <sheetName val="深沟球轴承查询 "/>
      <sheetName val="平键和键槽"/>
      <sheetName val="E形扣环"/>
      <sheetName val="轴用"/>
      <sheetName val="孔用"/>
      <sheetName val="齿轮齿条传动设计计算  "/>
      <sheetName val="凸轮分割器搖擺資料"/>
      <sheetName val="輸送帶計算"/>
      <sheetName val="齒輪分割計算"/>
      <sheetName val="棘轮计算"/>
      <sheetName val="弹簧计算"/>
      <sheetName val="齿式联轴器计算"/>
      <sheetName val="万向联轴器计算"/>
      <sheetName val="过盈计算"/>
      <sheetName val="减速机公称功率"/>
      <sheetName val="链轮计算"/>
      <sheetName val="链条计算"/>
      <sheetName val="焊缝及键连接受力计算比较"/>
      <sheetName val="销的强度计算"/>
      <sheetName val="键的强度计算 "/>
      <sheetName val="同步带轮传动设计计算"/>
      <sheetName val="分度盘选型计算公式"/>
      <sheetName val="单位换算"/>
      <sheetName val="真空元件的选定"/>
      <sheetName val="耗气量计算及电磁阀选择"/>
      <sheetName val="气缸与系统选型指南"/>
      <sheetName val="三角皮带参数表"/>
      <sheetName val="气缸理论出力表"/>
      <sheetName val="气缸推力计算"/>
      <sheetName val="气缸内径选型"/>
      <sheetName val="伺服电机选型自动版"/>
      <sheetName val="材料价格计算表"/>
      <sheetName val="压入力计算"/>
      <sheetName val="弹性模量、泊松系数"/>
      <sheetName val="材料摩擦系数"/>
      <sheetName val="电机功率确定程序"/>
      <sheetName val="变位圆柱"/>
      <sheetName val="齿轮齿条"/>
      <sheetName val="齿轮常用材料及其力学性能 (2)"/>
      <sheetName val="圆柱蜗杆传动基本几何尺寸计算公式"/>
      <sheetName val="蜗杆常用材料"/>
      <sheetName val="圆柱蜗杆传动主要参数搭配推荐值"/>
      <sheetName val="三角皮带长度计算"/>
      <sheetName val="美制螺纹"/>
      <sheetName val="粗螺纹"/>
      <sheetName val="细螺纹"/>
      <sheetName val="迫牙丝攻钻孔径"/>
      <sheetName val="美制特细螺纹及英制电器螺纹"/>
      <sheetName val="管螺纹"/>
      <sheetName val="螺纹及针车用螺纹"/>
      <sheetName val="螺栓扭矩标准"/>
      <sheetName val="链轮参数计算"/>
      <sheetName val="立柱计算"/>
      <sheetName val="稳定性系数"/>
      <sheetName val="模 具 钢"/>
      <sheetName val="   齿轮齿条传动设计计算    "/>
      <sheetName val="齿轮常用材料及其力学性能"/>
      <sheetName val="蜗轮传动"/>
      <sheetName val="高度变位斜齿轮跨棒(球)距"/>
      <sheetName val="外花键跨棒距"/>
      <sheetName val="内花键棒间距"/>
      <sheetName val="高变位齿轮尺寸计算"/>
      <sheetName val="超越离合器设计计算表"/>
      <sheetName val="常用Y系列电机型号参数表"/>
      <sheetName val="锥齿轮传动设计计算"/>
      <sheetName val="电机概述"/>
      <sheetName val="负载转矩计算"/>
      <sheetName val="惯量计算"/>
      <sheetName val="丝杠水平运动 "/>
      <sheetName val="丝杠垂直运动"/>
      <sheetName val="皮带轮间歇运动"/>
      <sheetName val="皮带轮连续运动"/>
      <sheetName val="分度盘"/>
      <sheetName val="电机参数"/>
      <sheetName val="电机常识"/>
      <sheetName val="圆盘"/>
      <sheetName val="分割器选型基础知识"/>
      <sheetName val="惯性距计算"/>
      <sheetName val="分割器计算"/>
      <sheetName val="螺纹中小径计算"/>
      <sheetName val="步进电机选型"/>
      <sheetName val="常用设备工况系数表"/>
      <sheetName val="交错轴斜齿轮传动计算"/>
      <sheetName val="外啮合圆柱齿轮传动设计计算"/>
      <sheetName val="外齿轮插齿、剃齿验算"/>
      <sheetName val="内齿轮插齿顶切验算"/>
      <sheetName val="内齿轮传动计算及插齿刀验算"/>
      <sheetName val="准双曲面齿轮设计计算"/>
      <sheetName val="常用材料折弯系数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擠壓螺紋下孔徑"/>
      <sheetName val="美國螺紋統一標准"/>
      <sheetName val="ISO Metric profile"/>
      <sheetName val="ANSI Metric M Profile"/>
      <sheetName val="ISO Metric Trapezoidal Threads"/>
      <sheetName val="Inch Tapping Threads"/>
      <sheetName val="Metric Forming Screw Threads"/>
      <sheetName val="NPT for PVC Pipe and Fitting"/>
      <sheetName val="NPT"/>
      <sheetName val="ISO Pipe Threads"/>
      <sheetName val="ISO Taper"/>
      <sheetName val="JIS Pipe Threads"/>
      <sheetName val="JIS Taper"/>
      <sheetName val="Din Taper"/>
      <sheetName val="DIN Pipe Taper"/>
      <sheetName val="DIN Pipe Threa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氮气弹簧计算"/>
      <sheetName val="型号列表"/>
      <sheetName val="CU 420"/>
      <sheetName val="CU 740"/>
      <sheetName val="CU 1000"/>
      <sheetName val="CU 1800"/>
      <sheetName val="CU 2900"/>
      <sheetName val="CU 4700"/>
      <sheetName val="CU 7500"/>
      <sheetName val="CU 11800"/>
      <sheetName val="CU 18300"/>
      <sheetName val="K 500"/>
      <sheetName val="K 750"/>
      <sheetName val="K 1500"/>
      <sheetName val="K 3000"/>
      <sheetName val="TU 250"/>
      <sheetName val="TU 500"/>
      <sheetName val="TU 750"/>
      <sheetName val="TU 1500"/>
      <sheetName val="TU 3000"/>
      <sheetName val="TU 5000"/>
      <sheetName val="TU 7500"/>
      <sheetName val="TU 10000"/>
      <sheetName val="X 170"/>
      <sheetName val="X 320"/>
      <sheetName val="X 350"/>
      <sheetName val="X 500"/>
      <sheetName val="X 750"/>
      <sheetName val="X 1000"/>
      <sheetName val="X 1500"/>
      <sheetName val="X 2400"/>
      <sheetName val="X 4200"/>
      <sheetName val="X 6600"/>
      <sheetName val="X 950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尺寸链计算"/>
      <sheetName val="公差计算表"/>
      <sheetName val="尺寸链知识"/>
    </sheetNames>
    <sheetDataSet>
      <sheetData sheetId="0">
        <row r="4">
          <cell r="B4">
            <v>0</v>
          </cell>
          <cell r="D4" t="str">
            <v>增环</v>
          </cell>
        </row>
        <row r="5">
          <cell r="B5">
            <v>-0.16</v>
          </cell>
        </row>
        <row r="6">
          <cell r="B6">
            <v>0.11</v>
          </cell>
          <cell r="D6" t="str">
            <v>减环</v>
          </cell>
          <cell r="I6">
            <v>0.11</v>
          </cell>
          <cell r="K6" t="str">
            <v>增环</v>
          </cell>
        </row>
        <row r="7">
          <cell r="B7">
            <v>0</v>
          </cell>
          <cell r="I7">
            <v>0</v>
          </cell>
        </row>
        <row r="8">
          <cell r="B8">
            <v>0</v>
          </cell>
          <cell r="D8" t="str">
            <v>减环</v>
          </cell>
          <cell r="I8">
            <v>0</v>
          </cell>
          <cell r="K8" t="str">
            <v>增环</v>
          </cell>
        </row>
        <row r="9">
          <cell r="B9">
            <v>-7.4999999999999997E-2</v>
          </cell>
          <cell r="I9">
            <v>-7.4999999999999997E-2</v>
          </cell>
        </row>
        <row r="24">
          <cell r="I24">
            <v>0.05</v>
          </cell>
          <cell r="K24" t="str">
            <v>增环</v>
          </cell>
        </row>
        <row r="25">
          <cell r="I25">
            <v>-0.05</v>
          </cell>
        </row>
      </sheetData>
      <sheetData sheetId="1">
        <row r="15">
          <cell r="F15">
            <v>0</v>
          </cell>
          <cell r="G15">
            <v>-0.16</v>
          </cell>
          <cell r="H15">
            <v>0.11</v>
          </cell>
          <cell r="I15">
            <v>-7.4999999999999997E-2</v>
          </cell>
        </row>
        <row r="16">
          <cell r="O16">
            <v>0.16</v>
          </cell>
          <cell r="P16">
            <v>-0.125</v>
          </cell>
          <cell r="Q16">
            <v>0</v>
          </cell>
          <cell r="R16">
            <v>0</v>
          </cell>
        </row>
      </sheetData>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功率及张力计算"/>
      <sheetName val="张力逐点计算"/>
      <sheetName val="Sheet3"/>
    </sheetNames>
    <sheetDataSet>
      <sheetData sheetId="0">
        <row r="49">
          <cell r="C49">
            <v>0</v>
          </cell>
        </row>
        <row r="50">
          <cell r="C50">
            <v>13</v>
          </cell>
        </row>
        <row r="51">
          <cell r="C51">
            <v>0</v>
          </cell>
        </row>
        <row r="55">
          <cell r="C55">
            <v>46.7</v>
          </cell>
        </row>
        <row r="58">
          <cell r="E58">
            <v>1.4</v>
          </cell>
        </row>
        <row r="71">
          <cell r="C71">
            <v>32.340000000000003</v>
          </cell>
        </row>
        <row r="73">
          <cell r="C73">
            <v>142.23132502702401</v>
          </cell>
        </row>
        <row r="85">
          <cell r="D85">
            <v>20.524999999999999</v>
          </cell>
        </row>
        <row r="90">
          <cell r="D90">
            <v>7.76</v>
          </cell>
        </row>
        <row r="93">
          <cell r="D93">
            <v>2.3E-2</v>
          </cell>
        </row>
        <row r="164">
          <cell r="B164">
            <v>274.68</v>
          </cell>
        </row>
        <row r="167">
          <cell r="B167">
            <v>1847.8064877044001</v>
          </cell>
        </row>
        <row r="174">
          <cell r="B174">
            <v>413.44551192464598</v>
          </cell>
        </row>
        <row r="182">
          <cell r="B182">
            <v>1411.2903225806499</v>
          </cell>
        </row>
        <row r="247">
          <cell r="B247">
            <v>32923.403206895302</v>
          </cell>
        </row>
        <row r="250">
          <cell r="B250">
            <v>77486.461948549593</v>
          </cell>
        </row>
        <row r="254">
          <cell r="B254">
            <v>77486.461948549593</v>
          </cell>
        </row>
        <row r="257">
          <cell r="B257">
            <v>122049.52069020399</v>
          </cell>
        </row>
        <row r="265">
          <cell r="B265">
            <v>25259.402336204301</v>
          </cell>
        </row>
        <row r="270">
          <cell r="B270">
            <v>24287.8868617349</v>
          </cell>
        </row>
        <row r="285">
          <cell r="F285">
            <v>31000</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气缸与系统选型指南"/>
      <sheetName val="耗气量计算及电磁阀选择"/>
      <sheetName val="真空元件的选定"/>
      <sheetName val="系数表"/>
      <sheetName val="气缸规格表"/>
    </sheetNames>
    <sheetDataSet>
      <sheetData sheetId="0"/>
      <sheetData sheetId="1"/>
      <sheetData sheetId="2"/>
      <sheetData sheetId="3">
        <row r="2">
          <cell r="A2" t="str">
            <v>无导轨</v>
          </cell>
          <cell r="B2">
            <v>1</v>
          </cell>
        </row>
        <row r="3">
          <cell r="A3" t="str">
            <v>滑动摩擦</v>
          </cell>
          <cell r="B3">
            <v>0.3</v>
          </cell>
        </row>
        <row r="4">
          <cell r="A4" t="str">
            <v>滚动摩擦</v>
          </cell>
          <cell r="B4">
            <v>0.1</v>
          </cell>
        </row>
      </sheetData>
      <sheetData sheetId="4">
        <row r="3">
          <cell r="A3">
            <v>32</v>
          </cell>
          <cell r="B3">
            <v>12</v>
          </cell>
          <cell r="C3">
            <v>804</v>
          </cell>
        </row>
        <row r="4">
          <cell r="A4">
            <v>40</v>
          </cell>
          <cell r="B4">
            <v>16</v>
          </cell>
          <cell r="C4">
            <v>1257</v>
          </cell>
        </row>
        <row r="5">
          <cell r="A5">
            <v>50</v>
          </cell>
          <cell r="B5">
            <v>20</v>
          </cell>
          <cell r="C5">
            <v>1963</v>
          </cell>
        </row>
        <row r="6">
          <cell r="A6">
            <v>63</v>
          </cell>
          <cell r="B6">
            <v>20</v>
          </cell>
          <cell r="C6">
            <v>3117</v>
          </cell>
        </row>
        <row r="7">
          <cell r="A7">
            <v>80</v>
          </cell>
          <cell r="B7">
            <v>25</v>
          </cell>
          <cell r="C7">
            <v>5027</v>
          </cell>
        </row>
        <row r="8">
          <cell r="A8">
            <v>100</v>
          </cell>
          <cell r="B8">
            <v>25</v>
          </cell>
          <cell r="C8">
            <v>7854</v>
          </cell>
        </row>
        <row r="9">
          <cell r="A9">
            <v>125</v>
          </cell>
          <cell r="B9">
            <v>32</v>
          </cell>
          <cell r="C9">
            <v>12272</v>
          </cell>
        </row>
        <row r="10">
          <cell r="A10">
            <v>160</v>
          </cell>
          <cell r="B10">
            <v>40</v>
          </cell>
          <cell r="C10">
            <v>20106</v>
          </cell>
        </row>
        <row r="11">
          <cell r="A11">
            <v>200</v>
          </cell>
          <cell r="B11">
            <v>40</v>
          </cell>
          <cell r="C11">
            <v>31416</v>
          </cell>
        </row>
        <row r="12">
          <cell r="A12">
            <v>250</v>
          </cell>
          <cell r="B12">
            <v>50</v>
          </cell>
          <cell r="C12">
            <v>49087</v>
          </cell>
        </row>
        <row r="17">
          <cell r="A17">
            <v>32</v>
          </cell>
          <cell r="B17">
            <v>12</v>
          </cell>
          <cell r="C17">
            <v>691</v>
          </cell>
        </row>
        <row r="18">
          <cell r="A18">
            <v>40</v>
          </cell>
          <cell r="B18">
            <v>16</v>
          </cell>
          <cell r="C18">
            <v>1056</v>
          </cell>
        </row>
        <row r="19">
          <cell r="A19">
            <v>50</v>
          </cell>
          <cell r="B19">
            <v>20</v>
          </cell>
          <cell r="C19">
            <v>1649</v>
          </cell>
        </row>
        <row r="20">
          <cell r="A20">
            <v>63</v>
          </cell>
          <cell r="B20">
            <v>20</v>
          </cell>
          <cell r="C20">
            <v>2803</v>
          </cell>
        </row>
        <row r="21">
          <cell r="A21">
            <v>80</v>
          </cell>
          <cell r="B21">
            <v>25</v>
          </cell>
          <cell r="C21">
            <v>4536</v>
          </cell>
        </row>
        <row r="22">
          <cell r="A22">
            <v>100</v>
          </cell>
          <cell r="B22">
            <v>25</v>
          </cell>
          <cell r="C22">
            <v>7363</v>
          </cell>
        </row>
        <row r="23">
          <cell r="A23">
            <v>125</v>
          </cell>
          <cell r="B23">
            <v>32</v>
          </cell>
          <cell r="C23">
            <v>11468</v>
          </cell>
        </row>
        <row r="24">
          <cell r="A24">
            <v>160</v>
          </cell>
          <cell r="B24">
            <v>40</v>
          </cell>
          <cell r="C24">
            <v>18850</v>
          </cell>
        </row>
        <row r="25">
          <cell r="A25">
            <v>200</v>
          </cell>
          <cell r="B25">
            <v>40</v>
          </cell>
          <cell r="C25">
            <v>30159</v>
          </cell>
        </row>
        <row r="26">
          <cell r="A26">
            <v>250</v>
          </cell>
          <cell r="B26">
            <v>50</v>
          </cell>
          <cell r="C26">
            <v>47124</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FF"/>
        </a:solidFill>
        <a:ln w="9525" cap="flat" cmpd="sng">
          <a:solidFill>
            <a:srgbClr val="000000"/>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1.vml"/><Relationship Id="rId1" Type="http://schemas.openxmlformats.org/officeDocument/2006/relationships/drawing" Target="../drawings/drawing9.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36.emf"/></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42.emf"/><Relationship Id="rId3" Type="http://schemas.openxmlformats.org/officeDocument/2006/relationships/hyperlink" Target="&#35013;&#37197;&#23610;&#23544;&#38142;.ppt" TargetMode="External"/><Relationship Id="rId7" Type="http://schemas.openxmlformats.org/officeDocument/2006/relationships/vmlDrawing" Target="../drawings/vmlDrawing2.vml"/><Relationship Id="rId12" Type="http://schemas.openxmlformats.org/officeDocument/2006/relationships/oleObject" Target="../embeddings/oleObject7.bin"/><Relationship Id="rId2" Type="http://schemas.openxmlformats.org/officeDocument/2006/relationships/hyperlink" Target="../../../Documents%20and%20Settings/Administrator/&#26700;&#38754;/GBT5487-86%20&#23610;&#23544;&#38142;&#35745;&#31639;&#26041;&#27861;.pdf" TargetMode="External"/><Relationship Id="rId1" Type="http://schemas.openxmlformats.org/officeDocument/2006/relationships/hyperlink" Target="../../../Documents%20and%20Settings/Administrator/&#26700;&#38754;/&#35013;&#37197;&#23610;&#23544;&#38142;.ppt" TargetMode="External"/><Relationship Id="rId6" Type="http://schemas.openxmlformats.org/officeDocument/2006/relationships/drawing" Target="../drawings/drawing11.xml"/><Relationship Id="rId11" Type="http://schemas.openxmlformats.org/officeDocument/2006/relationships/image" Target="../media/image41.emf"/><Relationship Id="rId5" Type="http://schemas.openxmlformats.org/officeDocument/2006/relationships/hyperlink" Target="GBT5487-86%20&#23610;&#23544;&#38142;&#35745;&#31639;&#26041;&#27861;.pdf" TargetMode="External"/><Relationship Id="rId10" Type="http://schemas.openxmlformats.org/officeDocument/2006/relationships/oleObject" Target="../embeddings/oleObject6.bin"/><Relationship Id="rId4" Type="http://schemas.openxmlformats.org/officeDocument/2006/relationships/hyperlink" Target="&#24037;&#33402;&#23610;&#23544;&#38142;.pdf" TargetMode="External"/><Relationship Id="rId9" Type="http://schemas.openxmlformats.org/officeDocument/2006/relationships/image" Target="../media/image40.emf"/></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oleObject" Target="../embeddings/oleObject8.bin"/><Relationship Id="rId2" Type="http://schemas.openxmlformats.org/officeDocument/2006/relationships/vmlDrawing" Target="../drawings/vmlDrawing3.vml"/><Relationship Id="rId1" Type="http://schemas.openxmlformats.org/officeDocument/2006/relationships/drawing" Target="../drawings/drawing15.xml"/><Relationship Id="rId6" Type="http://schemas.openxmlformats.org/officeDocument/2006/relationships/image" Target="../media/image44.emf"/><Relationship Id="rId5" Type="http://schemas.openxmlformats.org/officeDocument/2006/relationships/oleObject" Target="../embeddings/oleObject9.bin"/><Relationship Id="rId4" Type="http://schemas.openxmlformats.org/officeDocument/2006/relationships/image" Target="../media/image43.emf"/></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oleObject" Target="../embeddings/oleObject10.bin"/><Relationship Id="rId2" Type="http://schemas.openxmlformats.org/officeDocument/2006/relationships/vmlDrawing" Target="../drawings/vmlDrawing4.vml"/><Relationship Id="rId1" Type="http://schemas.openxmlformats.org/officeDocument/2006/relationships/drawing" Target="../drawings/drawing19.xml"/><Relationship Id="rId4" Type="http://schemas.openxmlformats.org/officeDocument/2006/relationships/image" Target="../media/image45.emf"/></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2.xml"/><Relationship Id="rId1" Type="http://schemas.openxmlformats.org/officeDocument/2006/relationships/hyperlink" Target="http://qiao.baidu.com/"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oleObject" Target="../embeddings/oleObject11.bin"/><Relationship Id="rId2" Type="http://schemas.openxmlformats.org/officeDocument/2006/relationships/vmlDrawing" Target="../drawings/vmlDrawing6.vml"/><Relationship Id="rId1" Type="http://schemas.openxmlformats.org/officeDocument/2006/relationships/drawing" Target="../drawings/drawing30.xml"/><Relationship Id="rId6" Type="http://schemas.openxmlformats.org/officeDocument/2006/relationships/image" Target="../media/image52.emf"/><Relationship Id="rId5" Type="http://schemas.openxmlformats.org/officeDocument/2006/relationships/oleObject" Target="../embeddings/oleObject12.bin"/><Relationship Id="rId4" Type="http://schemas.openxmlformats.org/officeDocument/2006/relationships/image" Target="../media/image51.emf"/></Relationships>
</file>

<file path=xl/worksheets/_rels/sheet3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7.vm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8.vml"/><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8" Type="http://schemas.openxmlformats.org/officeDocument/2006/relationships/image" Target="../media/image58.emf"/><Relationship Id="rId3" Type="http://schemas.openxmlformats.org/officeDocument/2006/relationships/oleObject" Target="../embeddings/oleObject13.bin"/><Relationship Id="rId7" Type="http://schemas.openxmlformats.org/officeDocument/2006/relationships/oleObject" Target="../embeddings/oleObject15.bin"/><Relationship Id="rId2" Type="http://schemas.openxmlformats.org/officeDocument/2006/relationships/vmlDrawing" Target="../drawings/vmlDrawing9.vml"/><Relationship Id="rId1" Type="http://schemas.openxmlformats.org/officeDocument/2006/relationships/drawing" Target="../drawings/drawing33.xml"/><Relationship Id="rId6" Type="http://schemas.openxmlformats.org/officeDocument/2006/relationships/image" Target="../media/image57.emf"/><Relationship Id="rId5" Type="http://schemas.openxmlformats.org/officeDocument/2006/relationships/oleObject" Target="../embeddings/oleObject14.bin"/><Relationship Id="rId4" Type="http://schemas.openxmlformats.org/officeDocument/2006/relationships/image" Target="../media/image56.emf"/></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3" Type="http://schemas.openxmlformats.org/officeDocument/2006/relationships/oleObject" Target="../embeddings/oleObject16.bin"/><Relationship Id="rId7" Type="http://schemas.openxmlformats.org/officeDocument/2006/relationships/comments" Target="../comments3.xml"/><Relationship Id="rId2" Type="http://schemas.openxmlformats.org/officeDocument/2006/relationships/vmlDrawing" Target="../drawings/vmlDrawing10.vml"/><Relationship Id="rId1" Type="http://schemas.openxmlformats.org/officeDocument/2006/relationships/drawing" Target="../drawings/drawing36.xml"/><Relationship Id="rId6" Type="http://schemas.openxmlformats.org/officeDocument/2006/relationships/image" Target="../media/image86.emf"/><Relationship Id="rId5" Type="http://schemas.openxmlformats.org/officeDocument/2006/relationships/oleObject" Target="../embeddings/oleObject17.bin"/><Relationship Id="rId4" Type="http://schemas.openxmlformats.org/officeDocument/2006/relationships/image" Target="../media/image85.emf"/></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8" Type="http://schemas.openxmlformats.org/officeDocument/2006/relationships/image" Target="../media/image89.wmf"/><Relationship Id="rId3" Type="http://schemas.openxmlformats.org/officeDocument/2006/relationships/oleObject" Target="../embeddings/oleObject18.bin"/><Relationship Id="rId7" Type="http://schemas.openxmlformats.org/officeDocument/2006/relationships/oleObject" Target="../embeddings/oleObject20.bin"/><Relationship Id="rId2" Type="http://schemas.openxmlformats.org/officeDocument/2006/relationships/vmlDrawing" Target="../drawings/vmlDrawing11.vml"/><Relationship Id="rId1" Type="http://schemas.openxmlformats.org/officeDocument/2006/relationships/drawing" Target="../drawings/drawing38.xml"/><Relationship Id="rId6" Type="http://schemas.openxmlformats.org/officeDocument/2006/relationships/image" Target="../media/image88.wmf"/><Relationship Id="rId5" Type="http://schemas.openxmlformats.org/officeDocument/2006/relationships/oleObject" Target="../embeddings/oleObject19.bin"/><Relationship Id="rId10" Type="http://schemas.openxmlformats.org/officeDocument/2006/relationships/image" Target="../media/image90.wmf"/><Relationship Id="rId4" Type="http://schemas.openxmlformats.org/officeDocument/2006/relationships/image" Target="../media/image87.wmf"/><Relationship Id="rId9" Type="http://schemas.openxmlformats.org/officeDocument/2006/relationships/oleObject" Target="../embeddings/oleObject21.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3" Type="http://schemas.openxmlformats.org/officeDocument/2006/relationships/oleObject" Target="../embeddings/oleObject22.bin"/><Relationship Id="rId2" Type="http://schemas.openxmlformats.org/officeDocument/2006/relationships/vmlDrawing" Target="../drawings/vmlDrawing12.vml"/><Relationship Id="rId1" Type="http://schemas.openxmlformats.org/officeDocument/2006/relationships/drawing" Target="../drawings/drawing49.xml"/><Relationship Id="rId6" Type="http://schemas.openxmlformats.org/officeDocument/2006/relationships/image" Target="../media/image94.emf"/><Relationship Id="rId5" Type="http://schemas.openxmlformats.org/officeDocument/2006/relationships/oleObject" Target="../embeddings/oleObject23.bin"/><Relationship Id="rId4" Type="http://schemas.openxmlformats.org/officeDocument/2006/relationships/image" Target="../media/image93.emf"/></Relationships>
</file>

<file path=xl/worksheets/_rels/sheet50.xml.rels><?xml version="1.0" encoding="UTF-8" standalone="yes"?>
<Relationships xmlns="http://schemas.openxmlformats.org/package/2006/relationships"><Relationship Id="rId3" Type="http://schemas.openxmlformats.org/officeDocument/2006/relationships/oleObject" Target="../embeddings/oleObject24.bin"/><Relationship Id="rId2" Type="http://schemas.openxmlformats.org/officeDocument/2006/relationships/vmlDrawing" Target="../drawings/vmlDrawing13.vml"/><Relationship Id="rId1" Type="http://schemas.openxmlformats.org/officeDocument/2006/relationships/drawing" Target="../drawings/drawing50.xml"/><Relationship Id="rId6" Type="http://schemas.openxmlformats.org/officeDocument/2006/relationships/image" Target="../media/image97.emf"/><Relationship Id="rId5" Type="http://schemas.openxmlformats.org/officeDocument/2006/relationships/oleObject" Target="../embeddings/oleObject25.bin"/><Relationship Id="rId4" Type="http://schemas.openxmlformats.org/officeDocument/2006/relationships/image" Target="../media/image96.emf"/></Relationships>
</file>

<file path=xl/worksheets/_rels/sheet51.xml.rels><?xml version="1.0" encoding="UTF-8" standalone="yes"?>
<Relationships xmlns="http://schemas.openxmlformats.org/package/2006/relationships"><Relationship Id="rId8" Type="http://schemas.openxmlformats.org/officeDocument/2006/relationships/image" Target="../media/image100.emf"/><Relationship Id="rId13" Type="http://schemas.openxmlformats.org/officeDocument/2006/relationships/oleObject" Target="../embeddings/oleObject31.bin"/><Relationship Id="rId18" Type="http://schemas.openxmlformats.org/officeDocument/2006/relationships/image" Target="../media/image105.emf"/><Relationship Id="rId3" Type="http://schemas.openxmlformats.org/officeDocument/2006/relationships/oleObject" Target="../embeddings/oleObject26.bin"/><Relationship Id="rId21" Type="http://schemas.openxmlformats.org/officeDocument/2006/relationships/oleObject" Target="../embeddings/oleObject35.bin"/><Relationship Id="rId7" Type="http://schemas.openxmlformats.org/officeDocument/2006/relationships/oleObject" Target="../embeddings/oleObject28.bin"/><Relationship Id="rId12" Type="http://schemas.openxmlformats.org/officeDocument/2006/relationships/image" Target="../media/image102.emf"/><Relationship Id="rId17" Type="http://schemas.openxmlformats.org/officeDocument/2006/relationships/oleObject" Target="../embeddings/oleObject33.bin"/><Relationship Id="rId2" Type="http://schemas.openxmlformats.org/officeDocument/2006/relationships/vmlDrawing" Target="../drawings/vmlDrawing14.vml"/><Relationship Id="rId16" Type="http://schemas.openxmlformats.org/officeDocument/2006/relationships/image" Target="../media/image104.emf"/><Relationship Id="rId20" Type="http://schemas.openxmlformats.org/officeDocument/2006/relationships/image" Target="../media/image106.emf"/><Relationship Id="rId1" Type="http://schemas.openxmlformats.org/officeDocument/2006/relationships/drawing" Target="../drawings/drawing51.xml"/><Relationship Id="rId6" Type="http://schemas.openxmlformats.org/officeDocument/2006/relationships/image" Target="../media/image99.emf"/><Relationship Id="rId11" Type="http://schemas.openxmlformats.org/officeDocument/2006/relationships/oleObject" Target="../embeddings/oleObject30.bin"/><Relationship Id="rId24" Type="http://schemas.openxmlformats.org/officeDocument/2006/relationships/image" Target="../media/image108.emf"/><Relationship Id="rId5" Type="http://schemas.openxmlformats.org/officeDocument/2006/relationships/oleObject" Target="../embeddings/oleObject27.bin"/><Relationship Id="rId15" Type="http://schemas.openxmlformats.org/officeDocument/2006/relationships/oleObject" Target="../embeddings/oleObject32.bin"/><Relationship Id="rId23" Type="http://schemas.openxmlformats.org/officeDocument/2006/relationships/oleObject" Target="../embeddings/oleObject36.bin"/><Relationship Id="rId10" Type="http://schemas.openxmlformats.org/officeDocument/2006/relationships/image" Target="../media/image101.emf"/><Relationship Id="rId19" Type="http://schemas.openxmlformats.org/officeDocument/2006/relationships/oleObject" Target="../embeddings/oleObject34.bin"/><Relationship Id="rId4" Type="http://schemas.openxmlformats.org/officeDocument/2006/relationships/image" Target="../media/image98.emf"/><Relationship Id="rId9" Type="http://schemas.openxmlformats.org/officeDocument/2006/relationships/oleObject" Target="../embeddings/oleObject29.bin"/><Relationship Id="rId14" Type="http://schemas.openxmlformats.org/officeDocument/2006/relationships/image" Target="../media/image103.emf"/><Relationship Id="rId22" Type="http://schemas.openxmlformats.org/officeDocument/2006/relationships/image" Target="../media/image107.emf"/></Relationships>
</file>

<file path=xl/worksheets/_rels/sheet52.xml.rels><?xml version="1.0" encoding="UTF-8" standalone="yes"?>
<Relationships xmlns="http://schemas.openxmlformats.org/package/2006/relationships"><Relationship Id="rId8" Type="http://schemas.openxmlformats.org/officeDocument/2006/relationships/image" Target="../media/image111.emf"/><Relationship Id="rId13" Type="http://schemas.openxmlformats.org/officeDocument/2006/relationships/oleObject" Target="../embeddings/oleObject42.bin"/><Relationship Id="rId18" Type="http://schemas.openxmlformats.org/officeDocument/2006/relationships/image" Target="../media/image116.emf"/><Relationship Id="rId3" Type="http://schemas.openxmlformats.org/officeDocument/2006/relationships/oleObject" Target="../embeddings/oleObject37.bin"/><Relationship Id="rId7" Type="http://schemas.openxmlformats.org/officeDocument/2006/relationships/oleObject" Target="../embeddings/oleObject39.bin"/><Relationship Id="rId12" Type="http://schemas.openxmlformats.org/officeDocument/2006/relationships/image" Target="../media/image113.emf"/><Relationship Id="rId17" Type="http://schemas.openxmlformats.org/officeDocument/2006/relationships/oleObject" Target="../embeddings/oleObject44.bin"/><Relationship Id="rId2" Type="http://schemas.openxmlformats.org/officeDocument/2006/relationships/vmlDrawing" Target="../drawings/vmlDrawing15.vml"/><Relationship Id="rId16" Type="http://schemas.openxmlformats.org/officeDocument/2006/relationships/image" Target="../media/image115.emf"/><Relationship Id="rId1" Type="http://schemas.openxmlformats.org/officeDocument/2006/relationships/drawing" Target="../drawings/drawing52.xml"/><Relationship Id="rId6" Type="http://schemas.openxmlformats.org/officeDocument/2006/relationships/image" Target="../media/image110.emf"/><Relationship Id="rId11" Type="http://schemas.openxmlformats.org/officeDocument/2006/relationships/oleObject" Target="../embeddings/oleObject41.bin"/><Relationship Id="rId5" Type="http://schemas.openxmlformats.org/officeDocument/2006/relationships/oleObject" Target="../embeddings/oleObject38.bin"/><Relationship Id="rId15" Type="http://schemas.openxmlformats.org/officeDocument/2006/relationships/oleObject" Target="../embeddings/oleObject43.bin"/><Relationship Id="rId10" Type="http://schemas.openxmlformats.org/officeDocument/2006/relationships/image" Target="../media/image112.emf"/><Relationship Id="rId4" Type="http://schemas.openxmlformats.org/officeDocument/2006/relationships/image" Target="../media/image109.emf"/><Relationship Id="rId9" Type="http://schemas.openxmlformats.org/officeDocument/2006/relationships/oleObject" Target="../embeddings/oleObject40.bin"/><Relationship Id="rId14" Type="http://schemas.openxmlformats.org/officeDocument/2006/relationships/image" Target="../media/image114.emf"/></Relationships>
</file>

<file path=xl/worksheets/_rels/sheet53.xml.rels><?xml version="1.0" encoding="UTF-8" standalone="yes"?>
<Relationships xmlns="http://schemas.openxmlformats.org/package/2006/relationships"><Relationship Id="rId3" Type="http://schemas.openxmlformats.org/officeDocument/2006/relationships/oleObject" Target="../embeddings/oleObject45.bin"/><Relationship Id="rId2" Type="http://schemas.openxmlformats.org/officeDocument/2006/relationships/vmlDrawing" Target="../drawings/vmlDrawing16.vml"/><Relationship Id="rId1" Type="http://schemas.openxmlformats.org/officeDocument/2006/relationships/drawing" Target="../drawings/drawing53.xml"/><Relationship Id="rId6" Type="http://schemas.openxmlformats.org/officeDocument/2006/relationships/image" Target="../media/image118.emf"/><Relationship Id="rId5" Type="http://schemas.openxmlformats.org/officeDocument/2006/relationships/oleObject" Target="../embeddings/oleObject46.bin"/><Relationship Id="rId4" Type="http://schemas.openxmlformats.org/officeDocument/2006/relationships/image" Target="../media/image117.emf"/></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8" Type="http://schemas.openxmlformats.org/officeDocument/2006/relationships/image" Target="../media/image122.emf"/><Relationship Id="rId3" Type="http://schemas.openxmlformats.org/officeDocument/2006/relationships/oleObject" Target="../embeddings/oleObject47.bin"/><Relationship Id="rId7" Type="http://schemas.openxmlformats.org/officeDocument/2006/relationships/oleObject" Target="../embeddings/oleObject49.bin"/><Relationship Id="rId2" Type="http://schemas.openxmlformats.org/officeDocument/2006/relationships/vmlDrawing" Target="../drawings/vmlDrawing17.vml"/><Relationship Id="rId1" Type="http://schemas.openxmlformats.org/officeDocument/2006/relationships/drawing" Target="../drawings/drawing55.xml"/><Relationship Id="rId6" Type="http://schemas.openxmlformats.org/officeDocument/2006/relationships/image" Target="../media/image121.emf"/><Relationship Id="rId5" Type="http://schemas.openxmlformats.org/officeDocument/2006/relationships/oleObject" Target="../embeddings/oleObject48.bin"/><Relationship Id="rId10" Type="http://schemas.openxmlformats.org/officeDocument/2006/relationships/image" Target="../media/image123.emf"/><Relationship Id="rId4" Type="http://schemas.openxmlformats.org/officeDocument/2006/relationships/image" Target="../media/image120.emf"/><Relationship Id="rId9" Type="http://schemas.openxmlformats.org/officeDocument/2006/relationships/oleObject" Target="../embeddings/oleObject50.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8.vml"/><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9.vml"/><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3" Type="http://schemas.openxmlformats.org/officeDocument/2006/relationships/oleObject" Target="../embeddings/oleObject56.bin"/><Relationship Id="rId18" Type="http://schemas.openxmlformats.org/officeDocument/2006/relationships/oleObject" Target="../embeddings/oleObject60.bin"/><Relationship Id="rId26" Type="http://schemas.openxmlformats.org/officeDocument/2006/relationships/oleObject" Target="../embeddings/oleObject68.bin"/><Relationship Id="rId39" Type="http://schemas.openxmlformats.org/officeDocument/2006/relationships/oleObject" Target="../embeddings/oleObject81.bin"/><Relationship Id="rId21" Type="http://schemas.openxmlformats.org/officeDocument/2006/relationships/oleObject" Target="../embeddings/oleObject63.bin"/><Relationship Id="rId34" Type="http://schemas.openxmlformats.org/officeDocument/2006/relationships/oleObject" Target="../embeddings/oleObject76.bin"/><Relationship Id="rId42" Type="http://schemas.openxmlformats.org/officeDocument/2006/relationships/oleObject" Target="../embeddings/oleObject84.bin"/><Relationship Id="rId47" Type="http://schemas.openxmlformats.org/officeDocument/2006/relationships/oleObject" Target="../embeddings/oleObject89.bin"/><Relationship Id="rId50" Type="http://schemas.openxmlformats.org/officeDocument/2006/relationships/oleObject" Target="../embeddings/oleObject91.bin"/><Relationship Id="rId55" Type="http://schemas.openxmlformats.org/officeDocument/2006/relationships/image" Target="../media/image324.emf"/><Relationship Id="rId7" Type="http://schemas.openxmlformats.org/officeDocument/2006/relationships/oleObject" Target="../embeddings/oleObject53.bin"/><Relationship Id="rId2" Type="http://schemas.openxmlformats.org/officeDocument/2006/relationships/vmlDrawing" Target="../drawings/vmlDrawing20.vml"/><Relationship Id="rId16" Type="http://schemas.openxmlformats.org/officeDocument/2006/relationships/image" Target="../media/image320.wmf"/><Relationship Id="rId29" Type="http://schemas.openxmlformats.org/officeDocument/2006/relationships/oleObject" Target="../embeddings/oleObject71.bin"/><Relationship Id="rId11" Type="http://schemas.openxmlformats.org/officeDocument/2006/relationships/oleObject" Target="../embeddings/oleObject55.bin"/><Relationship Id="rId24" Type="http://schemas.openxmlformats.org/officeDocument/2006/relationships/oleObject" Target="../embeddings/oleObject66.bin"/><Relationship Id="rId32" Type="http://schemas.openxmlformats.org/officeDocument/2006/relationships/oleObject" Target="../embeddings/oleObject74.bin"/><Relationship Id="rId37" Type="http://schemas.openxmlformats.org/officeDocument/2006/relationships/oleObject" Target="../embeddings/oleObject79.bin"/><Relationship Id="rId40" Type="http://schemas.openxmlformats.org/officeDocument/2006/relationships/oleObject" Target="../embeddings/oleObject82.bin"/><Relationship Id="rId45" Type="http://schemas.openxmlformats.org/officeDocument/2006/relationships/oleObject" Target="../embeddings/oleObject87.bin"/><Relationship Id="rId53" Type="http://schemas.openxmlformats.org/officeDocument/2006/relationships/image" Target="../media/image323.emf"/><Relationship Id="rId58" Type="http://schemas.openxmlformats.org/officeDocument/2006/relationships/oleObject" Target="../embeddings/oleObject95.bin"/><Relationship Id="rId5" Type="http://schemas.openxmlformats.org/officeDocument/2006/relationships/oleObject" Target="../embeddings/oleObject52.bin"/><Relationship Id="rId61" Type="http://schemas.openxmlformats.org/officeDocument/2006/relationships/image" Target="../media/image327.emf"/><Relationship Id="rId19" Type="http://schemas.openxmlformats.org/officeDocument/2006/relationships/oleObject" Target="../embeddings/oleObject61.bin"/><Relationship Id="rId14" Type="http://schemas.openxmlformats.org/officeDocument/2006/relationships/oleObject" Target="../embeddings/oleObject57.bin"/><Relationship Id="rId22" Type="http://schemas.openxmlformats.org/officeDocument/2006/relationships/oleObject" Target="../embeddings/oleObject64.bin"/><Relationship Id="rId27" Type="http://schemas.openxmlformats.org/officeDocument/2006/relationships/oleObject" Target="../embeddings/oleObject69.bin"/><Relationship Id="rId30" Type="http://schemas.openxmlformats.org/officeDocument/2006/relationships/oleObject" Target="../embeddings/oleObject72.bin"/><Relationship Id="rId35" Type="http://schemas.openxmlformats.org/officeDocument/2006/relationships/oleObject" Target="../embeddings/oleObject77.bin"/><Relationship Id="rId43" Type="http://schemas.openxmlformats.org/officeDocument/2006/relationships/oleObject" Target="../embeddings/oleObject85.bin"/><Relationship Id="rId48" Type="http://schemas.openxmlformats.org/officeDocument/2006/relationships/oleObject" Target="../embeddings/oleObject90.bin"/><Relationship Id="rId56" Type="http://schemas.openxmlformats.org/officeDocument/2006/relationships/oleObject" Target="../embeddings/oleObject94.bin"/><Relationship Id="rId8" Type="http://schemas.openxmlformats.org/officeDocument/2006/relationships/image" Target="../media/image317.wmf"/><Relationship Id="rId51" Type="http://schemas.openxmlformats.org/officeDocument/2006/relationships/image" Target="../media/image322.wmf"/><Relationship Id="rId3" Type="http://schemas.openxmlformats.org/officeDocument/2006/relationships/oleObject" Target="../embeddings/oleObject51.bin"/><Relationship Id="rId12" Type="http://schemas.openxmlformats.org/officeDocument/2006/relationships/image" Target="../media/image319.wmf"/><Relationship Id="rId17" Type="http://schemas.openxmlformats.org/officeDocument/2006/relationships/oleObject" Target="../embeddings/oleObject59.bin"/><Relationship Id="rId25" Type="http://schemas.openxmlformats.org/officeDocument/2006/relationships/oleObject" Target="../embeddings/oleObject67.bin"/><Relationship Id="rId33" Type="http://schemas.openxmlformats.org/officeDocument/2006/relationships/oleObject" Target="../embeddings/oleObject75.bin"/><Relationship Id="rId38" Type="http://schemas.openxmlformats.org/officeDocument/2006/relationships/oleObject" Target="../embeddings/oleObject80.bin"/><Relationship Id="rId46" Type="http://schemas.openxmlformats.org/officeDocument/2006/relationships/oleObject" Target="../embeddings/oleObject88.bin"/><Relationship Id="rId59" Type="http://schemas.openxmlformats.org/officeDocument/2006/relationships/image" Target="../media/image326.emf"/><Relationship Id="rId20" Type="http://schemas.openxmlformats.org/officeDocument/2006/relationships/oleObject" Target="../embeddings/oleObject62.bin"/><Relationship Id="rId41" Type="http://schemas.openxmlformats.org/officeDocument/2006/relationships/oleObject" Target="../embeddings/oleObject83.bin"/><Relationship Id="rId54" Type="http://schemas.openxmlformats.org/officeDocument/2006/relationships/oleObject" Target="../embeddings/oleObject93.bin"/><Relationship Id="rId1" Type="http://schemas.openxmlformats.org/officeDocument/2006/relationships/drawing" Target="../drawings/drawing111.xml"/><Relationship Id="rId6" Type="http://schemas.openxmlformats.org/officeDocument/2006/relationships/image" Target="../media/image316.wmf"/><Relationship Id="rId15" Type="http://schemas.openxmlformats.org/officeDocument/2006/relationships/oleObject" Target="../embeddings/oleObject58.bin"/><Relationship Id="rId23" Type="http://schemas.openxmlformats.org/officeDocument/2006/relationships/oleObject" Target="../embeddings/oleObject65.bin"/><Relationship Id="rId28" Type="http://schemas.openxmlformats.org/officeDocument/2006/relationships/oleObject" Target="../embeddings/oleObject70.bin"/><Relationship Id="rId36" Type="http://schemas.openxmlformats.org/officeDocument/2006/relationships/oleObject" Target="../embeddings/oleObject78.bin"/><Relationship Id="rId49" Type="http://schemas.openxmlformats.org/officeDocument/2006/relationships/image" Target="../media/image321.emf"/><Relationship Id="rId57" Type="http://schemas.openxmlformats.org/officeDocument/2006/relationships/image" Target="../media/image325.emf"/><Relationship Id="rId10" Type="http://schemas.openxmlformats.org/officeDocument/2006/relationships/image" Target="../media/image318.wmf"/><Relationship Id="rId31" Type="http://schemas.openxmlformats.org/officeDocument/2006/relationships/oleObject" Target="../embeddings/oleObject73.bin"/><Relationship Id="rId44" Type="http://schemas.openxmlformats.org/officeDocument/2006/relationships/oleObject" Target="../embeddings/oleObject86.bin"/><Relationship Id="rId52" Type="http://schemas.openxmlformats.org/officeDocument/2006/relationships/oleObject" Target="../embeddings/oleObject92.bin"/><Relationship Id="rId60" Type="http://schemas.openxmlformats.org/officeDocument/2006/relationships/oleObject" Target="../embeddings/oleObject96.bin"/><Relationship Id="rId4" Type="http://schemas.openxmlformats.org/officeDocument/2006/relationships/image" Target="../media/image315.wmf"/><Relationship Id="rId9" Type="http://schemas.openxmlformats.org/officeDocument/2006/relationships/oleObject" Target="../embeddings/oleObject54.bin"/></Relationships>
</file>

<file path=xl/worksheets/_rels/sheet112.xml.rels><?xml version="1.0" encoding="UTF-8" standalone="yes"?>
<Relationships xmlns="http://schemas.openxmlformats.org/package/2006/relationships"><Relationship Id="rId8" Type="http://schemas.openxmlformats.org/officeDocument/2006/relationships/image" Target="../media/image330.wmf"/><Relationship Id="rId13" Type="http://schemas.openxmlformats.org/officeDocument/2006/relationships/oleObject" Target="../embeddings/oleObject104.bin"/><Relationship Id="rId18" Type="http://schemas.openxmlformats.org/officeDocument/2006/relationships/image" Target="../media/image332.wmf"/><Relationship Id="rId26" Type="http://schemas.openxmlformats.org/officeDocument/2006/relationships/image" Target="../media/image336.wmf"/><Relationship Id="rId3" Type="http://schemas.openxmlformats.org/officeDocument/2006/relationships/oleObject" Target="../embeddings/oleObject97.bin"/><Relationship Id="rId21" Type="http://schemas.openxmlformats.org/officeDocument/2006/relationships/oleObject" Target="../embeddings/oleObject109.bin"/><Relationship Id="rId7" Type="http://schemas.openxmlformats.org/officeDocument/2006/relationships/oleObject" Target="../embeddings/oleObject99.bin"/><Relationship Id="rId12" Type="http://schemas.openxmlformats.org/officeDocument/2006/relationships/oleObject" Target="../embeddings/oleObject103.bin"/><Relationship Id="rId17" Type="http://schemas.openxmlformats.org/officeDocument/2006/relationships/oleObject" Target="../embeddings/oleObject107.bin"/><Relationship Id="rId25" Type="http://schemas.openxmlformats.org/officeDocument/2006/relationships/oleObject" Target="../embeddings/oleObject111.bin"/><Relationship Id="rId2" Type="http://schemas.openxmlformats.org/officeDocument/2006/relationships/vmlDrawing" Target="../drawings/vmlDrawing21.vml"/><Relationship Id="rId16" Type="http://schemas.openxmlformats.org/officeDocument/2006/relationships/image" Target="../media/image331.wmf"/><Relationship Id="rId20" Type="http://schemas.openxmlformats.org/officeDocument/2006/relationships/image" Target="../media/image333.emf"/><Relationship Id="rId1" Type="http://schemas.openxmlformats.org/officeDocument/2006/relationships/drawing" Target="../drawings/drawing112.xml"/><Relationship Id="rId6" Type="http://schemas.openxmlformats.org/officeDocument/2006/relationships/image" Target="../media/image329.wmf"/><Relationship Id="rId11" Type="http://schemas.openxmlformats.org/officeDocument/2006/relationships/oleObject" Target="../embeddings/oleObject102.bin"/><Relationship Id="rId24" Type="http://schemas.openxmlformats.org/officeDocument/2006/relationships/image" Target="../media/image335.wmf"/><Relationship Id="rId5" Type="http://schemas.openxmlformats.org/officeDocument/2006/relationships/oleObject" Target="../embeddings/oleObject98.bin"/><Relationship Id="rId15" Type="http://schemas.openxmlformats.org/officeDocument/2006/relationships/oleObject" Target="../embeddings/oleObject106.bin"/><Relationship Id="rId23" Type="http://schemas.openxmlformats.org/officeDocument/2006/relationships/oleObject" Target="../embeddings/oleObject110.bin"/><Relationship Id="rId28" Type="http://schemas.openxmlformats.org/officeDocument/2006/relationships/image" Target="../media/image337.wmf"/><Relationship Id="rId10" Type="http://schemas.openxmlformats.org/officeDocument/2006/relationships/oleObject" Target="../embeddings/oleObject101.bin"/><Relationship Id="rId19" Type="http://schemas.openxmlformats.org/officeDocument/2006/relationships/oleObject" Target="../embeddings/oleObject108.bin"/><Relationship Id="rId4" Type="http://schemas.openxmlformats.org/officeDocument/2006/relationships/image" Target="../media/image328.wmf"/><Relationship Id="rId9" Type="http://schemas.openxmlformats.org/officeDocument/2006/relationships/oleObject" Target="../embeddings/oleObject100.bin"/><Relationship Id="rId14" Type="http://schemas.openxmlformats.org/officeDocument/2006/relationships/oleObject" Target="../embeddings/oleObject105.bin"/><Relationship Id="rId22" Type="http://schemas.openxmlformats.org/officeDocument/2006/relationships/image" Target="../media/image334.emf"/><Relationship Id="rId27" Type="http://schemas.openxmlformats.org/officeDocument/2006/relationships/oleObject" Target="../embeddings/oleObject112.bin"/></Relationships>
</file>

<file path=xl/worksheets/_rels/sheet113.xml.rels><?xml version="1.0" encoding="UTF-8" standalone="yes"?>
<Relationships xmlns="http://schemas.openxmlformats.org/package/2006/relationships"><Relationship Id="rId13" Type="http://schemas.openxmlformats.org/officeDocument/2006/relationships/image" Target="../media/image342.wmf"/><Relationship Id="rId18" Type="http://schemas.openxmlformats.org/officeDocument/2006/relationships/oleObject" Target="../embeddings/oleObject121.bin"/><Relationship Id="rId26" Type="http://schemas.openxmlformats.org/officeDocument/2006/relationships/oleObject" Target="../embeddings/oleObject125.bin"/><Relationship Id="rId39" Type="http://schemas.openxmlformats.org/officeDocument/2006/relationships/image" Target="../media/image355.emf"/><Relationship Id="rId21" Type="http://schemas.openxmlformats.org/officeDocument/2006/relationships/image" Target="../media/image346.wmf"/><Relationship Id="rId34" Type="http://schemas.openxmlformats.org/officeDocument/2006/relationships/oleObject" Target="../embeddings/oleObject129.bin"/><Relationship Id="rId7" Type="http://schemas.openxmlformats.org/officeDocument/2006/relationships/oleObject" Target="../embeddings/oleObject115.bin"/><Relationship Id="rId2" Type="http://schemas.openxmlformats.org/officeDocument/2006/relationships/vmlDrawing" Target="../drawings/vmlDrawing22.vml"/><Relationship Id="rId16" Type="http://schemas.openxmlformats.org/officeDocument/2006/relationships/oleObject" Target="../embeddings/oleObject120.bin"/><Relationship Id="rId20" Type="http://schemas.openxmlformats.org/officeDocument/2006/relationships/oleObject" Target="../embeddings/oleObject122.bin"/><Relationship Id="rId29" Type="http://schemas.openxmlformats.org/officeDocument/2006/relationships/image" Target="../media/image350.wmf"/><Relationship Id="rId41" Type="http://schemas.openxmlformats.org/officeDocument/2006/relationships/image" Target="../media/image356.emf"/><Relationship Id="rId1" Type="http://schemas.openxmlformats.org/officeDocument/2006/relationships/drawing" Target="../drawings/drawing113.xml"/><Relationship Id="rId6" Type="http://schemas.openxmlformats.org/officeDocument/2006/relationships/image" Target="../media/image339.wmf"/><Relationship Id="rId11" Type="http://schemas.openxmlformats.org/officeDocument/2006/relationships/image" Target="../media/image341.wmf"/><Relationship Id="rId24" Type="http://schemas.openxmlformats.org/officeDocument/2006/relationships/oleObject" Target="../embeddings/oleObject124.bin"/><Relationship Id="rId32" Type="http://schemas.openxmlformats.org/officeDocument/2006/relationships/oleObject" Target="../embeddings/oleObject128.bin"/><Relationship Id="rId37" Type="http://schemas.openxmlformats.org/officeDocument/2006/relationships/image" Target="../media/image354.emf"/><Relationship Id="rId40" Type="http://schemas.openxmlformats.org/officeDocument/2006/relationships/oleObject" Target="../embeddings/oleObject132.bin"/><Relationship Id="rId5" Type="http://schemas.openxmlformats.org/officeDocument/2006/relationships/oleObject" Target="../embeddings/oleObject114.bin"/><Relationship Id="rId15" Type="http://schemas.openxmlformats.org/officeDocument/2006/relationships/image" Target="../media/image343.wmf"/><Relationship Id="rId23" Type="http://schemas.openxmlformats.org/officeDocument/2006/relationships/image" Target="../media/image347.wmf"/><Relationship Id="rId28" Type="http://schemas.openxmlformats.org/officeDocument/2006/relationships/oleObject" Target="../embeddings/oleObject126.bin"/><Relationship Id="rId36" Type="http://schemas.openxmlformats.org/officeDocument/2006/relationships/oleObject" Target="../embeddings/oleObject130.bin"/><Relationship Id="rId10" Type="http://schemas.openxmlformats.org/officeDocument/2006/relationships/oleObject" Target="../embeddings/oleObject117.bin"/><Relationship Id="rId19" Type="http://schemas.openxmlformats.org/officeDocument/2006/relationships/image" Target="../media/image345.wmf"/><Relationship Id="rId31" Type="http://schemas.openxmlformats.org/officeDocument/2006/relationships/image" Target="../media/image351.emf"/><Relationship Id="rId4" Type="http://schemas.openxmlformats.org/officeDocument/2006/relationships/image" Target="../media/image338.wmf"/><Relationship Id="rId9" Type="http://schemas.openxmlformats.org/officeDocument/2006/relationships/oleObject" Target="../embeddings/oleObject116.bin"/><Relationship Id="rId14" Type="http://schemas.openxmlformats.org/officeDocument/2006/relationships/oleObject" Target="../embeddings/oleObject119.bin"/><Relationship Id="rId22" Type="http://schemas.openxmlformats.org/officeDocument/2006/relationships/oleObject" Target="../embeddings/oleObject123.bin"/><Relationship Id="rId27" Type="http://schemas.openxmlformats.org/officeDocument/2006/relationships/image" Target="../media/image349.wmf"/><Relationship Id="rId30" Type="http://schemas.openxmlformats.org/officeDocument/2006/relationships/oleObject" Target="../embeddings/oleObject127.bin"/><Relationship Id="rId35" Type="http://schemas.openxmlformats.org/officeDocument/2006/relationships/image" Target="../media/image353.emf"/><Relationship Id="rId8" Type="http://schemas.openxmlformats.org/officeDocument/2006/relationships/image" Target="../media/image340.wmf"/><Relationship Id="rId3" Type="http://schemas.openxmlformats.org/officeDocument/2006/relationships/oleObject" Target="../embeddings/oleObject113.bin"/><Relationship Id="rId12" Type="http://schemas.openxmlformats.org/officeDocument/2006/relationships/oleObject" Target="../embeddings/oleObject118.bin"/><Relationship Id="rId17" Type="http://schemas.openxmlformats.org/officeDocument/2006/relationships/image" Target="../media/image344.wmf"/><Relationship Id="rId25" Type="http://schemas.openxmlformats.org/officeDocument/2006/relationships/image" Target="../media/image348.wmf"/><Relationship Id="rId33" Type="http://schemas.openxmlformats.org/officeDocument/2006/relationships/image" Target="../media/image352.emf"/><Relationship Id="rId38" Type="http://schemas.openxmlformats.org/officeDocument/2006/relationships/oleObject" Target="../embeddings/oleObject131.bin"/></Relationships>
</file>

<file path=xl/worksheets/_rels/sheet114.xml.rels><?xml version="1.0" encoding="UTF-8" standalone="yes"?>
<Relationships xmlns="http://schemas.openxmlformats.org/package/2006/relationships"><Relationship Id="rId13" Type="http://schemas.openxmlformats.org/officeDocument/2006/relationships/oleObject" Target="../embeddings/oleObject138.bin"/><Relationship Id="rId18" Type="http://schemas.openxmlformats.org/officeDocument/2006/relationships/image" Target="../media/image364.emf"/><Relationship Id="rId26" Type="http://schemas.openxmlformats.org/officeDocument/2006/relationships/image" Target="../media/image368.wmf"/><Relationship Id="rId39" Type="http://schemas.openxmlformats.org/officeDocument/2006/relationships/oleObject" Target="../embeddings/oleObject151.bin"/><Relationship Id="rId21" Type="http://schemas.openxmlformats.org/officeDocument/2006/relationships/oleObject" Target="../embeddings/oleObject142.bin"/><Relationship Id="rId34" Type="http://schemas.openxmlformats.org/officeDocument/2006/relationships/image" Target="../media/image372.wmf"/><Relationship Id="rId42" Type="http://schemas.openxmlformats.org/officeDocument/2006/relationships/image" Target="../media/image376.wmf"/><Relationship Id="rId47" Type="http://schemas.openxmlformats.org/officeDocument/2006/relationships/oleObject" Target="../embeddings/oleObject157.bin"/><Relationship Id="rId50" Type="http://schemas.openxmlformats.org/officeDocument/2006/relationships/oleObject" Target="../embeddings/oleObject160.bin"/><Relationship Id="rId55" Type="http://schemas.openxmlformats.org/officeDocument/2006/relationships/image" Target="../media/image378.wmf"/><Relationship Id="rId63" Type="http://schemas.openxmlformats.org/officeDocument/2006/relationships/image" Target="../media/image382.wmf"/><Relationship Id="rId7" Type="http://schemas.openxmlformats.org/officeDocument/2006/relationships/oleObject" Target="../embeddings/oleObject135.bin"/><Relationship Id="rId2" Type="http://schemas.openxmlformats.org/officeDocument/2006/relationships/vmlDrawing" Target="../drawings/vmlDrawing23.vml"/><Relationship Id="rId16" Type="http://schemas.openxmlformats.org/officeDocument/2006/relationships/image" Target="../media/image363.wmf"/><Relationship Id="rId29" Type="http://schemas.openxmlformats.org/officeDocument/2006/relationships/oleObject" Target="../embeddings/oleObject146.bin"/><Relationship Id="rId11" Type="http://schemas.openxmlformats.org/officeDocument/2006/relationships/oleObject" Target="../embeddings/oleObject137.bin"/><Relationship Id="rId24" Type="http://schemas.openxmlformats.org/officeDocument/2006/relationships/image" Target="../media/image367.wmf"/><Relationship Id="rId32" Type="http://schemas.openxmlformats.org/officeDocument/2006/relationships/image" Target="../media/image371.wmf"/><Relationship Id="rId37" Type="http://schemas.openxmlformats.org/officeDocument/2006/relationships/oleObject" Target="../embeddings/oleObject150.bin"/><Relationship Id="rId40" Type="http://schemas.openxmlformats.org/officeDocument/2006/relationships/image" Target="../media/image375.wmf"/><Relationship Id="rId45" Type="http://schemas.openxmlformats.org/officeDocument/2006/relationships/oleObject" Target="../embeddings/oleObject155.bin"/><Relationship Id="rId53" Type="http://schemas.openxmlformats.org/officeDocument/2006/relationships/image" Target="../media/image377.wmf"/><Relationship Id="rId58" Type="http://schemas.openxmlformats.org/officeDocument/2006/relationships/oleObject" Target="../embeddings/oleObject165.bin"/><Relationship Id="rId5" Type="http://schemas.openxmlformats.org/officeDocument/2006/relationships/oleObject" Target="../embeddings/oleObject134.bin"/><Relationship Id="rId61" Type="http://schemas.openxmlformats.org/officeDocument/2006/relationships/image" Target="../media/image381.wmf"/><Relationship Id="rId19" Type="http://schemas.openxmlformats.org/officeDocument/2006/relationships/oleObject" Target="../embeddings/oleObject141.bin"/><Relationship Id="rId14" Type="http://schemas.openxmlformats.org/officeDocument/2006/relationships/image" Target="../media/image362.wmf"/><Relationship Id="rId22" Type="http://schemas.openxmlformats.org/officeDocument/2006/relationships/image" Target="../media/image366.wmf"/><Relationship Id="rId27" Type="http://schemas.openxmlformats.org/officeDocument/2006/relationships/oleObject" Target="../embeddings/oleObject145.bin"/><Relationship Id="rId30" Type="http://schemas.openxmlformats.org/officeDocument/2006/relationships/image" Target="../media/image370.wmf"/><Relationship Id="rId35" Type="http://schemas.openxmlformats.org/officeDocument/2006/relationships/oleObject" Target="../embeddings/oleObject149.bin"/><Relationship Id="rId43" Type="http://schemas.openxmlformats.org/officeDocument/2006/relationships/oleObject" Target="../embeddings/oleObject153.bin"/><Relationship Id="rId48" Type="http://schemas.openxmlformats.org/officeDocument/2006/relationships/oleObject" Target="../embeddings/oleObject158.bin"/><Relationship Id="rId56" Type="http://schemas.openxmlformats.org/officeDocument/2006/relationships/oleObject" Target="../embeddings/oleObject164.bin"/><Relationship Id="rId8" Type="http://schemas.openxmlformats.org/officeDocument/2006/relationships/image" Target="../media/image359.emf"/><Relationship Id="rId51" Type="http://schemas.openxmlformats.org/officeDocument/2006/relationships/oleObject" Target="../embeddings/oleObject161.bin"/><Relationship Id="rId3" Type="http://schemas.openxmlformats.org/officeDocument/2006/relationships/oleObject" Target="../embeddings/oleObject133.bin"/><Relationship Id="rId12" Type="http://schemas.openxmlformats.org/officeDocument/2006/relationships/image" Target="../media/image361.wmf"/><Relationship Id="rId17" Type="http://schemas.openxmlformats.org/officeDocument/2006/relationships/oleObject" Target="../embeddings/oleObject140.bin"/><Relationship Id="rId25" Type="http://schemas.openxmlformats.org/officeDocument/2006/relationships/oleObject" Target="../embeddings/oleObject144.bin"/><Relationship Id="rId33" Type="http://schemas.openxmlformats.org/officeDocument/2006/relationships/oleObject" Target="../embeddings/oleObject148.bin"/><Relationship Id="rId38" Type="http://schemas.openxmlformats.org/officeDocument/2006/relationships/image" Target="../media/image374.wmf"/><Relationship Id="rId46" Type="http://schemas.openxmlformats.org/officeDocument/2006/relationships/oleObject" Target="../embeddings/oleObject156.bin"/><Relationship Id="rId59" Type="http://schemas.openxmlformats.org/officeDocument/2006/relationships/image" Target="../media/image380.wmf"/><Relationship Id="rId20" Type="http://schemas.openxmlformats.org/officeDocument/2006/relationships/image" Target="../media/image365.emf"/><Relationship Id="rId41" Type="http://schemas.openxmlformats.org/officeDocument/2006/relationships/oleObject" Target="../embeddings/oleObject152.bin"/><Relationship Id="rId54" Type="http://schemas.openxmlformats.org/officeDocument/2006/relationships/oleObject" Target="../embeddings/oleObject163.bin"/><Relationship Id="rId62" Type="http://schemas.openxmlformats.org/officeDocument/2006/relationships/oleObject" Target="../embeddings/oleObject167.bin"/><Relationship Id="rId1" Type="http://schemas.openxmlformats.org/officeDocument/2006/relationships/drawing" Target="../drawings/drawing114.xml"/><Relationship Id="rId6" Type="http://schemas.openxmlformats.org/officeDocument/2006/relationships/image" Target="../media/image358.emf"/><Relationship Id="rId15" Type="http://schemas.openxmlformats.org/officeDocument/2006/relationships/oleObject" Target="../embeddings/oleObject139.bin"/><Relationship Id="rId23" Type="http://schemas.openxmlformats.org/officeDocument/2006/relationships/oleObject" Target="../embeddings/oleObject143.bin"/><Relationship Id="rId28" Type="http://schemas.openxmlformats.org/officeDocument/2006/relationships/image" Target="../media/image369.emf"/><Relationship Id="rId36" Type="http://schemas.openxmlformats.org/officeDocument/2006/relationships/image" Target="../media/image373.wmf"/><Relationship Id="rId49" Type="http://schemas.openxmlformats.org/officeDocument/2006/relationships/oleObject" Target="../embeddings/oleObject159.bin"/><Relationship Id="rId57" Type="http://schemas.openxmlformats.org/officeDocument/2006/relationships/image" Target="../media/image379.wmf"/><Relationship Id="rId10" Type="http://schemas.openxmlformats.org/officeDocument/2006/relationships/image" Target="../media/image360.wmf"/><Relationship Id="rId31" Type="http://schemas.openxmlformats.org/officeDocument/2006/relationships/oleObject" Target="../embeddings/oleObject147.bin"/><Relationship Id="rId44" Type="http://schemas.openxmlformats.org/officeDocument/2006/relationships/oleObject" Target="../embeddings/oleObject154.bin"/><Relationship Id="rId52" Type="http://schemas.openxmlformats.org/officeDocument/2006/relationships/oleObject" Target="../embeddings/oleObject162.bin"/><Relationship Id="rId60" Type="http://schemas.openxmlformats.org/officeDocument/2006/relationships/oleObject" Target="../embeddings/oleObject166.bin"/><Relationship Id="rId4" Type="http://schemas.openxmlformats.org/officeDocument/2006/relationships/image" Target="../media/image357.emf"/><Relationship Id="rId9" Type="http://schemas.openxmlformats.org/officeDocument/2006/relationships/oleObject" Target="../embeddings/oleObject136.bin"/></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bin"/></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24.vml"/><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25.vml"/><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3" Type="http://schemas.openxmlformats.org/officeDocument/2006/relationships/oleObject" Target="../embeddings/oleObject168.bin"/><Relationship Id="rId2" Type="http://schemas.openxmlformats.org/officeDocument/2006/relationships/vmlDrawing" Target="../drawings/vmlDrawing26.vml"/><Relationship Id="rId1" Type="http://schemas.openxmlformats.org/officeDocument/2006/relationships/drawing" Target="../drawings/drawing127.xml"/><Relationship Id="rId4" Type="http://schemas.openxmlformats.org/officeDocument/2006/relationships/image" Target="../media/image391.emf"/></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2.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3.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4.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5.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6.bin"/></Relationships>
</file>

<file path=xl/worksheets/_rels/sheet133.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33.xml"/><Relationship Id="rId1" Type="http://schemas.openxmlformats.org/officeDocument/2006/relationships/printerSettings" Target="../printerSettings/printerSettings7.bin"/><Relationship Id="rId4" Type="http://schemas.openxmlformats.org/officeDocument/2006/relationships/comments" Target="../comments8.xml"/></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4.xml"/><Relationship Id="rId1" Type="http://schemas.openxmlformats.org/officeDocument/2006/relationships/printerSettings" Target="../printerSettings/printerSettings8.bin"/></Relationships>
</file>

<file path=xl/worksheets/_rels/sheet135.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9.bin"/></Relationships>
</file>

<file path=xl/worksheets/_rels/sheet136.xml.rels><?xml version="1.0" encoding="UTF-8" standalone="yes"?>
<Relationships xmlns="http://schemas.openxmlformats.org/package/2006/relationships"><Relationship Id="rId2" Type="http://schemas.openxmlformats.org/officeDocument/2006/relationships/drawing" Target="../drawings/drawing136.xml"/><Relationship Id="rId1" Type="http://schemas.openxmlformats.org/officeDocument/2006/relationships/printerSettings" Target="../printerSettings/printerSettings10.bin"/></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8" Type="http://schemas.openxmlformats.org/officeDocument/2006/relationships/image" Target="../media/image89.wmf"/><Relationship Id="rId3" Type="http://schemas.openxmlformats.org/officeDocument/2006/relationships/oleObject" Target="../embeddings/oleObject169.bin"/><Relationship Id="rId7" Type="http://schemas.openxmlformats.org/officeDocument/2006/relationships/oleObject" Target="../embeddings/oleObject171.bin"/><Relationship Id="rId2" Type="http://schemas.openxmlformats.org/officeDocument/2006/relationships/vmlDrawing" Target="../drawings/vmlDrawing28.vml"/><Relationship Id="rId1" Type="http://schemas.openxmlformats.org/officeDocument/2006/relationships/drawing" Target="../drawings/drawing140.xml"/><Relationship Id="rId6" Type="http://schemas.openxmlformats.org/officeDocument/2006/relationships/image" Target="../media/image88.wmf"/><Relationship Id="rId5" Type="http://schemas.openxmlformats.org/officeDocument/2006/relationships/oleObject" Target="../embeddings/oleObject170.bin"/><Relationship Id="rId10" Type="http://schemas.openxmlformats.org/officeDocument/2006/relationships/image" Target="../media/image90.wmf"/><Relationship Id="rId4" Type="http://schemas.openxmlformats.org/officeDocument/2006/relationships/image" Target="../media/image87.wmf"/><Relationship Id="rId9" Type="http://schemas.openxmlformats.org/officeDocument/2006/relationships/oleObject" Target="../embeddings/oleObject172.bin"/></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3" Type="http://schemas.openxmlformats.org/officeDocument/2006/relationships/oleObject" Target="../embeddings/oleObject173.bin"/><Relationship Id="rId2" Type="http://schemas.openxmlformats.org/officeDocument/2006/relationships/vmlDrawing" Target="../drawings/vmlDrawing29.vml"/><Relationship Id="rId1" Type="http://schemas.openxmlformats.org/officeDocument/2006/relationships/drawing" Target="../drawings/drawing142.xml"/><Relationship Id="rId4" Type="http://schemas.openxmlformats.org/officeDocument/2006/relationships/image" Target="../media/image399.emf"/></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49.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3" Type="http://schemas.openxmlformats.org/officeDocument/2006/relationships/oleObject" Target="../embeddings/oleObject174.bin"/><Relationship Id="rId2" Type="http://schemas.openxmlformats.org/officeDocument/2006/relationships/vmlDrawing" Target="../drawings/vmlDrawing31.vml"/><Relationship Id="rId1" Type="http://schemas.openxmlformats.org/officeDocument/2006/relationships/drawing" Target="../drawings/drawing169.xml"/><Relationship Id="rId4" Type="http://schemas.openxmlformats.org/officeDocument/2006/relationships/image" Target="../media/image45.emf"/></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32.vml"/><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8" Type="http://schemas.openxmlformats.org/officeDocument/2006/relationships/image" Target="../media/image414.emf"/><Relationship Id="rId3" Type="http://schemas.openxmlformats.org/officeDocument/2006/relationships/oleObject" Target="../embeddings/oleObject175.bin"/><Relationship Id="rId7" Type="http://schemas.openxmlformats.org/officeDocument/2006/relationships/oleObject" Target="../embeddings/oleObject177.bin"/><Relationship Id="rId12" Type="http://schemas.openxmlformats.org/officeDocument/2006/relationships/image" Target="../media/image416.emf"/><Relationship Id="rId2" Type="http://schemas.openxmlformats.org/officeDocument/2006/relationships/vmlDrawing" Target="../drawings/vmlDrawing33.vml"/><Relationship Id="rId1" Type="http://schemas.openxmlformats.org/officeDocument/2006/relationships/drawing" Target="../drawings/drawing173.xml"/><Relationship Id="rId6" Type="http://schemas.openxmlformats.org/officeDocument/2006/relationships/image" Target="../media/image413.emf"/><Relationship Id="rId11" Type="http://schemas.openxmlformats.org/officeDocument/2006/relationships/oleObject" Target="../embeddings/oleObject179.bin"/><Relationship Id="rId5" Type="http://schemas.openxmlformats.org/officeDocument/2006/relationships/oleObject" Target="../embeddings/oleObject176.bin"/><Relationship Id="rId10" Type="http://schemas.openxmlformats.org/officeDocument/2006/relationships/image" Target="../media/image415.emf"/><Relationship Id="rId4" Type="http://schemas.openxmlformats.org/officeDocument/2006/relationships/image" Target="../media/image412.emf"/><Relationship Id="rId9" Type="http://schemas.openxmlformats.org/officeDocument/2006/relationships/oleObject" Target="../embeddings/oleObject178.bin"/></Relationships>
</file>

<file path=xl/worksheets/_rels/sheet174.xml.rels><?xml version="1.0" encoding="UTF-8" standalone="yes"?>
<Relationships xmlns="http://schemas.openxmlformats.org/package/2006/relationships"><Relationship Id="rId8" Type="http://schemas.openxmlformats.org/officeDocument/2006/relationships/image" Target="../media/image423.emf"/><Relationship Id="rId13" Type="http://schemas.openxmlformats.org/officeDocument/2006/relationships/oleObject" Target="../embeddings/oleObject185.bin"/><Relationship Id="rId3" Type="http://schemas.openxmlformats.org/officeDocument/2006/relationships/oleObject" Target="../embeddings/oleObject180.bin"/><Relationship Id="rId7" Type="http://schemas.openxmlformats.org/officeDocument/2006/relationships/oleObject" Target="../embeddings/oleObject182.bin"/><Relationship Id="rId12" Type="http://schemas.openxmlformats.org/officeDocument/2006/relationships/image" Target="../media/image425.emf"/><Relationship Id="rId2" Type="http://schemas.openxmlformats.org/officeDocument/2006/relationships/vmlDrawing" Target="../drawings/vmlDrawing34.vml"/><Relationship Id="rId16" Type="http://schemas.openxmlformats.org/officeDocument/2006/relationships/image" Target="../media/image427.emf"/><Relationship Id="rId1" Type="http://schemas.openxmlformats.org/officeDocument/2006/relationships/drawing" Target="../drawings/drawing174.xml"/><Relationship Id="rId6" Type="http://schemas.openxmlformats.org/officeDocument/2006/relationships/image" Target="../media/image422.emf"/><Relationship Id="rId11" Type="http://schemas.openxmlformats.org/officeDocument/2006/relationships/oleObject" Target="../embeddings/oleObject184.bin"/><Relationship Id="rId5" Type="http://schemas.openxmlformats.org/officeDocument/2006/relationships/oleObject" Target="../embeddings/oleObject181.bin"/><Relationship Id="rId15" Type="http://schemas.openxmlformats.org/officeDocument/2006/relationships/oleObject" Target="../embeddings/oleObject186.bin"/><Relationship Id="rId10" Type="http://schemas.openxmlformats.org/officeDocument/2006/relationships/image" Target="../media/image424.emf"/><Relationship Id="rId4" Type="http://schemas.openxmlformats.org/officeDocument/2006/relationships/image" Target="../media/image421.emf"/><Relationship Id="rId9" Type="http://schemas.openxmlformats.org/officeDocument/2006/relationships/oleObject" Target="../embeddings/oleObject183.bin"/><Relationship Id="rId14" Type="http://schemas.openxmlformats.org/officeDocument/2006/relationships/image" Target="../media/image426.emf"/></Relationships>
</file>

<file path=xl/worksheets/_rels/sheet175.xml.rels><?xml version="1.0" encoding="UTF-8" standalone="yes"?>
<Relationships xmlns="http://schemas.openxmlformats.org/package/2006/relationships"><Relationship Id="rId8" Type="http://schemas.openxmlformats.org/officeDocument/2006/relationships/image" Target="../media/image435.emf"/><Relationship Id="rId13" Type="http://schemas.openxmlformats.org/officeDocument/2006/relationships/oleObject" Target="../embeddings/oleObject192.bin"/><Relationship Id="rId18" Type="http://schemas.openxmlformats.org/officeDocument/2006/relationships/image" Target="../media/image440.emf"/><Relationship Id="rId3" Type="http://schemas.openxmlformats.org/officeDocument/2006/relationships/oleObject" Target="../embeddings/oleObject187.bin"/><Relationship Id="rId7" Type="http://schemas.openxmlformats.org/officeDocument/2006/relationships/oleObject" Target="../embeddings/oleObject189.bin"/><Relationship Id="rId12" Type="http://schemas.openxmlformats.org/officeDocument/2006/relationships/image" Target="../media/image437.emf"/><Relationship Id="rId17" Type="http://schemas.openxmlformats.org/officeDocument/2006/relationships/oleObject" Target="../embeddings/oleObject194.bin"/><Relationship Id="rId2" Type="http://schemas.openxmlformats.org/officeDocument/2006/relationships/vmlDrawing" Target="../drawings/vmlDrawing35.vml"/><Relationship Id="rId16" Type="http://schemas.openxmlformats.org/officeDocument/2006/relationships/image" Target="../media/image439.emf"/><Relationship Id="rId20" Type="http://schemas.openxmlformats.org/officeDocument/2006/relationships/image" Target="../media/image441.emf"/><Relationship Id="rId1" Type="http://schemas.openxmlformats.org/officeDocument/2006/relationships/drawing" Target="../drawings/drawing175.xml"/><Relationship Id="rId6" Type="http://schemas.openxmlformats.org/officeDocument/2006/relationships/image" Target="../media/image434.emf"/><Relationship Id="rId11" Type="http://schemas.openxmlformats.org/officeDocument/2006/relationships/oleObject" Target="../embeddings/oleObject191.bin"/><Relationship Id="rId5" Type="http://schemas.openxmlformats.org/officeDocument/2006/relationships/oleObject" Target="../embeddings/oleObject188.bin"/><Relationship Id="rId15" Type="http://schemas.openxmlformats.org/officeDocument/2006/relationships/oleObject" Target="../embeddings/oleObject193.bin"/><Relationship Id="rId10" Type="http://schemas.openxmlformats.org/officeDocument/2006/relationships/image" Target="../media/image436.emf"/><Relationship Id="rId19" Type="http://schemas.openxmlformats.org/officeDocument/2006/relationships/oleObject" Target="../embeddings/oleObject195.bin"/><Relationship Id="rId4" Type="http://schemas.openxmlformats.org/officeDocument/2006/relationships/image" Target="../media/image433.emf"/><Relationship Id="rId9" Type="http://schemas.openxmlformats.org/officeDocument/2006/relationships/oleObject" Target="../embeddings/oleObject190.bin"/><Relationship Id="rId14" Type="http://schemas.openxmlformats.org/officeDocument/2006/relationships/image" Target="../media/image438.emf"/></Relationships>
</file>

<file path=xl/worksheets/_rels/sheet176.xml.rels><?xml version="1.0" encoding="UTF-8" standalone="yes"?>
<Relationships xmlns="http://schemas.openxmlformats.org/package/2006/relationships"><Relationship Id="rId8" Type="http://schemas.openxmlformats.org/officeDocument/2006/relationships/image" Target="../media/image435.emf"/><Relationship Id="rId13" Type="http://schemas.openxmlformats.org/officeDocument/2006/relationships/oleObject" Target="../embeddings/oleObject201.bin"/><Relationship Id="rId3" Type="http://schemas.openxmlformats.org/officeDocument/2006/relationships/oleObject" Target="../embeddings/oleObject196.bin"/><Relationship Id="rId7" Type="http://schemas.openxmlformats.org/officeDocument/2006/relationships/oleObject" Target="../embeddings/oleObject198.bin"/><Relationship Id="rId12" Type="http://schemas.openxmlformats.org/officeDocument/2006/relationships/image" Target="../media/image437.emf"/><Relationship Id="rId2" Type="http://schemas.openxmlformats.org/officeDocument/2006/relationships/vmlDrawing" Target="../drawings/vmlDrawing36.vml"/><Relationship Id="rId1" Type="http://schemas.openxmlformats.org/officeDocument/2006/relationships/drawing" Target="../drawings/drawing176.xml"/><Relationship Id="rId6" Type="http://schemas.openxmlformats.org/officeDocument/2006/relationships/image" Target="../media/image434.emf"/><Relationship Id="rId11" Type="http://schemas.openxmlformats.org/officeDocument/2006/relationships/oleObject" Target="../embeddings/oleObject200.bin"/><Relationship Id="rId5" Type="http://schemas.openxmlformats.org/officeDocument/2006/relationships/oleObject" Target="../embeddings/oleObject197.bin"/><Relationship Id="rId10" Type="http://schemas.openxmlformats.org/officeDocument/2006/relationships/image" Target="../media/image436.emf"/><Relationship Id="rId4" Type="http://schemas.openxmlformats.org/officeDocument/2006/relationships/image" Target="../media/image433.emf"/><Relationship Id="rId9" Type="http://schemas.openxmlformats.org/officeDocument/2006/relationships/oleObject" Target="../embeddings/oleObject199.bin"/><Relationship Id="rId14" Type="http://schemas.openxmlformats.org/officeDocument/2006/relationships/image" Target="../media/image439.emf"/></Relationships>
</file>

<file path=xl/worksheets/_rels/sheet177.xml.rels><?xml version="1.0" encoding="UTF-8" standalone="yes"?>
<Relationships xmlns="http://schemas.openxmlformats.org/package/2006/relationships"><Relationship Id="rId8" Type="http://schemas.openxmlformats.org/officeDocument/2006/relationships/image" Target="../media/image446.emf"/><Relationship Id="rId13" Type="http://schemas.openxmlformats.org/officeDocument/2006/relationships/oleObject" Target="../embeddings/oleObject207.bin"/><Relationship Id="rId18" Type="http://schemas.openxmlformats.org/officeDocument/2006/relationships/image" Target="../media/image451.emf"/><Relationship Id="rId3" Type="http://schemas.openxmlformats.org/officeDocument/2006/relationships/oleObject" Target="../embeddings/oleObject202.bin"/><Relationship Id="rId7" Type="http://schemas.openxmlformats.org/officeDocument/2006/relationships/oleObject" Target="../embeddings/oleObject204.bin"/><Relationship Id="rId12" Type="http://schemas.openxmlformats.org/officeDocument/2006/relationships/image" Target="../media/image448.emf"/><Relationship Id="rId17" Type="http://schemas.openxmlformats.org/officeDocument/2006/relationships/oleObject" Target="../embeddings/oleObject209.bin"/><Relationship Id="rId2" Type="http://schemas.openxmlformats.org/officeDocument/2006/relationships/vmlDrawing" Target="../drawings/vmlDrawing37.vml"/><Relationship Id="rId16" Type="http://schemas.openxmlformats.org/officeDocument/2006/relationships/image" Target="../media/image450.emf"/><Relationship Id="rId1" Type="http://schemas.openxmlformats.org/officeDocument/2006/relationships/drawing" Target="../drawings/drawing177.xml"/><Relationship Id="rId6" Type="http://schemas.openxmlformats.org/officeDocument/2006/relationships/image" Target="../media/image445.emf"/><Relationship Id="rId11" Type="http://schemas.openxmlformats.org/officeDocument/2006/relationships/oleObject" Target="../embeddings/oleObject206.bin"/><Relationship Id="rId5" Type="http://schemas.openxmlformats.org/officeDocument/2006/relationships/oleObject" Target="../embeddings/oleObject203.bin"/><Relationship Id="rId15" Type="http://schemas.openxmlformats.org/officeDocument/2006/relationships/oleObject" Target="../embeddings/oleObject208.bin"/><Relationship Id="rId10" Type="http://schemas.openxmlformats.org/officeDocument/2006/relationships/image" Target="../media/image447.emf"/><Relationship Id="rId4" Type="http://schemas.openxmlformats.org/officeDocument/2006/relationships/image" Target="../media/image439.emf"/><Relationship Id="rId9" Type="http://schemas.openxmlformats.org/officeDocument/2006/relationships/oleObject" Target="../embeddings/oleObject205.bin"/><Relationship Id="rId14" Type="http://schemas.openxmlformats.org/officeDocument/2006/relationships/image" Target="../media/image449.emf"/></Relationships>
</file>

<file path=xl/worksheets/_rels/sheet178.xml.rels><?xml version="1.0" encoding="UTF-8" standalone="yes"?>
<Relationships xmlns="http://schemas.openxmlformats.org/package/2006/relationships"><Relationship Id="rId3" Type="http://schemas.openxmlformats.org/officeDocument/2006/relationships/oleObject" Target="../embeddings/oleObject210.bin"/><Relationship Id="rId2" Type="http://schemas.openxmlformats.org/officeDocument/2006/relationships/vmlDrawing" Target="../drawings/vmlDrawing38.vml"/><Relationship Id="rId1" Type="http://schemas.openxmlformats.org/officeDocument/2006/relationships/drawing" Target="../drawings/drawing178.xml"/><Relationship Id="rId6" Type="http://schemas.openxmlformats.org/officeDocument/2006/relationships/image" Target="../media/image455.emf"/><Relationship Id="rId5" Type="http://schemas.openxmlformats.org/officeDocument/2006/relationships/oleObject" Target="../embeddings/oleObject211.bin"/><Relationship Id="rId4" Type="http://schemas.openxmlformats.org/officeDocument/2006/relationships/image" Target="../media/image454.emf"/></Relationships>
</file>

<file path=xl/worksheets/_rels/sheet179.xml.rels><?xml version="1.0" encoding="UTF-8" standalone="yes"?>
<Relationships xmlns="http://schemas.openxmlformats.org/package/2006/relationships"><Relationship Id="rId3" Type="http://schemas.openxmlformats.org/officeDocument/2006/relationships/oleObject" Target="../embeddings/oleObject212.bin"/><Relationship Id="rId2" Type="http://schemas.openxmlformats.org/officeDocument/2006/relationships/vmlDrawing" Target="../drawings/vmlDrawing39.vml"/><Relationship Id="rId1" Type="http://schemas.openxmlformats.org/officeDocument/2006/relationships/drawing" Target="../drawings/drawing179.xml"/><Relationship Id="rId4" Type="http://schemas.openxmlformats.org/officeDocument/2006/relationships/image" Target="../media/image456.emf"/></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1" Type="http://schemas.openxmlformats.org/officeDocument/2006/relationships/drawing" Target="../drawings/drawing186.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B050"/>
  </sheetPr>
  <dimension ref="A1:M44"/>
  <sheetViews>
    <sheetView tabSelected="1" zoomScale="85" zoomScaleNormal="85" workbookViewId="0">
      <selection sqref="A1:H1"/>
    </sheetView>
  </sheetViews>
  <sheetFormatPr defaultColWidth="9" defaultRowHeight="27" customHeight="1"/>
  <cols>
    <col min="1" max="1" width="6.125" customWidth="1"/>
    <col min="2" max="2" width="24.125" customWidth="1"/>
    <col min="3" max="3" width="16.625" customWidth="1"/>
    <col min="4" max="4" width="31.75" customWidth="1"/>
    <col min="5" max="5" width="18" customWidth="1"/>
    <col min="6" max="6" width="33" customWidth="1"/>
    <col min="7" max="7" width="28.125" customWidth="1"/>
    <col min="8" max="8" width="29.25" customWidth="1"/>
  </cols>
  <sheetData>
    <row r="1" spans="1:13" ht="33" customHeight="1">
      <c r="A1" s="4286" t="s">
        <v>15326</v>
      </c>
      <c r="B1" s="4287"/>
      <c r="C1" s="4287"/>
      <c r="D1" s="4287"/>
      <c r="E1" s="4287"/>
      <c r="F1" s="4287"/>
      <c r="G1" s="4287"/>
      <c r="H1" s="4287"/>
    </row>
    <row r="2" spans="1:13" ht="27" customHeight="1">
      <c r="A2" s="4215" t="s">
        <v>0</v>
      </c>
      <c r="B2" s="4216" t="s">
        <v>1</v>
      </c>
      <c r="C2" s="4216" t="s">
        <v>2</v>
      </c>
      <c r="D2" s="4216" t="s">
        <v>3</v>
      </c>
      <c r="E2" s="4216" t="s">
        <v>4</v>
      </c>
      <c r="F2" s="4216" t="s">
        <v>5</v>
      </c>
      <c r="G2" s="4216" t="s">
        <v>6</v>
      </c>
      <c r="H2" s="4217" t="s">
        <v>7</v>
      </c>
      <c r="I2" s="4261"/>
      <c r="J2" s="4261"/>
      <c r="K2" s="4261"/>
      <c r="L2" s="4261"/>
      <c r="M2" s="4261"/>
    </row>
    <row r="3" spans="1:13" ht="24" customHeight="1">
      <c r="A3" s="4288" t="s">
        <v>8</v>
      </c>
      <c r="B3" s="4218" t="s">
        <v>9</v>
      </c>
      <c r="C3" s="4218" t="s">
        <v>10</v>
      </c>
      <c r="D3" s="4218" t="s">
        <v>11</v>
      </c>
      <c r="E3" s="4218" t="s">
        <v>12</v>
      </c>
      <c r="F3" s="4218" t="s">
        <v>13</v>
      </c>
      <c r="G3" s="4218" t="s">
        <v>14</v>
      </c>
      <c r="H3" s="4219" t="s">
        <v>15</v>
      </c>
    </row>
    <row r="4" spans="1:13" ht="24" customHeight="1">
      <c r="A4" s="4289"/>
      <c r="B4" s="4220" t="s">
        <v>16</v>
      </c>
      <c r="C4" s="4221" t="s">
        <v>17</v>
      </c>
      <c r="D4" s="4221" t="s">
        <v>18</v>
      </c>
      <c r="E4" s="4220" t="s">
        <v>19</v>
      </c>
      <c r="F4" s="4220" t="s">
        <v>20</v>
      </c>
      <c r="G4" s="4220" t="s">
        <v>21</v>
      </c>
      <c r="H4" s="4222" t="s">
        <v>22</v>
      </c>
    </row>
    <row r="5" spans="1:13" ht="24" customHeight="1">
      <c r="A5" s="4289"/>
      <c r="B5" s="4220" t="s">
        <v>23</v>
      </c>
      <c r="C5" s="4220" t="s">
        <v>24</v>
      </c>
      <c r="D5" s="4220" t="s">
        <v>25</v>
      </c>
      <c r="E5" s="4220" t="s">
        <v>26</v>
      </c>
      <c r="F5" s="4221" t="s">
        <v>27</v>
      </c>
      <c r="G5" s="4221" t="s">
        <v>28</v>
      </c>
      <c r="H5" s="4223" t="s">
        <v>29</v>
      </c>
    </row>
    <row r="6" spans="1:13" ht="24" customHeight="1">
      <c r="A6" s="4289"/>
      <c r="B6" s="4220" t="s">
        <v>30</v>
      </c>
      <c r="C6" s="4221" t="s">
        <v>31</v>
      </c>
      <c r="D6" s="4221" t="s">
        <v>32</v>
      </c>
      <c r="E6" s="4221"/>
      <c r="F6" s="4220" t="s">
        <v>33</v>
      </c>
      <c r="G6" s="4221" t="s">
        <v>34</v>
      </c>
    </row>
    <row r="7" spans="1:13" ht="24" customHeight="1">
      <c r="A7" s="4289"/>
      <c r="B7" s="4220" t="s">
        <v>35</v>
      </c>
      <c r="C7" s="4220" t="s">
        <v>36</v>
      </c>
      <c r="D7" s="4221" t="s">
        <v>37</v>
      </c>
      <c r="E7" s="4221"/>
      <c r="F7" s="4221" t="s">
        <v>38</v>
      </c>
      <c r="G7" s="4220" t="s">
        <v>39</v>
      </c>
      <c r="H7" s="4223"/>
    </row>
    <row r="8" spans="1:13" ht="24" customHeight="1">
      <c r="A8" s="4289"/>
      <c r="B8" s="4220" t="s">
        <v>40</v>
      </c>
      <c r="C8" s="4220" t="s">
        <v>41</v>
      </c>
      <c r="D8" s="4221" t="s">
        <v>42</v>
      </c>
      <c r="E8" s="4221"/>
      <c r="F8" s="4221" t="s">
        <v>43</v>
      </c>
      <c r="G8" s="4221" t="s">
        <v>44</v>
      </c>
      <c r="H8" s="4223"/>
    </row>
    <row r="9" spans="1:13" ht="24" customHeight="1">
      <c r="A9" s="4289"/>
      <c r="B9" s="4224" t="s">
        <v>45</v>
      </c>
      <c r="C9" s="4220" t="s">
        <v>46</v>
      </c>
      <c r="D9" s="4221" t="s">
        <v>47</v>
      </c>
      <c r="E9" s="4221"/>
      <c r="F9" s="4220" t="s">
        <v>48</v>
      </c>
      <c r="G9" s="4221" t="s">
        <v>49</v>
      </c>
      <c r="H9" s="4223"/>
    </row>
    <row r="10" spans="1:13" ht="24" customHeight="1">
      <c r="A10" s="4289"/>
      <c r="B10" s="4221" t="s">
        <v>50</v>
      </c>
      <c r="C10" s="4221" t="s">
        <v>51</v>
      </c>
      <c r="D10" s="4221" t="s">
        <v>52</v>
      </c>
      <c r="E10" s="4221"/>
      <c r="F10" s="4220" t="s">
        <v>53</v>
      </c>
      <c r="G10" s="4221" t="s">
        <v>54</v>
      </c>
      <c r="H10" s="4223"/>
    </row>
    <row r="11" spans="1:13" ht="24" customHeight="1">
      <c r="A11" s="4289"/>
      <c r="B11" s="4221" t="s">
        <v>55</v>
      </c>
      <c r="C11" s="4221"/>
      <c r="D11" s="4221" t="s">
        <v>56</v>
      </c>
      <c r="E11" s="4221"/>
      <c r="F11" s="4221" t="s">
        <v>57</v>
      </c>
      <c r="G11" s="4221" t="s">
        <v>58</v>
      </c>
      <c r="H11" s="4223"/>
    </row>
    <row r="12" spans="1:13" ht="24" customHeight="1">
      <c r="A12" s="4290"/>
      <c r="B12" s="4225" t="s">
        <v>59</v>
      </c>
      <c r="C12" s="4225"/>
      <c r="D12" s="4225" t="s">
        <v>60</v>
      </c>
      <c r="E12" s="4225"/>
      <c r="F12" s="4225"/>
      <c r="G12" s="4225"/>
      <c r="H12" s="4226"/>
    </row>
    <row r="13" spans="1:13" ht="5.0999999999999996" customHeight="1">
      <c r="A13" s="4227"/>
      <c r="B13" s="922"/>
      <c r="C13" s="922"/>
      <c r="D13" s="922"/>
      <c r="E13" s="922"/>
      <c r="F13" s="922"/>
      <c r="G13" s="4228"/>
      <c r="H13" s="922"/>
    </row>
    <row r="14" spans="1:13" ht="27" customHeight="1">
      <c r="A14" s="4229" t="s">
        <v>0</v>
      </c>
      <c r="B14" s="4230" t="s">
        <v>61</v>
      </c>
      <c r="C14" s="4231" t="s">
        <v>62</v>
      </c>
      <c r="D14" s="4231" t="s">
        <v>63</v>
      </c>
      <c r="E14" s="4231" t="s">
        <v>64</v>
      </c>
      <c r="F14" s="4231" t="s">
        <v>65</v>
      </c>
      <c r="G14" s="4231" t="s">
        <v>66</v>
      </c>
      <c r="H14" s="4232" t="s">
        <v>67</v>
      </c>
    </row>
    <row r="15" spans="1:13" ht="23.1" customHeight="1">
      <c r="A15" s="4291" t="s">
        <v>8</v>
      </c>
      <c r="B15" s="4233" t="s">
        <v>68</v>
      </c>
      <c r="C15" s="4234" t="s">
        <v>69</v>
      </c>
      <c r="D15" s="4234" t="s">
        <v>70</v>
      </c>
      <c r="E15" s="4220" t="s">
        <v>71</v>
      </c>
      <c r="F15" s="4235" t="s">
        <v>72</v>
      </c>
      <c r="G15" s="4235" t="s">
        <v>73</v>
      </c>
      <c r="H15" s="4236" t="s">
        <v>74</v>
      </c>
    </row>
    <row r="16" spans="1:13" ht="23.1" customHeight="1">
      <c r="A16" s="4291"/>
      <c r="B16" s="4237" t="s">
        <v>75</v>
      </c>
      <c r="C16" s="4220" t="s">
        <v>76</v>
      </c>
      <c r="D16" s="4221" t="s">
        <v>77</v>
      </c>
      <c r="E16" s="4220" t="s">
        <v>78</v>
      </c>
      <c r="F16" s="4221" t="s">
        <v>79</v>
      </c>
      <c r="G16" s="4220" t="s">
        <v>80</v>
      </c>
      <c r="H16" s="4223" t="s">
        <v>81</v>
      </c>
    </row>
    <row r="17" spans="1:10" ht="23.1" customHeight="1">
      <c r="A17" s="4291"/>
      <c r="B17" s="4238" t="s">
        <v>82</v>
      </c>
      <c r="C17" s="4221" t="s">
        <v>83</v>
      </c>
      <c r="D17" s="4220" t="s">
        <v>84</v>
      </c>
      <c r="E17" s="4220" t="s">
        <v>85</v>
      </c>
      <c r="F17" s="4221" t="s">
        <v>86</v>
      </c>
      <c r="G17" s="4221" t="s">
        <v>87</v>
      </c>
      <c r="H17" s="4223" t="s">
        <v>88</v>
      </c>
    </row>
    <row r="18" spans="1:10" ht="23.1" customHeight="1">
      <c r="A18" s="4291"/>
      <c r="B18" s="4237" t="s">
        <v>89</v>
      </c>
      <c r="C18" s="4221" t="s">
        <v>90</v>
      </c>
      <c r="D18" s="4221" t="s">
        <v>91</v>
      </c>
      <c r="E18" s="4220" t="s">
        <v>92</v>
      </c>
      <c r="F18" s="4221" t="s">
        <v>93</v>
      </c>
      <c r="G18" s="4220" t="s">
        <v>94</v>
      </c>
      <c r="H18" s="4223" t="s">
        <v>95</v>
      </c>
    </row>
    <row r="19" spans="1:10" ht="23.1" customHeight="1">
      <c r="A19" s="4291"/>
      <c r="B19" s="4239"/>
      <c r="C19" s="4221" t="s">
        <v>96</v>
      </c>
      <c r="D19" s="4221" t="s">
        <v>97</v>
      </c>
      <c r="E19" s="4220" t="s">
        <v>98</v>
      </c>
      <c r="F19" s="4221" t="s">
        <v>99</v>
      </c>
      <c r="G19" s="4220" t="s">
        <v>100</v>
      </c>
      <c r="H19" s="4240" t="s">
        <v>101</v>
      </c>
    </row>
    <row r="20" spans="1:10" ht="23.1" customHeight="1">
      <c r="A20" s="4291"/>
      <c r="B20" s="4239"/>
      <c r="C20" s="4241"/>
      <c r="D20" s="4220" t="s">
        <v>102</v>
      </c>
      <c r="E20" s="4220" t="s">
        <v>103</v>
      </c>
      <c r="F20" s="4242"/>
      <c r="G20" s="4220" t="s">
        <v>104</v>
      </c>
      <c r="H20" s="4240" t="s">
        <v>105</v>
      </c>
    </row>
    <row r="21" spans="1:10" ht="23.1" customHeight="1">
      <c r="A21" s="4291"/>
      <c r="B21" s="4239"/>
      <c r="C21" s="4241"/>
      <c r="D21" s="4221" t="s">
        <v>106</v>
      </c>
      <c r="E21" s="4220" t="s">
        <v>107</v>
      </c>
      <c r="F21" s="4241"/>
      <c r="G21" s="4220" t="s">
        <v>108</v>
      </c>
      <c r="H21" s="4240" t="s">
        <v>109</v>
      </c>
    </row>
    <row r="22" spans="1:10" ht="23.1" customHeight="1">
      <c r="A22" s="4292"/>
      <c r="B22" s="4243"/>
      <c r="C22" s="4241"/>
      <c r="D22" s="4221" t="s">
        <v>110</v>
      </c>
      <c r="E22" s="4221" t="s">
        <v>111</v>
      </c>
      <c r="F22" s="4241"/>
      <c r="G22" s="4221" t="s">
        <v>112</v>
      </c>
      <c r="H22" s="1060"/>
    </row>
    <row r="23" spans="1:10" ht="23.1" customHeight="1">
      <c r="A23" s="4293"/>
      <c r="B23" s="4244"/>
      <c r="C23" s="4225"/>
      <c r="D23" s="4225"/>
      <c r="E23" s="4225" t="s">
        <v>113</v>
      </c>
      <c r="F23" s="4245"/>
      <c r="G23" s="4225" t="s">
        <v>114</v>
      </c>
      <c r="H23" s="4226"/>
    </row>
    <row r="24" spans="1:10" s="684" customFormat="1" ht="9" customHeight="1">
      <c r="A24" s="4246"/>
      <c r="B24" s="619"/>
      <c r="C24" s="619"/>
      <c r="D24" s="619"/>
      <c r="E24" s="619"/>
      <c r="F24" s="619"/>
      <c r="G24" s="619"/>
      <c r="H24" s="619"/>
    </row>
    <row r="25" spans="1:10" ht="27" customHeight="1">
      <c r="A25" s="4247" t="s">
        <v>0</v>
      </c>
      <c r="B25" s="4248" t="s">
        <v>115</v>
      </c>
      <c r="C25" s="4249" t="s">
        <v>116</v>
      </c>
      <c r="D25" s="4249" t="s">
        <v>117</v>
      </c>
      <c r="E25" s="4249" t="s">
        <v>118</v>
      </c>
      <c r="F25" s="4249" t="s">
        <v>119</v>
      </c>
      <c r="G25" s="4249" t="s">
        <v>120</v>
      </c>
      <c r="H25" s="4250" t="s">
        <v>121</v>
      </c>
    </row>
    <row r="26" spans="1:10" ht="24" customHeight="1">
      <c r="A26" s="4294" t="s">
        <v>8</v>
      </c>
      <c r="B26" s="4251" t="s">
        <v>122</v>
      </c>
      <c r="C26" s="4252" t="s">
        <v>123</v>
      </c>
      <c r="D26" s="4252" t="s">
        <v>124</v>
      </c>
      <c r="E26" s="4252" t="s">
        <v>125</v>
      </c>
      <c r="F26" s="4252" t="s">
        <v>126</v>
      </c>
      <c r="G26" s="4252" t="s">
        <v>127</v>
      </c>
      <c r="H26" s="4253" t="s">
        <v>128</v>
      </c>
    </row>
    <row r="27" spans="1:10" ht="24" customHeight="1">
      <c r="A27" s="4294"/>
      <c r="B27" s="4237" t="s">
        <v>129</v>
      </c>
      <c r="C27" s="4221" t="s">
        <v>130</v>
      </c>
      <c r="D27" s="4221" t="s">
        <v>131</v>
      </c>
      <c r="E27" s="4221" t="s">
        <v>132</v>
      </c>
      <c r="F27" s="4221" t="s">
        <v>133</v>
      </c>
      <c r="G27" s="4220" t="s">
        <v>134</v>
      </c>
      <c r="H27" s="4223" t="s">
        <v>135</v>
      </c>
      <c r="J27" s="4262"/>
    </row>
    <row r="28" spans="1:10" ht="24" customHeight="1">
      <c r="A28" s="4294"/>
      <c r="B28" s="4237" t="s">
        <v>136</v>
      </c>
      <c r="C28" s="4221" t="s">
        <v>137</v>
      </c>
      <c r="D28" s="4221" t="s">
        <v>138</v>
      </c>
      <c r="E28" s="4220" t="s">
        <v>139</v>
      </c>
      <c r="F28" s="4221" t="s">
        <v>140</v>
      </c>
      <c r="G28" s="4220" t="s">
        <v>141</v>
      </c>
      <c r="H28" s="4223" t="s">
        <v>142</v>
      </c>
    </row>
    <row r="29" spans="1:10" ht="24" customHeight="1">
      <c r="A29" s="4294"/>
      <c r="B29" s="4237" t="s">
        <v>143</v>
      </c>
      <c r="C29" s="4221" t="s">
        <v>144</v>
      </c>
      <c r="D29" s="4221" t="s">
        <v>145</v>
      </c>
      <c r="E29" s="4220" t="s">
        <v>146</v>
      </c>
      <c r="F29" s="4221" t="s">
        <v>147</v>
      </c>
      <c r="G29" s="4220" t="s">
        <v>148</v>
      </c>
      <c r="H29" s="4223" t="s">
        <v>149</v>
      </c>
    </row>
    <row r="30" spans="1:10" ht="24" customHeight="1">
      <c r="A30" s="4294"/>
      <c r="B30" s="4237"/>
      <c r="C30" s="4221"/>
      <c r="D30" s="4221" t="s">
        <v>150</v>
      </c>
      <c r="E30" s="4221" t="s">
        <v>151</v>
      </c>
      <c r="F30" s="4221" t="s">
        <v>152</v>
      </c>
      <c r="G30" s="4221" t="s">
        <v>153</v>
      </c>
      <c r="H30" s="4223"/>
    </row>
    <row r="31" spans="1:10" ht="24" customHeight="1">
      <c r="A31" s="4294"/>
      <c r="B31" s="4237"/>
      <c r="C31" s="4221"/>
      <c r="D31" s="4221" t="s">
        <v>154</v>
      </c>
      <c r="E31" s="4220"/>
      <c r="F31" s="4221" t="s">
        <v>155</v>
      </c>
      <c r="G31" s="4221"/>
      <c r="H31" s="4223"/>
    </row>
    <row r="32" spans="1:10" ht="24" customHeight="1">
      <c r="A32" s="4294"/>
      <c r="B32" s="4237"/>
      <c r="C32" s="4221"/>
      <c r="D32" s="4221" t="s">
        <v>156</v>
      </c>
      <c r="E32" s="4220"/>
      <c r="F32" s="4221"/>
      <c r="G32" s="4221"/>
      <c r="H32" s="4223"/>
    </row>
    <row r="33" spans="1:9" ht="24" customHeight="1">
      <c r="A33" s="4294"/>
      <c r="B33" s="4244"/>
      <c r="C33" s="4245"/>
      <c r="D33" s="4225" t="s">
        <v>157</v>
      </c>
      <c r="E33" s="4225"/>
      <c r="F33" s="4225"/>
      <c r="G33" s="4225"/>
      <c r="H33" s="4226"/>
    </row>
    <row r="34" spans="1:9" s="62" customFormat="1" ht="9" customHeight="1">
      <c r="A34" s="4254"/>
      <c r="B34" s="922"/>
      <c r="C34" s="2492"/>
      <c r="D34" s="922"/>
      <c r="E34" s="4255"/>
      <c r="F34" s="4256"/>
      <c r="G34" s="922"/>
      <c r="H34" s="922"/>
    </row>
    <row r="35" spans="1:9" s="62" customFormat="1" ht="27" customHeight="1">
      <c r="A35" s="4247" t="s">
        <v>0</v>
      </c>
      <c r="B35" s="4249" t="s">
        <v>158</v>
      </c>
      <c r="C35" s="4249" t="s">
        <v>159</v>
      </c>
      <c r="D35" s="4249" t="s">
        <v>160</v>
      </c>
      <c r="E35" s="4249" t="s">
        <v>161</v>
      </c>
      <c r="F35" s="4249" t="s">
        <v>5</v>
      </c>
      <c r="G35" s="4249" t="s">
        <v>162</v>
      </c>
      <c r="H35" s="4257" t="s">
        <v>163</v>
      </c>
      <c r="I35"/>
    </row>
    <row r="36" spans="1:9" ht="23.1" customHeight="1">
      <c r="A36" s="4295" t="s">
        <v>8</v>
      </c>
      <c r="B36" s="4258" t="s">
        <v>164</v>
      </c>
      <c r="C36" s="4235" t="s">
        <v>165</v>
      </c>
      <c r="D36" s="4235" t="s">
        <v>166</v>
      </c>
      <c r="E36" s="4234" t="s">
        <v>167</v>
      </c>
      <c r="F36" s="4235" t="s">
        <v>168</v>
      </c>
      <c r="G36" s="4235" t="s">
        <v>169</v>
      </c>
      <c r="H36" s="4236" t="s">
        <v>170</v>
      </c>
    </row>
    <row r="37" spans="1:9" ht="23.1" customHeight="1">
      <c r="A37" s="4295"/>
      <c r="B37" s="4221" t="s">
        <v>171</v>
      </c>
      <c r="C37" s="4221" t="s">
        <v>172</v>
      </c>
      <c r="D37" s="4221" t="s">
        <v>173</v>
      </c>
      <c r="E37" s="4221" t="s">
        <v>174</v>
      </c>
      <c r="F37" s="4221" t="s">
        <v>175</v>
      </c>
      <c r="G37" s="4221"/>
      <c r="H37" s="4223" t="s">
        <v>176</v>
      </c>
    </row>
    <row r="38" spans="1:9" ht="23.1" customHeight="1">
      <c r="A38" s="4295"/>
      <c r="B38" s="4221" t="s">
        <v>177</v>
      </c>
      <c r="C38" s="4221" t="s">
        <v>178</v>
      </c>
      <c r="D38" s="4221" t="s">
        <v>179</v>
      </c>
      <c r="E38" s="4221" t="s">
        <v>180</v>
      </c>
      <c r="F38" s="4221" t="s">
        <v>181</v>
      </c>
      <c r="G38" s="4221"/>
      <c r="H38" s="4223" t="s">
        <v>182</v>
      </c>
    </row>
    <row r="39" spans="1:9" ht="23.1" customHeight="1">
      <c r="A39" s="4295"/>
      <c r="B39" s="4221" t="s">
        <v>183</v>
      </c>
      <c r="C39" s="4221" t="s">
        <v>184</v>
      </c>
      <c r="D39" s="4221" t="s">
        <v>185</v>
      </c>
      <c r="E39" s="4221" t="s">
        <v>186</v>
      </c>
      <c r="F39" s="4221" t="s">
        <v>187</v>
      </c>
      <c r="G39" s="4221"/>
      <c r="H39" s="4223" t="s">
        <v>188</v>
      </c>
    </row>
    <row r="40" spans="1:9" ht="23.1" customHeight="1">
      <c r="A40" s="4295"/>
      <c r="B40" s="4221" t="s">
        <v>189</v>
      </c>
      <c r="C40" s="4220" t="s">
        <v>190</v>
      </c>
      <c r="D40" s="4221" t="s">
        <v>191</v>
      </c>
      <c r="E40" s="4221" t="s">
        <v>192</v>
      </c>
      <c r="F40" s="4221" t="s">
        <v>193</v>
      </c>
      <c r="G40" s="4221"/>
      <c r="H40" s="4223" t="s">
        <v>194</v>
      </c>
    </row>
    <row r="41" spans="1:9" ht="23.1" customHeight="1">
      <c r="A41" s="4295"/>
      <c r="B41" s="4221" t="s">
        <v>195</v>
      </c>
      <c r="C41" s="4221" t="s">
        <v>196</v>
      </c>
      <c r="D41" s="4221" t="s">
        <v>197</v>
      </c>
      <c r="E41" s="4220" t="s">
        <v>198</v>
      </c>
      <c r="F41" s="4221" t="s">
        <v>199</v>
      </c>
      <c r="G41" s="4221"/>
      <c r="H41" s="4223"/>
    </row>
    <row r="42" spans="1:9" ht="23.1" customHeight="1">
      <c r="A42" s="4295"/>
      <c r="B42" s="4221"/>
      <c r="C42" s="4221" t="s">
        <v>200</v>
      </c>
      <c r="D42" s="4221" t="s">
        <v>201</v>
      </c>
      <c r="E42" s="4220" t="s">
        <v>202</v>
      </c>
      <c r="F42" s="4221"/>
      <c r="G42" s="4221"/>
      <c r="H42" s="4223"/>
    </row>
    <row r="43" spans="1:9" ht="23.1" customHeight="1">
      <c r="A43" s="4295"/>
      <c r="B43" s="4221"/>
      <c r="C43" s="4221" t="s">
        <v>203</v>
      </c>
      <c r="D43" s="4221" t="s">
        <v>204</v>
      </c>
      <c r="E43" s="4221"/>
      <c r="F43" s="4221"/>
      <c r="G43" s="4221"/>
      <c r="H43" s="4223"/>
    </row>
    <row r="44" spans="1:9" ht="23.1" customHeight="1">
      <c r="A44" s="4296"/>
      <c r="B44" s="4259"/>
      <c r="C44" s="4259" t="s">
        <v>205</v>
      </c>
      <c r="D44" s="4259" t="s">
        <v>206</v>
      </c>
      <c r="E44" s="4259"/>
      <c r="F44" s="4259"/>
      <c r="G44" s="4259"/>
      <c r="H44" s="4260"/>
    </row>
  </sheetData>
  <sheetProtection sheet="1" formatCells="0" formatColumns="0" formatRows="0" insertColumns="0" insertRows="0" insertHyperlinks="0" deleteColumns="0" deleteRows="0" sort="0" autoFilter="0" pivotTables="0"/>
  <mergeCells count="5">
    <mergeCell ref="A1:H1"/>
    <mergeCell ref="A3:A12"/>
    <mergeCell ref="A15:A23"/>
    <mergeCell ref="A26:A33"/>
    <mergeCell ref="A36:A44"/>
  </mergeCells>
  <phoneticPr fontId="214" type="noConversion"/>
  <conditionalFormatting sqref="E33:G33">
    <cfRule type="expression" dxfId="7" priority="1">
      <formula>MOD(ROW(),2)</formula>
    </cfRule>
  </conditionalFormatting>
  <conditionalFormatting sqref="B37:B44 B15:H24 B3:G13 H7:H13 H3:H5 B26:D33 H26:H33 E26:G32 C36:H44">
    <cfRule type="expression" dxfId="6" priority="4">
      <formula>MOD(ROW(),2)</formula>
    </cfRule>
  </conditionalFormatting>
  <hyperlinks>
    <hyperlink ref="B3" location="负载转矩计算!A1" tooltip="负载转矩计算" display="负载转矩计算" xr:uid="{00000000-0004-0000-0000-000000000000}"/>
    <hyperlink ref="B4" location="惯量计算!A1" display="惯量（惯性矩）计算" xr:uid="{00000000-0004-0000-0000-000001000000}"/>
    <hyperlink ref="E3" location="滚珠丝杆水平!A1" display="丝杠水平运动" xr:uid="{00000000-0004-0000-0000-000002000000}"/>
    <hyperlink ref="E4" location="滚珠丝杆垂直!A1" display="丝杠垂直运动" xr:uid="{00000000-0004-0000-0000-000003000000}"/>
    <hyperlink ref="C3" location="皮带轮间歇运动!A1" display="皮带轮间歇运动" xr:uid="{00000000-0004-0000-0000-000004000000}"/>
    <hyperlink ref="C4" location="皮带轮连续运动!A1" display="皮带轮连续运动" xr:uid="{00000000-0004-0000-0000-000005000000}"/>
    <hyperlink ref="B5" location="电机常识!A1" display="电机常识" xr:uid="{00000000-0004-0000-0000-000006000000}"/>
    <hyperlink ref="F3" location="变位圆柱!A1" display="外啮合变位圆柱齿轮传动几何尺寸计算" xr:uid="{00000000-0004-0000-0000-000007000000}"/>
    <hyperlink ref="F4" location="齿轮齿条!A1" display="齿轮齿条" xr:uid="{00000000-0004-0000-0000-000008000000}"/>
    <hyperlink ref="F5" location="'齿轮常用材料及其力学性能 (2)'!A1" display="齿轮常用材料及其力学性能" xr:uid="{00000000-0004-0000-0000-000009000000}"/>
    <hyperlink ref="H3" location="圆柱蜗杆传动基本几何尺寸计算公式!A1" display="圆柱蜗杆传动" xr:uid="{00000000-0004-0000-0000-00000A000000}"/>
    <hyperlink ref="H4" location="圆柱蜗杆传动主要参数搭配推荐值!A1" display="圆柱蜗杆传动主要参数搭配推荐值" xr:uid="{00000000-0004-0000-0000-00000B000000}"/>
    <hyperlink ref="C5" location="三角皮带长度计算!A1" display="三角皮带长度计算" xr:uid="{00000000-0004-0000-0000-00000C000000}"/>
    <hyperlink ref="G4" location="粗螺纹!A1" display="公制/美制 粗螺纹" xr:uid="{00000000-0004-0000-0000-00000D000000}"/>
    <hyperlink ref="G7" location="美制特细螺纹及英制电器螺纹!A1" display="美制特细螺纹&amp;英制电器螺纹" xr:uid="{00000000-0004-0000-0000-00000E000000}"/>
    <hyperlink ref="G8" location="管螺纹!A1" display="英制、美制管螺纹" xr:uid="{00000000-0004-0000-0000-00000F000000}"/>
    <hyperlink ref="H15" location="立柱计算!A1" display="立柱计算" xr:uid="{00000000-0004-0000-0000-000010000000}"/>
    <hyperlink ref="H5" location="蜗轮传动!A1" display="蜗轮传动" xr:uid="{00000000-0004-0000-0000-000011000000}"/>
    <hyperlink ref="F6" location="'高度变位斜齿轮跨棒(球)距'!A1" display="高度变位斜齿轮跨棒(球)距" xr:uid="{00000000-0004-0000-0000-000012000000}"/>
    <hyperlink ref="F15" location="外花键跨棒距!A1" display="外花键跨棒距" xr:uid="{00000000-0004-0000-0000-000013000000}"/>
    <hyperlink ref="F16" location="内花键棒间距!A1" display="内花键棒间距" xr:uid="{00000000-0004-0000-0000-000014000000}"/>
    <hyperlink ref="F7" location="高变位齿轮尺寸计算!A1" display="高变位齿轮尺寸计算" xr:uid="{00000000-0004-0000-0000-000015000000}"/>
    <hyperlink ref="B6" location="常用Y系列电机型号参数表!A1" display="常用Y系列电机型号参数表" xr:uid="{00000000-0004-0000-0000-000016000000}"/>
    <hyperlink ref="F8" location="锥齿轮传动设计计算!A1" display="锥齿轮传动设计计算" xr:uid="{00000000-0004-0000-0000-000017000000}"/>
    <hyperlink ref="G16" location="分度盘!A1" display="分度盘" xr:uid="{00000000-0004-0000-0000-000018000000}"/>
    <hyperlink ref="G17" location="圆盘!A1" display="圆盘" xr:uid="{00000000-0004-0000-0000-000019000000}"/>
    <hyperlink ref="B7" location="电机功率确定程序!A1" display="电机功率确定程序" xr:uid="{00000000-0004-0000-0000-00001A000000}"/>
    <hyperlink ref="E15" location="常用工程材料属性!A1" display="常用工程材料属性" xr:uid="{00000000-0004-0000-0000-00001B000000}"/>
    <hyperlink ref="H16" location="压入力计算!A1" display="压入力计算" xr:uid="{00000000-0004-0000-0000-00001C000000}"/>
    <hyperlink ref="H17" location="弹性模量、泊松系数!A1" display="弹性模量、泊松系数" xr:uid="{00000000-0004-0000-0000-00001D000000}"/>
    <hyperlink ref="E16" location="材料价格计算表!A1" display="材料价格计算表" xr:uid="{00000000-0004-0000-0000-00001E000000}"/>
    <hyperlink ref="B8" location="伺服电机选型自动版!A1" display="伺服电机选型自动版" xr:uid="{00000000-0004-0000-0000-00001F000000}"/>
    <hyperlink ref="D3" location="气缸内径选型!A1" display="气缸内径选型" xr:uid="{00000000-0004-0000-0000-000020000000}"/>
    <hyperlink ref="D5" location="气缸理论出力表!A1" display="气缸理论出力表" xr:uid="{00000000-0004-0000-0000-000021000000}"/>
    <hyperlink ref="C6" location="三角皮带参数表!A1" display="三角皮带参数表" xr:uid="{00000000-0004-0000-0000-000022000000}"/>
    <hyperlink ref="D6" location="真空元件的选定!A1" display="真空吸盘的选型" xr:uid="{00000000-0004-0000-0000-000023000000}"/>
    <hyperlink ref="D7" location="耗气量计算及电磁阀选择!A1" display="耗气量计算及电磁阀选择" xr:uid="{00000000-0004-0000-0000-000024000000}"/>
    <hyperlink ref="B15" location="单位换算!A1" display="单位换算" xr:uid="{00000000-0004-0000-0000-000025000000}"/>
    <hyperlink ref="G18" location="分度盘选型计算公式!A1" display="间歇回转转盘运动" xr:uid="{00000000-0004-0000-0000-000026000000}"/>
    <hyperlink ref="C15" location="同步带轮传动设计计算!A1" display="同步带轮传动设计" xr:uid="{00000000-0004-0000-0000-000027000000}"/>
    <hyperlink ref="F17" location="'键的强度计算 '!A1" display="键的强度计算" xr:uid="{00000000-0004-0000-0000-000028000000}"/>
    <hyperlink ref="F18" location="销的强度计算!A1" display="销的强度计算" xr:uid="{00000000-0004-0000-0000-000029000000}"/>
    <hyperlink ref="H18" location="焊缝及键连接受力计算比较!A1" display="焊缝及键连接受力计算比较" xr:uid="{00000000-0004-0000-0000-00002A000000}"/>
    <hyperlink ref="C16" location="链条计算!A1" display="链条计算" xr:uid="{00000000-0004-0000-0000-00002B000000}"/>
    <hyperlink ref="B9" location="减速机公称功率!A1" display="减速机公称功率" xr:uid="{00000000-0004-0000-0000-00002C000000}"/>
    <hyperlink ref="B26" location="过盈计算!A1" display=" 转矩【扭矩】计算" xr:uid="{00000000-0004-0000-0000-00002D000000}"/>
    <hyperlink ref="B27" location="万向联轴器计算!A1" display="万向联轴器计算" xr:uid="{00000000-0004-0000-0000-00002E000000}"/>
    <hyperlink ref="B28" location="齿式联轴器计算!A1" display="齿式联轴器计算" xr:uid="{00000000-0004-0000-0000-00002F000000}"/>
    <hyperlink ref="H27" location="弹簧计算!A1" display="弹簧计算" xr:uid="{00000000-0004-0000-0000-000030000000}"/>
    <hyperlink ref="G15" location="分割器选型基础知识!A1" display="分割器选型知识" xr:uid="{00000000-0004-0000-0000-000031000000}"/>
    <hyperlink ref="B29" location="棘轮计算!A1" display="棘轮计算" xr:uid="{00000000-0004-0000-0000-000032000000}"/>
    <hyperlink ref="G19" location="搖擺資料!A1" display="摇摆输送驱动" xr:uid="{00000000-0004-0000-0000-000033000000}"/>
    <hyperlink ref="G21" location="輸送帶計算!A1" display="输送带式驱动" xr:uid="{00000000-0004-0000-0000-000034000000}"/>
    <hyperlink ref="F9" location="'齿轮齿条传动设计计算  '!A1" display="齿轮齿条传动设计计算" xr:uid="{00000000-0004-0000-0000-000035000000}"/>
    <hyperlink ref="F26" location="孔用!A1" display="孔用弹性挡圈" xr:uid="{00000000-0004-0000-0000-000036000000}"/>
    <hyperlink ref="F27" location="轴用!A1" display="轴用弹性挡圈" xr:uid="{00000000-0004-0000-0000-000037000000}"/>
    <hyperlink ref="F28" location="E形扣环!A1" display="轴用E形扣环" xr:uid="{00000000-0004-0000-0000-000038000000}"/>
    <hyperlink ref="E27" location="超越离合器设计计算表!A1" display="超越离合器设计" xr:uid="{00000000-0004-0000-0000-000039000000}"/>
    <hyperlink ref="G20" location="齒輪分割計算!A1" display="齿轮分割驱动" xr:uid="{00000000-0004-0000-0000-00003A000000}"/>
    <hyperlink ref="E26" location="'深沟球轴承查询 '!A1" display="深沟球轴承规格表" xr:uid="{00000000-0004-0000-0000-00003B000000}"/>
    <hyperlink ref="F19" location="平键和键槽!A1" display="平键和键槽查询" xr:uid="{00000000-0004-0000-0000-00003C000000}"/>
    <hyperlink ref="E28" location="推力球轴承尺寸表!A1" display="推力球轴承尺寸表" xr:uid="{00000000-0004-0000-0000-00003D000000}"/>
    <hyperlink ref="G3" location="螺纹中小径计算!A1" display="螺纹中小径计算" xr:uid="{00000000-0004-0000-0000-00003E000000}"/>
    <hyperlink ref="E17" location="材质硬度对照表!A1" display="常用材料硬度表" xr:uid="{00000000-0004-0000-0000-00003F000000}"/>
    <hyperlink ref="D9" location="亚德客缓冲器!A1" display="亚德客油压缓冲器" xr:uid="{00000000-0004-0000-0000-000040000000}"/>
    <hyperlink ref="E30" location="T型槽尺寸!A1" display="T型槽尺寸" xr:uid="{00000000-0004-0000-0000-000041000000}"/>
    <hyperlink ref="F29" location="扳手空間尺寸!A1" display="扳手空间尺寸" xr:uid="{00000000-0004-0000-0000-000042000000}"/>
    <hyperlink ref="F30" location="緊固螺釘旋入深度及螺孔底孔深度!A1" display="紧固螺钉旋入深度及螺孔底孔深度" xr:uid="{00000000-0004-0000-0000-000043000000}"/>
    <hyperlink ref="G26" location="沉孔尺寸!A1" display="沉孔尺寸" xr:uid="{00000000-0004-0000-0000-000044000000}"/>
    <hyperlink ref="D26" location="公差!A1" display="公差" xr:uid="{00000000-0004-0000-0000-000045000000}"/>
    <hyperlink ref="D27" location="轴的基本偏差!A1" display="轴的基本偏差" xr:uid="{00000000-0004-0000-0000-000046000000}"/>
    <hyperlink ref="D28" location="孔偏差!A1" display="孔偏差" xr:uid="{00000000-0004-0000-0000-000047000000}"/>
    <hyperlink ref="D29" location="形位公差!A1" display="形位公差" xr:uid="{00000000-0004-0000-0000-000048000000}"/>
    <hyperlink ref="C26" location="凸轮各曲线特征!A1" display="凸轮各曲线特征" xr:uid="{00000000-0004-0000-0000-000049000000}"/>
    <hyperlink ref="C7" location="V型带轮规格型号!A1" display="SPA、SPB带轮规格" xr:uid="{00000000-0004-0000-0000-00004A000000}"/>
    <hyperlink ref="C8" location="A型三角带规格!A1" display="A型三角带规格" xr:uid="{00000000-0004-0000-0000-00004B000000}"/>
    <hyperlink ref="C9" location="B型三角带规格!A1" display="B型三角带规格" xr:uid="{00000000-0004-0000-0000-00004C000000}"/>
    <hyperlink ref="C10" location="C型三角带规格!A1" display="C型三角带规格" xr:uid="{00000000-0004-0000-0000-00004D000000}"/>
    <hyperlink ref="G6" location="英制螺纹底孔对照表!A1" display="英制螺纹底孔对照表" xr:uid="{00000000-0004-0000-0000-00004E000000}"/>
    <hyperlink ref="G27" location="塞打螺丝常用规格表!A1" display="塞打螺丝常用规格表" xr:uid="{00000000-0004-0000-0000-00004F000000}"/>
    <hyperlink ref="D16" location="轴向齿廓及尺寸!A1" display="轴向齿廓及尺寸" xr:uid="{00000000-0004-0000-0000-000050000000}"/>
    <hyperlink ref="D17" location="链条长度计算!A1" display="链条长度计算" xr:uid="{00000000-0004-0000-0000-000051000000}"/>
    <hyperlink ref="D18" location="传动用短节距精密滚子链!A1" display="传动用短节距精密滚子链" xr:uid="{00000000-0004-0000-0000-000052000000}"/>
    <hyperlink ref="D15" location="链轮的基本参数和主要尺寸!A1" display="链轮的基本参数" xr:uid="{00000000-0004-0000-0000-000053000000}"/>
    <hyperlink ref="H26" location="弹簧刚度计算大全!A1" display="弹簧刚度计算大全" xr:uid="{00000000-0004-0000-0000-000054000000}"/>
    <hyperlink ref="B16" location="转矩计算!A1" display=" 电机功率换算转矩（扭矩）" xr:uid="{00000000-0004-0000-0000-000055000000}"/>
    <hyperlink ref="G9" location="英制螺纹!A1" display="英制螺纹" xr:uid="{00000000-0004-0000-0000-000056000000}"/>
    <hyperlink ref="D19" location="倍速链线马达功率计算!A1" display="倍速链线马达功率计算" xr:uid="{00000000-0004-0000-0000-000057000000}"/>
    <hyperlink ref="D20" location="倍速链的张力计算!A1" display="倍速链的张力计算" xr:uid="{00000000-0004-0000-0000-000058000000}"/>
    <hyperlink ref="E5" location="皮带传动!A1" display="皮带传动" xr:uid="{00000000-0004-0000-0000-000059000000}"/>
    <hyperlink ref="E18" location="金属材料密度表!A1" display="金属材料密度表" xr:uid="{00000000-0004-0000-0000-00005A000000}"/>
    <hyperlink ref="C27" location="正弦加速度凸轮!A1" display="正弦加速度凸轮" xr:uid="{00000000-0004-0000-0000-00005B000000}"/>
    <hyperlink ref="C28" location="凸轮正弦余弦计算对照表!A1" display="正弦余弦对照表" xr:uid="{00000000-0004-0000-0000-00005C000000}"/>
    <hyperlink ref="C29" location="凸轮的轮廓曲线设计!A1" display="凸轮轮廓曲线设计" xr:uid="{00000000-0004-0000-0000-00005D000000}"/>
    <hyperlink ref="G10" location="米制细牙螺纹!A1" display="米制细牙螺纹" xr:uid="{00000000-0004-0000-0000-00005E000000}"/>
    <hyperlink ref="F10" location="齿轮齿条电机选型!A1" display="齿轮齿条电机选型" xr:uid="{00000000-0004-0000-0000-00005F000000}"/>
    <hyperlink ref="B37" location="剪切力計算!A1" display="剪切力計算" xr:uid="{00000000-0004-0000-0000-000060000000}"/>
    <hyperlink ref="B38" location="板材壓印成型之加工壓力!A1" display="板材压印成型之加工压力" xr:uid="{00000000-0004-0000-0000-000061000000}"/>
    <hyperlink ref="B39" location="'V型 彎曲力之計算 '!A1" display="V型 弯曲力之计算" xr:uid="{00000000-0004-0000-0000-000062000000}"/>
    <hyperlink ref="B40" location="'U型 彎曲力之計算'!A1" display="U型 弯曲力之计算" xr:uid="{00000000-0004-0000-0000-000063000000}"/>
    <hyperlink ref="B41" location="捲料沖壓效率!A1" display="卷料冲压效率" xr:uid="{00000000-0004-0000-0000-000064000000}"/>
    <hyperlink ref="B17" location="功率计算公式!A1" display="功率计算公式" xr:uid="{00000000-0004-0000-0000-000065000000}"/>
    <hyperlink ref="D42" location="薄壁正方形!A1" display="薄壁正方形" xr:uid="{00000000-0004-0000-0000-000066000000}"/>
    <hyperlink ref="C37" location="半圆环!A1" display="半圆环" xr:uid="{00000000-0004-0000-0000-000067000000}"/>
    <hyperlink ref="C38" location="半圆!A1" display="半圆" xr:uid="{00000000-0004-0000-0000-000068000000}"/>
    <hyperlink ref="C39" location="带横孔圆!A1" display="带横孔圆" xr:uid="{00000000-0004-0000-0000-000069000000}"/>
    <hyperlink ref="C40" location="钢型截面!A1" display="钢型截面" xr:uid="{00000000-0004-0000-0000-00006A000000}"/>
    <hyperlink ref="C41" location="花键!A1" display="花键" xr:uid="{00000000-0004-0000-0000-00006B000000}"/>
    <hyperlink ref="C43" location="空心椭圆!A1" display="空心椭圆" xr:uid="{00000000-0004-0000-0000-00006C000000}"/>
    <hyperlink ref="C44" location="空心圆!A1" display="空心圆" xr:uid="{00000000-0004-0000-0000-00006D000000}"/>
    <hyperlink ref="D36" location="'空心正方形（圆）'!A1" display="空心正方形（圆）" xr:uid="{00000000-0004-0000-0000-00006E000000}"/>
    <hyperlink ref="D37" location="空心正方形!A1" display="空心正方形" xr:uid="{00000000-0004-0000-0000-00006F000000}"/>
    <hyperlink ref="D38" location="六边形!A1" display="六边形" xr:uid="{00000000-0004-0000-0000-000070000000}"/>
    <hyperlink ref="D39" location="三角形!A1" display="三角形" xr:uid="{00000000-0004-0000-0000-000071000000}"/>
    <hyperlink ref="D40" location="扇形!A1" display="扇形" xr:uid="{00000000-0004-0000-0000-000072000000}"/>
    <hyperlink ref="D41" location="扇形圆环!A1" display="扇形圆环" xr:uid="{00000000-0004-0000-0000-000073000000}"/>
    <hyperlink ref="C36" location="圆!A1" display="圆" xr:uid="{00000000-0004-0000-0000-000074000000}"/>
    <hyperlink ref="D43" location="正方形!A1" display="正方形" xr:uid="{00000000-0004-0000-0000-000075000000}"/>
    <hyperlink ref="C42" location="椭圆!A1" display="椭圆" xr:uid="{00000000-0004-0000-0000-000076000000}"/>
    <hyperlink ref="G5" location="公制螺纹大全!A1" display="公制螺纹大全" xr:uid="{00000000-0004-0000-0000-000077000000}"/>
    <hyperlink ref="G28" location="带滑块轴承座规格表!A1" display="UCT带滑块轴承座规格表" xr:uid="{00000000-0004-0000-0000-000078000000}"/>
    <hyperlink ref="E29" location="圆锥滚子轴承参数表!A1" display="圆锥滚子轴承" xr:uid="{00000000-0004-0000-0000-000079000000}"/>
    <hyperlink ref="E36" location="液压油!A1" display="液压油" xr:uid="{00000000-0004-0000-0000-00007A000000}"/>
    <hyperlink ref="E37" location="缝隙.管路!A1" display="缝隙.管路" xr:uid="{00000000-0004-0000-0000-00007B000000}"/>
    <hyperlink ref="E38" location="蓄能器!A1" display="蓄能器" xr:uid="{00000000-0004-0000-0000-00007C000000}"/>
    <hyperlink ref="E39" location="油箱.热平衡!A1" display="油箱.热平衡" xr:uid="{00000000-0004-0000-0000-00007D000000}"/>
    <hyperlink ref="E40" location="泵.马达!A1" display="泵.马达" xr:uid="{00000000-0004-0000-0000-00007E000000}"/>
    <hyperlink ref="E41" location="油缸!A1" display="油缸" xr:uid="{00000000-0004-0000-0000-00007F000000}"/>
    <hyperlink ref="B36" location="【理论】总冲裁力的计算!A1" display="【理论】总冲裁力的计算" xr:uid="{00000000-0004-0000-0000-000080000000}"/>
    <hyperlink ref="E42" location="液压冲击!A1" display="液压冲击计算" xr:uid="{00000000-0004-0000-0000-000081000000}"/>
    <hyperlink ref="E19" location="塑料材料性能!A1" display="塑料材料性能" xr:uid="{00000000-0004-0000-0000-000082000000}"/>
    <hyperlink ref="E20" location="七国铝及其合金牌号对照表!A1" display="七国铝合金牌号对照" xr:uid="{00000000-0004-0000-0000-000083000000}"/>
    <hyperlink ref="E21" location="七国钢材牌号对照表!A1" display="七国钢材牌号对照表" xr:uid="{00000000-0004-0000-0000-000084000000}"/>
    <hyperlink ref="D21" location="链轮齿槽形状!A1" display="链轮齿槽形状" xr:uid="{00000000-0004-0000-0000-000085000000}"/>
    <hyperlink ref="H19" location="稳定性系数!A1" display="稳定性系数" xr:uid="{00000000-0004-0000-0000-000086000000}"/>
    <hyperlink ref="G11" location="挤压丝锥公制螺纹底孔直径!A1" display="挤压丝锥公制螺纹底孔直径" xr:uid="{00000000-0004-0000-0000-000087000000}"/>
    <hyperlink ref="D8" location="'真空元件的选定 '!A1" display="真空元件的选定" xr:uid="{00000000-0004-0000-0000-000088000000}"/>
    <hyperlink ref="D10" location="气缸与系统选型指南!A1" display="气缸与系统选型指南" xr:uid="{00000000-0004-0000-0000-000089000000}"/>
    <hyperlink ref="D4" location="气缸推力计算!A1" display="气缸推力计算" xr:uid="{00000000-0004-0000-0000-00008A000000}"/>
    <hyperlink ref="F36" location="交错轴斜齿轮传动计算!A1" display="交错轴斜齿轮传动计算" xr:uid="{00000000-0004-0000-0000-00008B000000}"/>
    <hyperlink ref="F37" location="外啮合圆柱齿轮传动设计计算!A1" display="外啮合圆柱齿轮传动设计计算" xr:uid="{00000000-0004-0000-0000-00008C000000}"/>
    <hyperlink ref="F38" location="外齿轮插齿、剃齿验算!A1" display="外齿轮插齿、剃齿验算" xr:uid="{00000000-0004-0000-0000-00008D000000}"/>
    <hyperlink ref="F39" location="内齿轮插齿顶切验算!A1" display="内齿轮插齿顶切验算" xr:uid="{00000000-0004-0000-0000-00008E000000}"/>
    <hyperlink ref="F40" location="准双曲面齿轮设计计算!A1" display="准双曲面齿轮设计计算" xr:uid="{00000000-0004-0000-0000-00008F000000}"/>
    <hyperlink ref="F41" location="内齿轮传动计算及插齿刀验算!A1" display="内齿轮传动计算及插齿刀验算" xr:uid="{00000000-0004-0000-0000-000090000000}"/>
    <hyperlink ref="D44" location="机械设计常用计算公式!A1" display="机械设计常用计算公式" xr:uid="{00000000-0004-0000-0000-000091000000}"/>
    <hyperlink ref="E23" location="常用材料力学性能!A1" display="常用材料力学性能" xr:uid="{00000000-0004-0000-0000-000092000000}"/>
    <hyperlink ref="C17" location="功率及张力计算!A1" display="功率及张力计算" xr:uid="{00000000-0004-0000-0000-000093000000}"/>
    <hyperlink ref="C18" location="张力逐点计算!A1" display="张力逐点计算" xr:uid="{00000000-0004-0000-0000-000094000000}"/>
    <hyperlink ref="F11" location="齿轮的换算公式!A1" display="齿轮的换算公式" xr:uid="{00000000-0004-0000-0000-000095000000}"/>
    <hyperlink ref="G36" location="电镀余量参考!A1" display="电镀余量参考" xr:uid="{00000000-0004-0000-0000-000096000000}"/>
    <hyperlink ref="D11" location="气缸力计算及使用!A1" display="气缸力计算及使用" xr:uid="{00000000-0004-0000-0000-000097000000}"/>
    <hyperlink ref="B18" location="所有换算单位!A1" display="所有换算单位" xr:uid="{00000000-0004-0000-0000-000098000000}"/>
    <hyperlink ref="H28" location="压簧计算表!A1" display="压簧计算表" xr:uid="{00000000-0004-0000-0000-000099000000}"/>
    <hyperlink ref="H29" location="氮气弹簧计算!A1" display="氮气弹簧计算" xr:uid="{00000000-0004-0000-0000-00009A000000}"/>
    <hyperlink ref="E22" location="常用金属材料密度表!A1" display="常用金属材料密度表" xr:uid="{00000000-0004-0000-0000-00009B000000}"/>
    <hyperlink ref="B10" location="步进电机与驱动选型!A1" display="步进电机与驱动选型" xr:uid="{00000000-0004-0000-0000-00009C000000}"/>
    <hyperlink ref="C19" location="同步轮!A1" display="同步轮" xr:uid="{00000000-0004-0000-0000-00009D000000}"/>
    <hyperlink ref="D22" location="链轮参数计算!A1" display="传动用短节距精密滚子链轮参数计算表" xr:uid="{00000000-0004-0000-0000-00009E000000}"/>
    <hyperlink ref="G29" location="减速器!A1" display="减速器选用方法" xr:uid="{00000000-0004-0000-0000-00009F000000}"/>
    <hyperlink ref="G30" location="超越离合器设计!A1" display="超越离合器设计计算表" xr:uid="{00000000-0004-0000-0000-0000A0000000}"/>
    <hyperlink ref="B11" location="伺服电机和步进电机的区别!A1" display="伺服电机和步进电机的区别" xr:uid="{00000000-0004-0000-0000-0000A1000000}"/>
    <hyperlink ref="D12" location="气动元件的选型计算!A1" display="气动元件的选型计算" xr:uid="{00000000-0004-0000-0000-0000A2000000}"/>
    <hyperlink ref="B12" location="伺服电机选型!A1" display="伺服电机选型" xr:uid="{00000000-0004-0000-0000-0000A3000000}"/>
    <hyperlink ref="H20" location="几何体计算表!A1" display="几何体计算表" xr:uid="{00000000-0004-0000-0000-0000A4000000}"/>
    <hyperlink ref="H21" location="LED显示英寸计算长宽!A1" display="LED显示英寸计算长宽" xr:uid="{00000000-0004-0000-0000-0000A5000000}"/>
    <hyperlink ref="D33" location="尺寸链计算表!A1" display="尺寸链计算表" xr:uid="{00000000-0004-0000-0000-0000A6000000}"/>
    <hyperlink ref="D32" location="公差计算表!A1" display="公差计算表" xr:uid="{00000000-0004-0000-0000-0000A7000000}"/>
    <hyperlink ref="D31" location="尺寸链知识!A1" display="尺寸链知识" xr:uid="{00000000-0004-0000-0000-0000A8000000}"/>
    <hyperlink ref="D30" location="尺寸链计算!A1" display="尺寸链计算" xr:uid="{00000000-0004-0000-0000-0000A9000000}"/>
    <hyperlink ref="H36" location="CNC钢料切削参数表!A1" display="CNC钢料切削参数表" xr:uid="{00000000-0004-0000-0000-0000AA000000}"/>
    <hyperlink ref="H37" location="钢料加工参数参考表!A1" display="钢料加工参数参考表" xr:uid="{00000000-0004-0000-0000-0000AB000000}"/>
    <hyperlink ref="H38" location="CNC加工参数!A1" display="CNC加工参数" xr:uid="{00000000-0004-0000-0000-0000AC000000}"/>
    <hyperlink ref="F31" location="'常用螺栓强度极限＆屈服极限＆预紧力＆预紧力矩一览表'!A1" display="常用螺栓强度极限＆屈服极限＆预紧力＆预紧力矩一览表" xr:uid="{00000000-0004-0000-0000-0000AD000000}"/>
    <hyperlink ref="H39" location="立铣刀选用表!A1" display="立铣刀选用表" xr:uid="{00000000-0004-0000-0000-0000AE000000}"/>
    <hyperlink ref="H40" location="切削速度计算公式!A1" display="切削速度计算公式" xr:uid="{00000000-0004-0000-0000-0000AF000000}"/>
    <hyperlink ref="G22" location="传送带式凸轮分割器选型!A1" display="传送带式凸轮分割器选型" xr:uid="{00000000-0004-0000-0000-0000B0000000}"/>
    <hyperlink ref="G23" location="回转圆盘式凸轮分割器选型!A1" display="回转圆盘式凸轮分割器选型" xr:uid="{00000000-0004-0000-0000-0000B1000000}"/>
  </hyperlinks>
  <pageMargins left="0.75" right="0.75" top="1" bottom="1" header="0.50902777777777797" footer="0.50902777777777797"/>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O54"/>
  <sheetViews>
    <sheetView zoomScale="70" zoomScaleNormal="70" workbookViewId="0">
      <selection activeCell="K7" sqref="K7"/>
    </sheetView>
  </sheetViews>
  <sheetFormatPr defaultColWidth="9" defaultRowHeight="13.5"/>
  <cols>
    <col min="1" max="1" width="6.125" style="4184" customWidth="1"/>
    <col min="2" max="2" width="33.5" style="4200" customWidth="1"/>
    <col min="3" max="3" width="28.5" style="4200" customWidth="1"/>
    <col min="4" max="4" width="49.625" style="4201" customWidth="1"/>
    <col min="5" max="5" width="8.375" style="4184" customWidth="1"/>
    <col min="6" max="6" width="6.25" style="4184" customWidth="1"/>
    <col min="7" max="7" width="9" style="4184"/>
    <col min="8" max="8" width="6.875" style="4184" customWidth="1"/>
    <col min="9" max="9" width="9.5" style="4184" customWidth="1"/>
    <col min="10" max="10" width="11" style="4184" customWidth="1"/>
    <col min="11" max="12" width="9" style="4184"/>
    <col min="13" max="13" width="4.375" style="4184" customWidth="1"/>
    <col min="14" max="14" width="29.75" style="4184" customWidth="1"/>
    <col min="15" max="15" width="17.25" style="4184" customWidth="1"/>
    <col min="16" max="16384" width="9" style="4184"/>
  </cols>
  <sheetData>
    <row r="1" spans="1:15">
      <c r="A1" s="4200" t="s">
        <v>207</v>
      </c>
    </row>
    <row r="2" spans="1:15">
      <c r="A2" s="4200"/>
      <c r="E2" s="4299" t="s">
        <v>208</v>
      </c>
      <c r="F2" s="4299"/>
    </row>
    <row r="3" spans="1:15">
      <c r="A3" s="4200"/>
      <c r="E3" s="4300"/>
      <c r="F3" s="4300"/>
    </row>
    <row r="4" spans="1:15">
      <c r="A4" s="4301" t="s">
        <v>209</v>
      </c>
      <c r="B4" s="4301"/>
      <c r="C4" s="4301"/>
      <c r="D4" s="4301" t="s">
        <v>210</v>
      </c>
      <c r="E4" s="4301"/>
      <c r="F4" s="4301"/>
      <c r="G4" s="4301"/>
      <c r="H4" s="4301"/>
      <c r="I4" s="4301"/>
      <c r="J4" s="4301"/>
    </row>
    <row r="5" spans="1:15">
      <c r="A5" s="4301"/>
      <c r="B5" s="4301"/>
      <c r="C5" s="4301"/>
      <c r="D5" s="4189" t="s">
        <v>211</v>
      </c>
      <c r="E5" s="4301" t="s">
        <v>212</v>
      </c>
      <c r="F5" s="4301"/>
      <c r="G5" s="4188" t="s">
        <v>213</v>
      </c>
      <c r="H5" s="4301" t="s">
        <v>214</v>
      </c>
      <c r="I5" s="4301"/>
      <c r="J5" s="4188" t="s">
        <v>215</v>
      </c>
      <c r="M5" s="4211" t="s">
        <v>216</v>
      </c>
      <c r="N5" s="4211" t="s">
        <v>217</v>
      </c>
      <c r="O5" s="4211" t="s">
        <v>218</v>
      </c>
    </row>
    <row r="6" spans="1:15">
      <c r="A6" s="4301"/>
      <c r="B6" s="4301"/>
      <c r="C6" s="4301"/>
      <c r="D6" s="4190" t="s">
        <v>219</v>
      </c>
      <c r="E6" s="4305">
        <v>6</v>
      </c>
      <c r="F6" s="4305"/>
      <c r="G6" s="4188" t="s">
        <v>220</v>
      </c>
      <c r="H6" s="4301">
        <f>E6</f>
        <v>6</v>
      </c>
      <c r="I6" s="4301"/>
      <c r="J6" s="4188" t="s">
        <v>220</v>
      </c>
      <c r="M6" s="4211">
        <v>1</v>
      </c>
      <c r="N6" s="4211" t="s">
        <v>221</v>
      </c>
      <c r="O6" s="4211" t="s">
        <v>222</v>
      </c>
    </row>
    <row r="7" spans="1:15">
      <c r="A7" s="4301"/>
      <c r="B7" s="4301"/>
      <c r="C7" s="4301"/>
      <c r="D7" s="4190" t="s">
        <v>223</v>
      </c>
      <c r="E7" s="4305"/>
      <c r="F7" s="4305"/>
      <c r="G7" s="4188"/>
      <c r="H7" s="4301"/>
      <c r="I7" s="4301"/>
      <c r="J7" s="4188"/>
      <c r="M7" s="4211">
        <v>2</v>
      </c>
      <c r="N7" s="4211" t="s">
        <v>224</v>
      </c>
      <c r="O7" s="4211" t="s">
        <v>225</v>
      </c>
    </row>
    <row r="8" spans="1:15">
      <c r="A8" s="4301"/>
      <c r="B8" s="4301"/>
      <c r="C8" s="4301"/>
      <c r="D8" s="4190" t="s">
        <v>226</v>
      </c>
      <c r="E8" s="4305">
        <v>80</v>
      </c>
      <c r="F8" s="4305"/>
      <c r="G8" s="4188" t="s">
        <v>227</v>
      </c>
      <c r="H8" s="4301">
        <f>E8</f>
        <v>80</v>
      </c>
      <c r="I8" s="4301"/>
      <c r="J8" s="4188" t="s">
        <v>227</v>
      </c>
      <c r="M8" s="4211">
        <v>3</v>
      </c>
      <c r="N8" s="4211" t="s">
        <v>228</v>
      </c>
      <c r="O8" s="4211" t="s">
        <v>229</v>
      </c>
    </row>
    <row r="9" spans="1:15">
      <c r="A9" s="4301"/>
      <c r="B9" s="4301"/>
      <c r="C9" s="4301"/>
      <c r="D9" s="4190" t="s">
        <v>230</v>
      </c>
      <c r="E9" s="4305" t="s">
        <v>224</v>
      </c>
      <c r="F9" s="4305"/>
      <c r="G9" s="4188" t="s">
        <v>220</v>
      </c>
      <c r="H9" s="4301" t="str">
        <f>E9</f>
        <v>变形正弦曲线</v>
      </c>
      <c r="I9" s="4301"/>
      <c r="J9" s="4188" t="s">
        <v>220</v>
      </c>
      <c r="M9" s="4211">
        <v>4</v>
      </c>
      <c r="N9" s="4211" t="s">
        <v>231</v>
      </c>
      <c r="O9" s="4211" t="s">
        <v>232</v>
      </c>
    </row>
    <row r="10" spans="1:15">
      <c r="A10" s="4301"/>
      <c r="B10" s="4301"/>
      <c r="C10" s="4301"/>
      <c r="D10" s="4297" t="s">
        <v>233</v>
      </c>
      <c r="E10" s="4191">
        <v>300</v>
      </c>
      <c r="F10" s="4191">
        <v>20</v>
      </c>
      <c r="G10" s="4188" t="s">
        <v>234</v>
      </c>
      <c r="H10" s="4188">
        <f>E10/1000</f>
        <v>0.3</v>
      </c>
      <c r="I10" s="4188">
        <f>F10/1000</f>
        <v>0.02</v>
      </c>
      <c r="J10" s="4188" t="s">
        <v>235</v>
      </c>
    </row>
    <row r="11" spans="1:15">
      <c r="A11" s="4301"/>
      <c r="B11" s="4301"/>
      <c r="C11" s="4301"/>
      <c r="D11" s="4297"/>
      <c r="E11" s="4305" t="s">
        <v>236</v>
      </c>
      <c r="F11" s="4305"/>
      <c r="G11" s="4188" t="s">
        <v>220</v>
      </c>
      <c r="H11" s="4301" t="str">
        <f>E11</f>
        <v>S45C</v>
      </c>
      <c r="I11" s="4301"/>
      <c r="J11" s="4188" t="s">
        <v>220</v>
      </c>
    </row>
    <row r="12" spans="1:15">
      <c r="A12" s="4301"/>
      <c r="B12" s="4301"/>
      <c r="C12" s="4301"/>
      <c r="D12" s="4190" t="s">
        <v>237</v>
      </c>
      <c r="E12" s="4305">
        <v>3</v>
      </c>
      <c r="F12" s="4305"/>
      <c r="G12" s="4188" t="s">
        <v>238</v>
      </c>
      <c r="H12" s="4301">
        <f>E12</f>
        <v>3</v>
      </c>
      <c r="I12" s="4301"/>
      <c r="J12" s="4188" t="s">
        <v>238</v>
      </c>
    </row>
    <row r="13" spans="1:15">
      <c r="A13" s="4301"/>
      <c r="B13" s="4301"/>
      <c r="C13" s="4301"/>
      <c r="D13" s="4190" t="s">
        <v>239</v>
      </c>
      <c r="E13" s="4305">
        <v>0.25</v>
      </c>
      <c r="F13" s="4305"/>
      <c r="G13" s="4188" t="s">
        <v>238</v>
      </c>
      <c r="H13" s="4301">
        <f>E13</f>
        <v>0.25</v>
      </c>
      <c r="I13" s="4301"/>
      <c r="J13" s="4188" t="s">
        <v>238</v>
      </c>
    </row>
    <row r="14" spans="1:15">
      <c r="A14" s="4301"/>
      <c r="B14" s="4301"/>
      <c r="C14" s="4301"/>
      <c r="D14" s="4190" t="s">
        <v>240</v>
      </c>
      <c r="E14" s="4305">
        <v>100</v>
      </c>
      <c r="F14" s="4305"/>
      <c r="G14" s="4188" t="s">
        <v>234</v>
      </c>
      <c r="H14" s="4301">
        <f>E14/1000</f>
        <v>0.1</v>
      </c>
      <c r="I14" s="4301"/>
      <c r="J14" s="4188" t="s">
        <v>235</v>
      </c>
    </row>
    <row r="15" spans="1:15">
      <c r="A15" s="4301"/>
      <c r="B15" s="4301"/>
      <c r="C15" s="4301"/>
      <c r="D15" s="4190" t="s">
        <v>241</v>
      </c>
      <c r="E15" s="4305">
        <v>200</v>
      </c>
      <c r="F15" s="4305"/>
      <c r="G15" s="4188" t="s">
        <v>234</v>
      </c>
      <c r="H15" s="4301">
        <f>E15/1000</f>
        <v>0.2</v>
      </c>
      <c r="I15" s="4301"/>
      <c r="J15" s="4188" t="s">
        <v>235</v>
      </c>
    </row>
    <row r="16" spans="1:15">
      <c r="A16" s="4301"/>
      <c r="B16" s="4301"/>
      <c r="C16" s="4301"/>
      <c r="D16" s="4190" t="s">
        <v>242</v>
      </c>
      <c r="E16" s="4191">
        <v>1</v>
      </c>
      <c r="F16" s="4191">
        <v>2</v>
      </c>
      <c r="G16" s="4188" t="s">
        <v>220</v>
      </c>
      <c r="H16" s="4301">
        <f>E16/F16</f>
        <v>0.5</v>
      </c>
      <c r="I16" s="4301"/>
      <c r="J16" s="4188" t="s">
        <v>220</v>
      </c>
    </row>
    <row r="18" spans="1:11">
      <c r="B18" s="4196" t="s">
        <v>243</v>
      </c>
      <c r="C18" s="4197">
        <f>D45</f>
        <v>5.2083798111428496</v>
      </c>
      <c r="D18" s="4198" t="s">
        <v>244</v>
      </c>
    </row>
    <row r="19" spans="1:11">
      <c r="B19" s="4196" t="s">
        <v>245</v>
      </c>
      <c r="C19" s="4197">
        <f>D48*1000</f>
        <v>352.56724875428603</v>
      </c>
      <c r="D19" s="4198" t="s">
        <v>246</v>
      </c>
    </row>
    <row r="21" spans="1:11">
      <c r="H21" s="4211" t="s">
        <v>247</v>
      </c>
      <c r="I21" s="4211" t="s">
        <v>248</v>
      </c>
      <c r="J21" s="4211">
        <v>3.14</v>
      </c>
      <c r="K21" s="4212"/>
    </row>
    <row r="22" spans="1:11">
      <c r="A22" s="4184" t="s">
        <v>249</v>
      </c>
      <c r="B22" s="4200" t="s">
        <v>211</v>
      </c>
      <c r="C22" s="4200" t="s">
        <v>250</v>
      </c>
      <c r="D22" s="4201" t="s">
        <v>251</v>
      </c>
      <c r="E22" s="4184" t="s">
        <v>213</v>
      </c>
      <c r="H22" s="4211"/>
      <c r="I22" s="4211" t="s">
        <v>252</v>
      </c>
      <c r="J22" s="4211">
        <v>9.8000000000000007</v>
      </c>
      <c r="K22" s="4212"/>
    </row>
    <row r="23" spans="1:11">
      <c r="A23" s="4184">
        <v>1</v>
      </c>
      <c r="B23" s="4200" t="s">
        <v>253</v>
      </c>
      <c r="C23" s="4200" t="s">
        <v>220</v>
      </c>
      <c r="D23" s="4201">
        <f>H6</f>
        <v>6</v>
      </c>
      <c r="E23" s="4184" t="s">
        <v>220</v>
      </c>
      <c r="H23" s="4211"/>
      <c r="I23" s="4211" t="s">
        <v>254</v>
      </c>
      <c r="J23" s="4211">
        <f>IF(E11="S45C",7800,2700)</f>
        <v>7800</v>
      </c>
      <c r="K23" s="4212" t="s">
        <v>255</v>
      </c>
    </row>
    <row r="24" spans="1:11" ht="25.5" customHeight="1">
      <c r="A24" s="4184">
        <v>2</v>
      </c>
      <c r="B24" s="4200" t="s">
        <v>256</v>
      </c>
      <c r="D24" s="4201">
        <f>360*(E16/(E16+F16))</f>
        <v>120</v>
      </c>
      <c r="E24" s="4184" t="s">
        <v>257</v>
      </c>
      <c r="H24" s="4211"/>
      <c r="I24" s="4211" t="s">
        <v>258</v>
      </c>
      <c r="J24" s="4211">
        <v>2700</v>
      </c>
      <c r="K24" s="4212" t="s">
        <v>255</v>
      </c>
    </row>
    <row r="25" spans="1:11">
      <c r="A25" s="4184">
        <v>3</v>
      </c>
      <c r="B25" s="4200" t="s">
        <v>259</v>
      </c>
      <c r="C25" s="4200" t="s">
        <v>220</v>
      </c>
      <c r="D25" s="4201">
        <f>H8</f>
        <v>80</v>
      </c>
      <c r="E25" s="4184" t="s">
        <v>227</v>
      </c>
    </row>
    <row r="26" spans="1:11">
      <c r="A26" s="4302">
        <v>4</v>
      </c>
      <c r="B26" s="4303" t="s">
        <v>260</v>
      </c>
      <c r="C26" s="4302" t="str">
        <f>H9</f>
        <v>变形正弦曲线</v>
      </c>
      <c r="D26" s="4298" t="str">
        <f>H9</f>
        <v>变形正弦曲线</v>
      </c>
      <c r="E26" s="4184" t="s">
        <v>261</v>
      </c>
      <c r="F26" s="4184">
        <v>1.76</v>
      </c>
    </row>
    <row r="27" spans="1:11">
      <c r="A27" s="4302"/>
      <c r="B27" s="4303"/>
      <c r="C27" s="4302"/>
      <c r="D27" s="4298"/>
      <c r="E27" s="4184" t="s">
        <v>262</v>
      </c>
      <c r="F27" s="4184">
        <v>5.53</v>
      </c>
    </row>
    <row r="28" spans="1:11">
      <c r="A28" s="4302"/>
      <c r="B28" s="4303"/>
      <c r="C28" s="4302"/>
      <c r="D28" s="4298"/>
      <c r="E28" s="4184" t="s">
        <v>263</v>
      </c>
      <c r="F28" s="4184">
        <v>0.99</v>
      </c>
    </row>
    <row r="29" spans="1:11">
      <c r="A29" s="4184">
        <v>5</v>
      </c>
      <c r="B29" s="4200" t="s">
        <v>264</v>
      </c>
    </row>
    <row r="30" spans="1:11">
      <c r="B30" s="4200" t="s">
        <v>265</v>
      </c>
    </row>
    <row r="31" spans="1:11">
      <c r="B31" s="4200" t="s">
        <v>266</v>
      </c>
    </row>
    <row r="32" spans="1:11">
      <c r="B32" s="4200" t="s">
        <v>267</v>
      </c>
      <c r="C32" s="4200" t="s">
        <v>268</v>
      </c>
      <c r="D32" s="4201">
        <f>J23*J21*(H10/2)*(H10/2)*I10</f>
        <v>11.0214</v>
      </c>
      <c r="E32" s="4184" t="s">
        <v>269</v>
      </c>
    </row>
    <row r="33" spans="1:7">
      <c r="B33" s="4200" t="s">
        <v>270</v>
      </c>
      <c r="C33" s="4200" t="s">
        <v>271</v>
      </c>
      <c r="D33" s="4201">
        <f>H12*H6</f>
        <v>18</v>
      </c>
      <c r="E33" s="4184" t="s">
        <v>269</v>
      </c>
    </row>
    <row r="34" spans="1:7">
      <c r="B34" s="4200" t="s">
        <v>272</v>
      </c>
      <c r="C34" s="4200" t="s">
        <v>273</v>
      </c>
      <c r="D34" s="4201">
        <f>H13*H6</f>
        <v>1.5</v>
      </c>
      <c r="E34" s="4184" t="s">
        <v>269</v>
      </c>
    </row>
    <row r="35" spans="1:7">
      <c r="B35" s="4200" t="s">
        <v>274</v>
      </c>
    </row>
    <row r="36" spans="1:7" ht="31.5" customHeight="1">
      <c r="B36" s="4200" t="s">
        <v>275</v>
      </c>
      <c r="D36" s="4201">
        <f>D32*H10/2*H10/2/2/J22</f>
        <v>1.26521173469388E-2</v>
      </c>
      <c r="E36" s="4184" t="s">
        <v>276</v>
      </c>
    </row>
    <row r="37" spans="1:7" ht="28.5" customHeight="1">
      <c r="B37" s="4200" t="s">
        <v>277</v>
      </c>
      <c r="D37" s="4201">
        <f>D33*H15/2*H15/2/J22</f>
        <v>1.8367346938775501E-2</v>
      </c>
      <c r="E37" s="4184" t="s">
        <v>276</v>
      </c>
    </row>
    <row r="38" spans="1:7" ht="31.5" customHeight="1">
      <c r="B38" s="4200" t="s">
        <v>278</v>
      </c>
      <c r="D38" s="4201">
        <f>D34*H15/2*H15/2/J22</f>
        <v>1.53061224489796E-3</v>
      </c>
      <c r="E38" s="4184" t="s">
        <v>276</v>
      </c>
    </row>
    <row r="39" spans="1:7">
      <c r="B39" s="4200" t="s">
        <v>279</v>
      </c>
      <c r="C39" s="4200" t="s">
        <v>280</v>
      </c>
      <c r="D39" s="4201">
        <f>D36+D37+D38</f>
        <v>3.2550076530612197E-2</v>
      </c>
      <c r="E39" s="4184" t="s">
        <v>276</v>
      </c>
    </row>
    <row r="40" spans="1:7" ht="33" customHeight="1">
      <c r="B40" s="4200" t="s">
        <v>281</v>
      </c>
      <c r="D40" s="4201">
        <f>F27*2*J21/D23*360*E8/D24/60*360*E8/D24/60</f>
        <v>92.609066666666607</v>
      </c>
      <c r="E40" s="4184" t="s">
        <v>282</v>
      </c>
    </row>
    <row r="41" spans="1:7" ht="27.75" customHeight="1">
      <c r="B41" s="4200" t="s">
        <v>283</v>
      </c>
      <c r="C41" s="4200" t="s">
        <v>284</v>
      </c>
      <c r="D41" s="4201">
        <f>D39*D40</f>
        <v>3.0144322074285701</v>
      </c>
      <c r="E41" s="4184" t="s">
        <v>285</v>
      </c>
    </row>
    <row r="42" spans="1:7" ht="27">
      <c r="B42" s="4209" t="s">
        <v>286</v>
      </c>
      <c r="C42" s="4200" t="s">
        <v>287</v>
      </c>
      <c r="D42" s="4201">
        <f>(D32+D33+D34)*0.15*H15/2</f>
        <v>0.45782099999999998</v>
      </c>
      <c r="E42" s="4184" t="s">
        <v>285</v>
      </c>
    </row>
    <row r="43" spans="1:7">
      <c r="B43" s="4200" t="s">
        <v>288</v>
      </c>
      <c r="C43" s="4200" t="s">
        <v>289</v>
      </c>
      <c r="D43" s="4201">
        <v>0</v>
      </c>
      <c r="E43" s="4184" t="s">
        <v>285</v>
      </c>
    </row>
    <row r="44" spans="1:7">
      <c r="B44" s="4200" t="s">
        <v>290</v>
      </c>
      <c r="C44" s="4200" t="s">
        <v>291</v>
      </c>
      <c r="D44" s="4213">
        <f>D41+D42+D43</f>
        <v>3.4722532074285701</v>
      </c>
      <c r="E44" s="4184" t="s">
        <v>285</v>
      </c>
    </row>
    <row r="45" spans="1:7" ht="27">
      <c r="A45" s="4184">
        <v>6</v>
      </c>
      <c r="B45" s="4209" t="s">
        <v>292</v>
      </c>
      <c r="C45" s="4200" t="s">
        <v>293</v>
      </c>
      <c r="D45" s="4214">
        <f>D44*G45</f>
        <v>5.2083798111428496</v>
      </c>
      <c r="E45" s="4184" t="s">
        <v>285</v>
      </c>
      <c r="F45" s="4184" t="s">
        <v>294</v>
      </c>
      <c r="G45" s="4184">
        <v>1.5</v>
      </c>
    </row>
    <row r="46" spans="1:7" ht="27">
      <c r="A46" s="4184">
        <v>7</v>
      </c>
      <c r="B46" s="4209" t="s">
        <v>295</v>
      </c>
      <c r="D46" s="4201">
        <f>360/D24/E6*F28*D45+0</f>
        <v>2.5781480065157099</v>
      </c>
      <c r="E46" s="4184" t="s">
        <v>285</v>
      </c>
    </row>
    <row r="47" spans="1:7" ht="14.25" customHeight="1">
      <c r="A47" s="4302">
        <v>8</v>
      </c>
      <c r="B47" s="4304" t="s">
        <v>296</v>
      </c>
      <c r="C47" s="4200" t="s">
        <v>297</v>
      </c>
      <c r="D47" s="4201">
        <f>D46*E8/716/0.6</f>
        <v>0.48010204963048703</v>
      </c>
      <c r="E47" s="4184" t="s">
        <v>298</v>
      </c>
    </row>
    <row r="48" spans="1:7">
      <c r="A48" s="4302"/>
      <c r="B48" s="4303"/>
      <c r="C48" s="4200" t="s">
        <v>299</v>
      </c>
      <c r="D48" s="4214">
        <f>D46*E8/975/0.6</f>
        <v>0.35256724875428602</v>
      </c>
      <c r="E48" s="4184" t="s">
        <v>300</v>
      </c>
    </row>
    <row r="49" spans="1:2">
      <c r="B49" s="4200" t="s">
        <v>301</v>
      </c>
    </row>
    <row r="50" spans="1:2">
      <c r="A50" s="4184">
        <v>9</v>
      </c>
      <c r="B50" s="4200" t="s">
        <v>302</v>
      </c>
    </row>
    <row r="51" spans="1:2">
      <c r="B51" s="4200" t="s">
        <v>303</v>
      </c>
    </row>
    <row r="52" spans="1:2">
      <c r="B52" s="4200" t="s">
        <v>304</v>
      </c>
    </row>
    <row r="53" spans="1:2">
      <c r="B53" s="4200" t="s">
        <v>305</v>
      </c>
    </row>
    <row r="54" spans="1:2">
      <c r="B54" s="4200" t="s">
        <v>306</v>
      </c>
    </row>
  </sheetData>
  <mergeCells count="32">
    <mergeCell ref="H7:I7"/>
    <mergeCell ref="E8:F8"/>
    <mergeCell ref="H8:I8"/>
    <mergeCell ref="E9:F9"/>
    <mergeCell ref="H9:I9"/>
    <mergeCell ref="H14:I14"/>
    <mergeCell ref="E15:F15"/>
    <mergeCell ref="H15:I15"/>
    <mergeCell ref="H16:I16"/>
    <mergeCell ref="E11:F11"/>
    <mergeCell ref="H11:I11"/>
    <mergeCell ref="E12:F12"/>
    <mergeCell ref="H12:I12"/>
    <mergeCell ref="E13:F13"/>
    <mergeCell ref="H13:I13"/>
    <mergeCell ref="A47:A48"/>
    <mergeCell ref="B26:B28"/>
    <mergeCell ref="B47:B48"/>
    <mergeCell ref="C26:C28"/>
    <mergeCell ref="E14:F14"/>
    <mergeCell ref="D10:D11"/>
    <mergeCell ref="D26:D28"/>
    <mergeCell ref="E2:F3"/>
    <mergeCell ref="A4:C5"/>
    <mergeCell ref="A6:C16"/>
    <mergeCell ref="A26:A28"/>
    <mergeCell ref="E7:F7"/>
    <mergeCell ref="D4:J4"/>
    <mergeCell ref="E5:F5"/>
    <mergeCell ref="H5:I5"/>
    <mergeCell ref="E6:F6"/>
    <mergeCell ref="H6:I6"/>
  </mergeCells>
  <phoneticPr fontId="214" type="noConversion"/>
  <dataValidations count="2">
    <dataValidation type="list" allowBlank="1" showInputMessage="1" showErrorMessage="1" sqref="E9:F9" xr:uid="{00000000-0002-0000-0100-000000000000}">
      <formula1>$N$6:$N$9</formula1>
    </dataValidation>
    <dataValidation type="list" allowBlank="1" showInputMessage="1" showErrorMessage="1" sqref="E11:F11" xr:uid="{00000000-0002-0000-0100-000001000000}">
      <formula1>"S45C,AL"</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P65"/>
  <sheetViews>
    <sheetView workbookViewId="0">
      <selection activeCell="F29" sqref="F29:F30"/>
    </sheetView>
  </sheetViews>
  <sheetFormatPr defaultColWidth="9" defaultRowHeight="13.5"/>
  <cols>
    <col min="1" max="1" width="7.875" style="4184" customWidth="1"/>
    <col min="2" max="2" width="42.75" style="4185" customWidth="1"/>
    <col min="3" max="3" width="39.375" style="4185" customWidth="1"/>
    <col min="4" max="4" width="10" style="4186" customWidth="1"/>
    <col min="5" max="5" width="21.375" style="4185" customWidth="1"/>
    <col min="6" max="10" width="9" style="4185"/>
    <col min="11" max="11" width="11.5" style="4185" customWidth="1"/>
    <col min="12" max="12" width="9" style="4185"/>
    <col min="13" max="13" width="5.25" style="4185" customWidth="1"/>
    <col min="14" max="14" width="19.25" style="4185" customWidth="1"/>
    <col min="15" max="15" width="17.25" style="4185" customWidth="1"/>
    <col min="16" max="16384" width="9" style="4185"/>
  </cols>
  <sheetData>
    <row r="1" spans="1:16" ht="14.25">
      <c r="A1" s="4187" t="s">
        <v>112</v>
      </c>
      <c r="F1" s="4299" t="s">
        <v>208</v>
      </c>
      <c r="G1" s="4299"/>
    </row>
    <row r="2" spans="1:16" ht="14.25">
      <c r="A2" s="4187" t="s">
        <v>307</v>
      </c>
      <c r="F2" s="4300"/>
      <c r="G2" s="4300"/>
    </row>
    <row r="3" spans="1:16">
      <c r="A3" s="4301" t="s">
        <v>209</v>
      </c>
      <c r="B3" s="4301"/>
      <c r="C3" s="4301"/>
      <c r="D3" s="4317" t="s">
        <v>210</v>
      </c>
      <c r="E3" s="4319"/>
      <c r="F3" s="4319"/>
      <c r="G3" s="4319"/>
      <c r="H3" s="4319"/>
      <c r="I3" s="4319"/>
      <c r="J3" s="4319"/>
      <c r="K3" s="4318"/>
      <c r="M3" s="4211" t="s">
        <v>216</v>
      </c>
      <c r="N3" s="4211" t="s">
        <v>217</v>
      </c>
      <c r="O3" s="4211" t="s">
        <v>218</v>
      </c>
    </row>
    <row r="4" spans="1:16">
      <c r="A4" s="4301"/>
      <c r="B4" s="4301"/>
      <c r="C4" s="4301"/>
      <c r="D4" s="4188" t="s">
        <v>216</v>
      </c>
      <c r="E4" s="4189" t="s">
        <v>211</v>
      </c>
      <c r="F4" s="4301" t="s">
        <v>212</v>
      </c>
      <c r="G4" s="4301"/>
      <c r="H4" s="4188" t="s">
        <v>213</v>
      </c>
      <c r="I4" s="4301" t="s">
        <v>214</v>
      </c>
      <c r="J4" s="4301"/>
      <c r="K4" s="4188" t="s">
        <v>215</v>
      </c>
      <c r="M4" s="4211">
        <v>1</v>
      </c>
      <c r="N4" s="4211" t="s">
        <v>221</v>
      </c>
      <c r="O4" s="4211" t="s">
        <v>222</v>
      </c>
    </row>
    <row r="5" spans="1:16">
      <c r="A5" s="4306"/>
      <c r="B5" s="4307"/>
      <c r="C5" s="4308"/>
      <c r="D5" s="4188">
        <v>1</v>
      </c>
      <c r="E5" s="4190" t="s">
        <v>308</v>
      </c>
      <c r="F5" s="4305">
        <v>239</v>
      </c>
      <c r="G5" s="4305"/>
      <c r="H5" s="4188" t="s">
        <v>234</v>
      </c>
      <c r="I5" s="4301">
        <f>F5/10</f>
        <v>23.9</v>
      </c>
      <c r="J5" s="4301"/>
      <c r="K5" s="4188" t="s">
        <v>309</v>
      </c>
      <c r="M5" s="4211">
        <v>2</v>
      </c>
      <c r="N5" s="4211" t="s">
        <v>224</v>
      </c>
      <c r="O5" s="4211" t="s">
        <v>225</v>
      </c>
    </row>
    <row r="6" spans="1:16">
      <c r="A6" s="4309"/>
      <c r="B6" s="4310"/>
      <c r="C6" s="4311"/>
      <c r="D6" s="4188">
        <v>2</v>
      </c>
      <c r="E6" s="4190" t="s">
        <v>310</v>
      </c>
      <c r="F6" s="4305">
        <v>120</v>
      </c>
      <c r="G6" s="4305"/>
      <c r="H6" s="4188" t="s">
        <v>257</v>
      </c>
      <c r="I6" s="4301">
        <f>F6</f>
        <v>120</v>
      </c>
      <c r="J6" s="4301"/>
      <c r="K6" s="4188" t="str">
        <f>H6</f>
        <v>度</v>
      </c>
      <c r="M6" s="4211">
        <v>3</v>
      </c>
      <c r="N6" s="4211" t="s">
        <v>228</v>
      </c>
      <c r="O6" s="4211" t="s">
        <v>229</v>
      </c>
    </row>
    <row r="7" spans="1:16">
      <c r="A7" s="4309"/>
      <c r="B7" s="4310"/>
      <c r="C7" s="4311"/>
      <c r="D7" s="4188">
        <v>3</v>
      </c>
      <c r="E7" s="4190" t="s">
        <v>311</v>
      </c>
      <c r="F7" s="4305">
        <v>2</v>
      </c>
      <c r="G7" s="4305"/>
      <c r="H7" s="4188" t="s">
        <v>312</v>
      </c>
      <c r="I7" s="4301">
        <f>F7</f>
        <v>2</v>
      </c>
      <c r="J7" s="4301"/>
      <c r="K7" s="4188" t="str">
        <f>H7</f>
        <v>S/周期</v>
      </c>
      <c r="M7" s="4211">
        <v>4</v>
      </c>
      <c r="N7" s="4211" t="s">
        <v>231</v>
      </c>
      <c r="O7" s="4211" t="s">
        <v>232</v>
      </c>
    </row>
    <row r="8" spans="1:16">
      <c r="A8" s="4309"/>
      <c r="B8" s="4310"/>
      <c r="C8" s="4311"/>
      <c r="D8" s="4188">
        <v>5</v>
      </c>
      <c r="E8" s="4190" t="s">
        <v>313</v>
      </c>
      <c r="F8" s="4305" t="s">
        <v>224</v>
      </c>
      <c r="G8" s="4305"/>
      <c r="H8" s="4188" t="s">
        <v>220</v>
      </c>
      <c r="I8" s="4301" t="str">
        <f>F8</f>
        <v>变形正弦曲线</v>
      </c>
      <c r="J8" s="4301"/>
      <c r="K8" s="4188" t="s">
        <v>220</v>
      </c>
    </row>
    <row r="9" spans="1:16">
      <c r="A9" s="4309"/>
      <c r="B9" s="4310"/>
      <c r="C9" s="4311"/>
      <c r="D9" s="4188">
        <v>6</v>
      </c>
      <c r="E9" s="4192" t="s">
        <v>314</v>
      </c>
      <c r="F9" s="4305">
        <v>8</v>
      </c>
      <c r="G9" s="4305"/>
      <c r="H9" s="4188" t="s">
        <v>269</v>
      </c>
      <c r="I9" s="4301">
        <f>F9</f>
        <v>8</v>
      </c>
      <c r="J9" s="4301"/>
      <c r="K9" s="4188" t="str">
        <f>H9</f>
        <v>KG</v>
      </c>
      <c r="M9" s="4211" t="s">
        <v>247</v>
      </c>
      <c r="N9" s="4211" t="s">
        <v>248</v>
      </c>
      <c r="O9" s="4211">
        <v>3.14</v>
      </c>
      <c r="P9" s="4212"/>
    </row>
    <row r="10" spans="1:16">
      <c r="A10" s="4309"/>
      <c r="B10" s="4310"/>
      <c r="C10" s="4311"/>
      <c r="D10" s="4188">
        <v>7</v>
      </c>
      <c r="E10" s="4192" t="s">
        <v>315</v>
      </c>
      <c r="F10" s="4305">
        <v>180</v>
      </c>
      <c r="G10" s="4305"/>
      <c r="H10" s="4188" t="s">
        <v>234</v>
      </c>
      <c r="I10" s="4301">
        <f>F10/10</f>
        <v>18</v>
      </c>
      <c r="J10" s="4301"/>
      <c r="K10" s="4188" t="s">
        <v>309</v>
      </c>
      <c r="M10" s="4211"/>
      <c r="N10" s="4211" t="s">
        <v>252</v>
      </c>
      <c r="O10" s="4211">
        <v>9.8000000000000007</v>
      </c>
      <c r="P10" s="4212">
        <f>O10*100</f>
        <v>980</v>
      </c>
    </row>
    <row r="11" spans="1:16">
      <c r="A11" s="4309"/>
      <c r="B11" s="4310"/>
      <c r="C11" s="4311"/>
      <c r="D11" s="4188">
        <v>8</v>
      </c>
      <c r="E11" s="4192" t="s">
        <v>316</v>
      </c>
      <c r="F11" s="4305">
        <v>5</v>
      </c>
      <c r="G11" s="4305"/>
      <c r="H11" s="4188" t="s">
        <v>269</v>
      </c>
      <c r="I11" s="4301">
        <f>F11</f>
        <v>5</v>
      </c>
      <c r="J11" s="4301"/>
      <c r="K11" s="4188" t="str">
        <f t="shared" ref="K11:K17" si="0">H11</f>
        <v>KG</v>
      </c>
      <c r="M11" s="4211"/>
      <c r="N11" s="4211" t="s">
        <v>254</v>
      </c>
      <c r="O11" s="4211">
        <v>7800</v>
      </c>
      <c r="P11" s="4212" t="s">
        <v>255</v>
      </c>
    </row>
    <row r="12" spans="1:16">
      <c r="A12" s="4309"/>
      <c r="B12" s="4310"/>
      <c r="C12" s="4311"/>
      <c r="D12" s="4188">
        <v>9</v>
      </c>
      <c r="E12" s="4192" t="s">
        <v>317</v>
      </c>
      <c r="F12" s="4305">
        <v>100</v>
      </c>
      <c r="G12" s="4305"/>
      <c r="H12" s="4188" t="s">
        <v>234</v>
      </c>
      <c r="I12" s="4301">
        <f>F12/10</f>
        <v>10</v>
      </c>
      <c r="J12" s="4301"/>
      <c r="K12" s="4188" t="s">
        <v>309</v>
      </c>
      <c r="M12" s="4211"/>
      <c r="N12" s="4211" t="s">
        <v>258</v>
      </c>
      <c r="O12" s="4211">
        <v>2700</v>
      </c>
      <c r="P12" s="4212" t="s">
        <v>255</v>
      </c>
    </row>
    <row r="13" spans="1:16">
      <c r="A13" s="4309"/>
      <c r="B13" s="4310"/>
      <c r="C13" s="4311"/>
      <c r="D13" s="4188">
        <v>10</v>
      </c>
      <c r="E13" s="4192" t="s">
        <v>318</v>
      </c>
      <c r="F13" s="4305">
        <v>4</v>
      </c>
      <c r="G13" s="4305"/>
      <c r="H13" s="4188" t="s">
        <v>319</v>
      </c>
      <c r="I13" s="4301">
        <f t="shared" ref="I13:I14" si="1">F13</f>
        <v>4</v>
      </c>
      <c r="J13" s="4301"/>
      <c r="K13" s="4188" t="str">
        <f t="shared" si="0"/>
        <v>KG/支</v>
      </c>
    </row>
    <row r="14" spans="1:16">
      <c r="A14" s="4309"/>
      <c r="B14" s="4310"/>
      <c r="C14" s="4311"/>
      <c r="D14" s="4188">
        <v>11</v>
      </c>
      <c r="E14" s="4192" t="s">
        <v>320</v>
      </c>
      <c r="F14" s="4305">
        <v>2</v>
      </c>
      <c r="G14" s="4305"/>
      <c r="H14" s="4188" t="s">
        <v>321</v>
      </c>
      <c r="I14" s="4301">
        <f t="shared" si="1"/>
        <v>2</v>
      </c>
      <c r="J14" s="4301"/>
      <c r="K14" s="4188" t="str">
        <f t="shared" si="0"/>
        <v>支</v>
      </c>
    </row>
    <row r="15" spans="1:16">
      <c r="A15" s="4309"/>
      <c r="B15" s="4310"/>
      <c r="C15" s="4311"/>
      <c r="D15" s="4188">
        <v>12</v>
      </c>
      <c r="E15" s="4192" t="s">
        <v>322</v>
      </c>
      <c r="F15" s="4315">
        <v>50</v>
      </c>
      <c r="G15" s="4316"/>
      <c r="H15" s="4188" t="s">
        <v>234</v>
      </c>
      <c r="I15" s="4317">
        <f>F15/10</f>
        <v>5</v>
      </c>
      <c r="J15" s="4318"/>
      <c r="K15" s="4188" t="s">
        <v>309</v>
      </c>
    </row>
    <row r="16" spans="1:16">
      <c r="A16" s="4309"/>
      <c r="B16" s="4310"/>
      <c r="C16" s="4311"/>
      <c r="D16" s="4188">
        <v>13</v>
      </c>
      <c r="E16" s="4192" t="s">
        <v>323</v>
      </c>
      <c r="F16" s="4305">
        <v>5</v>
      </c>
      <c r="G16" s="4305"/>
      <c r="H16" s="4188" t="s">
        <v>238</v>
      </c>
      <c r="I16" s="4301">
        <f>F16</f>
        <v>5</v>
      </c>
      <c r="J16" s="4301"/>
      <c r="K16" s="4188" t="str">
        <f t="shared" si="0"/>
        <v>KG/组</v>
      </c>
    </row>
    <row r="17" spans="1:11">
      <c r="A17" s="4309"/>
      <c r="B17" s="4310"/>
      <c r="C17" s="4311"/>
      <c r="D17" s="4188">
        <v>14</v>
      </c>
      <c r="E17" s="4192" t="s">
        <v>324</v>
      </c>
      <c r="F17" s="4305">
        <v>4</v>
      </c>
      <c r="G17" s="4305"/>
      <c r="H17" s="4193" t="s">
        <v>325</v>
      </c>
      <c r="I17" s="4301">
        <f>F17</f>
        <v>4</v>
      </c>
      <c r="J17" s="4301"/>
      <c r="K17" s="4193" t="str">
        <f t="shared" si="0"/>
        <v>组</v>
      </c>
    </row>
    <row r="18" spans="1:11">
      <c r="A18" s="4309"/>
      <c r="B18" s="4310"/>
      <c r="C18" s="4311"/>
      <c r="D18" s="4188">
        <v>15</v>
      </c>
      <c r="E18" s="4192" t="s">
        <v>326</v>
      </c>
      <c r="F18" s="4305">
        <v>254</v>
      </c>
      <c r="G18" s="4305"/>
      <c r="H18" s="4193" t="s">
        <v>234</v>
      </c>
      <c r="I18" s="4301">
        <f>F18/10</f>
        <v>25.4</v>
      </c>
      <c r="J18" s="4301"/>
      <c r="K18" s="4193" t="s">
        <v>309</v>
      </c>
    </row>
    <row r="19" spans="1:11">
      <c r="A19" s="4309"/>
      <c r="B19" s="4310"/>
      <c r="C19" s="4311"/>
      <c r="D19" s="4188">
        <v>16</v>
      </c>
      <c r="E19" s="4192" t="s">
        <v>327</v>
      </c>
      <c r="F19" s="4305">
        <v>10</v>
      </c>
      <c r="G19" s="4305"/>
      <c r="H19" s="4188" t="s">
        <v>238</v>
      </c>
      <c r="I19" s="4301">
        <f t="shared" ref="I19:I25" si="2">F19</f>
        <v>10</v>
      </c>
      <c r="J19" s="4301"/>
      <c r="K19" s="4188" t="str">
        <f t="shared" ref="K19:K25" si="3">H19</f>
        <v>KG/组</v>
      </c>
    </row>
    <row r="20" spans="1:11">
      <c r="A20" s="4309"/>
      <c r="B20" s="4310"/>
      <c r="C20" s="4311"/>
      <c r="D20" s="4188">
        <v>17</v>
      </c>
      <c r="E20" s="4192" t="s">
        <v>328</v>
      </c>
      <c r="F20" s="4305">
        <v>2</v>
      </c>
      <c r="G20" s="4305"/>
      <c r="H20" s="4193" t="s">
        <v>325</v>
      </c>
      <c r="I20" s="4301">
        <f t="shared" si="2"/>
        <v>2</v>
      </c>
      <c r="J20" s="4301"/>
      <c r="K20" s="4193" t="str">
        <f t="shared" si="3"/>
        <v>组</v>
      </c>
    </row>
    <row r="21" spans="1:11">
      <c r="A21" s="4309"/>
      <c r="B21" s="4310"/>
      <c r="C21" s="4311"/>
      <c r="D21" s="4188">
        <v>18</v>
      </c>
      <c r="E21" s="4192" t="s">
        <v>329</v>
      </c>
      <c r="F21" s="4305">
        <v>0.7</v>
      </c>
      <c r="G21" s="4305"/>
      <c r="H21" s="4188" t="s">
        <v>238</v>
      </c>
      <c r="I21" s="4301">
        <f t="shared" si="2"/>
        <v>0.7</v>
      </c>
      <c r="J21" s="4301"/>
      <c r="K21" s="4188" t="str">
        <f t="shared" si="3"/>
        <v>KG/组</v>
      </c>
    </row>
    <row r="22" spans="1:11">
      <c r="A22" s="4309"/>
      <c r="B22" s="4310"/>
      <c r="C22" s="4311"/>
      <c r="D22" s="4188">
        <v>19</v>
      </c>
      <c r="E22" s="4192" t="s">
        <v>330</v>
      </c>
      <c r="F22" s="4305">
        <v>20</v>
      </c>
      <c r="G22" s="4305"/>
      <c r="H22" s="4193" t="s">
        <v>325</v>
      </c>
      <c r="I22" s="4301">
        <f t="shared" si="2"/>
        <v>20</v>
      </c>
      <c r="J22" s="4301"/>
      <c r="K22" s="4193" t="str">
        <f t="shared" si="3"/>
        <v>组</v>
      </c>
    </row>
    <row r="23" spans="1:11">
      <c r="A23" s="4309"/>
      <c r="B23" s="4310"/>
      <c r="C23" s="4311"/>
      <c r="D23" s="4188">
        <v>20</v>
      </c>
      <c r="E23" s="4192" t="s">
        <v>331</v>
      </c>
      <c r="F23" s="4305">
        <v>1</v>
      </c>
      <c r="G23" s="4305"/>
      <c r="H23" s="4188" t="s">
        <v>238</v>
      </c>
      <c r="I23" s="4301">
        <f t="shared" si="2"/>
        <v>1</v>
      </c>
      <c r="J23" s="4301"/>
      <c r="K23" s="4188" t="str">
        <f t="shared" si="3"/>
        <v>KG/组</v>
      </c>
    </row>
    <row r="24" spans="1:11">
      <c r="A24" s="4309"/>
      <c r="B24" s="4310"/>
      <c r="C24" s="4311"/>
      <c r="D24" s="4188">
        <v>21</v>
      </c>
      <c r="E24" s="4192" t="s">
        <v>332</v>
      </c>
      <c r="F24" s="4305">
        <v>4</v>
      </c>
      <c r="G24" s="4305"/>
      <c r="H24" s="4193" t="s">
        <v>325</v>
      </c>
      <c r="I24" s="4301">
        <f t="shared" si="2"/>
        <v>4</v>
      </c>
      <c r="J24" s="4301"/>
      <c r="K24" s="4193" t="str">
        <f t="shared" si="3"/>
        <v>组</v>
      </c>
    </row>
    <row r="25" spans="1:11">
      <c r="A25" s="4312"/>
      <c r="B25" s="4313"/>
      <c r="C25" s="4314"/>
      <c r="D25" s="4188">
        <v>22</v>
      </c>
      <c r="E25" s="4194" t="s">
        <v>333</v>
      </c>
      <c r="F25" s="4305">
        <f>F10/F12</f>
        <v>1.8</v>
      </c>
      <c r="G25" s="4305"/>
      <c r="H25" s="4193" t="s">
        <v>220</v>
      </c>
      <c r="I25" s="4301">
        <f t="shared" si="2"/>
        <v>1.8</v>
      </c>
      <c r="J25" s="4301"/>
      <c r="K25" s="4193" t="str">
        <f t="shared" si="3"/>
        <v>NA</v>
      </c>
    </row>
    <row r="26" spans="1:11">
      <c r="E26" s="4195" t="s">
        <v>334</v>
      </c>
      <c r="F26" s="4185">
        <v>0.15</v>
      </c>
    </row>
    <row r="27" spans="1:11">
      <c r="B27" s="4196" t="s">
        <v>243</v>
      </c>
      <c r="C27" s="4197">
        <f>D57</f>
        <v>7.6878542343897598</v>
      </c>
      <c r="D27" s="4198" t="s">
        <v>244</v>
      </c>
      <c r="E27" s="4199"/>
    </row>
    <row r="28" spans="1:11">
      <c r="B28" s="4196" t="s">
        <v>245</v>
      </c>
      <c r="C28" s="4197">
        <f>D61*1000</f>
        <v>194.93463508133101</v>
      </c>
      <c r="D28" s="4198" t="s">
        <v>246</v>
      </c>
      <c r="E28" s="4199"/>
    </row>
    <row r="30" spans="1:11">
      <c r="A30" s="4184" t="s">
        <v>249</v>
      </c>
      <c r="B30" s="4200" t="s">
        <v>211</v>
      </c>
      <c r="C30" s="4200" t="s">
        <v>250</v>
      </c>
      <c r="D30" s="4201" t="s">
        <v>251</v>
      </c>
      <c r="E30" s="4184" t="s">
        <v>213</v>
      </c>
    </row>
    <row r="31" spans="1:11" ht="33" customHeight="1">
      <c r="A31" s="4184">
        <v>1</v>
      </c>
      <c r="B31" s="4185" t="s">
        <v>335</v>
      </c>
      <c r="D31" s="4186">
        <f>O9*F18*F25/F5</f>
        <v>6.0067280334728004</v>
      </c>
      <c r="E31" s="4185" t="s">
        <v>220</v>
      </c>
    </row>
    <row r="32" spans="1:11">
      <c r="A32" s="4184">
        <v>2</v>
      </c>
      <c r="B32" s="4185" t="s">
        <v>336</v>
      </c>
      <c r="C32" s="4185" t="s">
        <v>337</v>
      </c>
      <c r="D32" s="4186">
        <f>60/I7</f>
        <v>30</v>
      </c>
      <c r="E32" s="4185" t="s">
        <v>227</v>
      </c>
    </row>
    <row r="33" spans="1:5">
      <c r="A33" s="4302">
        <v>3</v>
      </c>
      <c r="B33" s="4303" t="s">
        <v>260</v>
      </c>
      <c r="C33" s="4302" t="str">
        <f>I8</f>
        <v>变形正弦曲线</v>
      </c>
      <c r="D33" s="4184" t="s">
        <v>261</v>
      </c>
      <c r="E33" s="4184">
        <v>1.76</v>
      </c>
    </row>
    <row r="34" spans="1:5">
      <c r="A34" s="4302"/>
      <c r="B34" s="4303"/>
      <c r="C34" s="4302"/>
      <c r="D34" s="4184" t="s">
        <v>262</v>
      </c>
      <c r="E34" s="4184">
        <v>5.53</v>
      </c>
    </row>
    <row r="35" spans="1:5">
      <c r="A35" s="4302"/>
      <c r="B35" s="4303"/>
      <c r="C35" s="4302"/>
      <c r="D35" s="4184" t="s">
        <v>263</v>
      </c>
      <c r="E35" s="4184">
        <v>0.99</v>
      </c>
    </row>
    <row r="36" spans="1:5">
      <c r="A36" s="4184">
        <v>4</v>
      </c>
      <c r="B36" s="4185" t="s">
        <v>338</v>
      </c>
    </row>
    <row r="37" spans="1:5">
      <c r="A37" s="4202">
        <v>4.0999999999999996</v>
      </c>
      <c r="B37" s="4185" t="s">
        <v>339</v>
      </c>
    </row>
    <row r="38" spans="1:5" ht="34.5" customHeight="1">
      <c r="B38" s="4203" t="s">
        <v>340</v>
      </c>
      <c r="D38" s="4186">
        <f>I9*I10/2*I10/2/2/P10</f>
        <v>0.33061224489795898</v>
      </c>
      <c r="E38" s="4204" t="s">
        <v>341</v>
      </c>
    </row>
    <row r="39" spans="1:5">
      <c r="B39" s="4185" t="s">
        <v>342</v>
      </c>
    </row>
    <row r="40" spans="1:5" ht="38.25" customHeight="1">
      <c r="B40" s="4205" t="s">
        <v>343</v>
      </c>
      <c r="D40" s="4186">
        <f>I11*(I12/2*I12/2+I15/2*I15/2)/2/P10</f>
        <v>7.9719387755101997E-2</v>
      </c>
      <c r="E40" s="4204" t="s">
        <v>341</v>
      </c>
    </row>
    <row r="41" spans="1:5" ht="41.25" customHeight="1">
      <c r="B41" s="4205" t="s">
        <v>344</v>
      </c>
      <c r="D41" s="4186">
        <f>I13*I15/2*I15/2/2/P10*I14</f>
        <v>2.5510204081632699E-2</v>
      </c>
      <c r="E41" s="4204" t="s">
        <v>341</v>
      </c>
    </row>
    <row r="42" spans="1:5" ht="38.25" customHeight="1">
      <c r="B42" s="4205" t="s">
        <v>345</v>
      </c>
      <c r="D42" s="4186">
        <f>I16*(I18/2*I18/2+I15/2*I15/2)/2/P10*I17</f>
        <v>1.7095918367346901</v>
      </c>
      <c r="E42" s="4204" t="s">
        <v>341</v>
      </c>
    </row>
    <row r="43" spans="1:5" ht="42" customHeight="1">
      <c r="B43" s="4205" t="s">
        <v>346</v>
      </c>
      <c r="D43" s="4186">
        <f>I19*I18/2*I18/2/P10*I20</f>
        <v>3.2916326530612201</v>
      </c>
      <c r="E43" s="4204" t="s">
        <v>341</v>
      </c>
    </row>
    <row r="44" spans="1:5" ht="29.25" customHeight="1">
      <c r="B44" s="4205" t="s">
        <v>347</v>
      </c>
      <c r="D44" s="4186">
        <f>I21*I18/2*I18/2/P10*I22</f>
        <v>2.3041428571428599</v>
      </c>
      <c r="E44" s="4204" t="s">
        <v>341</v>
      </c>
    </row>
    <row r="45" spans="1:5" ht="32.25" customHeight="1">
      <c r="B45" s="4205" t="s">
        <v>348</v>
      </c>
      <c r="D45" s="4186">
        <f>I23*I18/2*I18/2/P10*I24</f>
        <v>0.658326530612245</v>
      </c>
      <c r="E45" s="4204" t="s">
        <v>341</v>
      </c>
    </row>
    <row r="46" spans="1:5" ht="14.25">
      <c r="B46" s="4205" t="s">
        <v>349</v>
      </c>
      <c r="C46" s="4185" t="s">
        <v>350</v>
      </c>
      <c r="D46" s="4186">
        <f>D40+D41+D42+D43+D44+D45</f>
        <v>8.0689234693877498</v>
      </c>
      <c r="E46" s="4204" t="s">
        <v>341</v>
      </c>
    </row>
    <row r="47" spans="1:5" ht="39" customHeight="1">
      <c r="B47" s="4205" t="s">
        <v>351</v>
      </c>
      <c r="D47" s="4186">
        <f>D46*I10*I10/I12/I12</f>
        <v>26.143312040816301</v>
      </c>
      <c r="E47" s="4204" t="s">
        <v>341</v>
      </c>
    </row>
    <row r="48" spans="1:5" ht="14.25">
      <c r="B48" s="4205" t="s">
        <v>352</v>
      </c>
      <c r="C48" s="4185" t="s">
        <v>353</v>
      </c>
      <c r="D48" s="4186">
        <f>D38+D47</f>
        <v>26.4739242857143</v>
      </c>
      <c r="E48" s="4204" t="s">
        <v>341</v>
      </c>
    </row>
    <row r="49" spans="1:7" ht="44.25" customHeight="1">
      <c r="B49" s="4205" t="s">
        <v>354</v>
      </c>
      <c r="D49" s="4186">
        <f>E34*2*O9/D31*360*360*D32*D32/I6/I6/60/60</f>
        <v>13.008562992126</v>
      </c>
      <c r="E49" s="4204" t="s">
        <v>355</v>
      </c>
    </row>
    <row r="50" spans="1:7" ht="14.25">
      <c r="B50" s="4205" t="s">
        <v>356</v>
      </c>
      <c r="C50" s="4185" t="s">
        <v>357</v>
      </c>
      <c r="D50" s="4186">
        <f>D48*D49</f>
        <v>344.38771171948798</v>
      </c>
      <c r="E50" s="4204" t="s">
        <v>358</v>
      </c>
    </row>
    <row r="51" spans="1:7" ht="14.25">
      <c r="A51" s="4184">
        <v>5</v>
      </c>
      <c r="B51" s="4205" t="s">
        <v>359</v>
      </c>
    </row>
    <row r="52" spans="1:7" ht="28.5">
      <c r="B52" s="4206" t="s">
        <v>360</v>
      </c>
      <c r="C52" s="4185" t="s">
        <v>361</v>
      </c>
      <c r="D52" s="4207">
        <f>F26*(I19*I20/2+I21*I22/2+I23*I24)*I18/2</f>
        <v>40.005000000000003</v>
      </c>
      <c r="E52" s="4204" t="s">
        <v>358</v>
      </c>
    </row>
    <row r="53" spans="1:7" ht="42" customHeight="1">
      <c r="B53" s="4205" t="s">
        <v>362</v>
      </c>
      <c r="D53" s="4186">
        <f>D52*I10/I12</f>
        <v>72.009</v>
      </c>
      <c r="E53" s="4204" t="s">
        <v>358</v>
      </c>
    </row>
    <row r="54" spans="1:7" ht="14.25">
      <c r="A54" s="4184">
        <v>6</v>
      </c>
      <c r="B54" s="4203" t="s">
        <v>363</v>
      </c>
      <c r="C54" s="4185" t="s">
        <v>364</v>
      </c>
      <c r="D54" s="4186">
        <v>0</v>
      </c>
      <c r="E54" s="4204" t="s">
        <v>358</v>
      </c>
    </row>
    <row r="55" spans="1:7" ht="14.25">
      <c r="A55" s="4184">
        <v>7</v>
      </c>
      <c r="B55" s="4205" t="s">
        <v>365</v>
      </c>
      <c r="C55" s="4185" t="s">
        <v>291</v>
      </c>
      <c r="D55" s="4186">
        <f>D50+D52+D54</f>
        <v>384.39271171948798</v>
      </c>
      <c r="E55" s="4204" t="s">
        <v>358</v>
      </c>
      <c r="F55" s="4185">
        <f>D55/100</f>
        <v>3.8439271171948799</v>
      </c>
      <c r="G55" s="4185" t="s">
        <v>285</v>
      </c>
    </row>
    <row r="56" spans="1:7" ht="27">
      <c r="B56" s="4203" t="s">
        <v>366</v>
      </c>
    </row>
    <row r="57" spans="1:7" ht="14.25">
      <c r="A57" s="4184">
        <v>8</v>
      </c>
      <c r="B57" s="4187" t="s">
        <v>367</v>
      </c>
      <c r="C57" s="4185" t="s">
        <v>293</v>
      </c>
      <c r="D57" s="4208">
        <f>F55*G57</f>
        <v>7.6878542343897598</v>
      </c>
      <c r="E57" s="4185" t="s">
        <v>285</v>
      </c>
      <c r="F57" s="4185" t="s">
        <v>294</v>
      </c>
      <c r="G57" s="4185">
        <v>2</v>
      </c>
    </row>
    <row r="58" spans="1:7" ht="42" customHeight="1">
      <c r="A58" s="4184">
        <v>9</v>
      </c>
      <c r="B58" s="4185" t="s">
        <v>368</v>
      </c>
      <c r="D58" s="4186">
        <f>360/I6/D31*E35*D57+G58</f>
        <v>3.80122538408596</v>
      </c>
      <c r="E58" s="4185" t="s">
        <v>285</v>
      </c>
      <c r="F58" s="4185" t="s">
        <v>369</v>
      </c>
      <c r="G58" s="4185">
        <v>0</v>
      </c>
    </row>
    <row r="59" spans="1:7" ht="14.25">
      <c r="B59" s="4187" t="s">
        <v>370</v>
      </c>
    </row>
    <row r="60" spans="1:7">
      <c r="A60" s="4184">
        <v>10</v>
      </c>
      <c r="B60" s="4304" t="s">
        <v>296</v>
      </c>
      <c r="C60" s="4200" t="s">
        <v>297</v>
      </c>
      <c r="D60" s="4186">
        <f>D58*D32/716/0.6</f>
        <v>0.26544870000600301</v>
      </c>
      <c r="E60" s="4184" t="s">
        <v>298</v>
      </c>
    </row>
    <row r="61" spans="1:7">
      <c r="B61" s="4303"/>
      <c r="C61" s="4200" t="s">
        <v>299</v>
      </c>
      <c r="D61" s="4208">
        <f>D58*D32/975/0.6</f>
        <v>0.19493463508133099</v>
      </c>
      <c r="E61" s="4184" t="s">
        <v>300</v>
      </c>
    </row>
    <row r="62" spans="1:7">
      <c r="B62" s="4200" t="s">
        <v>301</v>
      </c>
    </row>
    <row r="63" spans="1:7" ht="14.25">
      <c r="A63" s="4184">
        <v>11</v>
      </c>
      <c r="B63" s="4210" t="s">
        <v>371</v>
      </c>
    </row>
    <row r="64" spans="1:7">
      <c r="B64" s="4200" t="s">
        <v>372</v>
      </c>
    </row>
    <row r="65" spans="2:2">
      <c r="B65" s="4200" t="s">
        <v>373</v>
      </c>
    </row>
  </sheetData>
  <mergeCells count="52">
    <mergeCell ref="I5:J5"/>
    <mergeCell ref="I6:J6"/>
    <mergeCell ref="F7:G7"/>
    <mergeCell ref="I7:J7"/>
    <mergeCell ref="F8:G8"/>
    <mergeCell ref="I8:J8"/>
    <mergeCell ref="I9:J9"/>
    <mergeCell ref="F10:G10"/>
    <mergeCell ref="I10:J10"/>
    <mergeCell ref="F11:G11"/>
    <mergeCell ref="I11:J11"/>
    <mergeCell ref="I12:J12"/>
    <mergeCell ref="F13:G13"/>
    <mergeCell ref="I13:J13"/>
    <mergeCell ref="F14:G14"/>
    <mergeCell ref="I14:J14"/>
    <mergeCell ref="I15:J15"/>
    <mergeCell ref="F16:G16"/>
    <mergeCell ref="I16:J16"/>
    <mergeCell ref="F17:G17"/>
    <mergeCell ref="I17:J17"/>
    <mergeCell ref="I18:J18"/>
    <mergeCell ref="F19:G19"/>
    <mergeCell ref="I19:J19"/>
    <mergeCell ref="F20:G20"/>
    <mergeCell ref="I20:J20"/>
    <mergeCell ref="I21:J21"/>
    <mergeCell ref="F22:G22"/>
    <mergeCell ref="I22:J22"/>
    <mergeCell ref="F23:G23"/>
    <mergeCell ref="I23:J23"/>
    <mergeCell ref="I24:J24"/>
    <mergeCell ref="F25:G25"/>
    <mergeCell ref="I25:J25"/>
    <mergeCell ref="A33:A35"/>
    <mergeCell ref="B33:B35"/>
    <mergeCell ref="B60:B61"/>
    <mergeCell ref="C33:C35"/>
    <mergeCell ref="F1:G2"/>
    <mergeCell ref="A3:C4"/>
    <mergeCell ref="A5:C25"/>
    <mergeCell ref="F24:G24"/>
    <mergeCell ref="F21:G21"/>
    <mergeCell ref="F18:G18"/>
    <mergeCell ref="F15:G15"/>
    <mergeCell ref="F12:G12"/>
    <mergeCell ref="F9:G9"/>
    <mergeCell ref="F6:G6"/>
    <mergeCell ref="D3:K3"/>
    <mergeCell ref="F4:G4"/>
    <mergeCell ref="I4:J4"/>
    <mergeCell ref="F5:G5"/>
  </mergeCells>
  <phoneticPr fontId="214" type="noConversion"/>
  <dataValidations count="1">
    <dataValidation type="list" allowBlank="1" showInputMessage="1" showErrorMessage="1" sqref="F8:G8" xr:uid="{00000000-0002-0000-0200-000000000000}">
      <formula1>$N$4:$N$7</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K45"/>
  <sheetViews>
    <sheetView workbookViewId="0">
      <selection activeCell="J3" sqref="J3"/>
    </sheetView>
  </sheetViews>
  <sheetFormatPr defaultColWidth="9" defaultRowHeight="14.25"/>
  <cols>
    <col min="1" max="1" width="17.625" style="4172" customWidth="1"/>
    <col min="2" max="2" width="23.375" style="4172" customWidth="1"/>
    <col min="3" max="3" width="10" style="4172" customWidth="1"/>
    <col min="4" max="4" width="12.25" style="4172" customWidth="1"/>
    <col min="5" max="5" width="12.875" style="4172" customWidth="1"/>
    <col min="6" max="6" width="12.75" style="4172" customWidth="1"/>
    <col min="7" max="7" width="13.875" style="4172" customWidth="1"/>
    <col min="8" max="8" width="16.25" style="4172" customWidth="1"/>
    <col min="9" max="9" width="15.5" style="4172" customWidth="1"/>
    <col min="10" max="10" width="12.125" style="4172" customWidth="1"/>
    <col min="11" max="11" width="12.75" style="4172" customWidth="1"/>
    <col min="12" max="256" width="9" style="4172"/>
    <col min="257" max="257" width="17.625" style="4172" customWidth="1"/>
    <col min="258" max="258" width="23.375" style="4172" customWidth="1"/>
    <col min="259" max="259" width="10" style="4172" customWidth="1"/>
    <col min="260" max="260" width="12.25" style="4172" customWidth="1"/>
    <col min="261" max="261" width="12.875" style="4172" customWidth="1"/>
    <col min="262" max="262" width="12.75" style="4172" customWidth="1"/>
    <col min="263" max="263" width="13.875" style="4172" customWidth="1"/>
    <col min="264" max="264" width="16.25" style="4172" customWidth="1"/>
    <col min="265" max="265" width="15.5" style="4172" customWidth="1"/>
    <col min="266" max="266" width="12.125" style="4172" customWidth="1"/>
    <col min="267" max="267" width="12.75" style="4172" customWidth="1"/>
    <col min="268" max="512" width="9" style="4172"/>
    <col min="513" max="513" width="17.625" style="4172" customWidth="1"/>
    <col min="514" max="514" width="23.375" style="4172" customWidth="1"/>
    <col min="515" max="515" width="10" style="4172" customWidth="1"/>
    <col min="516" max="516" width="12.25" style="4172" customWidth="1"/>
    <col min="517" max="517" width="12.875" style="4172" customWidth="1"/>
    <col min="518" max="518" width="12.75" style="4172" customWidth="1"/>
    <col min="519" max="519" width="13.875" style="4172" customWidth="1"/>
    <col min="520" max="520" width="16.25" style="4172" customWidth="1"/>
    <col min="521" max="521" width="15.5" style="4172" customWidth="1"/>
    <col min="522" max="522" width="12.125" style="4172" customWidth="1"/>
    <col min="523" max="523" width="12.75" style="4172" customWidth="1"/>
    <col min="524" max="768" width="9" style="4172"/>
    <col min="769" max="769" width="17.625" style="4172" customWidth="1"/>
    <col min="770" max="770" width="23.375" style="4172" customWidth="1"/>
    <col min="771" max="771" width="10" style="4172" customWidth="1"/>
    <col min="772" max="772" width="12.25" style="4172" customWidth="1"/>
    <col min="773" max="773" width="12.875" style="4172" customWidth="1"/>
    <col min="774" max="774" width="12.75" style="4172" customWidth="1"/>
    <col min="775" max="775" width="13.875" style="4172" customWidth="1"/>
    <col min="776" max="776" width="16.25" style="4172" customWidth="1"/>
    <col min="777" max="777" width="15.5" style="4172" customWidth="1"/>
    <col min="778" max="778" width="12.125" style="4172" customWidth="1"/>
    <col min="779" max="779" width="12.75" style="4172" customWidth="1"/>
    <col min="780" max="1024" width="9" style="4172"/>
    <col min="1025" max="1025" width="17.625" style="4172" customWidth="1"/>
    <col min="1026" max="1026" width="23.375" style="4172" customWidth="1"/>
    <col min="1027" max="1027" width="10" style="4172" customWidth="1"/>
    <col min="1028" max="1028" width="12.25" style="4172" customWidth="1"/>
    <col min="1029" max="1029" width="12.875" style="4172" customWidth="1"/>
    <col min="1030" max="1030" width="12.75" style="4172" customWidth="1"/>
    <col min="1031" max="1031" width="13.875" style="4172" customWidth="1"/>
    <col min="1032" max="1032" width="16.25" style="4172" customWidth="1"/>
    <col min="1033" max="1033" width="15.5" style="4172" customWidth="1"/>
    <col min="1034" max="1034" width="12.125" style="4172" customWidth="1"/>
    <col min="1035" max="1035" width="12.75" style="4172" customWidth="1"/>
    <col min="1036" max="1280" width="9" style="4172"/>
    <col min="1281" max="1281" width="17.625" style="4172" customWidth="1"/>
    <col min="1282" max="1282" width="23.375" style="4172" customWidth="1"/>
    <col min="1283" max="1283" width="10" style="4172" customWidth="1"/>
    <col min="1284" max="1284" width="12.25" style="4172" customWidth="1"/>
    <col min="1285" max="1285" width="12.875" style="4172" customWidth="1"/>
    <col min="1286" max="1286" width="12.75" style="4172" customWidth="1"/>
    <col min="1287" max="1287" width="13.875" style="4172" customWidth="1"/>
    <col min="1288" max="1288" width="16.25" style="4172" customWidth="1"/>
    <col min="1289" max="1289" width="15.5" style="4172" customWidth="1"/>
    <col min="1290" max="1290" width="12.125" style="4172" customWidth="1"/>
    <col min="1291" max="1291" width="12.75" style="4172" customWidth="1"/>
    <col min="1292" max="1536" width="9" style="4172"/>
    <col min="1537" max="1537" width="17.625" style="4172" customWidth="1"/>
    <col min="1538" max="1538" width="23.375" style="4172" customWidth="1"/>
    <col min="1539" max="1539" width="10" style="4172" customWidth="1"/>
    <col min="1540" max="1540" width="12.25" style="4172" customWidth="1"/>
    <col min="1541" max="1541" width="12.875" style="4172" customWidth="1"/>
    <col min="1542" max="1542" width="12.75" style="4172" customWidth="1"/>
    <col min="1543" max="1543" width="13.875" style="4172" customWidth="1"/>
    <col min="1544" max="1544" width="16.25" style="4172" customWidth="1"/>
    <col min="1545" max="1545" width="15.5" style="4172" customWidth="1"/>
    <col min="1546" max="1546" width="12.125" style="4172" customWidth="1"/>
    <col min="1547" max="1547" width="12.75" style="4172" customWidth="1"/>
    <col min="1548" max="1792" width="9" style="4172"/>
    <col min="1793" max="1793" width="17.625" style="4172" customWidth="1"/>
    <col min="1794" max="1794" width="23.375" style="4172" customWidth="1"/>
    <col min="1795" max="1795" width="10" style="4172" customWidth="1"/>
    <col min="1796" max="1796" width="12.25" style="4172" customWidth="1"/>
    <col min="1797" max="1797" width="12.875" style="4172" customWidth="1"/>
    <col min="1798" max="1798" width="12.75" style="4172" customWidth="1"/>
    <col min="1799" max="1799" width="13.875" style="4172" customWidth="1"/>
    <col min="1800" max="1800" width="16.25" style="4172" customWidth="1"/>
    <col min="1801" max="1801" width="15.5" style="4172" customWidth="1"/>
    <col min="1802" max="1802" width="12.125" style="4172" customWidth="1"/>
    <col min="1803" max="1803" width="12.75" style="4172" customWidth="1"/>
    <col min="1804" max="2048" width="9" style="4172"/>
    <col min="2049" max="2049" width="17.625" style="4172" customWidth="1"/>
    <col min="2050" max="2050" width="23.375" style="4172" customWidth="1"/>
    <col min="2051" max="2051" width="10" style="4172" customWidth="1"/>
    <col min="2052" max="2052" width="12.25" style="4172" customWidth="1"/>
    <col min="2053" max="2053" width="12.875" style="4172" customWidth="1"/>
    <col min="2054" max="2054" width="12.75" style="4172" customWidth="1"/>
    <col min="2055" max="2055" width="13.875" style="4172" customWidth="1"/>
    <col min="2056" max="2056" width="16.25" style="4172" customWidth="1"/>
    <col min="2057" max="2057" width="15.5" style="4172" customWidth="1"/>
    <col min="2058" max="2058" width="12.125" style="4172" customWidth="1"/>
    <col min="2059" max="2059" width="12.75" style="4172" customWidth="1"/>
    <col min="2060" max="2304" width="9" style="4172"/>
    <col min="2305" max="2305" width="17.625" style="4172" customWidth="1"/>
    <col min="2306" max="2306" width="23.375" style="4172" customWidth="1"/>
    <col min="2307" max="2307" width="10" style="4172" customWidth="1"/>
    <col min="2308" max="2308" width="12.25" style="4172" customWidth="1"/>
    <col min="2309" max="2309" width="12.875" style="4172" customWidth="1"/>
    <col min="2310" max="2310" width="12.75" style="4172" customWidth="1"/>
    <col min="2311" max="2311" width="13.875" style="4172" customWidth="1"/>
    <col min="2312" max="2312" width="16.25" style="4172" customWidth="1"/>
    <col min="2313" max="2313" width="15.5" style="4172" customWidth="1"/>
    <col min="2314" max="2314" width="12.125" style="4172" customWidth="1"/>
    <col min="2315" max="2315" width="12.75" style="4172" customWidth="1"/>
    <col min="2316" max="2560" width="9" style="4172"/>
    <col min="2561" max="2561" width="17.625" style="4172" customWidth="1"/>
    <col min="2562" max="2562" width="23.375" style="4172" customWidth="1"/>
    <col min="2563" max="2563" width="10" style="4172" customWidth="1"/>
    <col min="2564" max="2564" width="12.25" style="4172" customWidth="1"/>
    <col min="2565" max="2565" width="12.875" style="4172" customWidth="1"/>
    <col min="2566" max="2566" width="12.75" style="4172" customWidth="1"/>
    <col min="2567" max="2567" width="13.875" style="4172" customWidth="1"/>
    <col min="2568" max="2568" width="16.25" style="4172" customWidth="1"/>
    <col min="2569" max="2569" width="15.5" style="4172" customWidth="1"/>
    <col min="2570" max="2570" width="12.125" style="4172" customWidth="1"/>
    <col min="2571" max="2571" width="12.75" style="4172" customWidth="1"/>
    <col min="2572" max="2816" width="9" style="4172"/>
    <col min="2817" max="2817" width="17.625" style="4172" customWidth="1"/>
    <col min="2818" max="2818" width="23.375" style="4172" customWidth="1"/>
    <col min="2819" max="2819" width="10" style="4172" customWidth="1"/>
    <col min="2820" max="2820" width="12.25" style="4172" customWidth="1"/>
    <col min="2821" max="2821" width="12.875" style="4172" customWidth="1"/>
    <col min="2822" max="2822" width="12.75" style="4172" customWidth="1"/>
    <col min="2823" max="2823" width="13.875" style="4172" customWidth="1"/>
    <col min="2824" max="2824" width="16.25" style="4172" customWidth="1"/>
    <col min="2825" max="2825" width="15.5" style="4172" customWidth="1"/>
    <col min="2826" max="2826" width="12.125" style="4172" customWidth="1"/>
    <col min="2827" max="2827" width="12.75" style="4172" customWidth="1"/>
    <col min="2828" max="3072" width="9" style="4172"/>
    <col min="3073" max="3073" width="17.625" style="4172" customWidth="1"/>
    <col min="3074" max="3074" width="23.375" style="4172" customWidth="1"/>
    <col min="3075" max="3075" width="10" style="4172" customWidth="1"/>
    <col min="3076" max="3076" width="12.25" style="4172" customWidth="1"/>
    <col min="3077" max="3077" width="12.875" style="4172" customWidth="1"/>
    <col min="3078" max="3078" width="12.75" style="4172" customWidth="1"/>
    <col min="3079" max="3079" width="13.875" style="4172" customWidth="1"/>
    <col min="3080" max="3080" width="16.25" style="4172" customWidth="1"/>
    <col min="3081" max="3081" width="15.5" style="4172" customWidth="1"/>
    <col min="3082" max="3082" width="12.125" style="4172" customWidth="1"/>
    <col min="3083" max="3083" width="12.75" style="4172" customWidth="1"/>
    <col min="3084" max="3328" width="9" style="4172"/>
    <col min="3329" max="3329" width="17.625" style="4172" customWidth="1"/>
    <col min="3330" max="3330" width="23.375" style="4172" customWidth="1"/>
    <col min="3331" max="3331" width="10" style="4172" customWidth="1"/>
    <col min="3332" max="3332" width="12.25" style="4172" customWidth="1"/>
    <col min="3333" max="3333" width="12.875" style="4172" customWidth="1"/>
    <col min="3334" max="3334" width="12.75" style="4172" customWidth="1"/>
    <col min="3335" max="3335" width="13.875" style="4172" customWidth="1"/>
    <col min="3336" max="3336" width="16.25" style="4172" customWidth="1"/>
    <col min="3337" max="3337" width="15.5" style="4172" customWidth="1"/>
    <col min="3338" max="3338" width="12.125" style="4172" customWidth="1"/>
    <col min="3339" max="3339" width="12.75" style="4172" customWidth="1"/>
    <col min="3340" max="3584" width="9" style="4172"/>
    <col min="3585" max="3585" width="17.625" style="4172" customWidth="1"/>
    <col min="3586" max="3586" width="23.375" style="4172" customWidth="1"/>
    <col min="3587" max="3587" width="10" style="4172" customWidth="1"/>
    <col min="3588" max="3588" width="12.25" style="4172" customWidth="1"/>
    <col min="3589" max="3589" width="12.875" style="4172" customWidth="1"/>
    <col min="3590" max="3590" width="12.75" style="4172" customWidth="1"/>
    <col min="3591" max="3591" width="13.875" style="4172" customWidth="1"/>
    <col min="3592" max="3592" width="16.25" style="4172" customWidth="1"/>
    <col min="3593" max="3593" width="15.5" style="4172" customWidth="1"/>
    <col min="3594" max="3594" width="12.125" style="4172" customWidth="1"/>
    <col min="3595" max="3595" width="12.75" style="4172" customWidth="1"/>
    <col min="3596" max="3840" width="9" style="4172"/>
    <col min="3841" max="3841" width="17.625" style="4172" customWidth="1"/>
    <col min="3842" max="3842" width="23.375" style="4172" customWidth="1"/>
    <col min="3843" max="3843" width="10" style="4172" customWidth="1"/>
    <col min="3844" max="3844" width="12.25" style="4172" customWidth="1"/>
    <col min="3845" max="3845" width="12.875" style="4172" customWidth="1"/>
    <col min="3846" max="3846" width="12.75" style="4172" customWidth="1"/>
    <col min="3847" max="3847" width="13.875" style="4172" customWidth="1"/>
    <col min="3848" max="3848" width="16.25" style="4172" customWidth="1"/>
    <col min="3849" max="3849" width="15.5" style="4172" customWidth="1"/>
    <col min="3850" max="3850" width="12.125" style="4172" customWidth="1"/>
    <col min="3851" max="3851" width="12.75" style="4172" customWidth="1"/>
    <col min="3852" max="4096" width="9" style="4172"/>
    <col min="4097" max="4097" width="17.625" style="4172" customWidth="1"/>
    <col min="4098" max="4098" width="23.375" style="4172" customWidth="1"/>
    <col min="4099" max="4099" width="10" style="4172" customWidth="1"/>
    <col min="4100" max="4100" width="12.25" style="4172" customWidth="1"/>
    <col min="4101" max="4101" width="12.875" style="4172" customWidth="1"/>
    <col min="4102" max="4102" width="12.75" style="4172" customWidth="1"/>
    <col min="4103" max="4103" width="13.875" style="4172" customWidth="1"/>
    <col min="4104" max="4104" width="16.25" style="4172" customWidth="1"/>
    <col min="4105" max="4105" width="15.5" style="4172" customWidth="1"/>
    <col min="4106" max="4106" width="12.125" style="4172" customWidth="1"/>
    <col min="4107" max="4107" width="12.75" style="4172" customWidth="1"/>
    <col min="4108" max="4352" width="9" style="4172"/>
    <col min="4353" max="4353" width="17.625" style="4172" customWidth="1"/>
    <col min="4354" max="4354" width="23.375" style="4172" customWidth="1"/>
    <col min="4355" max="4355" width="10" style="4172" customWidth="1"/>
    <col min="4356" max="4356" width="12.25" style="4172" customWidth="1"/>
    <col min="4357" max="4357" width="12.875" style="4172" customWidth="1"/>
    <col min="4358" max="4358" width="12.75" style="4172" customWidth="1"/>
    <col min="4359" max="4359" width="13.875" style="4172" customWidth="1"/>
    <col min="4360" max="4360" width="16.25" style="4172" customWidth="1"/>
    <col min="4361" max="4361" width="15.5" style="4172" customWidth="1"/>
    <col min="4362" max="4362" width="12.125" style="4172" customWidth="1"/>
    <col min="4363" max="4363" width="12.75" style="4172" customWidth="1"/>
    <col min="4364" max="4608" width="9" style="4172"/>
    <col min="4609" max="4609" width="17.625" style="4172" customWidth="1"/>
    <col min="4610" max="4610" width="23.375" style="4172" customWidth="1"/>
    <col min="4611" max="4611" width="10" style="4172" customWidth="1"/>
    <col min="4612" max="4612" width="12.25" style="4172" customWidth="1"/>
    <col min="4613" max="4613" width="12.875" style="4172" customWidth="1"/>
    <col min="4614" max="4614" width="12.75" style="4172" customWidth="1"/>
    <col min="4615" max="4615" width="13.875" style="4172" customWidth="1"/>
    <col min="4616" max="4616" width="16.25" style="4172" customWidth="1"/>
    <col min="4617" max="4617" width="15.5" style="4172" customWidth="1"/>
    <col min="4618" max="4618" width="12.125" style="4172" customWidth="1"/>
    <col min="4619" max="4619" width="12.75" style="4172" customWidth="1"/>
    <col min="4620" max="4864" width="9" style="4172"/>
    <col min="4865" max="4865" width="17.625" style="4172" customWidth="1"/>
    <col min="4866" max="4866" width="23.375" style="4172" customWidth="1"/>
    <col min="4867" max="4867" width="10" style="4172" customWidth="1"/>
    <col min="4868" max="4868" width="12.25" style="4172" customWidth="1"/>
    <col min="4869" max="4869" width="12.875" style="4172" customWidth="1"/>
    <col min="4870" max="4870" width="12.75" style="4172" customWidth="1"/>
    <col min="4871" max="4871" width="13.875" style="4172" customWidth="1"/>
    <col min="4872" max="4872" width="16.25" style="4172" customWidth="1"/>
    <col min="4873" max="4873" width="15.5" style="4172" customWidth="1"/>
    <col min="4874" max="4874" width="12.125" style="4172" customWidth="1"/>
    <col min="4875" max="4875" width="12.75" style="4172" customWidth="1"/>
    <col min="4876" max="5120" width="9" style="4172"/>
    <col min="5121" max="5121" width="17.625" style="4172" customWidth="1"/>
    <col min="5122" max="5122" width="23.375" style="4172" customWidth="1"/>
    <col min="5123" max="5123" width="10" style="4172" customWidth="1"/>
    <col min="5124" max="5124" width="12.25" style="4172" customWidth="1"/>
    <col min="5125" max="5125" width="12.875" style="4172" customWidth="1"/>
    <col min="5126" max="5126" width="12.75" style="4172" customWidth="1"/>
    <col min="5127" max="5127" width="13.875" style="4172" customWidth="1"/>
    <col min="5128" max="5128" width="16.25" style="4172" customWidth="1"/>
    <col min="5129" max="5129" width="15.5" style="4172" customWidth="1"/>
    <col min="5130" max="5130" width="12.125" style="4172" customWidth="1"/>
    <col min="5131" max="5131" width="12.75" style="4172" customWidth="1"/>
    <col min="5132" max="5376" width="9" style="4172"/>
    <col min="5377" max="5377" width="17.625" style="4172" customWidth="1"/>
    <col min="5378" max="5378" width="23.375" style="4172" customWidth="1"/>
    <col min="5379" max="5379" width="10" style="4172" customWidth="1"/>
    <col min="5380" max="5380" width="12.25" style="4172" customWidth="1"/>
    <col min="5381" max="5381" width="12.875" style="4172" customWidth="1"/>
    <col min="5382" max="5382" width="12.75" style="4172" customWidth="1"/>
    <col min="5383" max="5383" width="13.875" style="4172" customWidth="1"/>
    <col min="5384" max="5384" width="16.25" style="4172" customWidth="1"/>
    <col min="5385" max="5385" width="15.5" style="4172" customWidth="1"/>
    <col min="5386" max="5386" width="12.125" style="4172" customWidth="1"/>
    <col min="5387" max="5387" width="12.75" style="4172" customWidth="1"/>
    <col min="5388" max="5632" width="9" style="4172"/>
    <col min="5633" max="5633" width="17.625" style="4172" customWidth="1"/>
    <col min="5634" max="5634" width="23.375" style="4172" customWidth="1"/>
    <col min="5635" max="5635" width="10" style="4172" customWidth="1"/>
    <col min="5636" max="5636" width="12.25" style="4172" customWidth="1"/>
    <col min="5637" max="5637" width="12.875" style="4172" customWidth="1"/>
    <col min="5638" max="5638" width="12.75" style="4172" customWidth="1"/>
    <col min="5639" max="5639" width="13.875" style="4172" customWidth="1"/>
    <col min="5640" max="5640" width="16.25" style="4172" customWidth="1"/>
    <col min="5641" max="5641" width="15.5" style="4172" customWidth="1"/>
    <col min="5642" max="5642" width="12.125" style="4172" customWidth="1"/>
    <col min="5643" max="5643" width="12.75" style="4172" customWidth="1"/>
    <col min="5644" max="5888" width="9" style="4172"/>
    <col min="5889" max="5889" width="17.625" style="4172" customWidth="1"/>
    <col min="5890" max="5890" width="23.375" style="4172" customWidth="1"/>
    <col min="5891" max="5891" width="10" style="4172" customWidth="1"/>
    <col min="5892" max="5892" width="12.25" style="4172" customWidth="1"/>
    <col min="5893" max="5893" width="12.875" style="4172" customWidth="1"/>
    <col min="5894" max="5894" width="12.75" style="4172" customWidth="1"/>
    <col min="5895" max="5895" width="13.875" style="4172" customWidth="1"/>
    <col min="5896" max="5896" width="16.25" style="4172" customWidth="1"/>
    <col min="5897" max="5897" width="15.5" style="4172" customWidth="1"/>
    <col min="5898" max="5898" width="12.125" style="4172" customWidth="1"/>
    <col min="5899" max="5899" width="12.75" style="4172" customWidth="1"/>
    <col min="5900" max="6144" width="9" style="4172"/>
    <col min="6145" max="6145" width="17.625" style="4172" customWidth="1"/>
    <col min="6146" max="6146" width="23.375" style="4172" customWidth="1"/>
    <col min="6147" max="6147" width="10" style="4172" customWidth="1"/>
    <col min="6148" max="6148" width="12.25" style="4172" customWidth="1"/>
    <col min="6149" max="6149" width="12.875" style="4172" customWidth="1"/>
    <col min="6150" max="6150" width="12.75" style="4172" customWidth="1"/>
    <col min="6151" max="6151" width="13.875" style="4172" customWidth="1"/>
    <col min="6152" max="6152" width="16.25" style="4172" customWidth="1"/>
    <col min="6153" max="6153" width="15.5" style="4172" customWidth="1"/>
    <col min="6154" max="6154" width="12.125" style="4172" customWidth="1"/>
    <col min="6155" max="6155" width="12.75" style="4172" customWidth="1"/>
    <col min="6156" max="6400" width="9" style="4172"/>
    <col min="6401" max="6401" width="17.625" style="4172" customWidth="1"/>
    <col min="6402" max="6402" width="23.375" style="4172" customWidth="1"/>
    <col min="6403" max="6403" width="10" style="4172" customWidth="1"/>
    <col min="6404" max="6404" width="12.25" style="4172" customWidth="1"/>
    <col min="6405" max="6405" width="12.875" style="4172" customWidth="1"/>
    <col min="6406" max="6406" width="12.75" style="4172" customWidth="1"/>
    <col min="6407" max="6407" width="13.875" style="4172" customWidth="1"/>
    <col min="6408" max="6408" width="16.25" style="4172" customWidth="1"/>
    <col min="6409" max="6409" width="15.5" style="4172" customWidth="1"/>
    <col min="6410" max="6410" width="12.125" style="4172" customWidth="1"/>
    <col min="6411" max="6411" width="12.75" style="4172" customWidth="1"/>
    <col min="6412" max="6656" width="9" style="4172"/>
    <col min="6657" max="6657" width="17.625" style="4172" customWidth="1"/>
    <col min="6658" max="6658" width="23.375" style="4172" customWidth="1"/>
    <col min="6659" max="6659" width="10" style="4172" customWidth="1"/>
    <col min="6660" max="6660" width="12.25" style="4172" customWidth="1"/>
    <col min="6661" max="6661" width="12.875" style="4172" customWidth="1"/>
    <col min="6662" max="6662" width="12.75" style="4172" customWidth="1"/>
    <col min="6663" max="6663" width="13.875" style="4172" customWidth="1"/>
    <col min="6664" max="6664" width="16.25" style="4172" customWidth="1"/>
    <col min="6665" max="6665" width="15.5" style="4172" customWidth="1"/>
    <col min="6666" max="6666" width="12.125" style="4172" customWidth="1"/>
    <col min="6667" max="6667" width="12.75" style="4172" customWidth="1"/>
    <col min="6668" max="6912" width="9" style="4172"/>
    <col min="6913" max="6913" width="17.625" style="4172" customWidth="1"/>
    <col min="6914" max="6914" width="23.375" style="4172" customWidth="1"/>
    <col min="6915" max="6915" width="10" style="4172" customWidth="1"/>
    <col min="6916" max="6916" width="12.25" style="4172" customWidth="1"/>
    <col min="6917" max="6917" width="12.875" style="4172" customWidth="1"/>
    <col min="6918" max="6918" width="12.75" style="4172" customWidth="1"/>
    <col min="6919" max="6919" width="13.875" style="4172" customWidth="1"/>
    <col min="6920" max="6920" width="16.25" style="4172" customWidth="1"/>
    <col min="6921" max="6921" width="15.5" style="4172" customWidth="1"/>
    <col min="6922" max="6922" width="12.125" style="4172" customWidth="1"/>
    <col min="6923" max="6923" width="12.75" style="4172" customWidth="1"/>
    <col min="6924" max="7168" width="9" style="4172"/>
    <col min="7169" max="7169" width="17.625" style="4172" customWidth="1"/>
    <col min="7170" max="7170" width="23.375" style="4172" customWidth="1"/>
    <col min="7171" max="7171" width="10" style="4172" customWidth="1"/>
    <col min="7172" max="7172" width="12.25" style="4172" customWidth="1"/>
    <col min="7173" max="7173" width="12.875" style="4172" customWidth="1"/>
    <col min="7174" max="7174" width="12.75" style="4172" customWidth="1"/>
    <col min="7175" max="7175" width="13.875" style="4172" customWidth="1"/>
    <col min="7176" max="7176" width="16.25" style="4172" customWidth="1"/>
    <col min="7177" max="7177" width="15.5" style="4172" customWidth="1"/>
    <col min="7178" max="7178" width="12.125" style="4172" customWidth="1"/>
    <col min="7179" max="7179" width="12.75" style="4172" customWidth="1"/>
    <col min="7180" max="7424" width="9" style="4172"/>
    <col min="7425" max="7425" width="17.625" style="4172" customWidth="1"/>
    <col min="7426" max="7426" width="23.375" style="4172" customWidth="1"/>
    <col min="7427" max="7427" width="10" style="4172" customWidth="1"/>
    <col min="7428" max="7428" width="12.25" style="4172" customWidth="1"/>
    <col min="7429" max="7429" width="12.875" style="4172" customWidth="1"/>
    <col min="7430" max="7430" width="12.75" style="4172" customWidth="1"/>
    <col min="7431" max="7431" width="13.875" style="4172" customWidth="1"/>
    <col min="7432" max="7432" width="16.25" style="4172" customWidth="1"/>
    <col min="7433" max="7433" width="15.5" style="4172" customWidth="1"/>
    <col min="7434" max="7434" width="12.125" style="4172" customWidth="1"/>
    <col min="7435" max="7435" width="12.75" style="4172" customWidth="1"/>
    <col min="7436" max="7680" width="9" style="4172"/>
    <col min="7681" max="7681" width="17.625" style="4172" customWidth="1"/>
    <col min="7682" max="7682" width="23.375" style="4172" customWidth="1"/>
    <col min="7683" max="7683" width="10" style="4172" customWidth="1"/>
    <col min="7684" max="7684" width="12.25" style="4172" customWidth="1"/>
    <col min="7685" max="7685" width="12.875" style="4172" customWidth="1"/>
    <col min="7686" max="7686" width="12.75" style="4172" customWidth="1"/>
    <col min="7687" max="7687" width="13.875" style="4172" customWidth="1"/>
    <col min="7688" max="7688" width="16.25" style="4172" customWidth="1"/>
    <col min="7689" max="7689" width="15.5" style="4172" customWidth="1"/>
    <col min="7690" max="7690" width="12.125" style="4172" customWidth="1"/>
    <col min="7691" max="7691" width="12.75" style="4172" customWidth="1"/>
    <col min="7692" max="7936" width="9" style="4172"/>
    <col min="7937" max="7937" width="17.625" style="4172" customWidth="1"/>
    <col min="7938" max="7938" width="23.375" style="4172" customWidth="1"/>
    <col min="7939" max="7939" width="10" style="4172" customWidth="1"/>
    <col min="7940" max="7940" width="12.25" style="4172" customWidth="1"/>
    <col min="7941" max="7941" width="12.875" style="4172" customWidth="1"/>
    <col min="7942" max="7942" width="12.75" style="4172" customWidth="1"/>
    <col min="7943" max="7943" width="13.875" style="4172" customWidth="1"/>
    <col min="7944" max="7944" width="16.25" style="4172" customWidth="1"/>
    <col min="7945" max="7945" width="15.5" style="4172" customWidth="1"/>
    <col min="7946" max="7946" width="12.125" style="4172" customWidth="1"/>
    <col min="7947" max="7947" width="12.75" style="4172" customWidth="1"/>
    <col min="7948" max="8192" width="9" style="4172"/>
    <col min="8193" max="8193" width="17.625" style="4172" customWidth="1"/>
    <col min="8194" max="8194" width="23.375" style="4172" customWidth="1"/>
    <col min="8195" max="8195" width="10" style="4172" customWidth="1"/>
    <col min="8196" max="8196" width="12.25" style="4172" customWidth="1"/>
    <col min="8197" max="8197" width="12.875" style="4172" customWidth="1"/>
    <col min="8198" max="8198" width="12.75" style="4172" customWidth="1"/>
    <col min="8199" max="8199" width="13.875" style="4172" customWidth="1"/>
    <col min="8200" max="8200" width="16.25" style="4172" customWidth="1"/>
    <col min="8201" max="8201" width="15.5" style="4172" customWidth="1"/>
    <col min="8202" max="8202" width="12.125" style="4172" customWidth="1"/>
    <col min="8203" max="8203" width="12.75" style="4172" customWidth="1"/>
    <col min="8204" max="8448" width="9" style="4172"/>
    <col min="8449" max="8449" width="17.625" style="4172" customWidth="1"/>
    <col min="8450" max="8450" width="23.375" style="4172" customWidth="1"/>
    <col min="8451" max="8451" width="10" style="4172" customWidth="1"/>
    <col min="8452" max="8452" width="12.25" style="4172" customWidth="1"/>
    <col min="8453" max="8453" width="12.875" style="4172" customWidth="1"/>
    <col min="8454" max="8454" width="12.75" style="4172" customWidth="1"/>
    <col min="8455" max="8455" width="13.875" style="4172" customWidth="1"/>
    <col min="8456" max="8456" width="16.25" style="4172" customWidth="1"/>
    <col min="8457" max="8457" width="15.5" style="4172" customWidth="1"/>
    <col min="8458" max="8458" width="12.125" style="4172" customWidth="1"/>
    <col min="8459" max="8459" width="12.75" style="4172" customWidth="1"/>
    <col min="8460" max="8704" width="9" style="4172"/>
    <col min="8705" max="8705" width="17.625" style="4172" customWidth="1"/>
    <col min="8706" max="8706" width="23.375" style="4172" customWidth="1"/>
    <col min="8707" max="8707" width="10" style="4172" customWidth="1"/>
    <col min="8708" max="8708" width="12.25" style="4172" customWidth="1"/>
    <col min="8709" max="8709" width="12.875" style="4172" customWidth="1"/>
    <col min="8710" max="8710" width="12.75" style="4172" customWidth="1"/>
    <col min="8711" max="8711" width="13.875" style="4172" customWidth="1"/>
    <col min="8712" max="8712" width="16.25" style="4172" customWidth="1"/>
    <col min="8713" max="8713" width="15.5" style="4172" customWidth="1"/>
    <col min="8714" max="8714" width="12.125" style="4172" customWidth="1"/>
    <col min="8715" max="8715" width="12.75" style="4172" customWidth="1"/>
    <col min="8716" max="8960" width="9" style="4172"/>
    <col min="8961" max="8961" width="17.625" style="4172" customWidth="1"/>
    <col min="8962" max="8962" width="23.375" style="4172" customWidth="1"/>
    <col min="8963" max="8963" width="10" style="4172" customWidth="1"/>
    <col min="8964" max="8964" width="12.25" style="4172" customWidth="1"/>
    <col min="8965" max="8965" width="12.875" style="4172" customWidth="1"/>
    <col min="8966" max="8966" width="12.75" style="4172" customWidth="1"/>
    <col min="8967" max="8967" width="13.875" style="4172" customWidth="1"/>
    <col min="8968" max="8968" width="16.25" style="4172" customWidth="1"/>
    <col min="8969" max="8969" width="15.5" style="4172" customWidth="1"/>
    <col min="8970" max="8970" width="12.125" style="4172" customWidth="1"/>
    <col min="8971" max="8971" width="12.75" style="4172" customWidth="1"/>
    <col min="8972" max="9216" width="9" style="4172"/>
    <col min="9217" max="9217" width="17.625" style="4172" customWidth="1"/>
    <col min="9218" max="9218" width="23.375" style="4172" customWidth="1"/>
    <col min="9219" max="9219" width="10" style="4172" customWidth="1"/>
    <col min="9220" max="9220" width="12.25" style="4172" customWidth="1"/>
    <col min="9221" max="9221" width="12.875" style="4172" customWidth="1"/>
    <col min="9222" max="9222" width="12.75" style="4172" customWidth="1"/>
    <col min="9223" max="9223" width="13.875" style="4172" customWidth="1"/>
    <col min="9224" max="9224" width="16.25" style="4172" customWidth="1"/>
    <col min="9225" max="9225" width="15.5" style="4172" customWidth="1"/>
    <col min="9226" max="9226" width="12.125" style="4172" customWidth="1"/>
    <col min="9227" max="9227" width="12.75" style="4172" customWidth="1"/>
    <col min="9228" max="9472" width="9" style="4172"/>
    <col min="9473" max="9473" width="17.625" style="4172" customWidth="1"/>
    <col min="9474" max="9474" width="23.375" style="4172" customWidth="1"/>
    <col min="9475" max="9475" width="10" style="4172" customWidth="1"/>
    <col min="9476" max="9476" width="12.25" style="4172" customWidth="1"/>
    <col min="9477" max="9477" width="12.875" style="4172" customWidth="1"/>
    <col min="9478" max="9478" width="12.75" style="4172" customWidth="1"/>
    <col min="9479" max="9479" width="13.875" style="4172" customWidth="1"/>
    <col min="9480" max="9480" width="16.25" style="4172" customWidth="1"/>
    <col min="9481" max="9481" width="15.5" style="4172" customWidth="1"/>
    <col min="9482" max="9482" width="12.125" style="4172" customWidth="1"/>
    <col min="9483" max="9483" width="12.75" style="4172" customWidth="1"/>
    <col min="9484" max="9728" width="9" style="4172"/>
    <col min="9729" max="9729" width="17.625" style="4172" customWidth="1"/>
    <col min="9730" max="9730" width="23.375" style="4172" customWidth="1"/>
    <col min="9731" max="9731" width="10" style="4172" customWidth="1"/>
    <col min="9732" max="9732" width="12.25" style="4172" customWidth="1"/>
    <col min="9733" max="9733" width="12.875" style="4172" customWidth="1"/>
    <col min="9734" max="9734" width="12.75" style="4172" customWidth="1"/>
    <col min="9735" max="9735" width="13.875" style="4172" customWidth="1"/>
    <col min="9736" max="9736" width="16.25" style="4172" customWidth="1"/>
    <col min="9737" max="9737" width="15.5" style="4172" customWidth="1"/>
    <col min="9738" max="9738" width="12.125" style="4172" customWidth="1"/>
    <col min="9739" max="9739" width="12.75" style="4172" customWidth="1"/>
    <col min="9740" max="9984" width="9" style="4172"/>
    <col min="9985" max="9985" width="17.625" style="4172" customWidth="1"/>
    <col min="9986" max="9986" width="23.375" style="4172" customWidth="1"/>
    <col min="9987" max="9987" width="10" style="4172" customWidth="1"/>
    <col min="9988" max="9988" width="12.25" style="4172" customWidth="1"/>
    <col min="9989" max="9989" width="12.875" style="4172" customWidth="1"/>
    <col min="9990" max="9990" width="12.75" style="4172" customWidth="1"/>
    <col min="9991" max="9991" width="13.875" style="4172" customWidth="1"/>
    <col min="9992" max="9992" width="16.25" style="4172" customWidth="1"/>
    <col min="9993" max="9993" width="15.5" style="4172" customWidth="1"/>
    <col min="9994" max="9994" width="12.125" style="4172" customWidth="1"/>
    <col min="9995" max="9995" width="12.75" style="4172" customWidth="1"/>
    <col min="9996" max="10240" width="9" style="4172"/>
    <col min="10241" max="10241" width="17.625" style="4172" customWidth="1"/>
    <col min="10242" max="10242" width="23.375" style="4172" customWidth="1"/>
    <col min="10243" max="10243" width="10" style="4172" customWidth="1"/>
    <col min="10244" max="10244" width="12.25" style="4172" customWidth="1"/>
    <col min="10245" max="10245" width="12.875" style="4172" customWidth="1"/>
    <col min="10246" max="10246" width="12.75" style="4172" customWidth="1"/>
    <col min="10247" max="10247" width="13.875" style="4172" customWidth="1"/>
    <col min="10248" max="10248" width="16.25" style="4172" customWidth="1"/>
    <col min="10249" max="10249" width="15.5" style="4172" customWidth="1"/>
    <col min="10250" max="10250" width="12.125" style="4172" customWidth="1"/>
    <col min="10251" max="10251" width="12.75" style="4172" customWidth="1"/>
    <col min="10252" max="10496" width="9" style="4172"/>
    <col min="10497" max="10497" width="17.625" style="4172" customWidth="1"/>
    <col min="10498" max="10498" width="23.375" style="4172" customWidth="1"/>
    <col min="10499" max="10499" width="10" style="4172" customWidth="1"/>
    <col min="10500" max="10500" width="12.25" style="4172" customWidth="1"/>
    <col min="10501" max="10501" width="12.875" style="4172" customWidth="1"/>
    <col min="10502" max="10502" width="12.75" style="4172" customWidth="1"/>
    <col min="10503" max="10503" width="13.875" style="4172" customWidth="1"/>
    <col min="10504" max="10504" width="16.25" style="4172" customWidth="1"/>
    <col min="10505" max="10505" width="15.5" style="4172" customWidth="1"/>
    <col min="10506" max="10506" width="12.125" style="4172" customWidth="1"/>
    <col min="10507" max="10507" width="12.75" style="4172" customWidth="1"/>
    <col min="10508" max="10752" width="9" style="4172"/>
    <col min="10753" max="10753" width="17.625" style="4172" customWidth="1"/>
    <col min="10754" max="10754" width="23.375" style="4172" customWidth="1"/>
    <col min="10755" max="10755" width="10" style="4172" customWidth="1"/>
    <col min="10756" max="10756" width="12.25" style="4172" customWidth="1"/>
    <col min="10757" max="10757" width="12.875" style="4172" customWidth="1"/>
    <col min="10758" max="10758" width="12.75" style="4172" customWidth="1"/>
    <col min="10759" max="10759" width="13.875" style="4172" customWidth="1"/>
    <col min="10760" max="10760" width="16.25" style="4172" customWidth="1"/>
    <col min="10761" max="10761" width="15.5" style="4172" customWidth="1"/>
    <col min="10762" max="10762" width="12.125" style="4172" customWidth="1"/>
    <col min="10763" max="10763" width="12.75" style="4172" customWidth="1"/>
    <col min="10764" max="11008" width="9" style="4172"/>
    <col min="11009" max="11009" width="17.625" style="4172" customWidth="1"/>
    <col min="11010" max="11010" width="23.375" style="4172" customWidth="1"/>
    <col min="11011" max="11011" width="10" style="4172" customWidth="1"/>
    <col min="11012" max="11012" width="12.25" style="4172" customWidth="1"/>
    <col min="11013" max="11013" width="12.875" style="4172" customWidth="1"/>
    <col min="11014" max="11014" width="12.75" style="4172" customWidth="1"/>
    <col min="11015" max="11015" width="13.875" style="4172" customWidth="1"/>
    <col min="11016" max="11016" width="16.25" style="4172" customWidth="1"/>
    <col min="11017" max="11017" width="15.5" style="4172" customWidth="1"/>
    <col min="11018" max="11018" width="12.125" style="4172" customWidth="1"/>
    <col min="11019" max="11019" width="12.75" style="4172" customWidth="1"/>
    <col min="11020" max="11264" width="9" style="4172"/>
    <col min="11265" max="11265" width="17.625" style="4172" customWidth="1"/>
    <col min="11266" max="11266" width="23.375" style="4172" customWidth="1"/>
    <col min="11267" max="11267" width="10" style="4172" customWidth="1"/>
    <col min="11268" max="11268" width="12.25" style="4172" customWidth="1"/>
    <col min="11269" max="11269" width="12.875" style="4172" customWidth="1"/>
    <col min="11270" max="11270" width="12.75" style="4172" customWidth="1"/>
    <col min="11271" max="11271" width="13.875" style="4172" customWidth="1"/>
    <col min="11272" max="11272" width="16.25" style="4172" customWidth="1"/>
    <col min="11273" max="11273" width="15.5" style="4172" customWidth="1"/>
    <col min="11274" max="11274" width="12.125" style="4172" customWidth="1"/>
    <col min="11275" max="11275" width="12.75" style="4172" customWidth="1"/>
    <col min="11276" max="11520" width="9" style="4172"/>
    <col min="11521" max="11521" width="17.625" style="4172" customWidth="1"/>
    <col min="11522" max="11522" width="23.375" style="4172" customWidth="1"/>
    <col min="11523" max="11523" width="10" style="4172" customWidth="1"/>
    <col min="11524" max="11524" width="12.25" style="4172" customWidth="1"/>
    <col min="11525" max="11525" width="12.875" style="4172" customWidth="1"/>
    <col min="11526" max="11526" width="12.75" style="4172" customWidth="1"/>
    <col min="11527" max="11527" width="13.875" style="4172" customWidth="1"/>
    <col min="11528" max="11528" width="16.25" style="4172" customWidth="1"/>
    <col min="11529" max="11529" width="15.5" style="4172" customWidth="1"/>
    <col min="11530" max="11530" width="12.125" style="4172" customWidth="1"/>
    <col min="11531" max="11531" width="12.75" style="4172" customWidth="1"/>
    <col min="11532" max="11776" width="9" style="4172"/>
    <col min="11777" max="11777" width="17.625" style="4172" customWidth="1"/>
    <col min="11778" max="11778" width="23.375" style="4172" customWidth="1"/>
    <col min="11779" max="11779" width="10" style="4172" customWidth="1"/>
    <col min="11780" max="11780" width="12.25" style="4172" customWidth="1"/>
    <col min="11781" max="11781" width="12.875" style="4172" customWidth="1"/>
    <col min="11782" max="11782" width="12.75" style="4172" customWidth="1"/>
    <col min="11783" max="11783" width="13.875" style="4172" customWidth="1"/>
    <col min="11784" max="11784" width="16.25" style="4172" customWidth="1"/>
    <col min="11785" max="11785" width="15.5" style="4172" customWidth="1"/>
    <col min="11786" max="11786" width="12.125" style="4172" customWidth="1"/>
    <col min="11787" max="11787" width="12.75" style="4172" customWidth="1"/>
    <col min="11788" max="12032" width="9" style="4172"/>
    <col min="12033" max="12033" width="17.625" style="4172" customWidth="1"/>
    <col min="12034" max="12034" width="23.375" style="4172" customWidth="1"/>
    <col min="12035" max="12035" width="10" style="4172" customWidth="1"/>
    <col min="12036" max="12036" width="12.25" style="4172" customWidth="1"/>
    <col min="12037" max="12037" width="12.875" style="4172" customWidth="1"/>
    <col min="12038" max="12038" width="12.75" style="4172" customWidth="1"/>
    <col min="12039" max="12039" width="13.875" style="4172" customWidth="1"/>
    <col min="12040" max="12040" width="16.25" style="4172" customWidth="1"/>
    <col min="12041" max="12041" width="15.5" style="4172" customWidth="1"/>
    <col min="12042" max="12042" width="12.125" style="4172" customWidth="1"/>
    <col min="12043" max="12043" width="12.75" style="4172" customWidth="1"/>
    <col min="12044" max="12288" width="9" style="4172"/>
    <col min="12289" max="12289" width="17.625" style="4172" customWidth="1"/>
    <col min="12290" max="12290" width="23.375" style="4172" customWidth="1"/>
    <col min="12291" max="12291" width="10" style="4172" customWidth="1"/>
    <col min="12292" max="12292" width="12.25" style="4172" customWidth="1"/>
    <col min="12293" max="12293" width="12.875" style="4172" customWidth="1"/>
    <col min="12294" max="12294" width="12.75" style="4172" customWidth="1"/>
    <col min="12295" max="12295" width="13.875" style="4172" customWidth="1"/>
    <col min="12296" max="12296" width="16.25" style="4172" customWidth="1"/>
    <col min="12297" max="12297" width="15.5" style="4172" customWidth="1"/>
    <col min="12298" max="12298" width="12.125" style="4172" customWidth="1"/>
    <col min="12299" max="12299" width="12.75" style="4172" customWidth="1"/>
    <col min="12300" max="12544" width="9" style="4172"/>
    <col min="12545" max="12545" width="17.625" style="4172" customWidth="1"/>
    <col min="12546" max="12546" width="23.375" style="4172" customWidth="1"/>
    <col min="12547" max="12547" width="10" style="4172" customWidth="1"/>
    <col min="12548" max="12548" width="12.25" style="4172" customWidth="1"/>
    <col min="12549" max="12549" width="12.875" style="4172" customWidth="1"/>
    <col min="12550" max="12550" width="12.75" style="4172" customWidth="1"/>
    <col min="12551" max="12551" width="13.875" style="4172" customWidth="1"/>
    <col min="12552" max="12552" width="16.25" style="4172" customWidth="1"/>
    <col min="12553" max="12553" width="15.5" style="4172" customWidth="1"/>
    <col min="12554" max="12554" width="12.125" style="4172" customWidth="1"/>
    <col min="12555" max="12555" width="12.75" style="4172" customWidth="1"/>
    <col min="12556" max="12800" width="9" style="4172"/>
    <col min="12801" max="12801" width="17.625" style="4172" customWidth="1"/>
    <col min="12802" max="12802" width="23.375" style="4172" customWidth="1"/>
    <col min="12803" max="12803" width="10" style="4172" customWidth="1"/>
    <col min="12804" max="12804" width="12.25" style="4172" customWidth="1"/>
    <col min="12805" max="12805" width="12.875" style="4172" customWidth="1"/>
    <col min="12806" max="12806" width="12.75" style="4172" customWidth="1"/>
    <col min="12807" max="12807" width="13.875" style="4172" customWidth="1"/>
    <col min="12808" max="12808" width="16.25" style="4172" customWidth="1"/>
    <col min="12809" max="12809" width="15.5" style="4172" customWidth="1"/>
    <col min="12810" max="12810" width="12.125" style="4172" customWidth="1"/>
    <col min="12811" max="12811" width="12.75" style="4172" customWidth="1"/>
    <col min="12812" max="13056" width="9" style="4172"/>
    <col min="13057" max="13057" width="17.625" style="4172" customWidth="1"/>
    <col min="13058" max="13058" width="23.375" style="4172" customWidth="1"/>
    <col min="13059" max="13059" width="10" style="4172" customWidth="1"/>
    <col min="13060" max="13060" width="12.25" style="4172" customWidth="1"/>
    <col min="13061" max="13061" width="12.875" style="4172" customWidth="1"/>
    <col min="13062" max="13062" width="12.75" style="4172" customWidth="1"/>
    <col min="13063" max="13063" width="13.875" style="4172" customWidth="1"/>
    <col min="13064" max="13064" width="16.25" style="4172" customWidth="1"/>
    <col min="13065" max="13065" width="15.5" style="4172" customWidth="1"/>
    <col min="13066" max="13066" width="12.125" style="4172" customWidth="1"/>
    <col min="13067" max="13067" width="12.75" style="4172" customWidth="1"/>
    <col min="13068" max="13312" width="9" style="4172"/>
    <col min="13313" max="13313" width="17.625" style="4172" customWidth="1"/>
    <col min="13314" max="13314" width="23.375" style="4172" customWidth="1"/>
    <col min="13315" max="13315" width="10" style="4172" customWidth="1"/>
    <col min="13316" max="13316" width="12.25" style="4172" customWidth="1"/>
    <col min="13317" max="13317" width="12.875" style="4172" customWidth="1"/>
    <col min="13318" max="13318" width="12.75" style="4172" customWidth="1"/>
    <col min="13319" max="13319" width="13.875" style="4172" customWidth="1"/>
    <col min="13320" max="13320" width="16.25" style="4172" customWidth="1"/>
    <col min="13321" max="13321" width="15.5" style="4172" customWidth="1"/>
    <col min="13322" max="13322" width="12.125" style="4172" customWidth="1"/>
    <col min="13323" max="13323" width="12.75" style="4172" customWidth="1"/>
    <col min="13324" max="13568" width="9" style="4172"/>
    <col min="13569" max="13569" width="17.625" style="4172" customWidth="1"/>
    <col min="13570" max="13570" width="23.375" style="4172" customWidth="1"/>
    <col min="13571" max="13571" width="10" style="4172" customWidth="1"/>
    <col min="13572" max="13572" width="12.25" style="4172" customWidth="1"/>
    <col min="13573" max="13573" width="12.875" style="4172" customWidth="1"/>
    <col min="13574" max="13574" width="12.75" style="4172" customWidth="1"/>
    <col min="13575" max="13575" width="13.875" style="4172" customWidth="1"/>
    <col min="13576" max="13576" width="16.25" style="4172" customWidth="1"/>
    <col min="13577" max="13577" width="15.5" style="4172" customWidth="1"/>
    <col min="13578" max="13578" width="12.125" style="4172" customWidth="1"/>
    <col min="13579" max="13579" width="12.75" style="4172" customWidth="1"/>
    <col min="13580" max="13824" width="9" style="4172"/>
    <col min="13825" max="13825" width="17.625" style="4172" customWidth="1"/>
    <col min="13826" max="13826" width="23.375" style="4172" customWidth="1"/>
    <col min="13827" max="13827" width="10" style="4172" customWidth="1"/>
    <col min="13828" max="13828" width="12.25" style="4172" customWidth="1"/>
    <col min="13829" max="13829" width="12.875" style="4172" customWidth="1"/>
    <col min="13830" max="13830" width="12.75" style="4172" customWidth="1"/>
    <col min="13831" max="13831" width="13.875" style="4172" customWidth="1"/>
    <col min="13832" max="13832" width="16.25" style="4172" customWidth="1"/>
    <col min="13833" max="13833" width="15.5" style="4172" customWidth="1"/>
    <col min="13834" max="13834" width="12.125" style="4172" customWidth="1"/>
    <col min="13835" max="13835" width="12.75" style="4172" customWidth="1"/>
    <col min="13836" max="14080" width="9" style="4172"/>
    <col min="14081" max="14081" width="17.625" style="4172" customWidth="1"/>
    <col min="14082" max="14082" width="23.375" style="4172" customWidth="1"/>
    <col min="14083" max="14083" width="10" style="4172" customWidth="1"/>
    <col min="14084" max="14084" width="12.25" style="4172" customWidth="1"/>
    <col min="14085" max="14085" width="12.875" style="4172" customWidth="1"/>
    <col min="14086" max="14086" width="12.75" style="4172" customWidth="1"/>
    <col min="14087" max="14087" width="13.875" style="4172" customWidth="1"/>
    <col min="14088" max="14088" width="16.25" style="4172" customWidth="1"/>
    <col min="14089" max="14089" width="15.5" style="4172" customWidth="1"/>
    <col min="14090" max="14090" width="12.125" style="4172" customWidth="1"/>
    <col min="14091" max="14091" width="12.75" style="4172" customWidth="1"/>
    <col min="14092" max="14336" width="9" style="4172"/>
    <col min="14337" max="14337" width="17.625" style="4172" customWidth="1"/>
    <col min="14338" max="14338" width="23.375" style="4172" customWidth="1"/>
    <col min="14339" max="14339" width="10" style="4172" customWidth="1"/>
    <col min="14340" max="14340" width="12.25" style="4172" customWidth="1"/>
    <col min="14341" max="14341" width="12.875" style="4172" customWidth="1"/>
    <col min="14342" max="14342" width="12.75" style="4172" customWidth="1"/>
    <col min="14343" max="14343" width="13.875" style="4172" customWidth="1"/>
    <col min="14344" max="14344" width="16.25" style="4172" customWidth="1"/>
    <col min="14345" max="14345" width="15.5" style="4172" customWidth="1"/>
    <col min="14346" max="14346" width="12.125" style="4172" customWidth="1"/>
    <col min="14347" max="14347" width="12.75" style="4172" customWidth="1"/>
    <col min="14348" max="14592" width="9" style="4172"/>
    <col min="14593" max="14593" width="17.625" style="4172" customWidth="1"/>
    <col min="14594" max="14594" width="23.375" style="4172" customWidth="1"/>
    <col min="14595" max="14595" width="10" style="4172" customWidth="1"/>
    <col min="14596" max="14596" width="12.25" style="4172" customWidth="1"/>
    <col min="14597" max="14597" width="12.875" style="4172" customWidth="1"/>
    <col min="14598" max="14598" width="12.75" style="4172" customWidth="1"/>
    <col min="14599" max="14599" width="13.875" style="4172" customWidth="1"/>
    <col min="14600" max="14600" width="16.25" style="4172" customWidth="1"/>
    <col min="14601" max="14601" width="15.5" style="4172" customWidth="1"/>
    <col min="14602" max="14602" width="12.125" style="4172" customWidth="1"/>
    <col min="14603" max="14603" width="12.75" style="4172" customWidth="1"/>
    <col min="14604" max="14848" width="9" style="4172"/>
    <col min="14849" max="14849" width="17.625" style="4172" customWidth="1"/>
    <col min="14850" max="14850" width="23.375" style="4172" customWidth="1"/>
    <col min="14851" max="14851" width="10" style="4172" customWidth="1"/>
    <col min="14852" max="14852" width="12.25" style="4172" customWidth="1"/>
    <col min="14853" max="14853" width="12.875" style="4172" customWidth="1"/>
    <col min="14854" max="14854" width="12.75" style="4172" customWidth="1"/>
    <col min="14855" max="14855" width="13.875" style="4172" customWidth="1"/>
    <col min="14856" max="14856" width="16.25" style="4172" customWidth="1"/>
    <col min="14857" max="14857" width="15.5" style="4172" customWidth="1"/>
    <col min="14858" max="14858" width="12.125" style="4172" customWidth="1"/>
    <col min="14859" max="14859" width="12.75" style="4172" customWidth="1"/>
    <col min="14860" max="15104" width="9" style="4172"/>
    <col min="15105" max="15105" width="17.625" style="4172" customWidth="1"/>
    <col min="15106" max="15106" width="23.375" style="4172" customWidth="1"/>
    <col min="15107" max="15107" width="10" style="4172" customWidth="1"/>
    <col min="15108" max="15108" width="12.25" style="4172" customWidth="1"/>
    <col min="15109" max="15109" width="12.875" style="4172" customWidth="1"/>
    <col min="15110" max="15110" width="12.75" style="4172" customWidth="1"/>
    <col min="15111" max="15111" width="13.875" style="4172" customWidth="1"/>
    <col min="15112" max="15112" width="16.25" style="4172" customWidth="1"/>
    <col min="15113" max="15113" width="15.5" style="4172" customWidth="1"/>
    <col min="15114" max="15114" width="12.125" style="4172" customWidth="1"/>
    <col min="15115" max="15115" width="12.75" style="4172" customWidth="1"/>
    <col min="15116" max="15360" width="9" style="4172"/>
    <col min="15361" max="15361" width="17.625" style="4172" customWidth="1"/>
    <col min="15362" max="15362" width="23.375" style="4172" customWidth="1"/>
    <col min="15363" max="15363" width="10" style="4172" customWidth="1"/>
    <col min="15364" max="15364" width="12.25" style="4172" customWidth="1"/>
    <col min="15365" max="15365" width="12.875" style="4172" customWidth="1"/>
    <col min="15366" max="15366" width="12.75" style="4172" customWidth="1"/>
    <col min="15367" max="15367" width="13.875" style="4172" customWidth="1"/>
    <col min="15368" max="15368" width="16.25" style="4172" customWidth="1"/>
    <col min="15369" max="15369" width="15.5" style="4172" customWidth="1"/>
    <col min="15370" max="15370" width="12.125" style="4172" customWidth="1"/>
    <col min="15371" max="15371" width="12.75" style="4172" customWidth="1"/>
    <col min="15372" max="15616" width="9" style="4172"/>
    <col min="15617" max="15617" width="17.625" style="4172" customWidth="1"/>
    <col min="15618" max="15618" width="23.375" style="4172" customWidth="1"/>
    <col min="15619" max="15619" width="10" style="4172" customWidth="1"/>
    <col min="15620" max="15620" width="12.25" style="4172" customWidth="1"/>
    <col min="15621" max="15621" width="12.875" style="4172" customWidth="1"/>
    <col min="15622" max="15622" width="12.75" style="4172" customWidth="1"/>
    <col min="15623" max="15623" width="13.875" style="4172" customWidth="1"/>
    <col min="15624" max="15624" width="16.25" style="4172" customWidth="1"/>
    <col min="15625" max="15625" width="15.5" style="4172" customWidth="1"/>
    <col min="15626" max="15626" width="12.125" style="4172" customWidth="1"/>
    <col min="15627" max="15627" width="12.75" style="4172" customWidth="1"/>
    <col min="15628" max="15872" width="9" style="4172"/>
    <col min="15873" max="15873" width="17.625" style="4172" customWidth="1"/>
    <col min="15874" max="15874" width="23.375" style="4172" customWidth="1"/>
    <col min="15875" max="15875" width="10" style="4172" customWidth="1"/>
    <col min="15876" max="15876" width="12.25" style="4172" customWidth="1"/>
    <col min="15877" max="15877" width="12.875" style="4172" customWidth="1"/>
    <col min="15878" max="15878" width="12.75" style="4172" customWidth="1"/>
    <col min="15879" max="15879" width="13.875" style="4172" customWidth="1"/>
    <col min="15880" max="15880" width="16.25" style="4172" customWidth="1"/>
    <col min="15881" max="15881" width="15.5" style="4172" customWidth="1"/>
    <col min="15882" max="15882" width="12.125" style="4172" customWidth="1"/>
    <col min="15883" max="15883" width="12.75" style="4172" customWidth="1"/>
    <col min="15884" max="16128" width="9" style="4172"/>
    <col min="16129" max="16129" width="17.625" style="4172" customWidth="1"/>
    <col min="16130" max="16130" width="23.375" style="4172" customWidth="1"/>
    <col min="16131" max="16131" width="10" style="4172" customWidth="1"/>
    <col min="16132" max="16132" width="12.25" style="4172" customWidth="1"/>
    <col min="16133" max="16133" width="12.875" style="4172" customWidth="1"/>
    <col min="16134" max="16134" width="12.75" style="4172" customWidth="1"/>
    <col min="16135" max="16135" width="13.875" style="4172" customWidth="1"/>
    <col min="16136" max="16136" width="16.25" style="4172" customWidth="1"/>
    <col min="16137" max="16137" width="15.5" style="4172" customWidth="1"/>
    <col min="16138" max="16138" width="12.125" style="4172" customWidth="1"/>
    <col min="16139" max="16139" width="12.75" style="4172" customWidth="1"/>
    <col min="16140" max="16384" width="9" style="4172"/>
  </cols>
  <sheetData>
    <row r="1" spans="1:10" ht="45.75" customHeight="1">
      <c r="A1" s="4331" t="s">
        <v>374</v>
      </c>
      <c r="B1" s="4331"/>
      <c r="C1" s="4331"/>
      <c r="D1" s="4331"/>
      <c r="E1" s="4331"/>
      <c r="F1" s="4331"/>
      <c r="G1" s="4331"/>
      <c r="H1" s="4331"/>
      <c r="I1" s="4331"/>
    </row>
    <row r="2" spans="1:10" ht="37.5" customHeight="1">
      <c r="A2" s="4330" t="s">
        <v>375</v>
      </c>
      <c r="B2" s="4174"/>
      <c r="C2" s="4173" t="s">
        <v>376</v>
      </c>
      <c r="D2" s="4173" t="s">
        <v>377</v>
      </c>
      <c r="E2" s="4173" t="s">
        <v>378</v>
      </c>
      <c r="F2" s="4173" t="s">
        <v>379</v>
      </c>
      <c r="G2" s="4173" t="s">
        <v>380</v>
      </c>
      <c r="H2" s="4175" t="s">
        <v>381</v>
      </c>
      <c r="I2" s="4175" t="s">
        <v>382</v>
      </c>
    </row>
    <row r="3" spans="1:10" ht="14.25" customHeight="1">
      <c r="A3" s="4330"/>
      <c r="B3" s="4176" t="s">
        <v>383</v>
      </c>
      <c r="C3" s="4176">
        <v>356</v>
      </c>
      <c r="D3" s="4176">
        <v>180</v>
      </c>
      <c r="E3" s="4176">
        <v>0.7</v>
      </c>
      <c r="F3" s="4176">
        <v>0.3</v>
      </c>
      <c r="G3" s="4177">
        <f>C3/(D3^0.2)/(E3^0.15)/(F3^0.2)</f>
        <v>169.12450558729901</v>
      </c>
      <c r="H3" s="4177">
        <f>1000*G3/(3.142*I3)</f>
        <v>522.59245421350295</v>
      </c>
      <c r="I3" s="4176">
        <v>103</v>
      </c>
    </row>
    <row r="4" spans="1:10" ht="14.25" customHeight="1">
      <c r="A4" s="4330"/>
      <c r="B4" s="4332"/>
      <c r="C4" s="4332"/>
      <c r="D4" s="4332"/>
      <c r="E4" s="4332"/>
      <c r="F4" s="4332"/>
      <c r="G4" s="4332"/>
      <c r="H4" s="4332"/>
      <c r="I4" s="4332"/>
    </row>
    <row r="5" spans="1:10" ht="14.25" customHeight="1">
      <c r="A5" s="4330"/>
      <c r="B5" s="4176" t="s">
        <v>384</v>
      </c>
      <c r="C5" s="4176">
        <v>296</v>
      </c>
      <c r="D5" s="4176">
        <v>240</v>
      </c>
      <c r="E5" s="4176">
        <v>0.3</v>
      </c>
      <c r="F5" s="4176">
        <v>0.7</v>
      </c>
      <c r="G5" s="4177">
        <f>C5/(D5^0.2)/(E5^0.15)/(F5^0.35)</f>
        <v>134.24464182616799</v>
      </c>
      <c r="H5" s="4177">
        <f>1000*G5/(3.142*I5)</f>
        <v>414.81414294947803</v>
      </c>
      <c r="I5" s="4176">
        <v>103</v>
      </c>
    </row>
    <row r="6" spans="1:10" ht="14.25" customHeight="1">
      <c r="A6" s="4330"/>
      <c r="B6" s="4332"/>
      <c r="C6" s="4332"/>
      <c r="D6" s="4332"/>
      <c r="E6" s="4332"/>
      <c r="F6" s="4332"/>
      <c r="G6" s="4332"/>
      <c r="H6" s="4332"/>
      <c r="I6" s="4332"/>
    </row>
    <row r="7" spans="1:10" ht="14.25" customHeight="1">
      <c r="A7" s="4330"/>
      <c r="B7" s="4176" t="s">
        <v>385</v>
      </c>
      <c r="C7" s="4176">
        <v>288</v>
      </c>
      <c r="D7" s="4176">
        <v>240</v>
      </c>
      <c r="E7" s="4176">
        <v>2.5</v>
      </c>
      <c r="F7" s="4176">
        <v>0.75</v>
      </c>
      <c r="G7" s="4177">
        <f>C7/(D7^0.2)/(E7^0.15)/(F7^0.45)</f>
        <v>95.473241861071401</v>
      </c>
      <c r="H7" s="4177">
        <f>1000*G7/(3.142*I7)</f>
        <v>296.739617297748</v>
      </c>
      <c r="I7" s="4176">
        <v>102.4</v>
      </c>
    </row>
    <row r="8" spans="1:10" ht="14.25" customHeight="1">
      <c r="A8" s="4330"/>
      <c r="B8" s="4176"/>
      <c r="C8" s="4176"/>
      <c r="D8" s="4176"/>
      <c r="E8" s="4176"/>
      <c r="F8" s="4176"/>
      <c r="G8" s="4176"/>
      <c r="H8" s="4176"/>
      <c r="I8" s="4176"/>
    </row>
    <row r="9" spans="1:10" ht="24" customHeight="1">
      <c r="A9" s="4330" t="s">
        <v>386</v>
      </c>
      <c r="B9" s="4176" t="s">
        <v>387</v>
      </c>
      <c r="C9" s="4176">
        <v>292</v>
      </c>
      <c r="D9" s="4176">
        <v>240</v>
      </c>
      <c r="E9" s="4176">
        <v>2.5</v>
      </c>
      <c r="F9" s="4176">
        <v>0.6</v>
      </c>
      <c r="G9" s="4177">
        <f>C9/(D9^0.2)/(E9^0.15)/(F9^0.4)</f>
        <v>104.325170138308</v>
      </c>
      <c r="H9" s="4177">
        <f>1000*G9/(3.142*I9)</f>
        <v>335.38815956608897</v>
      </c>
      <c r="I9" s="4176">
        <v>99</v>
      </c>
    </row>
    <row r="10" spans="1:10" ht="24.75" customHeight="1">
      <c r="A10" s="4330"/>
      <c r="B10" s="4178" t="s">
        <v>388</v>
      </c>
      <c r="C10" s="4176">
        <v>243</v>
      </c>
      <c r="D10" s="4176">
        <v>240</v>
      </c>
      <c r="E10" s="4176">
        <v>1.3</v>
      </c>
      <c r="F10" s="4176">
        <v>0.3</v>
      </c>
      <c r="G10" s="4177">
        <f>C10/(D10^0.2)/(E10^0.15)/(F10^0.4)</f>
        <v>126.36419077343299</v>
      </c>
      <c r="H10" s="4177">
        <f>1000*G10/(3.142*I10)</f>
        <v>395.84405957084198</v>
      </c>
      <c r="I10" s="4176">
        <v>101.6</v>
      </c>
    </row>
    <row r="11" spans="1:10" ht="20.25" customHeight="1">
      <c r="A11" s="4176"/>
      <c r="B11" s="4176"/>
      <c r="C11" s="4176"/>
      <c r="D11" s="4176"/>
      <c r="E11" s="4176"/>
      <c r="F11" s="4176"/>
      <c r="G11" s="4176"/>
      <c r="H11" s="4176"/>
      <c r="I11" s="4176"/>
    </row>
    <row r="12" spans="1:10" ht="28.5" customHeight="1">
      <c r="A12" s="4176" t="s">
        <v>389</v>
      </c>
      <c r="B12" s="4176"/>
      <c r="C12" s="4176">
        <v>35</v>
      </c>
      <c r="D12" s="4176"/>
      <c r="E12" s="4176">
        <v>3</v>
      </c>
      <c r="F12" s="4176">
        <v>0.4</v>
      </c>
      <c r="G12" s="4177">
        <f>C12/(E12^0.15)/(F12^0.4)</f>
        <v>42.822878790191197</v>
      </c>
      <c r="H12" s="4177">
        <f>1000*G12/(3.142*I12)</f>
        <v>168.67795150890501</v>
      </c>
      <c r="I12" s="4176">
        <v>80.8</v>
      </c>
    </row>
    <row r="14" spans="1:10" ht="14.25" customHeight="1">
      <c r="A14" s="4325" t="s">
        <v>390</v>
      </c>
      <c r="B14" s="4325"/>
      <c r="C14" s="4325"/>
      <c r="D14" s="4325"/>
      <c r="E14" s="4325"/>
      <c r="F14" s="4325"/>
      <c r="G14" s="4325"/>
      <c r="H14" s="4325"/>
      <c r="I14" s="4325"/>
    </row>
    <row r="15" spans="1:10" ht="14.25" customHeight="1">
      <c r="A15" s="4326"/>
      <c r="B15" s="4326"/>
      <c r="C15" s="4326"/>
      <c r="D15" s="4326"/>
      <c r="E15" s="4326"/>
      <c r="F15" s="4326"/>
      <c r="G15" s="4326"/>
      <c r="H15" s="4326"/>
      <c r="I15" s="4326"/>
    </row>
    <row r="16" spans="1:10" ht="43.5" customHeight="1">
      <c r="A16" s="4330" t="s">
        <v>391</v>
      </c>
      <c r="B16" s="4173" t="s">
        <v>392</v>
      </c>
      <c r="C16" s="4173" t="s">
        <v>376</v>
      </c>
      <c r="D16" s="4173" t="s">
        <v>377</v>
      </c>
      <c r="E16" s="4173" t="s">
        <v>378</v>
      </c>
      <c r="F16" s="4173" t="s">
        <v>393</v>
      </c>
      <c r="G16" s="4173" t="s">
        <v>394</v>
      </c>
      <c r="H16" s="4175" t="s">
        <v>395</v>
      </c>
      <c r="I16" s="4173" t="s">
        <v>380</v>
      </c>
      <c r="J16" s="4175" t="s">
        <v>381</v>
      </c>
    </row>
    <row r="17" spans="1:11">
      <c r="A17" s="4330"/>
      <c r="B17" s="4176">
        <v>250</v>
      </c>
      <c r="C17" s="4176"/>
      <c r="D17" s="4176">
        <v>300</v>
      </c>
      <c r="E17" s="4176">
        <v>3</v>
      </c>
      <c r="F17" s="4176">
        <v>0.08</v>
      </c>
      <c r="G17" s="4177">
        <v>112</v>
      </c>
      <c r="H17" s="4176">
        <v>16</v>
      </c>
      <c r="I17" s="4176">
        <f>(89.4*B17^0.2)/(D17^0.15)/(E17^0.5)/(F17^0.4)/(G17^0.1)/(H17^0.1)</f>
        <v>85.946245507560306</v>
      </c>
      <c r="J17" s="4176">
        <f>1000*I17/(3.14*B17)</f>
        <v>109.48566306695599</v>
      </c>
    </row>
    <row r="18" spans="1:11" ht="20.25">
      <c r="A18" s="4179" t="s">
        <v>396</v>
      </c>
      <c r="B18" s="4176">
        <v>250</v>
      </c>
      <c r="C18" s="4176">
        <v>55</v>
      </c>
      <c r="D18" s="4176">
        <v>300</v>
      </c>
      <c r="E18" s="4176">
        <v>3</v>
      </c>
      <c r="F18" s="4176">
        <v>0.18</v>
      </c>
      <c r="G18" s="4177">
        <v>112</v>
      </c>
      <c r="H18" s="4176">
        <v>16</v>
      </c>
      <c r="I18" s="4176">
        <f>(89.4*B18^0.25)/(D18^0.2)/(E18^0.3)/(F18^0.34)/(G18^0.1)/(H18^0.1)</f>
        <v>69.204676257169197</v>
      </c>
      <c r="J18" s="4176">
        <f>1000*I18/(3.14*B18)</f>
        <v>88.158823257540405</v>
      </c>
    </row>
    <row r="19" spans="1:11" ht="27" customHeight="1">
      <c r="A19" s="4180" t="s">
        <v>397</v>
      </c>
      <c r="B19" s="4176">
        <v>12</v>
      </c>
      <c r="C19" s="4176"/>
      <c r="D19" s="4176">
        <v>120</v>
      </c>
      <c r="E19" s="4176">
        <v>5.2</v>
      </c>
      <c r="F19" s="4176">
        <v>0.03</v>
      </c>
      <c r="G19" s="4176">
        <v>12</v>
      </c>
      <c r="H19" s="4176">
        <v>3</v>
      </c>
      <c r="I19" s="4176">
        <f>(75.5*B19^0.7)/(D19^0.25)/(E19^0.5)/(F19^0.2)/(G19^0.3)/(H19^0.3)</f>
        <v>39.197813239922603</v>
      </c>
      <c r="J19" s="4176">
        <f>1000*I19/(3.14*B19)</f>
        <v>1040.2816677261801</v>
      </c>
    </row>
    <row r="20" spans="1:11" ht="27" customHeight="1">
      <c r="A20" s="4180" t="s">
        <v>398</v>
      </c>
      <c r="B20" s="4176">
        <v>50</v>
      </c>
      <c r="C20" s="4176"/>
      <c r="D20" s="4176">
        <v>180</v>
      </c>
      <c r="E20" s="4176">
        <v>9.5</v>
      </c>
      <c r="F20" s="4176">
        <v>0.12</v>
      </c>
      <c r="G20" s="4176">
        <v>50</v>
      </c>
      <c r="H20" s="4176">
        <v>3</v>
      </c>
      <c r="I20" s="4176">
        <f>(382*B20^0.2)/(D20^0.2)/(E20^0.1)/(F20^0.4)/(G20^0.2)</f>
        <v>252.09486700736201</v>
      </c>
      <c r="J20" s="4176">
        <f>1000*I20/(3.14*B20)</f>
        <v>1605.69978985581</v>
      </c>
    </row>
    <row r="21" spans="1:11" ht="23.25">
      <c r="A21" s="4328" t="s">
        <v>399</v>
      </c>
      <c r="B21" s="4328"/>
      <c r="C21" s="4328"/>
      <c r="D21" s="4328"/>
      <c r="E21" s="4328"/>
      <c r="F21" s="4328"/>
      <c r="G21" s="4328"/>
      <c r="H21" s="4328"/>
    </row>
    <row r="22" spans="1:11" ht="29.25" customHeight="1">
      <c r="A22" s="4330" t="s">
        <v>389</v>
      </c>
      <c r="B22" s="4174"/>
      <c r="C22" s="4173" t="s">
        <v>392</v>
      </c>
      <c r="D22" s="4173" t="s">
        <v>377</v>
      </c>
      <c r="E22" s="4173" t="s">
        <v>379</v>
      </c>
      <c r="F22" s="4173" t="s">
        <v>380</v>
      </c>
      <c r="G22" s="4175" t="s">
        <v>381</v>
      </c>
      <c r="H22" s="4173" t="s">
        <v>378</v>
      </c>
    </row>
    <row r="23" spans="1:11" ht="29.25" customHeight="1">
      <c r="A23" s="4330"/>
      <c r="B23" s="4176" t="s">
        <v>400</v>
      </c>
      <c r="C23" s="4176">
        <v>10.7</v>
      </c>
      <c r="D23" s="4176">
        <v>300</v>
      </c>
      <c r="E23" s="4176">
        <v>0.15</v>
      </c>
      <c r="F23" s="4176">
        <f>14.2*C23^0.25/(D23^0.125)/(E23^0.55)</f>
        <v>35.739126975319301</v>
      </c>
      <c r="G23" s="4176">
        <f>1000*F23/(3.14*C23)</f>
        <v>1063.72781044465</v>
      </c>
      <c r="H23" s="4176">
        <v>17.399999999999999</v>
      </c>
    </row>
    <row r="24" spans="1:11" ht="27.75" customHeight="1">
      <c r="A24" s="4330"/>
      <c r="B24" s="4176" t="s">
        <v>401</v>
      </c>
      <c r="C24" s="4176">
        <v>18.5</v>
      </c>
      <c r="D24" s="4176">
        <v>240</v>
      </c>
      <c r="E24" s="4176">
        <v>0.315</v>
      </c>
      <c r="F24" s="4176">
        <f>16.5*C24^0.25/(D24^0.125)/(E24^0.4)</f>
        <v>27.3795464461754</v>
      </c>
      <c r="G24" s="4176">
        <f>1000*F24/(3.14*C24)</f>
        <v>471.32977183982501</v>
      </c>
      <c r="H24" s="4176"/>
    </row>
    <row r="25" spans="1:11" ht="27.75" customHeight="1">
      <c r="A25" s="4173"/>
      <c r="B25" s="4181" t="s">
        <v>402</v>
      </c>
      <c r="C25" s="4176">
        <v>14.3</v>
      </c>
      <c r="D25" s="4176">
        <v>120</v>
      </c>
      <c r="E25" s="4176">
        <v>0.5</v>
      </c>
      <c r="F25" s="4176">
        <f>20.6*C25^0.6/(D25^0.25)/(H25^0.2)/(E25^0.5)</f>
        <v>23.2997910075281</v>
      </c>
      <c r="G25" s="4176">
        <f>1000*F25/(3.14*C25)</f>
        <v>518.90318933517597</v>
      </c>
      <c r="H25" s="4176">
        <v>22.5</v>
      </c>
    </row>
    <row r="26" spans="1:11" ht="30" customHeight="1">
      <c r="A26" s="4174"/>
      <c r="B26" s="4181" t="s">
        <v>403</v>
      </c>
      <c r="C26" s="4176">
        <v>15</v>
      </c>
      <c r="D26" s="4176">
        <v>240</v>
      </c>
      <c r="E26" s="4176">
        <v>0.2</v>
      </c>
      <c r="F26" s="4176">
        <f>12.1*C26^0.3/(D26^0.4)/(H26^0.2)/(E26^0.65)</f>
        <v>7.5448872660697699</v>
      </c>
      <c r="G26" s="4176">
        <f>1000*F26/(3.14*C26)</f>
        <v>160.188689300844</v>
      </c>
      <c r="H26" s="4176">
        <v>2</v>
      </c>
    </row>
    <row r="28" spans="1:11" ht="23.25" customHeight="1">
      <c r="A28" s="4327" t="s">
        <v>404</v>
      </c>
      <c r="B28" s="4327"/>
      <c r="C28" s="4327"/>
      <c r="D28" s="4327"/>
      <c r="E28" s="4327"/>
      <c r="F28" s="4327"/>
      <c r="G28" s="4327"/>
      <c r="H28" s="4327"/>
    </row>
    <row r="29" spans="1:11" ht="23.25" customHeight="1">
      <c r="A29" s="4328"/>
      <c r="B29" s="4328"/>
      <c r="C29" s="4328"/>
      <c r="D29" s="4328"/>
      <c r="E29" s="4328"/>
      <c r="F29" s="4328"/>
      <c r="G29" s="4328"/>
      <c r="H29" s="4328"/>
    </row>
    <row r="30" spans="1:11" ht="27">
      <c r="A30" s="4174"/>
      <c r="B30" s="4174"/>
      <c r="C30" s="4173" t="s">
        <v>405</v>
      </c>
      <c r="D30" s="4173" t="s">
        <v>406</v>
      </c>
      <c r="E30" s="4173" t="s">
        <v>376</v>
      </c>
      <c r="F30" s="4173" t="s">
        <v>377</v>
      </c>
      <c r="G30" s="4175" t="s">
        <v>407</v>
      </c>
      <c r="H30" s="4175" t="s">
        <v>408</v>
      </c>
      <c r="I30" s="4175" t="s">
        <v>409</v>
      </c>
      <c r="J30" s="4173" t="s">
        <v>380</v>
      </c>
      <c r="K30" s="4175" t="s">
        <v>381</v>
      </c>
    </row>
    <row r="31" spans="1:11" ht="29.25" customHeight="1">
      <c r="A31" s="4174"/>
      <c r="B31" s="4174"/>
      <c r="C31" s="4176">
        <v>1.25</v>
      </c>
      <c r="D31" s="4176">
        <v>8</v>
      </c>
      <c r="E31" s="4176">
        <v>6.2</v>
      </c>
      <c r="F31" s="4176">
        <v>30</v>
      </c>
      <c r="G31" s="4176">
        <v>1.2</v>
      </c>
      <c r="H31" s="4176">
        <v>0.6</v>
      </c>
      <c r="I31" s="4176">
        <v>0.9</v>
      </c>
      <c r="J31" s="4176">
        <f>E31*D31^G31/(F31^H31)/(C31^I31)</f>
        <v>7.9911247284524896</v>
      </c>
      <c r="K31" s="4176">
        <f>1000*J31/(3.14*D31)</f>
        <v>318.11802262947799</v>
      </c>
    </row>
    <row r="33" spans="1:11">
      <c r="D33" s="4172">
        <v>102</v>
      </c>
      <c r="J33" s="4176">
        <v>25</v>
      </c>
      <c r="K33" s="4176">
        <v>22500</v>
      </c>
    </row>
    <row r="35" spans="1:11" ht="23.25">
      <c r="A35" s="4329" t="s">
        <v>410</v>
      </c>
      <c r="B35" s="4329"/>
      <c r="C35" s="4329"/>
      <c r="D35" s="4329"/>
      <c r="E35" s="4329"/>
      <c r="F35" s="4329"/>
      <c r="G35" s="4329"/>
      <c r="H35" s="4329"/>
      <c r="I35" s="4329"/>
    </row>
    <row r="36" spans="1:11" s="4171" customFormat="1" ht="36" customHeight="1">
      <c r="A36" s="4182"/>
      <c r="B36" s="4182"/>
      <c r="C36" s="4173" t="s">
        <v>411</v>
      </c>
      <c r="D36" s="4173" t="s">
        <v>412</v>
      </c>
      <c r="E36" s="4173" t="s">
        <v>413</v>
      </c>
      <c r="F36" s="4173" t="s">
        <v>414</v>
      </c>
      <c r="G36" s="4173" t="s">
        <v>415</v>
      </c>
      <c r="H36" s="4173" t="s">
        <v>416</v>
      </c>
      <c r="I36" s="4175" t="s">
        <v>417</v>
      </c>
      <c r="J36" s="4182"/>
    </row>
    <row r="37" spans="1:11" ht="24.75" customHeight="1">
      <c r="A37" s="4320" t="s">
        <v>418</v>
      </c>
      <c r="B37" s="4183" t="s">
        <v>419</v>
      </c>
      <c r="C37" s="4174">
        <v>101.6</v>
      </c>
      <c r="D37" s="4174">
        <v>45</v>
      </c>
      <c r="E37" s="4174">
        <v>25.2</v>
      </c>
      <c r="F37" s="4174">
        <v>0.8</v>
      </c>
      <c r="G37" s="4174">
        <v>1</v>
      </c>
      <c r="H37" s="4174">
        <f>(0.044*C37^0.3*F37*G37)/D37/E37</f>
        <v>1.2416457927992501E-4</v>
      </c>
      <c r="I37" s="4174"/>
      <c r="J37" s="4174"/>
    </row>
    <row r="38" spans="1:11" ht="23.25" customHeight="1">
      <c r="A38" s="4320"/>
      <c r="B38" s="4183" t="s">
        <v>420</v>
      </c>
      <c r="C38" s="4174"/>
      <c r="D38" s="4174"/>
      <c r="E38" s="4174"/>
      <c r="F38" s="4174"/>
      <c r="G38" s="4174"/>
      <c r="H38" s="4174" t="e">
        <f>(0.4*C38^0.5*F38*G38)/D38/E38</f>
        <v>#DIV/0!</v>
      </c>
      <c r="I38" s="4174"/>
      <c r="J38" s="4174"/>
    </row>
    <row r="39" spans="1:11" ht="27.75" customHeight="1">
      <c r="A39" s="4320" t="s">
        <v>421</v>
      </c>
      <c r="B39" s="4183" t="s">
        <v>422</v>
      </c>
      <c r="C39" s="4174"/>
      <c r="D39" s="4174"/>
      <c r="E39" s="4174"/>
      <c r="F39" s="4174"/>
      <c r="G39" s="4174"/>
      <c r="H39" s="4174" t="e">
        <f>(0.002*C39*F39*G39*I39)/D39/E39</f>
        <v>#DIV/0!</v>
      </c>
      <c r="I39" s="4174"/>
      <c r="J39" s="4174"/>
    </row>
    <row r="40" spans="1:11" ht="27.75" customHeight="1">
      <c r="A40" s="4320"/>
      <c r="B40" s="4321" t="s">
        <v>422</v>
      </c>
      <c r="C40" s="4174">
        <v>22.2</v>
      </c>
      <c r="D40" s="4174">
        <v>25</v>
      </c>
      <c r="E40" s="4174">
        <v>10</v>
      </c>
      <c r="F40" s="4174">
        <v>0.8</v>
      </c>
      <c r="G40" s="4174">
        <v>1</v>
      </c>
      <c r="H40" s="4174">
        <f>(0.067*C40^0.9*F40*G40*I40)/D40/E40</f>
        <v>2.33893019593908E-3</v>
      </c>
      <c r="I40" s="4174">
        <v>0.67</v>
      </c>
      <c r="J40" s="4174" t="s">
        <v>423</v>
      </c>
    </row>
    <row r="41" spans="1:11" ht="24.75" customHeight="1">
      <c r="A41" s="4320"/>
      <c r="B41" s="4322"/>
      <c r="C41" s="4174"/>
      <c r="D41" s="4174"/>
      <c r="E41" s="4174"/>
      <c r="F41" s="4174"/>
      <c r="G41" s="4174"/>
      <c r="H41" s="4174" t="e">
        <f>(0.0104*C41^1.57*F41*G41*I41)/D41/E41</f>
        <v>#DIV/0!</v>
      </c>
      <c r="I41" s="4174"/>
      <c r="J41" s="4174" t="s">
        <v>424</v>
      </c>
    </row>
    <row r="43" spans="1:11" ht="23.25">
      <c r="A43" s="4329" t="s">
        <v>425</v>
      </c>
      <c r="B43" s="4329"/>
      <c r="C43" s="4329"/>
      <c r="D43" s="4329"/>
      <c r="E43" s="4329"/>
      <c r="F43" s="4329"/>
      <c r="G43" s="4329"/>
      <c r="H43" s="4329"/>
    </row>
    <row r="44" spans="1:11" ht="26.25" customHeight="1">
      <c r="A44" s="4320" t="s">
        <v>426</v>
      </c>
      <c r="B44" s="4323" t="s">
        <v>427</v>
      </c>
      <c r="C44" s="4173" t="s">
        <v>428</v>
      </c>
      <c r="D44" s="4173" t="s">
        <v>429</v>
      </c>
      <c r="E44" s="4173" t="s">
        <v>408</v>
      </c>
      <c r="F44" s="4173" t="s">
        <v>430</v>
      </c>
      <c r="G44" s="4173"/>
    </row>
    <row r="45" spans="1:11" ht="36" customHeight="1">
      <c r="A45" s="4320"/>
      <c r="B45" s="4324"/>
      <c r="C45" s="4176">
        <v>960</v>
      </c>
      <c r="D45" s="4176">
        <v>2.2000000000000002</v>
      </c>
      <c r="E45" s="4176">
        <v>8</v>
      </c>
      <c r="F45" s="4176">
        <f>350/(C45^0.33)/(D45^0.5)/(E45^0.1)</f>
        <v>19.879167741867299</v>
      </c>
      <c r="G45" s="4176">
        <f>1000*F45/(3.14*110)</f>
        <v>57.554046733836898</v>
      </c>
    </row>
  </sheetData>
  <mergeCells count="17">
    <mergeCell ref="A1:I1"/>
    <mergeCell ref="B4:I4"/>
    <mergeCell ref="B6:I6"/>
    <mergeCell ref="A21:H21"/>
    <mergeCell ref="A35:I35"/>
    <mergeCell ref="A2:A8"/>
    <mergeCell ref="A9:A10"/>
    <mergeCell ref="A16:A17"/>
    <mergeCell ref="A22:A24"/>
    <mergeCell ref="A37:A38"/>
    <mergeCell ref="A44:A45"/>
    <mergeCell ref="B40:B41"/>
    <mergeCell ref="B44:B45"/>
    <mergeCell ref="A14:I15"/>
    <mergeCell ref="A28:H29"/>
    <mergeCell ref="A43:H43"/>
    <mergeCell ref="A39:A41"/>
  </mergeCells>
  <phoneticPr fontId="214" type="noConversion"/>
  <pageMargins left="0.75" right="0.75" top="1" bottom="1" header="0.5" footer="0.5"/>
  <pageSetup paperSize="9" orientation="portrait"/>
  <headerFooter scaleWithDoc="0"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K149"/>
  <sheetViews>
    <sheetView zoomScale="145" zoomScaleNormal="145" workbookViewId="0">
      <pane ySplit="2" topLeftCell="A3" activePane="bottomLeft" state="frozen"/>
      <selection pane="bottomLeft" activeCell="K17" sqref="K17"/>
    </sheetView>
  </sheetViews>
  <sheetFormatPr defaultColWidth="9" defaultRowHeight="14.25"/>
  <cols>
    <col min="1" max="2" width="9" style="3202"/>
    <col min="3" max="3" width="9" style="3699"/>
    <col min="4" max="4" width="13.875" style="3202" customWidth="1"/>
    <col min="5" max="5" width="6.125" style="3704" customWidth="1"/>
    <col min="6" max="6" width="6.625" style="3170" customWidth="1"/>
    <col min="7" max="7" width="11.75" style="3202" customWidth="1"/>
    <col min="8" max="8" width="17.5" style="3202" customWidth="1"/>
    <col min="9" max="9" width="7.5" style="3202" customWidth="1"/>
    <col min="10" max="10" width="13" style="3202" customWidth="1"/>
    <col min="11" max="11" width="18.375" style="3202" customWidth="1"/>
    <col min="12" max="259" width="9" style="3202"/>
    <col min="260" max="260" width="13.875" style="3202" customWidth="1"/>
    <col min="261" max="261" width="6.125" style="3202" customWidth="1"/>
    <col min="262" max="262" width="6.625" style="3202" customWidth="1"/>
    <col min="263" max="263" width="11.75" style="3202" customWidth="1"/>
    <col min="264" max="264" width="17.5" style="3202" customWidth="1"/>
    <col min="265" max="265" width="7.5" style="3202" customWidth="1"/>
    <col min="266" max="266" width="13" style="3202" customWidth="1"/>
    <col min="267" max="267" width="18.375" style="3202" customWidth="1"/>
    <col min="268" max="515" width="9" style="3202"/>
    <col min="516" max="516" width="13.875" style="3202" customWidth="1"/>
    <col min="517" max="517" width="6.125" style="3202" customWidth="1"/>
    <col min="518" max="518" width="6.625" style="3202" customWidth="1"/>
    <col min="519" max="519" width="11.75" style="3202" customWidth="1"/>
    <col min="520" max="520" width="17.5" style="3202" customWidth="1"/>
    <col min="521" max="521" width="7.5" style="3202" customWidth="1"/>
    <col min="522" max="522" width="13" style="3202" customWidth="1"/>
    <col min="523" max="523" width="18.375" style="3202" customWidth="1"/>
    <col min="524" max="771" width="9" style="3202"/>
    <col min="772" max="772" width="13.875" style="3202" customWidth="1"/>
    <col min="773" max="773" width="6.125" style="3202" customWidth="1"/>
    <col min="774" max="774" width="6.625" style="3202" customWidth="1"/>
    <col min="775" max="775" width="11.75" style="3202" customWidth="1"/>
    <col min="776" max="776" width="17.5" style="3202" customWidth="1"/>
    <col min="777" max="777" width="7.5" style="3202" customWidth="1"/>
    <col min="778" max="778" width="13" style="3202" customWidth="1"/>
    <col min="779" max="779" width="18.375" style="3202" customWidth="1"/>
    <col min="780" max="1027" width="9" style="3202"/>
    <col min="1028" max="1028" width="13.875" style="3202" customWidth="1"/>
    <col min="1029" max="1029" width="6.125" style="3202" customWidth="1"/>
    <col min="1030" max="1030" width="6.625" style="3202" customWidth="1"/>
    <col min="1031" max="1031" width="11.75" style="3202" customWidth="1"/>
    <col min="1032" max="1032" width="17.5" style="3202" customWidth="1"/>
    <col min="1033" max="1033" width="7.5" style="3202" customWidth="1"/>
    <col min="1034" max="1034" width="13" style="3202" customWidth="1"/>
    <col min="1035" max="1035" width="18.375" style="3202" customWidth="1"/>
    <col min="1036" max="1283" width="9" style="3202"/>
    <col min="1284" max="1284" width="13.875" style="3202" customWidth="1"/>
    <col min="1285" max="1285" width="6.125" style="3202" customWidth="1"/>
    <col min="1286" max="1286" width="6.625" style="3202" customWidth="1"/>
    <col min="1287" max="1287" width="11.75" style="3202" customWidth="1"/>
    <col min="1288" max="1288" width="17.5" style="3202" customWidth="1"/>
    <col min="1289" max="1289" width="7.5" style="3202" customWidth="1"/>
    <col min="1290" max="1290" width="13" style="3202" customWidth="1"/>
    <col min="1291" max="1291" width="18.375" style="3202" customWidth="1"/>
    <col min="1292" max="1539" width="9" style="3202"/>
    <col min="1540" max="1540" width="13.875" style="3202" customWidth="1"/>
    <col min="1541" max="1541" width="6.125" style="3202" customWidth="1"/>
    <col min="1542" max="1542" width="6.625" style="3202" customWidth="1"/>
    <col min="1543" max="1543" width="11.75" style="3202" customWidth="1"/>
    <col min="1544" max="1544" width="17.5" style="3202" customWidth="1"/>
    <col min="1545" max="1545" width="7.5" style="3202" customWidth="1"/>
    <col min="1546" max="1546" width="13" style="3202" customWidth="1"/>
    <col min="1547" max="1547" width="18.375" style="3202" customWidth="1"/>
    <col min="1548" max="1795" width="9" style="3202"/>
    <col min="1796" max="1796" width="13.875" style="3202" customWidth="1"/>
    <col min="1797" max="1797" width="6.125" style="3202" customWidth="1"/>
    <col min="1798" max="1798" width="6.625" style="3202" customWidth="1"/>
    <col min="1799" max="1799" width="11.75" style="3202" customWidth="1"/>
    <col min="1800" max="1800" width="17.5" style="3202" customWidth="1"/>
    <col min="1801" max="1801" width="7.5" style="3202" customWidth="1"/>
    <col min="1802" max="1802" width="13" style="3202" customWidth="1"/>
    <col min="1803" max="1803" width="18.375" style="3202" customWidth="1"/>
    <col min="1804" max="2051" width="9" style="3202"/>
    <col min="2052" max="2052" width="13.875" style="3202" customWidth="1"/>
    <col min="2053" max="2053" width="6.125" style="3202" customWidth="1"/>
    <col min="2054" max="2054" width="6.625" style="3202" customWidth="1"/>
    <col min="2055" max="2055" width="11.75" style="3202" customWidth="1"/>
    <col min="2056" max="2056" width="17.5" style="3202" customWidth="1"/>
    <col min="2057" max="2057" width="7.5" style="3202" customWidth="1"/>
    <col min="2058" max="2058" width="13" style="3202" customWidth="1"/>
    <col min="2059" max="2059" width="18.375" style="3202" customWidth="1"/>
    <col min="2060" max="2307" width="9" style="3202"/>
    <col min="2308" max="2308" width="13.875" style="3202" customWidth="1"/>
    <col min="2309" max="2309" width="6.125" style="3202" customWidth="1"/>
    <col min="2310" max="2310" width="6.625" style="3202" customWidth="1"/>
    <col min="2311" max="2311" width="11.75" style="3202" customWidth="1"/>
    <col min="2312" max="2312" width="17.5" style="3202" customWidth="1"/>
    <col min="2313" max="2313" width="7.5" style="3202" customWidth="1"/>
    <col min="2314" max="2314" width="13" style="3202" customWidth="1"/>
    <col min="2315" max="2315" width="18.375" style="3202" customWidth="1"/>
    <col min="2316" max="2563" width="9" style="3202"/>
    <col min="2564" max="2564" width="13.875" style="3202" customWidth="1"/>
    <col min="2565" max="2565" width="6.125" style="3202" customWidth="1"/>
    <col min="2566" max="2566" width="6.625" style="3202" customWidth="1"/>
    <col min="2567" max="2567" width="11.75" style="3202" customWidth="1"/>
    <col min="2568" max="2568" width="17.5" style="3202" customWidth="1"/>
    <col min="2569" max="2569" width="7.5" style="3202" customWidth="1"/>
    <col min="2570" max="2570" width="13" style="3202" customWidth="1"/>
    <col min="2571" max="2571" width="18.375" style="3202" customWidth="1"/>
    <col min="2572" max="2819" width="9" style="3202"/>
    <col min="2820" max="2820" width="13.875" style="3202" customWidth="1"/>
    <col min="2821" max="2821" width="6.125" style="3202" customWidth="1"/>
    <col min="2822" max="2822" width="6.625" style="3202" customWidth="1"/>
    <col min="2823" max="2823" width="11.75" style="3202" customWidth="1"/>
    <col min="2824" max="2824" width="17.5" style="3202" customWidth="1"/>
    <col min="2825" max="2825" width="7.5" style="3202" customWidth="1"/>
    <col min="2826" max="2826" width="13" style="3202" customWidth="1"/>
    <col min="2827" max="2827" width="18.375" style="3202" customWidth="1"/>
    <col min="2828" max="3075" width="9" style="3202"/>
    <col min="3076" max="3076" width="13.875" style="3202" customWidth="1"/>
    <col min="3077" max="3077" width="6.125" style="3202" customWidth="1"/>
    <col min="3078" max="3078" width="6.625" style="3202" customWidth="1"/>
    <col min="3079" max="3079" width="11.75" style="3202" customWidth="1"/>
    <col min="3080" max="3080" width="17.5" style="3202" customWidth="1"/>
    <col min="3081" max="3081" width="7.5" style="3202" customWidth="1"/>
    <col min="3082" max="3082" width="13" style="3202" customWidth="1"/>
    <col min="3083" max="3083" width="18.375" style="3202" customWidth="1"/>
    <col min="3084" max="3331" width="9" style="3202"/>
    <col min="3332" max="3332" width="13.875" style="3202" customWidth="1"/>
    <col min="3333" max="3333" width="6.125" style="3202" customWidth="1"/>
    <col min="3334" max="3334" width="6.625" style="3202" customWidth="1"/>
    <col min="3335" max="3335" width="11.75" style="3202" customWidth="1"/>
    <col min="3336" max="3336" width="17.5" style="3202" customWidth="1"/>
    <col min="3337" max="3337" width="7.5" style="3202" customWidth="1"/>
    <col min="3338" max="3338" width="13" style="3202" customWidth="1"/>
    <col min="3339" max="3339" width="18.375" style="3202" customWidth="1"/>
    <col min="3340" max="3587" width="9" style="3202"/>
    <col min="3588" max="3588" width="13.875" style="3202" customWidth="1"/>
    <col min="3589" max="3589" width="6.125" style="3202" customWidth="1"/>
    <col min="3590" max="3590" width="6.625" style="3202" customWidth="1"/>
    <col min="3591" max="3591" width="11.75" style="3202" customWidth="1"/>
    <col min="3592" max="3592" width="17.5" style="3202" customWidth="1"/>
    <col min="3593" max="3593" width="7.5" style="3202" customWidth="1"/>
    <col min="3594" max="3594" width="13" style="3202" customWidth="1"/>
    <col min="3595" max="3595" width="18.375" style="3202" customWidth="1"/>
    <col min="3596" max="3843" width="9" style="3202"/>
    <col min="3844" max="3844" width="13.875" style="3202" customWidth="1"/>
    <col min="3845" max="3845" width="6.125" style="3202" customWidth="1"/>
    <col min="3846" max="3846" width="6.625" style="3202" customWidth="1"/>
    <col min="3847" max="3847" width="11.75" style="3202" customWidth="1"/>
    <col min="3848" max="3848" width="17.5" style="3202" customWidth="1"/>
    <col min="3849" max="3849" width="7.5" style="3202" customWidth="1"/>
    <col min="3850" max="3850" width="13" style="3202" customWidth="1"/>
    <col min="3851" max="3851" width="18.375" style="3202" customWidth="1"/>
    <col min="3852" max="4099" width="9" style="3202"/>
    <col min="4100" max="4100" width="13.875" style="3202" customWidth="1"/>
    <col min="4101" max="4101" width="6.125" style="3202" customWidth="1"/>
    <col min="4102" max="4102" width="6.625" style="3202" customWidth="1"/>
    <col min="4103" max="4103" width="11.75" style="3202" customWidth="1"/>
    <col min="4104" max="4104" width="17.5" style="3202" customWidth="1"/>
    <col min="4105" max="4105" width="7.5" style="3202" customWidth="1"/>
    <col min="4106" max="4106" width="13" style="3202" customWidth="1"/>
    <col min="4107" max="4107" width="18.375" style="3202" customWidth="1"/>
    <col min="4108" max="4355" width="9" style="3202"/>
    <col min="4356" max="4356" width="13.875" style="3202" customWidth="1"/>
    <col min="4357" max="4357" width="6.125" style="3202" customWidth="1"/>
    <col min="4358" max="4358" width="6.625" style="3202" customWidth="1"/>
    <col min="4359" max="4359" width="11.75" style="3202" customWidth="1"/>
    <col min="4360" max="4360" width="17.5" style="3202" customWidth="1"/>
    <col min="4361" max="4361" width="7.5" style="3202" customWidth="1"/>
    <col min="4362" max="4362" width="13" style="3202" customWidth="1"/>
    <col min="4363" max="4363" width="18.375" style="3202" customWidth="1"/>
    <col min="4364" max="4611" width="9" style="3202"/>
    <col min="4612" max="4612" width="13.875" style="3202" customWidth="1"/>
    <col min="4613" max="4613" width="6.125" style="3202" customWidth="1"/>
    <col min="4614" max="4614" width="6.625" style="3202" customWidth="1"/>
    <col min="4615" max="4615" width="11.75" style="3202" customWidth="1"/>
    <col min="4616" max="4616" width="17.5" style="3202" customWidth="1"/>
    <col min="4617" max="4617" width="7.5" style="3202" customWidth="1"/>
    <col min="4618" max="4618" width="13" style="3202" customWidth="1"/>
    <col min="4619" max="4619" width="18.375" style="3202" customWidth="1"/>
    <col min="4620" max="4867" width="9" style="3202"/>
    <col min="4868" max="4868" width="13.875" style="3202" customWidth="1"/>
    <col min="4869" max="4869" width="6.125" style="3202" customWidth="1"/>
    <col min="4870" max="4870" width="6.625" style="3202" customWidth="1"/>
    <col min="4871" max="4871" width="11.75" style="3202" customWidth="1"/>
    <col min="4872" max="4872" width="17.5" style="3202" customWidth="1"/>
    <col min="4873" max="4873" width="7.5" style="3202" customWidth="1"/>
    <col min="4874" max="4874" width="13" style="3202" customWidth="1"/>
    <col min="4875" max="4875" width="18.375" style="3202" customWidth="1"/>
    <col min="4876" max="5123" width="9" style="3202"/>
    <col min="5124" max="5124" width="13.875" style="3202" customWidth="1"/>
    <col min="5125" max="5125" width="6.125" style="3202" customWidth="1"/>
    <col min="5126" max="5126" width="6.625" style="3202" customWidth="1"/>
    <col min="5127" max="5127" width="11.75" style="3202" customWidth="1"/>
    <col min="5128" max="5128" width="17.5" style="3202" customWidth="1"/>
    <col min="5129" max="5129" width="7.5" style="3202" customWidth="1"/>
    <col min="5130" max="5130" width="13" style="3202" customWidth="1"/>
    <col min="5131" max="5131" width="18.375" style="3202" customWidth="1"/>
    <col min="5132" max="5379" width="9" style="3202"/>
    <col min="5380" max="5380" width="13.875" style="3202" customWidth="1"/>
    <col min="5381" max="5381" width="6.125" style="3202" customWidth="1"/>
    <col min="5382" max="5382" width="6.625" style="3202" customWidth="1"/>
    <col min="5383" max="5383" width="11.75" style="3202" customWidth="1"/>
    <col min="5384" max="5384" width="17.5" style="3202" customWidth="1"/>
    <col min="5385" max="5385" width="7.5" style="3202" customWidth="1"/>
    <col min="5386" max="5386" width="13" style="3202" customWidth="1"/>
    <col min="5387" max="5387" width="18.375" style="3202" customWidth="1"/>
    <col min="5388" max="5635" width="9" style="3202"/>
    <col min="5636" max="5636" width="13.875" style="3202" customWidth="1"/>
    <col min="5637" max="5637" width="6.125" style="3202" customWidth="1"/>
    <col min="5638" max="5638" width="6.625" style="3202" customWidth="1"/>
    <col min="5639" max="5639" width="11.75" style="3202" customWidth="1"/>
    <col min="5640" max="5640" width="17.5" style="3202" customWidth="1"/>
    <col min="5641" max="5641" width="7.5" style="3202" customWidth="1"/>
    <col min="5642" max="5642" width="13" style="3202" customWidth="1"/>
    <col min="5643" max="5643" width="18.375" style="3202" customWidth="1"/>
    <col min="5644" max="5891" width="9" style="3202"/>
    <col min="5892" max="5892" width="13.875" style="3202" customWidth="1"/>
    <col min="5893" max="5893" width="6.125" style="3202" customWidth="1"/>
    <col min="5894" max="5894" width="6.625" style="3202" customWidth="1"/>
    <col min="5895" max="5895" width="11.75" style="3202" customWidth="1"/>
    <col min="5896" max="5896" width="17.5" style="3202" customWidth="1"/>
    <col min="5897" max="5897" width="7.5" style="3202" customWidth="1"/>
    <col min="5898" max="5898" width="13" style="3202" customWidth="1"/>
    <col min="5899" max="5899" width="18.375" style="3202" customWidth="1"/>
    <col min="5900" max="6147" width="9" style="3202"/>
    <col min="6148" max="6148" width="13.875" style="3202" customWidth="1"/>
    <col min="6149" max="6149" width="6.125" style="3202" customWidth="1"/>
    <col min="6150" max="6150" width="6.625" style="3202" customWidth="1"/>
    <col min="6151" max="6151" width="11.75" style="3202" customWidth="1"/>
    <col min="6152" max="6152" width="17.5" style="3202" customWidth="1"/>
    <col min="6153" max="6153" width="7.5" style="3202" customWidth="1"/>
    <col min="6154" max="6154" width="13" style="3202" customWidth="1"/>
    <col min="6155" max="6155" width="18.375" style="3202" customWidth="1"/>
    <col min="6156" max="6403" width="9" style="3202"/>
    <col min="6404" max="6404" width="13.875" style="3202" customWidth="1"/>
    <col min="6405" max="6405" width="6.125" style="3202" customWidth="1"/>
    <col min="6406" max="6406" width="6.625" style="3202" customWidth="1"/>
    <col min="6407" max="6407" width="11.75" style="3202" customWidth="1"/>
    <col min="6408" max="6408" width="17.5" style="3202" customWidth="1"/>
    <col min="6409" max="6409" width="7.5" style="3202" customWidth="1"/>
    <col min="6410" max="6410" width="13" style="3202" customWidth="1"/>
    <col min="6411" max="6411" width="18.375" style="3202" customWidth="1"/>
    <col min="6412" max="6659" width="9" style="3202"/>
    <col min="6660" max="6660" width="13.875" style="3202" customWidth="1"/>
    <col min="6661" max="6661" width="6.125" style="3202" customWidth="1"/>
    <col min="6662" max="6662" width="6.625" style="3202" customWidth="1"/>
    <col min="6663" max="6663" width="11.75" style="3202" customWidth="1"/>
    <col min="6664" max="6664" width="17.5" style="3202" customWidth="1"/>
    <col min="6665" max="6665" width="7.5" style="3202" customWidth="1"/>
    <col min="6666" max="6666" width="13" style="3202" customWidth="1"/>
    <col min="6667" max="6667" width="18.375" style="3202" customWidth="1"/>
    <col min="6668" max="6915" width="9" style="3202"/>
    <col min="6916" max="6916" width="13.875" style="3202" customWidth="1"/>
    <col min="6917" max="6917" width="6.125" style="3202" customWidth="1"/>
    <col min="6918" max="6918" width="6.625" style="3202" customWidth="1"/>
    <col min="6919" max="6919" width="11.75" style="3202" customWidth="1"/>
    <col min="6920" max="6920" width="17.5" style="3202" customWidth="1"/>
    <col min="6921" max="6921" width="7.5" style="3202" customWidth="1"/>
    <col min="6922" max="6922" width="13" style="3202" customWidth="1"/>
    <col min="6923" max="6923" width="18.375" style="3202" customWidth="1"/>
    <col min="6924" max="7171" width="9" style="3202"/>
    <col min="7172" max="7172" width="13.875" style="3202" customWidth="1"/>
    <col min="7173" max="7173" width="6.125" style="3202" customWidth="1"/>
    <col min="7174" max="7174" width="6.625" style="3202" customWidth="1"/>
    <col min="7175" max="7175" width="11.75" style="3202" customWidth="1"/>
    <col min="7176" max="7176" width="17.5" style="3202" customWidth="1"/>
    <col min="7177" max="7177" width="7.5" style="3202" customWidth="1"/>
    <col min="7178" max="7178" width="13" style="3202" customWidth="1"/>
    <col min="7179" max="7179" width="18.375" style="3202" customWidth="1"/>
    <col min="7180" max="7427" width="9" style="3202"/>
    <col min="7428" max="7428" width="13.875" style="3202" customWidth="1"/>
    <col min="7429" max="7429" width="6.125" style="3202" customWidth="1"/>
    <col min="7430" max="7430" width="6.625" style="3202" customWidth="1"/>
    <col min="7431" max="7431" width="11.75" style="3202" customWidth="1"/>
    <col min="7432" max="7432" width="17.5" style="3202" customWidth="1"/>
    <col min="7433" max="7433" width="7.5" style="3202" customWidth="1"/>
    <col min="7434" max="7434" width="13" style="3202" customWidth="1"/>
    <col min="7435" max="7435" width="18.375" style="3202" customWidth="1"/>
    <col min="7436" max="7683" width="9" style="3202"/>
    <col min="7684" max="7684" width="13.875" style="3202" customWidth="1"/>
    <col min="7685" max="7685" width="6.125" style="3202" customWidth="1"/>
    <col min="7686" max="7686" width="6.625" style="3202" customWidth="1"/>
    <col min="7687" max="7687" width="11.75" style="3202" customWidth="1"/>
    <col min="7688" max="7688" width="17.5" style="3202" customWidth="1"/>
    <col min="7689" max="7689" width="7.5" style="3202" customWidth="1"/>
    <col min="7690" max="7690" width="13" style="3202" customWidth="1"/>
    <col min="7691" max="7691" width="18.375" style="3202" customWidth="1"/>
    <col min="7692" max="7939" width="9" style="3202"/>
    <col min="7940" max="7940" width="13.875" style="3202" customWidth="1"/>
    <col min="7941" max="7941" width="6.125" style="3202" customWidth="1"/>
    <col min="7942" max="7942" width="6.625" style="3202" customWidth="1"/>
    <col min="7943" max="7943" width="11.75" style="3202" customWidth="1"/>
    <col min="7944" max="7944" width="17.5" style="3202" customWidth="1"/>
    <col min="7945" max="7945" width="7.5" style="3202" customWidth="1"/>
    <col min="7946" max="7946" width="13" style="3202" customWidth="1"/>
    <col min="7947" max="7947" width="18.375" style="3202" customWidth="1"/>
    <col min="7948" max="8195" width="9" style="3202"/>
    <col min="8196" max="8196" width="13.875" style="3202" customWidth="1"/>
    <col min="8197" max="8197" width="6.125" style="3202" customWidth="1"/>
    <col min="8198" max="8198" width="6.625" style="3202" customWidth="1"/>
    <col min="8199" max="8199" width="11.75" style="3202" customWidth="1"/>
    <col min="8200" max="8200" width="17.5" style="3202" customWidth="1"/>
    <col min="8201" max="8201" width="7.5" style="3202" customWidth="1"/>
    <col min="8202" max="8202" width="13" style="3202" customWidth="1"/>
    <col min="8203" max="8203" width="18.375" style="3202" customWidth="1"/>
    <col min="8204" max="8451" width="9" style="3202"/>
    <col min="8452" max="8452" width="13.875" style="3202" customWidth="1"/>
    <col min="8453" max="8453" width="6.125" style="3202" customWidth="1"/>
    <col min="8454" max="8454" width="6.625" style="3202" customWidth="1"/>
    <col min="8455" max="8455" width="11.75" style="3202" customWidth="1"/>
    <col min="8456" max="8456" width="17.5" style="3202" customWidth="1"/>
    <col min="8457" max="8457" width="7.5" style="3202" customWidth="1"/>
    <col min="8458" max="8458" width="13" style="3202" customWidth="1"/>
    <col min="8459" max="8459" width="18.375" style="3202" customWidth="1"/>
    <col min="8460" max="8707" width="9" style="3202"/>
    <col min="8708" max="8708" width="13.875" style="3202" customWidth="1"/>
    <col min="8709" max="8709" width="6.125" style="3202" customWidth="1"/>
    <col min="8710" max="8710" width="6.625" style="3202" customWidth="1"/>
    <col min="8711" max="8711" width="11.75" style="3202" customWidth="1"/>
    <col min="8712" max="8712" width="17.5" style="3202" customWidth="1"/>
    <col min="8713" max="8713" width="7.5" style="3202" customWidth="1"/>
    <col min="8714" max="8714" width="13" style="3202" customWidth="1"/>
    <col min="8715" max="8715" width="18.375" style="3202" customWidth="1"/>
    <col min="8716" max="8963" width="9" style="3202"/>
    <col min="8964" max="8964" width="13.875" style="3202" customWidth="1"/>
    <col min="8965" max="8965" width="6.125" style="3202" customWidth="1"/>
    <col min="8966" max="8966" width="6.625" style="3202" customWidth="1"/>
    <col min="8967" max="8967" width="11.75" style="3202" customWidth="1"/>
    <col min="8968" max="8968" width="17.5" style="3202" customWidth="1"/>
    <col min="8969" max="8969" width="7.5" style="3202" customWidth="1"/>
    <col min="8970" max="8970" width="13" style="3202" customWidth="1"/>
    <col min="8971" max="8971" width="18.375" style="3202" customWidth="1"/>
    <col min="8972" max="9219" width="9" style="3202"/>
    <col min="9220" max="9220" width="13.875" style="3202" customWidth="1"/>
    <col min="9221" max="9221" width="6.125" style="3202" customWidth="1"/>
    <col min="9222" max="9222" width="6.625" style="3202" customWidth="1"/>
    <col min="9223" max="9223" width="11.75" style="3202" customWidth="1"/>
    <col min="9224" max="9224" width="17.5" style="3202" customWidth="1"/>
    <col min="9225" max="9225" width="7.5" style="3202" customWidth="1"/>
    <col min="9226" max="9226" width="13" style="3202" customWidth="1"/>
    <col min="9227" max="9227" width="18.375" style="3202" customWidth="1"/>
    <col min="9228" max="9475" width="9" style="3202"/>
    <col min="9476" max="9476" width="13.875" style="3202" customWidth="1"/>
    <col min="9477" max="9477" width="6.125" style="3202" customWidth="1"/>
    <col min="9478" max="9478" width="6.625" style="3202" customWidth="1"/>
    <col min="9479" max="9479" width="11.75" style="3202" customWidth="1"/>
    <col min="9480" max="9480" width="17.5" style="3202" customWidth="1"/>
    <col min="9481" max="9481" width="7.5" style="3202" customWidth="1"/>
    <col min="9482" max="9482" width="13" style="3202" customWidth="1"/>
    <col min="9483" max="9483" width="18.375" style="3202" customWidth="1"/>
    <col min="9484" max="9731" width="9" style="3202"/>
    <col min="9732" max="9732" width="13.875" style="3202" customWidth="1"/>
    <col min="9733" max="9733" width="6.125" style="3202" customWidth="1"/>
    <col min="9734" max="9734" width="6.625" style="3202" customWidth="1"/>
    <col min="9735" max="9735" width="11.75" style="3202" customWidth="1"/>
    <col min="9736" max="9736" width="17.5" style="3202" customWidth="1"/>
    <col min="9737" max="9737" width="7.5" style="3202" customWidth="1"/>
    <col min="9738" max="9738" width="13" style="3202" customWidth="1"/>
    <col min="9739" max="9739" width="18.375" style="3202" customWidth="1"/>
    <col min="9740" max="9987" width="9" style="3202"/>
    <col min="9988" max="9988" width="13.875" style="3202" customWidth="1"/>
    <col min="9989" max="9989" width="6.125" style="3202" customWidth="1"/>
    <col min="9990" max="9990" width="6.625" style="3202" customWidth="1"/>
    <col min="9991" max="9991" width="11.75" style="3202" customWidth="1"/>
    <col min="9992" max="9992" width="17.5" style="3202" customWidth="1"/>
    <col min="9993" max="9993" width="7.5" style="3202" customWidth="1"/>
    <col min="9994" max="9994" width="13" style="3202" customWidth="1"/>
    <col min="9995" max="9995" width="18.375" style="3202" customWidth="1"/>
    <col min="9996" max="10243" width="9" style="3202"/>
    <col min="10244" max="10244" width="13.875" style="3202" customWidth="1"/>
    <col min="10245" max="10245" width="6.125" style="3202" customWidth="1"/>
    <col min="10246" max="10246" width="6.625" style="3202" customWidth="1"/>
    <col min="10247" max="10247" width="11.75" style="3202" customWidth="1"/>
    <col min="10248" max="10248" width="17.5" style="3202" customWidth="1"/>
    <col min="10249" max="10249" width="7.5" style="3202" customWidth="1"/>
    <col min="10250" max="10250" width="13" style="3202" customWidth="1"/>
    <col min="10251" max="10251" width="18.375" style="3202" customWidth="1"/>
    <col min="10252" max="10499" width="9" style="3202"/>
    <col min="10500" max="10500" width="13.875" style="3202" customWidth="1"/>
    <col min="10501" max="10501" width="6.125" style="3202" customWidth="1"/>
    <col min="10502" max="10502" width="6.625" style="3202" customWidth="1"/>
    <col min="10503" max="10503" width="11.75" style="3202" customWidth="1"/>
    <col min="10504" max="10504" width="17.5" style="3202" customWidth="1"/>
    <col min="10505" max="10505" width="7.5" style="3202" customWidth="1"/>
    <col min="10506" max="10506" width="13" style="3202" customWidth="1"/>
    <col min="10507" max="10507" width="18.375" style="3202" customWidth="1"/>
    <col min="10508" max="10755" width="9" style="3202"/>
    <col min="10756" max="10756" width="13.875" style="3202" customWidth="1"/>
    <col min="10757" max="10757" width="6.125" style="3202" customWidth="1"/>
    <col min="10758" max="10758" width="6.625" style="3202" customWidth="1"/>
    <col min="10759" max="10759" width="11.75" style="3202" customWidth="1"/>
    <col min="10760" max="10760" width="17.5" style="3202" customWidth="1"/>
    <col min="10761" max="10761" width="7.5" style="3202" customWidth="1"/>
    <col min="10762" max="10762" width="13" style="3202" customWidth="1"/>
    <col min="10763" max="10763" width="18.375" style="3202" customWidth="1"/>
    <col min="10764" max="11011" width="9" style="3202"/>
    <col min="11012" max="11012" width="13.875" style="3202" customWidth="1"/>
    <col min="11013" max="11013" width="6.125" style="3202" customWidth="1"/>
    <col min="11014" max="11014" width="6.625" style="3202" customWidth="1"/>
    <col min="11015" max="11015" width="11.75" style="3202" customWidth="1"/>
    <col min="11016" max="11016" width="17.5" style="3202" customWidth="1"/>
    <col min="11017" max="11017" width="7.5" style="3202" customWidth="1"/>
    <col min="11018" max="11018" width="13" style="3202" customWidth="1"/>
    <col min="11019" max="11019" width="18.375" style="3202" customWidth="1"/>
    <col min="11020" max="11267" width="9" style="3202"/>
    <col min="11268" max="11268" width="13.875" style="3202" customWidth="1"/>
    <col min="11269" max="11269" width="6.125" style="3202" customWidth="1"/>
    <col min="11270" max="11270" width="6.625" style="3202" customWidth="1"/>
    <col min="11271" max="11271" width="11.75" style="3202" customWidth="1"/>
    <col min="11272" max="11272" width="17.5" style="3202" customWidth="1"/>
    <col min="11273" max="11273" width="7.5" style="3202" customWidth="1"/>
    <col min="11274" max="11274" width="13" style="3202" customWidth="1"/>
    <col min="11275" max="11275" width="18.375" style="3202" customWidth="1"/>
    <col min="11276" max="11523" width="9" style="3202"/>
    <col min="11524" max="11524" width="13.875" style="3202" customWidth="1"/>
    <col min="11525" max="11525" width="6.125" style="3202" customWidth="1"/>
    <col min="11526" max="11526" width="6.625" style="3202" customWidth="1"/>
    <col min="11527" max="11527" width="11.75" style="3202" customWidth="1"/>
    <col min="11528" max="11528" width="17.5" style="3202" customWidth="1"/>
    <col min="11529" max="11529" width="7.5" style="3202" customWidth="1"/>
    <col min="11530" max="11530" width="13" style="3202" customWidth="1"/>
    <col min="11531" max="11531" width="18.375" style="3202" customWidth="1"/>
    <col min="11532" max="11779" width="9" style="3202"/>
    <col min="11780" max="11780" width="13.875" style="3202" customWidth="1"/>
    <col min="11781" max="11781" width="6.125" style="3202" customWidth="1"/>
    <col min="11782" max="11782" width="6.625" style="3202" customWidth="1"/>
    <col min="11783" max="11783" width="11.75" style="3202" customWidth="1"/>
    <col min="11784" max="11784" width="17.5" style="3202" customWidth="1"/>
    <col min="11785" max="11785" width="7.5" style="3202" customWidth="1"/>
    <col min="11786" max="11786" width="13" style="3202" customWidth="1"/>
    <col min="11787" max="11787" width="18.375" style="3202" customWidth="1"/>
    <col min="11788" max="12035" width="9" style="3202"/>
    <col min="12036" max="12036" width="13.875" style="3202" customWidth="1"/>
    <col min="12037" max="12037" width="6.125" style="3202" customWidth="1"/>
    <col min="12038" max="12038" width="6.625" style="3202" customWidth="1"/>
    <col min="12039" max="12039" width="11.75" style="3202" customWidth="1"/>
    <col min="12040" max="12040" width="17.5" style="3202" customWidth="1"/>
    <col min="12041" max="12041" width="7.5" style="3202" customWidth="1"/>
    <col min="12042" max="12042" width="13" style="3202" customWidth="1"/>
    <col min="12043" max="12043" width="18.375" style="3202" customWidth="1"/>
    <col min="12044" max="12291" width="9" style="3202"/>
    <col min="12292" max="12292" width="13.875" style="3202" customWidth="1"/>
    <col min="12293" max="12293" width="6.125" style="3202" customWidth="1"/>
    <col min="12294" max="12294" width="6.625" style="3202" customWidth="1"/>
    <col min="12295" max="12295" width="11.75" style="3202" customWidth="1"/>
    <col min="12296" max="12296" width="17.5" style="3202" customWidth="1"/>
    <col min="12297" max="12297" width="7.5" style="3202" customWidth="1"/>
    <col min="12298" max="12298" width="13" style="3202" customWidth="1"/>
    <col min="12299" max="12299" width="18.375" style="3202" customWidth="1"/>
    <col min="12300" max="12547" width="9" style="3202"/>
    <col min="12548" max="12548" width="13.875" style="3202" customWidth="1"/>
    <col min="12549" max="12549" width="6.125" style="3202" customWidth="1"/>
    <col min="12550" max="12550" width="6.625" style="3202" customWidth="1"/>
    <col min="12551" max="12551" width="11.75" style="3202" customWidth="1"/>
    <col min="12552" max="12552" width="17.5" style="3202" customWidth="1"/>
    <col min="12553" max="12553" width="7.5" style="3202" customWidth="1"/>
    <col min="12554" max="12554" width="13" style="3202" customWidth="1"/>
    <col min="12555" max="12555" width="18.375" style="3202" customWidth="1"/>
    <col min="12556" max="12803" width="9" style="3202"/>
    <col min="12804" max="12804" width="13.875" style="3202" customWidth="1"/>
    <col min="12805" max="12805" width="6.125" style="3202" customWidth="1"/>
    <col min="12806" max="12806" width="6.625" style="3202" customWidth="1"/>
    <col min="12807" max="12807" width="11.75" style="3202" customWidth="1"/>
    <col min="12808" max="12808" width="17.5" style="3202" customWidth="1"/>
    <col min="12809" max="12809" width="7.5" style="3202" customWidth="1"/>
    <col min="12810" max="12810" width="13" style="3202" customWidth="1"/>
    <col min="12811" max="12811" width="18.375" style="3202" customWidth="1"/>
    <col min="12812" max="13059" width="9" style="3202"/>
    <col min="13060" max="13060" width="13.875" style="3202" customWidth="1"/>
    <col min="13061" max="13061" width="6.125" style="3202" customWidth="1"/>
    <col min="13062" max="13062" width="6.625" style="3202" customWidth="1"/>
    <col min="13063" max="13063" width="11.75" style="3202" customWidth="1"/>
    <col min="13064" max="13064" width="17.5" style="3202" customWidth="1"/>
    <col min="13065" max="13065" width="7.5" style="3202" customWidth="1"/>
    <col min="13066" max="13066" width="13" style="3202" customWidth="1"/>
    <col min="13067" max="13067" width="18.375" style="3202" customWidth="1"/>
    <col min="13068" max="13315" width="9" style="3202"/>
    <col min="13316" max="13316" width="13.875" style="3202" customWidth="1"/>
    <col min="13317" max="13317" width="6.125" style="3202" customWidth="1"/>
    <col min="13318" max="13318" width="6.625" style="3202" customWidth="1"/>
    <col min="13319" max="13319" width="11.75" style="3202" customWidth="1"/>
    <col min="13320" max="13320" width="17.5" style="3202" customWidth="1"/>
    <col min="13321" max="13321" width="7.5" style="3202" customWidth="1"/>
    <col min="13322" max="13322" width="13" style="3202" customWidth="1"/>
    <col min="13323" max="13323" width="18.375" style="3202" customWidth="1"/>
    <col min="13324" max="13571" width="9" style="3202"/>
    <col min="13572" max="13572" width="13.875" style="3202" customWidth="1"/>
    <col min="13573" max="13573" width="6.125" style="3202" customWidth="1"/>
    <col min="13574" max="13574" width="6.625" style="3202" customWidth="1"/>
    <col min="13575" max="13575" width="11.75" style="3202" customWidth="1"/>
    <col min="13576" max="13576" width="17.5" style="3202" customWidth="1"/>
    <col min="13577" max="13577" width="7.5" style="3202" customWidth="1"/>
    <col min="13578" max="13578" width="13" style="3202" customWidth="1"/>
    <col min="13579" max="13579" width="18.375" style="3202" customWidth="1"/>
    <col min="13580" max="13827" width="9" style="3202"/>
    <col min="13828" max="13828" width="13.875" style="3202" customWidth="1"/>
    <col min="13829" max="13829" width="6.125" style="3202" customWidth="1"/>
    <col min="13830" max="13830" width="6.625" style="3202" customWidth="1"/>
    <col min="13831" max="13831" width="11.75" style="3202" customWidth="1"/>
    <col min="13832" max="13832" width="17.5" style="3202" customWidth="1"/>
    <col min="13833" max="13833" width="7.5" style="3202" customWidth="1"/>
    <col min="13834" max="13834" width="13" style="3202" customWidth="1"/>
    <col min="13835" max="13835" width="18.375" style="3202" customWidth="1"/>
    <col min="13836" max="14083" width="9" style="3202"/>
    <col min="14084" max="14084" width="13.875" style="3202" customWidth="1"/>
    <col min="14085" max="14085" width="6.125" style="3202" customWidth="1"/>
    <col min="14086" max="14086" width="6.625" style="3202" customWidth="1"/>
    <col min="14087" max="14087" width="11.75" style="3202" customWidth="1"/>
    <col min="14088" max="14088" width="17.5" style="3202" customWidth="1"/>
    <col min="14089" max="14089" width="7.5" style="3202" customWidth="1"/>
    <col min="14090" max="14090" width="13" style="3202" customWidth="1"/>
    <col min="14091" max="14091" width="18.375" style="3202" customWidth="1"/>
    <col min="14092" max="14339" width="9" style="3202"/>
    <col min="14340" max="14340" width="13.875" style="3202" customWidth="1"/>
    <col min="14341" max="14341" width="6.125" style="3202" customWidth="1"/>
    <col min="14342" max="14342" width="6.625" style="3202" customWidth="1"/>
    <col min="14343" max="14343" width="11.75" style="3202" customWidth="1"/>
    <col min="14344" max="14344" width="17.5" style="3202" customWidth="1"/>
    <col min="14345" max="14345" width="7.5" style="3202" customWidth="1"/>
    <col min="14346" max="14346" width="13" style="3202" customWidth="1"/>
    <col min="14347" max="14347" width="18.375" style="3202" customWidth="1"/>
    <col min="14348" max="14595" width="9" style="3202"/>
    <col min="14596" max="14596" width="13.875" style="3202" customWidth="1"/>
    <col min="14597" max="14597" width="6.125" style="3202" customWidth="1"/>
    <col min="14598" max="14598" width="6.625" style="3202" customWidth="1"/>
    <col min="14599" max="14599" width="11.75" style="3202" customWidth="1"/>
    <col min="14600" max="14600" width="17.5" style="3202" customWidth="1"/>
    <col min="14601" max="14601" width="7.5" style="3202" customWidth="1"/>
    <col min="14602" max="14602" width="13" style="3202" customWidth="1"/>
    <col min="14603" max="14603" width="18.375" style="3202" customWidth="1"/>
    <col min="14604" max="14851" width="9" style="3202"/>
    <col min="14852" max="14852" width="13.875" style="3202" customWidth="1"/>
    <col min="14853" max="14853" width="6.125" style="3202" customWidth="1"/>
    <col min="14854" max="14854" width="6.625" style="3202" customWidth="1"/>
    <col min="14855" max="14855" width="11.75" style="3202" customWidth="1"/>
    <col min="14856" max="14856" width="17.5" style="3202" customWidth="1"/>
    <col min="14857" max="14857" width="7.5" style="3202" customWidth="1"/>
    <col min="14858" max="14858" width="13" style="3202" customWidth="1"/>
    <col min="14859" max="14859" width="18.375" style="3202" customWidth="1"/>
    <col min="14860" max="15107" width="9" style="3202"/>
    <col min="15108" max="15108" width="13.875" style="3202" customWidth="1"/>
    <col min="15109" max="15109" width="6.125" style="3202" customWidth="1"/>
    <col min="15110" max="15110" width="6.625" style="3202" customWidth="1"/>
    <col min="15111" max="15111" width="11.75" style="3202" customWidth="1"/>
    <col min="15112" max="15112" width="17.5" style="3202" customWidth="1"/>
    <col min="15113" max="15113" width="7.5" style="3202" customWidth="1"/>
    <col min="15114" max="15114" width="13" style="3202" customWidth="1"/>
    <col min="15115" max="15115" width="18.375" style="3202" customWidth="1"/>
    <col min="15116" max="15363" width="9" style="3202"/>
    <col min="15364" max="15364" width="13.875" style="3202" customWidth="1"/>
    <col min="15365" max="15365" width="6.125" style="3202" customWidth="1"/>
    <col min="15366" max="15366" width="6.625" style="3202" customWidth="1"/>
    <col min="15367" max="15367" width="11.75" style="3202" customWidth="1"/>
    <col min="15368" max="15368" width="17.5" style="3202" customWidth="1"/>
    <col min="15369" max="15369" width="7.5" style="3202" customWidth="1"/>
    <col min="15370" max="15370" width="13" style="3202" customWidth="1"/>
    <col min="15371" max="15371" width="18.375" style="3202" customWidth="1"/>
    <col min="15372" max="15619" width="9" style="3202"/>
    <col min="15620" max="15620" width="13.875" style="3202" customWidth="1"/>
    <col min="15621" max="15621" width="6.125" style="3202" customWidth="1"/>
    <col min="15622" max="15622" width="6.625" style="3202" customWidth="1"/>
    <col min="15623" max="15623" width="11.75" style="3202" customWidth="1"/>
    <col min="15624" max="15624" width="17.5" style="3202" customWidth="1"/>
    <col min="15625" max="15625" width="7.5" style="3202" customWidth="1"/>
    <col min="15626" max="15626" width="13" style="3202" customWidth="1"/>
    <col min="15627" max="15627" width="18.375" style="3202" customWidth="1"/>
    <col min="15628" max="15875" width="9" style="3202"/>
    <col min="15876" max="15876" width="13.875" style="3202" customWidth="1"/>
    <col min="15877" max="15877" width="6.125" style="3202" customWidth="1"/>
    <col min="15878" max="15878" width="6.625" style="3202" customWidth="1"/>
    <col min="15879" max="15879" width="11.75" style="3202" customWidth="1"/>
    <col min="15880" max="15880" width="17.5" style="3202" customWidth="1"/>
    <col min="15881" max="15881" width="7.5" style="3202" customWidth="1"/>
    <col min="15882" max="15882" width="13" style="3202" customWidth="1"/>
    <col min="15883" max="15883" width="18.375" style="3202" customWidth="1"/>
    <col min="15884" max="16131" width="9" style="3202"/>
    <col min="16132" max="16132" width="13.875" style="3202" customWidth="1"/>
    <col min="16133" max="16133" width="6.125" style="3202" customWidth="1"/>
    <col min="16134" max="16134" width="6.625" style="3202" customWidth="1"/>
    <col min="16135" max="16135" width="11.75" style="3202" customWidth="1"/>
    <col min="16136" max="16136" width="17.5" style="3202" customWidth="1"/>
    <col min="16137" max="16137" width="7.5" style="3202" customWidth="1"/>
    <col min="16138" max="16138" width="13" style="3202" customWidth="1"/>
    <col min="16139" max="16139" width="18.375" style="3202" customWidth="1"/>
    <col min="16140" max="16384" width="9" style="3202"/>
  </cols>
  <sheetData>
    <row r="1" spans="1:11" ht="15.75">
      <c r="A1" s="3202" t="s">
        <v>431</v>
      </c>
      <c r="B1" s="3202" t="s">
        <v>432</v>
      </c>
      <c r="C1" s="4153" t="s">
        <v>433</v>
      </c>
      <c r="D1" s="3202" t="s">
        <v>434</v>
      </c>
      <c r="E1" s="3704" t="s">
        <v>435</v>
      </c>
      <c r="F1" s="3170" t="s">
        <v>436</v>
      </c>
      <c r="G1" s="3202" t="s">
        <v>437</v>
      </c>
      <c r="H1" s="3202" t="s">
        <v>438</v>
      </c>
    </row>
    <row r="2" spans="1:11">
      <c r="A2" s="3202" t="s">
        <v>439</v>
      </c>
      <c r="B2" s="3202" t="s">
        <v>440</v>
      </c>
      <c r="C2" s="4154" t="s">
        <v>441</v>
      </c>
      <c r="E2" s="3704" t="s">
        <v>442</v>
      </c>
    </row>
    <row r="3" spans="1:11" ht="15.75">
      <c r="A3" s="3202" t="s">
        <v>443</v>
      </c>
      <c r="B3" s="3202" t="s">
        <v>444</v>
      </c>
      <c r="C3" s="4155" t="s">
        <v>445</v>
      </c>
      <c r="D3" s="4156" t="s">
        <v>446</v>
      </c>
      <c r="E3" s="4157" t="s">
        <v>235</v>
      </c>
      <c r="F3" s="4158" t="s">
        <v>447</v>
      </c>
      <c r="G3" s="4159" t="s">
        <v>448</v>
      </c>
      <c r="H3" s="4160"/>
      <c r="I3" s="4160"/>
      <c r="J3" s="4159"/>
      <c r="K3" s="4160"/>
    </row>
    <row r="4" spans="1:11" ht="15.75">
      <c r="A4" s="3202" t="s">
        <v>443</v>
      </c>
      <c r="B4" s="3202" t="s">
        <v>444</v>
      </c>
      <c r="C4" s="4155" t="s">
        <v>445</v>
      </c>
      <c r="D4" s="4156" t="s">
        <v>446</v>
      </c>
      <c r="E4" s="4157" t="s">
        <v>235</v>
      </c>
      <c r="F4" s="4158" t="s">
        <v>447</v>
      </c>
      <c r="G4" s="4159" t="s">
        <v>449</v>
      </c>
      <c r="H4" s="4160"/>
      <c r="I4" s="4160"/>
      <c r="J4" s="4159"/>
      <c r="K4" s="4160"/>
    </row>
    <row r="5" spans="1:11" ht="15.75">
      <c r="A5" s="3202" t="s">
        <v>443</v>
      </c>
      <c r="B5" s="3202" t="s">
        <v>444</v>
      </c>
      <c r="C5" s="4155" t="s">
        <v>445</v>
      </c>
      <c r="D5" s="4156" t="s">
        <v>446</v>
      </c>
      <c r="E5" s="4157" t="s">
        <v>235</v>
      </c>
      <c r="F5" s="4158" t="s">
        <v>447</v>
      </c>
      <c r="G5" s="4159" t="s">
        <v>450</v>
      </c>
      <c r="H5" s="4160"/>
      <c r="I5" s="4160"/>
      <c r="J5" s="4159"/>
      <c r="K5" s="4160"/>
    </row>
    <row r="6" spans="1:11" ht="15.75">
      <c r="A6" s="3202" t="s">
        <v>443</v>
      </c>
      <c r="B6" s="3202" t="s">
        <v>444</v>
      </c>
      <c r="C6" s="4155" t="s">
        <v>445</v>
      </c>
      <c r="D6" s="4156" t="s">
        <v>446</v>
      </c>
      <c r="E6" s="4157" t="s">
        <v>235</v>
      </c>
      <c r="F6" s="4158" t="s">
        <v>447</v>
      </c>
      <c r="G6" s="4159" t="s">
        <v>451</v>
      </c>
      <c r="H6" s="4160"/>
      <c r="I6" s="4160"/>
      <c r="J6" s="4159"/>
      <c r="K6" s="4160"/>
    </row>
    <row r="7" spans="1:11" ht="15.75">
      <c r="A7" s="3202" t="s">
        <v>443</v>
      </c>
      <c r="B7" s="3202" t="s">
        <v>444</v>
      </c>
      <c r="C7" s="4155" t="s">
        <v>445</v>
      </c>
      <c r="D7" s="4156" t="s">
        <v>446</v>
      </c>
      <c r="E7" s="4157" t="s">
        <v>235</v>
      </c>
      <c r="F7" s="4158" t="s">
        <v>447</v>
      </c>
      <c r="G7" s="4159" t="s">
        <v>452</v>
      </c>
      <c r="H7" s="4160"/>
      <c r="I7" s="4160"/>
      <c r="J7" s="4159"/>
      <c r="K7" s="4160"/>
    </row>
    <row r="8" spans="1:11" ht="15.75">
      <c r="A8" s="3202" t="s">
        <v>443</v>
      </c>
      <c r="B8" s="3202" t="s">
        <v>444</v>
      </c>
      <c r="C8" s="4155" t="s">
        <v>445</v>
      </c>
      <c r="D8" s="4156" t="s">
        <v>446</v>
      </c>
      <c r="E8" s="4157" t="s">
        <v>453</v>
      </c>
      <c r="F8" s="4158" t="s">
        <v>447</v>
      </c>
      <c r="G8" s="4159" t="s">
        <v>454</v>
      </c>
      <c r="H8" s="4160"/>
      <c r="I8" s="4160"/>
    </row>
    <row r="9" spans="1:11" ht="15.75">
      <c r="A9" s="3202" t="s">
        <v>443</v>
      </c>
      <c r="B9" s="3202" t="s">
        <v>444</v>
      </c>
      <c r="C9" s="4155" t="s">
        <v>445</v>
      </c>
      <c r="D9" s="4156" t="s">
        <v>446</v>
      </c>
      <c r="E9" s="4157" t="s">
        <v>235</v>
      </c>
      <c r="F9" s="3170" t="s">
        <v>455</v>
      </c>
      <c r="G9" s="4159" t="s">
        <v>456</v>
      </c>
      <c r="H9" s="4160"/>
      <c r="I9" s="4160"/>
    </row>
    <row r="10" spans="1:11" ht="15.75">
      <c r="A10" s="3202" t="s">
        <v>443</v>
      </c>
      <c r="B10" s="3202" t="s">
        <v>444</v>
      </c>
      <c r="C10" s="4155" t="s">
        <v>445</v>
      </c>
      <c r="D10" s="4156" t="s">
        <v>446</v>
      </c>
      <c r="E10" s="4157" t="s">
        <v>235</v>
      </c>
      <c r="F10" s="3170" t="s">
        <v>455</v>
      </c>
      <c r="G10" s="4159" t="s">
        <v>457</v>
      </c>
      <c r="H10" s="4160"/>
      <c r="I10" s="4160"/>
    </row>
    <row r="11" spans="1:11" ht="15.75">
      <c r="A11" s="3202" t="s">
        <v>443</v>
      </c>
      <c r="B11" s="3202" t="s">
        <v>444</v>
      </c>
      <c r="C11" s="4155" t="s">
        <v>445</v>
      </c>
      <c r="D11" s="4156" t="s">
        <v>446</v>
      </c>
      <c r="E11" s="4157" t="s">
        <v>235</v>
      </c>
      <c r="F11" s="3170" t="s">
        <v>455</v>
      </c>
      <c r="G11" s="4159" t="s">
        <v>458</v>
      </c>
      <c r="H11" s="4160"/>
      <c r="I11" s="4160"/>
    </row>
    <row r="12" spans="1:11" ht="15.75">
      <c r="A12" s="3202" t="s">
        <v>443</v>
      </c>
      <c r="B12" s="3202" t="s">
        <v>444</v>
      </c>
      <c r="C12" s="4155" t="s">
        <v>445</v>
      </c>
      <c r="D12" s="4156" t="s">
        <v>446</v>
      </c>
      <c r="E12" s="4157" t="s">
        <v>235</v>
      </c>
      <c r="F12" s="3170" t="s">
        <v>455</v>
      </c>
      <c r="G12" s="4159" t="s">
        <v>459</v>
      </c>
      <c r="H12" s="4160"/>
      <c r="I12" s="4160"/>
    </row>
    <row r="13" spans="1:11" ht="15.75">
      <c r="A13" s="3202" t="s">
        <v>443</v>
      </c>
      <c r="B13" s="3202" t="s">
        <v>444</v>
      </c>
      <c r="C13" s="4155" t="s">
        <v>445</v>
      </c>
      <c r="D13" s="4156" t="s">
        <v>446</v>
      </c>
      <c r="E13" s="4157" t="s">
        <v>235</v>
      </c>
      <c r="F13" s="3170" t="s">
        <v>455</v>
      </c>
      <c r="G13" s="4159" t="s">
        <v>460</v>
      </c>
      <c r="H13" s="4160"/>
      <c r="I13" s="4160"/>
    </row>
    <row r="14" spans="1:11" ht="15.75">
      <c r="A14" s="3202" t="s">
        <v>443</v>
      </c>
      <c r="B14" s="3202" t="s">
        <v>444</v>
      </c>
      <c r="C14" s="4161" t="s">
        <v>235</v>
      </c>
      <c r="D14" s="4162" t="s">
        <v>461</v>
      </c>
      <c r="E14" s="4157" t="s">
        <v>235</v>
      </c>
      <c r="F14" s="4158" t="s">
        <v>447</v>
      </c>
      <c r="G14" s="4159" t="s">
        <v>448</v>
      </c>
      <c r="H14" s="4160"/>
      <c r="I14" s="4160"/>
    </row>
    <row r="15" spans="1:11" ht="15.75">
      <c r="A15" s="3202" t="s">
        <v>443</v>
      </c>
      <c r="B15" s="3202" t="s">
        <v>444</v>
      </c>
      <c r="C15" s="4161" t="s">
        <v>235</v>
      </c>
      <c r="D15" s="4162" t="s">
        <v>461</v>
      </c>
      <c r="E15" s="4157" t="s">
        <v>235</v>
      </c>
      <c r="F15" s="4158" t="s">
        <v>447</v>
      </c>
      <c r="G15" s="4159" t="s">
        <v>451</v>
      </c>
      <c r="H15" s="4160"/>
      <c r="I15" s="4160"/>
    </row>
    <row r="16" spans="1:11" ht="15.75">
      <c r="A16" s="3202" t="s">
        <v>443</v>
      </c>
      <c r="B16" s="3202" t="s">
        <v>444</v>
      </c>
      <c r="C16" s="4161" t="s">
        <v>235</v>
      </c>
      <c r="D16" s="4162" t="s">
        <v>461</v>
      </c>
      <c r="E16" s="4157" t="s">
        <v>235</v>
      </c>
      <c r="F16" s="4158" t="s">
        <v>447</v>
      </c>
      <c r="G16" s="4159" t="s">
        <v>450</v>
      </c>
      <c r="H16" s="4160"/>
      <c r="I16" s="4160"/>
    </row>
    <row r="17" spans="1:11" ht="15.75">
      <c r="A17" s="3202" t="s">
        <v>443</v>
      </c>
      <c r="B17" s="3202" t="s">
        <v>444</v>
      </c>
      <c r="C17" s="4161" t="s">
        <v>235</v>
      </c>
      <c r="D17" s="4162" t="s">
        <v>461</v>
      </c>
      <c r="E17" s="4157" t="s">
        <v>235</v>
      </c>
      <c r="F17" s="4158" t="s">
        <v>447</v>
      </c>
      <c r="G17" s="4159" t="s">
        <v>451</v>
      </c>
      <c r="H17" s="4160"/>
      <c r="I17" s="4160"/>
    </row>
    <row r="18" spans="1:11" ht="15.75">
      <c r="A18" s="3202" t="s">
        <v>443</v>
      </c>
      <c r="B18" s="3202" t="s">
        <v>444</v>
      </c>
      <c r="C18" s="4161" t="s">
        <v>235</v>
      </c>
      <c r="D18" s="4162" t="s">
        <v>461</v>
      </c>
      <c r="E18" s="4157" t="s">
        <v>235</v>
      </c>
      <c r="F18" s="4158" t="s">
        <v>447</v>
      </c>
      <c r="G18" s="4159" t="s">
        <v>452</v>
      </c>
      <c r="H18" s="4160"/>
      <c r="I18" s="4160"/>
    </row>
    <row r="19" spans="1:11" ht="15.75">
      <c r="A19" s="3202" t="s">
        <v>443</v>
      </c>
      <c r="B19" s="3202" t="s">
        <v>444</v>
      </c>
      <c r="C19" s="4161" t="s">
        <v>235</v>
      </c>
      <c r="D19" s="4162" t="s">
        <v>461</v>
      </c>
      <c r="E19" s="4157" t="s">
        <v>235</v>
      </c>
      <c r="F19" s="3170" t="s">
        <v>455</v>
      </c>
      <c r="G19" s="4159" t="s">
        <v>456</v>
      </c>
      <c r="H19" s="4160"/>
      <c r="I19" s="4160"/>
      <c r="J19" s="4159"/>
      <c r="K19" s="4160"/>
    </row>
    <row r="20" spans="1:11" ht="15.75">
      <c r="A20" s="3202" t="s">
        <v>443</v>
      </c>
      <c r="B20" s="3202" t="s">
        <v>444</v>
      </c>
      <c r="C20" s="4161" t="s">
        <v>235</v>
      </c>
      <c r="D20" s="4162" t="s">
        <v>461</v>
      </c>
      <c r="E20" s="4157" t="s">
        <v>235</v>
      </c>
      <c r="F20" s="3170" t="s">
        <v>455</v>
      </c>
      <c r="G20" s="4159" t="s">
        <v>457</v>
      </c>
      <c r="H20" s="4160"/>
      <c r="I20" s="4160"/>
      <c r="J20" s="4159"/>
      <c r="K20" s="4160"/>
    </row>
    <row r="21" spans="1:11" ht="15.75">
      <c r="A21" s="3202" t="s">
        <v>443</v>
      </c>
      <c r="B21" s="3202" t="s">
        <v>444</v>
      </c>
      <c r="C21" s="4161" t="s">
        <v>235</v>
      </c>
      <c r="D21" s="4162" t="s">
        <v>461</v>
      </c>
      <c r="E21" s="4157" t="s">
        <v>235</v>
      </c>
      <c r="F21" s="3170" t="s">
        <v>455</v>
      </c>
      <c r="G21" s="4159" t="s">
        <v>458</v>
      </c>
      <c r="H21" s="4160"/>
      <c r="I21" s="4160"/>
      <c r="J21" s="4159"/>
      <c r="K21" s="4160"/>
    </row>
    <row r="22" spans="1:11" ht="15.75">
      <c r="A22" s="3202" t="s">
        <v>443</v>
      </c>
      <c r="B22" s="3202" t="s">
        <v>444</v>
      </c>
      <c r="C22" s="4161" t="s">
        <v>235</v>
      </c>
      <c r="D22" s="4162" t="s">
        <v>461</v>
      </c>
      <c r="E22" s="4157" t="s">
        <v>235</v>
      </c>
      <c r="F22" s="3170" t="s">
        <v>455</v>
      </c>
      <c r="G22" s="4159" t="s">
        <v>459</v>
      </c>
      <c r="H22" s="4160"/>
      <c r="I22" s="4160"/>
      <c r="J22" s="4159"/>
      <c r="K22" s="4160"/>
    </row>
    <row r="23" spans="1:11" ht="15.75">
      <c r="A23" s="3202" t="s">
        <v>443</v>
      </c>
      <c r="B23" s="3202" t="s">
        <v>444</v>
      </c>
      <c r="C23" s="4161" t="s">
        <v>235</v>
      </c>
      <c r="D23" s="4162" t="s">
        <v>461</v>
      </c>
      <c r="E23" s="4157" t="s">
        <v>235</v>
      </c>
      <c r="F23" s="3170" t="s">
        <v>455</v>
      </c>
      <c r="G23" s="4159" t="s">
        <v>460</v>
      </c>
      <c r="H23" s="4160"/>
      <c r="I23" s="4160"/>
      <c r="J23" s="4159"/>
      <c r="K23" s="4160"/>
    </row>
    <row r="24" spans="1:11" ht="15.75">
      <c r="A24" s="3202" t="s">
        <v>443</v>
      </c>
      <c r="B24" s="3202" t="s">
        <v>444</v>
      </c>
      <c r="C24" s="4163" t="s">
        <v>462</v>
      </c>
      <c r="D24" s="4164" t="s">
        <v>463</v>
      </c>
      <c r="E24" s="4157" t="s">
        <v>235</v>
      </c>
      <c r="F24" s="4158" t="s">
        <v>447</v>
      </c>
      <c r="G24" s="4159" t="s">
        <v>456</v>
      </c>
      <c r="H24" s="4160"/>
      <c r="I24" s="4160"/>
      <c r="J24" s="4159"/>
      <c r="K24" s="4160"/>
    </row>
    <row r="25" spans="1:11" ht="15.75">
      <c r="A25" s="3202" t="s">
        <v>443</v>
      </c>
      <c r="B25" s="3202" t="s">
        <v>444</v>
      </c>
      <c r="C25" s="4163" t="s">
        <v>462</v>
      </c>
      <c r="D25" s="4164" t="s">
        <v>463</v>
      </c>
      <c r="E25" s="4157" t="s">
        <v>235</v>
      </c>
      <c r="F25" s="4158" t="s">
        <v>447</v>
      </c>
      <c r="G25" s="4159" t="s">
        <v>457</v>
      </c>
      <c r="H25" s="4160"/>
      <c r="I25" s="4160"/>
      <c r="J25" s="4159"/>
      <c r="K25" s="4160"/>
    </row>
    <row r="26" spans="1:11" ht="15.75">
      <c r="A26" s="3202" t="s">
        <v>443</v>
      </c>
      <c r="B26" s="3202" t="s">
        <v>444</v>
      </c>
      <c r="C26" s="4163" t="s">
        <v>462</v>
      </c>
      <c r="D26" s="4164" t="s">
        <v>463</v>
      </c>
      <c r="E26" s="4157" t="s">
        <v>235</v>
      </c>
      <c r="F26" s="4158" t="s">
        <v>447</v>
      </c>
      <c r="G26" s="4159" t="s">
        <v>458</v>
      </c>
      <c r="H26" s="4160"/>
      <c r="I26" s="4160"/>
      <c r="J26" s="4159"/>
      <c r="K26" s="4160"/>
    </row>
    <row r="27" spans="1:11" ht="15.75">
      <c r="A27" s="3202" t="s">
        <v>443</v>
      </c>
      <c r="B27" s="3202" t="s">
        <v>444</v>
      </c>
      <c r="C27" s="4163" t="s">
        <v>462</v>
      </c>
      <c r="D27" s="4164" t="s">
        <v>463</v>
      </c>
      <c r="E27" s="4157" t="s">
        <v>235</v>
      </c>
      <c r="F27" s="4158" t="s">
        <v>447</v>
      </c>
      <c r="G27" s="4159" t="s">
        <v>459</v>
      </c>
      <c r="H27" s="4160"/>
      <c r="I27" s="4160"/>
      <c r="J27" s="4159"/>
      <c r="K27" s="4160"/>
    </row>
    <row r="28" spans="1:11" ht="15.75">
      <c r="A28" s="3202" t="s">
        <v>443</v>
      </c>
      <c r="B28" s="3202" t="s">
        <v>444</v>
      </c>
      <c r="C28" s="4163" t="s">
        <v>462</v>
      </c>
      <c r="D28" s="4164" t="s">
        <v>463</v>
      </c>
      <c r="E28" s="4157" t="s">
        <v>235</v>
      </c>
      <c r="F28" s="4158" t="s">
        <v>447</v>
      </c>
      <c r="G28" s="4159" t="s">
        <v>460</v>
      </c>
      <c r="H28" s="4160"/>
      <c r="I28" s="4160"/>
      <c r="J28" s="4159"/>
      <c r="K28" s="4160"/>
    </row>
    <row r="29" spans="1:11" ht="15.75">
      <c r="A29" s="3202" t="s">
        <v>443</v>
      </c>
      <c r="B29" s="3202" t="s">
        <v>444</v>
      </c>
      <c r="C29" s="4163" t="s">
        <v>462</v>
      </c>
      <c r="D29" s="4164" t="s">
        <v>463</v>
      </c>
      <c r="E29" s="4157" t="s">
        <v>235</v>
      </c>
      <c r="F29" s="3170" t="s">
        <v>455</v>
      </c>
      <c r="G29" s="4159" t="s">
        <v>448</v>
      </c>
      <c r="H29" s="4160"/>
      <c r="I29" s="4160"/>
    </row>
    <row r="30" spans="1:11" ht="15.75">
      <c r="A30" s="3202" t="s">
        <v>443</v>
      </c>
      <c r="B30" s="3202" t="s">
        <v>444</v>
      </c>
      <c r="C30" s="4163" t="s">
        <v>462</v>
      </c>
      <c r="D30" s="4164" t="s">
        <v>463</v>
      </c>
      <c r="E30" s="4157" t="s">
        <v>235</v>
      </c>
      <c r="F30" s="3170" t="s">
        <v>455</v>
      </c>
      <c r="G30" s="4159" t="s">
        <v>449</v>
      </c>
      <c r="H30" s="4160"/>
      <c r="I30" s="4160"/>
    </row>
    <row r="31" spans="1:11" ht="15.75">
      <c r="A31" s="3202" t="s">
        <v>443</v>
      </c>
      <c r="B31" s="3202" t="s">
        <v>444</v>
      </c>
      <c r="C31" s="4163" t="s">
        <v>462</v>
      </c>
      <c r="D31" s="4164" t="s">
        <v>463</v>
      </c>
      <c r="E31" s="4157" t="s">
        <v>235</v>
      </c>
      <c r="F31" s="3170" t="s">
        <v>455</v>
      </c>
      <c r="G31" s="4159" t="s">
        <v>450</v>
      </c>
      <c r="H31" s="4160"/>
      <c r="I31" s="4160"/>
    </row>
    <row r="32" spans="1:11" ht="15.75">
      <c r="A32" s="3202" t="s">
        <v>443</v>
      </c>
      <c r="B32" s="3202" t="s">
        <v>444</v>
      </c>
      <c r="C32" s="4163" t="s">
        <v>462</v>
      </c>
      <c r="D32" s="4164" t="s">
        <v>463</v>
      </c>
      <c r="E32" s="4157" t="s">
        <v>235</v>
      </c>
      <c r="F32" s="3170" t="s">
        <v>455</v>
      </c>
      <c r="G32" s="4159" t="s">
        <v>451</v>
      </c>
      <c r="H32" s="4160"/>
      <c r="I32" s="4160"/>
    </row>
    <row r="33" spans="1:11" ht="15.75">
      <c r="A33" s="3202" t="s">
        <v>443</v>
      </c>
      <c r="B33" s="3202" t="s">
        <v>444</v>
      </c>
      <c r="C33" s="4163" t="s">
        <v>462</v>
      </c>
      <c r="D33" s="4164" t="s">
        <v>463</v>
      </c>
      <c r="E33" s="4157" t="s">
        <v>235</v>
      </c>
      <c r="F33" s="3170" t="s">
        <v>455</v>
      </c>
      <c r="G33" s="4159" t="s">
        <v>452</v>
      </c>
      <c r="H33" s="4160"/>
      <c r="I33" s="4160"/>
    </row>
    <row r="34" spans="1:11" ht="15.75">
      <c r="A34" s="3202" t="s">
        <v>443</v>
      </c>
      <c r="B34" s="3202" t="s">
        <v>444</v>
      </c>
      <c r="C34" s="4165" t="s">
        <v>464</v>
      </c>
      <c r="D34" s="4166" t="s">
        <v>465</v>
      </c>
      <c r="E34" s="4157" t="s">
        <v>235</v>
      </c>
      <c r="F34" s="4158" t="s">
        <v>447</v>
      </c>
      <c r="G34" s="4159" t="s">
        <v>466</v>
      </c>
      <c r="H34" s="4160"/>
      <c r="I34" s="4160"/>
    </row>
    <row r="35" spans="1:11" ht="15.75">
      <c r="A35" s="3202" t="s">
        <v>443</v>
      </c>
      <c r="B35" s="3202" t="s">
        <v>444</v>
      </c>
      <c r="C35" s="4165" t="s">
        <v>464</v>
      </c>
      <c r="D35" s="4166" t="s">
        <v>467</v>
      </c>
      <c r="E35" s="4157" t="s">
        <v>235</v>
      </c>
      <c r="F35" s="4158" t="s">
        <v>447</v>
      </c>
      <c r="G35" s="4159" t="s">
        <v>448</v>
      </c>
      <c r="H35" s="4160"/>
      <c r="I35" s="4160"/>
    </row>
    <row r="36" spans="1:11" ht="15.75">
      <c r="A36" s="3202" t="s">
        <v>443</v>
      </c>
      <c r="B36" s="3202" t="s">
        <v>444</v>
      </c>
      <c r="C36" s="4165" t="s">
        <v>464</v>
      </c>
      <c r="D36" s="4166" t="s">
        <v>467</v>
      </c>
      <c r="E36" s="4157" t="s">
        <v>235</v>
      </c>
      <c r="F36" s="4158" t="s">
        <v>447</v>
      </c>
      <c r="G36" s="4159" t="s">
        <v>449</v>
      </c>
      <c r="H36" s="4160"/>
      <c r="I36" s="4160"/>
    </row>
    <row r="37" spans="1:11" ht="15.75">
      <c r="A37" s="3202" t="s">
        <v>443</v>
      </c>
      <c r="B37" s="3202" t="s">
        <v>444</v>
      </c>
      <c r="C37" s="4165" t="s">
        <v>464</v>
      </c>
      <c r="D37" s="4166" t="s">
        <v>467</v>
      </c>
      <c r="E37" s="4157" t="s">
        <v>235</v>
      </c>
      <c r="F37" s="4158" t="s">
        <v>447</v>
      </c>
      <c r="G37" s="4159" t="s">
        <v>450</v>
      </c>
      <c r="H37" s="4160"/>
      <c r="I37" s="4160"/>
      <c r="J37" s="4159"/>
      <c r="K37" s="4160"/>
    </row>
    <row r="38" spans="1:11" ht="15.75">
      <c r="A38" s="3202" t="s">
        <v>443</v>
      </c>
      <c r="B38" s="3202" t="s">
        <v>444</v>
      </c>
      <c r="C38" s="4165" t="s">
        <v>464</v>
      </c>
      <c r="D38" s="4166" t="s">
        <v>467</v>
      </c>
      <c r="E38" s="4157" t="s">
        <v>235</v>
      </c>
      <c r="F38" s="4158" t="s">
        <v>447</v>
      </c>
      <c r="G38" s="4159" t="s">
        <v>451</v>
      </c>
      <c r="H38" s="4160"/>
      <c r="I38" s="4160"/>
      <c r="J38" s="4159"/>
      <c r="K38" s="4160"/>
    </row>
    <row r="39" spans="1:11" ht="15.75">
      <c r="A39" s="3202" t="s">
        <v>443</v>
      </c>
      <c r="B39" s="3202" t="s">
        <v>444</v>
      </c>
      <c r="C39" s="4165" t="s">
        <v>464</v>
      </c>
      <c r="D39" s="4166" t="s">
        <v>467</v>
      </c>
      <c r="E39" s="4157" t="s">
        <v>235</v>
      </c>
      <c r="F39" s="4158" t="s">
        <v>447</v>
      </c>
      <c r="G39" s="4159" t="s">
        <v>452</v>
      </c>
      <c r="H39" s="4160"/>
      <c r="I39" s="4160"/>
      <c r="J39" s="4159"/>
      <c r="K39" s="4160"/>
    </row>
    <row r="40" spans="1:11" ht="15.75">
      <c r="A40" s="3202" t="s">
        <v>443</v>
      </c>
      <c r="B40" s="3202" t="s">
        <v>444</v>
      </c>
      <c r="C40" s="4165" t="s">
        <v>464</v>
      </c>
      <c r="D40" s="4166" t="s">
        <v>467</v>
      </c>
      <c r="E40" s="4157" t="s">
        <v>235</v>
      </c>
      <c r="F40" s="3170" t="s">
        <v>455</v>
      </c>
      <c r="G40" s="4159" t="s">
        <v>468</v>
      </c>
      <c r="H40" s="4160"/>
      <c r="I40" s="4160"/>
    </row>
    <row r="41" spans="1:11" ht="15.75">
      <c r="A41" s="3202" t="s">
        <v>443</v>
      </c>
      <c r="B41" s="3202" t="s">
        <v>444</v>
      </c>
      <c r="C41" s="4165" t="s">
        <v>464</v>
      </c>
      <c r="D41" s="4166" t="s">
        <v>467</v>
      </c>
      <c r="E41" s="4157" t="s">
        <v>235</v>
      </c>
      <c r="F41" s="3170" t="s">
        <v>455</v>
      </c>
      <c r="G41" s="4159" t="s">
        <v>469</v>
      </c>
      <c r="H41" s="4160"/>
      <c r="I41" s="4160"/>
    </row>
    <row r="42" spans="1:11" ht="15.75">
      <c r="A42" s="3202" t="s">
        <v>443</v>
      </c>
      <c r="B42" s="3202" t="s">
        <v>444</v>
      </c>
      <c r="C42" s="4165" t="s">
        <v>464</v>
      </c>
      <c r="D42" s="4166" t="s">
        <v>467</v>
      </c>
      <c r="E42" s="4157" t="s">
        <v>235</v>
      </c>
      <c r="F42" s="3170" t="s">
        <v>455</v>
      </c>
      <c r="G42" s="4159" t="s">
        <v>470</v>
      </c>
      <c r="H42" s="4160"/>
      <c r="I42" s="4160"/>
    </row>
    <row r="43" spans="1:11" ht="15.75">
      <c r="A43" s="3202" t="s">
        <v>443</v>
      </c>
      <c r="B43" s="3202" t="s">
        <v>444</v>
      </c>
      <c r="C43" s="4167" t="s">
        <v>471</v>
      </c>
      <c r="D43" s="4168" t="s">
        <v>472</v>
      </c>
      <c r="E43" s="4157" t="s">
        <v>235</v>
      </c>
      <c r="F43" s="4158" t="s">
        <v>447</v>
      </c>
      <c r="G43" s="4159" t="s">
        <v>468</v>
      </c>
      <c r="H43" s="4160"/>
      <c r="I43" s="4160"/>
      <c r="J43" s="4159"/>
      <c r="K43" s="4160"/>
    </row>
    <row r="44" spans="1:11" ht="15.75">
      <c r="A44" s="3202" t="s">
        <v>443</v>
      </c>
      <c r="B44" s="3202" t="s">
        <v>444</v>
      </c>
      <c r="C44" s="4167" t="s">
        <v>471</v>
      </c>
      <c r="D44" s="4168" t="s">
        <v>472</v>
      </c>
      <c r="E44" s="4157" t="s">
        <v>235</v>
      </c>
      <c r="F44" s="4158" t="s">
        <v>447</v>
      </c>
      <c r="G44" s="4159" t="s">
        <v>469</v>
      </c>
      <c r="H44" s="4160"/>
      <c r="I44" s="4160"/>
      <c r="J44" s="4159"/>
      <c r="K44" s="4160"/>
    </row>
    <row r="45" spans="1:11" ht="15.75">
      <c r="A45" s="3202" t="s">
        <v>443</v>
      </c>
      <c r="B45" s="3202" t="s">
        <v>444</v>
      </c>
      <c r="C45" s="4167" t="s">
        <v>471</v>
      </c>
      <c r="D45" s="4168" t="s">
        <v>472</v>
      </c>
      <c r="E45" s="4157" t="s">
        <v>235</v>
      </c>
      <c r="F45" s="4158" t="s">
        <v>447</v>
      </c>
      <c r="G45" s="4159" t="s">
        <v>470</v>
      </c>
      <c r="H45" s="4160"/>
      <c r="I45" s="4160"/>
      <c r="J45" s="4159"/>
      <c r="K45" s="4160"/>
    </row>
    <row r="46" spans="1:11" ht="15.75">
      <c r="A46" s="3202" t="s">
        <v>443</v>
      </c>
      <c r="B46" s="3202" t="s">
        <v>444</v>
      </c>
      <c r="C46" s="4167" t="s">
        <v>471</v>
      </c>
      <c r="D46" s="4168" t="s">
        <v>472</v>
      </c>
      <c r="E46" s="4157" t="s">
        <v>453</v>
      </c>
      <c r="F46" s="4158" t="s">
        <v>447</v>
      </c>
      <c r="G46" s="4159" t="s">
        <v>454</v>
      </c>
      <c r="H46" s="4160"/>
      <c r="I46" s="4160"/>
      <c r="J46" s="4159"/>
      <c r="K46" s="4160"/>
    </row>
    <row r="47" spans="1:11" ht="15.75">
      <c r="A47" s="3202" t="s">
        <v>443</v>
      </c>
      <c r="B47" s="3202" t="s">
        <v>444</v>
      </c>
      <c r="C47" s="4167" t="s">
        <v>471</v>
      </c>
      <c r="D47" s="4168" t="s">
        <v>472</v>
      </c>
      <c r="E47" s="4157" t="s">
        <v>235</v>
      </c>
      <c r="F47" s="3170" t="s">
        <v>455</v>
      </c>
      <c r="G47" s="4159" t="s">
        <v>473</v>
      </c>
      <c r="H47" s="4160"/>
      <c r="J47" s="4159"/>
      <c r="K47" s="4160"/>
    </row>
    <row r="48" spans="1:11" ht="15.75">
      <c r="A48" s="3202" t="s">
        <v>443</v>
      </c>
      <c r="B48" s="3202" t="s">
        <v>444</v>
      </c>
      <c r="C48" s="4167" t="s">
        <v>471</v>
      </c>
      <c r="D48" s="4168" t="s">
        <v>472</v>
      </c>
      <c r="E48" s="4157" t="s">
        <v>235</v>
      </c>
      <c r="F48" s="3170" t="s">
        <v>455</v>
      </c>
      <c r="G48" s="4159" t="s">
        <v>451</v>
      </c>
      <c r="H48" s="4160"/>
      <c r="I48" s="4160"/>
      <c r="J48" s="4159"/>
      <c r="K48" s="4160"/>
    </row>
    <row r="49" spans="1:11" ht="15.75">
      <c r="A49" s="3202" t="s">
        <v>443</v>
      </c>
      <c r="B49" s="3202" t="s">
        <v>444</v>
      </c>
      <c r="C49" s="4167" t="s">
        <v>471</v>
      </c>
      <c r="D49" s="4168" t="s">
        <v>472</v>
      </c>
      <c r="E49" s="4157" t="s">
        <v>235</v>
      </c>
      <c r="F49" s="3170" t="s">
        <v>455</v>
      </c>
      <c r="G49" s="4159" t="s">
        <v>450</v>
      </c>
      <c r="H49" s="4160"/>
      <c r="I49" s="4160"/>
      <c r="J49" s="4159"/>
      <c r="K49" s="4160"/>
    </row>
    <row r="50" spans="1:11" ht="15.75">
      <c r="A50" s="3202" t="s">
        <v>443</v>
      </c>
      <c r="B50" s="3202" t="s">
        <v>444</v>
      </c>
      <c r="C50" s="4167" t="s">
        <v>471</v>
      </c>
      <c r="D50" s="4168" t="s">
        <v>472</v>
      </c>
      <c r="E50" s="4157" t="s">
        <v>235</v>
      </c>
      <c r="F50" s="3170" t="s">
        <v>455</v>
      </c>
      <c r="G50" s="4159" t="s">
        <v>451</v>
      </c>
      <c r="H50" s="4160"/>
      <c r="I50" s="4160"/>
      <c r="J50" s="4159"/>
      <c r="K50" s="4160"/>
    </row>
    <row r="51" spans="1:11" ht="15.75">
      <c r="A51" s="3202" t="s">
        <v>443</v>
      </c>
      <c r="B51" s="3202" t="s">
        <v>444</v>
      </c>
      <c r="C51" s="4167" t="s">
        <v>471</v>
      </c>
      <c r="D51" s="4168" t="s">
        <v>472</v>
      </c>
      <c r="E51" s="4157" t="s">
        <v>235</v>
      </c>
      <c r="F51" s="3170" t="s">
        <v>455</v>
      </c>
      <c r="G51" s="4159" t="s">
        <v>452</v>
      </c>
      <c r="H51" s="4160"/>
      <c r="I51" s="4160"/>
      <c r="J51" s="4159"/>
      <c r="K51" s="4160"/>
    </row>
    <row r="52" spans="1:11" ht="15.75">
      <c r="A52" s="3202" t="s">
        <v>443</v>
      </c>
      <c r="B52" s="3202" t="s">
        <v>474</v>
      </c>
      <c r="C52" s="4155" t="s">
        <v>445</v>
      </c>
      <c r="D52" s="4156" t="s">
        <v>446</v>
      </c>
      <c r="E52" s="4157" t="s">
        <v>475</v>
      </c>
      <c r="F52" s="4158" t="s">
        <v>447</v>
      </c>
      <c r="G52" s="4159" t="s">
        <v>476</v>
      </c>
      <c r="H52" s="4160"/>
      <c r="I52" s="4160"/>
    </row>
    <row r="53" spans="1:11" ht="15.75">
      <c r="A53" s="3202" t="s">
        <v>443</v>
      </c>
      <c r="B53" s="3202" t="s">
        <v>474</v>
      </c>
      <c r="C53" s="4155" t="s">
        <v>445</v>
      </c>
      <c r="D53" s="4156" t="s">
        <v>446</v>
      </c>
      <c r="E53" s="4157" t="s">
        <v>475</v>
      </c>
      <c r="F53" s="4158" t="s">
        <v>447</v>
      </c>
      <c r="G53" s="4159" t="s">
        <v>477</v>
      </c>
      <c r="H53" s="4160"/>
      <c r="I53" s="4160"/>
    </row>
    <row r="54" spans="1:11" ht="15.75">
      <c r="A54" s="3202" t="s">
        <v>443</v>
      </c>
      <c r="B54" s="3202" t="s">
        <v>474</v>
      </c>
      <c r="C54" s="4155" t="s">
        <v>445</v>
      </c>
      <c r="D54" s="4156" t="s">
        <v>446</v>
      </c>
      <c r="E54" s="4157" t="s">
        <v>475</v>
      </c>
      <c r="F54" s="4158" t="s">
        <v>447</v>
      </c>
      <c r="G54" s="4159" t="s">
        <v>478</v>
      </c>
      <c r="H54" s="4160"/>
      <c r="I54" s="4160"/>
    </row>
    <row r="55" spans="1:11" ht="15.75">
      <c r="A55" s="3202" t="s">
        <v>443</v>
      </c>
      <c r="B55" s="3202" t="s">
        <v>474</v>
      </c>
      <c r="C55" s="4155" t="s">
        <v>445</v>
      </c>
      <c r="D55" s="4156" t="s">
        <v>446</v>
      </c>
      <c r="E55" s="4157" t="s">
        <v>475</v>
      </c>
      <c r="F55" s="4158" t="s">
        <v>447</v>
      </c>
      <c r="G55" s="4159" t="s">
        <v>479</v>
      </c>
      <c r="H55" s="4160"/>
      <c r="I55" s="4160"/>
    </row>
    <row r="56" spans="1:11" ht="15.75">
      <c r="A56" s="3202" t="s">
        <v>443</v>
      </c>
      <c r="B56" s="3202" t="s">
        <v>474</v>
      </c>
      <c r="C56" s="4155" t="s">
        <v>445</v>
      </c>
      <c r="D56" s="4156" t="s">
        <v>446</v>
      </c>
      <c r="E56" s="4157" t="s">
        <v>475</v>
      </c>
      <c r="F56" s="4158" t="s">
        <v>447</v>
      </c>
      <c r="G56" s="4159" t="s">
        <v>480</v>
      </c>
      <c r="H56" s="4160"/>
      <c r="I56" s="4160"/>
    </row>
    <row r="57" spans="1:11" ht="15.75">
      <c r="A57" s="3202" t="s">
        <v>443</v>
      </c>
      <c r="B57" s="3202" t="s">
        <v>474</v>
      </c>
      <c r="C57" s="4155" t="s">
        <v>445</v>
      </c>
      <c r="D57" s="4156" t="s">
        <v>446</v>
      </c>
      <c r="E57" s="4157" t="s">
        <v>453</v>
      </c>
      <c r="F57" s="4158" t="s">
        <v>447</v>
      </c>
      <c r="G57" s="4159" t="s">
        <v>454</v>
      </c>
      <c r="H57" s="4160"/>
      <c r="I57" s="4160"/>
    </row>
    <row r="58" spans="1:11" ht="15.75">
      <c r="A58" s="3202" t="s">
        <v>443</v>
      </c>
      <c r="B58" s="3202" t="s">
        <v>474</v>
      </c>
      <c r="C58" s="4155" t="s">
        <v>445</v>
      </c>
      <c r="D58" s="4156" t="s">
        <v>446</v>
      </c>
      <c r="E58" s="4157" t="s">
        <v>475</v>
      </c>
      <c r="F58" s="3170" t="s">
        <v>455</v>
      </c>
      <c r="G58" s="4159" t="s">
        <v>481</v>
      </c>
      <c r="H58" s="4160"/>
      <c r="I58" s="4160"/>
      <c r="J58" s="4159"/>
      <c r="K58" s="4160"/>
    </row>
    <row r="59" spans="1:11" ht="15.75">
      <c r="A59" s="3202" t="s">
        <v>443</v>
      </c>
      <c r="B59" s="3202" t="s">
        <v>474</v>
      </c>
      <c r="C59" s="4155" t="s">
        <v>445</v>
      </c>
      <c r="D59" s="4156" t="s">
        <v>446</v>
      </c>
      <c r="E59" s="4157" t="s">
        <v>235</v>
      </c>
      <c r="F59" s="3170" t="s">
        <v>455</v>
      </c>
      <c r="G59" s="4159" t="s">
        <v>460</v>
      </c>
      <c r="H59" s="4160"/>
      <c r="I59" s="4160"/>
      <c r="J59" s="4159"/>
      <c r="K59" s="4160"/>
    </row>
    <row r="60" spans="1:11" ht="15.75">
      <c r="A60" s="3202" t="s">
        <v>443</v>
      </c>
      <c r="B60" s="3202" t="s">
        <v>474</v>
      </c>
      <c r="C60" s="4155" t="s">
        <v>445</v>
      </c>
      <c r="D60" s="4156" t="s">
        <v>446</v>
      </c>
      <c r="E60" s="4157" t="s">
        <v>235</v>
      </c>
      <c r="F60" s="3170" t="s">
        <v>455</v>
      </c>
      <c r="G60" s="4159" t="s">
        <v>456</v>
      </c>
      <c r="H60" s="4160"/>
      <c r="I60" s="4160"/>
      <c r="J60" s="4159"/>
      <c r="K60" s="4160"/>
    </row>
    <row r="61" spans="1:11" ht="15.75">
      <c r="A61" s="3202" t="s">
        <v>443</v>
      </c>
      <c r="B61" s="3202" t="s">
        <v>474</v>
      </c>
      <c r="C61" s="4155" t="s">
        <v>445</v>
      </c>
      <c r="D61" s="4156" t="s">
        <v>446</v>
      </c>
      <c r="E61" s="4157" t="s">
        <v>235</v>
      </c>
      <c r="F61" s="3170" t="s">
        <v>455</v>
      </c>
      <c r="G61" s="4159" t="s">
        <v>457</v>
      </c>
      <c r="H61" s="4160"/>
      <c r="I61" s="4160"/>
      <c r="J61" s="4159"/>
      <c r="K61" s="4160"/>
    </row>
    <row r="62" spans="1:11" ht="15.75">
      <c r="A62" s="3202" t="s">
        <v>443</v>
      </c>
      <c r="B62" s="3202" t="s">
        <v>474</v>
      </c>
      <c r="C62" s="4155" t="s">
        <v>445</v>
      </c>
      <c r="D62" s="4156" t="s">
        <v>446</v>
      </c>
      <c r="E62" s="4157" t="s">
        <v>235</v>
      </c>
      <c r="F62" s="3170" t="s">
        <v>455</v>
      </c>
      <c r="G62" s="4159" t="s">
        <v>458</v>
      </c>
      <c r="H62" s="4160"/>
      <c r="I62" s="4160"/>
      <c r="J62" s="4159"/>
      <c r="K62" s="4160"/>
    </row>
    <row r="63" spans="1:11" ht="15.75">
      <c r="A63" s="3202" t="s">
        <v>443</v>
      </c>
      <c r="B63" s="3202" t="s">
        <v>474</v>
      </c>
      <c r="C63" s="4155" t="s">
        <v>445</v>
      </c>
      <c r="D63" s="4156" t="s">
        <v>446</v>
      </c>
      <c r="E63" s="4157" t="s">
        <v>235</v>
      </c>
      <c r="F63" s="3170" t="s">
        <v>455</v>
      </c>
      <c r="G63" s="4159" t="s">
        <v>459</v>
      </c>
      <c r="H63" s="4160"/>
      <c r="I63" s="4160"/>
      <c r="J63" s="4159"/>
      <c r="K63" s="4160"/>
    </row>
    <row r="64" spans="1:11" ht="15.75">
      <c r="A64" s="3202" t="s">
        <v>443</v>
      </c>
      <c r="B64" s="3202" t="s">
        <v>474</v>
      </c>
      <c r="C64" s="4161" t="s">
        <v>235</v>
      </c>
      <c r="D64" s="4162" t="s">
        <v>461</v>
      </c>
      <c r="E64" s="4157" t="s">
        <v>235</v>
      </c>
      <c r="F64" s="4158" t="s">
        <v>447</v>
      </c>
      <c r="G64" s="4159" t="s">
        <v>482</v>
      </c>
      <c r="H64" s="4160"/>
      <c r="I64" s="4160"/>
    </row>
    <row r="65" spans="1:11" ht="15.75">
      <c r="A65" s="3202" t="s">
        <v>443</v>
      </c>
      <c r="B65" s="3202" t="s">
        <v>474</v>
      </c>
      <c r="C65" s="4161" t="s">
        <v>235</v>
      </c>
      <c r="D65" s="4162" t="s">
        <v>461</v>
      </c>
      <c r="E65" s="4157" t="s">
        <v>235</v>
      </c>
      <c r="F65" s="4158" t="s">
        <v>447</v>
      </c>
      <c r="G65" s="4159" t="s">
        <v>469</v>
      </c>
      <c r="H65" s="4160"/>
      <c r="I65" s="4160"/>
    </row>
    <row r="66" spans="1:11" ht="15.75">
      <c r="A66" s="3202" t="s">
        <v>443</v>
      </c>
      <c r="B66" s="3202" t="s">
        <v>474</v>
      </c>
      <c r="C66" s="4161" t="s">
        <v>235</v>
      </c>
      <c r="D66" s="4162" t="s">
        <v>461</v>
      </c>
      <c r="E66" s="4157" t="s">
        <v>235</v>
      </c>
      <c r="F66" s="4158" t="s">
        <v>447</v>
      </c>
      <c r="G66" s="4159" t="s">
        <v>470</v>
      </c>
      <c r="H66" s="4160"/>
      <c r="I66" s="4160"/>
    </row>
    <row r="67" spans="1:11" ht="15.75">
      <c r="A67" s="3202" t="s">
        <v>443</v>
      </c>
      <c r="B67" s="3202" t="s">
        <v>474</v>
      </c>
      <c r="C67" s="4161" t="s">
        <v>235</v>
      </c>
      <c r="D67" s="4162" t="s">
        <v>461</v>
      </c>
      <c r="E67" s="4157" t="s">
        <v>475</v>
      </c>
      <c r="F67" s="3170" t="s">
        <v>455</v>
      </c>
      <c r="G67" s="4159" t="s">
        <v>476</v>
      </c>
      <c r="H67" s="4160"/>
    </row>
    <row r="68" spans="1:11" ht="15.75">
      <c r="A68" s="3202" t="s">
        <v>443</v>
      </c>
      <c r="B68" s="3202" t="s">
        <v>474</v>
      </c>
      <c r="C68" s="4161" t="s">
        <v>235</v>
      </c>
      <c r="D68" s="4162" t="s">
        <v>461</v>
      </c>
      <c r="E68" s="4157" t="s">
        <v>475</v>
      </c>
      <c r="F68" s="3170" t="s">
        <v>455</v>
      </c>
      <c r="G68" s="4159" t="s">
        <v>477</v>
      </c>
      <c r="H68" s="4160"/>
    </row>
    <row r="69" spans="1:11" ht="15.75">
      <c r="A69" s="3202" t="s">
        <v>443</v>
      </c>
      <c r="B69" s="3202" t="s">
        <v>474</v>
      </c>
      <c r="C69" s="4161" t="s">
        <v>235</v>
      </c>
      <c r="D69" s="4162" t="s">
        <v>461</v>
      </c>
      <c r="E69" s="4157" t="s">
        <v>475</v>
      </c>
      <c r="F69" s="3170" t="s">
        <v>455</v>
      </c>
      <c r="G69" s="4159" t="s">
        <v>478</v>
      </c>
      <c r="H69" s="4160"/>
      <c r="I69" s="4160"/>
      <c r="J69" s="4159"/>
      <c r="K69" s="4160"/>
    </row>
    <row r="70" spans="1:11" ht="15.75">
      <c r="A70" s="3202" t="s">
        <v>443</v>
      </c>
      <c r="B70" s="3202" t="s">
        <v>474</v>
      </c>
      <c r="C70" s="4161" t="s">
        <v>235</v>
      </c>
      <c r="D70" s="4162" t="s">
        <v>461</v>
      </c>
      <c r="E70" s="4157" t="s">
        <v>475</v>
      </c>
      <c r="F70" s="3170" t="s">
        <v>455</v>
      </c>
      <c r="G70" s="4159" t="s">
        <v>479</v>
      </c>
      <c r="H70" s="4160"/>
      <c r="I70" s="4160"/>
      <c r="J70" s="4159"/>
      <c r="K70" s="4160"/>
    </row>
    <row r="71" spans="1:11" ht="15.75">
      <c r="A71" s="3202" t="s">
        <v>443</v>
      </c>
      <c r="B71" s="3202" t="s">
        <v>474</v>
      </c>
      <c r="C71" s="4161" t="s">
        <v>235</v>
      </c>
      <c r="D71" s="4162" t="s">
        <v>461</v>
      </c>
      <c r="E71" s="4157" t="s">
        <v>475</v>
      </c>
      <c r="F71" s="3170" t="s">
        <v>455</v>
      </c>
      <c r="G71" s="4159" t="s">
        <v>483</v>
      </c>
      <c r="H71" s="4160"/>
      <c r="I71" s="4160"/>
      <c r="J71" s="4159"/>
      <c r="K71" s="4160"/>
    </row>
    <row r="72" spans="1:11" ht="15.75">
      <c r="A72" s="3202" t="s">
        <v>443</v>
      </c>
      <c r="B72" s="3202" t="s">
        <v>474</v>
      </c>
      <c r="C72" s="4163" t="s">
        <v>462</v>
      </c>
      <c r="D72" s="4164" t="s">
        <v>463</v>
      </c>
      <c r="E72" s="4157" t="s">
        <v>475</v>
      </c>
      <c r="F72" s="4158" t="s">
        <v>447</v>
      </c>
      <c r="G72" s="4159" t="s">
        <v>476</v>
      </c>
      <c r="H72" s="4160"/>
      <c r="I72" s="4160"/>
    </row>
    <row r="73" spans="1:11" ht="15.75">
      <c r="A73" s="3202" t="s">
        <v>443</v>
      </c>
      <c r="B73" s="3202" t="s">
        <v>474</v>
      </c>
      <c r="C73" s="4163" t="s">
        <v>462</v>
      </c>
      <c r="D73" s="4164" t="s">
        <v>463</v>
      </c>
      <c r="E73" s="4157" t="s">
        <v>475</v>
      </c>
      <c r="F73" s="4158" t="s">
        <v>447</v>
      </c>
      <c r="G73" s="4159" t="s">
        <v>477</v>
      </c>
      <c r="H73" s="4160"/>
      <c r="I73" s="4160"/>
    </row>
    <row r="74" spans="1:11" ht="15.75">
      <c r="A74" s="3202" t="s">
        <v>443</v>
      </c>
      <c r="B74" s="3202" t="s">
        <v>474</v>
      </c>
      <c r="C74" s="4163" t="s">
        <v>462</v>
      </c>
      <c r="D74" s="4164" t="s">
        <v>463</v>
      </c>
      <c r="E74" s="4157" t="s">
        <v>475</v>
      </c>
      <c r="F74" s="4158" t="s">
        <v>447</v>
      </c>
      <c r="G74" s="4159" t="s">
        <v>478</v>
      </c>
      <c r="H74" s="4160"/>
      <c r="I74" s="4160"/>
    </row>
    <row r="75" spans="1:11" ht="15.75">
      <c r="A75" s="3202" t="s">
        <v>443</v>
      </c>
      <c r="B75" s="3202" t="s">
        <v>474</v>
      </c>
      <c r="C75" s="4163" t="s">
        <v>462</v>
      </c>
      <c r="D75" s="4164" t="s">
        <v>463</v>
      </c>
      <c r="E75" s="4157" t="s">
        <v>475</v>
      </c>
      <c r="F75" s="4158" t="s">
        <v>447</v>
      </c>
      <c r="G75" s="4159" t="s">
        <v>479</v>
      </c>
      <c r="H75" s="4160"/>
      <c r="I75" s="4160"/>
    </row>
    <row r="76" spans="1:11" ht="15.75">
      <c r="A76" s="3202" t="s">
        <v>443</v>
      </c>
      <c r="B76" s="3202" t="s">
        <v>474</v>
      </c>
      <c r="C76" s="4163" t="s">
        <v>462</v>
      </c>
      <c r="D76" s="4164" t="s">
        <v>463</v>
      </c>
      <c r="E76" s="4157" t="s">
        <v>475</v>
      </c>
      <c r="F76" s="4158" t="s">
        <v>447</v>
      </c>
      <c r="G76" s="4159" t="s">
        <v>480</v>
      </c>
      <c r="H76" s="4160"/>
      <c r="I76" s="4160"/>
    </row>
    <row r="77" spans="1:11" ht="15.75">
      <c r="A77" s="3202" t="s">
        <v>443</v>
      </c>
      <c r="B77" s="3202" t="s">
        <v>474</v>
      </c>
      <c r="C77" s="4163" t="s">
        <v>462</v>
      </c>
      <c r="D77" s="4164" t="s">
        <v>463</v>
      </c>
      <c r="E77" s="4157" t="s">
        <v>235</v>
      </c>
      <c r="F77" s="3170" t="s">
        <v>455</v>
      </c>
      <c r="G77" s="4159" t="s">
        <v>456</v>
      </c>
      <c r="H77" s="4160"/>
      <c r="I77" s="4160"/>
      <c r="J77" s="4159"/>
      <c r="K77" s="4160"/>
    </row>
    <row r="78" spans="1:11" ht="15.75">
      <c r="A78" s="3202" t="s">
        <v>443</v>
      </c>
      <c r="B78" s="3202" t="s">
        <v>474</v>
      </c>
      <c r="C78" s="4163" t="s">
        <v>462</v>
      </c>
      <c r="D78" s="4164" t="s">
        <v>463</v>
      </c>
      <c r="E78" s="4157" t="s">
        <v>235</v>
      </c>
      <c r="F78" s="3170" t="s">
        <v>455</v>
      </c>
      <c r="G78" s="4159" t="s">
        <v>457</v>
      </c>
      <c r="H78" s="4160"/>
      <c r="I78" s="4160"/>
      <c r="J78" s="4159"/>
      <c r="K78" s="4160"/>
    </row>
    <row r="79" spans="1:11" ht="15.75">
      <c r="A79" s="3202" t="s">
        <v>443</v>
      </c>
      <c r="B79" s="3202" t="s">
        <v>474</v>
      </c>
      <c r="C79" s="4163" t="s">
        <v>462</v>
      </c>
      <c r="D79" s="4164" t="s">
        <v>463</v>
      </c>
      <c r="E79" s="4157" t="s">
        <v>235</v>
      </c>
      <c r="F79" s="3170" t="s">
        <v>455</v>
      </c>
      <c r="G79" s="4159" t="s">
        <v>458</v>
      </c>
      <c r="H79" s="4160"/>
      <c r="I79" s="4160"/>
      <c r="J79" s="4159"/>
      <c r="K79" s="4160"/>
    </row>
    <row r="80" spans="1:11" ht="15.75">
      <c r="A80" s="3202" t="s">
        <v>443</v>
      </c>
      <c r="B80" s="3202" t="s">
        <v>474</v>
      </c>
      <c r="C80" s="4163" t="s">
        <v>462</v>
      </c>
      <c r="D80" s="4164" t="s">
        <v>463</v>
      </c>
      <c r="E80" s="4157" t="s">
        <v>235</v>
      </c>
      <c r="F80" s="3170" t="s">
        <v>455</v>
      </c>
      <c r="G80" s="4159" t="s">
        <v>459</v>
      </c>
      <c r="H80" s="4160"/>
      <c r="I80" s="4160"/>
      <c r="J80" s="4159"/>
      <c r="K80" s="4160"/>
    </row>
    <row r="81" spans="1:11" ht="15.75">
      <c r="A81" s="3202" t="s">
        <v>443</v>
      </c>
      <c r="B81" s="3202" t="s">
        <v>474</v>
      </c>
      <c r="C81" s="4163" t="s">
        <v>462</v>
      </c>
      <c r="D81" s="4164" t="s">
        <v>463</v>
      </c>
      <c r="E81" s="4157" t="s">
        <v>235</v>
      </c>
      <c r="F81" s="3170" t="s">
        <v>455</v>
      </c>
      <c r="G81" s="4159" t="s">
        <v>460</v>
      </c>
      <c r="H81" s="4160"/>
      <c r="I81" s="4160"/>
      <c r="J81" s="4159"/>
      <c r="K81" s="4160"/>
    </row>
    <row r="82" spans="1:11" ht="15.75">
      <c r="A82" s="3202" t="s">
        <v>443</v>
      </c>
      <c r="B82" s="3202" t="s">
        <v>474</v>
      </c>
      <c r="C82" s="4165" t="s">
        <v>464</v>
      </c>
      <c r="D82" s="4166" t="s">
        <v>465</v>
      </c>
      <c r="E82" s="4157" t="s">
        <v>235</v>
      </c>
      <c r="F82" s="4158" t="s">
        <v>447</v>
      </c>
      <c r="G82" s="4159" t="s">
        <v>466</v>
      </c>
      <c r="H82" s="4160"/>
      <c r="I82" s="4160"/>
    </row>
    <row r="83" spans="1:11" ht="15.75">
      <c r="A83" s="3202" t="s">
        <v>443</v>
      </c>
      <c r="B83" s="3202" t="s">
        <v>474</v>
      </c>
      <c r="C83" s="4165" t="s">
        <v>464</v>
      </c>
      <c r="D83" s="4166" t="s">
        <v>465</v>
      </c>
      <c r="E83" s="4157" t="s">
        <v>235</v>
      </c>
      <c r="F83" s="3170" t="s">
        <v>455</v>
      </c>
      <c r="G83" s="4159" t="s">
        <v>456</v>
      </c>
      <c r="H83" s="4160"/>
      <c r="I83" s="4160"/>
    </row>
    <row r="84" spans="1:11" ht="15.75">
      <c r="A84" s="3202" t="s">
        <v>443</v>
      </c>
      <c r="B84" s="3202" t="s">
        <v>474</v>
      </c>
      <c r="C84" s="4165" t="s">
        <v>464</v>
      </c>
      <c r="D84" s="4166" t="s">
        <v>465</v>
      </c>
      <c r="E84" s="4157" t="s">
        <v>235</v>
      </c>
      <c r="F84" s="3170" t="s">
        <v>455</v>
      </c>
      <c r="G84" s="4159" t="s">
        <v>457</v>
      </c>
      <c r="H84" s="4160"/>
      <c r="I84" s="4160"/>
    </row>
    <row r="85" spans="1:11" ht="15.75">
      <c r="A85" s="3202" t="s">
        <v>443</v>
      </c>
      <c r="B85" s="3202" t="s">
        <v>474</v>
      </c>
      <c r="C85" s="4165" t="s">
        <v>464</v>
      </c>
      <c r="D85" s="4166" t="s">
        <v>465</v>
      </c>
      <c r="E85" s="4157" t="s">
        <v>235</v>
      </c>
      <c r="F85" s="3170" t="s">
        <v>455</v>
      </c>
      <c r="G85" s="4159" t="s">
        <v>458</v>
      </c>
      <c r="H85" s="4160"/>
      <c r="I85" s="4160"/>
    </row>
    <row r="86" spans="1:11" ht="15.75">
      <c r="A86" s="3202" t="s">
        <v>443</v>
      </c>
      <c r="B86" s="3202" t="s">
        <v>474</v>
      </c>
      <c r="C86" s="4165" t="s">
        <v>464</v>
      </c>
      <c r="D86" s="4166" t="s">
        <v>465</v>
      </c>
      <c r="E86" s="4157" t="s">
        <v>235</v>
      </c>
      <c r="F86" s="3170" t="s">
        <v>455</v>
      </c>
      <c r="G86" s="4159" t="s">
        <v>459</v>
      </c>
      <c r="H86" s="4160"/>
      <c r="I86" s="4160"/>
    </row>
    <row r="87" spans="1:11" ht="15.75">
      <c r="A87" s="3202" t="s">
        <v>443</v>
      </c>
      <c r="B87" s="3202" t="s">
        <v>474</v>
      </c>
      <c r="C87" s="4165" t="s">
        <v>464</v>
      </c>
      <c r="D87" s="4166" t="s">
        <v>465</v>
      </c>
      <c r="E87" s="4157" t="s">
        <v>235</v>
      </c>
      <c r="F87" s="3170" t="s">
        <v>455</v>
      </c>
      <c r="G87" s="4159" t="s">
        <v>460</v>
      </c>
      <c r="H87" s="4160"/>
      <c r="I87" s="4160"/>
      <c r="J87" s="4159"/>
      <c r="K87" s="4160"/>
    </row>
    <row r="88" spans="1:11" ht="15.75">
      <c r="A88" s="3202" t="s">
        <v>443</v>
      </c>
      <c r="B88" s="3202" t="s">
        <v>474</v>
      </c>
      <c r="C88" s="4165" t="s">
        <v>464</v>
      </c>
      <c r="D88" s="4166" t="s">
        <v>467</v>
      </c>
      <c r="E88" s="4157" t="s">
        <v>235</v>
      </c>
      <c r="F88" s="4158" t="s">
        <v>447</v>
      </c>
      <c r="G88" s="4159" t="s">
        <v>456</v>
      </c>
      <c r="H88" s="4160"/>
      <c r="I88" s="4160"/>
    </row>
    <row r="89" spans="1:11" ht="15.75">
      <c r="A89" s="3202" t="s">
        <v>443</v>
      </c>
      <c r="B89" s="3202" t="s">
        <v>474</v>
      </c>
      <c r="C89" s="4165" t="s">
        <v>464</v>
      </c>
      <c r="D89" s="4166" t="s">
        <v>467</v>
      </c>
      <c r="E89" s="4157" t="s">
        <v>235</v>
      </c>
      <c r="F89" s="4158" t="s">
        <v>447</v>
      </c>
      <c r="G89" s="4159" t="s">
        <v>457</v>
      </c>
      <c r="H89" s="4160"/>
      <c r="I89" s="4160"/>
    </row>
    <row r="90" spans="1:11" ht="15.75">
      <c r="A90" s="3202" t="s">
        <v>443</v>
      </c>
      <c r="B90" s="3202" t="s">
        <v>474</v>
      </c>
      <c r="C90" s="4165" t="s">
        <v>464</v>
      </c>
      <c r="D90" s="4166" t="s">
        <v>467</v>
      </c>
      <c r="E90" s="4157" t="s">
        <v>235</v>
      </c>
      <c r="F90" s="4158" t="s">
        <v>447</v>
      </c>
      <c r="G90" s="4159" t="s">
        <v>458</v>
      </c>
      <c r="H90" s="4160"/>
      <c r="I90" s="4160"/>
    </row>
    <row r="91" spans="1:11" ht="15.75">
      <c r="A91" s="3202" t="s">
        <v>443</v>
      </c>
      <c r="B91" s="3202" t="s">
        <v>474</v>
      </c>
      <c r="C91" s="4165" t="s">
        <v>464</v>
      </c>
      <c r="D91" s="4166" t="s">
        <v>467</v>
      </c>
      <c r="E91" s="4157" t="s">
        <v>235</v>
      </c>
      <c r="F91" s="4158" t="s">
        <v>447</v>
      </c>
      <c r="G91" s="4159" t="s">
        <v>459</v>
      </c>
      <c r="H91" s="4160"/>
      <c r="I91" s="4160"/>
    </row>
    <row r="92" spans="1:11" ht="15.75">
      <c r="A92" s="3202" t="s">
        <v>443</v>
      </c>
      <c r="B92" s="3202" t="s">
        <v>474</v>
      </c>
      <c r="C92" s="4165" t="s">
        <v>464</v>
      </c>
      <c r="D92" s="4166" t="s">
        <v>467</v>
      </c>
      <c r="E92" s="4157" t="s">
        <v>235</v>
      </c>
      <c r="F92" s="4158" t="s">
        <v>447</v>
      </c>
      <c r="G92" s="4159" t="s">
        <v>460</v>
      </c>
      <c r="H92" s="4160"/>
      <c r="I92" s="4160"/>
    </row>
    <row r="93" spans="1:11" ht="15.75">
      <c r="A93" s="3202" t="s">
        <v>443</v>
      </c>
      <c r="B93" s="3202" t="s">
        <v>474</v>
      </c>
      <c r="C93" s="4165" t="s">
        <v>464</v>
      </c>
      <c r="D93" s="4166" t="s">
        <v>467</v>
      </c>
      <c r="E93" s="4157" t="s">
        <v>475</v>
      </c>
      <c r="F93" s="3170" t="s">
        <v>455</v>
      </c>
      <c r="G93" s="4159" t="s">
        <v>476</v>
      </c>
      <c r="H93" s="4160"/>
      <c r="I93" s="4160"/>
      <c r="J93" s="4159"/>
      <c r="K93" s="4160"/>
    </row>
    <row r="94" spans="1:11" ht="15.75">
      <c r="A94" s="3202" t="s">
        <v>443</v>
      </c>
      <c r="B94" s="3202" t="s">
        <v>474</v>
      </c>
      <c r="C94" s="4165" t="s">
        <v>464</v>
      </c>
      <c r="D94" s="4166" t="s">
        <v>467</v>
      </c>
      <c r="E94" s="4157" t="s">
        <v>475</v>
      </c>
      <c r="F94" s="3170" t="s">
        <v>455</v>
      </c>
      <c r="G94" s="4159" t="s">
        <v>477</v>
      </c>
      <c r="H94" s="4160"/>
      <c r="I94" s="4160"/>
      <c r="J94" s="4159"/>
      <c r="K94" s="4160"/>
    </row>
    <row r="95" spans="1:11" ht="15.75">
      <c r="A95" s="3202" t="s">
        <v>443</v>
      </c>
      <c r="B95" s="3202" t="s">
        <v>474</v>
      </c>
      <c r="C95" s="4165" t="s">
        <v>464</v>
      </c>
      <c r="D95" s="4166" t="s">
        <v>467</v>
      </c>
      <c r="E95" s="4157" t="s">
        <v>475</v>
      </c>
      <c r="F95" s="3170" t="s">
        <v>455</v>
      </c>
      <c r="G95" s="4159" t="s">
        <v>478</v>
      </c>
      <c r="H95" s="4160"/>
      <c r="I95" s="4160"/>
      <c r="J95" s="4159"/>
      <c r="K95" s="4160"/>
    </row>
    <row r="96" spans="1:11" ht="15.75">
      <c r="A96" s="3202" t="s">
        <v>443</v>
      </c>
      <c r="B96" s="3202" t="s">
        <v>474</v>
      </c>
      <c r="C96" s="4165" t="s">
        <v>464</v>
      </c>
      <c r="D96" s="4166" t="s">
        <v>467</v>
      </c>
      <c r="E96" s="4157" t="s">
        <v>475</v>
      </c>
      <c r="F96" s="3170" t="s">
        <v>455</v>
      </c>
      <c r="G96" s="4159" t="s">
        <v>479</v>
      </c>
      <c r="H96" s="4160"/>
      <c r="I96" s="4160"/>
      <c r="J96" s="4159"/>
      <c r="K96" s="4160"/>
    </row>
    <row r="97" spans="1:11" ht="15.75">
      <c r="A97" s="3202" t="s">
        <v>443</v>
      </c>
      <c r="B97" s="3202" t="s">
        <v>474</v>
      </c>
      <c r="C97" s="4165" t="s">
        <v>464</v>
      </c>
      <c r="D97" s="4166" t="s">
        <v>467</v>
      </c>
      <c r="E97" s="4157" t="s">
        <v>475</v>
      </c>
      <c r="F97" s="3170" t="s">
        <v>455</v>
      </c>
      <c r="G97" s="4159" t="s">
        <v>480</v>
      </c>
      <c r="H97" s="4160"/>
      <c r="I97" s="4160"/>
      <c r="J97" s="4159"/>
      <c r="K97" s="4160"/>
    </row>
    <row r="98" spans="1:11" ht="15.75">
      <c r="A98" s="3202" t="s">
        <v>443</v>
      </c>
      <c r="B98" s="3202" t="s">
        <v>474</v>
      </c>
      <c r="C98" s="4167" t="s">
        <v>471</v>
      </c>
      <c r="D98" s="4168" t="s">
        <v>472</v>
      </c>
      <c r="E98" s="4157" t="s">
        <v>235</v>
      </c>
      <c r="F98" s="4158" t="s">
        <v>447</v>
      </c>
      <c r="G98" s="4159" t="s">
        <v>482</v>
      </c>
      <c r="H98" s="4160"/>
      <c r="I98" s="4160"/>
    </row>
    <row r="99" spans="1:11" ht="15.75">
      <c r="A99" s="3202" t="s">
        <v>443</v>
      </c>
      <c r="B99" s="3202" t="s">
        <v>474</v>
      </c>
      <c r="C99" s="4167" t="s">
        <v>471</v>
      </c>
      <c r="D99" s="4168" t="s">
        <v>472</v>
      </c>
      <c r="E99" s="4157" t="s">
        <v>235</v>
      </c>
      <c r="F99" s="4158" t="s">
        <v>447</v>
      </c>
      <c r="G99" s="4159" t="s">
        <v>469</v>
      </c>
      <c r="H99" s="4160"/>
      <c r="I99" s="4160"/>
    </row>
    <row r="100" spans="1:11" ht="15.75">
      <c r="A100" s="3202" t="s">
        <v>443</v>
      </c>
      <c r="B100" s="3202" t="s">
        <v>474</v>
      </c>
      <c r="C100" s="4167" t="s">
        <v>471</v>
      </c>
      <c r="D100" s="4168" t="s">
        <v>472</v>
      </c>
      <c r="E100" s="4157" t="s">
        <v>235</v>
      </c>
      <c r="F100" s="4158" t="s">
        <v>447</v>
      </c>
      <c r="G100" s="4159" t="s">
        <v>470</v>
      </c>
      <c r="H100" s="4160"/>
      <c r="I100" s="4160"/>
    </row>
    <row r="101" spans="1:11" ht="15.75">
      <c r="A101" s="3202" t="s">
        <v>443</v>
      </c>
      <c r="B101" s="3202" t="s">
        <v>474</v>
      </c>
      <c r="C101" s="4167" t="s">
        <v>471</v>
      </c>
      <c r="D101" s="4168" t="s">
        <v>472</v>
      </c>
      <c r="E101" s="4157" t="s">
        <v>453</v>
      </c>
      <c r="F101" s="4158" t="s">
        <v>447</v>
      </c>
      <c r="G101" s="4159" t="s">
        <v>454</v>
      </c>
      <c r="H101" s="4160"/>
      <c r="I101" s="4160"/>
    </row>
    <row r="102" spans="1:11" ht="15.75">
      <c r="A102" s="3202" t="s">
        <v>443</v>
      </c>
      <c r="B102" s="3202" t="s">
        <v>474</v>
      </c>
      <c r="C102" s="4167" t="s">
        <v>471</v>
      </c>
      <c r="D102" s="4168" t="s">
        <v>472</v>
      </c>
      <c r="E102" s="4157" t="s">
        <v>475</v>
      </c>
      <c r="F102" s="3170" t="s">
        <v>455</v>
      </c>
      <c r="G102" s="4159" t="s">
        <v>476</v>
      </c>
      <c r="H102" s="4160"/>
    </row>
    <row r="103" spans="1:11" ht="15.75">
      <c r="A103" s="3202" t="s">
        <v>443</v>
      </c>
      <c r="B103" s="3202" t="s">
        <v>474</v>
      </c>
      <c r="C103" s="4167" t="s">
        <v>471</v>
      </c>
      <c r="D103" s="4168" t="s">
        <v>472</v>
      </c>
      <c r="E103" s="4157" t="s">
        <v>475</v>
      </c>
      <c r="F103" s="3170" t="s">
        <v>455</v>
      </c>
      <c r="G103" s="4159" t="s">
        <v>477</v>
      </c>
      <c r="H103" s="4160"/>
      <c r="I103" s="4160"/>
      <c r="J103" s="4159"/>
      <c r="K103" s="4160"/>
    </row>
    <row r="104" spans="1:11" ht="15.75">
      <c r="A104" s="3202" t="s">
        <v>443</v>
      </c>
      <c r="B104" s="3202" t="s">
        <v>474</v>
      </c>
      <c r="C104" s="4167" t="s">
        <v>471</v>
      </c>
      <c r="D104" s="4168" t="s">
        <v>472</v>
      </c>
      <c r="E104" s="4157" t="s">
        <v>475</v>
      </c>
      <c r="F104" s="3170" t="s">
        <v>455</v>
      </c>
      <c r="G104" s="4159" t="s">
        <v>478</v>
      </c>
      <c r="H104" s="4160"/>
      <c r="I104" s="4160"/>
      <c r="J104" s="4159"/>
      <c r="K104" s="4160"/>
    </row>
    <row r="105" spans="1:11" ht="15.75">
      <c r="A105" s="3202" t="s">
        <v>443</v>
      </c>
      <c r="B105" s="3202" t="s">
        <v>474</v>
      </c>
      <c r="C105" s="4167" t="s">
        <v>471</v>
      </c>
      <c r="D105" s="4168" t="s">
        <v>472</v>
      </c>
      <c r="E105" s="4157" t="s">
        <v>475</v>
      </c>
      <c r="F105" s="3170" t="s">
        <v>455</v>
      </c>
      <c r="G105" s="4159" t="s">
        <v>479</v>
      </c>
      <c r="H105" s="4160"/>
      <c r="I105" s="4160"/>
      <c r="J105" s="4159"/>
      <c r="K105" s="4160"/>
    </row>
    <row r="106" spans="1:11" ht="15.75">
      <c r="A106" s="3202" t="s">
        <v>443</v>
      </c>
      <c r="B106" s="3202" t="s">
        <v>474</v>
      </c>
      <c r="C106" s="4167" t="s">
        <v>471</v>
      </c>
      <c r="D106" s="4168" t="s">
        <v>472</v>
      </c>
      <c r="E106" s="4157" t="s">
        <v>475</v>
      </c>
      <c r="F106" s="3170" t="s">
        <v>455</v>
      </c>
      <c r="G106" s="4159" t="s">
        <v>480</v>
      </c>
      <c r="H106" s="4160"/>
      <c r="I106" s="4160"/>
      <c r="J106" s="4159"/>
      <c r="K106" s="4160"/>
    </row>
    <row r="107" spans="1:11" ht="15.75">
      <c r="A107" s="3202" t="s">
        <v>443</v>
      </c>
      <c r="B107" s="3202" t="s">
        <v>484</v>
      </c>
      <c r="C107" s="4155" t="s">
        <v>445</v>
      </c>
      <c r="D107" s="4156" t="s">
        <v>446</v>
      </c>
      <c r="E107" s="4157" t="s">
        <v>475</v>
      </c>
      <c r="F107" s="4158" t="s">
        <v>447</v>
      </c>
      <c r="G107" s="4159" t="s">
        <v>485</v>
      </c>
      <c r="H107" s="4160"/>
      <c r="I107" s="4160"/>
    </row>
    <row r="108" spans="1:11" ht="15.75">
      <c r="A108" s="3202" t="s">
        <v>443</v>
      </c>
      <c r="B108" s="3202" t="s">
        <v>484</v>
      </c>
      <c r="C108" s="4155" t="s">
        <v>445</v>
      </c>
      <c r="D108" s="4156" t="s">
        <v>446</v>
      </c>
      <c r="E108" s="4157" t="s">
        <v>475</v>
      </c>
      <c r="F108" s="4158" t="s">
        <v>447</v>
      </c>
      <c r="G108" s="4159" t="s">
        <v>486</v>
      </c>
      <c r="H108" s="4160"/>
      <c r="I108" s="4160"/>
    </row>
    <row r="109" spans="1:11" ht="15.75">
      <c r="A109" s="3202" t="s">
        <v>443</v>
      </c>
      <c r="B109" s="3202" t="s">
        <v>484</v>
      </c>
      <c r="C109" s="4161" t="s">
        <v>235</v>
      </c>
      <c r="D109" s="4162" t="s">
        <v>461</v>
      </c>
      <c r="E109" s="4157" t="s">
        <v>475</v>
      </c>
      <c r="F109" s="4158" t="s">
        <v>447</v>
      </c>
      <c r="G109" s="4159" t="s">
        <v>485</v>
      </c>
      <c r="H109" s="4160"/>
      <c r="I109" s="4160"/>
    </row>
    <row r="110" spans="1:11" ht="15.75">
      <c r="A110" s="3202" t="s">
        <v>443</v>
      </c>
      <c r="B110" s="3202" t="s">
        <v>484</v>
      </c>
      <c r="C110" s="4161" t="s">
        <v>235</v>
      </c>
      <c r="D110" s="4162" t="s">
        <v>461</v>
      </c>
      <c r="E110" s="4157" t="s">
        <v>475</v>
      </c>
      <c r="F110" s="4158" t="s">
        <v>447</v>
      </c>
      <c r="G110" s="4159" t="s">
        <v>486</v>
      </c>
      <c r="H110" s="4160"/>
      <c r="I110" s="4160"/>
    </row>
    <row r="111" spans="1:11" ht="15.75">
      <c r="A111" s="3202" t="s">
        <v>443</v>
      </c>
      <c r="B111" s="3202" t="s">
        <v>484</v>
      </c>
      <c r="C111" s="4163" t="s">
        <v>462</v>
      </c>
      <c r="D111" s="4164" t="s">
        <v>463</v>
      </c>
      <c r="E111" s="4157" t="s">
        <v>475</v>
      </c>
      <c r="F111" s="4158" t="s">
        <v>447</v>
      </c>
      <c r="G111" s="4159" t="s">
        <v>485</v>
      </c>
      <c r="H111" s="4160"/>
      <c r="I111" s="4160"/>
    </row>
    <row r="112" spans="1:11" ht="15.75">
      <c r="A112" s="3202" t="s">
        <v>443</v>
      </c>
      <c r="B112" s="3202" t="s">
        <v>484</v>
      </c>
      <c r="C112" s="4163" t="s">
        <v>462</v>
      </c>
      <c r="D112" s="4164" t="s">
        <v>463</v>
      </c>
      <c r="E112" s="4157" t="s">
        <v>475</v>
      </c>
      <c r="F112" s="4158" t="s">
        <v>447</v>
      </c>
      <c r="G112" s="4159" t="s">
        <v>486</v>
      </c>
      <c r="H112" s="4160"/>
      <c r="I112" s="4160"/>
    </row>
    <row r="113" spans="1:11" ht="15.75">
      <c r="A113" s="3202" t="s">
        <v>443</v>
      </c>
      <c r="B113" s="3202" t="s">
        <v>484</v>
      </c>
      <c r="C113" s="4165" t="s">
        <v>464</v>
      </c>
      <c r="D113" s="4166" t="s">
        <v>465</v>
      </c>
      <c r="E113" s="4157" t="s">
        <v>487</v>
      </c>
      <c r="F113" s="4158" t="s">
        <v>447</v>
      </c>
      <c r="G113" s="4159" t="s">
        <v>488</v>
      </c>
      <c r="H113" s="4160"/>
      <c r="I113" s="4160"/>
    </row>
    <row r="114" spans="1:11" ht="15.75">
      <c r="A114" s="3202" t="s">
        <v>443</v>
      </c>
      <c r="B114" s="3202" t="s">
        <v>484</v>
      </c>
      <c r="C114" s="4165" t="s">
        <v>464</v>
      </c>
      <c r="D114" s="4166" t="s">
        <v>465</v>
      </c>
      <c r="E114" s="4157" t="s">
        <v>487</v>
      </c>
      <c r="F114" s="4158" t="s">
        <v>447</v>
      </c>
      <c r="G114" s="4159" t="s">
        <v>489</v>
      </c>
      <c r="H114" s="4160"/>
      <c r="I114" s="4160"/>
    </row>
    <row r="115" spans="1:11" ht="15.75">
      <c r="A115" s="3202" t="s">
        <v>443</v>
      </c>
      <c r="B115" s="3202" t="s">
        <v>484</v>
      </c>
      <c r="C115" s="4165" t="s">
        <v>464</v>
      </c>
      <c r="D115" s="4166" t="s">
        <v>467</v>
      </c>
      <c r="E115" s="4157" t="s">
        <v>475</v>
      </c>
      <c r="F115" s="4158" t="s">
        <v>447</v>
      </c>
      <c r="G115" s="4159" t="s">
        <v>485</v>
      </c>
      <c r="H115" s="4160"/>
      <c r="I115" s="4160"/>
    </row>
    <row r="116" spans="1:11" ht="15.75">
      <c r="A116" s="3202" t="s">
        <v>443</v>
      </c>
      <c r="B116" s="3202" t="s">
        <v>484</v>
      </c>
      <c r="C116" s="4165" t="s">
        <v>464</v>
      </c>
      <c r="D116" s="4166" t="s">
        <v>467</v>
      </c>
      <c r="E116" s="4157" t="s">
        <v>475</v>
      </c>
      <c r="F116" s="4158" t="s">
        <v>447</v>
      </c>
      <c r="G116" s="4159" t="s">
        <v>486</v>
      </c>
      <c r="H116" s="4160"/>
      <c r="I116" s="4160"/>
    </row>
    <row r="117" spans="1:11" ht="15.75">
      <c r="A117" s="3202" t="s">
        <v>443</v>
      </c>
      <c r="B117" s="3202" t="s">
        <v>484</v>
      </c>
      <c r="C117" s="4167" t="s">
        <v>471</v>
      </c>
      <c r="D117" s="4168" t="s">
        <v>472</v>
      </c>
      <c r="E117" s="4157" t="s">
        <v>475</v>
      </c>
      <c r="F117" s="4158" t="s">
        <v>447</v>
      </c>
      <c r="G117" s="4159" t="s">
        <v>485</v>
      </c>
      <c r="H117" s="4160"/>
      <c r="I117" s="4160"/>
    </row>
    <row r="118" spans="1:11" ht="15.75">
      <c r="A118" s="3202" t="s">
        <v>443</v>
      </c>
      <c r="B118" s="3202" t="s">
        <v>484</v>
      </c>
      <c r="C118" s="4167" t="s">
        <v>471</v>
      </c>
      <c r="D118" s="4168" t="s">
        <v>472</v>
      </c>
      <c r="E118" s="4157" t="s">
        <v>475</v>
      </c>
      <c r="F118" s="4158" t="s">
        <v>447</v>
      </c>
      <c r="G118" s="4159" t="s">
        <v>486</v>
      </c>
      <c r="H118" s="4160"/>
      <c r="I118" s="4160"/>
    </row>
    <row r="119" spans="1:11" ht="15.75">
      <c r="A119" s="3202" t="s">
        <v>490</v>
      </c>
      <c r="B119" s="3202" t="s">
        <v>444</v>
      </c>
      <c r="C119" s="4169" t="s">
        <v>487</v>
      </c>
      <c r="D119" s="4170" t="s">
        <v>491</v>
      </c>
      <c r="E119" s="4157" t="s">
        <v>487</v>
      </c>
      <c r="F119" s="4158" t="s">
        <v>447</v>
      </c>
      <c r="G119" s="4159" t="s">
        <v>492</v>
      </c>
      <c r="H119" s="4160"/>
      <c r="I119" s="4160"/>
    </row>
    <row r="120" spans="1:11" ht="15.75">
      <c r="A120" s="3202" t="s">
        <v>490</v>
      </c>
      <c r="B120" s="3202" t="s">
        <v>444</v>
      </c>
      <c r="C120" s="4169" t="s">
        <v>487</v>
      </c>
      <c r="D120" s="4170" t="s">
        <v>491</v>
      </c>
      <c r="E120" s="4157" t="s">
        <v>487</v>
      </c>
      <c r="F120" s="3170" t="s">
        <v>455</v>
      </c>
      <c r="G120" s="4159" t="s">
        <v>493</v>
      </c>
      <c r="H120" s="4160"/>
    </row>
    <row r="121" spans="1:11" ht="15.75">
      <c r="A121" s="3202" t="s">
        <v>490</v>
      </c>
      <c r="B121" s="3202" t="s">
        <v>444</v>
      </c>
      <c r="C121" s="4169" t="s">
        <v>487</v>
      </c>
      <c r="D121" s="4170" t="s">
        <v>491</v>
      </c>
      <c r="E121" s="4157" t="s">
        <v>487</v>
      </c>
      <c r="F121" s="3170" t="s">
        <v>455</v>
      </c>
      <c r="G121" s="4159" t="s">
        <v>494</v>
      </c>
      <c r="H121" s="4160"/>
      <c r="I121" s="4160"/>
      <c r="J121" s="4159"/>
      <c r="K121" s="4160"/>
    </row>
    <row r="122" spans="1:11" ht="15.75">
      <c r="A122" s="3202" t="s">
        <v>490</v>
      </c>
      <c r="B122" s="3202" t="s">
        <v>474</v>
      </c>
      <c r="C122" s="4155" t="s">
        <v>445</v>
      </c>
      <c r="D122" s="4156" t="s">
        <v>446</v>
      </c>
      <c r="E122" s="4157" t="s">
        <v>487</v>
      </c>
      <c r="F122" s="4158" t="s">
        <v>447</v>
      </c>
      <c r="G122" s="4159" t="s">
        <v>495</v>
      </c>
      <c r="H122" s="4160"/>
      <c r="I122" s="4160"/>
    </row>
    <row r="123" spans="1:11" ht="15.75">
      <c r="A123" s="3202" t="s">
        <v>490</v>
      </c>
      <c r="B123" s="3202" t="s">
        <v>474</v>
      </c>
      <c r="C123" s="4155" t="s">
        <v>445</v>
      </c>
      <c r="D123" s="4156" t="s">
        <v>446</v>
      </c>
      <c r="E123" s="4157" t="s">
        <v>487</v>
      </c>
      <c r="F123" s="4158" t="s">
        <v>447</v>
      </c>
      <c r="G123" s="4159" t="s">
        <v>496</v>
      </c>
      <c r="H123" s="4160"/>
      <c r="I123" s="4160"/>
    </row>
    <row r="124" spans="1:11" ht="15.75">
      <c r="A124" s="3202" t="s">
        <v>490</v>
      </c>
      <c r="B124" s="3202" t="s">
        <v>474</v>
      </c>
      <c r="C124" s="4155" t="s">
        <v>445</v>
      </c>
      <c r="D124" s="4156" t="s">
        <v>446</v>
      </c>
      <c r="E124" s="4157" t="s">
        <v>487</v>
      </c>
      <c r="F124" s="3170" t="s">
        <v>455</v>
      </c>
      <c r="G124" s="4159" t="s">
        <v>493</v>
      </c>
      <c r="H124" s="4160"/>
      <c r="I124" s="4160"/>
      <c r="J124" s="4159"/>
      <c r="K124" s="4160"/>
    </row>
    <row r="125" spans="1:11" ht="15.75">
      <c r="A125" s="3202" t="s">
        <v>490</v>
      </c>
      <c r="B125" s="3202" t="s">
        <v>474</v>
      </c>
      <c r="C125" s="4155" t="s">
        <v>445</v>
      </c>
      <c r="D125" s="4156" t="s">
        <v>446</v>
      </c>
      <c r="E125" s="4157" t="s">
        <v>487</v>
      </c>
      <c r="F125" s="3170" t="s">
        <v>455</v>
      </c>
      <c r="G125" s="4159" t="s">
        <v>494</v>
      </c>
      <c r="H125" s="4160"/>
      <c r="I125" s="4160"/>
      <c r="J125" s="4159"/>
      <c r="K125" s="4160"/>
    </row>
    <row r="126" spans="1:11" ht="15.75">
      <c r="A126" s="3202" t="s">
        <v>490</v>
      </c>
      <c r="B126" s="3202" t="s">
        <v>474</v>
      </c>
      <c r="C126" s="4163" t="s">
        <v>462</v>
      </c>
      <c r="D126" s="4164" t="s">
        <v>463</v>
      </c>
      <c r="E126" s="4157" t="s">
        <v>487</v>
      </c>
      <c r="F126" s="4158" t="s">
        <v>447</v>
      </c>
      <c r="G126" s="4159" t="s">
        <v>495</v>
      </c>
      <c r="H126" s="4160"/>
      <c r="I126" s="4160"/>
    </row>
    <row r="127" spans="1:11" ht="15.75">
      <c r="A127" s="3202" t="s">
        <v>490</v>
      </c>
      <c r="B127" s="3202" t="s">
        <v>474</v>
      </c>
      <c r="C127" s="4163" t="s">
        <v>462</v>
      </c>
      <c r="D127" s="4164" t="s">
        <v>463</v>
      </c>
      <c r="E127" s="4157" t="s">
        <v>487</v>
      </c>
      <c r="F127" s="4158" t="s">
        <v>447</v>
      </c>
      <c r="G127" s="4159" t="s">
        <v>496</v>
      </c>
      <c r="H127" s="4160"/>
      <c r="I127" s="4160"/>
    </row>
    <row r="128" spans="1:11" ht="15.75">
      <c r="A128" s="3202" t="s">
        <v>490</v>
      </c>
      <c r="B128" s="3202" t="s">
        <v>474</v>
      </c>
      <c r="C128" s="4165" t="s">
        <v>464</v>
      </c>
      <c r="D128" s="4166" t="s">
        <v>465</v>
      </c>
      <c r="E128" s="4157" t="s">
        <v>487</v>
      </c>
      <c r="F128" s="4158" t="s">
        <v>447</v>
      </c>
      <c r="G128" s="4159" t="s">
        <v>497</v>
      </c>
      <c r="H128" s="4160"/>
      <c r="I128" s="4160"/>
    </row>
    <row r="129" spans="1:11" ht="15.75">
      <c r="A129" s="3202" t="s">
        <v>490</v>
      </c>
      <c r="B129" s="3202" t="s">
        <v>474</v>
      </c>
      <c r="C129" s="4165" t="s">
        <v>464</v>
      </c>
      <c r="D129" s="4166" t="s">
        <v>465</v>
      </c>
      <c r="E129" s="4157" t="s">
        <v>487</v>
      </c>
      <c r="F129" s="4158" t="s">
        <v>447</v>
      </c>
      <c r="G129" s="4159" t="s">
        <v>498</v>
      </c>
      <c r="H129" s="4160"/>
      <c r="I129" s="4160"/>
    </row>
    <row r="130" spans="1:11" ht="15.75">
      <c r="A130" s="3202" t="s">
        <v>490</v>
      </c>
      <c r="B130" s="3202" t="s">
        <v>474</v>
      </c>
      <c r="C130" s="4169" t="s">
        <v>487</v>
      </c>
      <c r="D130" s="4170" t="s">
        <v>491</v>
      </c>
      <c r="E130" s="4157" t="s">
        <v>487</v>
      </c>
      <c r="F130" s="4158" t="s">
        <v>447</v>
      </c>
      <c r="G130" s="4159" t="s">
        <v>499</v>
      </c>
      <c r="H130" s="4160"/>
      <c r="I130" s="4160"/>
    </row>
    <row r="131" spans="1:11" ht="15.75">
      <c r="A131" s="3202" t="s">
        <v>490</v>
      </c>
      <c r="B131" s="3202" t="s">
        <v>474</v>
      </c>
      <c r="C131" s="4169" t="s">
        <v>487</v>
      </c>
      <c r="D131" s="4170" t="s">
        <v>491</v>
      </c>
      <c r="E131" s="4157" t="s">
        <v>487</v>
      </c>
      <c r="F131" s="4158" t="s">
        <v>447</v>
      </c>
      <c r="G131" s="4159" t="s">
        <v>492</v>
      </c>
      <c r="H131" s="4160"/>
      <c r="I131" s="4160"/>
    </row>
    <row r="132" spans="1:11" ht="15.75">
      <c r="A132" s="3202" t="s">
        <v>490</v>
      </c>
      <c r="B132" s="3202" t="s">
        <v>474</v>
      </c>
      <c r="C132" s="4169" t="s">
        <v>487</v>
      </c>
      <c r="D132" s="4170" t="s">
        <v>491</v>
      </c>
      <c r="E132" s="4157" t="s">
        <v>487</v>
      </c>
      <c r="F132" s="4158" t="s">
        <v>447</v>
      </c>
      <c r="G132" s="4159" t="s">
        <v>493</v>
      </c>
      <c r="H132" s="4160"/>
      <c r="I132" s="4160"/>
    </row>
    <row r="133" spans="1:11" ht="15.75">
      <c r="A133" s="3202" t="s">
        <v>490</v>
      </c>
      <c r="B133" s="3202" t="s">
        <v>474</v>
      </c>
      <c r="C133" s="4169" t="s">
        <v>487</v>
      </c>
      <c r="D133" s="4170" t="s">
        <v>491</v>
      </c>
      <c r="E133" s="4157" t="s">
        <v>487</v>
      </c>
      <c r="F133" s="4158" t="s">
        <v>447</v>
      </c>
      <c r="G133" s="4159" t="s">
        <v>494</v>
      </c>
      <c r="H133" s="4160"/>
      <c r="I133" s="4160"/>
    </row>
    <row r="134" spans="1:11" ht="15.75">
      <c r="A134" s="3202" t="s">
        <v>490</v>
      </c>
      <c r="B134" s="3202" t="s">
        <v>474</v>
      </c>
      <c r="C134" s="4169" t="s">
        <v>487</v>
      </c>
      <c r="D134" s="4170" t="s">
        <v>491</v>
      </c>
      <c r="E134" s="4157" t="s">
        <v>487</v>
      </c>
      <c r="F134" s="3170" t="s">
        <v>455</v>
      </c>
      <c r="G134" s="4159" t="s">
        <v>495</v>
      </c>
      <c r="H134" s="4160"/>
      <c r="I134" s="4160"/>
      <c r="J134" s="4159"/>
      <c r="K134" s="4160"/>
    </row>
    <row r="135" spans="1:11" ht="15.75">
      <c r="A135" s="3202" t="s">
        <v>490</v>
      </c>
      <c r="B135" s="3202" t="s">
        <v>474</v>
      </c>
      <c r="C135" s="4169" t="s">
        <v>487</v>
      </c>
      <c r="D135" s="4170" t="s">
        <v>491</v>
      </c>
      <c r="E135" s="4157" t="s">
        <v>487</v>
      </c>
      <c r="F135" s="3170" t="s">
        <v>455</v>
      </c>
      <c r="G135" s="4159" t="s">
        <v>496</v>
      </c>
      <c r="H135" s="4160"/>
      <c r="I135" s="4160"/>
      <c r="J135" s="4159"/>
      <c r="K135" s="4160"/>
    </row>
    <row r="136" spans="1:11" ht="15.75">
      <c r="A136" s="3202" t="s">
        <v>490</v>
      </c>
      <c r="B136" s="3202" t="s">
        <v>484</v>
      </c>
      <c r="C136" s="4155" t="s">
        <v>445</v>
      </c>
      <c r="D136" s="4156" t="s">
        <v>446</v>
      </c>
      <c r="E136" s="4157" t="s">
        <v>487</v>
      </c>
      <c r="F136" s="4158" t="s">
        <v>447</v>
      </c>
      <c r="G136" s="4159" t="s">
        <v>500</v>
      </c>
      <c r="H136" s="4160"/>
      <c r="I136" s="4160"/>
    </row>
    <row r="137" spans="1:11" ht="15.75">
      <c r="A137" s="3202" t="s">
        <v>490</v>
      </c>
      <c r="B137" s="3202" t="s">
        <v>484</v>
      </c>
      <c r="C137" s="4155" t="s">
        <v>445</v>
      </c>
      <c r="D137" s="4156" t="s">
        <v>446</v>
      </c>
      <c r="E137" s="4157" t="s">
        <v>487</v>
      </c>
      <c r="F137" s="4158" t="s">
        <v>447</v>
      </c>
      <c r="G137" s="4159" t="s">
        <v>501</v>
      </c>
      <c r="H137" s="4160"/>
      <c r="I137" s="4160"/>
    </row>
    <row r="138" spans="1:11" ht="15.75">
      <c r="A138" s="3202" t="s">
        <v>490</v>
      </c>
      <c r="B138" s="3202" t="s">
        <v>484</v>
      </c>
      <c r="C138" s="4163" t="s">
        <v>462</v>
      </c>
      <c r="D138" s="4164" t="s">
        <v>463</v>
      </c>
      <c r="E138" s="4157" t="s">
        <v>487</v>
      </c>
      <c r="F138" s="4158" t="s">
        <v>447</v>
      </c>
      <c r="G138" s="4159" t="s">
        <v>500</v>
      </c>
      <c r="H138" s="4160"/>
      <c r="I138" s="4160"/>
      <c r="J138" s="4159"/>
      <c r="K138" s="4160"/>
    </row>
    <row r="139" spans="1:11" ht="15.75">
      <c r="A139" s="3202" t="s">
        <v>490</v>
      </c>
      <c r="B139" s="3202" t="s">
        <v>484</v>
      </c>
      <c r="C139" s="4163" t="s">
        <v>462</v>
      </c>
      <c r="D139" s="4164" t="s">
        <v>463</v>
      </c>
      <c r="E139" s="4157" t="s">
        <v>487</v>
      </c>
      <c r="F139" s="4158" t="s">
        <v>447</v>
      </c>
      <c r="G139" s="4159" t="s">
        <v>501</v>
      </c>
      <c r="H139" s="4160"/>
      <c r="I139" s="4160"/>
      <c r="J139" s="4159"/>
      <c r="K139" s="4160"/>
    </row>
    <row r="140" spans="1:11" ht="15.75">
      <c r="A140" s="3202" t="s">
        <v>490</v>
      </c>
      <c r="B140" s="3202" t="s">
        <v>484</v>
      </c>
      <c r="C140" s="4163" t="s">
        <v>462</v>
      </c>
      <c r="D140" s="4164" t="s">
        <v>463</v>
      </c>
      <c r="E140" s="4157" t="s">
        <v>487</v>
      </c>
      <c r="F140" s="3170" t="s">
        <v>455</v>
      </c>
      <c r="G140" s="4159" t="s">
        <v>502</v>
      </c>
      <c r="H140" s="4160"/>
      <c r="J140" s="4159"/>
      <c r="K140" s="4160"/>
    </row>
    <row r="141" spans="1:11" ht="15.75">
      <c r="A141" s="3202" t="s">
        <v>490</v>
      </c>
      <c r="B141" s="3202" t="s">
        <v>484</v>
      </c>
      <c r="C141" s="4163" t="s">
        <v>462</v>
      </c>
      <c r="D141" s="4164" t="s">
        <v>463</v>
      </c>
      <c r="E141" s="4157" t="s">
        <v>487</v>
      </c>
      <c r="F141" s="3170" t="s">
        <v>455</v>
      </c>
      <c r="G141" s="4159" t="s">
        <v>503</v>
      </c>
      <c r="H141" s="4160"/>
      <c r="I141" s="4160"/>
      <c r="J141" s="4159"/>
      <c r="K141" s="4160"/>
    </row>
    <row r="142" spans="1:11" ht="15.75">
      <c r="A142" s="3202" t="s">
        <v>490</v>
      </c>
      <c r="B142" s="3202" t="s">
        <v>484</v>
      </c>
      <c r="C142" s="4163" t="s">
        <v>462</v>
      </c>
      <c r="D142" s="4164" t="s">
        <v>463</v>
      </c>
      <c r="E142" s="4157" t="s">
        <v>487</v>
      </c>
      <c r="F142" s="3170" t="s">
        <v>455</v>
      </c>
      <c r="G142" s="4159" t="s">
        <v>504</v>
      </c>
      <c r="H142" s="4160"/>
      <c r="I142" s="4160"/>
      <c r="J142" s="4159"/>
      <c r="K142" s="4160"/>
    </row>
    <row r="143" spans="1:11" ht="15.75">
      <c r="A143" s="3202" t="s">
        <v>490</v>
      </c>
      <c r="B143" s="3202" t="s">
        <v>484</v>
      </c>
      <c r="C143" s="4165" t="s">
        <v>464</v>
      </c>
      <c r="D143" s="4166" t="s">
        <v>465</v>
      </c>
      <c r="E143" s="4157" t="s">
        <v>487</v>
      </c>
      <c r="F143" s="4158" t="s">
        <v>447</v>
      </c>
      <c r="G143" s="4159" t="s">
        <v>488</v>
      </c>
      <c r="H143" s="4160"/>
      <c r="I143" s="4160"/>
    </row>
    <row r="144" spans="1:11" ht="15.75">
      <c r="A144" s="3202" t="s">
        <v>490</v>
      </c>
      <c r="B144" s="3202" t="s">
        <v>484</v>
      </c>
      <c r="C144" s="4165" t="s">
        <v>464</v>
      </c>
      <c r="D144" s="4166" t="s">
        <v>465</v>
      </c>
      <c r="E144" s="4157" t="s">
        <v>487</v>
      </c>
      <c r="F144" s="4158" t="s">
        <v>447</v>
      </c>
      <c r="G144" s="4159" t="s">
        <v>489</v>
      </c>
      <c r="H144" s="4160"/>
      <c r="I144" s="4160"/>
    </row>
    <row r="145" spans="1:9" ht="15.75">
      <c r="A145" s="3202" t="s">
        <v>490</v>
      </c>
      <c r="B145" s="3202" t="s">
        <v>484</v>
      </c>
      <c r="C145" s="4169" t="s">
        <v>487</v>
      </c>
      <c r="D145" s="4170" t="s">
        <v>491</v>
      </c>
      <c r="E145" s="4157" t="s">
        <v>487</v>
      </c>
      <c r="F145" s="4158" t="s">
        <v>447</v>
      </c>
      <c r="G145" s="4159" t="s">
        <v>502</v>
      </c>
      <c r="H145" s="4160"/>
      <c r="I145" s="4160"/>
    </row>
    <row r="146" spans="1:9" ht="15.75">
      <c r="A146" s="3202" t="s">
        <v>490</v>
      </c>
      <c r="B146" s="3202" t="s">
        <v>484</v>
      </c>
      <c r="C146" s="4169" t="s">
        <v>487</v>
      </c>
      <c r="D146" s="4170" t="s">
        <v>491</v>
      </c>
      <c r="E146" s="4157" t="s">
        <v>487</v>
      </c>
      <c r="F146" s="4158" t="s">
        <v>447</v>
      </c>
      <c r="G146" s="4159" t="s">
        <v>503</v>
      </c>
      <c r="H146" s="4160"/>
      <c r="I146" s="4160"/>
    </row>
    <row r="147" spans="1:9" ht="15.75">
      <c r="A147" s="3202" t="s">
        <v>490</v>
      </c>
      <c r="B147" s="3202" t="s">
        <v>484</v>
      </c>
      <c r="C147" s="4169" t="s">
        <v>487</v>
      </c>
      <c r="D147" s="4170" t="s">
        <v>491</v>
      </c>
      <c r="E147" s="4157" t="s">
        <v>487</v>
      </c>
      <c r="F147" s="4158" t="s">
        <v>447</v>
      </c>
      <c r="G147" s="4159" t="s">
        <v>504</v>
      </c>
      <c r="H147" s="4160"/>
      <c r="I147" s="4160"/>
    </row>
    <row r="148" spans="1:9" ht="15.75">
      <c r="A148" s="3202" t="s">
        <v>490</v>
      </c>
      <c r="B148" s="3202" t="s">
        <v>484</v>
      </c>
      <c r="C148" s="4169" t="s">
        <v>487</v>
      </c>
      <c r="D148" s="4170" t="s">
        <v>491</v>
      </c>
      <c r="E148" s="4157" t="s">
        <v>487</v>
      </c>
      <c r="F148" s="3170" t="s">
        <v>455</v>
      </c>
      <c r="G148" s="4159" t="s">
        <v>500</v>
      </c>
      <c r="H148" s="4160"/>
    </row>
    <row r="149" spans="1:9" ht="15.75">
      <c r="A149" s="3202" t="s">
        <v>490</v>
      </c>
      <c r="B149" s="3202" t="s">
        <v>484</v>
      </c>
      <c r="C149" s="4169" t="s">
        <v>487</v>
      </c>
      <c r="D149" s="4170" t="s">
        <v>491</v>
      </c>
      <c r="E149" s="4157" t="s">
        <v>487</v>
      </c>
      <c r="F149" s="3170" t="s">
        <v>455</v>
      </c>
      <c r="G149" s="4159" t="s">
        <v>501</v>
      </c>
      <c r="H149" s="4160"/>
    </row>
  </sheetData>
  <autoFilter ref="A2:H149" xr:uid="{00000000-0009-0000-0000-000004000000}"/>
  <phoneticPr fontId="214" type="noConversion"/>
  <pageMargins left="0.75" right="0.75" top="1" bottom="1" header="0.5" footer="0.5"/>
  <pageSetup paperSize="9" orientation="portrait"/>
  <headerFooter scaleWithDoc="0"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ER39"/>
  <sheetViews>
    <sheetView zoomScale="115" zoomScaleNormal="115" workbookViewId="0">
      <selection activeCell="E2" sqref="E2:AQ2"/>
    </sheetView>
  </sheetViews>
  <sheetFormatPr defaultColWidth="9" defaultRowHeight="13.5"/>
  <cols>
    <col min="1" max="1" width="5.5" style="4117" customWidth="1"/>
    <col min="2" max="4" width="9" style="4117"/>
    <col min="5" max="7" width="9.5" style="4117" customWidth="1"/>
    <col min="8" max="8" width="11.875" style="4117" customWidth="1"/>
    <col min="9" max="11" width="9.5" style="4117" customWidth="1"/>
    <col min="12" max="12" width="11.75" style="4117" customWidth="1"/>
    <col min="13" max="15" width="9.5" style="4117" customWidth="1"/>
    <col min="16" max="16" width="12" style="4117" customWidth="1"/>
    <col min="17" max="19" width="9.5" style="4117" customWidth="1"/>
    <col min="20" max="20" width="11.375" style="4117" customWidth="1"/>
    <col min="21" max="23" width="9.5" style="4117" customWidth="1"/>
    <col min="24" max="24" width="11.75" style="4117" customWidth="1"/>
    <col min="25" max="27" width="9.5" style="4117" customWidth="1"/>
    <col min="28" max="28" width="11.625" style="4117" customWidth="1"/>
    <col min="29" max="31" width="9.5" style="4117" customWidth="1"/>
    <col min="32" max="32" width="11.75" style="4117" customWidth="1"/>
    <col min="33" max="35" width="9.5" style="4117" customWidth="1"/>
    <col min="36" max="36" width="11.625" style="4117" customWidth="1"/>
    <col min="37" max="39" width="9.5" style="4117" customWidth="1"/>
    <col min="40" max="40" width="11.75" style="4117" customWidth="1"/>
    <col min="41" max="42" width="11.625" style="4117" customWidth="1"/>
    <col min="43" max="43" width="9.5" style="4117" customWidth="1"/>
    <col min="44" max="44" width="11.5" style="4117" customWidth="1"/>
    <col min="45" max="16384" width="9" style="4117"/>
  </cols>
  <sheetData>
    <row r="1" spans="1:148" ht="26.25" customHeight="1">
      <c r="A1" s="4366" t="s">
        <v>505</v>
      </c>
      <c r="B1" s="4355"/>
      <c r="C1" s="4355"/>
      <c r="D1" s="4355"/>
      <c r="E1" s="4355"/>
      <c r="F1" s="4355"/>
      <c r="G1" s="4355"/>
      <c r="H1" s="4355"/>
      <c r="I1" s="4355"/>
      <c r="J1" s="4355"/>
      <c r="K1" s="4355"/>
      <c r="L1" s="4355"/>
      <c r="M1" s="4355"/>
      <c r="N1" s="4355"/>
      <c r="O1" s="4355"/>
      <c r="P1" s="4355"/>
      <c r="Q1" s="4355"/>
      <c r="R1" s="4355"/>
      <c r="S1" s="4355"/>
      <c r="T1" s="4355"/>
      <c r="U1" s="4355"/>
      <c r="V1" s="4355"/>
      <c r="W1" s="4355"/>
      <c r="X1" s="4355"/>
      <c r="Y1" s="4355"/>
      <c r="Z1" s="4355"/>
      <c r="AA1" s="4355"/>
      <c r="AB1" s="4355"/>
      <c r="AC1" s="4355"/>
      <c r="AD1" s="4355"/>
      <c r="AE1" s="4355"/>
      <c r="AF1" s="4355"/>
      <c r="AG1" s="4355"/>
      <c r="AH1" s="4355"/>
      <c r="AI1" s="4355"/>
      <c r="AJ1" s="4355"/>
      <c r="AK1" s="4355"/>
      <c r="AL1" s="4355"/>
      <c r="AM1" s="4355"/>
      <c r="AN1" s="4355"/>
      <c r="AO1" s="4355"/>
      <c r="AP1" s="4355"/>
      <c r="AQ1" s="4355"/>
      <c r="AR1" s="4146"/>
    </row>
    <row r="2" spans="1:148" ht="22.5">
      <c r="A2" s="4341" t="s">
        <v>506</v>
      </c>
      <c r="B2" s="4349" t="s">
        <v>507</v>
      </c>
      <c r="C2" s="4349" t="s">
        <v>508</v>
      </c>
      <c r="D2" s="4337" t="s">
        <v>509</v>
      </c>
      <c r="E2" s="4367" t="s">
        <v>510</v>
      </c>
      <c r="F2" s="4367"/>
      <c r="G2" s="4367"/>
      <c r="H2" s="4367"/>
      <c r="I2" s="4367"/>
      <c r="J2" s="4367"/>
      <c r="K2" s="4367"/>
      <c r="L2" s="4367"/>
      <c r="M2" s="4367"/>
      <c r="N2" s="4367"/>
      <c r="O2" s="4367"/>
      <c r="P2" s="4367"/>
      <c r="Q2" s="4367"/>
      <c r="R2" s="4367"/>
      <c r="S2" s="4367"/>
      <c r="T2" s="4367"/>
      <c r="U2" s="4367"/>
      <c r="V2" s="4367"/>
      <c r="W2" s="4367"/>
      <c r="X2" s="4367"/>
      <c r="Y2" s="4367"/>
      <c r="Z2" s="4367"/>
      <c r="AA2" s="4367"/>
      <c r="AB2" s="4367"/>
      <c r="AC2" s="4367"/>
      <c r="AD2" s="4367"/>
      <c r="AE2" s="4367"/>
      <c r="AF2" s="4367"/>
      <c r="AG2" s="4367"/>
      <c r="AH2" s="4367"/>
      <c r="AI2" s="4367"/>
      <c r="AJ2" s="4367"/>
      <c r="AK2" s="4367"/>
      <c r="AL2" s="4367"/>
      <c r="AM2" s="4367"/>
      <c r="AN2" s="4367"/>
      <c r="AO2" s="4367"/>
      <c r="AP2" s="4367"/>
      <c r="AQ2" s="4367"/>
      <c r="AR2" s="4147"/>
    </row>
    <row r="3" spans="1:148">
      <c r="A3" s="4341"/>
      <c r="B3" s="4349"/>
      <c r="C3" s="4349"/>
      <c r="D3" s="4337"/>
      <c r="E3" s="4333">
        <v>3.6</v>
      </c>
      <c r="F3" s="4333"/>
      <c r="G3" s="4333"/>
      <c r="H3" s="4333"/>
      <c r="I3" s="4333">
        <v>4.5999999999999996</v>
      </c>
      <c r="J3" s="4333"/>
      <c r="K3" s="4333"/>
      <c r="L3" s="4333"/>
      <c r="M3" s="4333">
        <v>4.8</v>
      </c>
      <c r="N3" s="4333"/>
      <c r="O3" s="4333"/>
      <c r="P3" s="4333"/>
      <c r="Q3" s="4333">
        <v>5.6</v>
      </c>
      <c r="R3" s="4333"/>
      <c r="S3" s="4333"/>
      <c r="T3" s="4333"/>
      <c r="U3" s="4333">
        <v>5.8</v>
      </c>
      <c r="V3" s="4333"/>
      <c r="W3" s="4333"/>
      <c r="X3" s="4333"/>
      <c r="Y3" s="4333">
        <v>6.8</v>
      </c>
      <c r="Z3" s="4333"/>
      <c r="AA3" s="4333"/>
      <c r="AB3" s="4333"/>
      <c r="AC3" s="4333">
        <v>8.8000000000000007</v>
      </c>
      <c r="AD3" s="4333"/>
      <c r="AE3" s="4333"/>
      <c r="AF3" s="4333"/>
      <c r="AG3" s="4333">
        <v>9.8000000000000007</v>
      </c>
      <c r="AH3" s="4333"/>
      <c r="AI3" s="4333"/>
      <c r="AJ3" s="4333"/>
      <c r="AK3" s="4333">
        <v>10.9</v>
      </c>
      <c r="AL3" s="4333"/>
      <c r="AM3" s="4333"/>
      <c r="AN3" s="4333"/>
      <c r="AO3" s="4333">
        <v>12.9</v>
      </c>
      <c r="AP3" s="4333"/>
      <c r="AQ3" s="4333"/>
      <c r="AR3" s="4368"/>
    </row>
    <row r="4" spans="1:148">
      <c r="A4" s="4341"/>
      <c r="B4" s="4349"/>
      <c r="C4" s="4349"/>
      <c r="D4" s="4337"/>
      <c r="E4" s="4118" t="s">
        <v>511</v>
      </c>
      <c r="F4" s="4118" t="s">
        <v>512</v>
      </c>
      <c r="G4" s="4118" t="s">
        <v>513</v>
      </c>
      <c r="H4" s="4118" t="s">
        <v>514</v>
      </c>
      <c r="I4" s="4118" t="s">
        <v>511</v>
      </c>
      <c r="J4" s="4118" t="s">
        <v>512</v>
      </c>
      <c r="K4" s="4118" t="s">
        <v>513</v>
      </c>
      <c r="L4" s="4118" t="s">
        <v>514</v>
      </c>
      <c r="M4" s="4118" t="s">
        <v>511</v>
      </c>
      <c r="N4" s="4118" t="s">
        <v>512</v>
      </c>
      <c r="O4" s="4118" t="s">
        <v>513</v>
      </c>
      <c r="P4" s="4118" t="s">
        <v>514</v>
      </c>
      <c r="Q4" s="4118" t="s">
        <v>511</v>
      </c>
      <c r="R4" s="4118" t="s">
        <v>512</v>
      </c>
      <c r="S4" s="4118" t="s">
        <v>513</v>
      </c>
      <c r="T4" s="4118" t="s">
        <v>514</v>
      </c>
      <c r="U4" s="4118" t="s">
        <v>511</v>
      </c>
      <c r="V4" s="4118" t="s">
        <v>512</v>
      </c>
      <c r="W4" s="4118" t="s">
        <v>513</v>
      </c>
      <c r="X4" s="4118" t="s">
        <v>514</v>
      </c>
      <c r="Y4" s="4118" t="s">
        <v>511</v>
      </c>
      <c r="Z4" s="4118" t="s">
        <v>512</v>
      </c>
      <c r="AA4" s="4118" t="s">
        <v>513</v>
      </c>
      <c r="AB4" s="4118" t="s">
        <v>514</v>
      </c>
      <c r="AC4" s="4118" t="s">
        <v>511</v>
      </c>
      <c r="AD4" s="4118" t="s">
        <v>512</v>
      </c>
      <c r="AE4" s="4118" t="s">
        <v>513</v>
      </c>
      <c r="AF4" s="4118" t="s">
        <v>514</v>
      </c>
      <c r="AG4" s="4118" t="s">
        <v>511</v>
      </c>
      <c r="AH4" s="4118" t="s">
        <v>512</v>
      </c>
      <c r="AI4" s="4118" t="s">
        <v>513</v>
      </c>
      <c r="AJ4" s="4118" t="s">
        <v>514</v>
      </c>
      <c r="AK4" s="4118" t="s">
        <v>511</v>
      </c>
      <c r="AL4" s="4118" t="s">
        <v>512</v>
      </c>
      <c r="AM4" s="4118" t="s">
        <v>513</v>
      </c>
      <c r="AN4" s="4118" t="s">
        <v>514</v>
      </c>
      <c r="AO4" s="4118" t="s">
        <v>511</v>
      </c>
      <c r="AP4" s="4118" t="s">
        <v>512</v>
      </c>
      <c r="AQ4" s="4118" t="s">
        <v>513</v>
      </c>
      <c r="AR4" s="4137" t="s">
        <v>514</v>
      </c>
    </row>
    <row r="5" spans="1:148" s="4113" customFormat="1">
      <c r="A5" s="4341"/>
      <c r="B5" s="4119" t="s">
        <v>515</v>
      </c>
      <c r="C5" s="4119">
        <v>1</v>
      </c>
      <c r="D5" s="4119">
        <v>0.46</v>
      </c>
      <c r="E5" s="4120">
        <f>D5*300</f>
        <v>138</v>
      </c>
      <c r="F5" s="4120">
        <f>D5*180</f>
        <v>82.8</v>
      </c>
      <c r="G5" s="4120">
        <f>0.6*180*D5</f>
        <v>49.68</v>
      </c>
      <c r="H5" s="4121">
        <f>G30*G5*C5*0.001</f>
        <v>1.4904000000000001E-2</v>
      </c>
      <c r="I5" s="4120">
        <f>D5*400</f>
        <v>184</v>
      </c>
      <c r="J5" s="4120">
        <f>D5*240</f>
        <v>110.4</v>
      </c>
      <c r="K5" s="4120">
        <f>J5*0.6</f>
        <v>66.239999999999995</v>
      </c>
      <c r="L5" s="4121">
        <f>G30*K5*C5*0.001</f>
        <v>1.9872000000000001E-2</v>
      </c>
      <c r="M5" s="4120">
        <f>D5*400</f>
        <v>184</v>
      </c>
      <c r="N5" s="4120">
        <f>D5*320</f>
        <v>147.19999999999999</v>
      </c>
      <c r="O5" s="4120">
        <f>N5*0.6</f>
        <v>88.32</v>
      </c>
      <c r="P5" s="4121">
        <f>G30*O5*C5*0.001</f>
        <v>2.6495999999999999E-2</v>
      </c>
      <c r="Q5" s="4120">
        <f>D5*500</f>
        <v>230</v>
      </c>
      <c r="R5" s="4120">
        <f>D5*300</f>
        <v>138</v>
      </c>
      <c r="S5" s="4120">
        <f>R5*0.6</f>
        <v>82.8</v>
      </c>
      <c r="T5" s="4140">
        <f>G30*S5*C5*0.001</f>
        <v>2.4840000000000001E-2</v>
      </c>
      <c r="U5" s="4120">
        <f>D5*500</f>
        <v>230</v>
      </c>
      <c r="V5" s="4120">
        <f>D5*400</f>
        <v>184</v>
      </c>
      <c r="W5" s="4120">
        <f>V5*0.6</f>
        <v>110.4</v>
      </c>
      <c r="X5" s="4140">
        <f>G30*C5*W5*0.001</f>
        <v>3.3119999999999997E-2</v>
      </c>
      <c r="Y5" s="4120">
        <f>D5*600</f>
        <v>276</v>
      </c>
      <c r="Z5" s="4120">
        <f>D5*480</f>
        <v>220.8</v>
      </c>
      <c r="AA5" s="4120">
        <f>Z5*0.6</f>
        <v>132.47999999999999</v>
      </c>
      <c r="AB5" s="4140">
        <f>G30*C5*AA5*0.001</f>
        <v>3.9744000000000002E-2</v>
      </c>
      <c r="AC5" s="4120">
        <f>D5*800</f>
        <v>368</v>
      </c>
      <c r="AD5" s="4120">
        <f>D5*640</f>
        <v>294.39999999999998</v>
      </c>
      <c r="AE5" s="4120">
        <f>AD5*0.6</f>
        <v>176.64</v>
      </c>
      <c r="AF5" s="4140">
        <f>G30*C5*AE5*0.001</f>
        <v>5.2991999999999997E-2</v>
      </c>
      <c r="AG5" s="4120">
        <f>D5*900</f>
        <v>414</v>
      </c>
      <c r="AH5" s="4120">
        <f>D5*720</f>
        <v>331.2</v>
      </c>
      <c r="AI5" s="4120">
        <f>AH5*0.6</f>
        <v>198.72</v>
      </c>
      <c r="AJ5" s="4140">
        <f>G30*C5*AI5*0.001</f>
        <v>5.9616000000000002E-2</v>
      </c>
      <c r="AK5" s="4120">
        <f>D5*1000</f>
        <v>460</v>
      </c>
      <c r="AL5" s="4120">
        <f>D5*900</f>
        <v>414</v>
      </c>
      <c r="AM5" s="4120">
        <f>AL5*0.6</f>
        <v>248.4</v>
      </c>
      <c r="AN5" s="4140">
        <f>G30*C5*AM5*0.001</f>
        <v>7.4520000000000003E-2</v>
      </c>
      <c r="AO5" s="4120">
        <f>D5*1200</f>
        <v>552</v>
      </c>
      <c r="AP5" s="4120">
        <f>D5*1080</f>
        <v>496.8</v>
      </c>
      <c r="AQ5" s="4120">
        <f>AP5*0.6</f>
        <v>298.08</v>
      </c>
      <c r="AR5" s="4148">
        <f>G30*C5*AQ5*0.001</f>
        <v>8.9424000000000003E-2</v>
      </c>
      <c r="AS5" s="4117"/>
      <c r="AT5" s="4117"/>
      <c r="AU5" s="4117"/>
      <c r="AV5" s="4117"/>
      <c r="AW5" s="4117"/>
      <c r="AX5" s="4117"/>
      <c r="AY5" s="4117"/>
      <c r="AZ5" s="4117"/>
      <c r="BA5" s="4117"/>
      <c r="BB5" s="4117"/>
      <c r="BC5" s="4117"/>
      <c r="BD5" s="4117"/>
      <c r="BE5" s="4117"/>
      <c r="BF5" s="4117"/>
      <c r="BG5" s="4117"/>
      <c r="BH5" s="4117"/>
      <c r="BI5" s="4117"/>
      <c r="BJ5" s="4117"/>
      <c r="BK5" s="4117"/>
      <c r="BL5" s="4117"/>
      <c r="BM5" s="4117"/>
      <c r="BN5" s="4117"/>
      <c r="BO5" s="4117"/>
      <c r="BP5" s="4117"/>
      <c r="BQ5" s="4117"/>
      <c r="BR5" s="4117"/>
      <c r="BS5" s="4117"/>
      <c r="BT5" s="4117"/>
      <c r="BU5" s="4117"/>
      <c r="BV5" s="4117"/>
      <c r="BW5" s="4117"/>
      <c r="BX5" s="4117"/>
      <c r="BY5" s="4117"/>
      <c r="BZ5" s="4117"/>
      <c r="CA5" s="4117"/>
      <c r="CB5" s="4117"/>
      <c r="CC5" s="4117"/>
      <c r="CD5" s="4117"/>
      <c r="CE5" s="4117"/>
      <c r="CF5" s="4117"/>
      <c r="CG5" s="4117"/>
      <c r="CH5" s="4117"/>
      <c r="CI5" s="4117"/>
      <c r="CJ5" s="4117"/>
      <c r="CK5" s="4117"/>
      <c r="CL5" s="4117"/>
      <c r="CM5" s="4117"/>
      <c r="CN5" s="4117"/>
      <c r="CO5" s="4117"/>
      <c r="CP5" s="4117"/>
      <c r="CQ5" s="4117"/>
      <c r="CR5" s="4117"/>
      <c r="CS5" s="4117"/>
      <c r="CT5" s="4117"/>
      <c r="CU5" s="4117"/>
      <c r="CV5" s="4117"/>
      <c r="CW5" s="4117"/>
      <c r="CX5" s="4117"/>
      <c r="CY5" s="4117"/>
      <c r="CZ5" s="4117"/>
      <c r="DA5" s="4117"/>
      <c r="DB5" s="4117"/>
      <c r="DC5" s="4117"/>
      <c r="DD5" s="4117"/>
      <c r="DE5" s="4117"/>
      <c r="DF5" s="4117"/>
      <c r="DG5" s="4117"/>
      <c r="DH5" s="4117"/>
      <c r="DI5" s="4117"/>
      <c r="DJ5" s="4117"/>
      <c r="DK5" s="4117"/>
      <c r="DL5" s="4117"/>
      <c r="DM5" s="4117"/>
      <c r="DN5" s="4117"/>
      <c r="DO5" s="4117"/>
      <c r="DP5" s="4117"/>
      <c r="DQ5" s="4117"/>
      <c r="DR5" s="4117"/>
      <c r="DS5" s="4117"/>
      <c r="DT5" s="4117"/>
      <c r="DU5" s="4117"/>
      <c r="DV5" s="4117"/>
      <c r="DW5" s="4117"/>
      <c r="DX5" s="4117"/>
      <c r="DY5" s="4117"/>
      <c r="DZ5" s="4117"/>
      <c r="EA5" s="4117"/>
      <c r="EB5" s="4117"/>
      <c r="EC5" s="4117"/>
      <c r="ED5" s="4117"/>
      <c r="EE5" s="4117"/>
      <c r="EF5" s="4117"/>
      <c r="EG5" s="4117"/>
      <c r="EH5" s="4117"/>
      <c r="EI5" s="4117"/>
      <c r="EJ5" s="4117"/>
      <c r="EK5" s="4117"/>
      <c r="EL5" s="4117"/>
      <c r="EM5" s="4117"/>
      <c r="EN5" s="4117"/>
      <c r="EO5" s="4117"/>
      <c r="EP5" s="4117"/>
      <c r="EQ5" s="4117"/>
      <c r="ER5" s="4117"/>
    </row>
    <row r="6" spans="1:148" s="4114" customFormat="1">
      <c r="A6" s="4341"/>
      <c r="B6" s="4122" t="s">
        <v>516</v>
      </c>
      <c r="C6" s="4122">
        <v>2</v>
      </c>
      <c r="D6" s="4122">
        <v>2.0699999999999998</v>
      </c>
      <c r="E6" s="4123">
        <f t="shared" ref="E6:E24" si="0">D6*300</f>
        <v>621</v>
      </c>
      <c r="F6" s="4123">
        <f t="shared" ref="F6:F24" si="1">D6*180</f>
        <v>372.6</v>
      </c>
      <c r="G6" s="4123">
        <f t="shared" ref="G6:G24" si="2">0.6*180*D6</f>
        <v>223.56</v>
      </c>
      <c r="H6" s="4124">
        <f>G30*G6*C6*0.001</f>
        <v>0.13413600000000001</v>
      </c>
      <c r="I6" s="4123">
        <f t="shared" ref="I6:I24" si="3">D6*400</f>
        <v>828</v>
      </c>
      <c r="J6" s="4123">
        <f t="shared" ref="J6:J24" si="4">D6*240</f>
        <v>496.8</v>
      </c>
      <c r="K6" s="4123">
        <f t="shared" ref="K6:K24" si="5">J6*0.6</f>
        <v>298.08</v>
      </c>
      <c r="L6" s="4124">
        <f>G30*K6*C6*0.001</f>
        <v>0.17884800000000001</v>
      </c>
      <c r="M6" s="4123">
        <f t="shared" ref="M6:M24" si="6">D6*400</f>
        <v>828</v>
      </c>
      <c r="N6" s="4123">
        <f t="shared" ref="N6:N24" si="7">D6*320</f>
        <v>662.4</v>
      </c>
      <c r="O6" s="4123">
        <f t="shared" ref="O6:O24" si="8">N6*0.6</f>
        <v>397.44</v>
      </c>
      <c r="P6" s="4124">
        <f>G30*O6*C6*0.001</f>
        <v>0.23846400000000001</v>
      </c>
      <c r="Q6" s="4123">
        <f t="shared" ref="Q6:Q24" si="9">D6*500</f>
        <v>1035</v>
      </c>
      <c r="R6" s="4123">
        <f t="shared" ref="R6:R24" si="10">D6*300</f>
        <v>621</v>
      </c>
      <c r="S6" s="4123">
        <f t="shared" ref="S6:S24" si="11">R6*0.6</f>
        <v>372.6</v>
      </c>
      <c r="T6" s="4141">
        <f>G30*S6*C6*0.001</f>
        <v>0.22356000000000001</v>
      </c>
      <c r="U6" s="4123">
        <f t="shared" ref="U6:U24" si="12">D6*500</f>
        <v>1035</v>
      </c>
      <c r="V6" s="4123">
        <f t="shared" ref="V6:V24" si="13">D6*400</f>
        <v>828</v>
      </c>
      <c r="W6" s="4123">
        <f t="shared" ref="W6:W24" si="14">V6*0.6</f>
        <v>496.8</v>
      </c>
      <c r="X6" s="4141">
        <f>G30*C6*W6*0.001</f>
        <v>0.29808000000000001</v>
      </c>
      <c r="Y6" s="4123">
        <f t="shared" ref="Y6:Y24" si="15">D6*600</f>
        <v>1242</v>
      </c>
      <c r="Z6" s="4123">
        <f t="shared" ref="Z6:Z24" si="16">D6*480</f>
        <v>993.6</v>
      </c>
      <c r="AA6" s="4123">
        <f t="shared" ref="AA6:AA24" si="17">Z6*0.6</f>
        <v>596.16</v>
      </c>
      <c r="AB6" s="4141">
        <f>G30*C6*AA6*0.001</f>
        <v>0.35769600000000001</v>
      </c>
      <c r="AC6" s="4123">
        <f t="shared" ref="AC6:AC24" si="18">D6*800</f>
        <v>1656</v>
      </c>
      <c r="AD6" s="4123">
        <f t="shared" ref="AD6:AD24" si="19">D6*640</f>
        <v>1324.8</v>
      </c>
      <c r="AE6" s="4123">
        <f t="shared" ref="AE6:AE24" si="20">AD6*0.6</f>
        <v>794.88</v>
      </c>
      <c r="AF6" s="4141">
        <f>G30*C6*AE6*0.001</f>
        <v>0.47692800000000002</v>
      </c>
      <c r="AG6" s="4123">
        <f t="shared" ref="AG6:AG24" si="21">D6*900</f>
        <v>1863</v>
      </c>
      <c r="AH6" s="4123">
        <f t="shared" ref="AH6:AH24" si="22">D6*720</f>
        <v>1490.4</v>
      </c>
      <c r="AI6" s="4123">
        <f t="shared" ref="AI6:AI24" si="23">AH6*0.6</f>
        <v>894.24</v>
      </c>
      <c r="AJ6" s="4141">
        <f>G30*C6*AI6*0.001</f>
        <v>0.53654400000000002</v>
      </c>
      <c r="AK6" s="4123">
        <f t="shared" ref="AK6:AK24" si="24">D6*1000</f>
        <v>2070</v>
      </c>
      <c r="AL6" s="4123">
        <f t="shared" ref="AL6:AL24" si="25">D6*900</f>
        <v>1863</v>
      </c>
      <c r="AM6" s="4123">
        <f t="shared" ref="AM6:AM24" si="26">AL6*0.6</f>
        <v>1117.8</v>
      </c>
      <c r="AN6" s="4141">
        <f>G30*C6*AM6*0.001</f>
        <v>0.67068000000000005</v>
      </c>
      <c r="AO6" s="4123">
        <f t="shared" ref="AO6:AO24" si="27">D6*1200</f>
        <v>2484</v>
      </c>
      <c r="AP6" s="4123">
        <f t="shared" ref="AP6:AP24" si="28">D6*1080</f>
        <v>2235.6</v>
      </c>
      <c r="AQ6" s="4123">
        <f t="shared" ref="AQ6:AQ24" si="29">AP6*0.6</f>
        <v>1341.36</v>
      </c>
      <c r="AR6" s="4149">
        <f>G30*C6*AQ6*0.001</f>
        <v>0.80481599999999998</v>
      </c>
      <c r="AS6" s="4117"/>
      <c r="AT6" s="4117"/>
      <c r="AU6" s="4117"/>
      <c r="AV6" s="4117"/>
      <c r="AW6" s="4117"/>
      <c r="AX6" s="4117"/>
      <c r="AY6" s="4117"/>
      <c r="AZ6" s="4117"/>
      <c r="BA6" s="4117"/>
      <c r="BB6" s="4117"/>
      <c r="BC6" s="4117"/>
      <c r="BD6" s="4117"/>
      <c r="BE6" s="4117"/>
      <c r="BF6" s="4117"/>
      <c r="BG6" s="4117"/>
      <c r="BH6" s="4117"/>
      <c r="BI6" s="4117"/>
      <c r="BJ6" s="4117"/>
      <c r="BK6" s="4117"/>
      <c r="BL6" s="4117"/>
      <c r="BM6" s="4117"/>
      <c r="BN6" s="4117"/>
      <c r="BO6" s="4117"/>
      <c r="BP6" s="4117"/>
      <c r="BQ6" s="4117"/>
      <c r="BR6" s="4117"/>
      <c r="BS6" s="4117"/>
      <c r="BT6" s="4117"/>
      <c r="BU6" s="4117"/>
      <c r="BV6" s="4117"/>
      <c r="BW6" s="4117"/>
      <c r="BX6" s="4117"/>
      <c r="BY6" s="4117"/>
      <c r="BZ6" s="4117"/>
      <c r="CA6" s="4117"/>
      <c r="CB6" s="4117"/>
      <c r="CC6" s="4117"/>
      <c r="CD6" s="4117"/>
      <c r="CE6" s="4117"/>
      <c r="CF6" s="4117"/>
      <c r="CG6" s="4117"/>
      <c r="CH6" s="4117"/>
      <c r="CI6" s="4117"/>
      <c r="CJ6" s="4117"/>
      <c r="CK6" s="4117"/>
      <c r="CL6" s="4117"/>
      <c r="CM6" s="4117"/>
      <c r="CN6" s="4117"/>
      <c r="CO6" s="4117"/>
      <c r="CP6" s="4117"/>
      <c r="CQ6" s="4117"/>
      <c r="CR6" s="4117"/>
      <c r="CS6" s="4117"/>
      <c r="CT6" s="4117"/>
      <c r="CU6" s="4117"/>
      <c r="CV6" s="4117"/>
      <c r="CW6" s="4117"/>
      <c r="CX6" s="4117"/>
      <c r="CY6" s="4117"/>
      <c r="CZ6" s="4117"/>
      <c r="DA6" s="4117"/>
      <c r="DB6" s="4117"/>
      <c r="DC6" s="4117"/>
      <c r="DD6" s="4117"/>
      <c r="DE6" s="4117"/>
      <c r="DF6" s="4117"/>
      <c r="DG6" s="4117"/>
      <c r="DH6" s="4117"/>
      <c r="DI6" s="4117"/>
      <c r="DJ6" s="4117"/>
      <c r="DK6" s="4117"/>
      <c r="DL6" s="4117"/>
      <c r="DM6" s="4117"/>
      <c r="DN6" s="4117"/>
      <c r="DO6" s="4117"/>
      <c r="DP6" s="4117"/>
      <c r="DQ6" s="4117"/>
      <c r="DR6" s="4117"/>
      <c r="DS6" s="4117"/>
      <c r="DT6" s="4117"/>
      <c r="DU6" s="4117"/>
      <c r="DV6" s="4117"/>
      <c r="DW6" s="4117"/>
      <c r="DX6" s="4117"/>
      <c r="DY6" s="4117"/>
      <c r="DZ6" s="4117"/>
      <c r="EA6" s="4117"/>
      <c r="EB6" s="4117"/>
      <c r="EC6" s="4117"/>
      <c r="ED6" s="4117"/>
      <c r="EE6" s="4117"/>
      <c r="EF6" s="4117"/>
      <c r="EG6" s="4117"/>
      <c r="EH6" s="4117"/>
      <c r="EI6" s="4117"/>
      <c r="EJ6" s="4117"/>
      <c r="EK6" s="4117"/>
      <c r="EL6" s="4117"/>
      <c r="EM6" s="4117"/>
      <c r="EN6" s="4117"/>
      <c r="EO6" s="4117"/>
      <c r="EP6" s="4117"/>
      <c r="EQ6" s="4117"/>
      <c r="ER6" s="4117"/>
    </row>
    <row r="7" spans="1:148" s="4115" customFormat="1">
      <c r="A7" s="4341"/>
      <c r="B7" s="4125" t="s">
        <v>517</v>
      </c>
      <c r="C7" s="4125">
        <v>3</v>
      </c>
      <c r="D7" s="4125">
        <v>5.03</v>
      </c>
      <c r="E7" s="4126">
        <f t="shared" si="0"/>
        <v>1509</v>
      </c>
      <c r="F7" s="4126">
        <f t="shared" si="1"/>
        <v>905.4</v>
      </c>
      <c r="G7" s="4126">
        <f t="shared" si="2"/>
        <v>543.24</v>
      </c>
      <c r="H7" s="4127">
        <f>G30*G7*C7*0.001</f>
        <v>0.48891600000000002</v>
      </c>
      <c r="I7" s="4126">
        <f t="shared" si="3"/>
        <v>2012</v>
      </c>
      <c r="J7" s="4126">
        <f t="shared" si="4"/>
        <v>1207.2</v>
      </c>
      <c r="K7" s="4126">
        <f t="shared" si="5"/>
        <v>724.32</v>
      </c>
      <c r="L7" s="4127">
        <f>G30*K7*C7*0.001</f>
        <v>0.65188800000000002</v>
      </c>
      <c r="M7" s="4126">
        <f t="shared" si="6"/>
        <v>2012</v>
      </c>
      <c r="N7" s="4126">
        <f t="shared" si="7"/>
        <v>1609.6</v>
      </c>
      <c r="O7" s="4126">
        <f t="shared" si="8"/>
        <v>965.76</v>
      </c>
      <c r="P7" s="4127">
        <f>G30*O7*C7*0.001</f>
        <v>0.86918399999999996</v>
      </c>
      <c r="Q7" s="4126">
        <f t="shared" si="9"/>
        <v>2515</v>
      </c>
      <c r="R7" s="4126">
        <f t="shared" si="10"/>
        <v>1509</v>
      </c>
      <c r="S7" s="4126">
        <f t="shared" si="11"/>
        <v>905.4</v>
      </c>
      <c r="T7" s="4142">
        <f>G30*S7*C7*0.001</f>
        <v>0.81486000000000003</v>
      </c>
      <c r="U7" s="4126">
        <f t="shared" si="12"/>
        <v>2515</v>
      </c>
      <c r="V7" s="4126">
        <f t="shared" si="13"/>
        <v>2012</v>
      </c>
      <c r="W7" s="4126">
        <f t="shared" si="14"/>
        <v>1207.2</v>
      </c>
      <c r="X7" s="4142">
        <f>G30*C7*W7*0.001</f>
        <v>1.0864799999999999</v>
      </c>
      <c r="Y7" s="4126">
        <f t="shared" si="15"/>
        <v>3018</v>
      </c>
      <c r="Z7" s="4126">
        <f t="shared" si="16"/>
        <v>2414.4</v>
      </c>
      <c r="AA7" s="4126">
        <f t="shared" si="17"/>
        <v>1448.64</v>
      </c>
      <c r="AB7" s="4142">
        <f>G30*C7*AA7*0.001</f>
        <v>1.303776</v>
      </c>
      <c r="AC7" s="4126">
        <f t="shared" si="18"/>
        <v>4024</v>
      </c>
      <c r="AD7" s="4126">
        <f t="shared" si="19"/>
        <v>3219.2</v>
      </c>
      <c r="AE7" s="4126">
        <f t="shared" si="20"/>
        <v>1931.52</v>
      </c>
      <c r="AF7" s="4142">
        <f>G30*C7*AE7*0.001</f>
        <v>1.7383679999999999</v>
      </c>
      <c r="AG7" s="4126">
        <f t="shared" si="21"/>
        <v>4527</v>
      </c>
      <c r="AH7" s="4126">
        <f t="shared" si="22"/>
        <v>3621.6</v>
      </c>
      <c r="AI7" s="4126">
        <f t="shared" si="23"/>
        <v>2172.96</v>
      </c>
      <c r="AJ7" s="4142">
        <f>G30*C7*AI7*0.001</f>
        <v>1.9556640000000001</v>
      </c>
      <c r="AK7" s="4126">
        <f t="shared" si="24"/>
        <v>5030</v>
      </c>
      <c r="AL7" s="4126">
        <f t="shared" si="25"/>
        <v>4527</v>
      </c>
      <c r="AM7" s="4126">
        <f t="shared" si="26"/>
        <v>2716.2</v>
      </c>
      <c r="AN7" s="4142">
        <f>G30*C7*AM7*0.001</f>
        <v>2.4445800000000002</v>
      </c>
      <c r="AO7" s="4126">
        <f t="shared" si="27"/>
        <v>6036</v>
      </c>
      <c r="AP7" s="4126">
        <f t="shared" si="28"/>
        <v>5432.4</v>
      </c>
      <c r="AQ7" s="4126">
        <f t="shared" si="29"/>
        <v>3259.44</v>
      </c>
      <c r="AR7" s="4150">
        <f>G30*C7*AQ7*0.001</f>
        <v>2.9334959999999999</v>
      </c>
      <c r="AS7" s="4117"/>
      <c r="AT7" s="4117"/>
      <c r="AU7" s="4117"/>
      <c r="AV7" s="4117"/>
      <c r="AW7" s="4117"/>
      <c r="AX7" s="4117"/>
      <c r="AY7" s="4117"/>
      <c r="AZ7" s="4117"/>
      <c r="BA7" s="4117"/>
      <c r="BB7" s="4117"/>
      <c r="BC7" s="4117"/>
      <c r="BD7" s="4117"/>
      <c r="BE7" s="4117"/>
      <c r="BF7" s="4117"/>
      <c r="BG7" s="4117"/>
      <c r="BH7" s="4117"/>
      <c r="BI7" s="4117"/>
      <c r="BJ7" s="4117"/>
      <c r="BK7" s="4117"/>
      <c r="BL7" s="4117"/>
      <c r="BM7" s="4117"/>
      <c r="BN7" s="4117"/>
      <c r="BO7" s="4117"/>
      <c r="BP7" s="4117"/>
      <c r="BQ7" s="4117"/>
      <c r="BR7" s="4117"/>
      <c r="BS7" s="4117"/>
      <c r="BT7" s="4117"/>
      <c r="BU7" s="4117"/>
      <c r="BV7" s="4117"/>
      <c r="BW7" s="4117"/>
      <c r="BX7" s="4117"/>
      <c r="BY7" s="4117"/>
      <c r="BZ7" s="4117"/>
      <c r="CA7" s="4117"/>
      <c r="CB7" s="4117"/>
      <c r="CC7" s="4117"/>
      <c r="CD7" s="4117"/>
      <c r="CE7" s="4117"/>
      <c r="CF7" s="4117"/>
      <c r="CG7" s="4117"/>
      <c r="CH7" s="4117"/>
      <c r="CI7" s="4117"/>
      <c r="CJ7" s="4117"/>
      <c r="CK7" s="4117"/>
      <c r="CL7" s="4117"/>
      <c r="CM7" s="4117"/>
      <c r="CN7" s="4117"/>
      <c r="CO7" s="4117"/>
      <c r="CP7" s="4117"/>
      <c r="CQ7" s="4117"/>
      <c r="CR7" s="4117"/>
      <c r="CS7" s="4117"/>
      <c r="CT7" s="4117"/>
      <c r="CU7" s="4117"/>
      <c r="CV7" s="4117"/>
      <c r="CW7" s="4117"/>
      <c r="CX7" s="4117"/>
      <c r="CY7" s="4117"/>
      <c r="CZ7" s="4117"/>
      <c r="DA7" s="4117"/>
      <c r="DB7" s="4117"/>
      <c r="DC7" s="4117"/>
      <c r="DD7" s="4117"/>
      <c r="DE7" s="4117"/>
      <c r="DF7" s="4117"/>
      <c r="DG7" s="4117"/>
      <c r="DH7" s="4117"/>
      <c r="DI7" s="4117"/>
      <c r="DJ7" s="4117"/>
      <c r="DK7" s="4117"/>
      <c r="DL7" s="4117"/>
      <c r="DM7" s="4117"/>
      <c r="DN7" s="4117"/>
      <c r="DO7" s="4117"/>
      <c r="DP7" s="4117"/>
      <c r="DQ7" s="4117"/>
      <c r="DR7" s="4117"/>
      <c r="DS7" s="4117"/>
      <c r="DT7" s="4117"/>
      <c r="DU7" s="4117"/>
      <c r="DV7" s="4117"/>
      <c r="DW7" s="4117"/>
      <c r="DX7" s="4117"/>
      <c r="DY7" s="4117"/>
      <c r="DZ7" s="4117"/>
      <c r="EA7" s="4117"/>
      <c r="EB7" s="4117"/>
      <c r="EC7" s="4117"/>
      <c r="ED7" s="4117"/>
      <c r="EE7" s="4117"/>
      <c r="EF7" s="4117"/>
      <c r="EG7" s="4117"/>
      <c r="EH7" s="4117"/>
      <c r="EI7" s="4117"/>
      <c r="EJ7" s="4117"/>
      <c r="EK7" s="4117"/>
      <c r="EL7" s="4117"/>
      <c r="EM7" s="4117"/>
      <c r="EN7" s="4117"/>
      <c r="EO7" s="4117"/>
      <c r="EP7" s="4117"/>
      <c r="EQ7" s="4117"/>
      <c r="ER7" s="4117"/>
    </row>
    <row r="8" spans="1:148" s="4116" customFormat="1">
      <c r="A8" s="4341"/>
      <c r="B8" s="4128" t="s">
        <v>518</v>
      </c>
      <c r="C8" s="4128">
        <v>4</v>
      </c>
      <c r="D8" s="4128">
        <v>8.7799999999999994</v>
      </c>
      <c r="E8" s="4129">
        <f t="shared" si="0"/>
        <v>2634</v>
      </c>
      <c r="F8" s="4129">
        <f t="shared" si="1"/>
        <v>1580.4</v>
      </c>
      <c r="G8" s="4129">
        <f t="shared" si="2"/>
        <v>948.24</v>
      </c>
      <c r="H8" s="4130">
        <f>G30*G8*C8*0.001</f>
        <v>1.137888</v>
      </c>
      <c r="I8" s="4129">
        <f t="shared" si="3"/>
        <v>3512</v>
      </c>
      <c r="J8" s="4129">
        <f t="shared" si="4"/>
        <v>2107.1999999999998</v>
      </c>
      <c r="K8" s="4129">
        <f t="shared" si="5"/>
        <v>1264.32</v>
      </c>
      <c r="L8" s="4130">
        <f>G30*K8*C8*0.001</f>
        <v>1.5171840000000001</v>
      </c>
      <c r="M8" s="4129">
        <f t="shared" si="6"/>
        <v>3512</v>
      </c>
      <c r="N8" s="4129">
        <f t="shared" si="7"/>
        <v>2809.6</v>
      </c>
      <c r="O8" s="4129">
        <f t="shared" si="8"/>
        <v>1685.76</v>
      </c>
      <c r="P8" s="4130">
        <f>G30*O8*C8*0.001</f>
        <v>2.0229119999999998</v>
      </c>
      <c r="Q8" s="4129">
        <f t="shared" si="9"/>
        <v>4390</v>
      </c>
      <c r="R8" s="4129">
        <f t="shared" si="10"/>
        <v>2634</v>
      </c>
      <c r="S8" s="4129">
        <f t="shared" si="11"/>
        <v>1580.4</v>
      </c>
      <c r="T8" s="4143">
        <f>G30*S8*C8*0.001</f>
        <v>1.8964799999999999</v>
      </c>
      <c r="U8" s="4129">
        <f t="shared" si="12"/>
        <v>4390</v>
      </c>
      <c r="V8" s="4129">
        <f t="shared" si="13"/>
        <v>3512</v>
      </c>
      <c r="W8" s="4129">
        <f t="shared" si="14"/>
        <v>2107.1999999999998</v>
      </c>
      <c r="X8" s="4143">
        <f>G30*C8*W8*0.001</f>
        <v>2.5286400000000002</v>
      </c>
      <c r="Y8" s="4129">
        <f t="shared" si="15"/>
        <v>5268</v>
      </c>
      <c r="Z8" s="4129">
        <f t="shared" si="16"/>
        <v>4214.3999999999996</v>
      </c>
      <c r="AA8" s="4129">
        <f t="shared" si="17"/>
        <v>2528.64</v>
      </c>
      <c r="AB8" s="4143">
        <f>G30*C8*AA8*0.001</f>
        <v>3.0343680000000002</v>
      </c>
      <c r="AC8" s="4129">
        <f t="shared" si="18"/>
        <v>7024</v>
      </c>
      <c r="AD8" s="4129">
        <f t="shared" si="19"/>
        <v>5619.2</v>
      </c>
      <c r="AE8" s="4129">
        <f t="shared" si="20"/>
        <v>3371.52</v>
      </c>
      <c r="AF8" s="4143">
        <f>G30*C8*AE8*0.001</f>
        <v>4.0458239999999996</v>
      </c>
      <c r="AG8" s="4129">
        <f t="shared" si="21"/>
        <v>7902</v>
      </c>
      <c r="AH8" s="4129">
        <f t="shared" si="22"/>
        <v>6321.6</v>
      </c>
      <c r="AI8" s="4129">
        <f t="shared" si="23"/>
        <v>3792.96</v>
      </c>
      <c r="AJ8" s="4143">
        <f>G30*C8*AI8*0.001</f>
        <v>4.551552</v>
      </c>
      <c r="AK8" s="4129">
        <f t="shared" si="24"/>
        <v>8780</v>
      </c>
      <c r="AL8" s="4129">
        <f t="shared" si="25"/>
        <v>7902</v>
      </c>
      <c r="AM8" s="4129">
        <f t="shared" si="26"/>
        <v>4741.2</v>
      </c>
      <c r="AN8" s="4143">
        <f>G30*C8*AM8*0.001</f>
        <v>5.6894400000000003</v>
      </c>
      <c r="AO8" s="4129">
        <f t="shared" si="27"/>
        <v>10536</v>
      </c>
      <c r="AP8" s="4129">
        <f t="shared" si="28"/>
        <v>9482.4</v>
      </c>
      <c r="AQ8" s="4129">
        <f t="shared" si="29"/>
        <v>5689.44</v>
      </c>
      <c r="AR8" s="4151">
        <f>G30*C8*AQ8*0.001</f>
        <v>6.8273279999999996</v>
      </c>
      <c r="AS8" s="4117"/>
      <c r="AT8" s="4117"/>
      <c r="AU8" s="4117"/>
      <c r="AV8" s="4117"/>
      <c r="AW8" s="4117"/>
      <c r="AX8" s="4117"/>
      <c r="AY8" s="4117"/>
      <c r="AZ8" s="4117"/>
      <c r="BA8" s="4117"/>
      <c r="BB8" s="4117"/>
      <c r="BC8" s="4117"/>
      <c r="BD8" s="4117"/>
      <c r="BE8" s="4117"/>
      <c r="BF8" s="4117"/>
      <c r="BG8" s="4117"/>
      <c r="BH8" s="4117"/>
      <c r="BI8" s="4117"/>
      <c r="BJ8" s="4117"/>
      <c r="BK8" s="4117"/>
      <c r="BL8" s="4117"/>
      <c r="BM8" s="4117"/>
      <c r="BN8" s="4117"/>
      <c r="BO8" s="4117"/>
      <c r="BP8" s="4117"/>
      <c r="BQ8" s="4117"/>
      <c r="BR8" s="4117"/>
      <c r="BS8" s="4117"/>
      <c r="BT8" s="4117"/>
      <c r="BU8" s="4117"/>
      <c r="BV8" s="4117"/>
      <c r="BW8" s="4117"/>
      <c r="BX8" s="4117"/>
      <c r="BY8" s="4117"/>
      <c r="BZ8" s="4117"/>
      <c r="CA8" s="4117"/>
      <c r="CB8" s="4117"/>
      <c r="CC8" s="4117"/>
      <c r="CD8" s="4117"/>
      <c r="CE8" s="4117"/>
      <c r="CF8" s="4117"/>
      <c r="CG8" s="4117"/>
      <c r="CH8" s="4117"/>
      <c r="CI8" s="4117"/>
      <c r="CJ8" s="4117"/>
      <c r="CK8" s="4117"/>
      <c r="CL8" s="4117"/>
      <c r="CM8" s="4117"/>
      <c r="CN8" s="4117"/>
      <c r="CO8" s="4117"/>
      <c r="CP8" s="4117"/>
      <c r="CQ8" s="4117"/>
      <c r="CR8" s="4117"/>
      <c r="CS8" s="4117"/>
      <c r="CT8" s="4117"/>
      <c r="CU8" s="4117"/>
      <c r="CV8" s="4117"/>
      <c r="CW8" s="4117"/>
      <c r="CX8" s="4117"/>
      <c r="CY8" s="4117"/>
      <c r="CZ8" s="4117"/>
      <c r="DA8" s="4117"/>
      <c r="DB8" s="4117"/>
      <c r="DC8" s="4117"/>
      <c r="DD8" s="4117"/>
      <c r="DE8" s="4117"/>
      <c r="DF8" s="4117"/>
      <c r="DG8" s="4117"/>
      <c r="DH8" s="4117"/>
      <c r="DI8" s="4117"/>
      <c r="DJ8" s="4117"/>
      <c r="DK8" s="4117"/>
      <c r="DL8" s="4117"/>
      <c r="DM8" s="4117"/>
      <c r="DN8" s="4117"/>
      <c r="DO8" s="4117"/>
      <c r="DP8" s="4117"/>
      <c r="DQ8" s="4117"/>
      <c r="DR8" s="4117"/>
      <c r="DS8" s="4117"/>
      <c r="DT8" s="4117"/>
      <c r="DU8" s="4117"/>
      <c r="DV8" s="4117"/>
      <c r="DW8" s="4117"/>
      <c r="DX8" s="4117"/>
      <c r="DY8" s="4117"/>
      <c r="DZ8" s="4117"/>
      <c r="EA8" s="4117"/>
      <c r="EB8" s="4117"/>
      <c r="EC8" s="4117"/>
      <c r="ED8" s="4117"/>
      <c r="EE8" s="4117"/>
      <c r="EF8" s="4117"/>
      <c r="EG8" s="4117"/>
      <c r="EH8" s="4117"/>
      <c r="EI8" s="4117"/>
      <c r="EJ8" s="4117"/>
      <c r="EK8" s="4117"/>
      <c r="EL8" s="4117"/>
      <c r="EM8" s="4117"/>
      <c r="EN8" s="4117"/>
      <c r="EO8" s="4117"/>
      <c r="EP8" s="4117"/>
      <c r="EQ8" s="4117"/>
      <c r="ER8" s="4117"/>
    </row>
    <row r="9" spans="1:148" s="4113" customFormat="1">
      <c r="A9" s="4341"/>
      <c r="B9" s="4119" t="s">
        <v>519</v>
      </c>
      <c r="C9" s="4119">
        <v>5</v>
      </c>
      <c r="D9" s="4119">
        <v>14.2</v>
      </c>
      <c r="E9" s="4120">
        <f t="shared" si="0"/>
        <v>4260</v>
      </c>
      <c r="F9" s="4120">
        <f t="shared" si="1"/>
        <v>2556</v>
      </c>
      <c r="G9" s="4120">
        <f t="shared" si="2"/>
        <v>1533.6</v>
      </c>
      <c r="H9" s="4121">
        <f>G30*G9*C9*0.001</f>
        <v>2.3003999999999998</v>
      </c>
      <c r="I9" s="4120">
        <f t="shared" si="3"/>
        <v>5680</v>
      </c>
      <c r="J9" s="4120">
        <f t="shared" si="4"/>
        <v>3408</v>
      </c>
      <c r="K9" s="4120">
        <f t="shared" si="5"/>
        <v>2044.8</v>
      </c>
      <c r="L9" s="4121">
        <f>G30*K9*C9*0.001</f>
        <v>3.0672000000000001</v>
      </c>
      <c r="M9" s="4120">
        <f t="shared" si="6"/>
        <v>5680</v>
      </c>
      <c r="N9" s="4120">
        <f t="shared" si="7"/>
        <v>4544</v>
      </c>
      <c r="O9" s="4120">
        <f t="shared" si="8"/>
        <v>2726.4</v>
      </c>
      <c r="P9" s="4121">
        <f>G30*O9*C9*0.001</f>
        <v>4.0895999999999999</v>
      </c>
      <c r="Q9" s="4120">
        <f t="shared" si="9"/>
        <v>7100</v>
      </c>
      <c r="R9" s="4120">
        <f t="shared" si="10"/>
        <v>4260</v>
      </c>
      <c r="S9" s="4120">
        <f t="shared" si="11"/>
        <v>2556</v>
      </c>
      <c r="T9" s="4140">
        <f>G30*S9*C9*0.001</f>
        <v>3.8340000000000001</v>
      </c>
      <c r="U9" s="4120">
        <f t="shared" si="12"/>
        <v>7100</v>
      </c>
      <c r="V9" s="4120">
        <f t="shared" si="13"/>
        <v>5680</v>
      </c>
      <c r="W9" s="4120">
        <f t="shared" si="14"/>
        <v>3408</v>
      </c>
      <c r="X9" s="4140">
        <f>G30*C9*W9*0.001</f>
        <v>5.1120000000000001</v>
      </c>
      <c r="Y9" s="4120">
        <f t="shared" si="15"/>
        <v>8520</v>
      </c>
      <c r="Z9" s="4120">
        <f t="shared" si="16"/>
        <v>6816</v>
      </c>
      <c r="AA9" s="4120">
        <f t="shared" si="17"/>
        <v>4089.6</v>
      </c>
      <c r="AB9" s="4140">
        <f>G30*C9*AA9*0.001</f>
        <v>6.1344000000000003</v>
      </c>
      <c r="AC9" s="4120">
        <f t="shared" si="18"/>
        <v>11360</v>
      </c>
      <c r="AD9" s="4120">
        <f t="shared" si="19"/>
        <v>9088</v>
      </c>
      <c r="AE9" s="4120">
        <f t="shared" si="20"/>
        <v>5452.8</v>
      </c>
      <c r="AF9" s="4140">
        <f>G30*C9*AE9*0.001</f>
        <v>8.1791999999999998</v>
      </c>
      <c r="AG9" s="4120">
        <f t="shared" si="21"/>
        <v>12780</v>
      </c>
      <c r="AH9" s="4120">
        <f t="shared" si="22"/>
        <v>10224</v>
      </c>
      <c r="AI9" s="4120">
        <f t="shared" si="23"/>
        <v>6134.4</v>
      </c>
      <c r="AJ9" s="4140">
        <f>G30*C9*AI9*0.001</f>
        <v>9.2015999999999991</v>
      </c>
      <c r="AK9" s="4120">
        <f t="shared" si="24"/>
        <v>14200</v>
      </c>
      <c r="AL9" s="4120">
        <f t="shared" si="25"/>
        <v>12780</v>
      </c>
      <c r="AM9" s="4120">
        <f t="shared" si="26"/>
        <v>7668</v>
      </c>
      <c r="AN9" s="4140">
        <f>G30*C9*AM9*0.001</f>
        <v>11.502000000000001</v>
      </c>
      <c r="AO9" s="4120">
        <f t="shared" si="27"/>
        <v>17040</v>
      </c>
      <c r="AP9" s="4120">
        <f t="shared" si="28"/>
        <v>15336</v>
      </c>
      <c r="AQ9" s="4120">
        <f t="shared" si="29"/>
        <v>9201.6</v>
      </c>
      <c r="AR9" s="4148">
        <f>G30*C9*AQ9*0.001</f>
        <v>13.8024</v>
      </c>
      <c r="AS9" s="4117"/>
      <c r="AT9" s="4117"/>
      <c r="AU9" s="4117"/>
      <c r="AV9" s="4117"/>
      <c r="AW9" s="4117"/>
      <c r="AX9" s="4117"/>
      <c r="AY9" s="4117"/>
      <c r="AZ9" s="4117"/>
      <c r="BA9" s="4117"/>
      <c r="BB9" s="4117"/>
      <c r="BC9" s="4117"/>
      <c r="BD9" s="4117"/>
      <c r="BE9" s="4117"/>
      <c r="BF9" s="4117"/>
      <c r="BG9" s="4117"/>
      <c r="BH9" s="4117"/>
      <c r="BI9" s="4117"/>
      <c r="BJ9" s="4117"/>
      <c r="BK9" s="4117"/>
      <c r="BL9" s="4117"/>
      <c r="BM9" s="4117"/>
      <c r="BN9" s="4117"/>
      <c r="BO9" s="4117"/>
      <c r="BP9" s="4117"/>
      <c r="BQ9" s="4117"/>
      <c r="BR9" s="4117"/>
      <c r="BS9" s="4117"/>
      <c r="BT9" s="4117"/>
      <c r="BU9" s="4117"/>
      <c r="BV9" s="4117"/>
      <c r="BW9" s="4117"/>
      <c r="BX9" s="4117"/>
      <c r="BY9" s="4117"/>
      <c r="BZ9" s="4117"/>
      <c r="CA9" s="4117"/>
      <c r="CB9" s="4117"/>
      <c r="CC9" s="4117"/>
      <c r="CD9" s="4117"/>
      <c r="CE9" s="4117"/>
      <c r="CF9" s="4117"/>
      <c r="CG9" s="4117"/>
      <c r="CH9" s="4117"/>
      <c r="CI9" s="4117"/>
      <c r="CJ9" s="4117"/>
      <c r="CK9" s="4117"/>
      <c r="CL9" s="4117"/>
      <c r="CM9" s="4117"/>
      <c r="CN9" s="4117"/>
      <c r="CO9" s="4117"/>
      <c r="CP9" s="4117"/>
      <c r="CQ9" s="4117"/>
      <c r="CR9" s="4117"/>
      <c r="CS9" s="4117"/>
      <c r="CT9" s="4117"/>
      <c r="CU9" s="4117"/>
      <c r="CV9" s="4117"/>
      <c r="CW9" s="4117"/>
      <c r="CX9" s="4117"/>
      <c r="CY9" s="4117"/>
      <c r="CZ9" s="4117"/>
      <c r="DA9" s="4117"/>
      <c r="DB9" s="4117"/>
      <c r="DC9" s="4117"/>
      <c r="DD9" s="4117"/>
      <c r="DE9" s="4117"/>
      <c r="DF9" s="4117"/>
      <c r="DG9" s="4117"/>
      <c r="DH9" s="4117"/>
      <c r="DI9" s="4117"/>
      <c r="DJ9" s="4117"/>
      <c r="DK9" s="4117"/>
      <c r="DL9" s="4117"/>
      <c r="DM9" s="4117"/>
      <c r="DN9" s="4117"/>
      <c r="DO9" s="4117"/>
      <c r="DP9" s="4117"/>
      <c r="DQ9" s="4117"/>
      <c r="DR9" s="4117"/>
      <c r="DS9" s="4117"/>
      <c r="DT9" s="4117"/>
      <c r="DU9" s="4117"/>
      <c r="DV9" s="4117"/>
      <c r="DW9" s="4117"/>
      <c r="DX9" s="4117"/>
      <c r="DY9" s="4117"/>
      <c r="DZ9" s="4117"/>
      <c r="EA9" s="4117"/>
      <c r="EB9" s="4117"/>
      <c r="EC9" s="4117"/>
      <c r="ED9" s="4117"/>
      <c r="EE9" s="4117"/>
      <c r="EF9" s="4117"/>
      <c r="EG9" s="4117"/>
      <c r="EH9" s="4117"/>
      <c r="EI9" s="4117"/>
      <c r="EJ9" s="4117"/>
      <c r="EK9" s="4117"/>
      <c r="EL9" s="4117"/>
      <c r="EM9" s="4117"/>
      <c r="EN9" s="4117"/>
      <c r="EO9" s="4117"/>
      <c r="EP9" s="4117"/>
      <c r="EQ9" s="4117"/>
      <c r="ER9" s="4117"/>
    </row>
    <row r="10" spans="1:148" s="4114" customFormat="1">
      <c r="A10" s="4341"/>
      <c r="B10" s="4122" t="s">
        <v>520</v>
      </c>
      <c r="C10" s="4122">
        <v>6</v>
      </c>
      <c r="D10" s="4122">
        <v>20.100000000000001</v>
      </c>
      <c r="E10" s="4123">
        <f t="shared" si="0"/>
        <v>6030</v>
      </c>
      <c r="F10" s="4123">
        <f t="shared" si="1"/>
        <v>3618</v>
      </c>
      <c r="G10" s="4123">
        <f t="shared" si="2"/>
        <v>2170.8000000000002</v>
      </c>
      <c r="H10" s="4124">
        <f>G30*G10*C10*0.001</f>
        <v>3.9074399999999998</v>
      </c>
      <c r="I10" s="4123">
        <f t="shared" si="3"/>
        <v>8040</v>
      </c>
      <c r="J10" s="4123">
        <f t="shared" si="4"/>
        <v>4824</v>
      </c>
      <c r="K10" s="4123">
        <f t="shared" si="5"/>
        <v>2894.4</v>
      </c>
      <c r="L10" s="4124">
        <f>G30*K10*C10*0.001</f>
        <v>5.2099200000000003</v>
      </c>
      <c r="M10" s="4123">
        <f t="shared" si="6"/>
        <v>8040</v>
      </c>
      <c r="N10" s="4123">
        <f t="shared" si="7"/>
        <v>6432</v>
      </c>
      <c r="O10" s="4123">
        <f t="shared" si="8"/>
        <v>3859.2</v>
      </c>
      <c r="P10" s="4124">
        <f>G30*O10*C10*0.001</f>
        <v>6.9465599999999998</v>
      </c>
      <c r="Q10" s="4123">
        <f t="shared" si="9"/>
        <v>10050</v>
      </c>
      <c r="R10" s="4123">
        <f t="shared" si="10"/>
        <v>6030</v>
      </c>
      <c r="S10" s="4123">
        <f t="shared" si="11"/>
        <v>3618</v>
      </c>
      <c r="T10" s="4141">
        <f>G30*S10*C10*0.001</f>
        <v>6.5124000000000004</v>
      </c>
      <c r="U10" s="4123">
        <f t="shared" si="12"/>
        <v>10050</v>
      </c>
      <c r="V10" s="4123">
        <f t="shared" si="13"/>
        <v>8040</v>
      </c>
      <c r="W10" s="4123">
        <f t="shared" si="14"/>
        <v>4824</v>
      </c>
      <c r="X10" s="4141">
        <f>G30*C10*W10*0.001</f>
        <v>8.6831999999999994</v>
      </c>
      <c r="Y10" s="4123">
        <f t="shared" si="15"/>
        <v>12060</v>
      </c>
      <c r="Z10" s="4123">
        <f t="shared" si="16"/>
        <v>9648</v>
      </c>
      <c r="AA10" s="4123">
        <f t="shared" si="17"/>
        <v>5788.8</v>
      </c>
      <c r="AB10" s="4141">
        <f>G30*C10*AA10*0.001</f>
        <v>10.419840000000001</v>
      </c>
      <c r="AC10" s="4123">
        <f t="shared" si="18"/>
        <v>16080</v>
      </c>
      <c r="AD10" s="4123">
        <f t="shared" si="19"/>
        <v>12864</v>
      </c>
      <c r="AE10" s="4123">
        <f t="shared" si="20"/>
        <v>7718.4</v>
      </c>
      <c r="AF10" s="4141">
        <f>G30*C10*AE10*0.001</f>
        <v>13.89312</v>
      </c>
      <c r="AG10" s="4123">
        <f t="shared" si="21"/>
        <v>18090</v>
      </c>
      <c r="AH10" s="4123">
        <f t="shared" si="22"/>
        <v>14472</v>
      </c>
      <c r="AI10" s="4123">
        <f t="shared" si="23"/>
        <v>8683.2000000000007</v>
      </c>
      <c r="AJ10" s="4141">
        <f>G30*C10*AI10*0.001</f>
        <v>15.629759999999999</v>
      </c>
      <c r="AK10" s="4123">
        <f t="shared" si="24"/>
        <v>20100</v>
      </c>
      <c r="AL10" s="4123">
        <f t="shared" si="25"/>
        <v>18090</v>
      </c>
      <c r="AM10" s="4123">
        <f t="shared" si="26"/>
        <v>10854</v>
      </c>
      <c r="AN10" s="4141">
        <f>G30*C10*AM10*0.001</f>
        <v>19.537199999999999</v>
      </c>
      <c r="AO10" s="4123">
        <f t="shared" si="27"/>
        <v>24120</v>
      </c>
      <c r="AP10" s="4123">
        <f t="shared" si="28"/>
        <v>21708</v>
      </c>
      <c r="AQ10" s="4123">
        <f t="shared" si="29"/>
        <v>13024.8</v>
      </c>
      <c r="AR10" s="4149">
        <f>G30*C10*AQ10*0.001</f>
        <v>23.44464</v>
      </c>
      <c r="AS10" s="4117"/>
      <c r="AT10" s="4117"/>
      <c r="AU10" s="4117"/>
      <c r="AV10" s="4117"/>
      <c r="AW10" s="4117"/>
      <c r="AX10" s="4117"/>
      <c r="AY10" s="4117"/>
      <c r="AZ10" s="4117"/>
      <c r="BA10" s="4117"/>
      <c r="BB10" s="4117"/>
      <c r="BC10" s="4117"/>
      <c r="BD10" s="4117"/>
      <c r="BE10" s="4117"/>
      <c r="BF10" s="4117"/>
      <c r="BG10" s="4117"/>
      <c r="BH10" s="4117"/>
      <c r="BI10" s="4117"/>
      <c r="BJ10" s="4117"/>
      <c r="BK10" s="4117"/>
      <c r="BL10" s="4117"/>
      <c r="BM10" s="4117"/>
      <c r="BN10" s="4117"/>
      <c r="BO10" s="4117"/>
      <c r="BP10" s="4117"/>
      <c r="BQ10" s="4117"/>
      <c r="BR10" s="4117"/>
      <c r="BS10" s="4117"/>
      <c r="BT10" s="4117"/>
      <c r="BU10" s="4117"/>
      <c r="BV10" s="4117"/>
      <c r="BW10" s="4117"/>
      <c r="BX10" s="4117"/>
      <c r="BY10" s="4117"/>
      <c r="BZ10" s="4117"/>
      <c r="CA10" s="4117"/>
      <c r="CB10" s="4117"/>
      <c r="CC10" s="4117"/>
      <c r="CD10" s="4117"/>
      <c r="CE10" s="4117"/>
      <c r="CF10" s="4117"/>
      <c r="CG10" s="4117"/>
      <c r="CH10" s="4117"/>
      <c r="CI10" s="4117"/>
      <c r="CJ10" s="4117"/>
      <c r="CK10" s="4117"/>
      <c r="CL10" s="4117"/>
      <c r="CM10" s="4117"/>
      <c r="CN10" s="4117"/>
      <c r="CO10" s="4117"/>
      <c r="CP10" s="4117"/>
      <c r="CQ10" s="4117"/>
      <c r="CR10" s="4117"/>
      <c r="CS10" s="4117"/>
      <c r="CT10" s="4117"/>
      <c r="CU10" s="4117"/>
      <c r="CV10" s="4117"/>
      <c r="CW10" s="4117"/>
      <c r="CX10" s="4117"/>
      <c r="CY10" s="4117"/>
      <c r="CZ10" s="4117"/>
      <c r="DA10" s="4117"/>
      <c r="DB10" s="4117"/>
      <c r="DC10" s="4117"/>
      <c r="DD10" s="4117"/>
      <c r="DE10" s="4117"/>
      <c r="DF10" s="4117"/>
      <c r="DG10" s="4117"/>
      <c r="DH10" s="4117"/>
      <c r="DI10" s="4117"/>
      <c r="DJ10" s="4117"/>
      <c r="DK10" s="4117"/>
      <c r="DL10" s="4117"/>
      <c r="DM10" s="4117"/>
      <c r="DN10" s="4117"/>
      <c r="DO10" s="4117"/>
      <c r="DP10" s="4117"/>
      <c r="DQ10" s="4117"/>
      <c r="DR10" s="4117"/>
      <c r="DS10" s="4117"/>
      <c r="DT10" s="4117"/>
      <c r="DU10" s="4117"/>
      <c r="DV10" s="4117"/>
      <c r="DW10" s="4117"/>
      <c r="DX10" s="4117"/>
      <c r="DY10" s="4117"/>
      <c r="DZ10" s="4117"/>
      <c r="EA10" s="4117"/>
      <c r="EB10" s="4117"/>
      <c r="EC10" s="4117"/>
      <c r="ED10" s="4117"/>
      <c r="EE10" s="4117"/>
      <c r="EF10" s="4117"/>
      <c r="EG10" s="4117"/>
      <c r="EH10" s="4117"/>
      <c r="EI10" s="4117"/>
      <c r="EJ10" s="4117"/>
      <c r="EK10" s="4117"/>
      <c r="EL10" s="4117"/>
      <c r="EM10" s="4117"/>
      <c r="EN10" s="4117"/>
      <c r="EO10" s="4117"/>
      <c r="EP10" s="4117"/>
      <c r="EQ10" s="4117"/>
      <c r="ER10" s="4117"/>
    </row>
    <row r="11" spans="1:148" s="4115" customFormat="1">
      <c r="A11" s="4341"/>
      <c r="B11" s="4125" t="s">
        <v>521</v>
      </c>
      <c r="C11" s="4125">
        <v>8</v>
      </c>
      <c r="D11" s="4125">
        <v>36.6</v>
      </c>
      <c r="E11" s="4126">
        <f t="shared" si="0"/>
        <v>10980</v>
      </c>
      <c r="F11" s="4126">
        <f t="shared" si="1"/>
        <v>6588</v>
      </c>
      <c r="G11" s="4126">
        <f t="shared" si="2"/>
        <v>3952.8</v>
      </c>
      <c r="H11" s="4127">
        <f>G30*G11*C11*0.001</f>
        <v>9.48672</v>
      </c>
      <c r="I11" s="4126">
        <f t="shared" si="3"/>
        <v>14640</v>
      </c>
      <c r="J11" s="4126">
        <f t="shared" si="4"/>
        <v>8784</v>
      </c>
      <c r="K11" s="4126">
        <f t="shared" si="5"/>
        <v>5270.4</v>
      </c>
      <c r="L11" s="4127">
        <f>G30*K11*C11*0.001</f>
        <v>12.648960000000001</v>
      </c>
      <c r="M11" s="4126">
        <f t="shared" si="6"/>
        <v>14640</v>
      </c>
      <c r="N11" s="4126">
        <f t="shared" si="7"/>
        <v>11712</v>
      </c>
      <c r="O11" s="4126">
        <f t="shared" si="8"/>
        <v>7027.2</v>
      </c>
      <c r="P11" s="4127">
        <f>G30*O11*C11*0.001</f>
        <v>16.865279999999998</v>
      </c>
      <c r="Q11" s="4126">
        <f t="shared" si="9"/>
        <v>18300</v>
      </c>
      <c r="R11" s="4126">
        <f t="shared" si="10"/>
        <v>10980</v>
      </c>
      <c r="S11" s="4126">
        <f t="shared" si="11"/>
        <v>6588</v>
      </c>
      <c r="T11" s="4142">
        <f>G30*S11*C11*0.001</f>
        <v>15.811199999999999</v>
      </c>
      <c r="U11" s="4126">
        <f t="shared" si="12"/>
        <v>18300</v>
      </c>
      <c r="V11" s="4126">
        <f t="shared" si="13"/>
        <v>14640</v>
      </c>
      <c r="W11" s="4126">
        <f t="shared" si="14"/>
        <v>8784</v>
      </c>
      <c r="X11" s="4142">
        <f>G30*C11*W11*0.001</f>
        <v>21.081600000000002</v>
      </c>
      <c r="Y11" s="4126">
        <f t="shared" si="15"/>
        <v>21960</v>
      </c>
      <c r="Z11" s="4126">
        <f t="shared" si="16"/>
        <v>17568</v>
      </c>
      <c r="AA11" s="4126">
        <f t="shared" si="17"/>
        <v>10540.8</v>
      </c>
      <c r="AB11" s="4142">
        <f>G30*C11*AA11*0.001</f>
        <v>25.297920000000001</v>
      </c>
      <c r="AC11" s="4126">
        <f t="shared" si="18"/>
        <v>29280</v>
      </c>
      <c r="AD11" s="4126">
        <f t="shared" si="19"/>
        <v>23424</v>
      </c>
      <c r="AE11" s="4126">
        <f t="shared" si="20"/>
        <v>14054.4</v>
      </c>
      <c r="AF11" s="4142">
        <f>G30*C11*AE11*0.001</f>
        <v>33.730559999999997</v>
      </c>
      <c r="AG11" s="4126">
        <f t="shared" si="21"/>
        <v>32940</v>
      </c>
      <c r="AH11" s="4126">
        <f t="shared" si="22"/>
        <v>26352</v>
      </c>
      <c r="AI11" s="4126">
        <f t="shared" si="23"/>
        <v>15811.2</v>
      </c>
      <c r="AJ11" s="4142">
        <f>G30*C11*AI11*0.001</f>
        <v>37.94688</v>
      </c>
      <c r="AK11" s="4126">
        <f t="shared" si="24"/>
        <v>36600</v>
      </c>
      <c r="AL11" s="4126">
        <f t="shared" si="25"/>
        <v>32940</v>
      </c>
      <c r="AM11" s="4126">
        <f t="shared" si="26"/>
        <v>19764</v>
      </c>
      <c r="AN11" s="4142">
        <f>G30*C11*AM11*0.001</f>
        <v>47.433599999999998</v>
      </c>
      <c r="AO11" s="4126">
        <f t="shared" si="27"/>
        <v>43920</v>
      </c>
      <c r="AP11" s="4126">
        <f t="shared" si="28"/>
        <v>39528</v>
      </c>
      <c r="AQ11" s="4126">
        <f t="shared" si="29"/>
        <v>23716.799999999999</v>
      </c>
      <c r="AR11" s="4150">
        <f>G30*C11*AQ11*0.001</f>
        <v>56.920319999999997</v>
      </c>
      <c r="AS11" s="4117"/>
      <c r="AT11" s="4117"/>
      <c r="AU11" s="4117"/>
      <c r="AV11" s="4117"/>
      <c r="AW11" s="4117"/>
      <c r="AX11" s="4117"/>
      <c r="AY11" s="4117"/>
      <c r="AZ11" s="4117"/>
      <c r="BA11" s="4117"/>
      <c r="BB11" s="4117"/>
      <c r="BC11" s="4117"/>
      <c r="BD11" s="4117"/>
      <c r="BE11" s="4117"/>
      <c r="BF11" s="4117"/>
      <c r="BG11" s="4117"/>
      <c r="BH11" s="4117"/>
      <c r="BI11" s="4117"/>
      <c r="BJ11" s="4117"/>
      <c r="BK11" s="4117"/>
      <c r="BL11" s="4117"/>
      <c r="BM11" s="4117"/>
      <c r="BN11" s="4117"/>
      <c r="BO11" s="4117"/>
      <c r="BP11" s="4117"/>
      <c r="BQ11" s="4117"/>
      <c r="BR11" s="4117"/>
      <c r="BS11" s="4117"/>
      <c r="BT11" s="4117"/>
      <c r="BU11" s="4117"/>
      <c r="BV11" s="4117"/>
      <c r="BW11" s="4117"/>
      <c r="BX11" s="4117"/>
      <c r="BY11" s="4117"/>
      <c r="BZ11" s="4117"/>
      <c r="CA11" s="4117"/>
      <c r="CB11" s="4117"/>
      <c r="CC11" s="4117"/>
      <c r="CD11" s="4117"/>
      <c r="CE11" s="4117"/>
      <c r="CF11" s="4117"/>
      <c r="CG11" s="4117"/>
      <c r="CH11" s="4117"/>
      <c r="CI11" s="4117"/>
      <c r="CJ11" s="4117"/>
      <c r="CK11" s="4117"/>
      <c r="CL11" s="4117"/>
      <c r="CM11" s="4117"/>
      <c r="CN11" s="4117"/>
      <c r="CO11" s="4117"/>
      <c r="CP11" s="4117"/>
      <c r="CQ11" s="4117"/>
      <c r="CR11" s="4117"/>
      <c r="CS11" s="4117"/>
      <c r="CT11" s="4117"/>
      <c r="CU11" s="4117"/>
      <c r="CV11" s="4117"/>
      <c r="CW11" s="4117"/>
      <c r="CX11" s="4117"/>
      <c r="CY11" s="4117"/>
      <c r="CZ11" s="4117"/>
      <c r="DA11" s="4117"/>
      <c r="DB11" s="4117"/>
      <c r="DC11" s="4117"/>
      <c r="DD11" s="4117"/>
      <c r="DE11" s="4117"/>
      <c r="DF11" s="4117"/>
      <c r="DG11" s="4117"/>
      <c r="DH11" s="4117"/>
      <c r="DI11" s="4117"/>
      <c r="DJ11" s="4117"/>
      <c r="DK11" s="4117"/>
      <c r="DL11" s="4117"/>
      <c r="DM11" s="4117"/>
      <c r="DN11" s="4117"/>
      <c r="DO11" s="4117"/>
      <c r="DP11" s="4117"/>
      <c r="DQ11" s="4117"/>
      <c r="DR11" s="4117"/>
      <c r="DS11" s="4117"/>
      <c r="DT11" s="4117"/>
      <c r="DU11" s="4117"/>
      <c r="DV11" s="4117"/>
      <c r="DW11" s="4117"/>
      <c r="DX11" s="4117"/>
      <c r="DY11" s="4117"/>
      <c r="DZ11" s="4117"/>
      <c r="EA11" s="4117"/>
      <c r="EB11" s="4117"/>
      <c r="EC11" s="4117"/>
      <c r="ED11" s="4117"/>
      <c r="EE11" s="4117"/>
      <c r="EF11" s="4117"/>
      <c r="EG11" s="4117"/>
      <c r="EH11" s="4117"/>
      <c r="EI11" s="4117"/>
      <c r="EJ11" s="4117"/>
      <c r="EK11" s="4117"/>
      <c r="EL11" s="4117"/>
      <c r="EM11" s="4117"/>
      <c r="EN11" s="4117"/>
      <c r="EO11" s="4117"/>
      <c r="EP11" s="4117"/>
      <c r="EQ11" s="4117"/>
      <c r="ER11" s="4117"/>
    </row>
    <row r="12" spans="1:148" s="4116" customFormat="1">
      <c r="A12" s="4341"/>
      <c r="B12" s="4128" t="s">
        <v>522</v>
      </c>
      <c r="C12" s="4128">
        <v>10</v>
      </c>
      <c r="D12" s="4128">
        <v>58</v>
      </c>
      <c r="E12" s="4129">
        <f t="shared" si="0"/>
        <v>17400</v>
      </c>
      <c r="F12" s="4129">
        <f t="shared" si="1"/>
        <v>10440</v>
      </c>
      <c r="G12" s="4129">
        <f t="shared" si="2"/>
        <v>6264</v>
      </c>
      <c r="H12" s="4130">
        <f>G30*G12*C12*0.001</f>
        <v>18.792000000000002</v>
      </c>
      <c r="I12" s="4129">
        <f t="shared" si="3"/>
        <v>23200</v>
      </c>
      <c r="J12" s="4129">
        <f t="shared" si="4"/>
        <v>13920</v>
      </c>
      <c r="K12" s="4129">
        <f t="shared" si="5"/>
        <v>8352</v>
      </c>
      <c r="L12" s="4130">
        <f>G30*K12*C12*0.001</f>
        <v>25.056000000000001</v>
      </c>
      <c r="M12" s="4129">
        <f t="shared" si="6"/>
        <v>23200</v>
      </c>
      <c r="N12" s="4129">
        <f t="shared" si="7"/>
        <v>18560</v>
      </c>
      <c r="O12" s="4129">
        <f t="shared" si="8"/>
        <v>11136</v>
      </c>
      <c r="P12" s="4130">
        <f>G30*O12*C12*0.001</f>
        <v>33.408000000000001</v>
      </c>
      <c r="Q12" s="4129">
        <f t="shared" si="9"/>
        <v>29000</v>
      </c>
      <c r="R12" s="4129">
        <f t="shared" si="10"/>
        <v>17400</v>
      </c>
      <c r="S12" s="4129">
        <f t="shared" si="11"/>
        <v>10440</v>
      </c>
      <c r="T12" s="4143">
        <f>G30*S12*C12*0.001</f>
        <v>31.32</v>
      </c>
      <c r="U12" s="4129">
        <f t="shared" si="12"/>
        <v>29000</v>
      </c>
      <c r="V12" s="4129">
        <f t="shared" si="13"/>
        <v>23200</v>
      </c>
      <c r="W12" s="4129">
        <f t="shared" si="14"/>
        <v>13920</v>
      </c>
      <c r="X12" s="4143">
        <f>G30*C12*W12*0.001</f>
        <v>41.76</v>
      </c>
      <c r="Y12" s="4129">
        <f t="shared" si="15"/>
        <v>34800</v>
      </c>
      <c r="Z12" s="4129">
        <f t="shared" si="16"/>
        <v>27840</v>
      </c>
      <c r="AA12" s="4129">
        <f t="shared" si="17"/>
        <v>16704</v>
      </c>
      <c r="AB12" s="4143">
        <f>G30*C12*AA12*0.001</f>
        <v>50.112000000000002</v>
      </c>
      <c r="AC12" s="4129">
        <f t="shared" si="18"/>
        <v>46400</v>
      </c>
      <c r="AD12" s="4129">
        <f t="shared" si="19"/>
        <v>37120</v>
      </c>
      <c r="AE12" s="4129">
        <f t="shared" si="20"/>
        <v>22272</v>
      </c>
      <c r="AF12" s="4143">
        <f>G30*C12*AE12*0.001</f>
        <v>66.816000000000003</v>
      </c>
      <c r="AG12" s="4129">
        <f t="shared" si="21"/>
        <v>52200</v>
      </c>
      <c r="AH12" s="4129">
        <f t="shared" si="22"/>
        <v>41760</v>
      </c>
      <c r="AI12" s="4129">
        <f t="shared" si="23"/>
        <v>25056</v>
      </c>
      <c r="AJ12" s="4143">
        <f>G30*C12*AI12*0.001</f>
        <v>75.168000000000006</v>
      </c>
      <c r="AK12" s="4129">
        <f t="shared" si="24"/>
        <v>58000</v>
      </c>
      <c r="AL12" s="4129">
        <f t="shared" si="25"/>
        <v>52200</v>
      </c>
      <c r="AM12" s="4129">
        <f t="shared" si="26"/>
        <v>31320</v>
      </c>
      <c r="AN12" s="4143">
        <f>G30*C12*AM12*0.001</f>
        <v>93.96</v>
      </c>
      <c r="AO12" s="4129">
        <f t="shared" si="27"/>
        <v>69600</v>
      </c>
      <c r="AP12" s="4129">
        <f t="shared" si="28"/>
        <v>62640</v>
      </c>
      <c r="AQ12" s="4129">
        <f t="shared" si="29"/>
        <v>37584</v>
      </c>
      <c r="AR12" s="4151">
        <f>G30*C12*AQ12*0.001</f>
        <v>112.752</v>
      </c>
      <c r="AS12" s="4117"/>
      <c r="AT12" s="4117"/>
      <c r="AU12" s="4117"/>
      <c r="AV12" s="4117"/>
      <c r="AW12" s="4117"/>
      <c r="AX12" s="4117"/>
      <c r="AY12" s="4117"/>
      <c r="AZ12" s="4117"/>
      <c r="BA12" s="4117"/>
      <c r="BB12" s="4117"/>
      <c r="BC12" s="4117"/>
      <c r="BD12" s="4117"/>
      <c r="BE12" s="4117"/>
      <c r="BF12" s="4117"/>
      <c r="BG12" s="4117"/>
      <c r="BH12" s="4117"/>
      <c r="BI12" s="4117"/>
      <c r="BJ12" s="4117"/>
      <c r="BK12" s="4117"/>
      <c r="BL12" s="4117"/>
      <c r="BM12" s="4117"/>
      <c r="BN12" s="4117"/>
      <c r="BO12" s="4117"/>
      <c r="BP12" s="4117"/>
      <c r="BQ12" s="4117"/>
      <c r="BR12" s="4117"/>
      <c r="BS12" s="4117"/>
      <c r="BT12" s="4117"/>
      <c r="BU12" s="4117"/>
      <c r="BV12" s="4117"/>
      <c r="BW12" s="4117"/>
      <c r="BX12" s="4117"/>
      <c r="BY12" s="4117"/>
      <c r="BZ12" s="4117"/>
      <c r="CA12" s="4117"/>
      <c r="CB12" s="4117"/>
      <c r="CC12" s="4117"/>
      <c r="CD12" s="4117"/>
      <c r="CE12" s="4117"/>
      <c r="CF12" s="4117"/>
      <c r="CG12" s="4117"/>
      <c r="CH12" s="4117"/>
      <c r="CI12" s="4117"/>
      <c r="CJ12" s="4117"/>
      <c r="CK12" s="4117"/>
      <c r="CL12" s="4117"/>
      <c r="CM12" s="4117"/>
      <c r="CN12" s="4117"/>
      <c r="CO12" s="4117"/>
      <c r="CP12" s="4117"/>
      <c r="CQ12" s="4117"/>
      <c r="CR12" s="4117"/>
      <c r="CS12" s="4117"/>
      <c r="CT12" s="4117"/>
      <c r="CU12" s="4117"/>
      <c r="CV12" s="4117"/>
      <c r="CW12" s="4117"/>
      <c r="CX12" s="4117"/>
      <c r="CY12" s="4117"/>
      <c r="CZ12" s="4117"/>
      <c r="DA12" s="4117"/>
      <c r="DB12" s="4117"/>
      <c r="DC12" s="4117"/>
      <c r="DD12" s="4117"/>
      <c r="DE12" s="4117"/>
      <c r="DF12" s="4117"/>
      <c r="DG12" s="4117"/>
      <c r="DH12" s="4117"/>
      <c r="DI12" s="4117"/>
      <c r="DJ12" s="4117"/>
      <c r="DK12" s="4117"/>
      <c r="DL12" s="4117"/>
      <c r="DM12" s="4117"/>
      <c r="DN12" s="4117"/>
      <c r="DO12" s="4117"/>
      <c r="DP12" s="4117"/>
      <c r="DQ12" s="4117"/>
      <c r="DR12" s="4117"/>
      <c r="DS12" s="4117"/>
      <c r="DT12" s="4117"/>
      <c r="DU12" s="4117"/>
      <c r="DV12" s="4117"/>
      <c r="DW12" s="4117"/>
      <c r="DX12" s="4117"/>
      <c r="DY12" s="4117"/>
      <c r="DZ12" s="4117"/>
      <c r="EA12" s="4117"/>
      <c r="EB12" s="4117"/>
      <c r="EC12" s="4117"/>
      <c r="ED12" s="4117"/>
      <c r="EE12" s="4117"/>
      <c r="EF12" s="4117"/>
      <c r="EG12" s="4117"/>
      <c r="EH12" s="4117"/>
      <c r="EI12" s="4117"/>
      <c r="EJ12" s="4117"/>
      <c r="EK12" s="4117"/>
      <c r="EL12" s="4117"/>
      <c r="EM12" s="4117"/>
      <c r="EN12" s="4117"/>
      <c r="EO12" s="4117"/>
      <c r="EP12" s="4117"/>
      <c r="EQ12" s="4117"/>
      <c r="ER12" s="4117"/>
    </row>
    <row r="13" spans="1:148" s="4113" customFormat="1">
      <c r="A13" s="4341"/>
      <c r="B13" s="4119" t="s">
        <v>523</v>
      </c>
      <c r="C13" s="4119">
        <v>12</v>
      </c>
      <c r="D13" s="4119">
        <v>84.3</v>
      </c>
      <c r="E13" s="4120">
        <f t="shared" si="0"/>
        <v>25290</v>
      </c>
      <c r="F13" s="4120">
        <f t="shared" si="1"/>
        <v>15174</v>
      </c>
      <c r="G13" s="4120">
        <f t="shared" si="2"/>
        <v>9104.4</v>
      </c>
      <c r="H13" s="4121">
        <f>G30*G13*C13*0.001</f>
        <v>32.775840000000002</v>
      </c>
      <c r="I13" s="4120">
        <f t="shared" si="3"/>
        <v>33720</v>
      </c>
      <c r="J13" s="4120">
        <f t="shared" si="4"/>
        <v>20232</v>
      </c>
      <c r="K13" s="4120">
        <f t="shared" si="5"/>
        <v>12139.2</v>
      </c>
      <c r="L13" s="4121">
        <f>G30*K13*C13*0.001</f>
        <v>43.701120000000003</v>
      </c>
      <c r="M13" s="4120">
        <f t="shared" si="6"/>
        <v>33720</v>
      </c>
      <c r="N13" s="4120">
        <f t="shared" si="7"/>
        <v>26976</v>
      </c>
      <c r="O13" s="4120">
        <f t="shared" si="8"/>
        <v>16185.6</v>
      </c>
      <c r="P13" s="4121">
        <f>G30*O13*C13*0.001</f>
        <v>58.268160000000002</v>
      </c>
      <c r="Q13" s="4120">
        <f t="shared" si="9"/>
        <v>42150</v>
      </c>
      <c r="R13" s="4120">
        <f t="shared" si="10"/>
        <v>25290</v>
      </c>
      <c r="S13" s="4120">
        <f t="shared" si="11"/>
        <v>15174</v>
      </c>
      <c r="T13" s="4140">
        <f>G30*S13*C13*0.001</f>
        <v>54.626399999999997</v>
      </c>
      <c r="U13" s="4120">
        <f t="shared" si="12"/>
        <v>42150</v>
      </c>
      <c r="V13" s="4120">
        <f t="shared" si="13"/>
        <v>33720</v>
      </c>
      <c r="W13" s="4120">
        <f t="shared" si="14"/>
        <v>20232</v>
      </c>
      <c r="X13" s="4140">
        <f>G30*C13*W13*0.001</f>
        <v>72.8352</v>
      </c>
      <c r="Y13" s="4120">
        <f t="shared" si="15"/>
        <v>50580</v>
      </c>
      <c r="Z13" s="4120">
        <f t="shared" si="16"/>
        <v>40464</v>
      </c>
      <c r="AA13" s="4120">
        <f t="shared" si="17"/>
        <v>24278.400000000001</v>
      </c>
      <c r="AB13" s="4140">
        <f>G30*C13*AA13*0.001</f>
        <v>87.402240000000006</v>
      </c>
      <c r="AC13" s="4120">
        <f t="shared" si="18"/>
        <v>67440</v>
      </c>
      <c r="AD13" s="4120">
        <f t="shared" si="19"/>
        <v>53952</v>
      </c>
      <c r="AE13" s="4120">
        <f t="shared" si="20"/>
        <v>32371.200000000001</v>
      </c>
      <c r="AF13" s="4140">
        <f>G30*C13*AE13*0.001</f>
        <v>116.53632</v>
      </c>
      <c r="AG13" s="4120">
        <f t="shared" si="21"/>
        <v>75870</v>
      </c>
      <c r="AH13" s="4120">
        <f t="shared" si="22"/>
        <v>60696</v>
      </c>
      <c r="AI13" s="4120">
        <f t="shared" si="23"/>
        <v>36417.599999999999</v>
      </c>
      <c r="AJ13" s="4140">
        <f>G30*C13*AI13*0.001</f>
        <v>131.10336000000001</v>
      </c>
      <c r="AK13" s="4120">
        <f t="shared" si="24"/>
        <v>84300</v>
      </c>
      <c r="AL13" s="4120">
        <f t="shared" si="25"/>
        <v>75870</v>
      </c>
      <c r="AM13" s="4120">
        <f t="shared" si="26"/>
        <v>45522</v>
      </c>
      <c r="AN13" s="4140">
        <f>G30*C13*AM13*0.001</f>
        <v>163.8792</v>
      </c>
      <c r="AO13" s="4120">
        <f t="shared" si="27"/>
        <v>101160</v>
      </c>
      <c r="AP13" s="4120">
        <f t="shared" si="28"/>
        <v>91044</v>
      </c>
      <c r="AQ13" s="4120">
        <f t="shared" si="29"/>
        <v>54626.400000000001</v>
      </c>
      <c r="AR13" s="4148">
        <f>G30*C13*AQ13*0.001</f>
        <v>196.65504000000001</v>
      </c>
      <c r="AS13" s="4117"/>
      <c r="AT13" s="4117"/>
      <c r="AU13" s="4117"/>
      <c r="AV13" s="4117"/>
      <c r="AW13" s="4117"/>
      <c r="AX13" s="4117"/>
      <c r="AY13" s="4117"/>
      <c r="AZ13" s="4117"/>
      <c r="BA13" s="4117"/>
      <c r="BB13" s="4117"/>
      <c r="BC13" s="4117"/>
      <c r="BD13" s="4117"/>
      <c r="BE13" s="4117"/>
      <c r="BF13" s="4117"/>
      <c r="BG13" s="4117"/>
      <c r="BH13" s="4117"/>
      <c r="BI13" s="4117"/>
      <c r="BJ13" s="4117"/>
      <c r="BK13" s="4117"/>
      <c r="BL13" s="4117"/>
      <c r="BM13" s="4117"/>
      <c r="BN13" s="4117"/>
      <c r="BO13" s="4117"/>
      <c r="BP13" s="4117"/>
      <c r="BQ13" s="4117"/>
      <c r="BR13" s="4117"/>
      <c r="BS13" s="4117"/>
      <c r="BT13" s="4117"/>
      <c r="BU13" s="4117"/>
      <c r="BV13" s="4117"/>
      <c r="BW13" s="4117"/>
      <c r="BX13" s="4117"/>
      <c r="BY13" s="4117"/>
      <c r="BZ13" s="4117"/>
      <c r="CA13" s="4117"/>
      <c r="CB13" s="4117"/>
      <c r="CC13" s="4117"/>
      <c r="CD13" s="4117"/>
      <c r="CE13" s="4117"/>
      <c r="CF13" s="4117"/>
      <c r="CG13" s="4117"/>
      <c r="CH13" s="4117"/>
      <c r="CI13" s="4117"/>
      <c r="CJ13" s="4117"/>
      <c r="CK13" s="4117"/>
      <c r="CL13" s="4117"/>
      <c r="CM13" s="4117"/>
      <c r="CN13" s="4117"/>
      <c r="CO13" s="4117"/>
      <c r="CP13" s="4117"/>
      <c r="CQ13" s="4117"/>
      <c r="CR13" s="4117"/>
      <c r="CS13" s="4117"/>
      <c r="CT13" s="4117"/>
      <c r="CU13" s="4117"/>
      <c r="CV13" s="4117"/>
      <c r="CW13" s="4117"/>
      <c r="CX13" s="4117"/>
      <c r="CY13" s="4117"/>
      <c r="CZ13" s="4117"/>
      <c r="DA13" s="4117"/>
      <c r="DB13" s="4117"/>
      <c r="DC13" s="4117"/>
      <c r="DD13" s="4117"/>
      <c r="DE13" s="4117"/>
      <c r="DF13" s="4117"/>
      <c r="DG13" s="4117"/>
      <c r="DH13" s="4117"/>
      <c r="DI13" s="4117"/>
      <c r="DJ13" s="4117"/>
      <c r="DK13" s="4117"/>
      <c r="DL13" s="4117"/>
      <c r="DM13" s="4117"/>
      <c r="DN13" s="4117"/>
      <c r="DO13" s="4117"/>
      <c r="DP13" s="4117"/>
      <c r="DQ13" s="4117"/>
      <c r="DR13" s="4117"/>
      <c r="DS13" s="4117"/>
      <c r="DT13" s="4117"/>
      <c r="DU13" s="4117"/>
      <c r="DV13" s="4117"/>
      <c r="DW13" s="4117"/>
      <c r="DX13" s="4117"/>
      <c r="DY13" s="4117"/>
      <c r="DZ13" s="4117"/>
      <c r="EA13" s="4117"/>
      <c r="EB13" s="4117"/>
      <c r="EC13" s="4117"/>
      <c r="ED13" s="4117"/>
      <c r="EE13" s="4117"/>
      <c r="EF13" s="4117"/>
      <c r="EG13" s="4117"/>
      <c r="EH13" s="4117"/>
      <c r="EI13" s="4117"/>
      <c r="EJ13" s="4117"/>
      <c r="EK13" s="4117"/>
      <c r="EL13" s="4117"/>
      <c r="EM13" s="4117"/>
      <c r="EN13" s="4117"/>
      <c r="EO13" s="4117"/>
      <c r="EP13" s="4117"/>
      <c r="EQ13" s="4117"/>
      <c r="ER13" s="4117"/>
    </row>
    <row r="14" spans="1:148" s="4114" customFormat="1">
      <c r="A14" s="4341"/>
      <c r="B14" s="4122" t="s">
        <v>524</v>
      </c>
      <c r="C14" s="4122">
        <v>14</v>
      </c>
      <c r="D14" s="4122">
        <v>115</v>
      </c>
      <c r="E14" s="4123">
        <f t="shared" si="0"/>
        <v>34500</v>
      </c>
      <c r="F14" s="4123">
        <f t="shared" si="1"/>
        <v>20700</v>
      </c>
      <c r="G14" s="4123">
        <f t="shared" si="2"/>
        <v>12420</v>
      </c>
      <c r="H14" s="4124">
        <f>G30*G14*C14*0.001</f>
        <v>52.164000000000001</v>
      </c>
      <c r="I14" s="4123">
        <f t="shared" si="3"/>
        <v>46000</v>
      </c>
      <c r="J14" s="4123">
        <f t="shared" si="4"/>
        <v>27600</v>
      </c>
      <c r="K14" s="4123">
        <f t="shared" si="5"/>
        <v>16560</v>
      </c>
      <c r="L14" s="4124">
        <f>G30*K14*C14*0.001</f>
        <v>69.552000000000007</v>
      </c>
      <c r="M14" s="4123">
        <f t="shared" si="6"/>
        <v>46000</v>
      </c>
      <c r="N14" s="4123">
        <f t="shared" si="7"/>
        <v>36800</v>
      </c>
      <c r="O14" s="4123">
        <f t="shared" si="8"/>
        <v>22080</v>
      </c>
      <c r="P14" s="4124">
        <f>G30*O14*C14*0.001</f>
        <v>92.736000000000004</v>
      </c>
      <c r="Q14" s="4123">
        <f t="shared" si="9"/>
        <v>57500</v>
      </c>
      <c r="R14" s="4123">
        <f t="shared" si="10"/>
        <v>34500</v>
      </c>
      <c r="S14" s="4123">
        <f t="shared" si="11"/>
        <v>20700</v>
      </c>
      <c r="T14" s="4141">
        <f>G30*S14*C14*0.001</f>
        <v>86.94</v>
      </c>
      <c r="U14" s="4123">
        <f t="shared" si="12"/>
        <v>57500</v>
      </c>
      <c r="V14" s="4123">
        <f t="shared" si="13"/>
        <v>46000</v>
      </c>
      <c r="W14" s="4123">
        <f t="shared" si="14"/>
        <v>27600</v>
      </c>
      <c r="X14" s="4141">
        <f>G30*C14*W14*0.001</f>
        <v>115.92</v>
      </c>
      <c r="Y14" s="4123">
        <f t="shared" si="15"/>
        <v>69000</v>
      </c>
      <c r="Z14" s="4123">
        <f t="shared" si="16"/>
        <v>55200</v>
      </c>
      <c r="AA14" s="4123">
        <f t="shared" si="17"/>
        <v>33120</v>
      </c>
      <c r="AB14" s="4141">
        <f>G30*C14*AA14*0.001</f>
        <v>139.10400000000001</v>
      </c>
      <c r="AC14" s="4123">
        <f t="shared" si="18"/>
        <v>92000</v>
      </c>
      <c r="AD14" s="4123">
        <f t="shared" si="19"/>
        <v>73600</v>
      </c>
      <c r="AE14" s="4123">
        <f t="shared" si="20"/>
        <v>44160</v>
      </c>
      <c r="AF14" s="4141">
        <f>G30*C14*AE14*0.001</f>
        <v>185.47200000000001</v>
      </c>
      <c r="AG14" s="4123">
        <f t="shared" si="21"/>
        <v>103500</v>
      </c>
      <c r="AH14" s="4123">
        <f t="shared" si="22"/>
        <v>82800</v>
      </c>
      <c r="AI14" s="4123">
        <f t="shared" si="23"/>
        <v>49680</v>
      </c>
      <c r="AJ14" s="4141">
        <f>G30*C14*AI14*0.001</f>
        <v>208.65600000000001</v>
      </c>
      <c r="AK14" s="4123">
        <f t="shared" si="24"/>
        <v>115000</v>
      </c>
      <c r="AL14" s="4123">
        <f t="shared" si="25"/>
        <v>103500</v>
      </c>
      <c r="AM14" s="4123">
        <f t="shared" si="26"/>
        <v>62100</v>
      </c>
      <c r="AN14" s="4141">
        <f>G30*C14*AM14*0.001</f>
        <v>260.82</v>
      </c>
      <c r="AO14" s="4123">
        <f t="shared" si="27"/>
        <v>138000</v>
      </c>
      <c r="AP14" s="4123">
        <f t="shared" si="28"/>
        <v>124200</v>
      </c>
      <c r="AQ14" s="4123">
        <f t="shared" si="29"/>
        <v>74520</v>
      </c>
      <c r="AR14" s="4149">
        <f>G30*C14*AQ14*0.001</f>
        <v>312.98399999999998</v>
      </c>
      <c r="AS14" s="4117"/>
      <c r="AT14" s="4117"/>
      <c r="AU14" s="4117"/>
      <c r="AV14" s="4117"/>
      <c r="AW14" s="4117"/>
      <c r="AX14" s="4117"/>
      <c r="AY14" s="4117"/>
      <c r="AZ14" s="4117"/>
      <c r="BA14" s="4117"/>
      <c r="BB14" s="4117"/>
      <c r="BC14" s="4117"/>
      <c r="BD14" s="4117"/>
      <c r="BE14" s="4117"/>
      <c r="BF14" s="4117"/>
      <c r="BG14" s="4117"/>
      <c r="BH14" s="4117"/>
      <c r="BI14" s="4117"/>
      <c r="BJ14" s="4117"/>
      <c r="BK14" s="4117"/>
      <c r="BL14" s="4117"/>
      <c r="BM14" s="4117"/>
      <c r="BN14" s="4117"/>
      <c r="BO14" s="4117"/>
      <c r="BP14" s="4117"/>
      <c r="BQ14" s="4117"/>
      <c r="BR14" s="4117"/>
      <c r="BS14" s="4117"/>
      <c r="BT14" s="4117"/>
      <c r="BU14" s="4117"/>
      <c r="BV14" s="4117"/>
      <c r="BW14" s="4117"/>
      <c r="BX14" s="4117"/>
      <c r="BY14" s="4117"/>
      <c r="BZ14" s="4117"/>
      <c r="CA14" s="4117"/>
      <c r="CB14" s="4117"/>
      <c r="CC14" s="4117"/>
      <c r="CD14" s="4117"/>
      <c r="CE14" s="4117"/>
      <c r="CF14" s="4117"/>
      <c r="CG14" s="4117"/>
      <c r="CH14" s="4117"/>
      <c r="CI14" s="4117"/>
      <c r="CJ14" s="4117"/>
      <c r="CK14" s="4117"/>
      <c r="CL14" s="4117"/>
      <c r="CM14" s="4117"/>
      <c r="CN14" s="4117"/>
      <c r="CO14" s="4117"/>
      <c r="CP14" s="4117"/>
      <c r="CQ14" s="4117"/>
      <c r="CR14" s="4117"/>
      <c r="CS14" s="4117"/>
      <c r="CT14" s="4117"/>
      <c r="CU14" s="4117"/>
      <c r="CV14" s="4117"/>
      <c r="CW14" s="4117"/>
      <c r="CX14" s="4117"/>
      <c r="CY14" s="4117"/>
      <c r="CZ14" s="4117"/>
      <c r="DA14" s="4117"/>
      <c r="DB14" s="4117"/>
      <c r="DC14" s="4117"/>
      <c r="DD14" s="4117"/>
      <c r="DE14" s="4117"/>
      <c r="DF14" s="4117"/>
      <c r="DG14" s="4117"/>
      <c r="DH14" s="4117"/>
      <c r="DI14" s="4117"/>
      <c r="DJ14" s="4117"/>
      <c r="DK14" s="4117"/>
      <c r="DL14" s="4117"/>
      <c r="DM14" s="4117"/>
      <c r="DN14" s="4117"/>
      <c r="DO14" s="4117"/>
      <c r="DP14" s="4117"/>
      <c r="DQ14" s="4117"/>
      <c r="DR14" s="4117"/>
      <c r="DS14" s="4117"/>
      <c r="DT14" s="4117"/>
      <c r="DU14" s="4117"/>
      <c r="DV14" s="4117"/>
      <c r="DW14" s="4117"/>
      <c r="DX14" s="4117"/>
      <c r="DY14" s="4117"/>
      <c r="DZ14" s="4117"/>
      <c r="EA14" s="4117"/>
      <c r="EB14" s="4117"/>
      <c r="EC14" s="4117"/>
      <c r="ED14" s="4117"/>
      <c r="EE14" s="4117"/>
      <c r="EF14" s="4117"/>
      <c r="EG14" s="4117"/>
      <c r="EH14" s="4117"/>
      <c r="EI14" s="4117"/>
      <c r="EJ14" s="4117"/>
      <c r="EK14" s="4117"/>
      <c r="EL14" s="4117"/>
      <c r="EM14" s="4117"/>
      <c r="EN14" s="4117"/>
      <c r="EO14" s="4117"/>
      <c r="EP14" s="4117"/>
      <c r="EQ14" s="4117"/>
      <c r="ER14" s="4117"/>
    </row>
    <row r="15" spans="1:148" s="4115" customFormat="1">
      <c r="A15" s="4341"/>
      <c r="B15" s="4125" t="s">
        <v>525</v>
      </c>
      <c r="C15" s="4125">
        <v>16</v>
      </c>
      <c r="D15" s="4125">
        <v>157</v>
      </c>
      <c r="E15" s="4126">
        <f t="shared" si="0"/>
        <v>47100</v>
      </c>
      <c r="F15" s="4126">
        <f t="shared" si="1"/>
        <v>28260</v>
      </c>
      <c r="G15" s="4126">
        <f t="shared" si="2"/>
        <v>16956</v>
      </c>
      <c r="H15" s="4127">
        <f>G30*G15*C15*0.001</f>
        <v>81.388800000000003</v>
      </c>
      <c r="I15" s="4126">
        <f t="shared" si="3"/>
        <v>62800</v>
      </c>
      <c r="J15" s="4126">
        <f t="shared" si="4"/>
        <v>37680</v>
      </c>
      <c r="K15" s="4126">
        <f t="shared" si="5"/>
        <v>22608</v>
      </c>
      <c r="L15" s="4127">
        <f>G30*K15*C15*0.001</f>
        <v>108.5184</v>
      </c>
      <c r="M15" s="4126">
        <f t="shared" si="6"/>
        <v>62800</v>
      </c>
      <c r="N15" s="4126">
        <f t="shared" si="7"/>
        <v>50240</v>
      </c>
      <c r="O15" s="4126">
        <f t="shared" si="8"/>
        <v>30144</v>
      </c>
      <c r="P15" s="4127">
        <f>G30*O15*C15*0.001</f>
        <v>144.69120000000001</v>
      </c>
      <c r="Q15" s="4126">
        <f t="shared" si="9"/>
        <v>78500</v>
      </c>
      <c r="R15" s="4126">
        <f t="shared" si="10"/>
        <v>47100</v>
      </c>
      <c r="S15" s="4126">
        <f t="shared" si="11"/>
        <v>28260</v>
      </c>
      <c r="T15" s="4142">
        <f>G30*S15*C15*0.001</f>
        <v>135.648</v>
      </c>
      <c r="U15" s="4126">
        <f t="shared" si="12"/>
        <v>78500</v>
      </c>
      <c r="V15" s="4126">
        <f t="shared" si="13"/>
        <v>62800</v>
      </c>
      <c r="W15" s="4126">
        <f t="shared" si="14"/>
        <v>37680</v>
      </c>
      <c r="X15" s="4142">
        <f>G30*C15*W15*0.001</f>
        <v>180.864</v>
      </c>
      <c r="Y15" s="4126">
        <f t="shared" si="15"/>
        <v>94200</v>
      </c>
      <c r="Z15" s="4126">
        <f t="shared" si="16"/>
        <v>75360</v>
      </c>
      <c r="AA15" s="4126">
        <f t="shared" si="17"/>
        <v>45216</v>
      </c>
      <c r="AB15" s="4142">
        <f>G30*C15*AA15*0.001</f>
        <v>217.0368</v>
      </c>
      <c r="AC15" s="4126">
        <f t="shared" si="18"/>
        <v>125600</v>
      </c>
      <c r="AD15" s="4126">
        <f t="shared" si="19"/>
        <v>100480</v>
      </c>
      <c r="AE15" s="4126">
        <f t="shared" si="20"/>
        <v>60288</v>
      </c>
      <c r="AF15" s="4142">
        <f>G30*C15*AE15*0.001</f>
        <v>289.38240000000002</v>
      </c>
      <c r="AG15" s="4126">
        <f t="shared" si="21"/>
        <v>141300</v>
      </c>
      <c r="AH15" s="4126">
        <f t="shared" si="22"/>
        <v>113040</v>
      </c>
      <c r="AI15" s="4126">
        <f t="shared" si="23"/>
        <v>67824</v>
      </c>
      <c r="AJ15" s="4142">
        <f>G30*C15*AI15*0.001</f>
        <v>325.55520000000001</v>
      </c>
      <c r="AK15" s="4126">
        <f t="shared" si="24"/>
        <v>157000</v>
      </c>
      <c r="AL15" s="4126">
        <f t="shared" si="25"/>
        <v>141300</v>
      </c>
      <c r="AM15" s="4126">
        <f t="shared" si="26"/>
        <v>84780</v>
      </c>
      <c r="AN15" s="4142">
        <f>G30*C15*AM15*0.001</f>
        <v>406.94400000000002</v>
      </c>
      <c r="AO15" s="4126">
        <f t="shared" si="27"/>
        <v>188400</v>
      </c>
      <c r="AP15" s="4126">
        <f t="shared" si="28"/>
        <v>169560</v>
      </c>
      <c r="AQ15" s="4126">
        <f t="shared" si="29"/>
        <v>101736</v>
      </c>
      <c r="AR15" s="4150">
        <f>G30*C15*AQ15*0.001</f>
        <v>488.33280000000002</v>
      </c>
      <c r="AS15" s="4117"/>
      <c r="AT15" s="4117"/>
      <c r="AU15" s="4117"/>
      <c r="AV15" s="4117"/>
      <c r="AW15" s="4117"/>
      <c r="AX15" s="4117"/>
      <c r="AY15" s="4117"/>
      <c r="AZ15" s="4117"/>
      <c r="BA15" s="4117"/>
      <c r="BB15" s="4117"/>
      <c r="BC15" s="4117"/>
      <c r="BD15" s="4117"/>
      <c r="BE15" s="4117"/>
      <c r="BF15" s="4117"/>
      <c r="BG15" s="4117"/>
      <c r="BH15" s="4117"/>
      <c r="BI15" s="4117"/>
      <c r="BJ15" s="4117"/>
      <c r="BK15" s="4117"/>
      <c r="BL15" s="4117"/>
      <c r="BM15" s="4117"/>
      <c r="BN15" s="4117"/>
      <c r="BO15" s="4117"/>
      <c r="BP15" s="4117"/>
      <c r="BQ15" s="4117"/>
      <c r="BR15" s="4117"/>
      <c r="BS15" s="4117"/>
      <c r="BT15" s="4117"/>
      <c r="BU15" s="4117"/>
      <c r="BV15" s="4117"/>
      <c r="BW15" s="4117"/>
      <c r="BX15" s="4117"/>
      <c r="BY15" s="4117"/>
      <c r="BZ15" s="4117"/>
      <c r="CA15" s="4117"/>
      <c r="CB15" s="4117"/>
      <c r="CC15" s="4117"/>
      <c r="CD15" s="4117"/>
      <c r="CE15" s="4117"/>
      <c r="CF15" s="4117"/>
      <c r="CG15" s="4117"/>
      <c r="CH15" s="4117"/>
      <c r="CI15" s="4117"/>
      <c r="CJ15" s="4117"/>
      <c r="CK15" s="4117"/>
      <c r="CL15" s="4117"/>
      <c r="CM15" s="4117"/>
      <c r="CN15" s="4117"/>
      <c r="CO15" s="4117"/>
      <c r="CP15" s="4117"/>
      <c r="CQ15" s="4117"/>
      <c r="CR15" s="4117"/>
      <c r="CS15" s="4117"/>
      <c r="CT15" s="4117"/>
      <c r="CU15" s="4117"/>
      <c r="CV15" s="4117"/>
      <c r="CW15" s="4117"/>
      <c r="CX15" s="4117"/>
      <c r="CY15" s="4117"/>
      <c r="CZ15" s="4117"/>
      <c r="DA15" s="4117"/>
      <c r="DB15" s="4117"/>
      <c r="DC15" s="4117"/>
      <c r="DD15" s="4117"/>
      <c r="DE15" s="4117"/>
      <c r="DF15" s="4117"/>
      <c r="DG15" s="4117"/>
      <c r="DH15" s="4117"/>
      <c r="DI15" s="4117"/>
      <c r="DJ15" s="4117"/>
      <c r="DK15" s="4117"/>
      <c r="DL15" s="4117"/>
      <c r="DM15" s="4117"/>
      <c r="DN15" s="4117"/>
      <c r="DO15" s="4117"/>
      <c r="DP15" s="4117"/>
      <c r="DQ15" s="4117"/>
      <c r="DR15" s="4117"/>
      <c r="DS15" s="4117"/>
      <c r="DT15" s="4117"/>
      <c r="DU15" s="4117"/>
      <c r="DV15" s="4117"/>
      <c r="DW15" s="4117"/>
      <c r="DX15" s="4117"/>
      <c r="DY15" s="4117"/>
      <c r="DZ15" s="4117"/>
      <c r="EA15" s="4117"/>
      <c r="EB15" s="4117"/>
      <c r="EC15" s="4117"/>
      <c r="ED15" s="4117"/>
      <c r="EE15" s="4117"/>
      <c r="EF15" s="4117"/>
      <c r="EG15" s="4117"/>
      <c r="EH15" s="4117"/>
      <c r="EI15" s="4117"/>
      <c r="EJ15" s="4117"/>
      <c r="EK15" s="4117"/>
      <c r="EL15" s="4117"/>
      <c r="EM15" s="4117"/>
      <c r="EN15" s="4117"/>
      <c r="EO15" s="4117"/>
      <c r="EP15" s="4117"/>
      <c r="EQ15" s="4117"/>
      <c r="ER15" s="4117"/>
    </row>
    <row r="16" spans="1:148" s="4116" customFormat="1">
      <c r="A16" s="4341"/>
      <c r="B16" s="4128" t="s">
        <v>526</v>
      </c>
      <c r="C16" s="4128">
        <v>18</v>
      </c>
      <c r="D16" s="4128">
        <v>192</v>
      </c>
      <c r="E16" s="4129">
        <f t="shared" si="0"/>
        <v>57600</v>
      </c>
      <c r="F16" s="4129">
        <f t="shared" si="1"/>
        <v>34560</v>
      </c>
      <c r="G16" s="4129">
        <f t="shared" si="2"/>
        <v>20736</v>
      </c>
      <c r="H16" s="4130">
        <f>G30*G16*C16*0.001</f>
        <v>111.9744</v>
      </c>
      <c r="I16" s="4129">
        <f t="shared" si="3"/>
        <v>76800</v>
      </c>
      <c r="J16" s="4129">
        <f t="shared" si="4"/>
        <v>46080</v>
      </c>
      <c r="K16" s="4129">
        <f t="shared" si="5"/>
        <v>27648</v>
      </c>
      <c r="L16" s="4130">
        <f>G30*K16*C16*0.001</f>
        <v>149.29920000000001</v>
      </c>
      <c r="M16" s="4129">
        <f t="shared" si="6"/>
        <v>76800</v>
      </c>
      <c r="N16" s="4129">
        <f t="shared" si="7"/>
        <v>61440</v>
      </c>
      <c r="O16" s="4129">
        <f t="shared" si="8"/>
        <v>36864</v>
      </c>
      <c r="P16" s="4130">
        <f>G30*O16*C16*0.001</f>
        <v>199.06559999999999</v>
      </c>
      <c r="Q16" s="4129">
        <f t="shared" si="9"/>
        <v>96000</v>
      </c>
      <c r="R16" s="4129">
        <f t="shared" si="10"/>
        <v>57600</v>
      </c>
      <c r="S16" s="4129">
        <f t="shared" si="11"/>
        <v>34560</v>
      </c>
      <c r="T16" s="4143">
        <f>G30*S16*C16*0.001</f>
        <v>186.624</v>
      </c>
      <c r="U16" s="4129">
        <f t="shared" si="12"/>
        <v>96000</v>
      </c>
      <c r="V16" s="4129">
        <f t="shared" si="13"/>
        <v>76800</v>
      </c>
      <c r="W16" s="4129">
        <f t="shared" si="14"/>
        <v>46080</v>
      </c>
      <c r="X16" s="4143">
        <f>G30*C16*W16*0.001</f>
        <v>248.83199999999999</v>
      </c>
      <c r="Y16" s="4129">
        <f t="shared" si="15"/>
        <v>115200</v>
      </c>
      <c r="Z16" s="4129">
        <f t="shared" si="16"/>
        <v>92160</v>
      </c>
      <c r="AA16" s="4129">
        <f t="shared" si="17"/>
        <v>55296</v>
      </c>
      <c r="AB16" s="4143">
        <f>G30*C16*AA16*0.001</f>
        <v>298.59840000000003</v>
      </c>
      <c r="AC16" s="4129">
        <f t="shared" si="18"/>
        <v>153600</v>
      </c>
      <c r="AD16" s="4129">
        <f t="shared" si="19"/>
        <v>122880</v>
      </c>
      <c r="AE16" s="4129">
        <f t="shared" si="20"/>
        <v>73728</v>
      </c>
      <c r="AF16" s="4143">
        <f>G30*C16*AE16*0.001</f>
        <v>398.13119999999998</v>
      </c>
      <c r="AG16" s="4129">
        <f t="shared" si="21"/>
        <v>172800</v>
      </c>
      <c r="AH16" s="4129">
        <f t="shared" si="22"/>
        <v>138240</v>
      </c>
      <c r="AI16" s="4129">
        <f t="shared" si="23"/>
        <v>82944</v>
      </c>
      <c r="AJ16" s="4143">
        <f>G30*C16*AI16*0.001</f>
        <v>447.89760000000001</v>
      </c>
      <c r="AK16" s="4129">
        <f t="shared" si="24"/>
        <v>192000</v>
      </c>
      <c r="AL16" s="4129">
        <f t="shared" si="25"/>
        <v>172800</v>
      </c>
      <c r="AM16" s="4129">
        <f t="shared" si="26"/>
        <v>103680</v>
      </c>
      <c r="AN16" s="4143">
        <f>G30*C16*AM16*0.001</f>
        <v>559.87199999999996</v>
      </c>
      <c r="AO16" s="4129">
        <f t="shared" si="27"/>
        <v>230400</v>
      </c>
      <c r="AP16" s="4129">
        <f t="shared" si="28"/>
        <v>207360</v>
      </c>
      <c r="AQ16" s="4129">
        <f t="shared" si="29"/>
        <v>124416</v>
      </c>
      <c r="AR16" s="4151">
        <f>G30*C16*AQ16*0.001</f>
        <v>671.84640000000002</v>
      </c>
      <c r="AS16" s="4117"/>
      <c r="AT16" s="4117"/>
      <c r="AU16" s="4117"/>
      <c r="AV16" s="4117"/>
      <c r="AW16" s="4117"/>
      <c r="AX16" s="4117"/>
      <c r="AY16" s="4117"/>
      <c r="AZ16" s="4117"/>
      <c r="BA16" s="4117"/>
      <c r="BB16" s="4117"/>
      <c r="BC16" s="4117"/>
      <c r="BD16" s="4117"/>
      <c r="BE16" s="4117"/>
      <c r="BF16" s="4117"/>
      <c r="BG16" s="4117"/>
      <c r="BH16" s="4117"/>
      <c r="BI16" s="4117"/>
      <c r="BJ16" s="4117"/>
      <c r="BK16" s="4117"/>
      <c r="BL16" s="4117"/>
      <c r="BM16" s="4117"/>
      <c r="BN16" s="4117"/>
      <c r="BO16" s="4117"/>
      <c r="BP16" s="4117"/>
      <c r="BQ16" s="4117"/>
      <c r="BR16" s="4117"/>
      <c r="BS16" s="4117"/>
      <c r="BT16" s="4117"/>
      <c r="BU16" s="4117"/>
      <c r="BV16" s="4117"/>
      <c r="BW16" s="4117"/>
      <c r="BX16" s="4117"/>
      <c r="BY16" s="4117"/>
      <c r="BZ16" s="4117"/>
      <c r="CA16" s="4117"/>
      <c r="CB16" s="4117"/>
      <c r="CC16" s="4117"/>
      <c r="CD16" s="4117"/>
      <c r="CE16" s="4117"/>
      <c r="CF16" s="4117"/>
      <c r="CG16" s="4117"/>
      <c r="CH16" s="4117"/>
      <c r="CI16" s="4117"/>
      <c r="CJ16" s="4117"/>
      <c r="CK16" s="4117"/>
      <c r="CL16" s="4117"/>
      <c r="CM16" s="4117"/>
      <c r="CN16" s="4117"/>
      <c r="CO16" s="4117"/>
      <c r="CP16" s="4117"/>
      <c r="CQ16" s="4117"/>
      <c r="CR16" s="4117"/>
      <c r="CS16" s="4117"/>
      <c r="CT16" s="4117"/>
      <c r="CU16" s="4117"/>
      <c r="CV16" s="4117"/>
      <c r="CW16" s="4117"/>
      <c r="CX16" s="4117"/>
      <c r="CY16" s="4117"/>
      <c r="CZ16" s="4117"/>
      <c r="DA16" s="4117"/>
      <c r="DB16" s="4117"/>
      <c r="DC16" s="4117"/>
      <c r="DD16" s="4117"/>
      <c r="DE16" s="4117"/>
      <c r="DF16" s="4117"/>
      <c r="DG16" s="4117"/>
      <c r="DH16" s="4117"/>
      <c r="DI16" s="4117"/>
      <c r="DJ16" s="4117"/>
      <c r="DK16" s="4117"/>
      <c r="DL16" s="4117"/>
      <c r="DM16" s="4117"/>
      <c r="DN16" s="4117"/>
      <c r="DO16" s="4117"/>
      <c r="DP16" s="4117"/>
      <c r="DQ16" s="4117"/>
      <c r="DR16" s="4117"/>
      <c r="DS16" s="4117"/>
      <c r="DT16" s="4117"/>
      <c r="DU16" s="4117"/>
      <c r="DV16" s="4117"/>
      <c r="DW16" s="4117"/>
      <c r="DX16" s="4117"/>
      <c r="DY16" s="4117"/>
      <c r="DZ16" s="4117"/>
      <c r="EA16" s="4117"/>
      <c r="EB16" s="4117"/>
      <c r="EC16" s="4117"/>
      <c r="ED16" s="4117"/>
      <c r="EE16" s="4117"/>
      <c r="EF16" s="4117"/>
      <c r="EG16" s="4117"/>
      <c r="EH16" s="4117"/>
      <c r="EI16" s="4117"/>
      <c r="EJ16" s="4117"/>
      <c r="EK16" s="4117"/>
      <c r="EL16" s="4117"/>
      <c r="EM16" s="4117"/>
      <c r="EN16" s="4117"/>
      <c r="EO16" s="4117"/>
      <c r="EP16" s="4117"/>
      <c r="EQ16" s="4117"/>
      <c r="ER16" s="4117"/>
    </row>
    <row r="17" spans="1:148" s="4113" customFormat="1">
      <c r="A17" s="4341"/>
      <c r="B17" s="4119" t="s">
        <v>527</v>
      </c>
      <c r="C17" s="4119">
        <v>20</v>
      </c>
      <c r="D17" s="4119">
        <v>245</v>
      </c>
      <c r="E17" s="4120">
        <f t="shared" si="0"/>
        <v>73500</v>
      </c>
      <c r="F17" s="4120">
        <f t="shared" si="1"/>
        <v>44100</v>
      </c>
      <c r="G17" s="4120">
        <f t="shared" si="2"/>
        <v>26460</v>
      </c>
      <c r="H17" s="4121">
        <f>G30*G17*C17*0.001</f>
        <v>158.76</v>
      </c>
      <c r="I17" s="4120">
        <f t="shared" si="3"/>
        <v>98000</v>
      </c>
      <c r="J17" s="4120">
        <f t="shared" si="4"/>
        <v>58800</v>
      </c>
      <c r="K17" s="4120">
        <f t="shared" si="5"/>
        <v>35280</v>
      </c>
      <c r="L17" s="4121">
        <f>G30*K17*C17*0.001</f>
        <v>211.68</v>
      </c>
      <c r="M17" s="4120">
        <f t="shared" si="6"/>
        <v>98000</v>
      </c>
      <c r="N17" s="4120">
        <f t="shared" si="7"/>
        <v>78400</v>
      </c>
      <c r="O17" s="4120">
        <f t="shared" si="8"/>
        <v>47040</v>
      </c>
      <c r="P17" s="4121">
        <f>G30*O17*C17*0.001</f>
        <v>282.24</v>
      </c>
      <c r="Q17" s="4120">
        <f t="shared" si="9"/>
        <v>122500</v>
      </c>
      <c r="R17" s="4120">
        <f t="shared" si="10"/>
        <v>73500</v>
      </c>
      <c r="S17" s="4120">
        <f t="shared" si="11"/>
        <v>44100</v>
      </c>
      <c r="T17" s="4140">
        <f>G30*S17*C17*0.001</f>
        <v>264.60000000000002</v>
      </c>
      <c r="U17" s="4120">
        <f t="shared" si="12"/>
        <v>122500</v>
      </c>
      <c r="V17" s="4120">
        <f t="shared" si="13"/>
        <v>98000</v>
      </c>
      <c r="W17" s="4120">
        <f t="shared" si="14"/>
        <v>58800</v>
      </c>
      <c r="X17" s="4140">
        <f>G30*C17*W17*0.001</f>
        <v>352.8</v>
      </c>
      <c r="Y17" s="4120">
        <f t="shared" si="15"/>
        <v>147000</v>
      </c>
      <c r="Z17" s="4120">
        <f t="shared" si="16"/>
        <v>117600</v>
      </c>
      <c r="AA17" s="4120">
        <f t="shared" si="17"/>
        <v>70560</v>
      </c>
      <c r="AB17" s="4140">
        <f>G30*C17*AA17*0.001</f>
        <v>423.36</v>
      </c>
      <c r="AC17" s="4120">
        <f t="shared" si="18"/>
        <v>196000</v>
      </c>
      <c r="AD17" s="4120">
        <f t="shared" si="19"/>
        <v>156800</v>
      </c>
      <c r="AE17" s="4120">
        <f t="shared" si="20"/>
        <v>94080</v>
      </c>
      <c r="AF17" s="4140">
        <f>G30*C17*AE17*0.001</f>
        <v>564.48</v>
      </c>
      <c r="AG17" s="4120">
        <f t="shared" si="21"/>
        <v>220500</v>
      </c>
      <c r="AH17" s="4120">
        <f t="shared" si="22"/>
        <v>176400</v>
      </c>
      <c r="AI17" s="4120">
        <f t="shared" si="23"/>
        <v>105840</v>
      </c>
      <c r="AJ17" s="4140">
        <f>G30*C17*AI17*0.001</f>
        <v>635.04</v>
      </c>
      <c r="AK17" s="4120">
        <f t="shared" si="24"/>
        <v>245000</v>
      </c>
      <c r="AL17" s="4120">
        <f t="shared" si="25"/>
        <v>220500</v>
      </c>
      <c r="AM17" s="4120">
        <f t="shared" si="26"/>
        <v>132300</v>
      </c>
      <c r="AN17" s="4140">
        <f>G30*C17*AM17*0.001</f>
        <v>793.8</v>
      </c>
      <c r="AO17" s="4120">
        <f t="shared" si="27"/>
        <v>294000</v>
      </c>
      <c r="AP17" s="4120">
        <f t="shared" si="28"/>
        <v>264600</v>
      </c>
      <c r="AQ17" s="4120">
        <f t="shared" si="29"/>
        <v>158760</v>
      </c>
      <c r="AR17" s="4148">
        <f>G30*C17*AQ17*0.001</f>
        <v>952.56</v>
      </c>
      <c r="AS17" s="4117"/>
      <c r="AT17" s="4117"/>
      <c r="AU17" s="4117"/>
      <c r="AV17" s="4117"/>
      <c r="AW17" s="4117"/>
      <c r="AX17" s="4117"/>
      <c r="AY17" s="4117"/>
      <c r="AZ17" s="4117"/>
      <c r="BA17" s="4117"/>
      <c r="BB17" s="4117"/>
      <c r="BC17" s="4117"/>
      <c r="BD17" s="4117"/>
      <c r="BE17" s="4117"/>
      <c r="BF17" s="4117"/>
      <c r="BG17" s="4117"/>
      <c r="BH17" s="4117"/>
      <c r="BI17" s="4117"/>
      <c r="BJ17" s="4117"/>
      <c r="BK17" s="4117"/>
      <c r="BL17" s="4117"/>
      <c r="BM17" s="4117"/>
      <c r="BN17" s="4117"/>
      <c r="BO17" s="4117"/>
      <c r="BP17" s="4117"/>
      <c r="BQ17" s="4117"/>
      <c r="BR17" s="4117"/>
      <c r="BS17" s="4117"/>
      <c r="BT17" s="4117"/>
      <c r="BU17" s="4117"/>
      <c r="BV17" s="4117"/>
      <c r="BW17" s="4117"/>
      <c r="BX17" s="4117"/>
      <c r="BY17" s="4117"/>
      <c r="BZ17" s="4117"/>
      <c r="CA17" s="4117"/>
      <c r="CB17" s="4117"/>
      <c r="CC17" s="4117"/>
      <c r="CD17" s="4117"/>
      <c r="CE17" s="4117"/>
      <c r="CF17" s="4117"/>
      <c r="CG17" s="4117"/>
      <c r="CH17" s="4117"/>
      <c r="CI17" s="4117"/>
      <c r="CJ17" s="4117"/>
      <c r="CK17" s="4117"/>
      <c r="CL17" s="4117"/>
      <c r="CM17" s="4117"/>
      <c r="CN17" s="4117"/>
      <c r="CO17" s="4117"/>
      <c r="CP17" s="4117"/>
      <c r="CQ17" s="4117"/>
      <c r="CR17" s="4117"/>
      <c r="CS17" s="4117"/>
      <c r="CT17" s="4117"/>
      <c r="CU17" s="4117"/>
      <c r="CV17" s="4117"/>
      <c r="CW17" s="4117"/>
      <c r="CX17" s="4117"/>
      <c r="CY17" s="4117"/>
      <c r="CZ17" s="4117"/>
      <c r="DA17" s="4117"/>
      <c r="DB17" s="4117"/>
      <c r="DC17" s="4117"/>
      <c r="DD17" s="4117"/>
      <c r="DE17" s="4117"/>
      <c r="DF17" s="4117"/>
      <c r="DG17" s="4117"/>
      <c r="DH17" s="4117"/>
      <c r="DI17" s="4117"/>
      <c r="DJ17" s="4117"/>
      <c r="DK17" s="4117"/>
      <c r="DL17" s="4117"/>
      <c r="DM17" s="4117"/>
      <c r="DN17" s="4117"/>
      <c r="DO17" s="4117"/>
      <c r="DP17" s="4117"/>
      <c r="DQ17" s="4117"/>
      <c r="DR17" s="4117"/>
      <c r="DS17" s="4117"/>
      <c r="DT17" s="4117"/>
      <c r="DU17" s="4117"/>
      <c r="DV17" s="4117"/>
      <c r="DW17" s="4117"/>
      <c r="DX17" s="4117"/>
      <c r="DY17" s="4117"/>
      <c r="DZ17" s="4117"/>
      <c r="EA17" s="4117"/>
      <c r="EB17" s="4117"/>
      <c r="EC17" s="4117"/>
      <c r="ED17" s="4117"/>
      <c r="EE17" s="4117"/>
      <c r="EF17" s="4117"/>
      <c r="EG17" s="4117"/>
      <c r="EH17" s="4117"/>
      <c r="EI17" s="4117"/>
      <c r="EJ17" s="4117"/>
      <c r="EK17" s="4117"/>
      <c r="EL17" s="4117"/>
      <c r="EM17" s="4117"/>
      <c r="EN17" s="4117"/>
      <c r="EO17" s="4117"/>
      <c r="EP17" s="4117"/>
      <c r="EQ17" s="4117"/>
      <c r="ER17" s="4117"/>
    </row>
    <row r="18" spans="1:148" s="4114" customFormat="1">
      <c r="A18" s="4341"/>
      <c r="B18" s="4122" t="s">
        <v>528</v>
      </c>
      <c r="C18" s="4122">
        <v>22</v>
      </c>
      <c r="D18" s="4122">
        <v>303</v>
      </c>
      <c r="E18" s="4123">
        <f t="shared" si="0"/>
        <v>90900</v>
      </c>
      <c r="F18" s="4123">
        <f t="shared" si="1"/>
        <v>54540</v>
      </c>
      <c r="G18" s="4123">
        <f t="shared" si="2"/>
        <v>32724</v>
      </c>
      <c r="H18" s="4124">
        <f>G30*G18*C18*0.001</f>
        <v>215.97839999999999</v>
      </c>
      <c r="I18" s="4123">
        <f t="shared" si="3"/>
        <v>121200</v>
      </c>
      <c r="J18" s="4123">
        <f t="shared" si="4"/>
        <v>72720</v>
      </c>
      <c r="K18" s="4123">
        <f t="shared" si="5"/>
        <v>43632</v>
      </c>
      <c r="L18" s="4124">
        <f>G30*K18*C18*0.001</f>
        <v>287.97120000000001</v>
      </c>
      <c r="M18" s="4123">
        <f t="shared" si="6"/>
        <v>121200</v>
      </c>
      <c r="N18" s="4123">
        <f t="shared" si="7"/>
        <v>96960</v>
      </c>
      <c r="O18" s="4123">
        <f t="shared" si="8"/>
        <v>58176</v>
      </c>
      <c r="P18" s="4124">
        <f>G30*O18*C18*0.001</f>
        <v>383.96159999999998</v>
      </c>
      <c r="Q18" s="4123">
        <f t="shared" si="9"/>
        <v>151500</v>
      </c>
      <c r="R18" s="4123">
        <f t="shared" si="10"/>
        <v>90900</v>
      </c>
      <c r="S18" s="4123">
        <f t="shared" si="11"/>
        <v>54540</v>
      </c>
      <c r="T18" s="4141">
        <f>G30*S18*C18*0.001</f>
        <v>359.964</v>
      </c>
      <c r="U18" s="4123">
        <f t="shared" si="12"/>
        <v>151500</v>
      </c>
      <c r="V18" s="4123">
        <f t="shared" si="13"/>
        <v>121200</v>
      </c>
      <c r="W18" s="4123">
        <f t="shared" si="14"/>
        <v>72720</v>
      </c>
      <c r="X18" s="4141">
        <f>G30*C18*W18*0.001</f>
        <v>479.952</v>
      </c>
      <c r="Y18" s="4123">
        <f t="shared" si="15"/>
        <v>181800</v>
      </c>
      <c r="Z18" s="4123">
        <f t="shared" si="16"/>
        <v>145440</v>
      </c>
      <c r="AA18" s="4123">
        <f t="shared" si="17"/>
        <v>87264</v>
      </c>
      <c r="AB18" s="4141">
        <f>G30*C18*AA18*0.001</f>
        <v>575.94240000000002</v>
      </c>
      <c r="AC18" s="4123">
        <f t="shared" si="18"/>
        <v>242400</v>
      </c>
      <c r="AD18" s="4123">
        <f t="shared" si="19"/>
        <v>193920</v>
      </c>
      <c r="AE18" s="4123">
        <f t="shared" si="20"/>
        <v>116352</v>
      </c>
      <c r="AF18" s="4141">
        <f>G30*C18*AE18*0.001</f>
        <v>767.92319999999995</v>
      </c>
      <c r="AG18" s="4123">
        <f t="shared" si="21"/>
        <v>272700</v>
      </c>
      <c r="AH18" s="4123">
        <f t="shared" si="22"/>
        <v>218160</v>
      </c>
      <c r="AI18" s="4123">
        <f t="shared" si="23"/>
        <v>130896</v>
      </c>
      <c r="AJ18" s="4141">
        <f>G30*C18*AI18*0.001</f>
        <v>863.91359999999997</v>
      </c>
      <c r="AK18" s="4123">
        <f t="shared" si="24"/>
        <v>303000</v>
      </c>
      <c r="AL18" s="4123">
        <f t="shared" si="25"/>
        <v>272700</v>
      </c>
      <c r="AM18" s="4123">
        <f t="shared" si="26"/>
        <v>163620</v>
      </c>
      <c r="AN18" s="4141">
        <f>G30*C18*AM18*0.001</f>
        <v>1079.8920000000001</v>
      </c>
      <c r="AO18" s="4123">
        <f t="shared" si="27"/>
        <v>363600</v>
      </c>
      <c r="AP18" s="4123">
        <f t="shared" si="28"/>
        <v>327240</v>
      </c>
      <c r="AQ18" s="4123">
        <f t="shared" si="29"/>
        <v>196344</v>
      </c>
      <c r="AR18" s="4149">
        <f>G30*C18*AQ18*0.001</f>
        <v>1295.8704</v>
      </c>
      <c r="AS18" s="4117"/>
      <c r="AT18" s="4117"/>
      <c r="AU18" s="4117"/>
      <c r="AV18" s="4117"/>
      <c r="AW18" s="4117"/>
      <c r="AX18" s="4117"/>
      <c r="AY18" s="4117"/>
      <c r="AZ18" s="4117"/>
      <c r="BA18" s="4117"/>
      <c r="BB18" s="4117"/>
      <c r="BC18" s="4117"/>
      <c r="BD18" s="4117"/>
      <c r="BE18" s="4117"/>
      <c r="BF18" s="4117"/>
      <c r="BG18" s="4117"/>
      <c r="BH18" s="4117"/>
      <c r="BI18" s="4117"/>
      <c r="BJ18" s="4117"/>
      <c r="BK18" s="4117"/>
      <c r="BL18" s="4117"/>
      <c r="BM18" s="4117"/>
      <c r="BN18" s="4117"/>
      <c r="BO18" s="4117"/>
      <c r="BP18" s="4117"/>
      <c r="BQ18" s="4117"/>
      <c r="BR18" s="4117"/>
      <c r="BS18" s="4117"/>
      <c r="BT18" s="4117"/>
      <c r="BU18" s="4117"/>
      <c r="BV18" s="4117"/>
      <c r="BW18" s="4117"/>
      <c r="BX18" s="4117"/>
      <c r="BY18" s="4117"/>
      <c r="BZ18" s="4117"/>
      <c r="CA18" s="4117"/>
      <c r="CB18" s="4117"/>
      <c r="CC18" s="4117"/>
      <c r="CD18" s="4117"/>
      <c r="CE18" s="4117"/>
      <c r="CF18" s="4117"/>
      <c r="CG18" s="4117"/>
      <c r="CH18" s="4117"/>
      <c r="CI18" s="4117"/>
      <c r="CJ18" s="4117"/>
      <c r="CK18" s="4117"/>
      <c r="CL18" s="4117"/>
      <c r="CM18" s="4117"/>
      <c r="CN18" s="4117"/>
      <c r="CO18" s="4117"/>
      <c r="CP18" s="4117"/>
      <c r="CQ18" s="4117"/>
      <c r="CR18" s="4117"/>
      <c r="CS18" s="4117"/>
      <c r="CT18" s="4117"/>
      <c r="CU18" s="4117"/>
      <c r="CV18" s="4117"/>
      <c r="CW18" s="4117"/>
      <c r="CX18" s="4117"/>
      <c r="CY18" s="4117"/>
      <c r="CZ18" s="4117"/>
      <c r="DA18" s="4117"/>
      <c r="DB18" s="4117"/>
      <c r="DC18" s="4117"/>
      <c r="DD18" s="4117"/>
      <c r="DE18" s="4117"/>
      <c r="DF18" s="4117"/>
      <c r="DG18" s="4117"/>
      <c r="DH18" s="4117"/>
      <c r="DI18" s="4117"/>
      <c r="DJ18" s="4117"/>
      <c r="DK18" s="4117"/>
      <c r="DL18" s="4117"/>
      <c r="DM18" s="4117"/>
      <c r="DN18" s="4117"/>
      <c r="DO18" s="4117"/>
      <c r="DP18" s="4117"/>
      <c r="DQ18" s="4117"/>
      <c r="DR18" s="4117"/>
      <c r="DS18" s="4117"/>
      <c r="DT18" s="4117"/>
      <c r="DU18" s="4117"/>
      <c r="DV18" s="4117"/>
      <c r="DW18" s="4117"/>
      <c r="DX18" s="4117"/>
      <c r="DY18" s="4117"/>
      <c r="DZ18" s="4117"/>
      <c r="EA18" s="4117"/>
      <c r="EB18" s="4117"/>
      <c r="EC18" s="4117"/>
      <c r="ED18" s="4117"/>
      <c r="EE18" s="4117"/>
      <c r="EF18" s="4117"/>
      <c r="EG18" s="4117"/>
      <c r="EH18" s="4117"/>
      <c r="EI18" s="4117"/>
      <c r="EJ18" s="4117"/>
      <c r="EK18" s="4117"/>
      <c r="EL18" s="4117"/>
      <c r="EM18" s="4117"/>
      <c r="EN18" s="4117"/>
      <c r="EO18" s="4117"/>
      <c r="EP18" s="4117"/>
      <c r="EQ18" s="4117"/>
      <c r="ER18" s="4117"/>
    </row>
    <row r="19" spans="1:148" s="4115" customFormat="1">
      <c r="A19" s="4341"/>
      <c r="B19" s="4125" t="s">
        <v>529</v>
      </c>
      <c r="C19" s="4125">
        <v>24</v>
      </c>
      <c r="D19" s="4125">
        <v>353</v>
      </c>
      <c r="E19" s="4126">
        <f t="shared" si="0"/>
        <v>105900</v>
      </c>
      <c r="F19" s="4126">
        <f t="shared" si="1"/>
        <v>63540</v>
      </c>
      <c r="G19" s="4126">
        <f t="shared" si="2"/>
        <v>38124</v>
      </c>
      <c r="H19" s="4127">
        <f>G30*G19*C19*0.001</f>
        <v>274.49279999999999</v>
      </c>
      <c r="I19" s="4126">
        <f t="shared" si="3"/>
        <v>141200</v>
      </c>
      <c r="J19" s="4126">
        <f t="shared" si="4"/>
        <v>84720</v>
      </c>
      <c r="K19" s="4126">
        <f t="shared" si="5"/>
        <v>50832</v>
      </c>
      <c r="L19" s="4127">
        <f>G30*K19*C19*0.001</f>
        <v>365.99040000000002</v>
      </c>
      <c r="M19" s="4126">
        <f t="shared" si="6"/>
        <v>141200</v>
      </c>
      <c r="N19" s="4126">
        <f t="shared" si="7"/>
        <v>112960</v>
      </c>
      <c r="O19" s="4126">
        <f t="shared" si="8"/>
        <v>67776</v>
      </c>
      <c r="P19" s="4127">
        <f>G30*O19*C19*0.001</f>
        <v>487.98719999999997</v>
      </c>
      <c r="Q19" s="4126">
        <f t="shared" si="9"/>
        <v>176500</v>
      </c>
      <c r="R19" s="4126">
        <f t="shared" si="10"/>
        <v>105900</v>
      </c>
      <c r="S19" s="4126">
        <f t="shared" si="11"/>
        <v>63540</v>
      </c>
      <c r="T19" s="4142">
        <f>G30*S19*C19*0.001</f>
        <v>457.488</v>
      </c>
      <c r="U19" s="4126">
        <f t="shared" si="12"/>
        <v>176500</v>
      </c>
      <c r="V19" s="4126">
        <f t="shared" si="13"/>
        <v>141200</v>
      </c>
      <c r="W19" s="4126">
        <f t="shared" si="14"/>
        <v>84720</v>
      </c>
      <c r="X19" s="4142">
        <f>G30*C19*W19*0.001</f>
        <v>609.98400000000004</v>
      </c>
      <c r="Y19" s="4126">
        <f t="shared" si="15"/>
        <v>211800</v>
      </c>
      <c r="Z19" s="4126">
        <f t="shared" si="16"/>
        <v>169440</v>
      </c>
      <c r="AA19" s="4126">
        <f t="shared" si="17"/>
        <v>101664</v>
      </c>
      <c r="AB19" s="4142">
        <f>G30*C19*AA19*0.001</f>
        <v>731.98080000000004</v>
      </c>
      <c r="AC19" s="4126">
        <f t="shared" si="18"/>
        <v>282400</v>
      </c>
      <c r="AD19" s="4126">
        <f t="shared" si="19"/>
        <v>225920</v>
      </c>
      <c r="AE19" s="4126">
        <f t="shared" si="20"/>
        <v>135552</v>
      </c>
      <c r="AF19" s="4142">
        <f>G30*C19*AE19*0.001</f>
        <v>975.97439999999995</v>
      </c>
      <c r="AG19" s="4126">
        <f t="shared" si="21"/>
        <v>317700</v>
      </c>
      <c r="AH19" s="4126">
        <f t="shared" si="22"/>
        <v>254160</v>
      </c>
      <c r="AI19" s="4126">
        <f t="shared" si="23"/>
        <v>152496</v>
      </c>
      <c r="AJ19" s="4142">
        <f>G30*C19*AI19*0.001</f>
        <v>1097.9712</v>
      </c>
      <c r="AK19" s="4126">
        <f t="shared" si="24"/>
        <v>353000</v>
      </c>
      <c r="AL19" s="4126">
        <f t="shared" si="25"/>
        <v>317700</v>
      </c>
      <c r="AM19" s="4126">
        <f t="shared" si="26"/>
        <v>190620</v>
      </c>
      <c r="AN19" s="4142">
        <f>G30*C19*AM19*0.001</f>
        <v>1372.4639999999999</v>
      </c>
      <c r="AO19" s="4126">
        <f t="shared" si="27"/>
        <v>423600</v>
      </c>
      <c r="AP19" s="4126">
        <f t="shared" si="28"/>
        <v>381240</v>
      </c>
      <c r="AQ19" s="4126">
        <f t="shared" si="29"/>
        <v>228744</v>
      </c>
      <c r="AR19" s="4150">
        <f>G30*C19*AQ19*0.001</f>
        <v>1646.9567999999999</v>
      </c>
      <c r="AS19" s="4117"/>
      <c r="AT19" s="4117"/>
      <c r="AU19" s="4117"/>
      <c r="AV19" s="4117"/>
      <c r="AW19" s="4117"/>
      <c r="AX19" s="4117"/>
      <c r="AY19" s="4117"/>
      <c r="AZ19" s="4117"/>
      <c r="BA19" s="4117"/>
      <c r="BB19" s="4117"/>
      <c r="BC19" s="4117"/>
      <c r="BD19" s="4117"/>
      <c r="BE19" s="4117"/>
      <c r="BF19" s="4117"/>
      <c r="BG19" s="4117"/>
      <c r="BH19" s="4117"/>
      <c r="BI19" s="4117"/>
      <c r="BJ19" s="4117"/>
      <c r="BK19" s="4117"/>
      <c r="BL19" s="4117"/>
      <c r="BM19" s="4117"/>
      <c r="BN19" s="4117"/>
      <c r="BO19" s="4117"/>
      <c r="BP19" s="4117"/>
      <c r="BQ19" s="4117"/>
      <c r="BR19" s="4117"/>
      <c r="BS19" s="4117"/>
      <c r="BT19" s="4117"/>
      <c r="BU19" s="4117"/>
      <c r="BV19" s="4117"/>
      <c r="BW19" s="4117"/>
      <c r="BX19" s="4117"/>
      <c r="BY19" s="4117"/>
      <c r="BZ19" s="4117"/>
      <c r="CA19" s="4117"/>
      <c r="CB19" s="4117"/>
      <c r="CC19" s="4117"/>
      <c r="CD19" s="4117"/>
      <c r="CE19" s="4117"/>
      <c r="CF19" s="4117"/>
      <c r="CG19" s="4117"/>
      <c r="CH19" s="4117"/>
      <c r="CI19" s="4117"/>
      <c r="CJ19" s="4117"/>
      <c r="CK19" s="4117"/>
      <c r="CL19" s="4117"/>
      <c r="CM19" s="4117"/>
      <c r="CN19" s="4117"/>
      <c r="CO19" s="4117"/>
      <c r="CP19" s="4117"/>
      <c r="CQ19" s="4117"/>
      <c r="CR19" s="4117"/>
      <c r="CS19" s="4117"/>
      <c r="CT19" s="4117"/>
      <c r="CU19" s="4117"/>
      <c r="CV19" s="4117"/>
      <c r="CW19" s="4117"/>
      <c r="CX19" s="4117"/>
      <c r="CY19" s="4117"/>
      <c r="CZ19" s="4117"/>
      <c r="DA19" s="4117"/>
      <c r="DB19" s="4117"/>
      <c r="DC19" s="4117"/>
      <c r="DD19" s="4117"/>
      <c r="DE19" s="4117"/>
      <c r="DF19" s="4117"/>
      <c r="DG19" s="4117"/>
      <c r="DH19" s="4117"/>
      <c r="DI19" s="4117"/>
      <c r="DJ19" s="4117"/>
      <c r="DK19" s="4117"/>
      <c r="DL19" s="4117"/>
      <c r="DM19" s="4117"/>
      <c r="DN19" s="4117"/>
      <c r="DO19" s="4117"/>
      <c r="DP19" s="4117"/>
      <c r="DQ19" s="4117"/>
      <c r="DR19" s="4117"/>
      <c r="DS19" s="4117"/>
      <c r="DT19" s="4117"/>
      <c r="DU19" s="4117"/>
      <c r="DV19" s="4117"/>
      <c r="DW19" s="4117"/>
      <c r="DX19" s="4117"/>
      <c r="DY19" s="4117"/>
      <c r="DZ19" s="4117"/>
      <c r="EA19" s="4117"/>
      <c r="EB19" s="4117"/>
      <c r="EC19" s="4117"/>
      <c r="ED19" s="4117"/>
      <c r="EE19" s="4117"/>
      <c r="EF19" s="4117"/>
      <c r="EG19" s="4117"/>
      <c r="EH19" s="4117"/>
      <c r="EI19" s="4117"/>
      <c r="EJ19" s="4117"/>
      <c r="EK19" s="4117"/>
      <c r="EL19" s="4117"/>
      <c r="EM19" s="4117"/>
      <c r="EN19" s="4117"/>
      <c r="EO19" s="4117"/>
      <c r="EP19" s="4117"/>
      <c r="EQ19" s="4117"/>
      <c r="ER19" s="4117"/>
    </row>
    <row r="20" spans="1:148" s="4116" customFormat="1">
      <c r="A20" s="4341"/>
      <c r="B20" s="4128" t="s">
        <v>530</v>
      </c>
      <c r="C20" s="4128">
        <v>27</v>
      </c>
      <c r="D20" s="4128">
        <v>459</v>
      </c>
      <c r="E20" s="4129">
        <f t="shared" si="0"/>
        <v>137700</v>
      </c>
      <c r="F20" s="4129">
        <f t="shared" si="1"/>
        <v>82620</v>
      </c>
      <c r="G20" s="4129">
        <f t="shared" si="2"/>
        <v>49572</v>
      </c>
      <c r="H20" s="4130">
        <f>G30*G20*C20*0.001</f>
        <v>401.53320000000002</v>
      </c>
      <c r="I20" s="4129">
        <f t="shared" si="3"/>
        <v>183600</v>
      </c>
      <c r="J20" s="4129">
        <f t="shared" si="4"/>
        <v>110160</v>
      </c>
      <c r="K20" s="4129">
        <f t="shared" si="5"/>
        <v>66096</v>
      </c>
      <c r="L20" s="4130">
        <f>G30*K20*C20*0.001</f>
        <v>535.37760000000003</v>
      </c>
      <c r="M20" s="4129">
        <f t="shared" si="6"/>
        <v>183600</v>
      </c>
      <c r="N20" s="4129">
        <f t="shared" si="7"/>
        <v>146880</v>
      </c>
      <c r="O20" s="4129">
        <f t="shared" si="8"/>
        <v>88128</v>
      </c>
      <c r="P20" s="4130">
        <f>G30*O20*C20*0.001</f>
        <v>713.83680000000004</v>
      </c>
      <c r="Q20" s="4129">
        <f t="shared" si="9"/>
        <v>229500</v>
      </c>
      <c r="R20" s="4129">
        <f t="shared" si="10"/>
        <v>137700</v>
      </c>
      <c r="S20" s="4129">
        <f t="shared" si="11"/>
        <v>82620</v>
      </c>
      <c r="T20" s="4143">
        <f>G30*S20*C20*0.001</f>
        <v>669.22199999999998</v>
      </c>
      <c r="U20" s="4129">
        <f t="shared" si="12"/>
        <v>229500</v>
      </c>
      <c r="V20" s="4129">
        <f t="shared" si="13"/>
        <v>183600</v>
      </c>
      <c r="W20" s="4129">
        <f t="shared" si="14"/>
        <v>110160</v>
      </c>
      <c r="X20" s="4143">
        <f>G30*C20*W20*0.001</f>
        <v>892.29600000000005</v>
      </c>
      <c r="Y20" s="4129">
        <f t="shared" si="15"/>
        <v>275400</v>
      </c>
      <c r="Z20" s="4129">
        <f t="shared" si="16"/>
        <v>220320</v>
      </c>
      <c r="AA20" s="4129">
        <f t="shared" si="17"/>
        <v>132192</v>
      </c>
      <c r="AB20" s="4143">
        <f>G30*C20*AA20*0.001</f>
        <v>1070.7552000000001</v>
      </c>
      <c r="AC20" s="4129">
        <f t="shared" si="18"/>
        <v>367200</v>
      </c>
      <c r="AD20" s="4129">
        <f t="shared" si="19"/>
        <v>293760</v>
      </c>
      <c r="AE20" s="4129">
        <f t="shared" si="20"/>
        <v>176256</v>
      </c>
      <c r="AF20" s="4143">
        <f>G30*C20*AE20*0.001</f>
        <v>1427.6736000000001</v>
      </c>
      <c r="AG20" s="4129">
        <f t="shared" si="21"/>
        <v>413100</v>
      </c>
      <c r="AH20" s="4129">
        <f t="shared" si="22"/>
        <v>330480</v>
      </c>
      <c r="AI20" s="4129">
        <f t="shared" si="23"/>
        <v>198288</v>
      </c>
      <c r="AJ20" s="4143">
        <f>G30*C20*AI20*0.001</f>
        <v>1606.1328000000001</v>
      </c>
      <c r="AK20" s="4129">
        <f t="shared" si="24"/>
        <v>459000</v>
      </c>
      <c r="AL20" s="4129">
        <f t="shared" si="25"/>
        <v>413100</v>
      </c>
      <c r="AM20" s="4129">
        <f t="shared" si="26"/>
        <v>247860</v>
      </c>
      <c r="AN20" s="4143">
        <f>G30*C20*AM20*0.001</f>
        <v>2007.6659999999999</v>
      </c>
      <c r="AO20" s="4129">
        <f t="shared" si="27"/>
        <v>550800</v>
      </c>
      <c r="AP20" s="4129">
        <f t="shared" si="28"/>
        <v>495720</v>
      </c>
      <c r="AQ20" s="4129">
        <f t="shared" si="29"/>
        <v>297432</v>
      </c>
      <c r="AR20" s="4151">
        <f>G30*C20*AQ20*0.001</f>
        <v>2409.1992</v>
      </c>
      <c r="AS20" s="4117"/>
      <c r="AT20" s="4117"/>
      <c r="AU20" s="4117"/>
      <c r="AV20" s="4117"/>
      <c r="AW20" s="4117"/>
      <c r="AX20" s="4117"/>
      <c r="AY20" s="4117"/>
      <c r="AZ20" s="4117"/>
      <c r="BA20" s="4117"/>
      <c r="BB20" s="4117"/>
      <c r="BC20" s="4117"/>
      <c r="BD20" s="4117"/>
      <c r="BE20" s="4117"/>
      <c r="BF20" s="4117"/>
      <c r="BG20" s="4117"/>
      <c r="BH20" s="4117"/>
      <c r="BI20" s="4117"/>
      <c r="BJ20" s="4117"/>
      <c r="BK20" s="4117"/>
      <c r="BL20" s="4117"/>
      <c r="BM20" s="4117"/>
      <c r="BN20" s="4117"/>
      <c r="BO20" s="4117"/>
      <c r="BP20" s="4117"/>
      <c r="BQ20" s="4117"/>
      <c r="BR20" s="4117"/>
      <c r="BS20" s="4117"/>
      <c r="BT20" s="4117"/>
      <c r="BU20" s="4117"/>
      <c r="BV20" s="4117"/>
      <c r="BW20" s="4117"/>
      <c r="BX20" s="4117"/>
      <c r="BY20" s="4117"/>
      <c r="BZ20" s="4117"/>
      <c r="CA20" s="4117"/>
      <c r="CB20" s="4117"/>
      <c r="CC20" s="4117"/>
      <c r="CD20" s="4117"/>
      <c r="CE20" s="4117"/>
      <c r="CF20" s="4117"/>
      <c r="CG20" s="4117"/>
      <c r="CH20" s="4117"/>
      <c r="CI20" s="4117"/>
      <c r="CJ20" s="4117"/>
      <c r="CK20" s="4117"/>
      <c r="CL20" s="4117"/>
      <c r="CM20" s="4117"/>
      <c r="CN20" s="4117"/>
      <c r="CO20" s="4117"/>
      <c r="CP20" s="4117"/>
      <c r="CQ20" s="4117"/>
      <c r="CR20" s="4117"/>
      <c r="CS20" s="4117"/>
      <c r="CT20" s="4117"/>
      <c r="CU20" s="4117"/>
      <c r="CV20" s="4117"/>
      <c r="CW20" s="4117"/>
      <c r="CX20" s="4117"/>
      <c r="CY20" s="4117"/>
      <c r="CZ20" s="4117"/>
      <c r="DA20" s="4117"/>
      <c r="DB20" s="4117"/>
      <c r="DC20" s="4117"/>
      <c r="DD20" s="4117"/>
      <c r="DE20" s="4117"/>
      <c r="DF20" s="4117"/>
      <c r="DG20" s="4117"/>
      <c r="DH20" s="4117"/>
      <c r="DI20" s="4117"/>
      <c r="DJ20" s="4117"/>
      <c r="DK20" s="4117"/>
      <c r="DL20" s="4117"/>
      <c r="DM20" s="4117"/>
      <c r="DN20" s="4117"/>
      <c r="DO20" s="4117"/>
      <c r="DP20" s="4117"/>
      <c r="DQ20" s="4117"/>
      <c r="DR20" s="4117"/>
      <c r="DS20" s="4117"/>
      <c r="DT20" s="4117"/>
      <c r="DU20" s="4117"/>
      <c r="DV20" s="4117"/>
      <c r="DW20" s="4117"/>
      <c r="DX20" s="4117"/>
      <c r="DY20" s="4117"/>
      <c r="DZ20" s="4117"/>
      <c r="EA20" s="4117"/>
      <c r="EB20" s="4117"/>
      <c r="EC20" s="4117"/>
      <c r="ED20" s="4117"/>
      <c r="EE20" s="4117"/>
      <c r="EF20" s="4117"/>
      <c r="EG20" s="4117"/>
      <c r="EH20" s="4117"/>
      <c r="EI20" s="4117"/>
      <c r="EJ20" s="4117"/>
      <c r="EK20" s="4117"/>
      <c r="EL20" s="4117"/>
      <c r="EM20" s="4117"/>
      <c r="EN20" s="4117"/>
      <c r="EO20" s="4117"/>
      <c r="EP20" s="4117"/>
      <c r="EQ20" s="4117"/>
      <c r="ER20" s="4117"/>
    </row>
    <row r="21" spans="1:148" s="4113" customFormat="1">
      <c r="A21" s="4341"/>
      <c r="B21" s="4119" t="s">
        <v>531</v>
      </c>
      <c r="C21" s="4119">
        <v>30</v>
      </c>
      <c r="D21" s="4119">
        <v>561</v>
      </c>
      <c r="E21" s="4120">
        <f t="shared" si="0"/>
        <v>168300</v>
      </c>
      <c r="F21" s="4120">
        <f t="shared" si="1"/>
        <v>100980</v>
      </c>
      <c r="G21" s="4120">
        <f t="shared" si="2"/>
        <v>60588</v>
      </c>
      <c r="H21" s="4121">
        <f>G30*G21*C21*0.001</f>
        <v>545.29200000000003</v>
      </c>
      <c r="I21" s="4120">
        <f t="shared" si="3"/>
        <v>224400</v>
      </c>
      <c r="J21" s="4120">
        <f t="shared" si="4"/>
        <v>134640</v>
      </c>
      <c r="K21" s="4120">
        <f t="shared" si="5"/>
        <v>80784</v>
      </c>
      <c r="L21" s="4121">
        <f>G30*K21*C21*0.001</f>
        <v>727.05600000000004</v>
      </c>
      <c r="M21" s="4120">
        <f t="shared" si="6"/>
        <v>224400</v>
      </c>
      <c r="N21" s="4120">
        <f t="shared" si="7"/>
        <v>179520</v>
      </c>
      <c r="O21" s="4120">
        <f t="shared" si="8"/>
        <v>107712</v>
      </c>
      <c r="P21" s="4121">
        <f>G30*O21*C21*0.001</f>
        <v>969.40800000000002</v>
      </c>
      <c r="Q21" s="4120">
        <f t="shared" si="9"/>
        <v>280500</v>
      </c>
      <c r="R21" s="4120">
        <f t="shared" si="10"/>
        <v>168300</v>
      </c>
      <c r="S21" s="4120">
        <f t="shared" si="11"/>
        <v>100980</v>
      </c>
      <c r="T21" s="4140">
        <f>G30*S21*C21*0.001</f>
        <v>908.82</v>
      </c>
      <c r="U21" s="4120">
        <f t="shared" si="12"/>
        <v>280500</v>
      </c>
      <c r="V21" s="4120">
        <f t="shared" si="13"/>
        <v>224400</v>
      </c>
      <c r="W21" s="4120">
        <f t="shared" si="14"/>
        <v>134640</v>
      </c>
      <c r="X21" s="4140">
        <f>G30*C21*W21*0.001</f>
        <v>1211.76</v>
      </c>
      <c r="Y21" s="4120">
        <f t="shared" si="15"/>
        <v>336600</v>
      </c>
      <c r="Z21" s="4120">
        <f t="shared" si="16"/>
        <v>269280</v>
      </c>
      <c r="AA21" s="4120">
        <f t="shared" si="17"/>
        <v>161568</v>
      </c>
      <c r="AB21" s="4140">
        <f>G30*C21*AA21*0.001</f>
        <v>1454.1120000000001</v>
      </c>
      <c r="AC21" s="4120">
        <f t="shared" si="18"/>
        <v>448800</v>
      </c>
      <c r="AD21" s="4120">
        <f t="shared" si="19"/>
        <v>359040</v>
      </c>
      <c r="AE21" s="4120">
        <f t="shared" si="20"/>
        <v>215424</v>
      </c>
      <c r="AF21" s="4140">
        <f>G30*C21*AE21*0.001</f>
        <v>1938.816</v>
      </c>
      <c r="AG21" s="4120">
        <f t="shared" si="21"/>
        <v>504900</v>
      </c>
      <c r="AH21" s="4120">
        <f t="shared" si="22"/>
        <v>403920</v>
      </c>
      <c r="AI21" s="4120">
        <f t="shared" si="23"/>
        <v>242352</v>
      </c>
      <c r="AJ21" s="4140">
        <f>G30*C21*AI21*0.001</f>
        <v>2181.1680000000001</v>
      </c>
      <c r="AK21" s="4120">
        <f t="shared" si="24"/>
        <v>561000</v>
      </c>
      <c r="AL21" s="4120">
        <f t="shared" si="25"/>
        <v>504900</v>
      </c>
      <c r="AM21" s="4120">
        <f t="shared" si="26"/>
        <v>302940</v>
      </c>
      <c r="AN21" s="4140">
        <f>G30*C21*AM21*0.001</f>
        <v>2726.46</v>
      </c>
      <c r="AO21" s="4120">
        <f t="shared" si="27"/>
        <v>673200</v>
      </c>
      <c r="AP21" s="4120">
        <f t="shared" si="28"/>
        <v>605880</v>
      </c>
      <c r="AQ21" s="4120">
        <f t="shared" si="29"/>
        <v>363528</v>
      </c>
      <c r="AR21" s="4148">
        <f>G30*C21*AQ21*0.001</f>
        <v>3271.752</v>
      </c>
      <c r="AS21" s="4117"/>
      <c r="AT21" s="4117"/>
      <c r="AU21" s="4117"/>
      <c r="AV21" s="4117"/>
      <c r="AW21" s="4117"/>
      <c r="AX21" s="4117"/>
      <c r="AY21" s="4117"/>
      <c r="AZ21" s="4117"/>
      <c r="BA21" s="4117"/>
      <c r="BB21" s="4117"/>
      <c r="BC21" s="4117"/>
      <c r="BD21" s="4117"/>
      <c r="BE21" s="4117"/>
      <c r="BF21" s="4117"/>
      <c r="BG21" s="4117"/>
      <c r="BH21" s="4117"/>
      <c r="BI21" s="4117"/>
      <c r="BJ21" s="4117"/>
      <c r="BK21" s="4117"/>
      <c r="BL21" s="4117"/>
      <c r="BM21" s="4117"/>
      <c r="BN21" s="4117"/>
      <c r="BO21" s="4117"/>
      <c r="BP21" s="4117"/>
      <c r="BQ21" s="4117"/>
      <c r="BR21" s="4117"/>
      <c r="BS21" s="4117"/>
      <c r="BT21" s="4117"/>
      <c r="BU21" s="4117"/>
      <c r="BV21" s="4117"/>
      <c r="BW21" s="4117"/>
      <c r="BX21" s="4117"/>
      <c r="BY21" s="4117"/>
      <c r="BZ21" s="4117"/>
      <c r="CA21" s="4117"/>
      <c r="CB21" s="4117"/>
      <c r="CC21" s="4117"/>
      <c r="CD21" s="4117"/>
      <c r="CE21" s="4117"/>
      <c r="CF21" s="4117"/>
      <c r="CG21" s="4117"/>
      <c r="CH21" s="4117"/>
      <c r="CI21" s="4117"/>
      <c r="CJ21" s="4117"/>
      <c r="CK21" s="4117"/>
      <c r="CL21" s="4117"/>
      <c r="CM21" s="4117"/>
      <c r="CN21" s="4117"/>
      <c r="CO21" s="4117"/>
      <c r="CP21" s="4117"/>
      <c r="CQ21" s="4117"/>
      <c r="CR21" s="4117"/>
      <c r="CS21" s="4117"/>
      <c r="CT21" s="4117"/>
      <c r="CU21" s="4117"/>
      <c r="CV21" s="4117"/>
      <c r="CW21" s="4117"/>
      <c r="CX21" s="4117"/>
      <c r="CY21" s="4117"/>
      <c r="CZ21" s="4117"/>
      <c r="DA21" s="4117"/>
      <c r="DB21" s="4117"/>
      <c r="DC21" s="4117"/>
      <c r="DD21" s="4117"/>
      <c r="DE21" s="4117"/>
      <c r="DF21" s="4117"/>
      <c r="DG21" s="4117"/>
      <c r="DH21" s="4117"/>
      <c r="DI21" s="4117"/>
      <c r="DJ21" s="4117"/>
      <c r="DK21" s="4117"/>
      <c r="DL21" s="4117"/>
      <c r="DM21" s="4117"/>
      <c r="DN21" s="4117"/>
      <c r="DO21" s="4117"/>
      <c r="DP21" s="4117"/>
      <c r="DQ21" s="4117"/>
      <c r="DR21" s="4117"/>
      <c r="DS21" s="4117"/>
      <c r="DT21" s="4117"/>
      <c r="DU21" s="4117"/>
      <c r="DV21" s="4117"/>
      <c r="DW21" s="4117"/>
      <c r="DX21" s="4117"/>
      <c r="DY21" s="4117"/>
      <c r="DZ21" s="4117"/>
      <c r="EA21" s="4117"/>
      <c r="EB21" s="4117"/>
      <c r="EC21" s="4117"/>
      <c r="ED21" s="4117"/>
      <c r="EE21" s="4117"/>
      <c r="EF21" s="4117"/>
      <c r="EG21" s="4117"/>
      <c r="EH21" s="4117"/>
      <c r="EI21" s="4117"/>
      <c r="EJ21" s="4117"/>
      <c r="EK21" s="4117"/>
      <c r="EL21" s="4117"/>
      <c r="EM21" s="4117"/>
      <c r="EN21" s="4117"/>
      <c r="EO21" s="4117"/>
      <c r="EP21" s="4117"/>
      <c r="EQ21" s="4117"/>
      <c r="ER21" s="4117"/>
    </row>
    <row r="22" spans="1:148" s="4114" customFormat="1">
      <c r="A22" s="4341"/>
      <c r="B22" s="4122" t="s">
        <v>532</v>
      </c>
      <c r="C22" s="4122">
        <v>33</v>
      </c>
      <c r="D22" s="4122">
        <v>694</v>
      </c>
      <c r="E22" s="4123">
        <f t="shared" si="0"/>
        <v>208200</v>
      </c>
      <c r="F22" s="4123">
        <f t="shared" si="1"/>
        <v>124920</v>
      </c>
      <c r="G22" s="4123">
        <f t="shared" si="2"/>
        <v>74952</v>
      </c>
      <c r="H22" s="4124">
        <f>G30*G22*C22*0.001</f>
        <v>742.02480000000003</v>
      </c>
      <c r="I22" s="4123">
        <f t="shared" si="3"/>
        <v>277600</v>
      </c>
      <c r="J22" s="4123">
        <f t="shared" si="4"/>
        <v>166560</v>
      </c>
      <c r="K22" s="4123">
        <f t="shared" si="5"/>
        <v>99936</v>
      </c>
      <c r="L22" s="4124">
        <f>G30*K22*C22*0.001</f>
        <v>989.3664</v>
      </c>
      <c r="M22" s="4123">
        <f t="shared" si="6"/>
        <v>277600</v>
      </c>
      <c r="N22" s="4123">
        <f t="shared" si="7"/>
        <v>222080</v>
      </c>
      <c r="O22" s="4123">
        <f t="shared" si="8"/>
        <v>133248</v>
      </c>
      <c r="P22" s="4124">
        <f>G30*O22*C22*0.001</f>
        <v>1319.1551999999999</v>
      </c>
      <c r="Q22" s="4123">
        <f t="shared" si="9"/>
        <v>347000</v>
      </c>
      <c r="R22" s="4123">
        <f t="shared" si="10"/>
        <v>208200</v>
      </c>
      <c r="S22" s="4123">
        <f t="shared" si="11"/>
        <v>124920</v>
      </c>
      <c r="T22" s="4141">
        <f>G30*S22*C22*0.001</f>
        <v>1236.7080000000001</v>
      </c>
      <c r="U22" s="4123">
        <f t="shared" si="12"/>
        <v>347000</v>
      </c>
      <c r="V22" s="4123">
        <f t="shared" si="13"/>
        <v>277600</v>
      </c>
      <c r="W22" s="4123">
        <f t="shared" si="14"/>
        <v>166560</v>
      </c>
      <c r="X22" s="4141">
        <f>G30*C22*W22*0.001</f>
        <v>1648.944</v>
      </c>
      <c r="Y22" s="4123">
        <f t="shared" si="15"/>
        <v>416400</v>
      </c>
      <c r="Z22" s="4123">
        <f t="shared" si="16"/>
        <v>333120</v>
      </c>
      <c r="AA22" s="4123">
        <f t="shared" si="17"/>
        <v>199872</v>
      </c>
      <c r="AB22" s="4141">
        <f>G30*C22*AA22*0.001</f>
        <v>1978.7328</v>
      </c>
      <c r="AC22" s="4123">
        <f t="shared" si="18"/>
        <v>555200</v>
      </c>
      <c r="AD22" s="4123">
        <f t="shared" si="19"/>
        <v>444160</v>
      </c>
      <c r="AE22" s="4123">
        <f t="shared" si="20"/>
        <v>266496</v>
      </c>
      <c r="AF22" s="4141">
        <f>G30*C22*AE22*0.001</f>
        <v>2638.3103999999998</v>
      </c>
      <c r="AG22" s="4123">
        <f t="shared" si="21"/>
        <v>624600</v>
      </c>
      <c r="AH22" s="4123">
        <f t="shared" si="22"/>
        <v>499680</v>
      </c>
      <c r="AI22" s="4123">
        <f t="shared" si="23"/>
        <v>299808</v>
      </c>
      <c r="AJ22" s="4141">
        <f>G30*C22*AI22*0.001</f>
        <v>2968.0992000000001</v>
      </c>
      <c r="AK22" s="4123">
        <f t="shared" si="24"/>
        <v>694000</v>
      </c>
      <c r="AL22" s="4123">
        <f t="shared" si="25"/>
        <v>624600</v>
      </c>
      <c r="AM22" s="4123">
        <f t="shared" si="26"/>
        <v>374760</v>
      </c>
      <c r="AN22" s="4141">
        <f>G30*C22*AM22*0.001</f>
        <v>3710.1239999999998</v>
      </c>
      <c r="AO22" s="4123">
        <f t="shared" si="27"/>
        <v>832800</v>
      </c>
      <c r="AP22" s="4123">
        <f t="shared" si="28"/>
        <v>749520</v>
      </c>
      <c r="AQ22" s="4123">
        <f t="shared" si="29"/>
        <v>449712</v>
      </c>
      <c r="AR22" s="4149">
        <f>G30*C22*AQ22*0.001</f>
        <v>4452.1487999999999</v>
      </c>
      <c r="AS22" s="4117"/>
      <c r="AT22" s="4117"/>
      <c r="AU22" s="4117"/>
      <c r="AV22" s="4117"/>
      <c r="AW22" s="4117"/>
      <c r="AX22" s="4117"/>
      <c r="AY22" s="4117"/>
      <c r="AZ22" s="4117"/>
      <c r="BA22" s="4117"/>
      <c r="BB22" s="4117"/>
      <c r="BC22" s="4117"/>
      <c r="BD22" s="4117"/>
      <c r="BE22" s="4117"/>
      <c r="BF22" s="4117"/>
      <c r="BG22" s="4117"/>
      <c r="BH22" s="4117"/>
      <c r="BI22" s="4117"/>
      <c r="BJ22" s="4117"/>
      <c r="BK22" s="4117"/>
      <c r="BL22" s="4117"/>
      <c r="BM22" s="4117"/>
      <c r="BN22" s="4117"/>
      <c r="BO22" s="4117"/>
      <c r="BP22" s="4117"/>
      <c r="BQ22" s="4117"/>
      <c r="BR22" s="4117"/>
      <c r="BS22" s="4117"/>
      <c r="BT22" s="4117"/>
      <c r="BU22" s="4117"/>
      <c r="BV22" s="4117"/>
      <c r="BW22" s="4117"/>
      <c r="BX22" s="4117"/>
      <c r="BY22" s="4117"/>
      <c r="BZ22" s="4117"/>
      <c r="CA22" s="4117"/>
      <c r="CB22" s="4117"/>
      <c r="CC22" s="4117"/>
      <c r="CD22" s="4117"/>
      <c r="CE22" s="4117"/>
      <c r="CF22" s="4117"/>
      <c r="CG22" s="4117"/>
      <c r="CH22" s="4117"/>
      <c r="CI22" s="4117"/>
      <c r="CJ22" s="4117"/>
      <c r="CK22" s="4117"/>
      <c r="CL22" s="4117"/>
      <c r="CM22" s="4117"/>
      <c r="CN22" s="4117"/>
      <c r="CO22" s="4117"/>
      <c r="CP22" s="4117"/>
      <c r="CQ22" s="4117"/>
      <c r="CR22" s="4117"/>
      <c r="CS22" s="4117"/>
      <c r="CT22" s="4117"/>
      <c r="CU22" s="4117"/>
      <c r="CV22" s="4117"/>
      <c r="CW22" s="4117"/>
      <c r="CX22" s="4117"/>
      <c r="CY22" s="4117"/>
      <c r="CZ22" s="4117"/>
      <c r="DA22" s="4117"/>
      <c r="DB22" s="4117"/>
      <c r="DC22" s="4117"/>
      <c r="DD22" s="4117"/>
      <c r="DE22" s="4117"/>
      <c r="DF22" s="4117"/>
      <c r="DG22" s="4117"/>
      <c r="DH22" s="4117"/>
      <c r="DI22" s="4117"/>
      <c r="DJ22" s="4117"/>
      <c r="DK22" s="4117"/>
      <c r="DL22" s="4117"/>
      <c r="DM22" s="4117"/>
      <c r="DN22" s="4117"/>
      <c r="DO22" s="4117"/>
      <c r="DP22" s="4117"/>
      <c r="DQ22" s="4117"/>
      <c r="DR22" s="4117"/>
      <c r="DS22" s="4117"/>
      <c r="DT22" s="4117"/>
      <c r="DU22" s="4117"/>
      <c r="DV22" s="4117"/>
      <c r="DW22" s="4117"/>
      <c r="DX22" s="4117"/>
      <c r="DY22" s="4117"/>
      <c r="DZ22" s="4117"/>
      <c r="EA22" s="4117"/>
      <c r="EB22" s="4117"/>
      <c r="EC22" s="4117"/>
      <c r="ED22" s="4117"/>
      <c r="EE22" s="4117"/>
      <c r="EF22" s="4117"/>
      <c r="EG22" s="4117"/>
      <c r="EH22" s="4117"/>
      <c r="EI22" s="4117"/>
      <c r="EJ22" s="4117"/>
      <c r="EK22" s="4117"/>
      <c r="EL22" s="4117"/>
      <c r="EM22" s="4117"/>
      <c r="EN22" s="4117"/>
      <c r="EO22" s="4117"/>
      <c r="EP22" s="4117"/>
      <c r="EQ22" s="4117"/>
      <c r="ER22" s="4117"/>
    </row>
    <row r="23" spans="1:148" s="4115" customFormat="1">
      <c r="A23" s="4341"/>
      <c r="B23" s="4125" t="s">
        <v>533</v>
      </c>
      <c r="C23" s="4125">
        <v>36</v>
      </c>
      <c r="D23" s="4125">
        <v>817</v>
      </c>
      <c r="E23" s="4126">
        <f t="shared" si="0"/>
        <v>245100</v>
      </c>
      <c r="F23" s="4126">
        <f t="shared" si="1"/>
        <v>147060</v>
      </c>
      <c r="G23" s="4126">
        <f t="shared" si="2"/>
        <v>88236</v>
      </c>
      <c r="H23" s="4127">
        <f>G30*G23*C23*0.001</f>
        <v>952.94880000000001</v>
      </c>
      <c r="I23" s="4126">
        <f t="shared" si="3"/>
        <v>326800</v>
      </c>
      <c r="J23" s="4126">
        <f t="shared" si="4"/>
        <v>196080</v>
      </c>
      <c r="K23" s="4126">
        <f t="shared" si="5"/>
        <v>117648</v>
      </c>
      <c r="L23" s="4127">
        <f>G30*K23*C23*0.001</f>
        <v>1270.5984000000001</v>
      </c>
      <c r="M23" s="4126">
        <f t="shared" si="6"/>
        <v>326800</v>
      </c>
      <c r="N23" s="4126">
        <f t="shared" si="7"/>
        <v>261440</v>
      </c>
      <c r="O23" s="4126">
        <f t="shared" si="8"/>
        <v>156864</v>
      </c>
      <c r="P23" s="4127">
        <f>G30*O23*C23*0.001</f>
        <v>1694.1312</v>
      </c>
      <c r="Q23" s="4126">
        <f t="shared" si="9"/>
        <v>408500</v>
      </c>
      <c r="R23" s="4126">
        <f t="shared" si="10"/>
        <v>245100</v>
      </c>
      <c r="S23" s="4126">
        <f t="shared" si="11"/>
        <v>147060</v>
      </c>
      <c r="T23" s="4142">
        <f>G30*S23*C23*0.001</f>
        <v>1588.248</v>
      </c>
      <c r="U23" s="4126">
        <f t="shared" si="12"/>
        <v>408500</v>
      </c>
      <c r="V23" s="4126">
        <f t="shared" si="13"/>
        <v>326800</v>
      </c>
      <c r="W23" s="4126">
        <f t="shared" si="14"/>
        <v>196080</v>
      </c>
      <c r="X23" s="4142">
        <f>G30*C23*W23*0.001</f>
        <v>2117.6640000000002</v>
      </c>
      <c r="Y23" s="4126">
        <f t="shared" si="15"/>
        <v>490200</v>
      </c>
      <c r="Z23" s="4126">
        <f t="shared" si="16"/>
        <v>392160</v>
      </c>
      <c r="AA23" s="4126">
        <f t="shared" si="17"/>
        <v>235296</v>
      </c>
      <c r="AB23" s="4142">
        <f>G30*C23*AA23*0.001</f>
        <v>2541.1968000000002</v>
      </c>
      <c r="AC23" s="4126">
        <f t="shared" si="18"/>
        <v>653600</v>
      </c>
      <c r="AD23" s="4126">
        <f t="shared" si="19"/>
        <v>522880</v>
      </c>
      <c r="AE23" s="4126">
        <f t="shared" si="20"/>
        <v>313728</v>
      </c>
      <c r="AF23" s="4142">
        <f>G30*C23*AE23*0.001</f>
        <v>3388.2624000000001</v>
      </c>
      <c r="AG23" s="4126">
        <f t="shared" si="21"/>
        <v>735300</v>
      </c>
      <c r="AH23" s="4126">
        <f t="shared" si="22"/>
        <v>588240</v>
      </c>
      <c r="AI23" s="4126">
        <f t="shared" si="23"/>
        <v>352944</v>
      </c>
      <c r="AJ23" s="4142">
        <f>G30*C23*AI23*0.001</f>
        <v>3811.7952</v>
      </c>
      <c r="AK23" s="4126">
        <f t="shared" si="24"/>
        <v>817000</v>
      </c>
      <c r="AL23" s="4126">
        <f t="shared" si="25"/>
        <v>735300</v>
      </c>
      <c r="AM23" s="4126">
        <f t="shared" si="26"/>
        <v>441180</v>
      </c>
      <c r="AN23" s="4142">
        <f>G30*C23*AM23*0.001</f>
        <v>4764.7439999999997</v>
      </c>
      <c r="AO23" s="4126">
        <f t="shared" si="27"/>
        <v>980400</v>
      </c>
      <c r="AP23" s="4126">
        <f t="shared" si="28"/>
        <v>882360</v>
      </c>
      <c r="AQ23" s="4126">
        <f t="shared" si="29"/>
        <v>529416</v>
      </c>
      <c r="AR23" s="4150">
        <f>G30*C23*AQ23*0.001</f>
        <v>5717.6927999999998</v>
      </c>
      <c r="AS23" s="4117"/>
      <c r="AT23" s="4117"/>
      <c r="AU23" s="4117"/>
      <c r="AV23" s="4117"/>
      <c r="AW23" s="4117"/>
      <c r="AX23" s="4117"/>
      <c r="AY23" s="4117"/>
      <c r="AZ23" s="4117"/>
      <c r="BA23" s="4117"/>
      <c r="BB23" s="4117"/>
      <c r="BC23" s="4117"/>
      <c r="BD23" s="4117"/>
      <c r="BE23" s="4117"/>
      <c r="BF23" s="4117"/>
      <c r="BG23" s="4117"/>
      <c r="BH23" s="4117"/>
      <c r="BI23" s="4117"/>
      <c r="BJ23" s="4117"/>
      <c r="BK23" s="4117"/>
      <c r="BL23" s="4117"/>
      <c r="BM23" s="4117"/>
      <c r="BN23" s="4117"/>
      <c r="BO23" s="4117"/>
      <c r="BP23" s="4117"/>
      <c r="BQ23" s="4117"/>
      <c r="BR23" s="4117"/>
      <c r="BS23" s="4117"/>
      <c r="BT23" s="4117"/>
      <c r="BU23" s="4117"/>
      <c r="BV23" s="4117"/>
      <c r="BW23" s="4117"/>
      <c r="BX23" s="4117"/>
      <c r="BY23" s="4117"/>
      <c r="BZ23" s="4117"/>
      <c r="CA23" s="4117"/>
      <c r="CB23" s="4117"/>
      <c r="CC23" s="4117"/>
      <c r="CD23" s="4117"/>
      <c r="CE23" s="4117"/>
      <c r="CF23" s="4117"/>
      <c r="CG23" s="4117"/>
      <c r="CH23" s="4117"/>
      <c r="CI23" s="4117"/>
      <c r="CJ23" s="4117"/>
      <c r="CK23" s="4117"/>
      <c r="CL23" s="4117"/>
      <c r="CM23" s="4117"/>
      <c r="CN23" s="4117"/>
      <c r="CO23" s="4117"/>
      <c r="CP23" s="4117"/>
      <c r="CQ23" s="4117"/>
      <c r="CR23" s="4117"/>
      <c r="CS23" s="4117"/>
      <c r="CT23" s="4117"/>
      <c r="CU23" s="4117"/>
      <c r="CV23" s="4117"/>
      <c r="CW23" s="4117"/>
      <c r="CX23" s="4117"/>
      <c r="CY23" s="4117"/>
      <c r="CZ23" s="4117"/>
      <c r="DA23" s="4117"/>
      <c r="DB23" s="4117"/>
      <c r="DC23" s="4117"/>
      <c r="DD23" s="4117"/>
      <c r="DE23" s="4117"/>
      <c r="DF23" s="4117"/>
      <c r="DG23" s="4117"/>
      <c r="DH23" s="4117"/>
      <c r="DI23" s="4117"/>
      <c r="DJ23" s="4117"/>
      <c r="DK23" s="4117"/>
      <c r="DL23" s="4117"/>
      <c r="DM23" s="4117"/>
      <c r="DN23" s="4117"/>
      <c r="DO23" s="4117"/>
      <c r="DP23" s="4117"/>
      <c r="DQ23" s="4117"/>
      <c r="DR23" s="4117"/>
      <c r="DS23" s="4117"/>
      <c r="DT23" s="4117"/>
      <c r="DU23" s="4117"/>
      <c r="DV23" s="4117"/>
      <c r="DW23" s="4117"/>
      <c r="DX23" s="4117"/>
      <c r="DY23" s="4117"/>
      <c r="DZ23" s="4117"/>
      <c r="EA23" s="4117"/>
      <c r="EB23" s="4117"/>
      <c r="EC23" s="4117"/>
      <c r="ED23" s="4117"/>
      <c r="EE23" s="4117"/>
      <c r="EF23" s="4117"/>
      <c r="EG23" s="4117"/>
      <c r="EH23" s="4117"/>
      <c r="EI23" s="4117"/>
      <c r="EJ23" s="4117"/>
      <c r="EK23" s="4117"/>
      <c r="EL23" s="4117"/>
      <c r="EM23" s="4117"/>
      <c r="EN23" s="4117"/>
      <c r="EO23" s="4117"/>
      <c r="EP23" s="4117"/>
      <c r="EQ23" s="4117"/>
      <c r="ER23" s="4117"/>
    </row>
    <row r="24" spans="1:148" s="4116" customFormat="1">
      <c r="A24" s="4348"/>
      <c r="B24" s="4131" t="s">
        <v>534</v>
      </c>
      <c r="C24" s="4131">
        <v>39</v>
      </c>
      <c r="D24" s="4131">
        <v>976</v>
      </c>
      <c r="E24" s="4132">
        <f t="shared" si="0"/>
        <v>292800</v>
      </c>
      <c r="F24" s="4132">
        <f t="shared" si="1"/>
        <v>175680</v>
      </c>
      <c r="G24" s="4132">
        <f t="shared" si="2"/>
        <v>105408</v>
      </c>
      <c r="H24" s="4133">
        <f>G30*G24*C24*0.001</f>
        <v>1233.2736</v>
      </c>
      <c r="I24" s="4132">
        <f t="shared" si="3"/>
        <v>390400</v>
      </c>
      <c r="J24" s="4132">
        <f t="shared" si="4"/>
        <v>234240</v>
      </c>
      <c r="K24" s="4132">
        <f t="shared" si="5"/>
        <v>140544</v>
      </c>
      <c r="L24" s="4133">
        <f>G30*K24*C24*0.001</f>
        <v>1644.3648000000001</v>
      </c>
      <c r="M24" s="4132">
        <f t="shared" si="6"/>
        <v>390400</v>
      </c>
      <c r="N24" s="4132">
        <f t="shared" si="7"/>
        <v>312320</v>
      </c>
      <c r="O24" s="4132">
        <f t="shared" si="8"/>
        <v>187392</v>
      </c>
      <c r="P24" s="4133">
        <f>G30*O24*C24*0.001</f>
        <v>2192.4863999999998</v>
      </c>
      <c r="Q24" s="4132">
        <f t="shared" si="9"/>
        <v>488000</v>
      </c>
      <c r="R24" s="4132">
        <f t="shared" si="10"/>
        <v>292800</v>
      </c>
      <c r="S24" s="4132">
        <f t="shared" si="11"/>
        <v>175680</v>
      </c>
      <c r="T24" s="4144">
        <f>G30*S24*C24*0.001</f>
        <v>2055.4560000000001</v>
      </c>
      <c r="U24" s="4132">
        <f t="shared" si="12"/>
        <v>488000</v>
      </c>
      <c r="V24" s="4132">
        <f t="shared" si="13"/>
        <v>390400</v>
      </c>
      <c r="W24" s="4132">
        <f t="shared" si="14"/>
        <v>234240</v>
      </c>
      <c r="X24" s="4144">
        <f>G30*C24*W24*0.001</f>
        <v>2740.6080000000002</v>
      </c>
      <c r="Y24" s="4132">
        <f t="shared" si="15"/>
        <v>585600</v>
      </c>
      <c r="Z24" s="4132">
        <f t="shared" si="16"/>
        <v>468480</v>
      </c>
      <c r="AA24" s="4132">
        <f t="shared" si="17"/>
        <v>281088</v>
      </c>
      <c r="AB24" s="4144">
        <f>G30*C24*AA24*0.001</f>
        <v>3288.7296000000001</v>
      </c>
      <c r="AC24" s="4132">
        <f t="shared" si="18"/>
        <v>780800</v>
      </c>
      <c r="AD24" s="4132">
        <f t="shared" si="19"/>
        <v>624640</v>
      </c>
      <c r="AE24" s="4132">
        <f t="shared" si="20"/>
        <v>374784</v>
      </c>
      <c r="AF24" s="4144">
        <f>G30*C24*AE24*0.001</f>
        <v>4384.9727999999996</v>
      </c>
      <c r="AG24" s="4132">
        <f t="shared" si="21"/>
        <v>878400</v>
      </c>
      <c r="AH24" s="4132">
        <f t="shared" si="22"/>
        <v>702720</v>
      </c>
      <c r="AI24" s="4132">
        <f t="shared" si="23"/>
        <v>421632</v>
      </c>
      <c r="AJ24" s="4144">
        <f>G30*C24*AI24*0.001</f>
        <v>4933.0944</v>
      </c>
      <c r="AK24" s="4132">
        <f t="shared" si="24"/>
        <v>976000</v>
      </c>
      <c r="AL24" s="4132">
        <f t="shared" si="25"/>
        <v>878400</v>
      </c>
      <c r="AM24" s="4132">
        <f t="shared" si="26"/>
        <v>527040</v>
      </c>
      <c r="AN24" s="4144">
        <f>G30*C24*AM24*0.001</f>
        <v>6166.3680000000004</v>
      </c>
      <c r="AO24" s="4132">
        <f t="shared" si="27"/>
        <v>1171200</v>
      </c>
      <c r="AP24" s="4132">
        <f t="shared" si="28"/>
        <v>1054080</v>
      </c>
      <c r="AQ24" s="4132">
        <f t="shared" si="29"/>
        <v>632448</v>
      </c>
      <c r="AR24" s="4152">
        <f>G30*C24*AQ24*0.001</f>
        <v>7399.6415999999999</v>
      </c>
      <c r="AS24" s="4117"/>
      <c r="AT24" s="4117"/>
      <c r="AU24" s="4117"/>
      <c r="AV24" s="4117"/>
      <c r="AW24" s="4117"/>
      <c r="AX24" s="4117"/>
      <c r="AY24" s="4117"/>
      <c r="AZ24" s="4117"/>
      <c r="BA24" s="4117"/>
      <c r="BB24" s="4117"/>
      <c r="BC24" s="4117"/>
      <c r="BD24" s="4117"/>
      <c r="BE24" s="4117"/>
      <c r="BF24" s="4117"/>
      <c r="BG24" s="4117"/>
      <c r="BH24" s="4117"/>
      <c r="BI24" s="4117"/>
      <c r="BJ24" s="4117"/>
      <c r="BK24" s="4117"/>
      <c r="BL24" s="4117"/>
      <c r="BM24" s="4117"/>
      <c r="BN24" s="4117"/>
      <c r="BO24" s="4117"/>
      <c r="BP24" s="4117"/>
      <c r="BQ24" s="4117"/>
      <c r="BR24" s="4117"/>
      <c r="BS24" s="4117"/>
      <c r="BT24" s="4117"/>
      <c r="BU24" s="4117"/>
      <c r="BV24" s="4117"/>
      <c r="BW24" s="4117"/>
      <c r="BX24" s="4117"/>
      <c r="BY24" s="4117"/>
      <c r="BZ24" s="4117"/>
      <c r="CA24" s="4117"/>
      <c r="CB24" s="4117"/>
      <c r="CC24" s="4117"/>
      <c r="CD24" s="4117"/>
      <c r="CE24" s="4117"/>
      <c r="CF24" s="4117"/>
      <c r="CG24" s="4117"/>
      <c r="CH24" s="4117"/>
      <c r="CI24" s="4117"/>
      <c r="CJ24" s="4117"/>
      <c r="CK24" s="4117"/>
      <c r="CL24" s="4117"/>
      <c r="CM24" s="4117"/>
      <c r="CN24" s="4117"/>
      <c r="CO24" s="4117"/>
      <c r="CP24" s="4117"/>
      <c r="CQ24" s="4117"/>
      <c r="CR24" s="4117"/>
      <c r="CS24" s="4117"/>
      <c r="CT24" s="4117"/>
      <c r="CU24" s="4117"/>
      <c r="CV24" s="4117"/>
      <c r="CW24" s="4117"/>
      <c r="CX24" s="4117"/>
      <c r="CY24" s="4117"/>
      <c r="CZ24" s="4117"/>
      <c r="DA24" s="4117"/>
      <c r="DB24" s="4117"/>
      <c r="DC24" s="4117"/>
      <c r="DD24" s="4117"/>
      <c r="DE24" s="4117"/>
      <c r="DF24" s="4117"/>
      <c r="DG24" s="4117"/>
      <c r="DH24" s="4117"/>
      <c r="DI24" s="4117"/>
      <c r="DJ24" s="4117"/>
      <c r="DK24" s="4117"/>
      <c r="DL24" s="4117"/>
      <c r="DM24" s="4117"/>
      <c r="DN24" s="4117"/>
      <c r="DO24" s="4117"/>
      <c r="DP24" s="4117"/>
      <c r="DQ24" s="4117"/>
      <c r="DR24" s="4117"/>
      <c r="DS24" s="4117"/>
      <c r="DT24" s="4117"/>
      <c r="DU24" s="4117"/>
      <c r="DV24" s="4117"/>
      <c r="DW24" s="4117"/>
      <c r="DX24" s="4117"/>
      <c r="DY24" s="4117"/>
      <c r="DZ24" s="4117"/>
      <c r="EA24" s="4117"/>
      <c r="EB24" s="4117"/>
      <c r="EC24" s="4117"/>
      <c r="ED24" s="4117"/>
      <c r="EE24" s="4117"/>
      <c r="EF24" s="4117"/>
      <c r="EG24" s="4117"/>
      <c r="EH24" s="4117"/>
      <c r="EI24" s="4117"/>
      <c r="EJ24" s="4117"/>
      <c r="EK24" s="4117"/>
      <c r="EL24" s="4117"/>
      <c r="EM24" s="4117"/>
      <c r="EN24" s="4117"/>
      <c r="EO24" s="4117"/>
      <c r="EP24" s="4117"/>
      <c r="EQ24" s="4117"/>
      <c r="ER24" s="4117"/>
    </row>
    <row r="25" spans="1:148" s="4116" customFormat="1" ht="22.5">
      <c r="A25" s="4134"/>
      <c r="B25" s="4119"/>
      <c r="C25" s="4119"/>
      <c r="D25" s="4119"/>
      <c r="E25" s="4119"/>
      <c r="F25" s="4119"/>
      <c r="G25" s="4119"/>
      <c r="H25" s="4119"/>
      <c r="I25" s="4119"/>
      <c r="J25" s="4119"/>
      <c r="K25" s="4119"/>
      <c r="L25" s="4119"/>
      <c r="M25" s="4119"/>
      <c r="N25" s="4119"/>
      <c r="O25" s="4119"/>
      <c r="P25" s="4119"/>
      <c r="Q25" s="4119"/>
      <c r="R25" s="4119"/>
      <c r="S25" s="4119"/>
      <c r="T25" s="4119"/>
      <c r="U25" s="4119"/>
      <c r="V25" s="4119"/>
      <c r="W25" s="4119"/>
      <c r="X25" s="4119"/>
      <c r="Y25" s="4119"/>
      <c r="Z25" s="4119"/>
      <c r="AA25" s="4119"/>
      <c r="AB25" s="4119"/>
      <c r="AC25" s="4119"/>
      <c r="AD25" s="4119"/>
      <c r="AE25" s="4119"/>
      <c r="AF25" s="4119"/>
      <c r="AG25" s="4119"/>
      <c r="AH25" s="4119"/>
      <c r="AI25" s="4119"/>
      <c r="AJ25" s="4119"/>
      <c r="AK25" s="4119"/>
      <c r="AL25" s="4119"/>
      <c r="AM25" s="4119"/>
      <c r="AN25" s="4119"/>
      <c r="AO25" s="4119"/>
      <c r="AP25" s="4119"/>
      <c r="AQ25" s="4119"/>
      <c r="AR25" s="4119"/>
      <c r="AS25" s="4117"/>
      <c r="AT25" s="4117"/>
      <c r="AU25" s="4117"/>
      <c r="AV25" s="4117"/>
      <c r="AW25" s="4117"/>
      <c r="AX25" s="4117"/>
      <c r="AY25" s="4117"/>
      <c r="AZ25" s="4117"/>
      <c r="BA25" s="4117"/>
      <c r="BB25" s="4117"/>
      <c r="BC25" s="4117"/>
      <c r="BD25" s="4117"/>
      <c r="BE25" s="4117"/>
      <c r="BF25" s="4117"/>
      <c r="BG25" s="4117"/>
      <c r="BH25" s="4117"/>
      <c r="BI25" s="4117"/>
      <c r="BJ25" s="4117"/>
      <c r="BK25" s="4117"/>
      <c r="BL25" s="4117"/>
      <c r="BM25" s="4117"/>
      <c r="BN25" s="4117"/>
      <c r="BO25" s="4117"/>
      <c r="BP25" s="4117"/>
      <c r="BQ25" s="4117"/>
      <c r="BR25" s="4117"/>
      <c r="BS25" s="4117"/>
      <c r="BT25" s="4117"/>
      <c r="BU25" s="4117"/>
      <c r="BV25" s="4117"/>
      <c r="BW25" s="4117"/>
      <c r="BX25" s="4117"/>
      <c r="BY25" s="4117"/>
      <c r="BZ25" s="4117"/>
      <c r="CA25" s="4117"/>
      <c r="CB25" s="4117"/>
      <c r="CC25" s="4117"/>
      <c r="CD25" s="4117"/>
      <c r="CE25" s="4117"/>
      <c r="CF25" s="4117"/>
      <c r="CG25" s="4117"/>
      <c r="CH25" s="4117"/>
      <c r="CI25" s="4117"/>
      <c r="CJ25" s="4117"/>
      <c r="CK25" s="4117"/>
      <c r="CL25" s="4117"/>
      <c r="CM25" s="4117"/>
      <c r="CN25" s="4117"/>
      <c r="CO25" s="4117"/>
      <c r="CP25" s="4117"/>
      <c r="CQ25" s="4117"/>
      <c r="CR25" s="4117"/>
      <c r="CS25" s="4117"/>
      <c r="CT25" s="4117"/>
      <c r="CU25" s="4117"/>
      <c r="CV25" s="4117"/>
      <c r="CW25" s="4117"/>
      <c r="CX25" s="4117"/>
      <c r="CY25" s="4117"/>
      <c r="CZ25" s="4117"/>
      <c r="DA25" s="4117"/>
      <c r="DB25" s="4117"/>
      <c r="DC25" s="4117"/>
      <c r="DD25" s="4117"/>
      <c r="DE25" s="4117"/>
      <c r="DF25" s="4117"/>
      <c r="DG25" s="4117"/>
      <c r="DH25" s="4117"/>
      <c r="DI25" s="4117"/>
      <c r="DJ25" s="4117"/>
      <c r="DK25" s="4117"/>
      <c r="DL25" s="4117"/>
      <c r="DM25" s="4117"/>
      <c r="DN25" s="4117"/>
      <c r="DO25" s="4117"/>
      <c r="DP25" s="4117"/>
      <c r="DQ25" s="4117"/>
      <c r="DR25" s="4117"/>
      <c r="DS25" s="4117"/>
      <c r="DT25" s="4117"/>
      <c r="DU25" s="4117"/>
      <c r="DV25" s="4117"/>
      <c r="DW25" s="4117"/>
      <c r="DX25" s="4117"/>
      <c r="DY25" s="4117"/>
      <c r="DZ25" s="4117"/>
      <c r="EA25" s="4117"/>
      <c r="EB25" s="4117"/>
      <c r="EC25" s="4117"/>
      <c r="ED25" s="4117"/>
      <c r="EE25" s="4117"/>
      <c r="EF25" s="4117"/>
      <c r="EG25" s="4117"/>
      <c r="EH25" s="4117"/>
      <c r="EI25" s="4117"/>
      <c r="EJ25" s="4117"/>
      <c r="EK25" s="4117"/>
      <c r="EL25" s="4117"/>
      <c r="EM25" s="4117"/>
      <c r="EN25" s="4117"/>
      <c r="EO25" s="4117"/>
      <c r="EP25" s="4117"/>
      <c r="EQ25" s="4117"/>
      <c r="ER25" s="4117"/>
    </row>
    <row r="26" spans="1:148" s="4116" customFormat="1" ht="22.5">
      <c r="A26" s="4134"/>
      <c r="B26" s="4122"/>
      <c r="C26" s="4122"/>
      <c r="D26" s="4122"/>
      <c r="E26" s="4122"/>
      <c r="F26" s="4122"/>
      <c r="G26" s="4122"/>
      <c r="H26" s="4122"/>
      <c r="I26" s="4122"/>
      <c r="J26" s="4122"/>
      <c r="K26" s="4122"/>
      <c r="L26" s="4122"/>
      <c r="M26" s="4122"/>
      <c r="N26" s="4122"/>
      <c r="O26" s="4122"/>
      <c r="P26" s="4122"/>
      <c r="Q26" s="4122"/>
      <c r="R26" s="4122"/>
      <c r="S26" s="4122"/>
      <c r="T26" s="4122"/>
      <c r="U26" s="4122"/>
      <c r="V26" s="4122"/>
      <c r="W26" s="4122"/>
      <c r="X26" s="4122"/>
      <c r="Y26" s="4122"/>
      <c r="Z26" s="4122"/>
      <c r="AA26" s="4122"/>
      <c r="AB26" s="4122"/>
      <c r="AC26" s="4122"/>
      <c r="AD26" s="4122"/>
      <c r="AE26" s="4122"/>
      <c r="AF26" s="4122"/>
      <c r="AG26" s="4122"/>
      <c r="AH26" s="4122"/>
      <c r="AI26" s="4122"/>
      <c r="AJ26" s="4122"/>
      <c r="AK26" s="4122"/>
      <c r="AL26" s="4122"/>
      <c r="AM26" s="4122"/>
      <c r="AN26" s="4122"/>
      <c r="AO26" s="4122"/>
      <c r="AP26" s="4122"/>
      <c r="AQ26" s="4122"/>
      <c r="AR26" s="4122"/>
      <c r="AS26" s="4117"/>
      <c r="AT26" s="4117"/>
      <c r="AU26" s="4117"/>
      <c r="AV26" s="4117"/>
      <c r="AW26" s="4117"/>
      <c r="AX26" s="4117"/>
      <c r="AY26" s="4117"/>
      <c r="AZ26" s="4117"/>
      <c r="BA26" s="4117"/>
      <c r="BB26" s="4117"/>
      <c r="BC26" s="4117"/>
      <c r="BD26" s="4117"/>
      <c r="BE26" s="4117"/>
      <c r="BF26" s="4117"/>
      <c r="BG26" s="4117"/>
      <c r="BH26" s="4117"/>
      <c r="BI26" s="4117"/>
      <c r="BJ26" s="4117"/>
      <c r="BK26" s="4117"/>
      <c r="BL26" s="4117"/>
      <c r="BM26" s="4117"/>
      <c r="BN26" s="4117"/>
      <c r="BO26" s="4117"/>
      <c r="BP26" s="4117"/>
      <c r="BQ26" s="4117"/>
      <c r="BR26" s="4117"/>
      <c r="BS26" s="4117"/>
      <c r="BT26" s="4117"/>
      <c r="BU26" s="4117"/>
      <c r="BV26" s="4117"/>
      <c r="BW26" s="4117"/>
      <c r="BX26" s="4117"/>
      <c r="BY26" s="4117"/>
      <c r="BZ26" s="4117"/>
      <c r="CA26" s="4117"/>
      <c r="CB26" s="4117"/>
      <c r="CC26" s="4117"/>
      <c r="CD26" s="4117"/>
      <c r="CE26" s="4117"/>
      <c r="CF26" s="4117"/>
      <c r="CG26" s="4117"/>
      <c r="CH26" s="4117"/>
      <c r="CI26" s="4117"/>
      <c r="CJ26" s="4117"/>
      <c r="CK26" s="4117"/>
      <c r="CL26" s="4117"/>
      <c r="CM26" s="4117"/>
      <c r="CN26" s="4117"/>
      <c r="CO26" s="4117"/>
      <c r="CP26" s="4117"/>
      <c r="CQ26" s="4117"/>
      <c r="CR26" s="4117"/>
      <c r="CS26" s="4117"/>
      <c r="CT26" s="4117"/>
      <c r="CU26" s="4117"/>
      <c r="CV26" s="4117"/>
      <c r="CW26" s="4117"/>
      <c r="CX26" s="4117"/>
      <c r="CY26" s="4117"/>
      <c r="CZ26" s="4117"/>
      <c r="DA26" s="4117"/>
      <c r="DB26" s="4117"/>
      <c r="DC26" s="4117"/>
      <c r="DD26" s="4117"/>
      <c r="DE26" s="4117"/>
      <c r="DF26" s="4117"/>
      <c r="DG26" s="4117"/>
      <c r="DH26" s="4117"/>
      <c r="DI26" s="4117"/>
      <c r="DJ26" s="4117"/>
      <c r="DK26" s="4117"/>
      <c r="DL26" s="4117"/>
      <c r="DM26" s="4117"/>
      <c r="DN26" s="4117"/>
      <c r="DO26" s="4117"/>
      <c r="DP26" s="4117"/>
      <c r="DQ26" s="4117"/>
      <c r="DR26" s="4117"/>
      <c r="DS26" s="4117"/>
      <c r="DT26" s="4117"/>
      <c r="DU26" s="4117"/>
      <c r="DV26" s="4117"/>
      <c r="DW26" s="4117"/>
      <c r="DX26" s="4117"/>
      <c r="DY26" s="4117"/>
      <c r="DZ26" s="4117"/>
      <c r="EA26" s="4117"/>
      <c r="EB26" s="4117"/>
      <c r="EC26" s="4117"/>
      <c r="ED26" s="4117"/>
      <c r="EE26" s="4117"/>
      <c r="EF26" s="4117"/>
      <c r="EG26" s="4117"/>
      <c r="EH26" s="4117"/>
      <c r="EI26" s="4117"/>
      <c r="EJ26" s="4117"/>
      <c r="EK26" s="4117"/>
      <c r="EL26" s="4117"/>
      <c r="EM26" s="4117"/>
      <c r="EN26" s="4117"/>
      <c r="EO26" s="4117"/>
      <c r="EP26" s="4117"/>
      <c r="EQ26" s="4117"/>
      <c r="ER26" s="4117"/>
    </row>
    <row r="27" spans="1:148" s="4116" customFormat="1" ht="22.5">
      <c r="A27" s="4134"/>
      <c r="B27" s="4125"/>
      <c r="C27" s="4125"/>
      <c r="D27" s="4125"/>
      <c r="E27" s="4125"/>
      <c r="F27" s="4125"/>
      <c r="G27" s="4125"/>
      <c r="H27" s="4125"/>
      <c r="I27" s="4125"/>
      <c r="J27" s="4125"/>
      <c r="K27" s="4125"/>
      <c r="L27" s="4125"/>
      <c r="M27" s="4125"/>
      <c r="N27" s="4125"/>
      <c r="O27" s="4125"/>
      <c r="P27" s="4125"/>
      <c r="Q27" s="4125"/>
      <c r="R27" s="4125"/>
      <c r="S27" s="4125"/>
      <c r="T27" s="4125"/>
      <c r="U27" s="4125"/>
      <c r="V27" s="4125"/>
      <c r="W27" s="4125"/>
      <c r="X27" s="4125"/>
      <c r="Y27" s="4125"/>
      <c r="Z27" s="4125"/>
      <c r="AA27" s="4125"/>
      <c r="AB27" s="4125"/>
      <c r="AC27" s="4125"/>
      <c r="AD27" s="4125"/>
      <c r="AE27" s="4125"/>
      <c r="AF27" s="4125"/>
      <c r="AG27" s="4125"/>
      <c r="AH27" s="4125"/>
      <c r="AI27" s="4125"/>
      <c r="AJ27" s="4125"/>
      <c r="AK27" s="4125"/>
      <c r="AL27" s="4125"/>
      <c r="AM27" s="4125"/>
      <c r="AN27" s="4125"/>
      <c r="AO27" s="4125"/>
      <c r="AP27" s="4125"/>
      <c r="AQ27" s="4125"/>
      <c r="AR27" s="4125"/>
      <c r="AS27" s="4117"/>
      <c r="AT27" s="4117"/>
      <c r="AU27" s="4117"/>
      <c r="AV27" s="4117"/>
      <c r="AW27" s="4117"/>
      <c r="AX27" s="4117"/>
      <c r="AY27" s="4117"/>
      <c r="AZ27" s="4117"/>
      <c r="BA27" s="4117"/>
      <c r="BB27" s="4117"/>
      <c r="BC27" s="4117"/>
      <c r="BD27" s="4117"/>
      <c r="BE27" s="4117"/>
      <c r="BF27" s="4117"/>
      <c r="BG27" s="4117"/>
      <c r="BH27" s="4117"/>
      <c r="BI27" s="4117"/>
      <c r="BJ27" s="4117"/>
      <c r="BK27" s="4117"/>
      <c r="BL27" s="4117"/>
      <c r="BM27" s="4117"/>
      <c r="BN27" s="4117"/>
      <c r="BO27" s="4117"/>
      <c r="BP27" s="4117"/>
      <c r="BQ27" s="4117"/>
      <c r="BR27" s="4117"/>
      <c r="BS27" s="4117"/>
      <c r="BT27" s="4117"/>
      <c r="BU27" s="4117"/>
      <c r="BV27" s="4117"/>
      <c r="BW27" s="4117"/>
      <c r="BX27" s="4117"/>
      <c r="BY27" s="4117"/>
      <c r="BZ27" s="4117"/>
      <c r="CA27" s="4117"/>
      <c r="CB27" s="4117"/>
      <c r="CC27" s="4117"/>
      <c r="CD27" s="4117"/>
      <c r="CE27" s="4117"/>
      <c r="CF27" s="4117"/>
      <c r="CG27" s="4117"/>
      <c r="CH27" s="4117"/>
      <c r="CI27" s="4117"/>
      <c r="CJ27" s="4117"/>
      <c r="CK27" s="4117"/>
      <c r="CL27" s="4117"/>
      <c r="CM27" s="4117"/>
      <c r="CN27" s="4117"/>
      <c r="CO27" s="4117"/>
      <c r="CP27" s="4117"/>
      <c r="CQ27" s="4117"/>
      <c r="CR27" s="4117"/>
      <c r="CS27" s="4117"/>
      <c r="CT27" s="4117"/>
      <c r="CU27" s="4117"/>
      <c r="CV27" s="4117"/>
      <c r="CW27" s="4117"/>
      <c r="CX27" s="4117"/>
      <c r="CY27" s="4117"/>
      <c r="CZ27" s="4117"/>
      <c r="DA27" s="4117"/>
      <c r="DB27" s="4117"/>
      <c r="DC27" s="4117"/>
      <c r="DD27" s="4117"/>
      <c r="DE27" s="4117"/>
      <c r="DF27" s="4117"/>
      <c r="DG27" s="4117"/>
      <c r="DH27" s="4117"/>
      <c r="DI27" s="4117"/>
      <c r="DJ27" s="4117"/>
      <c r="DK27" s="4117"/>
      <c r="DL27" s="4117"/>
      <c r="DM27" s="4117"/>
      <c r="DN27" s="4117"/>
      <c r="DO27" s="4117"/>
      <c r="DP27" s="4117"/>
      <c r="DQ27" s="4117"/>
      <c r="DR27" s="4117"/>
      <c r="DS27" s="4117"/>
      <c r="DT27" s="4117"/>
      <c r="DU27" s="4117"/>
      <c r="DV27" s="4117"/>
      <c r="DW27" s="4117"/>
      <c r="DX27" s="4117"/>
      <c r="DY27" s="4117"/>
      <c r="DZ27" s="4117"/>
      <c r="EA27" s="4117"/>
      <c r="EB27" s="4117"/>
      <c r="EC27" s="4117"/>
      <c r="ED27" s="4117"/>
      <c r="EE27" s="4117"/>
      <c r="EF27" s="4117"/>
      <c r="EG27" s="4117"/>
      <c r="EH27" s="4117"/>
      <c r="EI27" s="4117"/>
      <c r="EJ27" s="4117"/>
      <c r="EK27" s="4117"/>
      <c r="EL27" s="4117"/>
      <c r="EM27" s="4117"/>
      <c r="EN27" s="4117"/>
      <c r="EO27" s="4117"/>
      <c r="EP27" s="4117"/>
      <c r="EQ27" s="4117"/>
      <c r="ER27" s="4117"/>
    </row>
    <row r="28" spans="1:148" ht="22.5">
      <c r="A28" s="4352"/>
      <c r="B28" s="4353"/>
      <c r="C28" s="4353"/>
      <c r="D28" s="4353"/>
      <c r="E28" s="4353"/>
      <c r="F28" s="4353"/>
      <c r="G28" s="4353"/>
      <c r="H28" s="4353"/>
      <c r="I28" s="4353"/>
      <c r="J28" s="4353"/>
      <c r="K28" s="4353"/>
      <c r="L28" s="4353"/>
      <c r="M28" s="4353"/>
      <c r="N28" s="4353"/>
      <c r="O28" s="4353"/>
      <c r="P28" s="4353"/>
      <c r="Q28" s="4353"/>
      <c r="R28" s="4353"/>
      <c r="S28" s="4353"/>
      <c r="T28" s="4353"/>
      <c r="U28" s="4353"/>
      <c r="V28" s="4353"/>
      <c r="W28" s="4353"/>
      <c r="X28" s="4353"/>
      <c r="Y28" s="4353"/>
      <c r="Z28" s="4353"/>
      <c r="AA28" s="4353"/>
      <c r="AB28" s="4353"/>
      <c r="AC28" s="4353"/>
      <c r="AD28" s="4353"/>
      <c r="AE28" s="4353"/>
      <c r="AF28" s="4353"/>
      <c r="AG28" s="4353"/>
      <c r="AH28" s="4353"/>
      <c r="AI28" s="4353"/>
      <c r="AJ28" s="4353"/>
      <c r="AK28" s="4353"/>
      <c r="AL28" s="4353"/>
      <c r="AM28" s="4353"/>
      <c r="AN28" s="4353"/>
      <c r="AO28" s="4353"/>
      <c r="AP28" s="4353"/>
      <c r="AQ28" s="4353"/>
      <c r="AR28" s="4353"/>
    </row>
    <row r="29" spans="1:148" ht="25.5" customHeight="1">
      <c r="A29" s="4340" t="s">
        <v>535</v>
      </c>
      <c r="B29" s="4354" t="s">
        <v>536</v>
      </c>
      <c r="C29" s="4355"/>
      <c r="D29" s="4355"/>
      <c r="E29" s="4355"/>
      <c r="F29" s="4355"/>
      <c r="G29" s="4356"/>
      <c r="H29" s="4361" t="s">
        <v>537</v>
      </c>
      <c r="I29" s="4357" t="s">
        <v>538</v>
      </c>
      <c r="J29" s="4358"/>
      <c r="K29" s="4358"/>
      <c r="L29" s="4358"/>
      <c r="M29" s="4358"/>
      <c r="N29" s="4358"/>
      <c r="O29" s="4359"/>
      <c r="P29" s="4340" t="s">
        <v>539</v>
      </c>
      <c r="Q29" s="4358" t="s">
        <v>540</v>
      </c>
      <c r="R29" s="4358"/>
      <c r="S29" s="4358"/>
      <c r="T29" s="4358"/>
      <c r="U29" s="4358"/>
      <c r="V29" s="4359"/>
    </row>
    <row r="30" spans="1:148" ht="13.5" customHeight="1">
      <c r="A30" s="4341"/>
      <c r="B30" s="4338" t="s">
        <v>541</v>
      </c>
      <c r="C30" s="4338"/>
      <c r="D30" s="4337" t="s">
        <v>542</v>
      </c>
      <c r="E30" s="4337" t="s">
        <v>543</v>
      </c>
      <c r="F30" s="4350" t="s">
        <v>544</v>
      </c>
      <c r="G30" s="4351">
        <v>0.3</v>
      </c>
      <c r="H30" s="4362"/>
      <c r="I30" s="4363" t="s">
        <v>545</v>
      </c>
      <c r="J30" s="4338" t="s">
        <v>546</v>
      </c>
      <c r="K30" s="4338"/>
      <c r="L30" s="4338"/>
      <c r="M30" s="4338"/>
      <c r="N30" s="4333" t="s">
        <v>547</v>
      </c>
      <c r="O30" s="4334"/>
      <c r="P30" s="4341"/>
      <c r="Q30" s="4337" t="s">
        <v>548</v>
      </c>
      <c r="R30" s="4337"/>
      <c r="S30" s="4338" t="s">
        <v>549</v>
      </c>
      <c r="T30" s="4338"/>
      <c r="U30" s="4338" t="s">
        <v>550</v>
      </c>
      <c r="V30" s="4360"/>
    </row>
    <row r="31" spans="1:148" ht="13.5" customHeight="1">
      <c r="A31" s="4341"/>
      <c r="B31" s="4338"/>
      <c r="C31" s="4338"/>
      <c r="D31" s="4337"/>
      <c r="E31" s="4337"/>
      <c r="F31" s="4350"/>
      <c r="G31" s="4351"/>
      <c r="H31" s="4362"/>
      <c r="I31" s="4363"/>
      <c r="J31" s="4338"/>
      <c r="K31" s="4338"/>
      <c r="L31" s="4338"/>
      <c r="M31" s="4338"/>
      <c r="N31" s="4333"/>
      <c r="O31" s="4334"/>
      <c r="P31" s="4341"/>
      <c r="Q31" s="4337"/>
      <c r="R31" s="4337"/>
      <c r="S31" s="4135" t="s">
        <v>545</v>
      </c>
      <c r="T31" s="4135" t="s">
        <v>471</v>
      </c>
      <c r="U31" s="4135" t="s">
        <v>545</v>
      </c>
      <c r="V31" s="4145" t="s">
        <v>471</v>
      </c>
    </row>
    <row r="32" spans="1:148" ht="13.5" customHeight="1">
      <c r="A32" s="4341"/>
      <c r="B32" s="4338" t="s">
        <v>551</v>
      </c>
      <c r="C32" s="4338"/>
      <c r="D32" s="4136">
        <v>0.1</v>
      </c>
      <c r="E32" s="4118">
        <v>0.12</v>
      </c>
      <c r="F32" s="4350"/>
      <c r="G32" s="4351"/>
      <c r="H32" s="4362"/>
      <c r="I32" s="4364" t="s">
        <v>552</v>
      </c>
      <c r="J32" s="4338" t="s">
        <v>553</v>
      </c>
      <c r="K32" s="4338" t="s">
        <v>554</v>
      </c>
      <c r="L32" s="4338" t="s">
        <v>555</v>
      </c>
      <c r="M32" s="4338" t="s">
        <v>556</v>
      </c>
      <c r="N32" s="4333" t="s">
        <v>557</v>
      </c>
      <c r="O32" s="4334"/>
      <c r="P32" s="4341"/>
      <c r="Q32" s="4337" t="s">
        <v>426</v>
      </c>
      <c r="R32" s="4337"/>
      <c r="S32" s="4333" t="s">
        <v>558</v>
      </c>
      <c r="T32" s="4338">
        <v>2.5</v>
      </c>
      <c r="U32" s="4333" t="s">
        <v>559</v>
      </c>
      <c r="V32" s="4334">
        <v>1.25</v>
      </c>
    </row>
    <row r="33" spans="1:22" ht="13.5" customHeight="1">
      <c r="A33" s="4341"/>
      <c r="B33" s="4338" t="s">
        <v>560</v>
      </c>
      <c r="C33" s="4338"/>
      <c r="D33" s="4118" t="s">
        <v>561</v>
      </c>
      <c r="E33" s="4118" t="s">
        <v>562</v>
      </c>
      <c r="F33" s="4350"/>
      <c r="G33" s="4351"/>
      <c r="H33" s="4362"/>
      <c r="I33" s="4364"/>
      <c r="J33" s="4338"/>
      <c r="K33" s="4338"/>
      <c r="L33" s="4338"/>
      <c r="M33" s="4338"/>
      <c r="N33" s="4333"/>
      <c r="O33" s="4334"/>
      <c r="P33" s="4341"/>
      <c r="Q33" s="4337"/>
      <c r="R33" s="4337"/>
      <c r="S33" s="4333"/>
      <c r="T33" s="4338"/>
      <c r="U33" s="4333"/>
      <c r="V33" s="4334"/>
    </row>
    <row r="34" spans="1:22" ht="13.5" customHeight="1">
      <c r="A34" s="4341"/>
      <c r="B34" s="4338" t="s">
        <v>563</v>
      </c>
      <c r="C34" s="4338"/>
      <c r="D34" s="4118">
        <v>0.2</v>
      </c>
      <c r="E34" s="4118">
        <v>0.24</v>
      </c>
      <c r="F34" s="4350"/>
      <c r="G34" s="4351"/>
      <c r="H34" s="4362"/>
      <c r="I34" s="4364"/>
      <c r="J34" s="4337" t="s">
        <v>564</v>
      </c>
      <c r="K34" s="4338" t="s">
        <v>565</v>
      </c>
      <c r="L34" s="4338" t="s">
        <v>566</v>
      </c>
      <c r="M34" s="4338" t="s">
        <v>567</v>
      </c>
      <c r="N34" s="4333" t="s">
        <v>568</v>
      </c>
      <c r="O34" s="4334"/>
      <c r="P34" s="4341"/>
      <c r="Q34" s="4337" t="s">
        <v>463</v>
      </c>
      <c r="R34" s="4337"/>
      <c r="S34" s="4333"/>
      <c r="T34" s="4338"/>
      <c r="U34" s="4333" t="s">
        <v>569</v>
      </c>
      <c r="V34" s="4334" t="s">
        <v>570</v>
      </c>
    </row>
    <row r="35" spans="1:22" ht="13.5" customHeight="1">
      <c r="A35" s="4341"/>
      <c r="B35" s="4338" t="s">
        <v>571</v>
      </c>
      <c r="C35" s="4338"/>
      <c r="D35" s="4118">
        <v>0.18</v>
      </c>
      <c r="E35" s="4118">
        <v>0.22</v>
      </c>
      <c r="F35" s="4350"/>
      <c r="G35" s="4351"/>
      <c r="H35" s="4362"/>
      <c r="I35" s="4365"/>
      <c r="J35" s="4344"/>
      <c r="K35" s="4339"/>
      <c r="L35" s="4339"/>
      <c r="M35" s="4339"/>
      <c r="N35" s="4335"/>
      <c r="O35" s="4336"/>
      <c r="P35" s="4341"/>
      <c r="Q35" s="4337"/>
      <c r="R35" s="4337"/>
      <c r="S35" s="4333"/>
      <c r="T35" s="4338"/>
      <c r="U35" s="4333"/>
      <c r="V35" s="4334"/>
    </row>
    <row r="36" spans="1:22" ht="13.5" customHeight="1">
      <c r="A36" s="4341"/>
      <c r="B36" s="4338" t="s">
        <v>572</v>
      </c>
      <c r="C36" s="4338"/>
      <c r="D36" s="4333" t="s">
        <v>573</v>
      </c>
      <c r="E36" s="4333"/>
      <c r="F36" s="4350"/>
      <c r="G36" s="4351"/>
      <c r="P36" s="4341"/>
      <c r="Q36" s="4337" t="s">
        <v>574</v>
      </c>
      <c r="R36" s="4337"/>
      <c r="S36" s="4338"/>
      <c r="T36" s="4338"/>
      <c r="U36" s="4118" t="s">
        <v>559</v>
      </c>
      <c r="V36" s="4137" t="s">
        <v>575</v>
      </c>
    </row>
    <row r="37" spans="1:22">
      <c r="A37" s="4348"/>
      <c r="B37" s="4345" t="s">
        <v>576</v>
      </c>
      <c r="C37" s="4346"/>
      <c r="D37" s="4346"/>
      <c r="E37" s="4346"/>
      <c r="F37" s="4346"/>
      <c r="G37" s="4347"/>
      <c r="P37" s="4342"/>
      <c r="Q37" s="4337"/>
      <c r="R37" s="4337"/>
      <c r="S37" s="4338"/>
      <c r="T37" s="4338"/>
      <c r="U37" s="4118" t="s">
        <v>569</v>
      </c>
      <c r="V37" s="4137" t="s">
        <v>570</v>
      </c>
    </row>
    <row r="38" spans="1:22">
      <c r="P38" s="4342"/>
      <c r="Q38" s="4337" t="s">
        <v>577</v>
      </c>
      <c r="R38" s="4337"/>
      <c r="S38" s="4338"/>
      <c r="T38" s="4338" t="s">
        <v>578</v>
      </c>
      <c r="U38" s="4118" t="s">
        <v>559</v>
      </c>
      <c r="V38" s="4137" t="s">
        <v>579</v>
      </c>
    </row>
    <row r="39" spans="1:22">
      <c r="P39" s="4343"/>
      <c r="Q39" s="4344"/>
      <c r="R39" s="4344"/>
      <c r="S39" s="4339"/>
      <c r="T39" s="4339"/>
      <c r="U39" s="4138" t="s">
        <v>569</v>
      </c>
      <c r="V39" s="4139" t="s">
        <v>580</v>
      </c>
    </row>
  </sheetData>
  <mergeCells count="63">
    <mergeCell ref="A1:AQ1"/>
    <mergeCell ref="E2:AQ2"/>
    <mergeCell ref="E3:H3"/>
    <mergeCell ref="I3:L3"/>
    <mergeCell ref="M3:P3"/>
    <mergeCell ref="Q3:T3"/>
    <mergeCell ref="U3:X3"/>
    <mergeCell ref="Y3:AB3"/>
    <mergeCell ref="AC3:AF3"/>
    <mergeCell ref="AG3:AJ3"/>
    <mergeCell ref="AK3:AN3"/>
    <mergeCell ref="AO3:AR3"/>
    <mergeCell ref="B36:C36"/>
    <mergeCell ref="A28:AR28"/>
    <mergeCell ref="B29:G29"/>
    <mergeCell ref="I29:O29"/>
    <mergeCell ref="Q29:V29"/>
    <mergeCell ref="S30:T30"/>
    <mergeCell ref="U30:V30"/>
    <mergeCell ref="H29:H35"/>
    <mergeCell ref="I30:I31"/>
    <mergeCell ref="I32:I35"/>
    <mergeCell ref="J32:J33"/>
    <mergeCell ref="J34:J35"/>
    <mergeCell ref="K32:K33"/>
    <mergeCell ref="K34:K35"/>
    <mergeCell ref="L32:L33"/>
    <mergeCell ref="L34:L35"/>
    <mergeCell ref="D36:E36"/>
    <mergeCell ref="B37:G37"/>
    <mergeCell ref="A2:A24"/>
    <mergeCell ref="A29:A37"/>
    <mergeCell ref="B2:B4"/>
    <mergeCell ref="C2:C4"/>
    <mergeCell ref="D2:D4"/>
    <mergeCell ref="D30:D31"/>
    <mergeCell ref="E30:E31"/>
    <mergeCell ref="F30:F36"/>
    <mergeCell ref="G30:G36"/>
    <mergeCell ref="B30:C31"/>
    <mergeCell ref="B32:C32"/>
    <mergeCell ref="B33:C33"/>
    <mergeCell ref="B34:C34"/>
    <mergeCell ref="B35:C35"/>
    <mergeCell ref="M34:M35"/>
    <mergeCell ref="P29:P39"/>
    <mergeCell ref="S32:S39"/>
    <mergeCell ref="T32:T37"/>
    <mergeCell ref="T38:T39"/>
    <mergeCell ref="Q36:R37"/>
    <mergeCell ref="N30:O31"/>
    <mergeCell ref="Q30:R31"/>
    <mergeCell ref="Q38:R39"/>
    <mergeCell ref="J30:M31"/>
    <mergeCell ref="M32:M33"/>
    <mergeCell ref="U32:U33"/>
    <mergeCell ref="U34:U35"/>
    <mergeCell ref="V32:V33"/>
    <mergeCell ref="V34:V35"/>
    <mergeCell ref="N34:O35"/>
    <mergeCell ref="Q34:R35"/>
    <mergeCell ref="N32:O33"/>
    <mergeCell ref="Q32:R33"/>
  </mergeCells>
  <phoneticPr fontId="214" type="noConversion"/>
  <pageMargins left="0.7" right="0.7" top="0.75" bottom="0.75" header="0.3" footer="0.3"/>
  <pageSetup paperSize="9" orientation="portrait" horizontalDpi="2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AA129"/>
  <sheetViews>
    <sheetView workbookViewId="0">
      <selection activeCell="X3" sqref="X3"/>
    </sheetView>
  </sheetViews>
  <sheetFormatPr defaultColWidth="9" defaultRowHeight="22.5"/>
  <cols>
    <col min="1" max="1" width="9.125" style="4080" customWidth="1"/>
    <col min="2" max="2" width="14.75" style="3385" customWidth="1"/>
    <col min="3" max="4" width="5.25" style="4081" customWidth="1"/>
    <col min="5" max="5" width="4.375" style="4081" customWidth="1"/>
    <col min="6" max="7" width="5.25" style="4081" customWidth="1"/>
    <col min="8" max="8" width="4.375" style="4081" customWidth="1"/>
    <col min="9" max="10" width="5.25" style="4081" customWidth="1"/>
    <col min="11" max="11" width="4.375" style="4081" customWidth="1"/>
    <col min="12" max="13" width="5.25" style="4081" customWidth="1"/>
    <col min="14" max="14" width="4.375" style="4081" customWidth="1"/>
    <col min="15" max="16" width="5.25" style="4081" customWidth="1"/>
    <col min="17" max="17" width="4.375" style="4081" customWidth="1"/>
    <col min="18" max="19" width="5.25" style="4081" customWidth="1"/>
    <col min="20" max="20" width="4.625" style="4081" customWidth="1"/>
    <col min="21" max="21" width="19.125" style="4082" customWidth="1"/>
    <col min="22" max="39" width="4.125" style="2694" customWidth="1"/>
    <col min="40" max="256" width="9" style="2694"/>
    <col min="257" max="257" width="9.125" style="2694" customWidth="1"/>
    <col min="258" max="258" width="14.75" style="2694" customWidth="1"/>
    <col min="259" max="260" width="5.25" style="2694" customWidth="1"/>
    <col min="261" max="261" width="4.375" style="2694" customWidth="1"/>
    <col min="262" max="263" width="5.25" style="2694" customWidth="1"/>
    <col min="264" max="264" width="4.375" style="2694" customWidth="1"/>
    <col min="265" max="266" width="5.25" style="2694" customWidth="1"/>
    <col min="267" max="267" width="4.375" style="2694" customWidth="1"/>
    <col min="268" max="269" width="5.25" style="2694" customWidth="1"/>
    <col min="270" max="270" width="4.375" style="2694" customWidth="1"/>
    <col min="271" max="272" width="5.25" style="2694" customWidth="1"/>
    <col min="273" max="273" width="4.375" style="2694" customWidth="1"/>
    <col min="274" max="275" width="5.25" style="2694" customWidth="1"/>
    <col min="276" max="276" width="4.625" style="2694" customWidth="1"/>
    <col min="277" max="277" width="19.125" style="2694" customWidth="1"/>
    <col min="278" max="295" width="4.125" style="2694" customWidth="1"/>
    <col min="296" max="512" width="9" style="2694"/>
    <col min="513" max="513" width="9.125" style="2694" customWidth="1"/>
    <col min="514" max="514" width="14.75" style="2694" customWidth="1"/>
    <col min="515" max="516" width="5.25" style="2694" customWidth="1"/>
    <col min="517" max="517" width="4.375" style="2694" customWidth="1"/>
    <col min="518" max="519" width="5.25" style="2694" customWidth="1"/>
    <col min="520" max="520" width="4.375" style="2694" customWidth="1"/>
    <col min="521" max="522" width="5.25" style="2694" customWidth="1"/>
    <col min="523" max="523" width="4.375" style="2694" customWidth="1"/>
    <col min="524" max="525" width="5.25" style="2694" customWidth="1"/>
    <col min="526" max="526" width="4.375" style="2694" customWidth="1"/>
    <col min="527" max="528" width="5.25" style="2694" customWidth="1"/>
    <col min="529" max="529" width="4.375" style="2694" customWidth="1"/>
    <col min="530" max="531" width="5.25" style="2694" customWidth="1"/>
    <col min="532" max="532" width="4.625" style="2694" customWidth="1"/>
    <col min="533" max="533" width="19.125" style="2694" customWidth="1"/>
    <col min="534" max="551" width="4.125" style="2694" customWidth="1"/>
    <col min="552" max="768" width="9" style="2694"/>
    <col min="769" max="769" width="9.125" style="2694" customWidth="1"/>
    <col min="770" max="770" width="14.75" style="2694" customWidth="1"/>
    <col min="771" max="772" width="5.25" style="2694" customWidth="1"/>
    <col min="773" max="773" width="4.375" style="2694" customWidth="1"/>
    <col min="774" max="775" width="5.25" style="2694" customWidth="1"/>
    <col min="776" max="776" width="4.375" style="2694" customWidth="1"/>
    <col min="777" max="778" width="5.25" style="2694" customWidth="1"/>
    <col min="779" max="779" width="4.375" style="2694" customWidth="1"/>
    <col min="780" max="781" width="5.25" style="2694" customWidth="1"/>
    <col min="782" max="782" width="4.375" style="2694" customWidth="1"/>
    <col min="783" max="784" width="5.25" style="2694" customWidth="1"/>
    <col min="785" max="785" width="4.375" style="2694" customWidth="1"/>
    <col min="786" max="787" width="5.25" style="2694" customWidth="1"/>
    <col min="788" max="788" width="4.625" style="2694" customWidth="1"/>
    <col min="789" max="789" width="19.125" style="2694" customWidth="1"/>
    <col min="790" max="807" width="4.125" style="2694" customWidth="1"/>
    <col min="808" max="1024" width="9" style="2694"/>
    <col min="1025" max="1025" width="9.125" style="2694" customWidth="1"/>
    <col min="1026" max="1026" width="14.75" style="2694" customWidth="1"/>
    <col min="1027" max="1028" width="5.25" style="2694" customWidth="1"/>
    <col min="1029" max="1029" width="4.375" style="2694" customWidth="1"/>
    <col min="1030" max="1031" width="5.25" style="2694" customWidth="1"/>
    <col min="1032" max="1032" width="4.375" style="2694" customWidth="1"/>
    <col min="1033" max="1034" width="5.25" style="2694" customWidth="1"/>
    <col min="1035" max="1035" width="4.375" style="2694" customWidth="1"/>
    <col min="1036" max="1037" width="5.25" style="2694" customWidth="1"/>
    <col min="1038" max="1038" width="4.375" style="2694" customWidth="1"/>
    <col min="1039" max="1040" width="5.25" style="2694" customWidth="1"/>
    <col min="1041" max="1041" width="4.375" style="2694" customWidth="1"/>
    <col min="1042" max="1043" width="5.25" style="2694" customWidth="1"/>
    <col min="1044" max="1044" width="4.625" style="2694" customWidth="1"/>
    <col min="1045" max="1045" width="19.125" style="2694" customWidth="1"/>
    <col min="1046" max="1063" width="4.125" style="2694" customWidth="1"/>
    <col min="1064" max="1280" width="9" style="2694"/>
    <col min="1281" max="1281" width="9.125" style="2694" customWidth="1"/>
    <col min="1282" max="1282" width="14.75" style="2694" customWidth="1"/>
    <col min="1283" max="1284" width="5.25" style="2694" customWidth="1"/>
    <col min="1285" max="1285" width="4.375" style="2694" customWidth="1"/>
    <col min="1286" max="1287" width="5.25" style="2694" customWidth="1"/>
    <col min="1288" max="1288" width="4.375" style="2694" customWidth="1"/>
    <col min="1289" max="1290" width="5.25" style="2694" customWidth="1"/>
    <col min="1291" max="1291" width="4.375" style="2694" customWidth="1"/>
    <col min="1292" max="1293" width="5.25" style="2694" customWidth="1"/>
    <col min="1294" max="1294" width="4.375" style="2694" customWidth="1"/>
    <col min="1295" max="1296" width="5.25" style="2694" customWidth="1"/>
    <col min="1297" max="1297" width="4.375" style="2694" customWidth="1"/>
    <col min="1298" max="1299" width="5.25" style="2694" customWidth="1"/>
    <col min="1300" max="1300" width="4.625" style="2694" customWidth="1"/>
    <col min="1301" max="1301" width="19.125" style="2694" customWidth="1"/>
    <col min="1302" max="1319" width="4.125" style="2694" customWidth="1"/>
    <col min="1320" max="1536" width="9" style="2694"/>
    <col min="1537" max="1537" width="9.125" style="2694" customWidth="1"/>
    <col min="1538" max="1538" width="14.75" style="2694" customWidth="1"/>
    <col min="1539" max="1540" width="5.25" style="2694" customWidth="1"/>
    <col min="1541" max="1541" width="4.375" style="2694" customWidth="1"/>
    <col min="1542" max="1543" width="5.25" style="2694" customWidth="1"/>
    <col min="1544" max="1544" width="4.375" style="2694" customWidth="1"/>
    <col min="1545" max="1546" width="5.25" style="2694" customWidth="1"/>
    <col min="1547" max="1547" width="4.375" style="2694" customWidth="1"/>
    <col min="1548" max="1549" width="5.25" style="2694" customWidth="1"/>
    <col min="1550" max="1550" width="4.375" style="2694" customWidth="1"/>
    <col min="1551" max="1552" width="5.25" style="2694" customWidth="1"/>
    <col min="1553" max="1553" width="4.375" style="2694" customWidth="1"/>
    <col min="1554" max="1555" width="5.25" style="2694" customWidth="1"/>
    <col min="1556" max="1556" width="4.625" style="2694" customWidth="1"/>
    <col min="1557" max="1557" width="19.125" style="2694" customWidth="1"/>
    <col min="1558" max="1575" width="4.125" style="2694" customWidth="1"/>
    <col min="1576" max="1792" width="9" style="2694"/>
    <col min="1793" max="1793" width="9.125" style="2694" customWidth="1"/>
    <col min="1794" max="1794" width="14.75" style="2694" customWidth="1"/>
    <col min="1795" max="1796" width="5.25" style="2694" customWidth="1"/>
    <col min="1797" max="1797" width="4.375" style="2694" customWidth="1"/>
    <col min="1798" max="1799" width="5.25" style="2694" customWidth="1"/>
    <col min="1800" max="1800" width="4.375" style="2694" customWidth="1"/>
    <col min="1801" max="1802" width="5.25" style="2694" customWidth="1"/>
    <col min="1803" max="1803" width="4.375" style="2694" customWidth="1"/>
    <col min="1804" max="1805" width="5.25" style="2694" customWidth="1"/>
    <col min="1806" max="1806" width="4.375" style="2694" customWidth="1"/>
    <col min="1807" max="1808" width="5.25" style="2694" customWidth="1"/>
    <col min="1809" max="1809" width="4.375" style="2694" customWidth="1"/>
    <col min="1810" max="1811" width="5.25" style="2694" customWidth="1"/>
    <col min="1812" max="1812" width="4.625" style="2694" customWidth="1"/>
    <col min="1813" max="1813" width="19.125" style="2694" customWidth="1"/>
    <col min="1814" max="1831" width="4.125" style="2694" customWidth="1"/>
    <col min="1832" max="2048" width="9" style="2694"/>
    <col min="2049" max="2049" width="9.125" style="2694" customWidth="1"/>
    <col min="2050" max="2050" width="14.75" style="2694" customWidth="1"/>
    <col min="2051" max="2052" width="5.25" style="2694" customWidth="1"/>
    <col min="2053" max="2053" width="4.375" style="2694" customWidth="1"/>
    <col min="2054" max="2055" width="5.25" style="2694" customWidth="1"/>
    <col min="2056" max="2056" width="4.375" style="2694" customWidth="1"/>
    <col min="2057" max="2058" width="5.25" style="2694" customWidth="1"/>
    <col min="2059" max="2059" width="4.375" style="2694" customWidth="1"/>
    <col min="2060" max="2061" width="5.25" style="2694" customWidth="1"/>
    <col min="2062" max="2062" width="4.375" style="2694" customWidth="1"/>
    <col min="2063" max="2064" width="5.25" style="2694" customWidth="1"/>
    <col min="2065" max="2065" width="4.375" style="2694" customWidth="1"/>
    <col min="2066" max="2067" width="5.25" style="2694" customWidth="1"/>
    <col min="2068" max="2068" width="4.625" style="2694" customWidth="1"/>
    <col min="2069" max="2069" width="19.125" style="2694" customWidth="1"/>
    <col min="2070" max="2087" width="4.125" style="2694" customWidth="1"/>
    <col min="2088" max="2304" width="9" style="2694"/>
    <col min="2305" max="2305" width="9.125" style="2694" customWidth="1"/>
    <col min="2306" max="2306" width="14.75" style="2694" customWidth="1"/>
    <col min="2307" max="2308" width="5.25" style="2694" customWidth="1"/>
    <col min="2309" max="2309" width="4.375" style="2694" customWidth="1"/>
    <col min="2310" max="2311" width="5.25" style="2694" customWidth="1"/>
    <col min="2312" max="2312" width="4.375" style="2694" customWidth="1"/>
    <col min="2313" max="2314" width="5.25" style="2694" customWidth="1"/>
    <col min="2315" max="2315" width="4.375" style="2694" customWidth="1"/>
    <col min="2316" max="2317" width="5.25" style="2694" customWidth="1"/>
    <col min="2318" max="2318" width="4.375" style="2694" customWidth="1"/>
    <col min="2319" max="2320" width="5.25" style="2694" customWidth="1"/>
    <col min="2321" max="2321" width="4.375" style="2694" customWidth="1"/>
    <col min="2322" max="2323" width="5.25" style="2694" customWidth="1"/>
    <col min="2324" max="2324" width="4.625" style="2694" customWidth="1"/>
    <col min="2325" max="2325" width="19.125" style="2694" customWidth="1"/>
    <col min="2326" max="2343" width="4.125" style="2694" customWidth="1"/>
    <col min="2344" max="2560" width="9" style="2694"/>
    <col min="2561" max="2561" width="9.125" style="2694" customWidth="1"/>
    <col min="2562" max="2562" width="14.75" style="2694" customWidth="1"/>
    <col min="2563" max="2564" width="5.25" style="2694" customWidth="1"/>
    <col min="2565" max="2565" width="4.375" style="2694" customWidth="1"/>
    <col min="2566" max="2567" width="5.25" style="2694" customWidth="1"/>
    <col min="2568" max="2568" width="4.375" style="2694" customWidth="1"/>
    <col min="2569" max="2570" width="5.25" style="2694" customWidth="1"/>
    <col min="2571" max="2571" width="4.375" style="2694" customWidth="1"/>
    <col min="2572" max="2573" width="5.25" style="2694" customWidth="1"/>
    <col min="2574" max="2574" width="4.375" style="2694" customWidth="1"/>
    <col min="2575" max="2576" width="5.25" style="2694" customWidth="1"/>
    <col min="2577" max="2577" width="4.375" style="2694" customWidth="1"/>
    <col min="2578" max="2579" width="5.25" style="2694" customWidth="1"/>
    <col min="2580" max="2580" width="4.625" style="2694" customWidth="1"/>
    <col min="2581" max="2581" width="19.125" style="2694" customWidth="1"/>
    <col min="2582" max="2599" width="4.125" style="2694" customWidth="1"/>
    <col min="2600" max="2816" width="9" style="2694"/>
    <col min="2817" max="2817" width="9.125" style="2694" customWidth="1"/>
    <col min="2818" max="2818" width="14.75" style="2694" customWidth="1"/>
    <col min="2819" max="2820" width="5.25" style="2694" customWidth="1"/>
    <col min="2821" max="2821" width="4.375" style="2694" customWidth="1"/>
    <col min="2822" max="2823" width="5.25" style="2694" customWidth="1"/>
    <col min="2824" max="2824" width="4.375" style="2694" customWidth="1"/>
    <col min="2825" max="2826" width="5.25" style="2694" customWidth="1"/>
    <col min="2827" max="2827" width="4.375" style="2694" customWidth="1"/>
    <col min="2828" max="2829" width="5.25" style="2694" customWidth="1"/>
    <col min="2830" max="2830" width="4.375" style="2694" customWidth="1"/>
    <col min="2831" max="2832" width="5.25" style="2694" customWidth="1"/>
    <col min="2833" max="2833" width="4.375" style="2694" customWidth="1"/>
    <col min="2834" max="2835" width="5.25" style="2694" customWidth="1"/>
    <col min="2836" max="2836" width="4.625" style="2694" customWidth="1"/>
    <col min="2837" max="2837" width="19.125" style="2694" customWidth="1"/>
    <col min="2838" max="2855" width="4.125" style="2694" customWidth="1"/>
    <col min="2856" max="3072" width="9" style="2694"/>
    <col min="3073" max="3073" width="9.125" style="2694" customWidth="1"/>
    <col min="3074" max="3074" width="14.75" style="2694" customWidth="1"/>
    <col min="3075" max="3076" width="5.25" style="2694" customWidth="1"/>
    <col min="3077" max="3077" width="4.375" style="2694" customWidth="1"/>
    <col min="3078" max="3079" width="5.25" style="2694" customWidth="1"/>
    <col min="3080" max="3080" width="4.375" style="2694" customWidth="1"/>
    <col min="3081" max="3082" width="5.25" style="2694" customWidth="1"/>
    <col min="3083" max="3083" width="4.375" style="2694" customWidth="1"/>
    <col min="3084" max="3085" width="5.25" style="2694" customWidth="1"/>
    <col min="3086" max="3086" width="4.375" style="2694" customWidth="1"/>
    <col min="3087" max="3088" width="5.25" style="2694" customWidth="1"/>
    <col min="3089" max="3089" width="4.375" style="2694" customWidth="1"/>
    <col min="3090" max="3091" width="5.25" style="2694" customWidth="1"/>
    <col min="3092" max="3092" width="4.625" style="2694" customWidth="1"/>
    <col min="3093" max="3093" width="19.125" style="2694" customWidth="1"/>
    <col min="3094" max="3111" width="4.125" style="2694" customWidth="1"/>
    <col min="3112" max="3328" width="9" style="2694"/>
    <col min="3329" max="3329" width="9.125" style="2694" customWidth="1"/>
    <col min="3330" max="3330" width="14.75" style="2694" customWidth="1"/>
    <col min="3331" max="3332" width="5.25" style="2694" customWidth="1"/>
    <col min="3333" max="3333" width="4.375" style="2694" customWidth="1"/>
    <col min="3334" max="3335" width="5.25" style="2694" customWidth="1"/>
    <col min="3336" max="3336" width="4.375" style="2694" customWidth="1"/>
    <col min="3337" max="3338" width="5.25" style="2694" customWidth="1"/>
    <col min="3339" max="3339" width="4.375" style="2694" customWidth="1"/>
    <col min="3340" max="3341" width="5.25" style="2694" customWidth="1"/>
    <col min="3342" max="3342" width="4.375" style="2694" customWidth="1"/>
    <col min="3343" max="3344" width="5.25" style="2694" customWidth="1"/>
    <col min="3345" max="3345" width="4.375" style="2694" customWidth="1"/>
    <col min="3346" max="3347" width="5.25" style="2694" customWidth="1"/>
    <col min="3348" max="3348" width="4.625" style="2694" customWidth="1"/>
    <col min="3349" max="3349" width="19.125" style="2694" customWidth="1"/>
    <col min="3350" max="3367" width="4.125" style="2694" customWidth="1"/>
    <col min="3368" max="3584" width="9" style="2694"/>
    <col min="3585" max="3585" width="9.125" style="2694" customWidth="1"/>
    <col min="3586" max="3586" width="14.75" style="2694" customWidth="1"/>
    <col min="3587" max="3588" width="5.25" style="2694" customWidth="1"/>
    <col min="3589" max="3589" width="4.375" style="2694" customWidth="1"/>
    <col min="3590" max="3591" width="5.25" style="2694" customWidth="1"/>
    <col min="3592" max="3592" width="4.375" style="2694" customWidth="1"/>
    <col min="3593" max="3594" width="5.25" style="2694" customWidth="1"/>
    <col min="3595" max="3595" width="4.375" style="2694" customWidth="1"/>
    <col min="3596" max="3597" width="5.25" style="2694" customWidth="1"/>
    <col min="3598" max="3598" width="4.375" style="2694" customWidth="1"/>
    <col min="3599" max="3600" width="5.25" style="2694" customWidth="1"/>
    <col min="3601" max="3601" width="4.375" style="2694" customWidth="1"/>
    <col min="3602" max="3603" width="5.25" style="2694" customWidth="1"/>
    <col min="3604" max="3604" width="4.625" style="2694" customWidth="1"/>
    <col min="3605" max="3605" width="19.125" style="2694" customWidth="1"/>
    <col min="3606" max="3623" width="4.125" style="2694" customWidth="1"/>
    <col min="3624" max="3840" width="9" style="2694"/>
    <col min="3841" max="3841" width="9.125" style="2694" customWidth="1"/>
    <col min="3842" max="3842" width="14.75" style="2694" customWidth="1"/>
    <col min="3843" max="3844" width="5.25" style="2694" customWidth="1"/>
    <col min="3845" max="3845" width="4.375" style="2694" customWidth="1"/>
    <col min="3846" max="3847" width="5.25" style="2694" customWidth="1"/>
    <col min="3848" max="3848" width="4.375" style="2694" customWidth="1"/>
    <col min="3849" max="3850" width="5.25" style="2694" customWidth="1"/>
    <col min="3851" max="3851" width="4.375" style="2694" customWidth="1"/>
    <col min="3852" max="3853" width="5.25" style="2694" customWidth="1"/>
    <col min="3854" max="3854" width="4.375" style="2694" customWidth="1"/>
    <col min="3855" max="3856" width="5.25" style="2694" customWidth="1"/>
    <col min="3857" max="3857" width="4.375" style="2694" customWidth="1"/>
    <col min="3858" max="3859" width="5.25" style="2694" customWidth="1"/>
    <col min="3860" max="3860" width="4.625" style="2694" customWidth="1"/>
    <col min="3861" max="3861" width="19.125" style="2694" customWidth="1"/>
    <col min="3862" max="3879" width="4.125" style="2694" customWidth="1"/>
    <col min="3880" max="4096" width="9" style="2694"/>
    <col min="4097" max="4097" width="9.125" style="2694" customWidth="1"/>
    <col min="4098" max="4098" width="14.75" style="2694" customWidth="1"/>
    <col min="4099" max="4100" width="5.25" style="2694" customWidth="1"/>
    <col min="4101" max="4101" width="4.375" style="2694" customWidth="1"/>
    <col min="4102" max="4103" width="5.25" style="2694" customWidth="1"/>
    <col min="4104" max="4104" width="4.375" style="2694" customWidth="1"/>
    <col min="4105" max="4106" width="5.25" style="2694" customWidth="1"/>
    <col min="4107" max="4107" width="4.375" style="2694" customWidth="1"/>
    <col min="4108" max="4109" width="5.25" style="2694" customWidth="1"/>
    <col min="4110" max="4110" width="4.375" style="2694" customWidth="1"/>
    <col min="4111" max="4112" width="5.25" style="2694" customWidth="1"/>
    <col min="4113" max="4113" width="4.375" style="2694" customWidth="1"/>
    <col min="4114" max="4115" width="5.25" style="2694" customWidth="1"/>
    <col min="4116" max="4116" width="4.625" style="2694" customWidth="1"/>
    <col min="4117" max="4117" width="19.125" style="2694" customWidth="1"/>
    <col min="4118" max="4135" width="4.125" style="2694" customWidth="1"/>
    <col min="4136" max="4352" width="9" style="2694"/>
    <col min="4353" max="4353" width="9.125" style="2694" customWidth="1"/>
    <col min="4354" max="4354" width="14.75" style="2694" customWidth="1"/>
    <col min="4355" max="4356" width="5.25" style="2694" customWidth="1"/>
    <col min="4357" max="4357" width="4.375" style="2694" customWidth="1"/>
    <col min="4358" max="4359" width="5.25" style="2694" customWidth="1"/>
    <col min="4360" max="4360" width="4.375" style="2694" customWidth="1"/>
    <col min="4361" max="4362" width="5.25" style="2694" customWidth="1"/>
    <col min="4363" max="4363" width="4.375" style="2694" customWidth="1"/>
    <col min="4364" max="4365" width="5.25" style="2694" customWidth="1"/>
    <col min="4366" max="4366" width="4.375" style="2694" customWidth="1"/>
    <col min="4367" max="4368" width="5.25" style="2694" customWidth="1"/>
    <col min="4369" max="4369" width="4.375" style="2694" customWidth="1"/>
    <col min="4370" max="4371" width="5.25" style="2694" customWidth="1"/>
    <col min="4372" max="4372" width="4.625" style="2694" customWidth="1"/>
    <col min="4373" max="4373" width="19.125" style="2694" customWidth="1"/>
    <col min="4374" max="4391" width="4.125" style="2694" customWidth="1"/>
    <col min="4392" max="4608" width="9" style="2694"/>
    <col min="4609" max="4609" width="9.125" style="2694" customWidth="1"/>
    <col min="4610" max="4610" width="14.75" style="2694" customWidth="1"/>
    <col min="4611" max="4612" width="5.25" style="2694" customWidth="1"/>
    <col min="4613" max="4613" width="4.375" style="2694" customWidth="1"/>
    <col min="4614" max="4615" width="5.25" style="2694" customWidth="1"/>
    <col min="4616" max="4616" width="4.375" style="2694" customWidth="1"/>
    <col min="4617" max="4618" width="5.25" style="2694" customWidth="1"/>
    <col min="4619" max="4619" width="4.375" style="2694" customWidth="1"/>
    <col min="4620" max="4621" width="5.25" style="2694" customWidth="1"/>
    <col min="4622" max="4622" width="4.375" style="2694" customWidth="1"/>
    <col min="4623" max="4624" width="5.25" style="2694" customWidth="1"/>
    <col min="4625" max="4625" width="4.375" style="2694" customWidth="1"/>
    <col min="4626" max="4627" width="5.25" style="2694" customWidth="1"/>
    <col min="4628" max="4628" width="4.625" style="2694" customWidth="1"/>
    <col min="4629" max="4629" width="19.125" style="2694" customWidth="1"/>
    <col min="4630" max="4647" width="4.125" style="2694" customWidth="1"/>
    <col min="4648" max="4864" width="9" style="2694"/>
    <col min="4865" max="4865" width="9.125" style="2694" customWidth="1"/>
    <col min="4866" max="4866" width="14.75" style="2694" customWidth="1"/>
    <col min="4867" max="4868" width="5.25" style="2694" customWidth="1"/>
    <col min="4869" max="4869" width="4.375" style="2694" customWidth="1"/>
    <col min="4870" max="4871" width="5.25" style="2694" customWidth="1"/>
    <col min="4872" max="4872" width="4.375" style="2694" customWidth="1"/>
    <col min="4873" max="4874" width="5.25" style="2694" customWidth="1"/>
    <col min="4875" max="4875" width="4.375" style="2694" customWidth="1"/>
    <col min="4876" max="4877" width="5.25" style="2694" customWidth="1"/>
    <col min="4878" max="4878" width="4.375" style="2694" customWidth="1"/>
    <col min="4879" max="4880" width="5.25" style="2694" customWidth="1"/>
    <col min="4881" max="4881" width="4.375" style="2694" customWidth="1"/>
    <col min="4882" max="4883" width="5.25" style="2694" customWidth="1"/>
    <col min="4884" max="4884" width="4.625" style="2694" customWidth="1"/>
    <col min="4885" max="4885" width="19.125" style="2694" customWidth="1"/>
    <col min="4886" max="4903" width="4.125" style="2694" customWidth="1"/>
    <col min="4904" max="5120" width="9" style="2694"/>
    <col min="5121" max="5121" width="9.125" style="2694" customWidth="1"/>
    <col min="5122" max="5122" width="14.75" style="2694" customWidth="1"/>
    <col min="5123" max="5124" width="5.25" style="2694" customWidth="1"/>
    <col min="5125" max="5125" width="4.375" style="2694" customWidth="1"/>
    <col min="5126" max="5127" width="5.25" style="2694" customWidth="1"/>
    <col min="5128" max="5128" width="4.375" style="2694" customWidth="1"/>
    <col min="5129" max="5130" width="5.25" style="2694" customWidth="1"/>
    <col min="5131" max="5131" width="4.375" style="2694" customWidth="1"/>
    <col min="5132" max="5133" width="5.25" style="2694" customWidth="1"/>
    <col min="5134" max="5134" width="4.375" style="2694" customWidth="1"/>
    <col min="5135" max="5136" width="5.25" style="2694" customWidth="1"/>
    <col min="5137" max="5137" width="4.375" style="2694" customWidth="1"/>
    <col min="5138" max="5139" width="5.25" style="2694" customWidth="1"/>
    <col min="5140" max="5140" width="4.625" style="2694" customWidth="1"/>
    <col min="5141" max="5141" width="19.125" style="2694" customWidth="1"/>
    <col min="5142" max="5159" width="4.125" style="2694" customWidth="1"/>
    <col min="5160" max="5376" width="9" style="2694"/>
    <col min="5377" max="5377" width="9.125" style="2694" customWidth="1"/>
    <col min="5378" max="5378" width="14.75" style="2694" customWidth="1"/>
    <col min="5379" max="5380" width="5.25" style="2694" customWidth="1"/>
    <col min="5381" max="5381" width="4.375" style="2694" customWidth="1"/>
    <col min="5382" max="5383" width="5.25" style="2694" customWidth="1"/>
    <col min="5384" max="5384" width="4.375" style="2694" customWidth="1"/>
    <col min="5385" max="5386" width="5.25" style="2694" customWidth="1"/>
    <col min="5387" max="5387" width="4.375" style="2694" customWidth="1"/>
    <col min="5388" max="5389" width="5.25" style="2694" customWidth="1"/>
    <col min="5390" max="5390" width="4.375" style="2694" customWidth="1"/>
    <col min="5391" max="5392" width="5.25" style="2694" customWidth="1"/>
    <col min="5393" max="5393" width="4.375" style="2694" customWidth="1"/>
    <col min="5394" max="5395" width="5.25" style="2694" customWidth="1"/>
    <col min="5396" max="5396" width="4.625" style="2694" customWidth="1"/>
    <col min="5397" max="5397" width="19.125" style="2694" customWidth="1"/>
    <col min="5398" max="5415" width="4.125" style="2694" customWidth="1"/>
    <col min="5416" max="5632" width="9" style="2694"/>
    <col min="5633" max="5633" width="9.125" style="2694" customWidth="1"/>
    <col min="5634" max="5634" width="14.75" style="2694" customWidth="1"/>
    <col min="5635" max="5636" width="5.25" style="2694" customWidth="1"/>
    <col min="5637" max="5637" width="4.375" style="2694" customWidth="1"/>
    <col min="5638" max="5639" width="5.25" style="2694" customWidth="1"/>
    <col min="5640" max="5640" width="4.375" style="2694" customWidth="1"/>
    <col min="5641" max="5642" width="5.25" style="2694" customWidth="1"/>
    <col min="5643" max="5643" width="4.375" style="2694" customWidth="1"/>
    <col min="5644" max="5645" width="5.25" style="2694" customWidth="1"/>
    <col min="5646" max="5646" width="4.375" style="2694" customWidth="1"/>
    <col min="5647" max="5648" width="5.25" style="2694" customWidth="1"/>
    <col min="5649" max="5649" width="4.375" style="2694" customWidth="1"/>
    <col min="5650" max="5651" width="5.25" style="2694" customWidth="1"/>
    <col min="5652" max="5652" width="4.625" style="2694" customWidth="1"/>
    <col min="5653" max="5653" width="19.125" style="2694" customWidth="1"/>
    <col min="5654" max="5671" width="4.125" style="2694" customWidth="1"/>
    <col min="5672" max="5888" width="9" style="2694"/>
    <col min="5889" max="5889" width="9.125" style="2694" customWidth="1"/>
    <col min="5890" max="5890" width="14.75" style="2694" customWidth="1"/>
    <col min="5891" max="5892" width="5.25" style="2694" customWidth="1"/>
    <col min="5893" max="5893" width="4.375" style="2694" customWidth="1"/>
    <col min="5894" max="5895" width="5.25" style="2694" customWidth="1"/>
    <col min="5896" max="5896" width="4.375" style="2694" customWidth="1"/>
    <col min="5897" max="5898" width="5.25" style="2694" customWidth="1"/>
    <col min="5899" max="5899" width="4.375" style="2694" customWidth="1"/>
    <col min="5900" max="5901" width="5.25" style="2694" customWidth="1"/>
    <col min="5902" max="5902" width="4.375" style="2694" customWidth="1"/>
    <col min="5903" max="5904" width="5.25" style="2694" customWidth="1"/>
    <col min="5905" max="5905" width="4.375" style="2694" customWidth="1"/>
    <col min="5906" max="5907" width="5.25" style="2694" customWidth="1"/>
    <col min="5908" max="5908" width="4.625" style="2694" customWidth="1"/>
    <col min="5909" max="5909" width="19.125" style="2694" customWidth="1"/>
    <col min="5910" max="5927" width="4.125" style="2694" customWidth="1"/>
    <col min="5928" max="6144" width="9" style="2694"/>
    <col min="6145" max="6145" width="9.125" style="2694" customWidth="1"/>
    <col min="6146" max="6146" width="14.75" style="2694" customWidth="1"/>
    <col min="6147" max="6148" width="5.25" style="2694" customWidth="1"/>
    <col min="6149" max="6149" width="4.375" style="2694" customWidth="1"/>
    <col min="6150" max="6151" width="5.25" style="2694" customWidth="1"/>
    <col min="6152" max="6152" width="4.375" style="2694" customWidth="1"/>
    <col min="6153" max="6154" width="5.25" style="2694" customWidth="1"/>
    <col min="6155" max="6155" width="4.375" style="2694" customWidth="1"/>
    <col min="6156" max="6157" width="5.25" style="2694" customWidth="1"/>
    <col min="6158" max="6158" width="4.375" style="2694" customWidth="1"/>
    <col min="6159" max="6160" width="5.25" style="2694" customWidth="1"/>
    <col min="6161" max="6161" width="4.375" style="2694" customWidth="1"/>
    <col min="6162" max="6163" width="5.25" style="2694" customWidth="1"/>
    <col min="6164" max="6164" width="4.625" style="2694" customWidth="1"/>
    <col min="6165" max="6165" width="19.125" style="2694" customWidth="1"/>
    <col min="6166" max="6183" width="4.125" style="2694" customWidth="1"/>
    <col min="6184" max="6400" width="9" style="2694"/>
    <col min="6401" max="6401" width="9.125" style="2694" customWidth="1"/>
    <col min="6402" max="6402" width="14.75" style="2694" customWidth="1"/>
    <col min="6403" max="6404" width="5.25" style="2694" customWidth="1"/>
    <col min="6405" max="6405" width="4.375" style="2694" customWidth="1"/>
    <col min="6406" max="6407" width="5.25" style="2694" customWidth="1"/>
    <col min="6408" max="6408" width="4.375" style="2694" customWidth="1"/>
    <col min="6409" max="6410" width="5.25" style="2694" customWidth="1"/>
    <col min="6411" max="6411" width="4.375" style="2694" customWidth="1"/>
    <col min="6412" max="6413" width="5.25" style="2694" customWidth="1"/>
    <col min="6414" max="6414" width="4.375" style="2694" customWidth="1"/>
    <col min="6415" max="6416" width="5.25" style="2694" customWidth="1"/>
    <col min="6417" max="6417" width="4.375" style="2694" customWidth="1"/>
    <col min="6418" max="6419" width="5.25" style="2694" customWidth="1"/>
    <col min="6420" max="6420" width="4.625" style="2694" customWidth="1"/>
    <col min="6421" max="6421" width="19.125" style="2694" customWidth="1"/>
    <col min="6422" max="6439" width="4.125" style="2694" customWidth="1"/>
    <col min="6440" max="6656" width="9" style="2694"/>
    <col min="6657" max="6657" width="9.125" style="2694" customWidth="1"/>
    <col min="6658" max="6658" width="14.75" style="2694" customWidth="1"/>
    <col min="6659" max="6660" width="5.25" style="2694" customWidth="1"/>
    <col min="6661" max="6661" width="4.375" style="2694" customWidth="1"/>
    <col min="6662" max="6663" width="5.25" style="2694" customWidth="1"/>
    <col min="6664" max="6664" width="4.375" style="2694" customWidth="1"/>
    <col min="6665" max="6666" width="5.25" style="2694" customWidth="1"/>
    <col min="6667" max="6667" width="4.375" style="2694" customWidth="1"/>
    <col min="6668" max="6669" width="5.25" style="2694" customWidth="1"/>
    <col min="6670" max="6670" width="4.375" style="2694" customWidth="1"/>
    <col min="6671" max="6672" width="5.25" style="2694" customWidth="1"/>
    <col min="6673" max="6673" width="4.375" style="2694" customWidth="1"/>
    <col min="6674" max="6675" width="5.25" style="2694" customWidth="1"/>
    <col min="6676" max="6676" width="4.625" style="2694" customWidth="1"/>
    <col min="6677" max="6677" width="19.125" style="2694" customWidth="1"/>
    <col min="6678" max="6695" width="4.125" style="2694" customWidth="1"/>
    <col min="6696" max="6912" width="9" style="2694"/>
    <col min="6913" max="6913" width="9.125" style="2694" customWidth="1"/>
    <col min="6914" max="6914" width="14.75" style="2694" customWidth="1"/>
    <col min="6915" max="6916" width="5.25" style="2694" customWidth="1"/>
    <col min="6917" max="6917" width="4.375" style="2694" customWidth="1"/>
    <col min="6918" max="6919" width="5.25" style="2694" customWidth="1"/>
    <col min="6920" max="6920" width="4.375" style="2694" customWidth="1"/>
    <col min="6921" max="6922" width="5.25" style="2694" customWidth="1"/>
    <col min="6923" max="6923" width="4.375" style="2694" customWidth="1"/>
    <col min="6924" max="6925" width="5.25" style="2694" customWidth="1"/>
    <col min="6926" max="6926" width="4.375" style="2694" customWidth="1"/>
    <col min="6927" max="6928" width="5.25" style="2694" customWidth="1"/>
    <col min="6929" max="6929" width="4.375" style="2694" customWidth="1"/>
    <col min="6930" max="6931" width="5.25" style="2694" customWidth="1"/>
    <col min="6932" max="6932" width="4.625" style="2694" customWidth="1"/>
    <col min="6933" max="6933" width="19.125" style="2694" customWidth="1"/>
    <col min="6934" max="6951" width="4.125" style="2694" customWidth="1"/>
    <col min="6952" max="7168" width="9" style="2694"/>
    <col min="7169" max="7169" width="9.125" style="2694" customWidth="1"/>
    <col min="7170" max="7170" width="14.75" style="2694" customWidth="1"/>
    <col min="7171" max="7172" width="5.25" style="2694" customWidth="1"/>
    <col min="7173" max="7173" width="4.375" style="2694" customWidth="1"/>
    <col min="7174" max="7175" width="5.25" style="2694" customWidth="1"/>
    <col min="7176" max="7176" width="4.375" style="2694" customWidth="1"/>
    <col min="7177" max="7178" width="5.25" style="2694" customWidth="1"/>
    <col min="7179" max="7179" width="4.375" style="2694" customWidth="1"/>
    <col min="7180" max="7181" width="5.25" style="2694" customWidth="1"/>
    <col min="7182" max="7182" width="4.375" style="2694" customWidth="1"/>
    <col min="7183" max="7184" width="5.25" style="2694" customWidth="1"/>
    <col min="7185" max="7185" width="4.375" style="2694" customWidth="1"/>
    <col min="7186" max="7187" width="5.25" style="2694" customWidth="1"/>
    <col min="7188" max="7188" width="4.625" style="2694" customWidth="1"/>
    <col min="7189" max="7189" width="19.125" style="2694" customWidth="1"/>
    <col min="7190" max="7207" width="4.125" style="2694" customWidth="1"/>
    <col min="7208" max="7424" width="9" style="2694"/>
    <col min="7425" max="7425" width="9.125" style="2694" customWidth="1"/>
    <col min="7426" max="7426" width="14.75" style="2694" customWidth="1"/>
    <col min="7427" max="7428" width="5.25" style="2694" customWidth="1"/>
    <col min="7429" max="7429" width="4.375" style="2694" customWidth="1"/>
    <col min="7430" max="7431" width="5.25" style="2694" customWidth="1"/>
    <col min="7432" max="7432" width="4.375" style="2694" customWidth="1"/>
    <col min="7433" max="7434" width="5.25" style="2694" customWidth="1"/>
    <col min="7435" max="7435" width="4.375" style="2694" customWidth="1"/>
    <col min="7436" max="7437" width="5.25" style="2694" customWidth="1"/>
    <col min="7438" max="7438" width="4.375" style="2694" customWidth="1"/>
    <col min="7439" max="7440" width="5.25" style="2694" customWidth="1"/>
    <col min="7441" max="7441" width="4.375" style="2694" customWidth="1"/>
    <col min="7442" max="7443" width="5.25" style="2694" customWidth="1"/>
    <col min="7444" max="7444" width="4.625" style="2694" customWidth="1"/>
    <col min="7445" max="7445" width="19.125" style="2694" customWidth="1"/>
    <col min="7446" max="7463" width="4.125" style="2694" customWidth="1"/>
    <col min="7464" max="7680" width="9" style="2694"/>
    <col min="7681" max="7681" width="9.125" style="2694" customWidth="1"/>
    <col min="7682" max="7682" width="14.75" style="2694" customWidth="1"/>
    <col min="7683" max="7684" width="5.25" style="2694" customWidth="1"/>
    <col min="7685" max="7685" width="4.375" style="2694" customWidth="1"/>
    <col min="7686" max="7687" width="5.25" style="2694" customWidth="1"/>
    <col min="7688" max="7688" width="4.375" style="2694" customWidth="1"/>
    <col min="7689" max="7690" width="5.25" style="2694" customWidth="1"/>
    <col min="7691" max="7691" width="4.375" style="2694" customWidth="1"/>
    <col min="7692" max="7693" width="5.25" style="2694" customWidth="1"/>
    <col min="7694" max="7694" width="4.375" style="2694" customWidth="1"/>
    <col min="7695" max="7696" width="5.25" style="2694" customWidth="1"/>
    <col min="7697" max="7697" width="4.375" style="2694" customWidth="1"/>
    <col min="7698" max="7699" width="5.25" style="2694" customWidth="1"/>
    <col min="7700" max="7700" width="4.625" style="2694" customWidth="1"/>
    <col min="7701" max="7701" width="19.125" style="2694" customWidth="1"/>
    <col min="7702" max="7719" width="4.125" style="2694" customWidth="1"/>
    <col min="7720" max="7936" width="9" style="2694"/>
    <col min="7937" max="7937" width="9.125" style="2694" customWidth="1"/>
    <col min="7938" max="7938" width="14.75" style="2694" customWidth="1"/>
    <col min="7939" max="7940" width="5.25" style="2694" customWidth="1"/>
    <col min="7941" max="7941" width="4.375" style="2694" customWidth="1"/>
    <col min="7942" max="7943" width="5.25" style="2694" customWidth="1"/>
    <col min="7944" max="7944" width="4.375" style="2694" customWidth="1"/>
    <col min="7945" max="7946" width="5.25" style="2694" customWidth="1"/>
    <col min="7947" max="7947" width="4.375" style="2694" customWidth="1"/>
    <col min="7948" max="7949" width="5.25" style="2694" customWidth="1"/>
    <col min="7950" max="7950" width="4.375" style="2694" customWidth="1"/>
    <col min="7951" max="7952" width="5.25" style="2694" customWidth="1"/>
    <col min="7953" max="7953" width="4.375" style="2694" customWidth="1"/>
    <col min="7954" max="7955" width="5.25" style="2694" customWidth="1"/>
    <col min="7956" max="7956" width="4.625" style="2694" customWidth="1"/>
    <col min="7957" max="7957" width="19.125" style="2694" customWidth="1"/>
    <col min="7958" max="7975" width="4.125" style="2694" customWidth="1"/>
    <col min="7976" max="8192" width="9" style="2694"/>
    <col min="8193" max="8193" width="9.125" style="2694" customWidth="1"/>
    <col min="8194" max="8194" width="14.75" style="2694" customWidth="1"/>
    <col min="8195" max="8196" width="5.25" style="2694" customWidth="1"/>
    <col min="8197" max="8197" width="4.375" style="2694" customWidth="1"/>
    <col min="8198" max="8199" width="5.25" style="2694" customWidth="1"/>
    <col min="8200" max="8200" width="4.375" style="2694" customWidth="1"/>
    <col min="8201" max="8202" width="5.25" style="2694" customWidth="1"/>
    <col min="8203" max="8203" width="4.375" style="2694" customWidth="1"/>
    <col min="8204" max="8205" width="5.25" style="2694" customWidth="1"/>
    <col min="8206" max="8206" width="4.375" style="2694" customWidth="1"/>
    <col min="8207" max="8208" width="5.25" style="2694" customWidth="1"/>
    <col min="8209" max="8209" width="4.375" style="2694" customWidth="1"/>
    <col min="8210" max="8211" width="5.25" style="2694" customWidth="1"/>
    <col min="8212" max="8212" width="4.625" style="2694" customWidth="1"/>
    <col min="8213" max="8213" width="19.125" style="2694" customWidth="1"/>
    <col min="8214" max="8231" width="4.125" style="2694" customWidth="1"/>
    <col min="8232" max="8448" width="9" style="2694"/>
    <col min="8449" max="8449" width="9.125" style="2694" customWidth="1"/>
    <col min="8450" max="8450" width="14.75" style="2694" customWidth="1"/>
    <col min="8451" max="8452" width="5.25" style="2694" customWidth="1"/>
    <col min="8453" max="8453" width="4.375" style="2694" customWidth="1"/>
    <col min="8454" max="8455" width="5.25" style="2694" customWidth="1"/>
    <col min="8456" max="8456" width="4.375" style="2694" customWidth="1"/>
    <col min="8457" max="8458" width="5.25" style="2694" customWidth="1"/>
    <col min="8459" max="8459" width="4.375" style="2694" customWidth="1"/>
    <col min="8460" max="8461" width="5.25" style="2694" customWidth="1"/>
    <col min="8462" max="8462" width="4.375" style="2694" customWidth="1"/>
    <col min="8463" max="8464" width="5.25" style="2694" customWidth="1"/>
    <col min="8465" max="8465" width="4.375" style="2694" customWidth="1"/>
    <col min="8466" max="8467" width="5.25" style="2694" customWidth="1"/>
    <col min="8468" max="8468" width="4.625" style="2694" customWidth="1"/>
    <col min="8469" max="8469" width="19.125" style="2694" customWidth="1"/>
    <col min="8470" max="8487" width="4.125" style="2694" customWidth="1"/>
    <col min="8488" max="8704" width="9" style="2694"/>
    <col min="8705" max="8705" width="9.125" style="2694" customWidth="1"/>
    <col min="8706" max="8706" width="14.75" style="2694" customWidth="1"/>
    <col min="8707" max="8708" width="5.25" style="2694" customWidth="1"/>
    <col min="8709" max="8709" width="4.375" style="2694" customWidth="1"/>
    <col min="8710" max="8711" width="5.25" style="2694" customWidth="1"/>
    <col min="8712" max="8712" width="4.375" style="2694" customWidth="1"/>
    <col min="8713" max="8714" width="5.25" style="2694" customWidth="1"/>
    <col min="8715" max="8715" width="4.375" style="2694" customWidth="1"/>
    <col min="8716" max="8717" width="5.25" style="2694" customWidth="1"/>
    <col min="8718" max="8718" width="4.375" style="2694" customWidth="1"/>
    <col min="8719" max="8720" width="5.25" style="2694" customWidth="1"/>
    <col min="8721" max="8721" width="4.375" style="2694" customWidth="1"/>
    <col min="8722" max="8723" width="5.25" style="2694" customWidth="1"/>
    <col min="8724" max="8724" width="4.625" style="2694" customWidth="1"/>
    <col min="8725" max="8725" width="19.125" style="2694" customWidth="1"/>
    <col min="8726" max="8743" width="4.125" style="2694" customWidth="1"/>
    <col min="8744" max="8960" width="9" style="2694"/>
    <col min="8961" max="8961" width="9.125" style="2694" customWidth="1"/>
    <col min="8962" max="8962" width="14.75" style="2694" customWidth="1"/>
    <col min="8963" max="8964" width="5.25" style="2694" customWidth="1"/>
    <col min="8965" max="8965" width="4.375" style="2694" customWidth="1"/>
    <col min="8966" max="8967" width="5.25" style="2694" customWidth="1"/>
    <col min="8968" max="8968" width="4.375" style="2694" customWidth="1"/>
    <col min="8969" max="8970" width="5.25" style="2694" customWidth="1"/>
    <col min="8971" max="8971" width="4.375" style="2694" customWidth="1"/>
    <col min="8972" max="8973" width="5.25" style="2694" customWidth="1"/>
    <col min="8974" max="8974" width="4.375" style="2694" customWidth="1"/>
    <col min="8975" max="8976" width="5.25" style="2694" customWidth="1"/>
    <col min="8977" max="8977" width="4.375" style="2694" customWidth="1"/>
    <col min="8978" max="8979" width="5.25" style="2694" customWidth="1"/>
    <col min="8980" max="8980" width="4.625" style="2694" customWidth="1"/>
    <col min="8981" max="8981" width="19.125" style="2694" customWidth="1"/>
    <col min="8982" max="8999" width="4.125" style="2694" customWidth="1"/>
    <col min="9000" max="9216" width="9" style="2694"/>
    <col min="9217" max="9217" width="9.125" style="2694" customWidth="1"/>
    <col min="9218" max="9218" width="14.75" style="2694" customWidth="1"/>
    <col min="9219" max="9220" width="5.25" style="2694" customWidth="1"/>
    <col min="9221" max="9221" width="4.375" style="2694" customWidth="1"/>
    <col min="9222" max="9223" width="5.25" style="2694" customWidth="1"/>
    <col min="9224" max="9224" width="4.375" style="2694" customWidth="1"/>
    <col min="9225" max="9226" width="5.25" style="2694" customWidth="1"/>
    <col min="9227" max="9227" width="4.375" style="2694" customWidth="1"/>
    <col min="9228" max="9229" width="5.25" style="2694" customWidth="1"/>
    <col min="9230" max="9230" width="4.375" style="2694" customWidth="1"/>
    <col min="9231" max="9232" width="5.25" style="2694" customWidth="1"/>
    <col min="9233" max="9233" width="4.375" style="2694" customWidth="1"/>
    <col min="9234" max="9235" width="5.25" style="2694" customWidth="1"/>
    <col min="9236" max="9236" width="4.625" style="2694" customWidth="1"/>
    <col min="9237" max="9237" width="19.125" style="2694" customWidth="1"/>
    <col min="9238" max="9255" width="4.125" style="2694" customWidth="1"/>
    <col min="9256" max="9472" width="9" style="2694"/>
    <col min="9473" max="9473" width="9.125" style="2694" customWidth="1"/>
    <col min="9474" max="9474" width="14.75" style="2694" customWidth="1"/>
    <col min="9475" max="9476" width="5.25" style="2694" customWidth="1"/>
    <col min="9477" max="9477" width="4.375" style="2694" customWidth="1"/>
    <col min="9478" max="9479" width="5.25" style="2694" customWidth="1"/>
    <col min="9480" max="9480" width="4.375" style="2694" customWidth="1"/>
    <col min="9481" max="9482" width="5.25" style="2694" customWidth="1"/>
    <col min="9483" max="9483" width="4.375" style="2694" customWidth="1"/>
    <col min="9484" max="9485" width="5.25" style="2694" customWidth="1"/>
    <col min="9486" max="9486" width="4.375" style="2694" customWidth="1"/>
    <col min="9487" max="9488" width="5.25" style="2694" customWidth="1"/>
    <col min="9489" max="9489" width="4.375" style="2694" customWidth="1"/>
    <col min="9490" max="9491" width="5.25" style="2694" customWidth="1"/>
    <col min="9492" max="9492" width="4.625" style="2694" customWidth="1"/>
    <col min="9493" max="9493" width="19.125" style="2694" customWidth="1"/>
    <col min="9494" max="9511" width="4.125" style="2694" customWidth="1"/>
    <col min="9512" max="9728" width="9" style="2694"/>
    <col min="9729" max="9729" width="9.125" style="2694" customWidth="1"/>
    <col min="9730" max="9730" width="14.75" style="2694" customWidth="1"/>
    <col min="9731" max="9732" width="5.25" style="2694" customWidth="1"/>
    <col min="9733" max="9733" width="4.375" style="2694" customWidth="1"/>
    <col min="9734" max="9735" width="5.25" style="2694" customWidth="1"/>
    <col min="9736" max="9736" width="4.375" style="2694" customWidth="1"/>
    <col min="9737" max="9738" width="5.25" style="2694" customWidth="1"/>
    <col min="9739" max="9739" width="4.375" style="2694" customWidth="1"/>
    <col min="9740" max="9741" width="5.25" style="2694" customWidth="1"/>
    <col min="9742" max="9742" width="4.375" style="2694" customWidth="1"/>
    <col min="9743" max="9744" width="5.25" style="2694" customWidth="1"/>
    <col min="9745" max="9745" width="4.375" style="2694" customWidth="1"/>
    <col min="9746" max="9747" width="5.25" style="2694" customWidth="1"/>
    <col min="9748" max="9748" width="4.625" style="2694" customWidth="1"/>
    <col min="9749" max="9749" width="19.125" style="2694" customWidth="1"/>
    <col min="9750" max="9767" width="4.125" style="2694" customWidth="1"/>
    <col min="9768" max="9984" width="9" style="2694"/>
    <col min="9985" max="9985" width="9.125" style="2694" customWidth="1"/>
    <col min="9986" max="9986" width="14.75" style="2694" customWidth="1"/>
    <col min="9987" max="9988" width="5.25" style="2694" customWidth="1"/>
    <col min="9989" max="9989" width="4.375" style="2694" customWidth="1"/>
    <col min="9990" max="9991" width="5.25" style="2694" customWidth="1"/>
    <col min="9992" max="9992" width="4.375" style="2694" customWidth="1"/>
    <col min="9993" max="9994" width="5.25" style="2694" customWidth="1"/>
    <col min="9995" max="9995" width="4.375" style="2694" customWidth="1"/>
    <col min="9996" max="9997" width="5.25" style="2694" customWidth="1"/>
    <col min="9998" max="9998" width="4.375" style="2694" customWidth="1"/>
    <col min="9999" max="10000" width="5.25" style="2694" customWidth="1"/>
    <col min="10001" max="10001" width="4.375" style="2694" customWidth="1"/>
    <col min="10002" max="10003" width="5.25" style="2694" customWidth="1"/>
    <col min="10004" max="10004" width="4.625" style="2694" customWidth="1"/>
    <col min="10005" max="10005" width="19.125" style="2694" customWidth="1"/>
    <col min="10006" max="10023" width="4.125" style="2694" customWidth="1"/>
    <col min="10024" max="10240" width="9" style="2694"/>
    <col min="10241" max="10241" width="9.125" style="2694" customWidth="1"/>
    <col min="10242" max="10242" width="14.75" style="2694" customWidth="1"/>
    <col min="10243" max="10244" width="5.25" style="2694" customWidth="1"/>
    <col min="10245" max="10245" width="4.375" style="2694" customWidth="1"/>
    <col min="10246" max="10247" width="5.25" style="2694" customWidth="1"/>
    <col min="10248" max="10248" width="4.375" style="2694" customWidth="1"/>
    <col min="10249" max="10250" width="5.25" style="2694" customWidth="1"/>
    <col min="10251" max="10251" width="4.375" style="2694" customWidth="1"/>
    <col min="10252" max="10253" width="5.25" style="2694" customWidth="1"/>
    <col min="10254" max="10254" width="4.375" style="2694" customWidth="1"/>
    <col min="10255" max="10256" width="5.25" style="2694" customWidth="1"/>
    <col min="10257" max="10257" width="4.375" style="2694" customWidth="1"/>
    <col min="10258" max="10259" width="5.25" style="2694" customWidth="1"/>
    <col min="10260" max="10260" width="4.625" style="2694" customWidth="1"/>
    <col min="10261" max="10261" width="19.125" style="2694" customWidth="1"/>
    <col min="10262" max="10279" width="4.125" style="2694" customWidth="1"/>
    <col min="10280" max="10496" width="9" style="2694"/>
    <col min="10497" max="10497" width="9.125" style="2694" customWidth="1"/>
    <col min="10498" max="10498" width="14.75" style="2694" customWidth="1"/>
    <col min="10499" max="10500" width="5.25" style="2694" customWidth="1"/>
    <col min="10501" max="10501" width="4.375" style="2694" customWidth="1"/>
    <col min="10502" max="10503" width="5.25" style="2694" customWidth="1"/>
    <col min="10504" max="10504" width="4.375" style="2694" customWidth="1"/>
    <col min="10505" max="10506" width="5.25" style="2694" customWidth="1"/>
    <col min="10507" max="10507" width="4.375" style="2694" customWidth="1"/>
    <col min="10508" max="10509" width="5.25" style="2694" customWidth="1"/>
    <col min="10510" max="10510" width="4.375" style="2694" customWidth="1"/>
    <col min="10511" max="10512" width="5.25" style="2694" customWidth="1"/>
    <col min="10513" max="10513" width="4.375" style="2694" customWidth="1"/>
    <col min="10514" max="10515" width="5.25" style="2694" customWidth="1"/>
    <col min="10516" max="10516" width="4.625" style="2694" customWidth="1"/>
    <col min="10517" max="10517" width="19.125" style="2694" customWidth="1"/>
    <col min="10518" max="10535" width="4.125" style="2694" customWidth="1"/>
    <col min="10536" max="10752" width="9" style="2694"/>
    <col min="10753" max="10753" width="9.125" style="2694" customWidth="1"/>
    <col min="10754" max="10754" width="14.75" style="2694" customWidth="1"/>
    <col min="10755" max="10756" width="5.25" style="2694" customWidth="1"/>
    <col min="10757" max="10757" width="4.375" style="2694" customWidth="1"/>
    <col min="10758" max="10759" width="5.25" style="2694" customWidth="1"/>
    <col min="10760" max="10760" width="4.375" style="2694" customWidth="1"/>
    <col min="10761" max="10762" width="5.25" style="2694" customWidth="1"/>
    <col min="10763" max="10763" width="4.375" style="2694" customWidth="1"/>
    <col min="10764" max="10765" width="5.25" style="2694" customWidth="1"/>
    <col min="10766" max="10766" width="4.375" style="2694" customWidth="1"/>
    <col min="10767" max="10768" width="5.25" style="2694" customWidth="1"/>
    <col min="10769" max="10769" width="4.375" style="2694" customWidth="1"/>
    <col min="10770" max="10771" width="5.25" style="2694" customWidth="1"/>
    <col min="10772" max="10772" width="4.625" style="2694" customWidth="1"/>
    <col min="10773" max="10773" width="19.125" style="2694" customWidth="1"/>
    <col min="10774" max="10791" width="4.125" style="2694" customWidth="1"/>
    <col min="10792" max="11008" width="9" style="2694"/>
    <col min="11009" max="11009" width="9.125" style="2694" customWidth="1"/>
    <col min="11010" max="11010" width="14.75" style="2694" customWidth="1"/>
    <col min="11011" max="11012" width="5.25" style="2694" customWidth="1"/>
    <col min="11013" max="11013" width="4.375" style="2694" customWidth="1"/>
    <col min="11014" max="11015" width="5.25" style="2694" customWidth="1"/>
    <col min="11016" max="11016" width="4.375" style="2694" customWidth="1"/>
    <col min="11017" max="11018" width="5.25" style="2694" customWidth="1"/>
    <col min="11019" max="11019" width="4.375" style="2694" customWidth="1"/>
    <col min="11020" max="11021" width="5.25" style="2694" customWidth="1"/>
    <col min="11022" max="11022" width="4.375" style="2694" customWidth="1"/>
    <col min="11023" max="11024" width="5.25" style="2694" customWidth="1"/>
    <col min="11025" max="11025" width="4.375" style="2694" customWidth="1"/>
    <col min="11026" max="11027" width="5.25" style="2694" customWidth="1"/>
    <col min="11028" max="11028" width="4.625" style="2694" customWidth="1"/>
    <col min="11029" max="11029" width="19.125" style="2694" customWidth="1"/>
    <col min="11030" max="11047" width="4.125" style="2694" customWidth="1"/>
    <col min="11048" max="11264" width="9" style="2694"/>
    <col min="11265" max="11265" width="9.125" style="2694" customWidth="1"/>
    <col min="11266" max="11266" width="14.75" style="2694" customWidth="1"/>
    <col min="11267" max="11268" width="5.25" style="2694" customWidth="1"/>
    <col min="11269" max="11269" width="4.375" style="2694" customWidth="1"/>
    <col min="11270" max="11271" width="5.25" style="2694" customWidth="1"/>
    <col min="11272" max="11272" width="4.375" style="2694" customWidth="1"/>
    <col min="11273" max="11274" width="5.25" style="2694" customWidth="1"/>
    <col min="11275" max="11275" width="4.375" style="2694" customWidth="1"/>
    <col min="11276" max="11277" width="5.25" style="2694" customWidth="1"/>
    <col min="11278" max="11278" width="4.375" style="2694" customWidth="1"/>
    <col min="11279" max="11280" width="5.25" style="2694" customWidth="1"/>
    <col min="11281" max="11281" width="4.375" style="2694" customWidth="1"/>
    <col min="11282" max="11283" width="5.25" style="2694" customWidth="1"/>
    <col min="11284" max="11284" width="4.625" style="2694" customWidth="1"/>
    <col min="11285" max="11285" width="19.125" style="2694" customWidth="1"/>
    <col min="11286" max="11303" width="4.125" style="2694" customWidth="1"/>
    <col min="11304" max="11520" width="9" style="2694"/>
    <col min="11521" max="11521" width="9.125" style="2694" customWidth="1"/>
    <col min="11522" max="11522" width="14.75" style="2694" customWidth="1"/>
    <col min="11523" max="11524" width="5.25" style="2694" customWidth="1"/>
    <col min="11525" max="11525" width="4.375" style="2694" customWidth="1"/>
    <col min="11526" max="11527" width="5.25" style="2694" customWidth="1"/>
    <col min="11528" max="11528" width="4.375" style="2694" customWidth="1"/>
    <col min="11529" max="11530" width="5.25" style="2694" customWidth="1"/>
    <col min="11531" max="11531" width="4.375" style="2694" customWidth="1"/>
    <col min="11532" max="11533" width="5.25" style="2694" customWidth="1"/>
    <col min="11534" max="11534" width="4.375" style="2694" customWidth="1"/>
    <col min="11535" max="11536" width="5.25" style="2694" customWidth="1"/>
    <col min="11537" max="11537" width="4.375" style="2694" customWidth="1"/>
    <col min="11538" max="11539" width="5.25" style="2694" customWidth="1"/>
    <col min="11540" max="11540" width="4.625" style="2694" customWidth="1"/>
    <col min="11541" max="11541" width="19.125" style="2694" customWidth="1"/>
    <col min="11542" max="11559" width="4.125" style="2694" customWidth="1"/>
    <col min="11560" max="11776" width="9" style="2694"/>
    <col min="11777" max="11777" width="9.125" style="2694" customWidth="1"/>
    <col min="11778" max="11778" width="14.75" style="2694" customWidth="1"/>
    <col min="11779" max="11780" width="5.25" style="2694" customWidth="1"/>
    <col min="11781" max="11781" width="4.375" style="2694" customWidth="1"/>
    <col min="11782" max="11783" width="5.25" style="2694" customWidth="1"/>
    <col min="11784" max="11784" width="4.375" style="2694" customWidth="1"/>
    <col min="11785" max="11786" width="5.25" style="2694" customWidth="1"/>
    <col min="11787" max="11787" width="4.375" style="2694" customWidth="1"/>
    <col min="11788" max="11789" width="5.25" style="2694" customWidth="1"/>
    <col min="11790" max="11790" width="4.375" style="2694" customWidth="1"/>
    <col min="11791" max="11792" width="5.25" style="2694" customWidth="1"/>
    <col min="11793" max="11793" width="4.375" style="2694" customWidth="1"/>
    <col min="11794" max="11795" width="5.25" style="2694" customWidth="1"/>
    <col min="11796" max="11796" width="4.625" style="2694" customWidth="1"/>
    <col min="11797" max="11797" width="19.125" style="2694" customWidth="1"/>
    <col min="11798" max="11815" width="4.125" style="2694" customWidth="1"/>
    <col min="11816" max="12032" width="9" style="2694"/>
    <col min="12033" max="12033" width="9.125" style="2694" customWidth="1"/>
    <col min="12034" max="12034" width="14.75" style="2694" customWidth="1"/>
    <col min="12035" max="12036" width="5.25" style="2694" customWidth="1"/>
    <col min="12037" max="12037" width="4.375" style="2694" customWidth="1"/>
    <col min="12038" max="12039" width="5.25" style="2694" customWidth="1"/>
    <col min="12040" max="12040" width="4.375" style="2694" customWidth="1"/>
    <col min="12041" max="12042" width="5.25" style="2694" customWidth="1"/>
    <col min="12043" max="12043" width="4.375" style="2694" customWidth="1"/>
    <col min="12044" max="12045" width="5.25" style="2694" customWidth="1"/>
    <col min="12046" max="12046" width="4.375" style="2694" customWidth="1"/>
    <col min="12047" max="12048" width="5.25" style="2694" customWidth="1"/>
    <col min="12049" max="12049" width="4.375" style="2694" customWidth="1"/>
    <col min="12050" max="12051" width="5.25" style="2694" customWidth="1"/>
    <col min="12052" max="12052" width="4.625" style="2694" customWidth="1"/>
    <col min="12053" max="12053" width="19.125" style="2694" customWidth="1"/>
    <col min="12054" max="12071" width="4.125" style="2694" customWidth="1"/>
    <col min="12072" max="12288" width="9" style="2694"/>
    <col min="12289" max="12289" width="9.125" style="2694" customWidth="1"/>
    <col min="12290" max="12290" width="14.75" style="2694" customWidth="1"/>
    <col min="12291" max="12292" width="5.25" style="2694" customWidth="1"/>
    <col min="12293" max="12293" width="4.375" style="2694" customWidth="1"/>
    <col min="12294" max="12295" width="5.25" style="2694" customWidth="1"/>
    <col min="12296" max="12296" width="4.375" style="2694" customWidth="1"/>
    <col min="12297" max="12298" width="5.25" style="2694" customWidth="1"/>
    <col min="12299" max="12299" width="4.375" style="2694" customWidth="1"/>
    <col min="12300" max="12301" width="5.25" style="2694" customWidth="1"/>
    <col min="12302" max="12302" width="4.375" style="2694" customWidth="1"/>
    <col min="12303" max="12304" width="5.25" style="2694" customWidth="1"/>
    <col min="12305" max="12305" width="4.375" style="2694" customWidth="1"/>
    <col min="12306" max="12307" width="5.25" style="2694" customWidth="1"/>
    <col min="12308" max="12308" width="4.625" style="2694" customWidth="1"/>
    <col min="12309" max="12309" width="19.125" style="2694" customWidth="1"/>
    <col min="12310" max="12327" width="4.125" style="2694" customWidth="1"/>
    <col min="12328" max="12544" width="9" style="2694"/>
    <col min="12545" max="12545" width="9.125" style="2694" customWidth="1"/>
    <col min="12546" max="12546" width="14.75" style="2694" customWidth="1"/>
    <col min="12547" max="12548" width="5.25" style="2694" customWidth="1"/>
    <col min="12549" max="12549" width="4.375" style="2694" customWidth="1"/>
    <col min="12550" max="12551" width="5.25" style="2694" customWidth="1"/>
    <col min="12552" max="12552" width="4.375" style="2694" customWidth="1"/>
    <col min="12553" max="12554" width="5.25" style="2694" customWidth="1"/>
    <col min="12555" max="12555" width="4.375" style="2694" customWidth="1"/>
    <col min="12556" max="12557" width="5.25" style="2694" customWidth="1"/>
    <col min="12558" max="12558" width="4.375" style="2694" customWidth="1"/>
    <col min="12559" max="12560" width="5.25" style="2694" customWidth="1"/>
    <col min="12561" max="12561" width="4.375" style="2694" customWidth="1"/>
    <col min="12562" max="12563" width="5.25" style="2694" customWidth="1"/>
    <col min="12564" max="12564" width="4.625" style="2694" customWidth="1"/>
    <col min="12565" max="12565" width="19.125" style="2694" customWidth="1"/>
    <col min="12566" max="12583" width="4.125" style="2694" customWidth="1"/>
    <col min="12584" max="12800" width="9" style="2694"/>
    <col min="12801" max="12801" width="9.125" style="2694" customWidth="1"/>
    <col min="12802" max="12802" width="14.75" style="2694" customWidth="1"/>
    <col min="12803" max="12804" width="5.25" style="2694" customWidth="1"/>
    <col min="12805" max="12805" width="4.375" style="2694" customWidth="1"/>
    <col min="12806" max="12807" width="5.25" style="2694" customWidth="1"/>
    <col min="12808" max="12808" width="4.375" style="2694" customWidth="1"/>
    <col min="12809" max="12810" width="5.25" style="2694" customWidth="1"/>
    <col min="12811" max="12811" width="4.375" style="2694" customWidth="1"/>
    <col min="12812" max="12813" width="5.25" style="2694" customWidth="1"/>
    <col min="12814" max="12814" width="4.375" style="2694" customWidth="1"/>
    <col min="12815" max="12816" width="5.25" style="2694" customWidth="1"/>
    <col min="12817" max="12817" width="4.375" style="2694" customWidth="1"/>
    <col min="12818" max="12819" width="5.25" style="2694" customWidth="1"/>
    <col min="12820" max="12820" width="4.625" style="2694" customWidth="1"/>
    <col min="12821" max="12821" width="19.125" style="2694" customWidth="1"/>
    <col min="12822" max="12839" width="4.125" style="2694" customWidth="1"/>
    <col min="12840" max="13056" width="9" style="2694"/>
    <col min="13057" max="13057" width="9.125" style="2694" customWidth="1"/>
    <col min="13058" max="13058" width="14.75" style="2694" customWidth="1"/>
    <col min="13059" max="13060" width="5.25" style="2694" customWidth="1"/>
    <col min="13061" max="13061" width="4.375" style="2694" customWidth="1"/>
    <col min="13062" max="13063" width="5.25" style="2694" customWidth="1"/>
    <col min="13064" max="13064" width="4.375" style="2694" customWidth="1"/>
    <col min="13065" max="13066" width="5.25" style="2694" customWidth="1"/>
    <col min="13067" max="13067" width="4.375" style="2694" customWidth="1"/>
    <col min="13068" max="13069" width="5.25" style="2694" customWidth="1"/>
    <col min="13070" max="13070" width="4.375" style="2694" customWidth="1"/>
    <col min="13071" max="13072" width="5.25" style="2694" customWidth="1"/>
    <col min="13073" max="13073" width="4.375" style="2694" customWidth="1"/>
    <col min="13074" max="13075" width="5.25" style="2694" customWidth="1"/>
    <col min="13076" max="13076" width="4.625" style="2694" customWidth="1"/>
    <col min="13077" max="13077" width="19.125" style="2694" customWidth="1"/>
    <col min="13078" max="13095" width="4.125" style="2694" customWidth="1"/>
    <col min="13096" max="13312" width="9" style="2694"/>
    <col min="13313" max="13313" width="9.125" style="2694" customWidth="1"/>
    <col min="13314" max="13314" width="14.75" style="2694" customWidth="1"/>
    <col min="13315" max="13316" width="5.25" style="2694" customWidth="1"/>
    <col min="13317" max="13317" width="4.375" style="2694" customWidth="1"/>
    <col min="13318" max="13319" width="5.25" style="2694" customWidth="1"/>
    <col min="13320" max="13320" width="4.375" style="2694" customWidth="1"/>
    <col min="13321" max="13322" width="5.25" style="2694" customWidth="1"/>
    <col min="13323" max="13323" width="4.375" style="2694" customWidth="1"/>
    <col min="13324" max="13325" width="5.25" style="2694" customWidth="1"/>
    <col min="13326" max="13326" width="4.375" style="2694" customWidth="1"/>
    <col min="13327" max="13328" width="5.25" style="2694" customWidth="1"/>
    <col min="13329" max="13329" width="4.375" style="2694" customWidth="1"/>
    <col min="13330" max="13331" width="5.25" style="2694" customWidth="1"/>
    <col min="13332" max="13332" width="4.625" style="2694" customWidth="1"/>
    <col min="13333" max="13333" width="19.125" style="2694" customWidth="1"/>
    <col min="13334" max="13351" width="4.125" style="2694" customWidth="1"/>
    <col min="13352" max="13568" width="9" style="2694"/>
    <col min="13569" max="13569" width="9.125" style="2694" customWidth="1"/>
    <col min="13570" max="13570" width="14.75" style="2694" customWidth="1"/>
    <col min="13571" max="13572" width="5.25" style="2694" customWidth="1"/>
    <col min="13573" max="13573" width="4.375" style="2694" customWidth="1"/>
    <col min="13574" max="13575" width="5.25" style="2694" customWidth="1"/>
    <col min="13576" max="13576" width="4.375" style="2694" customWidth="1"/>
    <col min="13577" max="13578" width="5.25" style="2694" customWidth="1"/>
    <col min="13579" max="13579" width="4.375" style="2694" customWidth="1"/>
    <col min="13580" max="13581" width="5.25" style="2694" customWidth="1"/>
    <col min="13582" max="13582" width="4.375" style="2694" customWidth="1"/>
    <col min="13583" max="13584" width="5.25" style="2694" customWidth="1"/>
    <col min="13585" max="13585" width="4.375" style="2694" customWidth="1"/>
    <col min="13586" max="13587" width="5.25" style="2694" customWidth="1"/>
    <col min="13588" max="13588" width="4.625" style="2694" customWidth="1"/>
    <col min="13589" max="13589" width="19.125" style="2694" customWidth="1"/>
    <col min="13590" max="13607" width="4.125" style="2694" customWidth="1"/>
    <col min="13608" max="13824" width="9" style="2694"/>
    <col min="13825" max="13825" width="9.125" style="2694" customWidth="1"/>
    <col min="13826" max="13826" width="14.75" style="2694" customWidth="1"/>
    <col min="13827" max="13828" width="5.25" style="2694" customWidth="1"/>
    <col min="13829" max="13829" width="4.375" style="2694" customWidth="1"/>
    <col min="13830" max="13831" width="5.25" style="2694" customWidth="1"/>
    <col min="13832" max="13832" width="4.375" style="2694" customWidth="1"/>
    <col min="13833" max="13834" width="5.25" style="2694" customWidth="1"/>
    <col min="13835" max="13835" width="4.375" style="2694" customWidth="1"/>
    <col min="13836" max="13837" width="5.25" style="2694" customWidth="1"/>
    <col min="13838" max="13838" width="4.375" style="2694" customWidth="1"/>
    <col min="13839" max="13840" width="5.25" style="2694" customWidth="1"/>
    <col min="13841" max="13841" width="4.375" style="2694" customWidth="1"/>
    <col min="13842" max="13843" width="5.25" style="2694" customWidth="1"/>
    <col min="13844" max="13844" width="4.625" style="2694" customWidth="1"/>
    <col min="13845" max="13845" width="19.125" style="2694" customWidth="1"/>
    <col min="13846" max="13863" width="4.125" style="2694" customWidth="1"/>
    <col min="13864" max="14080" width="9" style="2694"/>
    <col min="14081" max="14081" width="9.125" style="2694" customWidth="1"/>
    <col min="14082" max="14082" width="14.75" style="2694" customWidth="1"/>
    <col min="14083" max="14084" width="5.25" style="2694" customWidth="1"/>
    <col min="14085" max="14085" width="4.375" style="2694" customWidth="1"/>
    <col min="14086" max="14087" width="5.25" style="2694" customWidth="1"/>
    <col min="14088" max="14088" width="4.375" style="2694" customWidth="1"/>
    <col min="14089" max="14090" width="5.25" style="2694" customWidth="1"/>
    <col min="14091" max="14091" width="4.375" style="2694" customWidth="1"/>
    <col min="14092" max="14093" width="5.25" style="2694" customWidth="1"/>
    <col min="14094" max="14094" width="4.375" style="2694" customWidth="1"/>
    <col min="14095" max="14096" width="5.25" style="2694" customWidth="1"/>
    <col min="14097" max="14097" width="4.375" style="2694" customWidth="1"/>
    <col min="14098" max="14099" width="5.25" style="2694" customWidth="1"/>
    <col min="14100" max="14100" width="4.625" style="2694" customWidth="1"/>
    <col min="14101" max="14101" width="19.125" style="2694" customWidth="1"/>
    <col min="14102" max="14119" width="4.125" style="2694" customWidth="1"/>
    <col min="14120" max="14336" width="9" style="2694"/>
    <col min="14337" max="14337" width="9.125" style="2694" customWidth="1"/>
    <col min="14338" max="14338" width="14.75" style="2694" customWidth="1"/>
    <col min="14339" max="14340" width="5.25" style="2694" customWidth="1"/>
    <col min="14341" max="14341" width="4.375" style="2694" customWidth="1"/>
    <col min="14342" max="14343" width="5.25" style="2694" customWidth="1"/>
    <col min="14344" max="14344" width="4.375" style="2694" customWidth="1"/>
    <col min="14345" max="14346" width="5.25" style="2694" customWidth="1"/>
    <col min="14347" max="14347" width="4.375" style="2694" customWidth="1"/>
    <col min="14348" max="14349" width="5.25" style="2694" customWidth="1"/>
    <col min="14350" max="14350" width="4.375" style="2694" customWidth="1"/>
    <col min="14351" max="14352" width="5.25" style="2694" customWidth="1"/>
    <col min="14353" max="14353" width="4.375" style="2694" customWidth="1"/>
    <col min="14354" max="14355" width="5.25" style="2694" customWidth="1"/>
    <col min="14356" max="14356" width="4.625" style="2694" customWidth="1"/>
    <col min="14357" max="14357" width="19.125" style="2694" customWidth="1"/>
    <col min="14358" max="14375" width="4.125" style="2694" customWidth="1"/>
    <col min="14376" max="14592" width="9" style="2694"/>
    <col min="14593" max="14593" width="9.125" style="2694" customWidth="1"/>
    <col min="14594" max="14594" width="14.75" style="2694" customWidth="1"/>
    <col min="14595" max="14596" width="5.25" style="2694" customWidth="1"/>
    <col min="14597" max="14597" width="4.375" style="2694" customWidth="1"/>
    <col min="14598" max="14599" width="5.25" style="2694" customWidth="1"/>
    <col min="14600" max="14600" width="4.375" style="2694" customWidth="1"/>
    <col min="14601" max="14602" width="5.25" style="2694" customWidth="1"/>
    <col min="14603" max="14603" width="4.375" style="2694" customWidth="1"/>
    <col min="14604" max="14605" width="5.25" style="2694" customWidth="1"/>
    <col min="14606" max="14606" width="4.375" style="2694" customWidth="1"/>
    <col min="14607" max="14608" width="5.25" style="2694" customWidth="1"/>
    <col min="14609" max="14609" width="4.375" style="2694" customWidth="1"/>
    <col min="14610" max="14611" width="5.25" style="2694" customWidth="1"/>
    <col min="14612" max="14612" width="4.625" style="2694" customWidth="1"/>
    <col min="14613" max="14613" width="19.125" style="2694" customWidth="1"/>
    <col min="14614" max="14631" width="4.125" style="2694" customWidth="1"/>
    <col min="14632" max="14848" width="9" style="2694"/>
    <col min="14849" max="14849" width="9.125" style="2694" customWidth="1"/>
    <col min="14850" max="14850" width="14.75" style="2694" customWidth="1"/>
    <col min="14851" max="14852" width="5.25" style="2694" customWidth="1"/>
    <col min="14853" max="14853" width="4.375" style="2694" customWidth="1"/>
    <col min="14854" max="14855" width="5.25" style="2694" customWidth="1"/>
    <col min="14856" max="14856" width="4.375" style="2694" customWidth="1"/>
    <col min="14857" max="14858" width="5.25" style="2694" customWidth="1"/>
    <col min="14859" max="14859" width="4.375" style="2694" customWidth="1"/>
    <col min="14860" max="14861" width="5.25" style="2694" customWidth="1"/>
    <col min="14862" max="14862" width="4.375" style="2694" customWidth="1"/>
    <col min="14863" max="14864" width="5.25" style="2694" customWidth="1"/>
    <col min="14865" max="14865" width="4.375" style="2694" customWidth="1"/>
    <col min="14866" max="14867" width="5.25" style="2694" customWidth="1"/>
    <col min="14868" max="14868" width="4.625" style="2694" customWidth="1"/>
    <col min="14869" max="14869" width="19.125" style="2694" customWidth="1"/>
    <col min="14870" max="14887" width="4.125" style="2694" customWidth="1"/>
    <col min="14888" max="15104" width="9" style="2694"/>
    <col min="15105" max="15105" width="9.125" style="2694" customWidth="1"/>
    <col min="15106" max="15106" width="14.75" style="2694" customWidth="1"/>
    <col min="15107" max="15108" width="5.25" style="2694" customWidth="1"/>
    <col min="15109" max="15109" width="4.375" style="2694" customWidth="1"/>
    <col min="15110" max="15111" width="5.25" style="2694" customWidth="1"/>
    <col min="15112" max="15112" width="4.375" style="2694" customWidth="1"/>
    <col min="15113" max="15114" width="5.25" style="2694" customWidth="1"/>
    <col min="15115" max="15115" width="4.375" style="2694" customWidth="1"/>
    <col min="15116" max="15117" width="5.25" style="2694" customWidth="1"/>
    <col min="15118" max="15118" width="4.375" style="2694" customWidth="1"/>
    <col min="15119" max="15120" width="5.25" style="2694" customWidth="1"/>
    <col min="15121" max="15121" width="4.375" style="2694" customWidth="1"/>
    <col min="15122" max="15123" width="5.25" style="2694" customWidth="1"/>
    <col min="15124" max="15124" width="4.625" style="2694" customWidth="1"/>
    <col min="15125" max="15125" width="19.125" style="2694" customWidth="1"/>
    <col min="15126" max="15143" width="4.125" style="2694" customWidth="1"/>
    <col min="15144" max="15360" width="9" style="2694"/>
    <col min="15361" max="15361" width="9.125" style="2694" customWidth="1"/>
    <col min="15362" max="15362" width="14.75" style="2694" customWidth="1"/>
    <col min="15363" max="15364" width="5.25" style="2694" customWidth="1"/>
    <col min="15365" max="15365" width="4.375" style="2694" customWidth="1"/>
    <col min="15366" max="15367" width="5.25" style="2694" customWidth="1"/>
    <col min="15368" max="15368" width="4.375" style="2694" customWidth="1"/>
    <col min="15369" max="15370" width="5.25" style="2694" customWidth="1"/>
    <col min="15371" max="15371" width="4.375" style="2694" customWidth="1"/>
    <col min="15372" max="15373" width="5.25" style="2694" customWidth="1"/>
    <col min="15374" max="15374" width="4.375" style="2694" customWidth="1"/>
    <col min="15375" max="15376" width="5.25" style="2694" customWidth="1"/>
    <col min="15377" max="15377" width="4.375" style="2694" customWidth="1"/>
    <col min="15378" max="15379" width="5.25" style="2694" customWidth="1"/>
    <col min="15380" max="15380" width="4.625" style="2694" customWidth="1"/>
    <col min="15381" max="15381" width="19.125" style="2694" customWidth="1"/>
    <col min="15382" max="15399" width="4.125" style="2694" customWidth="1"/>
    <col min="15400" max="15616" width="9" style="2694"/>
    <col min="15617" max="15617" width="9.125" style="2694" customWidth="1"/>
    <col min="15618" max="15618" width="14.75" style="2694" customWidth="1"/>
    <col min="15619" max="15620" width="5.25" style="2694" customWidth="1"/>
    <col min="15621" max="15621" width="4.375" style="2694" customWidth="1"/>
    <col min="15622" max="15623" width="5.25" style="2694" customWidth="1"/>
    <col min="15624" max="15624" width="4.375" style="2694" customWidth="1"/>
    <col min="15625" max="15626" width="5.25" style="2694" customWidth="1"/>
    <col min="15627" max="15627" width="4.375" style="2694" customWidth="1"/>
    <col min="15628" max="15629" width="5.25" style="2694" customWidth="1"/>
    <col min="15630" max="15630" width="4.375" style="2694" customWidth="1"/>
    <col min="15631" max="15632" width="5.25" style="2694" customWidth="1"/>
    <col min="15633" max="15633" width="4.375" style="2694" customWidth="1"/>
    <col min="15634" max="15635" width="5.25" style="2694" customWidth="1"/>
    <col min="15636" max="15636" width="4.625" style="2694" customWidth="1"/>
    <col min="15637" max="15637" width="19.125" style="2694" customWidth="1"/>
    <col min="15638" max="15655" width="4.125" style="2694" customWidth="1"/>
    <col min="15656" max="15872" width="9" style="2694"/>
    <col min="15873" max="15873" width="9.125" style="2694" customWidth="1"/>
    <col min="15874" max="15874" width="14.75" style="2694" customWidth="1"/>
    <col min="15875" max="15876" width="5.25" style="2694" customWidth="1"/>
    <col min="15877" max="15877" width="4.375" style="2694" customWidth="1"/>
    <col min="15878" max="15879" width="5.25" style="2694" customWidth="1"/>
    <col min="15880" max="15880" width="4.375" style="2694" customWidth="1"/>
    <col min="15881" max="15882" width="5.25" style="2694" customWidth="1"/>
    <col min="15883" max="15883" width="4.375" style="2694" customWidth="1"/>
    <col min="15884" max="15885" width="5.25" style="2694" customWidth="1"/>
    <col min="15886" max="15886" width="4.375" style="2694" customWidth="1"/>
    <col min="15887" max="15888" width="5.25" style="2694" customWidth="1"/>
    <col min="15889" max="15889" width="4.375" style="2694" customWidth="1"/>
    <col min="15890" max="15891" width="5.25" style="2694" customWidth="1"/>
    <col min="15892" max="15892" width="4.625" style="2694" customWidth="1"/>
    <col min="15893" max="15893" width="19.125" style="2694" customWidth="1"/>
    <col min="15894" max="15911" width="4.125" style="2694" customWidth="1"/>
    <col min="15912" max="16128" width="9" style="2694"/>
    <col min="16129" max="16129" width="9.125" style="2694" customWidth="1"/>
    <col min="16130" max="16130" width="14.75" style="2694" customWidth="1"/>
    <col min="16131" max="16132" width="5.25" style="2694" customWidth="1"/>
    <col min="16133" max="16133" width="4.375" style="2694" customWidth="1"/>
    <col min="16134" max="16135" width="5.25" style="2694" customWidth="1"/>
    <col min="16136" max="16136" width="4.375" style="2694" customWidth="1"/>
    <col min="16137" max="16138" width="5.25" style="2694" customWidth="1"/>
    <col min="16139" max="16139" width="4.375" style="2694" customWidth="1"/>
    <col min="16140" max="16141" width="5.25" style="2694" customWidth="1"/>
    <col min="16142" max="16142" width="4.375" style="2694" customWidth="1"/>
    <col min="16143" max="16144" width="5.25" style="2694" customWidth="1"/>
    <col min="16145" max="16145" width="4.375" style="2694" customWidth="1"/>
    <col min="16146" max="16147" width="5.25" style="2694" customWidth="1"/>
    <col min="16148" max="16148" width="4.625" style="2694" customWidth="1"/>
    <col min="16149" max="16149" width="19.125" style="2694" customWidth="1"/>
    <col min="16150" max="16167" width="4.125" style="2694" customWidth="1"/>
    <col min="16168" max="16384" width="9" style="2694"/>
  </cols>
  <sheetData>
    <row r="1" spans="1:21" ht="18.75" customHeight="1">
      <c r="A1" s="4405" t="s">
        <v>581</v>
      </c>
      <c r="B1" s="4405"/>
      <c r="C1" s="4405"/>
      <c r="D1" s="4405"/>
      <c r="E1" s="4405"/>
      <c r="F1" s="4405"/>
      <c r="G1" s="4405"/>
      <c r="H1" s="4405"/>
      <c r="I1" s="4405"/>
      <c r="J1" s="4405"/>
      <c r="K1" s="4405"/>
      <c r="L1" s="4405"/>
      <c r="M1" s="4405"/>
      <c r="N1" s="4405"/>
      <c r="O1" s="4405"/>
      <c r="P1" s="4405"/>
      <c r="Q1" s="4405"/>
      <c r="R1" s="4405"/>
      <c r="S1" s="4405"/>
      <c r="T1" s="4405"/>
      <c r="U1" s="4405"/>
    </row>
    <row r="2" spans="1:21" ht="18" customHeight="1">
      <c r="A2" s="4389" t="s">
        <v>582</v>
      </c>
      <c r="B2" s="4402"/>
      <c r="C2" s="4402"/>
      <c r="D2" s="4402"/>
      <c r="E2" s="4402"/>
      <c r="F2" s="4402"/>
      <c r="G2" s="4402"/>
      <c r="H2" s="4402"/>
      <c r="I2" s="4402"/>
      <c r="J2" s="4402"/>
      <c r="K2" s="4402"/>
      <c r="L2" s="4402"/>
      <c r="M2" s="4402"/>
      <c r="N2" s="4402"/>
      <c r="O2" s="4402"/>
      <c r="P2" s="4402"/>
      <c r="Q2" s="4402"/>
      <c r="R2" s="4402"/>
      <c r="S2" s="4402"/>
      <c r="T2" s="4402"/>
      <c r="U2" s="4402"/>
    </row>
    <row r="3" spans="1:21" ht="18" customHeight="1">
      <c r="A3" s="4372" t="s">
        <v>583</v>
      </c>
      <c r="B3" s="4372"/>
      <c r="C3" s="4372" t="s">
        <v>584</v>
      </c>
      <c r="D3" s="4372"/>
      <c r="E3" s="4372"/>
      <c r="F3" s="4372"/>
      <c r="G3" s="4372"/>
      <c r="H3" s="4372"/>
      <c r="I3" s="4403" t="s">
        <v>585</v>
      </c>
      <c r="J3" s="4403"/>
      <c r="K3" s="4403"/>
      <c r="L3" s="4403"/>
      <c r="M3" s="4403"/>
      <c r="N3" s="4403"/>
      <c r="O3" s="4406" t="s">
        <v>586</v>
      </c>
      <c r="P3" s="4406"/>
      <c r="Q3" s="4406"/>
      <c r="R3" s="4406"/>
      <c r="S3" s="4406"/>
      <c r="T3" s="4406"/>
      <c r="U3" s="4396" t="s">
        <v>587</v>
      </c>
    </row>
    <row r="4" spans="1:21" ht="13.5" customHeight="1">
      <c r="A4" s="4369" t="s">
        <v>588</v>
      </c>
      <c r="B4" s="4373" t="s">
        <v>0</v>
      </c>
      <c r="C4" s="4373" t="s">
        <v>589</v>
      </c>
      <c r="D4" s="4373"/>
      <c r="E4" s="4373"/>
      <c r="F4" s="4373" t="s">
        <v>590</v>
      </c>
      <c r="G4" s="4373"/>
      <c r="H4" s="4373"/>
      <c r="I4" s="4399" t="s">
        <v>589</v>
      </c>
      <c r="J4" s="4399"/>
      <c r="K4" s="4399"/>
      <c r="L4" s="4399" t="s">
        <v>590</v>
      </c>
      <c r="M4" s="4399"/>
      <c r="N4" s="4399"/>
      <c r="O4" s="4400" t="s">
        <v>589</v>
      </c>
      <c r="P4" s="4400"/>
      <c r="Q4" s="4400"/>
      <c r="R4" s="4400" t="s">
        <v>590</v>
      </c>
      <c r="S4" s="4400"/>
      <c r="T4" s="4400"/>
      <c r="U4" s="4397"/>
    </row>
    <row r="5" spans="1:21" ht="13.5" customHeight="1">
      <c r="A5" s="4370"/>
      <c r="B5" s="4373"/>
      <c r="C5" s="4085" t="s">
        <v>591</v>
      </c>
      <c r="D5" s="3277" t="s">
        <v>592</v>
      </c>
      <c r="E5" s="4086" t="s">
        <v>593</v>
      </c>
      <c r="F5" s="4085" t="s">
        <v>591</v>
      </c>
      <c r="G5" s="3277" t="s">
        <v>592</v>
      </c>
      <c r="H5" s="4086" t="s">
        <v>593</v>
      </c>
      <c r="I5" s="4094" t="s">
        <v>591</v>
      </c>
      <c r="J5" s="4095" t="s">
        <v>592</v>
      </c>
      <c r="K5" s="4096" t="s">
        <v>593</v>
      </c>
      <c r="L5" s="4094" t="s">
        <v>591</v>
      </c>
      <c r="M5" s="4095" t="s">
        <v>592</v>
      </c>
      <c r="N5" s="4096" t="s">
        <v>593</v>
      </c>
      <c r="O5" s="4097" t="s">
        <v>591</v>
      </c>
      <c r="P5" s="4098" t="s">
        <v>592</v>
      </c>
      <c r="Q5" s="4103" t="s">
        <v>593</v>
      </c>
      <c r="R5" s="4097" t="s">
        <v>591</v>
      </c>
      <c r="S5" s="4098" t="s">
        <v>592</v>
      </c>
      <c r="T5" s="4103" t="s">
        <v>593</v>
      </c>
      <c r="U5" s="4398"/>
    </row>
    <row r="6" spans="1:21" ht="15.2" customHeight="1">
      <c r="A6" s="4376" t="s">
        <v>594</v>
      </c>
      <c r="B6" s="4087" t="s">
        <v>595</v>
      </c>
      <c r="C6" s="3725">
        <v>2200</v>
      </c>
      <c r="D6" s="3725">
        <v>1500</v>
      </c>
      <c r="E6" s="3725">
        <v>0.6</v>
      </c>
      <c r="F6" s="3725">
        <v>2600</v>
      </c>
      <c r="G6" s="3725">
        <v>1600</v>
      </c>
      <c r="H6" s="3725">
        <v>0.14000000000000001</v>
      </c>
      <c r="I6" s="4099">
        <v>2000</v>
      </c>
      <c r="J6" s="4099">
        <v>1500</v>
      </c>
      <c r="K6" s="4099">
        <v>0.5</v>
      </c>
      <c r="L6" s="4099">
        <v>3000</v>
      </c>
      <c r="M6" s="4099">
        <v>2000</v>
      </c>
      <c r="N6" s="4099">
        <v>0.14000000000000001</v>
      </c>
      <c r="O6" s="4100">
        <v>2500</v>
      </c>
      <c r="P6" s="4100">
        <v>1500</v>
      </c>
      <c r="Q6" s="4100">
        <v>0.8</v>
      </c>
      <c r="R6" s="4100">
        <v>3200</v>
      </c>
      <c r="S6" s="4100">
        <v>1650</v>
      </c>
      <c r="T6" s="4100">
        <v>0.15</v>
      </c>
      <c r="U6" s="4104" t="s">
        <v>596</v>
      </c>
    </row>
    <row r="7" spans="1:21" ht="15.2" customHeight="1">
      <c r="A7" s="4377"/>
      <c r="B7" s="4087" t="s">
        <v>597</v>
      </c>
      <c r="C7" s="3725">
        <v>2200</v>
      </c>
      <c r="D7" s="3725">
        <v>1300</v>
      </c>
      <c r="E7" s="3725">
        <v>0.6</v>
      </c>
      <c r="F7" s="3725">
        <v>2500</v>
      </c>
      <c r="G7" s="3725">
        <v>1500</v>
      </c>
      <c r="H7" s="3725">
        <v>0.14000000000000001</v>
      </c>
      <c r="I7" s="4099">
        <v>2000</v>
      </c>
      <c r="J7" s="4099">
        <v>1200</v>
      </c>
      <c r="K7" s="4099">
        <v>0.5</v>
      </c>
      <c r="L7" s="4101">
        <v>2800</v>
      </c>
      <c r="M7" s="4099">
        <v>1600</v>
      </c>
      <c r="N7" s="4099">
        <v>0.14000000000000001</v>
      </c>
      <c r="O7" s="4100">
        <v>2500</v>
      </c>
      <c r="P7" s="4100">
        <v>1500</v>
      </c>
      <c r="Q7" s="4100">
        <v>0.6</v>
      </c>
      <c r="R7" s="4100">
        <v>3000</v>
      </c>
      <c r="S7" s="4100">
        <v>1500</v>
      </c>
      <c r="T7" s="4100">
        <v>0.15</v>
      </c>
      <c r="U7" s="4104" t="s">
        <v>598</v>
      </c>
    </row>
    <row r="8" spans="1:21" ht="15.2" customHeight="1">
      <c r="A8" s="4377"/>
      <c r="B8" s="4087" t="s">
        <v>599</v>
      </c>
      <c r="C8" s="3725">
        <v>1600</v>
      </c>
      <c r="D8" s="3725">
        <v>1200</v>
      </c>
      <c r="E8" s="3725">
        <v>0.5</v>
      </c>
      <c r="F8" s="3725">
        <v>1750</v>
      </c>
      <c r="G8" s="3725">
        <v>1400</v>
      </c>
      <c r="H8" s="3725">
        <v>0.14000000000000001</v>
      </c>
      <c r="I8" s="4099"/>
      <c r="J8" s="4099"/>
      <c r="K8" s="4099"/>
      <c r="L8" s="4099"/>
      <c r="M8" s="4099"/>
      <c r="N8" s="4099"/>
      <c r="O8" s="4100">
        <v>2400</v>
      </c>
      <c r="P8" s="4100">
        <v>1300</v>
      </c>
      <c r="Q8" s="4100">
        <v>0.5</v>
      </c>
      <c r="R8" s="4100"/>
      <c r="S8" s="4100"/>
      <c r="T8" s="4100"/>
      <c r="U8" s="4104" t="s">
        <v>600</v>
      </c>
    </row>
    <row r="9" spans="1:21" ht="15.2" customHeight="1">
      <c r="A9" s="4377"/>
      <c r="B9" s="4087" t="s">
        <v>601</v>
      </c>
      <c r="C9" s="3725">
        <v>1600</v>
      </c>
      <c r="D9" s="3725">
        <v>1200</v>
      </c>
      <c r="E9" s="3725">
        <v>0.6</v>
      </c>
      <c r="F9" s="3725">
        <v>1750</v>
      </c>
      <c r="G9" s="3725">
        <v>1400</v>
      </c>
      <c r="H9" s="3725">
        <v>0.14000000000000001</v>
      </c>
      <c r="I9" s="4099"/>
      <c r="J9" s="4099"/>
      <c r="K9" s="4099"/>
      <c r="L9" s="4099"/>
      <c r="M9" s="4099"/>
      <c r="N9" s="4099"/>
      <c r="O9" s="4100">
        <v>1800</v>
      </c>
      <c r="P9" s="4100">
        <v>1250</v>
      </c>
      <c r="Q9" s="4100">
        <v>0.8</v>
      </c>
      <c r="R9" s="4100"/>
      <c r="S9" s="4100"/>
      <c r="T9" s="4100"/>
      <c r="U9" s="4104" t="s">
        <v>602</v>
      </c>
    </row>
    <row r="10" spans="1:21" ht="15.2" customHeight="1">
      <c r="A10" s="4377"/>
      <c r="B10" s="4087" t="s">
        <v>603</v>
      </c>
      <c r="C10" s="3725"/>
      <c r="D10" s="3725"/>
      <c r="E10" s="3725"/>
      <c r="F10" s="3725">
        <v>2500</v>
      </c>
      <c r="G10" s="3725">
        <v>1500</v>
      </c>
      <c r="H10" s="3725">
        <v>0.15</v>
      </c>
      <c r="I10" s="4099"/>
      <c r="J10" s="4099"/>
      <c r="K10" s="4099"/>
      <c r="L10" s="4099">
        <v>2500</v>
      </c>
      <c r="M10" s="4099">
        <v>1800</v>
      </c>
      <c r="N10" s="4099">
        <v>0.15</v>
      </c>
      <c r="O10" s="4100">
        <v>3000</v>
      </c>
      <c r="P10" s="4100">
        <v>1200</v>
      </c>
      <c r="Q10" s="4100">
        <v>0.5</v>
      </c>
      <c r="R10" s="4100">
        <v>3000</v>
      </c>
      <c r="S10" s="4100">
        <v>1650</v>
      </c>
      <c r="T10" s="4100">
        <v>0.15</v>
      </c>
      <c r="U10" s="4104" t="s">
        <v>604</v>
      </c>
    </row>
    <row r="11" spans="1:21" ht="15.2" customHeight="1">
      <c r="A11" s="4377"/>
      <c r="B11" s="4087" t="s">
        <v>605</v>
      </c>
      <c r="C11" s="3725">
        <v>2000</v>
      </c>
      <c r="D11" s="3725">
        <v>1400</v>
      </c>
      <c r="E11" s="3725">
        <v>0.4</v>
      </c>
      <c r="F11" s="3725">
        <v>2200</v>
      </c>
      <c r="G11" s="3725">
        <v>1500</v>
      </c>
      <c r="H11" s="3725">
        <v>0.18</v>
      </c>
      <c r="I11" s="4099">
        <v>2000</v>
      </c>
      <c r="J11" s="4099">
        <v>1200</v>
      </c>
      <c r="K11" s="4099">
        <v>0.3</v>
      </c>
      <c r="L11" s="4099">
        <v>2000</v>
      </c>
      <c r="M11" s="4099">
        <v>1500</v>
      </c>
      <c r="N11" s="4099">
        <v>0.18</v>
      </c>
      <c r="O11" s="4100">
        <v>2500</v>
      </c>
      <c r="P11" s="4100">
        <v>1400</v>
      </c>
      <c r="Q11" s="4100">
        <v>0.5</v>
      </c>
      <c r="R11" s="4100"/>
      <c r="S11" s="4100"/>
      <c r="T11" s="4100"/>
      <c r="U11" s="4104" t="s">
        <v>606</v>
      </c>
    </row>
    <row r="12" spans="1:21" ht="15.2" customHeight="1">
      <c r="A12" s="4377"/>
      <c r="B12" s="4087" t="s">
        <v>607</v>
      </c>
      <c r="C12" s="3725">
        <v>1800</v>
      </c>
      <c r="D12" s="3725">
        <v>1250</v>
      </c>
      <c r="E12" s="3725">
        <v>0.25</v>
      </c>
      <c r="F12" s="3725">
        <v>2000</v>
      </c>
      <c r="G12" s="3725">
        <v>1500</v>
      </c>
      <c r="H12" s="3725">
        <v>0.12</v>
      </c>
      <c r="I12" s="4099">
        <v>1800</v>
      </c>
      <c r="J12" s="4099">
        <v>1200</v>
      </c>
      <c r="K12" s="4099">
        <v>0.15</v>
      </c>
      <c r="L12" s="4099">
        <v>2000</v>
      </c>
      <c r="M12" s="4099">
        <v>1400</v>
      </c>
      <c r="N12" s="4099">
        <v>0.12</v>
      </c>
      <c r="O12" s="4100">
        <v>2400</v>
      </c>
      <c r="P12" s="4100">
        <v>1400</v>
      </c>
      <c r="Q12" s="4100">
        <v>0.5</v>
      </c>
      <c r="R12" s="4100">
        <v>2500</v>
      </c>
      <c r="S12" s="4100">
        <v>1600</v>
      </c>
      <c r="T12" s="4100">
        <v>0.12</v>
      </c>
      <c r="U12" s="4104" t="s">
        <v>608</v>
      </c>
    </row>
    <row r="13" spans="1:21" ht="15.2" customHeight="1">
      <c r="A13" s="4377"/>
      <c r="B13" s="4088" t="s">
        <v>609</v>
      </c>
      <c r="C13" s="4089">
        <v>1800</v>
      </c>
      <c r="D13" s="4089">
        <v>1500</v>
      </c>
      <c r="E13" s="4089">
        <v>0.5</v>
      </c>
      <c r="F13" s="4089">
        <v>2000</v>
      </c>
      <c r="G13" s="4089">
        <v>1600</v>
      </c>
      <c r="H13" s="4089">
        <v>0.12</v>
      </c>
      <c r="I13" s="4101">
        <v>1800</v>
      </c>
      <c r="J13" s="4101">
        <v>1350</v>
      </c>
      <c r="K13" s="4101">
        <v>0.25</v>
      </c>
      <c r="L13" s="4101">
        <v>1800</v>
      </c>
      <c r="M13" s="4101">
        <v>1500</v>
      </c>
      <c r="N13" s="4101">
        <v>0.12</v>
      </c>
      <c r="O13" s="4102">
        <v>2500</v>
      </c>
      <c r="P13" s="4102">
        <v>1500</v>
      </c>
      <c r="Q13" s="4102">
        <v>1</v>
      </c>
      <c r="R13" s="4102">
        <v>3000</v>
      </c>
      <c r="S13" s="4102">
        <v>1650</v>
      </c>
      <c r="T13" s="4102">
        <v>0.12</v>
      </c>
      <c r="U13" s="4104" t="s">
        <v>610</v>
      </c>
    </row>
    <row r="14" spans="1:21" ht="15.2" customHeight="1">
      <c r="A14" s="4377"/>
      <c r="B14" s="4087" t="s">
        <v>611</v>
      </c>
      <c r="C14" s="3725">
        <v>1800</v>
      </c>
      <c r="D14" s="3725">
        <v>1250</v>
      </c>
      <c r="E14" s="3725">
        <v>0.25</v>
      </c>
      <c r="F14" s="3725">
        <v>22000</v>
      </c>
      <c r="G14" s="3725">
        <v>1400</v>
      </c>
      <c r="H14" s="3725">
        <v>0.1</v>
      </c>
      <c r="I14" s="4099">
        <v>1800</v>
      </c>
      <c r="J14" s="4099">
        <v>1000</v>
      </c>
      <c r="K14" s="4099">
        <v>0.2</v>
      </c>
      <c r="L14" s="4099">
        <v>2100</v>
      </c>
      <c r="M14" s="4099">
        <v>1400</v>
      </c>
      <c r="N14" s="4099">
        <v>0.1</v>
      </c>
      <c r="O14" s="4100">
        <v>2500</v>
      </c>
      <c r="P14" s="4100">
        <v>1400</v>
      </c>
      <c r="Q14" s="4100">
        <v>0.4</v>
      </c>
      <c r="R14" s="4100">
        <v>2600</v>
      </c>
      <c r="S14" s="4100">
        <v>1500</v>
      </c>
      <c r="T14" s="4100">
        <v>0.1</v>
      </c>
      <c r="U14" s="4104" t="s">
        <v>612</v>
      </c>
    </row>
    <row r="15" spans="1:21" ht="15.2" customHeight="1">
      <c r="A15" s="4377"/>
      <c r="B15" s="4087" t="s">
        <v>613</v>
      </c>
      <c r="C15" s="3725">
        <v>1850</v>
      </c>
      <c r="D15" s="3725">
        <v>1500</v>
      </c>
      <c r="E15" s="3725">
        <v>0.4</v>
      </c>
      <c r="F15" s="3725">
        <v>2000</v>
      </c>
      <c r="G15" s="3725">
        <v>1500</v>
      </c>
      <c r="H15" s="3725">
        <v>0.1</v>
      </c>
      <c r="I15" s="4099">
        <v>1800</v>
      </c>
      <c r="J15" s="4099">
        <v>1500</v>
      </c>
      <c r="K15" s="4099">
        <v>0.25</v>
      </c>
      <c r="L15" s="4099">
        <v>2000</v>
      </c>
      <c r="M15" s="4099">
        <v>1500</v>
      </c>
      <c r="N15" s="4099">
        <v>0.1</v>
      </c>
      <c r="O15" s="4100">
        <v>2500</v>
      </c>
      <c r="P15" s="4100">
        <v>1500</v>
      </c>
      <c r="Q15" s="4100">
        <v>0.6</v>
      </c>
      <c r="R15" s="4100">
        <v>2800</v>
      </c>
      <c r="S15" s="4100">
        <v>1650</v>
      </c>
      <c r="T15" s="4100">
        <v>0.1</v>
      </c>
      <c r="U15" s="4104" t="s">
        <v>612</v>
      </c>
    </row>
    <row r="16" spans="1:21" ht="15.2" customHeight="1">
      <c r="A16" s="4377"/>
      <c r="B16" s="3940" t="s">
        <v>614</v>
      </c>
      <c r="C16" s="3725">
        <v>700</v>
      </c>
      <c r="D16" s="3725">
        <v>1200</v>
      </c>
      <c r="E16" s="3725">
        <v>0.4</v>
      </c>
      <c r="F16" s="3725">
        <v>850</v>
      </c>
      <c r="G16" s="3725">
        <v>1200</v>
      </c>
      <c r="H16" s="3725">
        <v>0.1</v>
      </c>
      <c r="I16" s="4099"/>
      <c r="J16" s="4099"/>
      <c r="K16" s="4099"/>
      <c r="L16" s="4099"/>
      <c r="M16" s="4099"/>
      <c r="N16" s="4099"/>
      <c r="O16" s="4100">
        <v>1100</v>
      </c>
      <c r="P16" s="4100">
        <v>1600</v>
      </c>
      <c r="Q16" s="4100">
        <v>1.5</v>
      </c>
      <c r="R16" s="4100">
        <v>1500</v>
      </c>
      <c r="S16" s="4100">
        <v>1200</v>
      </c>
      <c r="T16" s="4100">
        <v>0.1</v>
      </c>
      <c r="U16" s="4104" t="s">
        <v>615</v>
      </c>
    </row>
    <row r="17" spans="1:21" ht="15.2" customHeight="1">
      <c r="A17" s="4377"/>
      <c r="B17" s="3940" t="s">
        <v>616</v>
      </c>
      <c r="C17" s="3725">
        <v>700</v>
      </c>
      <c r="D17" s="3725">
        <v>1000</v>
      </c>
      <c r="E17" s="3725">
        <v>0.3</v>
      </c>
      <c r="F17" s="3725">
        <v>850</v>
      </c>
      <c r="G17" s="3725">
        <v>1100</v>
      </c>
      <c r="H17" s="3725">
        <v>0.1</v>
      </c>
      <c r="I17" s="4099"/>
      <c r="J17" s="4099"/>
      <c r="K17" s="4099"/>
      <c r="L17" s="4099"/>
      <c r="M17" s="4099"/>
      <c r="N17" s="4099"/>
      <c r="O17" s="4100">
        <v>1100</v>
      </c>
      <c r="P17" s="4100">
        <v>1500</v>
      </c>
      <c r="Q17" s="4100">
        <v>1.2</v>
      </c>
      <c r="R17" s="4100">
        <v>1500</v>
      </c>
      <c r="S17" s="4100">
        <v>1100</v>
      </c>
      <c r="T17" s="4100">
        <v>0.1</v>
      </c>
      <c r="U17" s="4104" t="s">
        <v>617</v>
      </c>
    </row>
    <row r="18" spans="1:21" ht="15.2" customHeight="1">
      <c r="A18" s="4377"/>
      <c r="B18" s="3940" t="s">
        <v>618</v>
      </c>
      <c r="C18" s="3725">
        <v>1200</v>
      </c>
      <c r="D18" s="3725">
        <v>1100</v>
      </c>
      <c r="E18" s="3725">
        <v>0.4</v>
      </c>
      <c r="F18" s="3725">
        <v>1350</v>
      </c>
      <c r="G18" s="3725">
        <v>1500</v>
      </c>
      <c r="H18" s="3725">
        <v>0.1</v>
      </c>
      <c r="I18" s="4099">
        <v>1100</v>
      </c>
      <c r="J18" s="4099">
        <v>1200</v>
      </c>
      <c r="K18" s="4099">
        <v>0.4</v>
      </c>
      <c r="L18" s="4099">
        <v>1300</v>
      </c>
      <c r="M18" s="4099">
        <v>1500</v>
      </c>
      <c r="N18" s="4099">
        <v>0.1</v>
      </c>
      <c r="O18" s="4100">
        <v>1500</v>
      </c>
      <c r="P18" s="4100">
        <v>1400</v>
      </c>
      <c r="Q18" s="4100">
        <v>1</v>
      </c>
      <c r="R18" s="4100">
        <v>1800</v>
      </c>
      <c r="S18" s="4100">
        <v>1500</v>
      </c>
      <c r="T18" s="4100">
        <v>0.1</v>
      </c>
      <c r="U18" s="4104" t="s">
        <v>617</v>
      </c>
    </row>
    <row r="19" spans="1:21" ht="15.2" customHeight="1">
      <c r="A19" s="4378"/>
      <c r="B19" s="3940" t="s">
        <v>619</v>
      </c>
      <c r="C19" s="3725">
        <v>1200</v>
      </c>
      <c r="D19" s="3725">
        <v>1400</v>
      </c>
      <c r="E19" s="3725">
        <v>0.5</v>
      </c>
      <c r="F19" s="3725">
        <v>1350</v>
      </c>
      <c r="G19" s="3725">
        <v>1600</v>
      </c>
      <c r="H19" s="3725">
        <v>0.1</v>
      </c>
      <c r="I19" s="4099">
        <v>1100</v>
      </c>
      <c r="J19" s="4099">
        <v>1300</v>
      </c>
      <c r="K19" s="4099">
        <v>0.5</v>
      </c>
      <c r="L19" s="4099">
        <v>1300</v>
      </c>
      <c r="M19" s="4099">
        <v>1600</v>
      </c>
      <c r="N19" s="4099">
        <v>0.1</v>
      </c>
      <c r="O19" s="4100">
        <v>1500</v>
      </c>
      <c r="P19" s="4100">
        <v>1600</v>
      </c>
      <c r="Q19" s="4100">
        <v>1.2</v>
      </c>
      <c r="R19" s="4100">
        <v>1800</v>
      </c>
      <c r="S19" s="4100">
        <v>1600</v>
      </c>
      <c r="T19" s="4100">
        <v>0.1</v>
      </c>
      <c r="U19" s="4104" t="s">
        <v>617</v>
      </c>
    </row>
    <row r="20" spans="1:21" ht="15.2" customHeight="1">
      <c r="A20" s="4379" t="s">
        <v>620</v>
      </c>
      <c r="B20" s="4087" t="s">
        <v>621</v>
      </c>
      <c r="C20" s="3725">
        <v>1800</v>
      </c>
      <c r="D20" s="3725">
        <v>1350</v>
      </c>
      <c r="E20" s="3725">
        <v>0.5</v>
      </c>
      <c r="F20" s="3725">
        <v>2200</v>
      </c>
      <c r="G20" s="3725">
        <v>1600</v>
      </c>
      <c r="H20" s="3725">
        <v>0.14000000000000001</v>
      </c>
      <c r="I20" s="4099">
        <v>1650</v>
      </c>
      <c r="J20" s="4099">
        <v>1200</v>
      </c>
      <c r="K20" s="4099">
        <v>0.4</v>
      </c>
      <c r="L20" s="4099">
        <v>2000</v>
      </c>
      <c r="M20" s="4099">
        <v>1500</v>
      </c>
      <c r="N20" s="4099">
        <v>0.14000000000000001</v>
      </c>
      <c r="O20" s="4100">
        <v>2000</v>
      </c>
      <c r="P20" s="4100">
        <v>1400</v>
      </c>
      <c r="Q20" s="4100">
        <v>0.5</v>
      </c>
      <c r="R20" s="4100">
        <v>2500</v>
      </c>
      <c r="S20" s="4100">
        <v>1600</v>
      </c>
      <c r="T20" s="4100">
        <v>0.14000000000000001</v>
      </c>
      <c r="U20" s="4104" t="s">
        <v>622</v>
      </c>
    </row>
    <row r="21" spans="1:21" ht="15.2" customHeight="1">
      <c r="A21" s="4377"/>
      <c r="B21" s="4087" t="s">
        <v>623</v>
      </c>
      <c r="C21" s="3725">
        <v>1600</v>
      </c>
      <c r="D21" s="3725">
        <v>1300</v>
      </c>
      <c r="E21" s="3725">
        <v>0.5</v>
      </c>
      <c r="F21" s="3725">
        <v>1600</v>
      </c>
      <c r="G21" s="3725">
        <v>1300</v>
      </c>
      <c r="H21" s="3725">
        <v>0.14000000000000001</v>
      </c>
      <c r="I21" s="4099"/>
      <c r="J21" s="4099"/>
      <c r="K21" s="4099"/>
      <c r="L21" s="4099"/>
      <c r="M21" s="4099"/>
      <c r="N21" s="4099"/>
      <c r="O21" s="4100">
        <v>1800</v>
      </c>
      <c r="P21" s="4100">
        <v>1400</v>
      </c>
      <c r="Q21" s="4100">
        <v>0.8</v>
      </c>
      <c r="R21" s="4100">
        <v>2100</v>
      </c>
      <c r="S21" s="4100">
        <v>1500</v>
      </c>
      <c r="T21" s="4100">
        <v>0.14000000000000001</v>
      </c>
      <c r="U21" s="4104"/>
    </row>
    <row r="22" spans="1:21" ht="15.2" customHeight="1">
      <c r="A22" s="4377"/>
      <c r="B22" s="4087" t="s">
        <v>624</v>
      </c>
      <c r="C22" s="3725">
        <v>2000</v>
      </c>
      <c r="D22" s="3725">
        <v>1250</v>
      </c>
      <c r="E22" s="3725">
        <v>0.4</v>
      </c>
      <c r="F22" s="3725">
        <v>2200</v>
      </c>
      <c r="G22" s="3725">
        <v>1500</v>
      </c>
      <c r="H22" s="3725">
        <v>0.14000000000000001</v>
      </c>
      <c r="I22" s="4099">
        <v>2000</v>
      </c>
      <c r="J22" s="4099">
        <v>1200</v>
      </c>
      <c r="K22" s="4099">
        <v>0.5</v>
      </c>
      <c r="L22" s="4099">
        <v>2200</v>
      </c>
      <c r="M22" s="4099">
        <v>1600</v>
      </c>
      <c r="N22" s="4099">
        <v>0.12</v>
      </c>
      <c r="O22" s="4100">
        <v>2400</v>
      </c>
      <c r="P22" s="4100">
        <v>1400</v>
      </c>
      <c r="Q22" s="4100">
        <v>0.6</v>
      </c>
      <c r="R22" s="4100">
        <v>3000</v>
      </c>
      <c r="S22" s="4100">
        <v>1500</v>
      </c>
      <c r="T22" s="4100">
        <v>0.14000000000000001</v>
      </c>
      <c r="U22" s="4104"/>
    </row>
    <row r="23" spans="1:21" ht="15.2" customHeight="1">
      <c r="A23" s="4377"/>
      <c r="B23" s="4088" t="s">
        <v>625</v>
      </c>
      <c r="C23" s="3725">
        <v>2000</v>
      </c>
      <c r="D23" s="3725">
        <v>1500</v>
      </c>
      <c r="E23" s="3725">
        <v>0.5</v>
      </c>
      <c r="F23" s="3725">
        <v>2200</v>
      </c>
      <c r="G23" s="3725">
        <v>1600</v>
      </c>
      <c r="H23" s="3725">
        <v>0.14000000000000001</v>
      </c>
      <c r="I23" s="4099">
        <v>2000</v>
      </c>
      <c r="J23" s="4099">
        <v>1350</v>
      </c>
      <c r="K23" s="4099">
        <v>0.5</v>
      </c>
      <c r="L23" s="4099">
        <v>2200</v>
      </c>
      <c r="M23" s="4099">
        <v>1800</v>
      </c>
      <c r="N23" s="4099">
        <v>0.14000000000000001</v>
      </c>
      <c r="O23" s="4100">
        <v>2400</v>
      </c>
      <c r="P23" s="4100">
        <v>1500</v>
      </c>
      <c r="Q23" s="4100">
        <v>0.6</v>
      </c>
      <c r="R23" s="4100">
        <v>3000</v>
      </c>
      <c r="S23" s="4100">
        <v>1600</v>
      </c>
      <c r="T23" s="4100">
        <v>0.14000000000000001</v>
      </c>
      <c r="U23" s="4104"/>
    </row>
    <row r="24" spans="1:21" ht="15.2" customHeight="1">
      <c r="A24" s="4377"/>
      <c r="B24" s="3940" t="s">
        <v>626</v>
      </c>
      <c r="C24" s="3725">
        <v>1000</v>
      </c>
      <c r="D24" s="3725">
        <v>900</v>
      </c>
      <c r="E24" s="3725">
        <v>0.3</v>
      </c>
      <c r="F24" s="3725">
        <v>1300</v>
      </c>
      <c r="G24" s="3725">
        <v>1300</v>
      </c>
      <c r="H24" s="3725">
        <v>0.1</v>
      </c>
      <c r="I24" s="4099"/>
      <c r="J24" s="4099"/>
      <c r="K24" s="4099"/>
      <c r="L24" s="4099"/>
      <c r="M24" s="4099"/>
      <c r="N24" s="4099"/>
      <c r="O24" s="4100">
        <v>1300</v>
      </c>
      <c r="P24" s="4100">
        <v>1500</v>
      </c>
      <c r="Q24" s="4100">
        <v>1</v>
      </c>
      <c r="R24" s="4100">
        <v>1400</v>
      </c>
      <c r="S24" s="4100">
        <v>1200</v>
      </c>
      <c r="T24" s="4100">
        <v>0.1</v>
      </c>
      <c r="U24" s="4104"/>
    </row>
    <row r="25" spans="1:21" ht="15.2" customHeight="1">
      <c r="A25" s="4377"/>
      <c r="B25" s="3940" t="s">
        <v>627</v>
      </c>
      <c r="C25" s="3725">
        <v>1000</v>
      </c>
      <c r="D25" s="3725">
        <v>1100</v>
      </c>
      <c r="E25" s="3725">
        <v>0.5</v>
      </c>
      <c r="F25" s="3725">
        <v>1300</v>
      </c>
      <c r="G25" s="3725">
        <v>1400</v>
      </c>
      <c r="H25" s="3725">
        <v>0.1</v>
      </c>
      <c r="I25" s="4099"/>
      <c r="J25" s="4099"/>
      <c r="K25" s="4099"/>
      <c r="L25" s="4099"/>
      <c r="M25" s="4099"/>
      <c r="N25" s="4099"/>
      <c r="O25" s="4100">
        <v>1300</v>
      </c>
      <c r="P25" s="4100">
        <v>1600</v>
      </c>
      <c r="Q25" s="4100">
        <v>1.2</v>
      </c>
      <c r="R25" s="4100">
        <v>1400</v>
      </c>
      <c r="S25" s="4100">
        <v>1300</v>
      </c>
      <c r="T25" s="4100">
        <v>0.1</v>
      </c>
      <c r="U25" s="4104" t="s">
        <v>628</v>
      </c>
    </row>
    <row r="26" spans="1:21" ht="15.2" customHeight="1">
      <c r="A26" s="4377"/>
      <c r="B26" s="3940" t="s">
        <v>629</v>
      </c>
      <c r="C26" s="3725">
        <v>1200</v>
      </c>
      <c r="D26" s="3725">
        <v>1100</v>
      </c>
      <c r="E26" s="3725">
        <v>0.35</v>
      </c>
      <c r="F26" s="3725">
        <v>2000</v>
      </c>
      <c r="G26" s="3725">
        <v>1500</v>
      </c>
      <c r="H26" s="3725">
        <v>0.1</v>
      </c>
      <c r="I26" s="4099">
        <v>1100</v>
      </c>
      <c r="J26" s="4099">
        <v>1000</v>
      </c>
      <c r="K26" s="4099">
        <v>0.2</v>
      </c>
      <c r="L26" s="4099">
        <v>1600</v>
      </c>
      <c r="M26" s="4099">
        <v>1500</v>
      </c>
      <c r="N26" s="4099">
        <v>0.1</v>
      </c>
      <c r="O26" s="4100">
        <v>1600</v>
      </c>
      <c r="P26" s="4100">
        <v>1400</v>
      </c>
      <c r="Q26" s="4100">
        <v>1</v>
      </c>
      <c r="R26" s="4100">
        <v>2000</v>
      </c>
      <c r="S26" s="4100">
        <v>1400</v>
      </c>
      <c r="T26" s="4100">
        <v>0.1</v>
      </c>
      <c r="U26" s="4104"/>
    </row>
    <row r="27" spans="1:21" ht="15.2" customHeight="1">
      <c r="A27" s="4378"/>
      <c r="B27" s="3940" t="s">
        <v>630</v>
      </c>
      <c r="C27" s="3725">
        <v>1200</v>
      </c>
      <c r="D27" s="3725">
        <v>1300</v>
      </c>
      <c r="E27" s="3725">
        <v>0.5</v>
      </c>
      <c r="F27" s="3725">
        <v>2000</v>
      </c>
      <c r="G27" s="3725">
        <v>1600</v>
      </c>
      <c r="H27" s="3725">
        <v>0.1</v>
      </c>
      <c r="I27" s="4099">
        <v>1100</v>
      </c>
      <c r="J27" s="4099">
        <v>1200</v>
      </c>
      <c r="K27" s="4099">
        <v>0.3</v>
      </c>
      <c r="L27" s="4099">
        <v>1600</v>
      </c>
      <c r="M27" s="4099">
        <v>1600</v>
      </c>
      <c r="N27" s="4099">
        <v>0.1</v>
      </c>
      <c r="O27" s="4100">
        <v>1600</v>
      </c>
      <c r="P27" s="4100">
        <v>1600</v>
      </c>
      <c r="Q27" s="4100">
        <v>1.2</v>
      </c>
      <c r="R27" s="4100">
        <v>2000</v>
      </c>
      <c r="S27" s="4100">
        <v>1500</v>
      </c>
      <c r="T27" s="4100">
        <v>0.1</v>
      </c>
      <c r="U27" s="4104" t="s">
        <v>631</v>
      </c>
    </row>
    <row r="28" spans="1:21" ht="15.2" customHeight="1">
      <c r="A28" s="4379" t="s">
        <v>632</v>
      </c>
      <c r="B28" s="4087" t="s">
        <v>633</v>
      </c>
      <c r="C28" s="3725">
        <v>2000</v>
      </c>
      <c r="D28" s="3725">
        <v>1300</v>
      </c>
      <c r="E28" s="3725">
        <v>0.4</v>
      </c>
      <c r="F28" s="3725">
        <v>2500</v>
      </c>
      <c r="G28" s="3725">
        <v>1500</v>
      </c>
      <c r="H28" s="3725">
        <v>0.12</v>
      </c>
      <c r="I28" s="4099">
        <v>2000</v>
      </c>
      <c r="J28" s="4099">
        <v>1100</v>
      </c>
      <c r="K28" s="4099">
        <v>0.3</v>
      </c>
      <c r="L28" s="4099">
        <v>2400</v>
      </c>
      <c r="M28" s="4099">
        <v>1500</v>
      </c>
      <c r="N28" s="4099">
        <v>0.12</v>
      </c>
      <c r="O28" s="4100">
        <v>2200</v>
      </c>
      <c r="P28" s="4100">
        <v>1200</v>
      </c>
      <c r="Q28" s="4100">
        <v>0.5</v>
      </c>
      <c r="R28" s="4100">
        <v>2500</v>
      </c>
      <c r="S28" s="4100">
        <v>1400</v>
      </c>
      <c r="T28" s="4100">
        <v>0.12</v>
      </c>
      <c r="U28" s="4104" t="s">
        <v>600</v>
      </c>
    </row>
    <row r="29" spans="1:21" ht="15.2" customHeight="1">
      <c r="A29" s="4377"/>
      <c r="B29" s="4087" t="s">
        <v>634</v>
      </c>
      <c r="C29" s="3725">
        <v>1600</v>
      </c>
      <c r="D29" s="3725">
        <v>1200</v>
      </c>
      <c r="E29" s="3725">
        <v>0.5</v>
      </c>
      <c r="F29" s="3725">
        <v>1650</v>
      </c>
      <c r="G29" s="3725">
        <v>1350</v>
      </c>
      <c r="H29" s="3725">
        <v>0.12</v>
      </c>
      <c r="I29" s="4099"/>
      <c r="J29" s="4099"/>
      <c r="K29" s="4099"/>
      <c r="L29" s="4099"/>
      <c r="M29" s="4099"/>
      <c r="N29" s="4099"/>
      <c r="O29" s="4100">
        <v>1800</v>
      </c>
      <c r="P29" s="4100">
        <v>1200</v>
      </c>
      <c r="Q29" s="4100">
        <v>0.6</v>
      </c>
      <c r="R29" s="4100">
        <v>2100</v>
      </c>
      <c r="S29" s="4100">
        <v>1500</v>
      </c>
      <c r="T29" s="4100">
        <v>0.12</v>
      </c>
      <c r="U29" s="4104"/>
    </row>
    <row r="30" spans="1:21" ht="15.2" customHeight="1">
      <c r="A30" s="4377"/>
      <c r="B30" s="4087" t="s">
        <v>635</v>
      </c>
      <c r="C30" s="3725">
        <v>2000</v>
      </c>
      <c r="D30" s="3725">
        <v>1200</v>
      </c>
      <c r="E30" s="3725">
        <v>0.5</v>
      </c>
      <c r="F30" s="3725">
        <v>2400</v>
      </c>
      <c r="G30" s="3725">
        <v>1400</v>
      </c>
      <c r="H30" s="3725">
        <v>0.12</v>
      </c>
      <c r="I30" s="4099">
        <v>2000</v>
      </c>
      <c r="J30" s="4099">
        <v>1500</v>
      </c>
      <c r="K30" s="4099">
        <v>0.5</v>
      </c>
      <c r="L30" s="4099">
        <v>2300</v>
      </c>
      <c r="M30" s="4099">
        <v>1500</v>
      </c>
      <c r="N30" s="4099">
        <v>0.12</v>
      </c>
      <c r="O30" s="4100">
        <v>3000</v>
      </c>
      <c r="P30" s="4100">
        <v>1600</v>
      </c>
      <c r="Q30" s="4100">
        <v>0.5</v>
      </c>
      <c r="R30" s="4100">
        <v>3200</v>
      </c>
      <c r="S30" s="4100">
        <v>1800</v>
      </c>
      <c r="T30" s="4100">
        <v>0.12</v>
      </c>
      <c r="U30" s="4104" t="s">
        <v>631</v>
      </c>
    </row>
    <row r="31" spans="1:21" ht="15.2" customHeight="1">
      <c r="A31" s="4377"/>
      <c r="B31" s="4087" t="s">
        <v>636</v>
      </c>
      <c r="C31" s="3725">
        <v>2000</v>
      </c>
      <c r="D31" s="3725">
        <v>1100</v>
      </c>
      <c r="E31" s="3725">
        <v>0.4</v>
      </c>
      <c r="F31" s="3725">
        <v>2400</v>
      </c>
      <c r="G31" s="3725">
        <v>1300</v>
      </c>
      <c r="H31" s="3725">
        <v>0.12</v>
      </c>
      <c r="I31" s="4099">
        <v>2000</v>
      </c>
      <c r="J31" s="4099">
        <v>1400</v>
      </c>
      <c r="K31" s="4099">
        <v>0.5</v>
      </c>
      <c r="L31" s="4099">
        <v>2300</v>
      </c>
      <c r="M31" s="4099">
        <v>1400</v>
      </c>
      <c r="N31" s="4099">
        <v>0.12</v>
      </c>
      <c r="O31" s="4100">
        <v>3000</v>
      </c>
      <c r="P31" s="4100">
        <v>1400</v>
      </c>
      <c r="Q31" s="4100">
        <v>0.4</v>
      </c>
      <c r="R31" s="4100">
        <v>3200</v>
      </c>
      <c r="S31" s="4100">
        <v>1500</v>
      </c>
      <c r="T31" s="4100">
        <v>0.12</v>
      </c>
      <c r="U31" s="4104"/>
    </row>
    <row r="32" spans="1:21" ht="15.2" customHeight="1">
      <c r="A32" s="4377"/>
      <c r="B32" s="3940" t="s">
        <v>637</v>
      </c>
      <c r="C32" s="3725">
        <v>1100</v>
      </c>
      <c r="D32" s="3725">
        <v>1200</v>
      </c>
      <c r="E32" s="3725">
        <v>0.4</v>
      </c>
      <c r="F32" s="3725">
        <v>1400</v>
      </c>
      <c r="G32" s="3725">
        <v>1250</v>
      </c>
      <c r="H32" s="3725">
        <v>0.1</v>
      </c>
      <c r="I32" s="4099"/>
      <c r="J32" s="4099"/>
      <c r="K32" s="4099"/>
      <c r="L32" s="4099"/>
      <c r="M32" s="4099"/>
      <c r="N32" s="4099"/>
      <c r="O32" s="4100">
        <v>1500</v>
      </c>
      <c r="P32" s="4100">
        <v>1350</v>
      </c>
      <c r="Q32" s="4100">
        <v>1</v>
      </c>
      <c r="R32" s="4100">
        <v>1650</v>
      </c>
      <c r="S32" s="4100">
        <v>1350</v>
      </c>
      <c r="T32" s="4100">
        <v>0.1</v>
      </c>
      <c r="U32" s="4104" t="s">
        <v>638</v>
      </c>
    </row>
    <row r="33" spans="1:21" ht="15.2" customHeight="1">
      <c r="A33" s="4377"/>
      <c r="B33" s="4091" t="s">
        <v>639</v>
      </c>
      <c r="C33" s="3725">
        <v>1500</v>
      </c>
      <c r="D33" s="3725">
        <v>1200</v>
      </c>
      <c r="E33" s="3725">
        <v>0.4</v>
      </c>
      <c r="F33" s="3725">
        <v>1800</v>
      </c>
      <c r="G33" s="3725">
        <v>1500</v>
      </c>
      <c r="H33" s="3725">
        <v>0.1</v>
      </c>
      <c r="I33" s="4099">
        <v>1350</v>
      </c>
      <c r="J33" s="4099">
        <v>1250</v>
      </c>
      <c r="K33" s="4099">
        <v>0.3</v>
      </c>
      <c r="L33" s="4099">
        <v>1400</v>
      </c>
      <c r="M33" s="4099">
        <v>1400</v>
      </c>
      <c r="N33" s="4099">
        <v>0.1</v>
      </c>
      <c r="O33" s="4100">
        <v>2000</v>
      </c>
      <c r="P33" s="4100">
        <v>1500</v>
      </c>
      <c r="Q33" s="4100">
        <v>1</v>
      </c>
      <c r="R33" s="4100">
        <v>2100</v>
      </c>
      <c r="S33" s="4100">
        <v>1600</v>
      </c>
      <c r="T33" s="4100">
        <v>0.1</v>
      </c>
      <c r="U33" s="4104" t="s">
        <v>638</v>
      </c>
    </row>
    <row r="34" spans="1:21" ht="15.2" customHeight="1">
      <c r="A34" s="4378"/>
      <c r="B34" s="3940" t="s">
        <v>640</v>
      </c>
      <c r="C34" s="3725">
        <v>1500</v>
      </c>
      <c r="D34" s="3725">
        <v>1000</v>
      </c>
      <c r="E34" s="3725">
        <v>0.3</v>
      </c>
      <c r="F34" s="3725">
        <v>1700</v>
      </c>
      <c r="G34" s="3725">
        <v>1300</v>
      </c>
      <c r="H34" s="3725">
        <v>0.1</v>
      </c>
      <c r="I34" s="4099">
        <v>1350</v>
      </c>
      <c r="J34" s="4099">
        <v>1100</v>
      </c>
      <c r="K34" s="4099">
        <v>0.2</v>
      </c>
      <c r="L34" s="4099">
        <v>1400</v>
      </c>
      <c r="M34" s="4099">
        <v>1300</v>
      </c>
      <c r="N34" s="4099">
        <v>0.1</v>
      </c>
      <c r="O34" s="4100">
        <v>2000</v>
      </c>
      <c r="P34" s="4100">
        <v>1350</v>
      </c>
      <c r="Q34" s="4100">
        <v>0.8</v>
      </c>
      <c r="R34" s="4100">
        <v>2100</v>
      </c>
      <c r="S34" s="4100">
        <v>1500</v>
      </c>
      <c r="T34" s="4100">
        <v>0.1</v>
      </c>
      <c r="U34" s="4104"/>
    </row>
    <row r="35" spans="1:21" ht="15.2" customHeight="1">
      <c r="A35" s="4376" t="s">
        <v>641</v>
      </c>
      <c r="B35" s="4087" t="s">
        <v>621</v>
      </c>
      <c r="C35" s="3725">
        <v>1300</v>
      </c>
      <c r="D35" s="3725">
        <v>1500</v>
      </c>
      <c r="E35" s="3725">
        <v>0.3</v>
      </c>
      <c r="F35" s="3725">
        <v>1400</v>
      </c>
      <c r="G35" s="3725">
        <v>1400</v>
      </c>
      <c r="H35" s="3725">
        <v>0.15</v>
      </c>
      <c r="I35" s="4099"/>
      <c r="J35" s="4099"/>
      <c r="K35" s="4099"/>
      <c r="L35" s="4099">
        <v>1200</v>
      </c>
      <c r="M35" s="4099">
        <v>1200</v>
      </c>
      <c r="N35" s="4099">
        <v>0.15</v>
      </c>
      <c r="O35" s="4100"/>
      <c r="P35" s="4100"/>
      <c r="Q35" s="4100"/>
      <c r="R35" s="4100"/>
      <c r="S35" s="4100"/>
      <c r="T35" s="4100"/>
      <c r="U35" s="3725" t="s">
        <v>642</v>
      </c>
    </row>
    <row r="36" spans="1:21" ht="30.75" customHeight="1">
      <c r="A36" s="4378"/>
      <c r="B36" s="4087" t="s">
        <v>643</v>
      </c>
      <c r="C36" s="3725">
        <v>1100</v>
      </c>
      <c r="D36" s="3725">
        <v>1800</v>
      </c>
      <c r="E36" s="3725">
        <v>0.8</v>
      </c>
      <c r="F36" s="3725">
        <v>1250</v>
      </c>
      <c r="G36" s="3725">
        <v>1800</v>
      </c>
      <c r="H36" s="3725">
        <v>0.25</v>
      </c>
      <c r="I36" s="4099">
        <v>900</v>
      </c>
      <c r="J36" s="4099">
        <v>1500</v>
      </c>
      <c r="K36" s="4099">
        <v>0.4</v>
      </c>
      <c r="L36" s="4099">
        <v>1000</v>
      </c>
      <c r="M36" s="4099">
        <v>1500</v>
      </c>
      <c r="N36" s="4099">
        <v>0.2</v>
      </c>
      <c r="O36" s="4100">
        <v>1600</v>
      </c>
      <c r="P36" s="4100">
        <v>1800</v>
      </c>
      <c r="Q36" s="4100">
        <v>1</v>
      </c>
      <c r="R36" s="4100">
        <v>1800</v>
      </c>
      <c r="S36" s="4100">
        <v>1800</v>
      </c>
      <c r="T36" s="4100">
        <v>0.25</v>
      </c>
      <c r="U36" s="3725" t="s">
        <v>644</v>
      </c>
    </row>
    <row r="37" spans="1:21" ht="19.5" customHeight="1">
      <c r="A37" s="4405" t="s">
        <v>581</v>
      </c>
      <c r="B37" s="4405"/>
      <c r="C37" s="4405"/>
      <c r="D37" s="4405"/>
      <c r="E37" s="4405"/>
      <c r="F37" s="4405"/>
      <c r="G37" s="4405"/>
      <c r="H37" s="4405"/>
      <c r="I37" s="4405"/>
      <c r="J37" s="4405"/>
      <c r="K37" s="4405"/>
      <c r="L37" s="4405"/>
      <c r="M37" s="4405"/>
      <c r="N37" s="4405"/>
      <c r="O37" s="4405"/>
      <c r="P37" s="4405"/>
      <c r="Q37" s="4405"/>
      <c r="R37" s="4405"/>
      <c r="S37" s="4405"/>
      <c r="T37" s="4405"/>
      <c r="U37" s="4405"/>
    </row>
    <row r="38" spans="1:21" ht="18" customHeight="1">
      <c r="A38" s="4389" t="s">
        <v>582</v>
      </c>
      <c r="B38" s="4402"/>
      <c r="C38" s="4402"/>
      <c r="D38" s="4402"/>
      <c r="E38" s="4402"/>
      <c r="F38" s="4402"/>
      <c r="G38" s="4402"/>
      <c r="H38" s="4402"/>
      <c r="I38" s="4402"/>
      <c r="J38" s="4402"/>
      <c r="K38" s="4402"/>
      <c r="L38" s="4402"/>
      <c r="M38" s="4402"/>
      <c r="N38" s="4402"/>
      <c r="O38" s="4402"/>
      <c r="P38" s="4402"/>
      <c r="Q38" s="4402"/>
      <c r="R38" s="4402"/>
      <c r="S38" s="4402"/>
      <c r="T38" s="4402"/>
      <c r="U38" s="4402"/>
    </row>
    <row r="39" spans="1:21" ht="18" customHeight="1">
      <c r="A39" s="4372" t="s">
        <v>583</v>
      </c>
      <c r="B39" s="4372"/>
      <c r="C39" s="4372" t="s">
        <v>584</v>
      </c>
      <c r="D39" s="4372"/>
      <c r="E39" s="4372"/>
      <c r="F39" s="4372"/>
      <c r="G39" s="4372"/>
      <c r="H39" s="4372"/>
      <c r="I39" s="4403" t="s">
        <v>585</v>
      </c>
      <c r="J39" s="4403"/>
      <c r="K39" s="4403"/>
      <c r="L39" s="4403"/>
      <c r="M39" s="4403"/>
      <c r="N39" s="4403"/>
      <c r="O39" s="4406" t="s">
        <v>586</v>
      </c>
      <c r="P39" s="4406"/>
      <c r="Q39" s="4406"/>
      <c r="R39" s="4406"/>
      <c r="S39" s="4406"/>
      <c r="T39" s="4406"/>
      <c r="U39" s="4404" t="s">
        <v>587</v>
      </c>
    </row>
    <row r="40" spans="1:21" ht="15.6" customHeight="1">
      <c r="A40" s="4369" t="s">
        <v>588</v>
      </c>
      <c r="B40" s="4373" t="s">
        <v>0</v>
      </c>
      <c r="C40" s="4373" t="s">
        <v>589</v>
      </c>
      <c r="D40" s="4373"/>
      <c r="E40" s="4373"/>
      <c r="F40" s="4373" t="s">
        <v>590</v>
      </c>
      <c r="G40" s="4373"/>
      <c r="H40" s="4373"/>
      <c r="I40" s="4399" t="s">
        <v>589</v>
      </c>
      <c r="J40" s="4399"/>
      <c r="K40" s="4399"/>
      <c r="L40" s="4399" t="s">
        <v>590</v>
      </c>
      <c r="M40" s="4399"/>
      <c r="N40" s="4399"/>
      <c r="O40" s="4400" t="s">
        <v>589</v>
      </c>
      <c r="P40" s="4400"/>
      <c r="Q40" s="4400"/>
      <c r="R40" s="4400" t="s">
        <v>590</v>
      </c>
      <c r="S40" s="4400"/>
      <c r="T40" s="4400"/>
      <c r="U40" s="4404"/>
    </row>
    <row r="41" spans="1:21" ht="15.6" customHeight="1">
      <c r="A41" s="4370"/>
      <c r="B41" s="4373"/>
      <c r="C41" s="4085" t="s">
        <v>591</v>
      </c>
      <c r="D41" s="3277" t="s">
        <v>592</v>
      </c>
      <c r="E41" s="4086" t="s">
        <v>593</v>
      </c>
      <c r="F41" s="4085" t="s">
        <v>591</v>
      </c>
      <c r="G41" s="3277" t="s">
        <v>592</v>
      </c>
      <c r="H41" s="4086" t="s">
        <v>593</v>
      </c>
      <c r="I41" s="4094" t="s">
        <v>591</v>
      </c>
      <c r="J41" s="4095" t="s">
        <v>592</v>
      </c>
      <c r="K41" s="4096" t="s">
        <v>593</v>
      </c>
      <c r="L41" s="4094" t="s">
        <v>591</v>
      </c>
      <c r="M41" s="4095" t="s">
        <v>592</v>
      </c>
      <c r="N41" s="4096" t="s">
        <v>593</v>
      </c>
      <c r="O41" s="4097" t="s">
        <v>591</v>
      </c>
      <c r="P41" s="4098" t="s">
        <v>592</v>
      </c>
      <c r="Q41" s="4103" t="s">
        <v>593</v>
      </c>
      <c r="R41" s="4097" t="s">
        <v>591</v>
      </c>
      <c r="S41" s="4098" t="s">
        <v>592</v>
      </c>
      <c r="T41" s="4103" t="s">
        <v>593</v>
      </c>
      <c r="U41" s="4404"/>
    </row>
    <row r="42" spans="1:21" ht="15.95" customHeight="1">
      <c r="A42" s="4377" t="s">
        <v>645</v>
      </c>
      <c r="B42" s="4087" t="s">
        <v>621</v>
      </c>
      <c r="C42" s="3725">
        <v>1800</v>
      </c>
      <c r="D42" s="3725">
        <v>1600</v>
      </c>
      <c r="E42" s="3725">
        <v>0.45</v>
      </c>
      <c r="F42" s="3725">
        <v>1800</v>
      </c>
      <c r="G42" s="3725">
        <v>1600</v>
      </c>
      <c r="H42" s="3725">
        <v>0.25</v>
      </c>
      <c r="I42" s="4099">
        <v>1750</v>
      </c>
      <c r="J42" s="4099">
        <v>1200</v>
      </c>
      <c r="K42" s="4099">
        <v>0.25</v>
      </c>
      <c r="L42" s="4099">
        <v>1800</v>
      </c>
      <c r="M42" s="4099">
        <v>1500</v>
      </c>
      <c r="N42" s="4099">
        <v>0.2</v>
      </c>
      <c r="O42" s="4100">
        <v>1800</v>
      </c>
      <c r="P42" s="4100">
        <v>1500</v>
      </c>
      <c r="Q42" s="4100">
        <v>0.6</v>
      </c>
      <c r="R42" s="4100">
        <v>2100</v>
      </c>
      <c r="S42" s="4100">
        <v>1600</v>
      </c>
      <c r="T42" s="4100">
        <v>0.2</v>
      </c>
      <c r="U42" s="4089"/>
    </row>
    <row r="43" spans="1:21" ht="15.95" customHeight="1">
      <c r="A43" s="4378"/>
      <c r="B43" s="4092" t="s">
        <v>646</v>
      </c>
      <c r="C43" s="3725">
        <v>1800</v>
      </c>
      <c r="D43" s="3725">
        <v>1500</v>
      </c>
      <c r="E43" s="3725">
        <v>0.45</v>
      </c>
      <c r="F43" s="3725">
        <v>1800</v>
      </c>
      <c r="G43" s="3725">
        <v>1600</v>
      </c>
      <c r="H43" s="3725">
        <v>0.18</v>
      </c>
      <c r="I43" s="4099">
        <v>1800</v>
      </c>
      <c r="J43" s="4099">
        <v>1200</v>
      </c>
      <c r="K43" s="4099">
        <v>0.3</v>
      </c>
      <c r="L43" s="4099">
        <v>1800</v>
      </c>
      <c r="M43" s="4099">
        <v>1500</v>
      </c>
      <c r="N43" s="4099">
        <v>0.16</v>
      </c>
      <c r="O43" s="4100">
        <v>1800</v>
      </c>
      <c r="P43" s="4100">
        <v>1500</v>
      </c>
      <c r="Q43" s="4100">
        <v>0.6</v>
      </c>
      <c r="R43" s="4100">
        <v>2200</v>
      </c>
      <c r="S43" s="4100">
        <v>1600</v>
      </c>
      <c r="T43" s="4100">
        <v>0.18</v>
      </c>
      <c r="U43" s="3725" t="s">
        <v>647</v>
      </c>
    </row>
    <row r="44" spans="1:21" ht="15.95" customHeight="1">
      <c r="A44" s="4083" t="s">
        <v>648</v>
      </c>
      <c r="B44" s="3940" t="s">
        <v>649</v>
      </c>
      <c r="C44" s="3725">
        <v>2000</v>
      </c>
      <c r="D44" s="3725">
        <v>1500</v>
      </c>
      <c r="E44" s="3725">
        <v>0.5</v>
      </c>
      <c r="F44" s="3725">
        <v>2000</v>
      </c>
      <c r="G44" s="3725">
        <v>1700</v>
      </c>
      <c r="H44" s="3725">
        <v>0.18</v>
      </c>
      <c r="I44" s="4099">
        <v>1750</v>
      </c>
      <c r="J44" s="4099">
        <v>1250</v>
      </c>
      <c r="K44" s="4099">
        <v>0.3</v>
      </c>
      <c r="L44" s="4099">
        <v>1800</v>
      </c>
      <c r="M44" s="4099">
        <v>1500</v>
      </c>
      <c r="N44" s="4099">
        <v>0.18</v>
      </c>
      <c r="O44" s="4100">
        <v>2000</v>
      </c>
      <c r="P44" s="4100">
        <v>1600</v>
      </c>
      <c r="Q44" s="4100">
        <v>0.75</v>
      </c>
      <c r="R44" s="4100">
        <v>2500</v>
      </c>
      <c r="S44" s="4100">
        <v>1600</v>
      </c>
      <c r="T44" s="4100">
        <v>0.18</v>
      </c>
      <c r="U44" s="3725" t="s">
        <v>650</v>
      </c>
    </row>
    <row r="45" spans="1:21" ht="15.95" customHeight="1">
      <c r="A45" s="4090" t="s">
        <v>651</v>
      </c>
      <c r="B45" s="4087" t="s">
        <v>607</v>
      </c>
      <c r="C45" s="3725">
        <v>1800</v>
      </c>
      <c r="D45" s="3725">
        <v>1500</v>
      </c>
      <c r="E45" s="3725">
        <v>0.3</v>
      </c>
      <c r="F45" s="3725">
        <v>1800</v>
      </c>
      <c r="G45" s="3725">
        <v>1600</v>
      </c>
      <c r="H45" s="3725">
        <v>0.1</v>
      </c>
      <c r="I45" s="4099">
        <v>1650</v>
      </c>
      <c r="J45" s="4099">
        <v>1300</v>
      </c>
      <c r="K45" s="4099">
        <v>0.25</v>
      </c>
      <c r="L45" s="4099">
        <v>1650</v>
      </c>
      <c r="M45" s="4099">
        <v>1500</v>
      </c>
      <c r="N45" s="4099">
        <v>0.1</v>
      </c>
      <c r="O45" s="4100">
        <v>2000</v>
      </c>
      <c r="P45" s="4100">
        <v>1500</v>
      </c>
      <c r="Q45" s="4100">
        <v>0.5</v>
      </c>
      <c r="R45" s="4100">
        <v>2200</v>
      </c>
      <c r="S45" s="4100">
        <v>1600</v>
      </c>
      <c r="T45" s="4100">
        <v>0.1</v>
      </c>
      <c r="U45" s="4105"/>
    </row>
    <row r="46" spans="1:21" ht="15.95" customHeight="1">
      <c r="A46" s="4379" t="s">
        <v>652</v>
      </c>
      <c r="B46" s="3286" t="s">
        <v>653</v>
      </c>
      <c r="C46" s="3725">
        <v>1800</v>
      </c>
      <c r="D46" s="3725">
        <v>1200</v>
      </c>
      <c r="E46" s="3725">
        <v>0.4</v>
      </c>
      <c r="F46" s="3725">
        <v>1800</v>
      </c>
      <c r="G46" s="3725">
        <v>1500</v>
      </c>
      <c r="H46" s="3725">
        <v>0.18</v>
      </c>
      <c r="I46" s="4099">
        <v>1600</v>
      </c>
      <c r="J46" s="4099">
        <v>1000</v>
      </c>
      <c r="K46" s="4099">
        <v>0.2</v>
      </c>
      <c r="L46" s="4099">
        <v>1650</v>
      </c>
      <c r="M46" s="4099">
        <v>1250</v>
      </c>
      <c r="N46" s="4099">
        <v>0.16</v>
      </c>
      <c r="O46" s="4100">
        <v>1800</v>
      </c>
      <c r="P46" s="4100">
        <v>1300</v>
      </c>
      <c r="Q46" s="4100">
        <v>0.5</v>
      </c>
      <c r="R46" s="4100">
        <v>1800</v>
      </c>
      <c r="S46" s="4100">
        <v>1500</v>
      </c>
      <c r="T46" s="4100">
        <v>0.18</v>
      </c>
      <c r="U46" s="3725" t="s">
        <v>654</v>
      </c>
    </row>
    <row r="47" spans="1:21" ht="15.95" customHeight="1">
      <c r="A47" s="4377"/>
      <c r="B47" s="3940" t="s">
        <v>655</v>
      </c>
      <c r="C47" s="3725">
        <v>1800</v>
      </c>
      <c r="D47" s="3725">
        <v>1600</v>
      </c>
      <c r="E47" s="3725">
        <v>0.6</v>
      </c>
      <c r="F47" s="3725">
        <v>1800</v>
      </c>
      <c r="G47" s="3725">
        <v>1700</v>
      </c>
      <c r="H47" s="3725">
        <v>0.18</v>
      </c>
      <c r="I47" s="4099">
        <v>1800</v>
      </c>
      <c r="J47" s="4099">
        <v>1400</v>
      </c>
      <c r="K47" s="4099">
        <v>0.3</v>
      </c>
      <c r="L47" s="4099">
        <v>1800</v>
      </c>
      <c r="M47" s="4099">
        <v>1500</v>
      </c>
      <c r="N47" s="4099">
        <v>0.18</v>
      </c>
      <c r="O47" s="4100">
        <v>2000</v>
      </c>
      <c r="P47" s="4100">
        <v>1600</v>
      </c>
      <c r="Q47" s="4100">
        <v>0.8</v>
      </c>
      <c r="R47" s="4100">
        <v>2200</v>
      </c>
      <c r="S47" s="4100">
        <v>1600</v>
      </c>
      <c r="T47" s="4100">
        <v>0.18</v>
      </c>
      <c r="U47" s="3725" t="s">
        <v>656</v>
      </c>
    </row>
    <row r="48" spans="1:21" ht="15.95" customHeight="1">
      <c r="A48" s="4378"/>
      <c r="B48" s="4093" t="s">
        <v>649</v>
      </c>
      <c r="C48" s="3725">
        <v>1800</v>
      </c>
      <c r="D48" s="3725">
        <v>1800</v>
      </c>
      <c r="E48" s="3725">
        <v>0.65</v>
      </c>
      <c r="F48" s="3725">
        <v>1800</v>
      </c>
      <c r="G48" s="3725">
        <v>1800</v>
      </c>
      <c r="H48" s="3725">
        <v>0.18</v>
      </c>
      <c r="I48" s="4099">
        <v>1800</v>
      </c>
      <c r="J48" s="4099">
        <v>1600</v>
      </c>
      <c r="K48" s="4099">
        <v>0.4</v>
      </c>
      <c r="L48" s="4099">
        <v>1800</v>
      </c>
      <c r="M48" s="4099">
        <v>1600</v>
      </c>
      <c r="N48" s="4099">
        <v>0.18</v>
      </c>
      <c r="O48" s="4100">
        <v>2000</v>
      </c>
      <c r="P48" s="4100">
        <v>1800</v>
      </c>
      <c r="Q48" s="4100">
        <v>1</v>
      </c>
      <c r="R48" s="4100">
        <v>2400</v>
      </c>
      <c r="S48" s="4100">
        <v>1800</v>
      </c>
      <c r="T48" s="4100">
        <v>0.18</v>
      </c>
      <c r="U48" s="3725" t="s">
        <v>656</v>
      </c>
    </row>
    <row r="49" spans="1:21" ht="15.95" customHeight="1">
      <c r="A49" s="4379" t="s">
        <v>657</v>
      </c>
      <c r="B49" s="4087" t="s">
        <v>633</v>
      </c>
      <c r="C49" s="3725">
        <v>2000</v>
      </c>
      <c r="D49" s="3725">
        <v>1600</v>
      </c>
      <c r="E49" s="3725">
        <v>0.5</v>
      </c>
      <c r="F49" s="3725">
        <v>2200</v>
      </c>
      <c r="G49" s="3725">
        <v>1600</v>
      </c>
      <c r="H49" s="3725">
        <v>0.18</v>
      </c>
      <c r="I49" s="4099">
        <v>1800</v>
      </c>
      <c r="J49" s="4099">
        <v>1300</v>
      </c>
      <c r="K49" s="4099">
        <v>0.35</v>
      </c>
      <c r="L49" s="4099">
        <v>1800</v>
      </c>
      <c r="M49" s="4099">
        <v>1600</v>
      </c>
      <c r="N49" s="4099">
        <v>0.18</v>
      </c>
      <c r="O49" s="4100">
        <v>2400</v>
      </c>
      <c r="P49" s="4100">
        <v>1600</v>
      </c>
      <c r="Q49" s="4100">
        <v>1</v>
      </c>
      <c r="R49" s="4100">
        <v>2800</v>
      </c>
      <c r="S49" s="4100">
        <v>1800</v>
      </c>
      <c r="T49" s="4100">
        <v>0.18</v>
      </c>
      <c r="U49" s="4105"/>
    </row>
    <row r="50" spans="1:21" ht="15.95" customHeight="1">
      <c r="A50" s="4377"/>
      <c r="B50" s="4087" t="s">
        <v>658</v>
      </c>
      <c r="C50" s="3725">
        <v>1800</v>
      </c>
      <c r="D50" s="3725">
        <v>1500</v>
      </c>
      <c r="E50" s="3725">
        <v>6.5</v>
      </c>
      <c r="F50" s="3725">
        <v>1800</v>
      </c>
      <c r="G50" s="3725">
        <v>1600</v>
      </c>
      <c r="H50" s="3725">
        <v>0.18</v>
      </c>
      <c r="I50" s="4099">
        <v>1800</v>
      </c>
      <c r="J50" s="4099">
        <v>1300</v>
      </c>
      <c r="K50" s="4099">
        <v>0.35</v>
      </c>
      <c r="L50" s="4099">
        <v>1800</v>
      </c>
      <c r="M50" s="4099">
        <v>1500</v>
      </c>
      <c r="N50" s="4099">
        <v>0.15</v>
      </c>
      <c r="O50" s="4100">
        <v>2100</v>
      </c>
      <c r="P50" s="4100">
        <v>1500</v>
      </c>
      <c r="Q50" s="4100">
        <v>1</v>
      </c>
      <c r="R50" s="4100">
        <v>2200</v>
      </c>
      <c r="S50" s="4100">
        <v>1600</v>
      </c>
      <c r="T50" s="4100">
        <v>0.18</v>
      </c>
      <c r="U50" s="4105"/>
    </row>
    <row r="51" spans="1:21" ht="15.95" customHeight="1">
      <c r="A51" s="4377"/>
      <c r="B51" s="4087" t="s">
        <v>607</v>
      </c>
      <c r="C51" s="3725">
        <v>1800</v>
      </c>
      <c r="D51" s="3725">
        <v>1400</v>
      </c>
      <c r="E51" s="3725">
        <v>0.35</v>
      </c>
      <c r="F51" s="3725">
        <v>2000</v>
      </c>
      <c r="G51" s="3725">
        <v>1500</v>
      </c>
      <c r="H51" s="3725">
        <v>0.1</v>
      </c>
      <c r="I51" s="4099">
        <v>1750</v>
      </c>
      <c r="J51" s="4099">
        <v>1300</v>
      </c>
      <c r="K51" s="4099">
        <v>0.25</v>
      </c>
      <c r="L51" s="4099">
        <v>1750</v>
      </c>
      <c r="M51" s="4099">
        <v>1600</v>
      </c>
      <c r="N51" s="4099">
        <v>0.1</v>
      </c>
      <c r="O51" s="4100">
        <v>2100</v>
      </c>
      <c r="P51" s="4100">
        <v>1400</v>
      </c>
      <c r="Q51" s="4100">
        <v>0.65</v>
      </c>
      <c r="R51" s="4100">
        <v>2200</v>
      </c>
      <c r="S51" s="4100">
        <v>1500</v>
      </c>
      <c r="T51" s="4100">
        <v>0.1</v>
      </c>
      <c r="U51" s="4105"/>
    </row>
    <row r="52" spans="1:21" ht="15.95" customHeight="1">
      <c r="A52" s="4377"/>
      <c r="B52" s="3940" t="s">
        <v>637</v>
      </c>
      <c r="C52" s="3725">
        <v>600</v>
      </c>
      <c r="D52" s="3725">
        <v>1100</v>
      </c>
      <c r="E52" s="3725">
        <v>0.5</v>
      </c>
      <c r="F52" s="3725">
        <v>700</v>
      </c>
      <c r="G52" s="3725">
        <v>1000</v>
      </c>
      <c r="H52" s="3725">
        <v>0.1</v>
      </c>
      <c r="I52" s="4099"/>
      <c r="J52" s="4099"/>
      <c r="K52" s="4099"/>
      <c r="L52" s="4099"/>
      <c r="M52" s="4099"/>
      <c r="N52" s="4099"/>
      <c r="O52" s="4100">
        <v>1100</v>
      </c>
      <c r="P52" s="4100">
        <v>1650</v>
      </c>
      <c r="Q52" s="4100">
        <v>1.5</v>
      </c>
      <c r="R52" s="4100">
        <v>1350</v>
      </c>
      <c r="S52" s="4106">
        <v>1300</v>
      </c>
      <c r="T52" s="4100">
        <v>0.1</v>
      </c>
      <c r="U52" s="4105"/>
    </row>
    <row r="53" spans="1:21" ht="15.95" customHeight="1">
      <c r="A53" s="4377"/>
      <c r="B53" s="3940" t="s">
        <v>659</v>
      </c>
      <c r="C53" s="3725">
        <v>600</v>
      </c>
      <c r="D53" s="3725">
        <v>1000</v>
      </c>
      <c r="E53" s="3725">
        <v>0.35</v>
      </c>
      <c r="F53" s="3725">
        <v>700</v>
      </c>
      <c r="G53" s="3725">
        <v>850</v>
      </c>
      <c r="H53" s="3725">
        <v>0.1</v>
      </c>
      <c r="I53" s="4099"/>
      <c r="J53" s="4099"/>
      <c r="K53" s="4099"/>
      <c r="L53" s="4099"/>
      <c r="M53" s="4099"/>
      <c r="N53" s="4099"/>
      <c r="O53" s="4100">
        <v>1000</v>
      </c>
      <c r="P53" s="4100">
        <v>1500</v>
      </c>
      <c r="Q53" s="4100">
        <v>1.2</v>
      </c>
      <c r="R53" s="4100">
        <v>1300</v>
      </c>
      <c r="S53" s="4100">
        <v>1200</v>
      </c>
      <c r="T53" s="4100">
        <v>0.1</v>
      </c>
      <c r="U53" s="3725" t="s">
        <v>660</v>
      </c>
    </row>
    <row r="54" spans="1:21" ht="15.95" customHeight="1">
      <c r="A54" s="4378"/>
      <c r="B54" s="3940" t="s">
        <v>661</v>
      </c>
      <c r="C54" s="3725">
        <v>500</v>
      </c>
      <c r="D54" s="3725">
        <v>700</v>
      </c>
      <c r="E54" s="3725">
        <v>0.15</v>
      </c>
      <c r="F54" s="3725">
        <v>600</v>
      </c>
      <c r="G54" s="3725">
        <v>800</v>
      </c>
      <c r="H54" s="3725">
        <v>0.1</v>
      </c>
      <c r="I54" s="4099"/>
      <c r="J54" s="4099"/>
      <c r="K54" s="4099"/>
      <c r="L54" s="4099"/>
      <c r="M54" s="4099"/>
      <c r="N54" s="4099"/>
      <c r="O54" s="4100">
        <v>1000</v>
      </c>
      <c r="P54" s="4100">
        <v>1200</v>
      </c>
      <c r="Q54" s="4100">
        <v>1</v>
      </c>
      <c r="R54" s="4100">
        <v>1200</v>
      </c>
      <c r="S54" s="4100">
        <v>1000</v>
      </c>
      <c r="T54" s="4100">
        <v>0.1</v>
      </c>
      <c r="U54" s="3725" t="s">
        <v>660</v>
      </c>
    </row>
    <row r="55" spans="1:21" ht="15.95" customHeight="1">
      <c r="A55" s="4372" t="s">
        <v>662</v>
      </c>
      <c r="B55" s="4087" t="s">
        <v>663</v>
      </c>
      <c r="C55" s="3725">
        <v>2000</v>
      </c>
      <c r="D55" s="3725">
        <v>1500</v>
      </c>
      <c r="E55" s="3725">
        <v>0.5</v>
      </c>
      <c r="F55" s="3725">
        <v>2200</v>
      </c>
      <c r="G55" s="3725">
        <v>1500</v>
      </c>
      <c r="H55" s="3725">
        <v>0.25</v>
      </c>
      <c r="I55" s="4099"/>
      <c r="J55" s="4099"/>
      <c r="K55" s="4099"/>
      <c r="L55" s="4099"/>
      <c r="M55" s="4099"/>
      <c r="N55" s="4099"/>
      <c r="O55" s="4100">
        <v>2400</v>
      </c>
      <c r="P55" s="4100">
        <v>1600</v>
      </c>
      <c r="Q55" s="4100">
        <v>0.6</v>
      </c>
      <c r="R55" s="4100">
        <v>2700</v>
      </c>
      <c r="S55" s="4100">
        <v>1650</v>
      </c>
      <c r="T55" s="4100">
        <v>0.25</v>
      </c>
      <c r="U55" s="3725" t="s">
        <v>664</v>
      </c>
    </row>
    <row r="56" spans="1:21" ht="15.95" customHeight="1">
      <c r="A56" s="4372"/>
      <c r="B56" s="4087" t="s">
        <v>665</v>
      </c>
      <c r="C56" s="3725">
        <v>2100</v>
      </c>
      <c r="D56" s="3725">
        <v>1650</v>
      </c>
      <c r="E56" s="3725">
        <v>0.5</v>
      </c>
      <c r="F56" s="3725">
        <v>2200</v>
      </c>
      <c r="G56" s="3725">
        <v>1800</v>
      </c>
      <c r="H56" s="3725">
        <v>0.25</v>
      </c>
      <c r="I56" s="4099"/>
      <c r="J56" s="4099"/>
      <c r="K56" s="4099"/>
      <c r="L56" s="4099"/>
      <c r="M56" s="4099"/>
      <c r="N56" s="4099"/>
      <c r="O56" s="4100">
        <v>2400</v>
      </c>
      <c r="P56" s="4100">
        <v>1650</v>
      </c>
      <c r="Q56" s="4100">
        <v>0.6</v>
      </c>
      <c r="R56" s="4100">
        <v>2700</v>
      </c>
      <c r="S56" s="4100">
        <v>1800</v>
      </c>
      <c r="T56" s="4100">
        <v>0.25</v>
      </c>
      <c r="U56" s="4105"/>
    </row>
    <row r="57" spans="1:21" ht="15.95" customHeight="1">
      <c r="A57" s="4372"/>
      <c r="B57" s="4087" t="s">
        <v>666</v>
      </c>
      <c r="C57" s="3725">
        <v>1400</v>
      </c>
      <c r="D57" s="3725">
        <v>1200</v>
      </c>
      <c r="E57" s="3725">
        <v>0.4</v>
      </c>
      <c r="F57" s="3725">
        <v>1400</v>
      </c>
      <c r="G57" s="3725">
        <v>1300</v>
      </c>
      <c r="H57" s="3725">
        <v>0.25</v>
      </c>
      <c r="I57" s="4099"/>
      <c r="J57" s="4099"/>
      <c r="K57" s="4099"/>
      <c r="L57" s="4099"/>
      <c r="M57" s="4099"/>
      <c r="N57" s="4099"/>
      <c r="O57" s="4100">
        <v>1600</v>
      </c>
      <c r="P57" s="4100">
        <v>1200</v>
      </c>
      <c r="Q57" s="4100">
        <v>0.8</v>
      </c>
      <c r="R57" s="4100">
        <v>1800</v>
      </c>
      <c r="S57" s="4100">
        <v>1300</v>
      </c>
      <c r="T57" s="4100">
        <v>0.25</v>
      </c>
      <c r="U57" s="3725" t="s">
        <v>667</v>
      </c>
    </row>
    <row r="58" spans="1:21" ht="15.95" customHeight="1">
      <c r="A58" s="4372"/>
      <c r="B58" s="4087" t="s">
        <v>668</v>
      </c>
      <c r="C58" s="3725">
        <v>1500</v>
      </c>
      <c r="D58" s="3725">
        <v>1350</v>
      </c>
      <c r="E58" s="3725">
        <v>0.6</v>
      </c>
      <c r="F58" s="3725">
        <v>1500</v>
      </c>
      <c r="G58" s="3725">
        <v>1500</v>
      </c>
      <c r="H58" s="3725">
        <v>0.25</v>
      </c>
      <c r="I58" s="4099"/>
      <c r="J58" s="4099"/>
      <c r="K58" s="4099"/>
      <c r="L58" s="4099"/>
      <c r="M58" s="4099"/>
      <c r="N58" s="4099"/>
      <c r="O58" s="4100">
        <v>1650</v>
      </c>
      <c r="P58" s="4100">
        <v>1300</v>
      </c>
      <c r="Q58" s="4100">
        <v>0.8</v>
      </c>
      <c r="R58" s="4100">
        <v>1800</v>
      </c>
      <c r="S58" s="4100">
        <v>1400</v>
      </c>
      <c r="T58" s="4100">
        <v>0.25</v>
      </c>
      <c r="U58" s="3725" t="s">
        <v>667</v>
      </c>
    </row>
    <row r="59" spans="1:21" ht="15.95" customHeight="1">
      <c r="A59" s="4372"/>
      <c r="B59" s="4087" t="s">
        <v>611</v>
      </c>
      <c r="C59" s="3725">
        <v>1800</v>
      </c>
      <c r="D59" s="3725">
        <v>1500</v>
      </c>
      <c r="E59" s="3725">
        <v>0.32</v>
      </c>
      <c r="F59" s="3725">
        <v>2000</v>
      </c>
      <c r="G59" s="3725">
        <v>1500</v>
      </c>
      <c r="H59" s="3725">
        <v>0.1</v>
      </c>
      <c r="I59" s="4099">
        <v>1800</v>
      </c>
      <c r="J59" s="4099">
        <v>1500</v>
      </c>
      <c r="K59" s="4099">
        <v>0.2</v>
      </c>
      <c r="L59" s="4099">
        <v>1600</v>
      </c>
      <c r="M59" s="4099">
        <v>1500</v>
      </c>
      <c r="N59" s="4099">
        <v>0.1</v>
      </c>
      <c r="O59" s="4100">
        <v>2000</v>
      </c>
      <c r="P59" s="4100">
        <v>1500</v>
      </c>
      <c r="Q59" s="4100">
        <v>0.5</v>
      </c>
      <c r="R59" s="4100">
        <v>2500</v>
      </c>
      <c r="S59" s="4100">
        <v>1500</v>
      </c>
      <c r="T59" s="4100">
        <v>0.1</v>
      </c>
      <c r="U59" s="3725" t="s">
        <v>642</v>
      </c>
    </row>
    <row r="60" spans="1:21" ht="15.95" customHeight="1">
      <c r="A60" s="4372"/>
      <c r="B60" s="4087" t="s">
        <v>613</v>
      </c>
      <c r="C60" s="3725">
        <v>1800</v>
      </c>
      <c r="D60" s="3725">
        <v>200</v>
      </c>
      <c r="E60" s="3725">
        <v>0.5</v>
      </c>
      <c r="F60" s="3725">
        <v>2000</v>
      </c>
      <c r="G60" s="3725">
        <v>1500</v>
      </c>
      <c r="H60" s="3725">
        <v>0.1</v>
      </c>
      <c r="I60" s="4099">
        <v>1800</v>
      </c>
      <c r="J60" s="4099">
        <v>1500</v>
      </c>
      <c r="K60" s="4099">
        <v>0.3</v>
      </c>
      <c r="L60" s="4099">
        <v>1600</v>
      </c>
      <c r="M60" s="4099">
        <v>1500</v>
      </c>
      <c r="N60" s="4099">
        <v>0.1</v>
      </c>
      <c r="O60" s="4100">
        <v>2000</v>
      </c>
      <c r="P60" s="4100">
        <v>2000</v>
      </c>
      <c r="Q60" s="4100">
        <v>1</v>
      </c>
      <c r="R60" s="4100">
        <v>2500</v>
      </c>
      <c r="S60" s="4100">
        <v>1500</v>
      </c>
      <c r="T60" s="4100">
        <v>0.1</v>
      </c>
      <c r="U60" s="4105"/>
    </row>
    <row r="61" spans="1:21" ht="15.95" customHeight="1">
      <c r="A61" s="4372"/>
      <c r="B61" s="3940" t="s">
        <v>669</v>
      </c>
      <c r="C61" s="3725">
        <v>600</v>
      </c>
      <c r="D61" s="3725">
        <v>1000</v>
      </c>
      <c r="E61" s="3725">
        <v>0.35</v>
      </c>
      <c r="F61" s="3725">
        <v>750</v>
      </c>
      <c r="G61" s="3725">
        <v>1200</v>
      </c>
      <c r="H61" s="3725">
        <v>0.1</v>
      </c>
      <c r="I61" s="4099"/>
      <c r="J61" s="4099"/>
      <c r="K61" s="4099"/>
      <c r="L61" s="4099"/>
      <c r="M61" s="4099"/>
      <c r="N61" s="4099"/>
      <c r="O61" s="4100">
        <v>900</v>
      </c>
      <c r="P61" s="4100">
        <v>1000</v>
      </c>
      <c r="Q61" s="4100">
        <v>1</v>
      </c>
      <c r="R61" s="4100">
        <v>1200</v>
      </c>
      <c r="S61" s="4100">
        <v>1000</v>
      </c>
      <c r="T61" s="4100">
        <v>0.1</v>
      </c>
      <c r="U61" s="3725" t="s">
        <v>660</v>
      </c>
    </row>
    <row r="62" spans="1:21" ht="15.95" customHeight="1">
      <c r="A62" s="4372"/>
      <c r="B62" s="3940" t="s">
        <v>670</v>
      </c>
      <c r="C62" s="3725">
        <v>650</v>
      </c>
      <c r="D62" s="3725">
        <v>1300</v>
      </c>
      <c r="E62" s="3725">
        <v>0.5</v>
      </c>
      <c r="F62" s="3725">
        <v>750</v>
      </c>
      <c r="G62" s="3725">
        <v>1400</v>
      </c>
      <c r="H62" s="3725">
        <v>0.1</v>
      </c>
      <c r="I62" s="4099"/>
      <c r="J62" s="4099"/>
      <c r="K62" s="4099"/>
      <c r="L62" s="4099"/>
      <c r="M62" s="4099"/>
      <c r="N62" s="4099"/>
      <c r="O62" s="4100">
        <v>1000</v>
      </c>
      <c r="P62" s="4100">
        <v>1500</v>
      </c>
      <c r="Q62" s="4100">
        <v>1.5</v>
      </c>
      <c r="R62" s="4100">
        <v>1200</v>
      </c>
      <c r="S62" s="4100">
        <v>1200</v>
      </c>
      <c r="T62" s="4100">
        <v>0.1</v>
      </c>
      <c r="U62" s="3725"/>
    </row>
    <row r="63" spans="1:21" ht="15.95" customHeight="1">
      <c r="A63" s="4372"/>
      <c r="B63" s="3940" t="s">
        <v>671</v>
      </c>
      <c r="C63" s="3725">
        <v>1200</v>
      </c>
      <c r="D63" s="3725">
        <v>1300</v>
      </c>
      <c r="E63" s="3725">
        <v>0.5</v>
      </c>
      <c r="F63" s="3725">
        <v>1350</v>
      </c>
      <c r="G63" s="3725">
        <v>1500</v>
      </c>
      <c r="H63" s="3725">
        <v>0.1</v>
      </c>
      <c r="I63" s="4099">
        <v>1000</v>
      </c>
      <c r="J63" s="4099">
        <v>1000</v>
      </c>
      <c r="K63" s="4099">
        <v>0.35</v>
      </c>
      <c r="L63" s="4099">
        <v>1100</v>
      </c>
      <c r="M63" s="4099">
        <v>1000</v>
      </c>
      <c r="N63" s="4099">
        <v>0.1</v>
      </c>
      <c r="O63" s="4100"/>
      <c r="P63" s="4100"/>
      <c r="Q63" s="4100"/>
      <c r="R63" s="4100">
        <v>900</v>
      </c>
      <c r="S63" s="4100">
        <v>500</v>
      </c>
      <c r="T63" s="4100">
        <v>0.1</v>
      </c>
      <c r="U63" s="4105"/>
    </row>
    <row r="64" spans="1:21" ht="15.95" customHeight="1">
      <c r="A64" s="4372"/>
      <c r="B64" s="3940" t="s">
        <v>672</v>
      </c>
      <c r="C64" s="3725">
        <v>1100</v>
      </c>
      <c r="D64" s="3725">
        <v>1000</v>
      </c>
      <c r="E64" s="3725">
        <v>0.35</v>
      </c>
      <c r="F64" s="3725">
        <v>1200</v>
      </c>
      <c r="G64" s="3725">
        <v>1200</v>
      </c>
      <c r="H64" s="3725">
        <v>0.1</v>
      </c>
      <c r="I64" s="4099">
        <v>900</v>
      </c>
      <c r="J64" s="4099">
        <v>800</v>
      </c>
      <c r="K64" s="4099">
        <v>0.25</v>
      </c>
      <c r="L64" s="4099">
        <v>1000</v>
      </c>
      <c r="M64" s="4099">
        <v>900</v>
      </c>
      <c r="N64" s="4099">
        <v>0.1</v>
      </c>
      <c r="O64" s="4100"/>
      <c r="P64" s="4100"/>
      <c r="Q64" s="4100"/>
      <c r="R64" s="4100">
        <v>900</v>
      </c>
      <c r="S64" s="4100">
        <v>500</v>
      </c>
      <c r="T64" s="4100">
        <v>0.1</v>
      </c>
      <c r="U64" s="3725" t="s">
        <v>673</v>
      </c>
    </row>
    <row r="65" spans="1:24" ht="15.95" customHeight="1">
      <c r="A65" s="4372" t="s">
        <v>674</v>
      </c>
      <c r="B65" s="4087" t="s">
        <v>675</v>
      </c>
      <c r="C65" s="3725">
        <v>1600</v>
      </c>
      <c r="D65" s="3725">
        <v>800</v>
      </c>
      <c r="E65" s="3725">
        <v>0.3</v>
      </c>
      <c r="F65" s="3725">
        <v>2000</v>
      </c>
      <c r="G65" s="3725">
        <v>800</v>
      </c>
      <c r="H65" s="3725">
        <v>0.15</v>
      </c>
      <c r="I65" s="4099"/>
      <c r="J65" s="4099"/>
      <c r="K65" s="4099"/>
      <c r="L65" s="4099"/>
      <c r="M65" s="4099"/>
      <c r="N65" s="4099"/>
      <c r="O65" s="4100">
        <v>1400</v>
      </c>
      <c r="P65" s="4100">
        <v>1000</v>
      </c>
      <c r="Q65" s="4100">
        <v>0.5</v>
      </c>
      <c r="R65" s="4100">
        <v>3300</v>
      </c>
      <c r="S65" s="4100">
        <v>1500</v>
      </c>
      <c r="T65" s="4100">
        <v>0.15</v>
      </c>
      <c r="U65" s="3725"/>
    </row>
    <row r="66" spans="1:24" ht="15.95" customHeight="1">
      <c r="A66" s="4372"/>
      <c r="B66" s="4087" t="s">
        <v>676</v>
      </c>
      <c r="C66" s="3725">
        <v>2800</v>
      </c>
      <c r="D66" s="3725">
        <v>1000</v>
      </c>
      <c r="E66" s="3725">
        <v>0.4</v>
      </c>
      <c r="F66" s="3725">
        <v>3500</v>
      </c>
      <c r="G66" s="3725">
        <v>2000</v>
      </c>
      <c r="H66" s="3725">
        <v>0.2</v>
      </c>
      <c r="I66" s="4099">
        <v>2500</v>
      </c>
      <c r="J66" s="4099">
        <v>800</v>
      </c>
      <c r="K66" s="4099">
        <v>0.35</v>
      </c>
      <c r="L66" s="4099">
        <v>3000</v>
      </c>
      <c r="M66" s="4099">
        <v>1200</v>
      </c>
      <c r="N66" s="4099">
        <v>0.2</v>
      </c>
      <c r="O66" s="4100">
        <v>3000</v>
      </c>
      <c r="P66" s="4100">
        <v>1600</v>
      </c>
      <c r="Q66" s="4100">
        <v>0.5</v>
      </c>
      <c r="R66" s="4100">
        <v>3600</v>
      </c>
      <c r="S66" s="4100">
        <v>2000</v>
      </c>
      <c r="T66" s="4100">
        <v>0.2</v>
      </c>
      <c r="U66" s="3725"/>
    </row>
    <row r="67" spans="1:24" ht="15.95" customHeight="1">
      <c r="A67" s="4372"/>
      <c r="B67" s="4087" t="s">
        <v>677</v>
      </c>
      <c r="C67" s="3725">
        <v>2800</v>
      </c>
      <c r="D67" s="3725">
        <v>1000</v>
      </c>
      <c r="E67" s="3725">
        <v>0.4</v>
      </c>
      <c r="F67" s="3725">
        <v>3500</v>
      </c>
      <c r="G67" s="3725">
        <v>2000</v>
      </c>
      <c r="H67" s="3725">
        <v>0.2</v>
      </c>
      <c r="I67" s="4099">
        <v>2500</v>
      </c>
      <c r="J67" s="4099">
        <v>800</v>
      </c>
      <c r="K67" s="4099">
        <v>0.35</v>
      </c>
      <c r="L67" s="4099">
        <v>3000</v>
      </c>
      <c r="M67" s="4099">
        <v>1200</v>
      </c>
      <c r="N67" s="4099">
        <v>0.15</v>
      </c>
      <c r="O67" s="4100">
        <v>3000</v>
      </c>
      <c r="P67" s="4100">
        <v>1600</v>
      </c>
      <c r="Q67" s="4100">
        <v>0.6</v>
      </c>
      <c r="R67" s="4100">
        <v>3600</v>
      </c>
      <c r="S67" s="4100">
        <v>2000</v>
      </c>
      <c r="T67" s="4100">
        <v>0.3</v>
      </c>
      <c r="U67" s="3725" t="s">
        <v>631</v>
      </c>
    </row>
    <row r="68" spans="1:24" ht="15.95" customHeight="1">
      <c r="A68" s="4372"/>
      <c r="B68" s="3940" t="s">
        <v>614</v>
      </c>
      <c r="C68" s="3725">
        <v>1400</v>
      </c>
      <c r="D68" s="3725">
        <v>850</v>
      </c>
      <c r="E68" s="3725">
        <v>0.3</v>
      </c>
      <c r="F68" s="3725">
        <v>1400</v>
      </c>
      <c r="G68" s="3725">
        <v>800</v>
      </c>
      <c r="H68" s="3725">
        <v>0.15</v>
      </c>
      <c r="I68" s="4099"/>
      <c r="J68" s="4099"/>
      <c r="K68" s="4099"/>
      <c r="L68" s="4099"/>
      <c r="M68" s="4099"/>
      <c r="N68" s="4099"/>
      <c r="O68" s="4100">
        <v>1400</v>
      </c>
      <c r="P68" s="4100">
        <v>1500</v>
      </c>
      <c r="Q68" s="4100">
        <v>0.8</v>
      </c>
      <c r="R68" s="4100">
        <v>1800</v>
      </c>
      <c r="S68" s="4100">
        <v>1200</v>
      </c>
      <c r="T68" s="4100">
        <v>0.15</v>
      </c>
      <c r="U68" s="3725"/>
    </row>
    <row r="69" spans="1:24" ht="15.95" customHeight="1">
      <c r="A69" s="4372"/>
      <c r="B69" s="4091" t="s">
        <v>619</v>
      </c>
      <c r="C69" s="3725">
        <v>1600</v>
      </c>
      <c r="D69" s="3725">
        <v>1000</v>
      </c>
      <c r="E69" s="3725">
        <v>0.6</v>
      </c>
      <c r="F69" s="3725">
        <v>2200</v>
      </c>
      <c r="G69" s="3725">
        <v>1200</v>
      </c>
      <c r="H69" s="3725">
        <v>0.2</v>
      </c>
      <c r="I69" s="4099">
        <v>1800</v>
      </c>
      <c r="J69" s="4099">
        <v>1000</v>
      </c>
      <c r="K69" s="4099">
        <v>0.2</v>
      </c>
      <c r="L69" s="4099">
        <v>2000</v>
      </c>
      <c r="M69" s="4099">
        <v>1000</v>
      </c>
      <c r="N69" s="4099">
        <v>0.1</v>
      </c>
      <c r="O69" s="4100">
        <v>2000</v>
      </c>
      <c r="P69" s="4100">
        <v>1800</v>
      </c>
      <c r="Q69" s="4100">
        <v>1</v>
      </c>
      <c r="R69" s="4100">
        <v>2800</v>
      </c>
      <c r="S69" s="4100">
        <v>1800</v>
      </c>
      <c r="T69" s="4100">
        <v>0.15</v>
      </c>
      <c r="U69" s="3725"/>
    </row>
    <row r="70" spans="1:24" ht="15.95" customHeight="1">
      <c r="A70" s="4372"/>
      <c r="B70" s="3940" t="s">
        <v>618</v>
      </c>
      <c r="C70" s="3725">
        <v>1600</v>
      </c>
      <c r="D70" s="3725">
        <v>800</v>
      </c>
      <c r="E70" s="3725">
        <v>0.4</v>
      </c>
      <c r="F70" s="3725">
        <v>2000</v>
      </c>
      <c r="G70" s="3725">
        <v>1000</v>
      </c>
      <c r="H70" s="3725">
        <v>0.2</v>
      </c>
      <c r="I70" s="4099">
        <v>2000</v>
      </c>
      <c r="J70" s="4099">
        <v>800</v>
      </c>
      <c r="K70" s="4099">
        <v>0.15</v>
      </c>
      <c r="L70" s="4099">
        <v>2200</v>
      </c>
      <c r="M70" s="4099">
        <v>800</v>
      </c>
      <c r="N70" s="4099">
        <v>0.1</v>
      </c>
      <c r="O70" s="4100">
        <v>2400</v>
      </c>
      <c r="P70" s="4100">
        <v>1600</v>
      </c>
      <c r="Q70" s="4100">
        <v>0.8</v>
      </c>
      <c r="R70" s="4100">
        <v>2800</v>
      </c>
      <c r="S70" s="4100">
        <v>1600</v>
      </c>
      <c r="T70" s="4100">
        <v>0.15</v>
      </c>
      <c r="U70" s="3725"/>
    </row>
    <row r="71" spans="1:24" ht="23.25" customHeight="1">
      <c r="A71" s="4401" t="s">
        <v>581</v>
      </c>
      <c r="B71" s="4401"/>
      <c r="C71" s="4401"/>
      <c r="D71" s="4401"/>
      <c r="E71" s="4401"/>
      <c r="F71" s="4401"/>
      <c r="G71" s="4401"/>
      <c r="H71" s="4401"/>
      <c r="I71" s="4401"/>
      <c r="J71" s="4401"/>
      <c r="K71" s="4401"/>
      <c r="L71" s="4401"/>
      <c r="M71" s="4401"/>
      <c r="N71" s="4401"/>
      <c r="O71" s="4401"/>
      <c r="P71" s="4401"/>
      <c r="Q71" s="4401"/>
      <c r="R71" s="4401"/>
      <c r="S71" s="4401"/>
      <c r="T71" s="4401"/>
      <c r="U71" s="4401"/>
    </row>
    <row r="72" spans="1:24" ht="23.25" customHeight="1">
      <c r="A72" s="4389" t="s">
        <v>582</v>
      </c>
      <c r="B72" s="4402"/>
      <c r="C72" s="4402"/>
      <c r="D72" s="4402"/>
      <c r="E72" s="4402"/>
      <c r="F72" s="4402"/>
      <c r="G72" s="4402"/>
      <c r="H72" s="4402"/>
      <c r="I72" s="4402"/>
      <c r="J72" s="4402"/>
      <c r="K72" s="4402"/>
      <c r="L72" s="4402"/>
      <c r="M72" s="4402"/>
      <c r="N72" s="4402"/>
      <c r="O72" s="4402"/>
      <c r="P72" s="4402"/>
      <c r="Q72" s="4402"/>
      <c r="R72" s="4402"/>
      <c r="S72" s="4402"/>
      <c r="T72" s="4402"/>
      <c r="U72" s="4402"/>
    </row>
    <row r="73" spans="1:24" ht="19.5" customHeight="1">
      <c r="A73" s="4372" t="s">
        <v>583</v>
      </c>
      <c r="B73" s="4372"/>
      <c r="C73" s="4372" t="s">
        <v>584</v>
      </c>
      <c r="D73" s="4372"/>
      <c r="E73" s="4372"/>
      <c r="F73" s="4372"/>
      <c r="G73" s="4372"/>
      <c r="H73" s="4372"/>
      <c r="I73" s="4403" t="s">
        <v>585</v>
      </c>
      <c r="J73" s="4403"/>
      <c r="K73" s="4403"/>
      <c r="L73" s="4403"/>
      <c r="M73" s="4403"/>
      <c r="N73" s="4403"/>
      <c r="O73" s="4372" t="s">
        <v>586</v>
      </c>
      <c r="P73" s="4372"/>
      <c r="Q73" s="4372"/>
      <c r="R73" s="4372"/>
      <c r="S73" s="4372"/>
      <c r="T73" s="4372"/>
      <c r="U73" s="4396" t="s">
        <v>587</v>
      </c>
      <c r="V73" s="2705"/>
      <c r="W73" s="2705"/>
      <c r="X73" s="2705"/>
    </row>
    <row r="74" spans="1:24" ht="13.5" customHeight="1">
      <c r="A74" s="4369" t="s">
        <v>588</v>
      </c>
      <c r="B74" s="4373" t="s">
        <v>0</v>
      </c>
      <c r="C74" s="4373" t="s">
        <v>589</v>
      </c>
      <c r="D74" s="4373"/>
      <c r="E74" s="4373"/>
      <c r="F74" s="4373" t="s">
        <v>590</v>
      </c>
      <c r="G74" s="4373"/>
      <c r="H74" s="4373"/>
      <c r="I74" s="4399" t="s">
        <v>589</v>
      </c>
      <c r="J74" s="4399"/>
      <c r="K74" s="4399"/>
      <c r="L74" s="4399" t="s">
        <v>590</v>
      </c>
      <c r="M74" s="4399"/>
      <c r="N74" s="4399"/>
      <c r="O74" s="4373" t="s">
        <v>589</v>
      </c>
      <c r="P74" s="4373"/>
      <c r="Q74" s="4373"/>
      <c r="R74" s="4373" t="s">
        <v>590</v>
      </c>
      <c r="S74" s="4373"/>
      <c r="T74" s="4373"/>
      <c r="U74" s="4397"/>
      <c r="V74" s="2705"/>
      <c r="W74" s="2705"/>
      <c r="X74" s="2705"/>
    </row>
    <row r="75" spans="1:24" ht="13.5" customHeight="1">
      <c r="A75" s="4370"/>
      <c r="B75" s="4373"/>
      <c r="C75" s="4085" t="s">
        <v>591</v>
      </c>
      <c r="D75" s="3277" t="s">
        <v>592</v>
      </c>
      <c r="E75" s="4086" t="s">
        <v>593</v>
      </c>
      <c r="F75" s="4085" t="s">
        <v>591</v>
      </c>
      <c r="G75" s="3277" t="s">
        <v>592</v>
      </c>
      <c r="H75" s="4086" t="s">
        <v>593</v>
      </c>
      <c r="I75" s="4094" t="s">
        <v>591</v>
      </c>
      <c r="J75" s="4095" t="s">
        <v>592</v>
      </c>
      <c r="K75" s="4096" t="s">
        <v>593</v>
      </c>
      <c r="L75" s="4094" t="s">
        <v>591</v>
      </c>
      <c r="M75" s="4095" t="s">
        <v>592</v>
      </c>
      <c r="N75" s="4096" t="s">
        <v>593</v>
      </c>
      <c r="O75" s="4085" t="s">
        <v>591</v>
      </c>
      <c r="P75" s="3277" t="s">
        <v>592</v>
      </c>
      <c r="Q75" s="4086" t="s">
        <v>593</v>
      </c>
      <c r="R75" s="4085" t="s">
        <v>591</v>
      </c>
      <c r="S75" s="3277" t="s">
        <v>592</v>
      </c>
      <c r="T75" s="4086" t="s">
        <v>593</v>
      </c>
      <c r="U75" s="4398"/>
      <c r="V75" s="2705"/>
      <c r="W75" s="2705"/>
      <c r="X75" s="2705"/>
    </row>
    <row r="76" spans="1:24" ht="18.95" customHeight="1">
      <c r="A76" s="4379" t="s">
        <v>678</v>
      </c>
      <c r="B76" s="4087" t="s">
        <v>679</v>
      </c>
      <c r="C76" s="3725">
        <v>1600</v>
      </c>
      <c r="D76" s="3725">
        <v>800</v>
      </c>
      <c r="E76" s="3725">
        <v>0.25</v>
      </c>
      <c r="F76" s="3725">
        <v>2200</v>
      </c>
      <c r="G76" s="3725">
        <v>1200</v>
      </c>
      <c r="H76" s="3725">
        <v>0.15</v>
      </c>
      <c r="I76" s="4099"/>
      <c r="J76" s="4099"/>
      <c r="K76" s="4099"/>
      <c r="L76" s="4099"/>
      <c r="M76" s="4099"/>
      <c r="N76" s="4099"/>
      <c r="O76" s="3725">
        <v>2500</v>
      </c>
      <c r="P76" s="3725">
        <v>1400</v>
      </c>
      <c r="Q76" s="3725">
        <v>0.5</v>
      </c>
      <c r="R76" s="3725">
        <v>4000</v>
      </c>
      <c r="S76" s="3725">
        <v>1800</v>
      </c>
      <c r="T76" s="3725">
        <v>0.2</v>
      </c>
      <c r="U76" s="3725"/>
    </row>
    <row r="77" spans="1:24" ht="18.95" customHeight="1">
      <c r="A77" s="4377"/>
      <c r="B77" s="4087" t="s">
        <v>680</v>
      </c>
      <c r="C77" s="3725">
        <v>4000</v>
      </c>
      <c r="D77" s="3725">
        <v>1200</v>
      </c>
      <c r="E77" s="3725">
        <v>0.3</v>
      </c>
      <c r="F77" s="3725">
        <v>4500</v>
      </c>
      <c r="G77" s="3725">
        <v>1200</v>
      </c>
      <c r="H77" s="3725">
        <v>0.15</v>
      </c>
      <c r="I77" s="4099">
        <v>4000</v>
      </c>
      <c r="J77" s="4099">
        <v>800</v>
      </c>
      <c r="K77" s="4099">
        <v>0.2</v>
      </c>
      <c r="L77" s="4099">
        <v>4000</v>
      </c>
      <c r="M77" s="4099">
        <v>1000</v>
      </c>
      <c r="N77" s="4099">
        <v>0.15</v>
      </c>
      <c r="O77" s="3725">
        <v>4500</v>
      </c>
      <c r="P77" s="3725">
        <v>2000</v>
      </c>
      <c r="Q77" s="3725">
        <v>0.6</v>
      </c>
      <c r="R77" s="3725">
        <v>4500</v>
      </c>
      <c r="S77" s="3725">
        <v>2200</v>
      </c>
      <c r="T77" s="3725">
        <v>0.2</v>
      </c>
      <c r="U77" s="3725"/>
    </row>
    <row r="78" spans="1:24" ht="18.95" customHeight="1">
      <c r="A78" s="4377"/>
      <c r="B78" s="4087" t="s">
        <v>681</v>
      </c>
      <c r="C78" s="3725">
        <v>4000</v>
      </c>
      <c r="D78" s="3725">
        <v>1600</v>
      </c>
      <c r="E78" s="3725">
        <v>0.4</v>
      </c>
      <c r="F78" s="3725">
        <v>4500</v>
      </c>
      <c r="G78" s="3725">
        <v>2000</v>
      </c>
      <c r="H78" s="3725">
        <v>0.15</v>
      </c>
      <c r="I78" s="4099">
        <v>4000</v>
      </c>
      <c r="J78" s="4099">
        <v>1600</v>
      </c>
      <c r="K78" s="4099">
        <v>0.2</v>
      </c>
      <c r="L78" s="4099">
        <v>4000</v>
      </c>
      <c r="M78" s="4099">
        <v>1400</v>
      </c>
      <c r="N78" s="4099">
        <v>0.15</v>
      </c>
      <c r="O78" s="3725">
        <v>5000</v>
      </c>
      <c r="P78" s="3725">
        <v>2000</v>
      </c>
      <c r="Q78" s="3725">
        <v>0.6</v>
      </c>
      <c r="R78" s="3725">
        <v>5000</v>
      </c>
      <c r="S78" s="3725">
        <v>2200</v>
      </c>
      <c r="T78" s="3725">
        <v>0.2</v>
      </c>
      <c r="U78" s="3725" t="s">
        <v>682</v>
      </c>
    </row>
    <row r="79" spans="1:24" ht="18.95" customHeight="1">
      <c r="A79" s="4377"/>
      <c r="B79" s="3940" t="s">
        <v>627</v>
      </c>
      <c r="C79" s="3725">
        <v>1600</v>
      </c>
      <c r="D79" s="3725">
        <v>1200</v>
      </c>
      <c r="E79" s="3725">
        <v>0.2</v>
      </c>
      <c r="F79" s="3725">
        <v>1600</v>
      </c>
      <c r="G79" s="3725">
        <v>1000</v>
      </c>
      <c r="H79" s="3725">
        <v>0.1</v>
      </c>
      <c r="I79" s="4099"/>
      <c r="J79" s="4099"/>
      <c r="K79" s="4099"/>
      <c r="L79" s="4099"/>
      <c r="M79" s="4099"/>
      <c r="N79" s="4099"/>
      <c r="O79" s="3725">
        <v>2000</v>
      </c>
      <c r="P79" s="3725">
        <v>1800</v>
      </c>
      <c r="Q79" s="3725">
        <v>0.8</v>
      </c>
      <c r="R79" s="3725">
        <v>2800</v>
      </c>
      <c r="S79" s="3725">
        <v>1800</v>
      </c>
      <c r="T79" s="3725">
        <v>0.15</v>
      </c>
      <c r="U79" s="3725"/>
    </row>
    <row r="80" spans="1:24" ht="18.95" customHeight="1">
      <c r="A80" s="4377"/>
      <c r="B80" s="4091" t="s">
        <v>683</v>
      </c>
      <c r="C80" s="3725">
        <v>2200</v>
      </c>
      <c r="D80" s="3725">
        <v>1200</v>
      </c>
      <c r="E80" s="3725">
        <v>0.3</v>
      </c>
      <c r="F80" s="3725">
        <v>3500</v>
      </c>
      <c r="G80" s="3725">
        <v>1800</v>
      </c>
      <c r="H80" s="3725">
        <v>0.1</v>
      </c>
      <c r="I80" s="4099">
        <v>3500</v>
      </c>
      <c r="J80" s="4099">
        <v>1200</v>
      </c>
      <c r="K80" s="4099">
        <v>0.15</v>
      </c>
      <c r="L80" s="4099">
        <v>3000</v>
      </c>
      <c r="M80" s="4099">
        <v>1000</v>
      </c>
      <c r="N80" s="4099">
        <v>0.1</v>
      </c>
      <c r="O80" s="3725">
        <v>3500</v>
      </c>
      <c r="P80" s="3725">
        <v>2000</v>
      </c>
      <c r="Q80" s="3725">
        <v>0.8</v>
      </c>
      <c r="R80" s="3725">
        <v>5000</v>
      </c>
      <c r="S80" s="3725">
        <v>2200</v>
      </c>
      <c r="T80" s="3725">
        <v>0.15</v>
      </c>
      <c r="U80" s="3725" t="s">
        <v>682</v>
      </c>
    </row>
    <row r="81" spans="1:21" ht="18.95" customHeight="1">
      <c r="A81" s="4378"/>
      <c r="B81" s="3940" t="s">
        <v>672</v>
      </c>
      <c r="C81" s="3725">
        <v>2200</v>
      </c>
      <c r="D81" s="3725">
        <v>1000</v>
      </c>
      <c r="E81" s="3725">
        <v>0.25</v>
      </c>
      <c r="F81" s="3725">
        <v>3000</v>
      </c>
      <c r="G81" s="3725">
        <v>1200</v>
      </c>
      <c r="H81" s="3725">
        <v>0.1</v>
      </c>
      <c r="I81" s="4099">
        <v>3500</v>
      </c>
      <c r="J81" s="4099">
        <v>800</v>
      </c>
      <c r="K81" s="4099">
        <v>0.15</v>
      </c>
      <c r="L81" s="4099">
        <v>3500</v>
      </c>
      <c r="M81" s="4099">
        <v>800</v>
      </c>
      <c r="N81" s="4099">
        <v>0.1</v>
      </c>
      <c r="O81" s="3725">
        <v>4000</v>
      </c>
      <c r="P81" s="3725">
        <v>1600</v>
      </c>
      <c r="Q81" s="3725">
        <v>0.8</v>
      </c>
      <c r="R81" s="3725">
        <v>5000</v>
      </c>
      <c r="S81" s="3725">
        <v>2000</v>
      </c>
      <c r="T81" s="3725">
        <v>0.1</v>
      </c>
      <c r="U81" s="3725"/>
    </row>
    <row r="82" spans="1:21" ht="18.95" customHeight="1">
      <c r="A82" s="4372" t="s">
        <v>684</v>
      </c>
      <c r="B82" s="4087" t="s">
        <v>685</v>
      </c>
      <c r="C82" s="3725">
        <v>2000</v>
      </c>
      <c r="D82" s="3725">
        <v>1000</v>
      </c>
      <c r="E82" s="3725">
        <v>0.2</v>
      </c>
      <c r="F82" s="3725">
        <v>2400</v>
      </c>
      <c r="G82" s="3725">
        <v>1000</v>
      </c>
      <c r="H82" s="3725">
        <v>0.1</v>
      </c>
      <c r="I82" s="4099"/>
      <c r="J82" s="4099"/>
      <c r="K82" s="4099"/>
      <c r="L82" s="4099"/>
      <c r="M82" s="4099"/>
      <c r="N82" s="4099"/>
      <c r="O82" s="3725">
        <v>3500</v>
      </c>
      <c r="P82" s="3725">
        <v>1800</v>
      </c>
      <c r="Q82" s="3725">
        <v>0.25</v>
      </c>
      <c r="R82" s="3725">
        <v>3500</v>
      </c>
      <c r="S82" s="3725">
        <v>1400</v>
      </c>
      <c r="T82" s="3725">
        <v>0.1</v>
      </c>
      <c r="U82" s="3725"/>
    </row>
    <row r="83" spans="1:21" ht="18.95" customHeight="1">
      <c r="A83" s="4372"/>
      <c r="B83" s="4087" t="s">
        <v>686</v>
      </c>
      <c r="C83" s="3725">
        <v>4000</v>
      </c>
      <c r="D83" s="3725">
        <v>1200</v>
      </c>
      <c r="E83" s="3725">
        <v>0.21</v>
      </c>
      <c r="F83" s="3725">
        <v>4000</v>
      </c>
      <c r="G83" s="3725">
        <v>1600</v>
      </c>
      <c r="H83" s="3725">
        <v>0.1</v>
      </c>
      <c r="I83" s="4099">
        <v>3500</v>
      </c>
      <c r="J83" s="4099">
        <v>1400</v>
      </c>
      <c r="K83" s="4099">
        <v>0.15</v>
      </c>
      <c r="L83" s="4099">
        <v>4000</v>
      </c>
      <c r="M83" s="4099">
        <v>2000</v>
      </c>
      <c r="N83" s="4099">
        <v>0.1</v>
      </c>
      <c r="O83" s="3725">
        <v>4000</v>
      </c>
      <c r="P83" s="3725">
        <v>1600</v>
      </c>
      <c r="Q83" s="3725">
        <v>0.2</v>
      </c>
      <c r="R83" s="3725">
        <v>5000</v>
      </c>
      <c r="S83" s="3725">
        <v>2200</v>
      </c>
      <c r="T83" s="3725">
        <v>0.1</v>
      </c>
      <c r="U83" s="3725"/>
    </row>
    <row r="84" spans="1:21" ht="18.95" customHeight="1">
      <c r="A84" s="4372"/>
      <c r="B84" s="3940" t="s">
        <v>687</v>
      </c>
      <c r="C84" s="3725">
        <v>1600</v>
      </c>
      <c r="D84" s="3725">
        <v>1200</v>
      </c>
      <c r="E84" s="3725">
        <v>0.25</v>
      </c>
      <c r="F84" s="3725">
        <v>2200</v>
      </c>
      <c r="G84" s="3725">
        <v>1200</v>
      </c>
      <c r="H84" s="3725">
        <v>0.1</v>
      </c>
      <c r="I84" s="4099"/>
      <c r="J84" s="4099"/>
      <c r="K84" s="4099"/>
      <c r="L84" s="4099"/>
      <c r="M84" s="4099"/>
      <c r="N84" s="4099"/>
      <c r="O84" s="3725">
        <v>3000</v>
      </c>
      <c r="P84" s="3725">
        <v>1600</v>
      </c>
      <c r="Q84" s="3725">
        <v>0.3</v>
      </c>
      <c r="R84" s="3725">
        <v>4000</v>
      </c>
      <c r="S84" s="3725">
        <v>2000</v>
      </c>
      <c r="T84" s="3725">
        <v>0.1</v>
      </c>
      <c r="U84" s="3725"/>
    </row>
    <row r="85" spans="1:21" ht="18.95" customHeight="1">
      <c r="A85" s="4372"/>
      <c r="B85" s="3940" t="s">
        <v>683</v>
      </c>
      <c r="C85" s="3725">
        <v>2500</v>
      </c>
      <c r="D85" s="3725">
        <v>1600</v>
      </c>
      <c r="E85" s="3725">
        <v>0.1</v>
      </c>
      <c r="F85" s="3725">
        <v>3500</v>
      </c>
      <c r="G85" s="3725">
        <v>2000</v>
      </c>
      <c r="H85" s="3725">
        <v>0.1</v>
      </c>
      <c r="I85" s="4099">
        <v>3500</v>
      </c>
      <c r="J85" s="4099">
        <v>1200</v>
      </c>
      <c r="K85" s="4099">
        <v>0.15</v>
      </c>
      <c r="L85" s="4099">
        <v>4000</v>
      </c>
      <c r="M85" s="4099">
        <v>1600</v>
      </c>
      <c r="N85" s="4099">
        <v>0.1</v>
      </c>
      <c r="O85" s="3725">
        <v>5000</v>
      </c>
      <c r="P85" s="3725">
        <v>2000</v>
      </c>
      <c r="Q85" s="3725">
        <v>0.3</v>
      </c>
      <c r="R85" s="3725">
        <v>5000</v>
      </c>
      <c r="S85" s="3725">
        <v>2500</v>
      </c>
      <c r="T85" s="3725">
        <v>0.1</v>
      </c>
      <c r="U85" s="3725"/>
    </row>
    <row r="86" spans="1:21" ht="18.95" customHeight="1">
      <c r="A86" s="4372" t="s">
        <v>688</v>
      </c>
      <c r="B86" s="4087" t="s">
        <v>689</v>
      </c>
      <c r="C86" s="3725">
        <v>2400</v>
      </c>
      <c r="D86" s="3725">
        <v>1500</v>
      </c>
      <c r="E86" s="3725">
        <v>0.25</v>
      </c>
      <c r="F86" s="3725">
        <v>3000</v>
      </c>
      <c r="G86" s="3725">
        <v>1800</v>
      </c>
      <c r="H86" s="3725">
        <v>0.1</v>
      </c>
      <c r="I86" s="4099"/>
      <c r="J86" s="4099"/>
      <c r="K86" s="4099"/>
      <c r="L86" s="4099"/>
      <c r="M86" s="4099"/>
      <c r="N86" s="4099"/>
      <c r="O86" s="3725">
        <v>4000</v>
      </c>
      <c r="P86" s="3725">
        <v>1600</v>
      </c>
      <c r="Q86" s="3725">
        <v>0.2</v>
      </c>
      <c r="R86" s="3725">
        <v>4000</v>
      </c>
      <c r="S86" s="3725">
        <v>2000</v>
      </c>
      <c r="T86" s="3725">
        <v>0.1</v>
      </c>
      <c r="U86" s="3725"/>
    </row>
    <row r="87" spans="1:21" ht="18.95" customHeight="1">
      <c r="A87" s="4372"/>
      <c r="B87" s="4087" t="s">
        <v>690</v>
      </c>
      <c r="C87" s="3725">
        <v>4000</v>
      </c>
      <c r="D87" s="3725">
        <v>1600</v>
      </c>
      <c r="E87" s="3725">
        <v>0.25</v>
      </c>
      <c r="F87" s="3725">
        <v>4500</v>
      </c>
      <c r="G87" s="3725">
        <v>2200</v>
      </c>
      <c r="H87" s="3725">
        <v>0.1</v>
      </c>
      <c r="I87" s="4099">
        <v>4500</v>
      </c>
      <c r="J87" s="4099">
        <v>1400</v>
      </c>
      <c r="K87" s="4099">
        <v>0.15</v>
      </c>
      <c r="L87" s="4099">
        <v>5000</v>
      </c>
      <c r="M87" s="4099">
        <v>1800</v>
      </c>
      <c r="N87" s="4099">
        <v>0.1</v>
      </c>
      <c r="O87" s="3725">
        <v>5000</v>
      </c>
      <c r="P87" s="3725">
        <v>2000</v>
      </c>
      <c r="Q87" s="3725">
        <v>0.2</v>
      </c>
      <c r="R87" s="3725">
        <v>5000</v>
      </c>
      <c r="S87" s="3725">
        <v>2400</v>
      </c>
      <c r="T87" s="3725">
        <v>0.1</v>
      </c>
      <c r="U87" s="3725"/>
    </row>
    <row r="88" spans="1:21" ht="18.95" customHeight="1">
      <c r="A88" s="4372"/>
      <c r="B88" s="3286" t="s">
        <v>671</v>
      </c>
      <c r="C88" s="3725">
        <v>4000</v>
      </c>
      <c r="D88" s="3725">
        <v>1600</v>
      </c>
      <c r="E88" s="3725">
        <v>0.2</v>
      </c>
      <c r="F88" s="3725">
        <v>4500</v>
      </c>
      <c r="G88" s="3725">
        <v>1800</v>
      </c>
      <c r="H88" s="3725">
        <v>0.1</v>
      </c>
      <c r="I88" s="4099">
        <v>4500</v>
      </c>
      <c r="J88" s="4099">
        <v>1200</v>
      </c>
      <c r="K88" s="4099">
        <v>0.1</v>
      </c>
      <c r="L88" s="4099">
        <v>5000</v>
      </c>
      <c r="M88" s="4099">
        <v>1600</v>
      </c>
      <c r="N88" s="4099">
        <v>0.1</v>
      </c>
      <c r="O88" s="3725">
        <v>5000</v>
      </c>
      <c r="P88" s="3725">
        <v>2000</v>
      </c>
      <c r="Q88" s="3725">
        <v>0.2</v>
      </c>
      <c r="R88" s="3725">
        <v>5000</v>
      </c>
      <c r="S88" s="3725">
        <v>2000</v>
      </c>
      <c r="T88" s="3725">
        <v>0.1</v>
      </c>
      <c r="U88" s="3725"/>
    </row>
    <row r="89" spans="1:21" ht="18.95" customHeight="1">
      <c r="A89" s="4372"/>
      <c r="B89" s="3940" t="s">
        <v>687</v>
      </c>
      <c r="C89" s="3725">
        <v>2800</v>
      </c>
      <c r="D89" s="3725">
        <v>1200</v>
      </c>
      <c r="E89" s="3725">
        <v>0.2</v>
      </c>
      <c r="F89" s="3725">
        <v>3000</v>
      </c>
      <c r="G89" s="3725">
        <v>1000</v>
      </c>
      <c r="H89" s="3725">
        <v>0.1</v>
      </c>
      <c r="I89" s="4099"/>
      <c r="J89" s="4099"/>
      <c r="K89" s="4099"/>
      <c r="L89" s="4099"/>
      <c r="M89" s="4099"/>
      <c r="N89" s="4099"/>
      <c r="O89" s="3725">
        <v>3000</v>
      </c>
      <c r="P89" s="3725">
        <v>1000</v>
      </c>
      <c r="Q89" s="3725">
        <v>0.25</v>
      </c>
      <c r="R89" s="3725">
        <v>3500</v>
      </c>
      <c r="S89" s="3725">
        <v>1200</v>
      </c>
      <c r="T89" s="3725">
        <v>0.1</v>
      </c>
      <c r="U89" s="3725"/>
    </row>
    <row r="90" spans="1:21" ht="18.95" customHeight="1">
      <c r="A90" s="4372" t="s">
        <v>691</v>
      </c>
      <c r="B90" s="4087" t="s">
        <v>692</v>
      </c>
      <c r="C90" s="3725">
        <v>4500</v>
      </c>
      <c r="D90" s="3725">
        <v>1200</v>
      </c>
      <c r="E90" s="3725">
        <v>0.15</v>
      </c>
      <c r="F90" s="3725">
        <v>5000</v>
      </c>
      <c r="G90" s="3725">
        <v>1800</v>
      </c>
      <c r="H90" s="3725">
        <v>0.1</v>
      </c>
      <c r="I90" s="4099">
        <v>4500</v>
      </c>
      <c r="J90" s="4099">
        <v>1000</v>
      </c>
      <c r="K90" s="4099">
        <v>0.1</v>
      </c>
      <c r="L90" s="4099">
        <v>5000</v>
      </c>
      <c r="M90" s="4099">
        <v>1600</v>
      </c>
      <c r="N90" s="4099">
        <v>0.1</v>
      </c>
      <c r="O90" s="3725">
        <v>5000</v>
      </c>
      <c r="P90" s="3725">
        <v>1800</v>
      </c>
      <c r="Q90" s="3725">
        <v>0.2</v>
      </c>
      <c r="R90" s="3725">
        <v>5000</v>
      </c>
      <c r="S90" s="3725">
        <v>2200</v>
      </c>
      <c r="T90" s="3725">
        <v>0.1</v>
      </c>
      <c r="U90" s="3725"/>
    </row>
    <row r="91" spans="1:21" ht="18.95" customHeight="1">
      <c r="A91" s="4372"/>
      <c r="B91" s="4087" t="s">
        <v>693</v>
      </c>
      <c r="C91" s="3725">
        <v>2800</v>
      </c>
      <c r="D91" s="3725">
        <v>800</v>
      </c>
      <c r="E91" s="3725">
        <v>0.15</v>
      </c>
      <c r="F91" s="3725">
        <v>3000</v>
      </c>
      <c r="G91" s="3725">
        <v>1400</v>
      </c>
      <c r="H91" s="3725">
        <v>0.1</v>
      </c>
      <c r="I91" s="4099"/>
      <c r="J91" s="4099"/>
      <c r="K91" s="4099"/>
      <c r="L91" s="4099"/>
      <c r="M91" s="4099"/>
      <c r="N91" s="4099"/>
      <c r="O91" s="3725">
        <v>3500</v>
      </c>
      <c r="P91" s="3725">
        <v>1200</v>
      </c>
      <c r="Q91" s="3725">
        <v>0.2</v>
      </c>
      <c r="R91" s="3725">
        <v>4500</v>
      </c>
      <c r="S91" s="3725">
        <v>1600</v>
      </c>
      <c r="T91" s="3725">
        <v>0.1</v>
      </c>
      <c r="U91" s="3725"/>
    </row>
    <row r="92" spans="1:21" ht="18.95" customHeight="1">
      <c r="A92" s="4372"/>
      <c r="B92" s="3940" t="s">
        <v>687</v>
      </c>
      <c r="C92" s="3725">
        <v>3000</v>
      </c>
      <c r="D92" s="3725">
        <v>800</v>
      </c>
      <c r="E92" s="3725">
        <v>0.15</v>
      </c>
      <c r="F92" s="3725">
        <v>2800</v>
      </c>
      <c r="G92" s="3725">
        <v>1000</v>
      </c>
      <c r="H92" s="3725">
        <v>0.1</v>
      </c>
      <c r="I92" s="4099"/>
      <c r="J92" s="4099"/>
      <c r="K92" s="4099"/>
      <c r="L92" s="4099"/>
      <c r="M92" s="4099"/>
      <c r="N92" s="4099"/>
      <c r="O92" s="3725">
        <v>4000</v>
      </c>
      <c r="P92" s="3725">
        <v>1200</v>
      </c>
      <c r="Q92" s="3725">
        <v>0.25</v>
      </c>
      <c r="R92" s="3725">
        <v>4500</v>
      </c>
      <c r="S92" s="3725">
        <v>1600</v>
      </c>
      <c r="T92" s="3725">
        <v>0.1</v>
      </c>
      <c r="U92" s="3725"/>
    </row>
    <row r="93" spans="1:21" ht="18.95" customHeight="1">
      <c r="A93" s="4372"/>
      <c r="B93" s="3940" t="s">
        <v>671</v>
      </c>
      <c r="C93" s="3725">
        <v>3500</v>
      </c>
      <c r="D93" s="3725">
        <v>1200</v>
      </c>
      <c r="E93" s="3725">
        <v>0.15</v>
      </c>
      <c r="F93" s="3725">
        <v>4500</v>
      </c>
      <c r="G93" s="3725">
        <v>1200</v>
      </c>
      <c r="H93" s="3725">
        <v>0.1</v>
      </c>
      <c r="I93" s="4099">
        <v>4500</v>
      </c>
      <c r="J93" s="4099">
        <v>800</v>
      </c>
      <c r="K93" s="4099">
        <v>0.1</v>
      </c>
      <c r="L93" s="4099">
        <v>5000</v>
      </c>
      <c r="M93" s="4099">
        <v>1400</v>
      </c>
      <c r="N93" s="4099">
        <v>0.1</v>
      </c>
      <c r="O93" s="3725">
        <v>5000</v>
      </c>
      <c r="P93" s="3725">
        <v>1800</v>
      </c>
      <c r="Q93" s="3725">
        <v>0.25</v>
      </c>
      <c r="R93" s="3725">
        <v>5000</v>
      </c>
      <c r="S93" s="3725">
        <v>2000</v>
      </c>
      <c r="T93" s="3725">
        <v>0.1</v>
      </c>
      <c r="U93" s="3725"/>
    </row>
    <row r="94" spans="1:21" ht="18.95" customHeight="1">
      <c r="A94" s="4372" t="s">
        <v>694</v>
      </c>
      <c r="B94" s="4087" t="s">
        <v>695</v>
      </c>
      <c r="C94" s="3725">
        <v>5000</v>
      </c>
      <c r="D94" s="3725">
        <v>600</v>
      </c>
      <c r="E94" s="3725">
        <v>0.2</v>
      </c>
      <c r="F94" s="3725">
        <v>5400</v>
      </c>
      <c r="G94" s="3725">
        <v>700</v>
      </c>
      <c r="H94" s="3725">
        <v>0.1</v>
      </c>
      <c r="I94" s="4099">
        <v>5000</v>
      </c>
      <c r="J94" s="4099">
        <v>400</v>
      </c>
      <c r="K94" s="4099">
        <v>0.15</v>
      </c>
      <c r="L94" s="4099">
        <v>5400</v>
      </c>
      <c r="M94" s="4099">
        <v>550</v>
      </c>
      <c r="N94" s="4099">
        <v>0.1</v>
      </c>
      <c r="O94" s="3725">
        <v>5400</v>
      </c>
      <c r="P94" s="3725">
        <v>650</v>
      </c>
      <c r="Q94" s="3725">
        <v>0.25</v>
      </c>
      <c r="R94" s="3725">
        <v>5600</v>
      </c>
      <c r="S94" s="3725">
        <v>650</v>
      </c>
      <c r="T94" s="3725">
        <v>0.1</v>
      </c>
      <c r="U94" s="4104" t="s">
        <v>696</v>
      </c>
    </row>
    <row r="95" spans="1:21" ht="18.95" customHeight="1">
      <c r="A95" s="4372"/>
      <c r="B95" s="3940" t="s">
        <v>671</v>
      </c>
      <c r="C95" s="3725">
        <v>4000</v>
      </c>
      <c r="D95" s="3725">
        <v>550</v>
      </c>
      <c r="E95" s="3725">
        <v>0.2</v>
      </c>
      <c r="F95" s="3725">
        <v>4400</v>
      </c>
      <c r="G95" s="3725">
        <v>650</v>
      </c>
      <c r="H95" s="3725">
        <v>0.1</v>
      </c>
      <c r="I95" s="4099">
        <v>4000</v>
      </c>
      <c r="J95" s="4099">
        <v>550</v>
      </c>
      <c r="K95" s="4099">
        <v>0.18</v>
      </c>
      <c r="L95" s="4099">
        <v>4400</v>
      </c>
      <c r="M95" s="4099">
        <v>600</v>
      </c>
      <c r="N95" s="4099">
        <v>0.1</v>
      </c>
      <c r="O95" s="3725">
        <v>4800</v>
      </c>
      <c r="P95" s="3725">
        <v>600</v>
      </c>
      <c r="Q95" s="3725">
        <v>0.25</v>
      </c>
      <c r="R95" s="3725">
        <v>5200</v>
      </c>
      <c r="S95" s="3725">
        <v>600</v>
      </c>
      <c r="T95" s="3725">
        <v>0.1</v>
      </c>
      <c r="U95" s="4104"/>
    </row>
    <row r="96" spans="1:21" ht="18.95" customHeight="1">
      <c r="A96" s="4372"/>
      <c r="B96" s="3940" t="s">
        <v>687</v>
      </c>
      <c r="C96" s="3725">
        <v>2700</v>
      </c>
      <c r="D96" s="3725">
        <v>500</v>
      </c>
      <c r="E96" s="3725">
        <v>0.2</v>
      </c>
      <c r="F96" s="3725">
        <v>3000</v>
      </c>
      <c r="G96" s="3725">
        <v>600</v>
      </c>
      <c r="H96" s="3725">
        <v>0.1</v>
      </c>
      <c r="I96" s="4099"/>
      <c r="J96" s="4099"/>
      <c r="K96" s="4099"/>
      <c r="L96" s="4099"/>
      <c r="M96" s="4099"/>
      <c r="N96" s="4099"/>
      <c r="O96" s="3725">
        <v>3600</v>
      </c>
      <c r="P96" s="3725">
        <v>500</v>
      </c>
      <c r="Q96" s="3725">
        <v>0.25</v>
      </c>
      <c r="R96" s="3725">
        <v>4000</v>
      </c>
      <c r="S96" s="3725">
        <v>550</v>
      </c>
      <c r="T96" s="3725">
        <v>0.1</v>
      </c>
      <c r="U96" s="4104"/>
    </row>
    <row r="97" spans="1:27" ht="18.95" customHeight="1">
      <c r="A97" s="4372" t="s">
        <v>697</v>
      </c>
      <c r="B97" s="4087" t="s">
        <v>698</v>
      </c>
      <c r="C97" s="3725">
        <v>3200</v>
      </c>
      <c r="D97" s="3725">
        <v>450</v>
      </c>
      <c r="E97" s="3725">
        <v>0.15</v>
      </c>
      <c r="F97" s="3725">
        <v>3500</v>
      </c>
      <c r="G97" s="3725">
        <v>500</v>
      </c>
      <c r="H97" s="3725">
        <v>0.1</v>
      </c>
      <c r="I97" s="4099"/>
      <c r="J97" s="4099"/>
      <c r="K97" s="4099"/>
      <c r="L97" s="4099"/>
      <c r="M97" s="4099"/>
      <c r="N97" s="4099"/>
      <c r="O97" s="3725">
        <v>4000</v>
      </c>
      <c r="P97" s="3725">
        <v>500</v>
      </c>
      <c r="Q97" s="3725">
        <v>0.2</v>
      </c>
      <c r="R97" s="3725">
        <v>4400</v>
      </c>
      <c r="S97" s="3725">
        <v>550</v>
      </c>
      <c r="T97" s="3725">
        <v>0.1</v>
      </c>
      <c r="U97" s="4104" t="s">
        <v>696</v>
      </c>
    </row>
    <row r="98" spans="1:27" ht="18.95" customHeight="1">
      <c r="A98" s="4372"/>
      <c r="B98" s="4087" t="s">
        <v>699</v>
      </c>
      <c r="C98" s="3725">
        <v>5000</v>
      </c>
      <c r="D98" s="3725">
        <v>500</v>
      </c>
      <c r="E98" s="3725">
        <v>0.18</v>
      </c>
      <c r="F98" s="3725">
        <v>5500</v>
      </c>
      <c r="G98" s="3725">
        <v>600</v>
      </c>
      <c r="H98" s="3725">
        <v>0.1</v>
      </c>
      <c r="I98" s="4099">
        <v>5000</v>
      </c>
      <c r="J98" s="4099">
        <v>400</v>
      </c>
      <c r="K98" s="4099">
        <v>0.15</v>
      </c>
      <c r="L98" s="4099">
        <v>5500</v>
      </c>
      <c r="M98" s="4099">
        <v>500</v>
      </c>
      <c r="N98" s="4099">
        <v>0.1</v>
      </c>
      <c r="O98" s="3725">
        <v>5400</v>
      </c>
      <c r="P98" s="3725">
        <v>600</v>
      </c>
      <c r="Q98" s="3725">
        <v>0.2</v>
      </c>
      <c r="R98" s="3725">
        <v>5600</v>
      </c>
      <c r="S98" s="3725">
        <v>650</v>
      </c>
      <c r="T98" s="3725">
        <v>0.1</v>
      </c>
      <c r="U98" s="4104"/>
    </row>
    <row r="99" spans="1:27" ht="18.95" customHeight="1">
      <c r="A99" s="4372"/>
      <c r="B99" s="4091" t="s">
        <v>700</v>
      </c>
      <c r="C99" s="3725">
        <v>4200</v>
      </c>
      <c r="D99" s="3725">
        <v>500</v>
      </c>
      <c r="E99" s="3725">
        <v>0.2</v>
      </c>
      <c r="F99" s="3725">
        <v>4500</v>
      </c>
      <c r="G99" s="3725">
        <v>600</v>
      </c>
      <c r="H99" s="3725">
        <v>0.1</v>
      </c>
      <c r="I99" s="4099">
        <v>4200</v>
      </c>
      <c r="J99" s="4099">
        <v>500</v>
      </c>
      <c r="K99" s="4099">
        <v>0.18</v>
      </c>
      <c r="L99" s="4099">
        <v>4400</v>
      </c>
      <c r="M99" s="4099">
        <v>550</v>
      </c>
      <c r="N99" s="4099">
        <v>0.1</v>
      </c>
      <c r="O99" s="3725">
        <v>5000</v>
      </c>
      <c r="P99" s="3725">
        <v>500</v>
      </c>
      <c r="Q99" s="3725">
        <v>0.2</v>
      </c>
      <c r="R99" s="3725">
        <v>5400</v>
      </c>
      <c r="S99" s="3725">
        <v>550</v>
      </c>
      <c r="T99" s="3725">
        <v>0.1</v>
      </c>
      <c r="U99" s="4104" t="s">
        <v>696</v>
      </c>
    </row>
    <row r="100" spans="1:27" ht="20.25" customHeight="1">
      <c r="A100" s="4388" t="s">
        <v>581</v>
      </c>
      <c r="B100" s="4388"/>
      <c r="C100" s="4388"/>
      <c r="D100" s="4388"/>
      <c r="E100" s="4388"/>
      <c r="F100" s="4388"/>
      <c r="G100" s="4388"/>
      <c r="H100" s="4388"/>
      <c r="I100" s="4388"/>
      <c r="J100" s="4388"/>
      <c r="K100" s="4388"/>
      <c r="L100" s="4388"/>
      <c r="M100" s="4388"/>
      <c r="N100" s="4388"/>
      <c r="O100" s="4388"/>
      <c r="P100" s="4388"/>
      <c r="Q100" s="4388"/>
      <c r="R100" s="4388"/>
      <c r="S100" s="4388"/>
      <c r="T100" s="4388"/>
      <c r="U100" s="4388"/>
    </row>
    <row r="101" spans="1:27" ht="20.25" customHeight="1">
      <c r="A101" s="4389" t="s">
        <v>582</v>
      </c>
      <c r="B101" s="4389"/>
      <c r="C101" s="4389"/>
      <c r="D101" s="4389"/>
      <c r="E101" s="4389"/>
      <c r="F101" s="4389"/>
      <c r="G101" s="4389"/>
      <c r="H101" s="4389"/>
      <c r="I101" s="4389"/>
      <c r="J101" s="4389"/>
      <c r="K101" s="4389"/>
      <c r="L101" s="4389"/>
      <c r="M101" s="4389"/>
      <c r="N101" s="4389"/>
      <c r="O101" s="4389"/>
      <c r="P101" s="4389"/>
      <c r="Q101" s="4389"/>
      <c r="R101" s="4389"/>
      <c r="S101" s="4389"/>
      <c r="T101" s="4389"/>
      <c r="U101" s="4389"/>
    </row>
    <row r="102" spans="1:27" ht="19.5" customHeight="1">
      <c r="A102" s="4390" t="s">
        <v>583</v>
      </c>
      <c r="B102" s="4391"/>
      <c r="C102" s="4390" t="s">
        <v>584</v>
      </c>
      <c r="D102" s="4392"/>
      <c r="E102" s="4392"/>
      <c r="F102" s="4392"/>
      <c r="G102" s="4392"/>
      <c r="H102" s="4391"/>
      <c r="I102" s="4393" t="s">
        <v>585</v>
      </c>
      <c r="J102" s="4394"/>
      <c r="K102" s="4394"/>
      <c r="L102" s="4394"/>
      <c r="M102" s="4394"/>
      <c r="N102" s="4395"/>
      <c r="O102" s="4390" t="s">
        <v>586</v>
      </c>
      <c r="P102" s="4392"/>
      <c r="Q102" s="4392"/>
      <c r="R102" s="4392"/>
      <c r="S102" s="4392"/>
      <c r="T102" s="4391"/>
      <c r="U102" s="4396" t="s">
        <v>587</v>
      </c>
      <c r="V102" s="2705"/>
      <c r="W102" s="2705"/>
      <c r="X102" s="2705"/>
      <c r="Y102" s="2705"/>
      <c r="Z102" s="2705"/>
      <c r="AA102" s="2705"/>
    </row>
    <row r="103" spans="1:27" ht="13.5" customHeight="1">
      <c r="A103" s="4369" t="s">
        <v>588</v>
      </c>
      <c r="B103" s="4369" t="s">
        <v>0</v>
      </c>
      <c r="C103" s="4380" t="s">
        <v>589</v>
      </c>
      <c r="D103" s="4381"/>
      <c r="E103" s="4382"/>
      <c r="F103" s="4380" t="s">
        <v>590</v>
      </c>
      <c r="G103" s="4381"/>
      <c r="H103" s="4382"/>
      <c r="I103" s="4385" t="s">
        <v>589</v>
      </c>
      <c r="J103" s="4386"/>
      <c r="K103" s="4387"/>
      <c r="L103" s="4385" t="s">
        <v>590</v>
      </c>
      <c r="M103" s="4386"/>
      <c r="N103" s="4387"/>
      <c r="O103" s="4380" t="s">
        <v>589</v>
      </c>
      <c r="P103" s="4381"/>
      <c r="Q103" s="4382"/>
      <c r="R103" s="4380" t="s">
        <v>590</v>
      </c>
      <c r="S103" s="4381"/>
      <c r="T103" s="4382"/>
      <c r="U103" s="4397"/>
      <c r="V103" s="2705"/>
      <c r="W103" s="2705"/>
      <c r="X103" s="2705"/>
      <c r="Y103" s="2705"/>
      <c r="Z103" s="2705"/>
      <c r="AA103" s="2705"/>
    </row>
    <row r="104" spans="1:27" ht="13.5" customHeight="1">
      <c r="A104" s="4370"/>
      <c r="B104" s="4370"/>
      <c r="C104" s="4085" t="s">
        <v>591</v>
      </c>
      <c r="D104" s="3277" t="s">
        <v>592</v>
      </c>
      <c r="E104" s="4086" t="s">
        <v>593</v>
      </c>
      <c r="F104" s="4085" t="s">
        <v>591</v>
      </c>
      <c r="G104" s="3277" t="s">
        <v>592</v>
      </c>
      <c r="H104" s="4086" t="s">
        <v>593</v>
      </c>
      <c r="I104" s="4094" t="s">
        <v>591</v>
      </c>
      <c r="J104" s="4095" t="s">
        <v>592</v>
      </c>
      <c r="K104" s="4096" t="s">
        <v>593</v>
      </c>
      <c r="L104" s="4094" t="s">
        <v>591</v>
      </c>
      <c r="M104" s="4095" t="s">
        <v>592</v>
      </c>
      <c r="N104" s="4096" t="s">
        <v>593</v>
      </c>
      <c r="O104" s="4085" t="s">
        <v>591</v>
      </c>
      <c r="P104" s="3277" t="s">
        <v>592</v>
      </c>
      <c r="Q104" s="4086" t="s">
        <v>593</v>
      </c>
      <c r="R104" s="4085" t="s">
        <v>591</v>
      </c>
      <c r="S104" s="3277" t="s">
        <v>592</v>
      </c>
      <c r="T104" s="4086" t="s">
        <v>593</v>
      </c>
      <c r="U104" s="4398"/>
      <c r="V104" s="2705"/>
      <c r="W104" s="2705"/>
      <c r="X104" s="2705"/>
      <c r="Y104" s="2705"/>
      <c r="Z104" s="2705"/>
      <c r="AA104" s="2705"/>
    </row>
    <row r="105" spans="1:27" ht="17.45" customHeight="1">
      <c r="A105" s="4371" t="s">
        <v>701</v>
      </c>
      <c r="B105" s="4087" t="s">
        <v>702</v>
      </c>
      <c r="C105" s="3725">
        <v>5400</v>
      </c>
      <c r="D105" s="3725">
        <v>350</v>
      </c>
      <c r="E105" s="3725">
        <v>0.15</v>
      </c>
      <c r="F105" s="3725">
        <v>5500</v>
      </c>
      <c r="G105" s="3725">
        <v>350</v>
      </c>
      <c r="H105" s="3725">
        <v>0.1</v>
      </c>
      <c r="I105" s="4099">
        <v>5500</v>
      </c>
      <c r="J105" s="4099">
        <v>300</v>
      </c>
      <c r="K105" s="4099">
        <v>0.1</v>
      </c>
      <c r="L105" s="4099">
        <v>5500</v>
      </c>
      <c r="M105" s="4099">
        <v>350</v>
      </c>
      <c r="N105" s="4099">
        <v>0.1</v>
      </c>
      <c r="O105" s="3725">
        <v>5600</v>
      </c>
      <c r="P105" s="3725">
        <v>450</v>
      </c>
      <c r="Q105" s="3725">
        <v>0.15</v>
      </c>
      <c r="R105" s="3725">
        <v>6000</v>
      </c>
      <c r="S105" s="3725">
        <v>450</v>
      </c>
      <c r="T105" s="3725">
        <v>0.1</v>
      </c>
      <c r="U105" s="4104" t="s">
        <v>696</v>
      </c>
    </row>
    <row r="106" spans="1:27" ht="17.45" customHeight="1">
      <c r="A106" s="4372"/>
      <c r="B106" s="4087" t="s">
        <v>703</v>
      </c>
      <c r="C106" s="3725">
        <v>5200</v>
      </c>
      <c r="D106" s="3725">
        <v>300</v>
      </c>
      <c r="E106" s="3725">
        <v>0.1</v>
      </c>
      <c r="F106" s="3725">
        <v>5300</v>
      </c>
      <c r="G106" s="3725">
        <v>350</v>
      </c>
      <c r="H106" s="3725">
        <v>0.1</v>
      </c>
      <c r="I106" s="4099"/>
      <c r="J106" s="4099"/>
      <c r="K106" s="4099"/>
      <c r="L106" s="4099"/>
      <c r="M106" s="4099"/>
      <c r="N106" s="4099"/>
      <c r="O106" s="3725">
        <v>4800</v>
      </c>
      <c r="P106" s="3725">
        <v>450</v>
      </c>
      <c r="Q106" s="3725">
        <v>0.15</v>
      </c>
      <c r="R106" s="3725">
        <v>5000</v>
      </c>
      <c r="S106" s="3725">
        <v>500</v>
      </c>
      <c r="T106" s="3725">
        <v>0.1</v>
      </c>
      <c r="U106" s="4104" t="s">
        <v>696</v>
      </c>
    </row>
    <row r="107" spans="1:27" ht="17.45" customHeight="1">
      <c r="A107" s="4372"/>
      <c r="B107" s="3940" t="s">
        <v>671</v>
      </c>
      <c r="C107" s="3725">
        <v>4800</v>
      </c>
      <c r="D107" s="3725">
        <v>350</v>
      </c>
      <c r="E107" s="3725">
        <v>0.1</v>
      </c>
      <c r="F107" s="3725">
        <v>5000</v>
      </c>
      <c r="G107" s="3725">
        <v>350</v>
      </c>
      <c r="H107" s="3725">
        <v>0.1</v>
      </c>
      <c r="I107" s="4099">
        <v>4800</v>
      </c>
      <c r="J107" s="4099">
        <v>400</v>
      </c>
      <c r="K107" s="4099">
        <v>0.1</v>
      </c>
      <c r="L107" s="4099">
        <v>5000</v>
      </c>
      <c r="M107" s="4099">
        <v>450</v>
      </c>
      <c r="N107" s="4099">
        <v>0.1</v>
      </c>
      <c r="O107" s="3725">
        <v>5500</v>
      </c>
      <c r="P107" s="3725">
        <v>400</v>
      </c>
      <c r="Q107" s="3725">
        <v>0.15</v>
      </c>
      <c r="R107" s="3725">
        <v>5600</v>
      </c>
      <c r="S107" s="3725">
        <v>500</v>
      </c>
      <c r="T107" s="3725">
        <v>0.1</v>
      </c>
      <c r="U107" s="4104" t="s">
        <v>696</v>
      </c>
    </row>
    <row r="108" spans="1:27" ht="17.45" customHeight="1">
      <c r="A108" s="4372" t="s">
        <v>704</v>
      </c>
      <c r="B108" s="3940" t="s">
        <v>687</v>
      </c>
      <c r="C108" s="3725">
        <v>4200</v>
      </c>
      <c r="D108" s="3725">
        <v>300</v>
      </c>
      <c r="E108" s="3725">
        <v>0.1</v>
      </c>
      <c r="F108" s="3725">
        <v>4500</v>
      </c>
      <c r="G108" s="3725">
        <v>250</v>
      </c>
      <c r="H108" s="3725">
        <v>0.08</v>
      </c>
      <c r="I108" s="4099"/>
      <c r="J108" s="4099"/>
      <c r="K108" s="4099"/>
      <c r="L108" s="4099"/>
      <c r="M108" s="4099"/>
      <c r="N108" s="4099"/>
      <c r="O108" s="3725">
        <v>5000</v>
      </c>
      <c r="P108" s="3725">
        <v>400</v>
      </c>
      <c r="Q108" s="3725">
        <v>0.1</v>
      </c>
      <c r="R108" s="3725">
        <v>5400</v>
      </c>
      <c r="S108" s="3725">
        <v>450</v>
      </c>
      <c r="T108" s="3725">
        <v>0.08</v>
      </c>
      <c r="U108" s="4104" t="s">
        <v>696</v>
      </c>
    </row>
    <row r="109" spans="1:27" ht="17.45" customHeight="1">
      <c r="A109" s="4372"/>
      <c r="B109" s="4091" t="s">
        <v>671</v>
      </c>
      <c r="C109" s="3725">
        <v>5200</v>
      </c>
      <c r="D109" s="3725">
        <v>300</v>
      </c>
      <c r="E109" s="3725">
        <v>0.1</v>
      </c>
      <c r="F109" s="3725">
        <v>5500</v>
      </c>
      <c r="G109" s="3725">
        <v>350</v>
      </c>
      <c r="H109" s="3725">
        <v>0.08</v>
      </c>
      <c r="I109" s="4099">
        <v>5500</v>
      </c>
      <c r="J109" s="4099">
        <v>350</v>
      </c>
      <c r="K109" s="4099">
        <v>0.1</v>
      </c>
      <c r="L109" s="4099">
        <v>5600</v>
      </c>
      <c r="M109" s="4099">
        <v>350</v>
      </c>
      <c r="N109" s="4099">
        <v>0.06</v>
      </c>
      <c r="O109" s="3725">
        <v>5800</v>
      </c>
      <c r="P109" s="3725">
        <v>300</v>
      </c>
      <c r="Q109" s="3725">
        <v>0.1</v>
      </c>
      <c r="R109" s="3725">
        <v>6000</v>
      </c>
      <c r="S109" s="3725">
        <v>400</v>
      </c>
      <c r="T109" s="3725">
        <v>0.08</v>
      </c>
      <c r="U109" s="4104" t="s">
        <v>696</v>
      </c>
    </row>
    <row r="110" spans="1:27" ht="17.45" customHeight="1">
      <c r="A110" s="4372"/>
      <c r="B110" s="3940" t="s">
        <v>705</v>
      </c>
      <c r="C110" s="3725">
        <v>5500</v>
      </c>
      <c r="D110" s="3725">
        <v>300</v>
      </c>
      <c r="E110" s="3725">
        <v>0.1</v>
      </c>
      <c r="F110" s="3725">
        <v>5600</v>
      </c>
      <c r="G110" s="3725">
        <v>300</v>
      </c>
      <c r="H110" s="3725">
        <v>0.06</v>
      </c>
      <c r="I110" s="4099"/>
      <c r="J110" s="4099"/>
      <c r="K110" s="4099"/>
      <c r="L110" s="4099"/>
      <c r="M110" s="4099"/>
      <c r="N110" s="4099"/>
      <c r="O110" s="3725">
        <v>5000</v>
      </c>
      <c r="P110" s="3725">
        <v>350</v>
      </c>
      <c r="Q110" s="3725">
        <v>0.1</v>
      </c>
      <c r="R110" s="3725">
        <v>5000</v>
      </c>
      <c r="S110" s="3725">
        <v>400</v>
      </c>
      <c r="T110" s="3725">
        <v>0.08</v>
      </c>
      <c r="U110" s="4104" t="s">
        <v>696</v>
      </c>
    </row>
    <row r="111" spans="1:27" ht="17.45" customHeight="1">
      <c r="A111" s="4372"/>
      <c r="B111" s="3940" t="s">
        <v>706</v>
      </c>
      <c r="C111" s="3725">
        <v>6000</v>
      </c>
      <c r="D111" s="3725">
        <v>300</v>
      </c>
      <c r="E111" s="3725">
        <v>0.1</v>
      </c>
      <c r="F111" s="3725">
        <v>6000</v>
      </c>
      <c r="G111" s="3725">
        <v>300</v>
      </c>
      <c r="H111" s="3725">
        <v>0.06</v>
      </c>
      <c r="I111" s="4099">
        <v>5800</v>
      </c>
      <c r="J111" s="4099">
        <v>250</v>
      </c>
      <c r="K111" s="4099">
        <v>0.1</v>
      </c>
      <c r="L111" s="4099">
        <v>5800</v>
      </c>
      <c r="M111" s="4099">
        <v>350</v>
      </c>
      <c r="N111" s="4099">
        <v>0.06</v>
      </c>
      <c r="O111" s="3725">
        <v>6000</v>
      </c>
      <c r="P111" s="3725">
        <v>400</v>
      </c>
      <c r="Q111" s="3725">
        <v>0.1</v>
      </c>
      <c r="R111" s="3725">
        <v>6000</v>
      </c>
      <c r="S111" s="3725">
        <v>450</v>
      </c>
      <c r="T111" s="3725">
        <v>0.08</v>
      </c>
      <c r="U111" s="4104" t="s">
        <v>696</v>
      </c>
    </row>
    <row r="112" spans="1:27" ht="17.45" customHeight="1">
      <c r="A112" s="4083" t="s">
        <v>707</v>
      </c>
      <c r="B112" s="3940" t="s">
        <v>708</v>
      </c>
      <c r="C112" s="3725">
        <v>4500</v>
      </c>
      <c r="D112" s="3725">
        <v>1500</v>
      </c>
      <c r="E112" s="3725">
        <v>0.4</v>
      </c>
      <c r="F112" s="3725">
        <v>4500</v>
      </c>
      <c r="G112" s="3725">
        <v>1800</v>
      </c>
      <c r="H112" s="3725">
        <v>0.12</v>
      </c>
      <c r="I112" s="4099">
        <v>4500</v>
      </c>
      <c r="J112" s="4099">
        <v>1500</v>
      </c>
      <c r="K112" s="4099">
        <v>0.35</v>
      </c>
      <c r="L112" s="4099">
        <v>5000</v>
      </c>
      <c r="M112" s="4099">
        <v>1800</v>
      </c>
      <c r="N112" s="4099">
        <v>0.12</v>
      </c>
      <c r="O112" s="3725">
        <v>4500</v>
      </c>
      <c r="P112" s="3725">
        <v>1600</v>
      </c>
      <c r="Q112" s="3725">
        <v>1.2</v>
      </c>
      <c r="R112" s="3725">
        <v>5000</v>
      </c>
      <c r="S112" s="3725">
        <v>1800</v>
      </c>
      <c r="T112" s="3725">
        <v>0.12</v>
      </c>
      <c r="U112" s="4104"/>
    </row>
    <row r="113" spans="1:21" ht="17.45" customHeight="1">
      <c r="A113" s="4083" t="s">
        <v>709</v>
      </c>
      <c r="B113" s="3940" t="s">
        <v>708</v>
      </c>
      <c r="C113" s="3725">
        <v>5000</v>
      </c>
      <c r="D113" s="3725">
        <v>1500</v>
      </c>
      <c r="E113" s="3725">
        <v>0.4</v>
      </c>
      <c r="F113" s="3725">
        <v>5000</v>
      </c>
      <c r="G113" s="3725">
        <v>1800</v>
      </c>
      <c r="H113" s="3725">
        <v>0.12</v>
      </c>
      <c r="I113" s="4099">
        <v>5000</v>
      </c>
      <c r="J113" s="4099">
        <v>1400</v>
      </c>
      <c r="K113" s="4099">
        <v>0.35</v>
      </c>
      <c r="L113" s="4099">
        <v>5000</v>
      </c>
      <c r="M113" s="4099">
        <v>1800</v>
      </c>
      <c r="N113" s="4099">
        <v>0.12</v>
      </c>
      <c r="O113" s="3725">
        <v>4600</v>
      </c>
      <c r="P113" s="3725">
        <v>1600</v>
      </c>
      <c r="Q113" s="3725">
        <v>1</v>
      </c>
      <c r="R113" s="3725">
        <v>5400</v>
      </c>
      <c r="S113" s="3725">
        <v>1800</v>
      </c>
      <c r="T113" s="3725">
        <v>0.12</v>
      </c>
      <c r="U113" s="4104"/>
    </row>
    <row r="114" spans="1:21" ht="17.45" customHeight="1">
      <c r="A114" s="4083" t="s">
        <v>710</v>
      </c>
      <c r="B114" s="3940" t="s">
        <v>708</v>
      </c>
      <c r="C114" s="3725">
        <v>5500</v>
      </c>
      <c r="D114" s="3725">
        <v>1400</v>
      </c>
      <c r="E114" s="3725">
        <v>0.3</v>
      </c>
      <c r="F114" s="3725">
        <v>5500</v>
      </c>
      <c r="G114" s="3725">
        <v>1500</v>
      </c>
      <c r="H114" s="3725">
        <v>0.1</v>
      </c>
      <c r="I114" s="4099">
        <v>5400</v>
      </c>
      <c r="J114" s="4099">
        <v>1300</v>
      </c>
      <c r="K114" s="4099">
        <v>0.3</v>
      </c>
      <c r="L114" s="4099">
        <v>5500</v>
      </c>
      <c r="M114" s="4099">
        <v>1600</v>
      </c>
      <c r="N114" s="4099">
        <v>0.1</v>
      </c>
      <c r="O114" s="3725">
        <v>5000</v>
      </c>
      <c r="P114" s="3725">
        <v>1500</v>
      </c>
      <c r="Q114" s="3725">
        <v>0.8</v>
      </c>
      <c r="R114" s="3725">
        <v>5500</v>
      </c>
      <c r="S114" s="3725">
        <v>1650</v>
      </c>
      <c r="T114" s="3725">
        <v>0.1</v>
      </c>
      <c r="U114" s="4104"/>
    </row>
    <row r="115" spans="1:21" ht="17.45" customHeight="1">
      <c r="A115" s="4083" t="s">
        <v>711</v>
      </c>
      <c r="B115" s="3940" t="s">
        <v>708</v>
      </c>
      <c r="C115" s="3725">
        <v>5500</v>
      </c>
      <c r="D115" s="3725">
        <v>1400</v>
      </c>
      <c r="E115" s="3725">
        <v>0.3</v>
      </c>
      <c r="F115" s="3725">
        <v>5500</v>
      </c>
      <c r="G115" s="3725">
        <v>1500</v>
      </c>
      <c r="H115" s="3725">
        <v>0.12</v>
      </c>
      <c r="I115" s="4099">
        <v>5400</v>
      </c>
      <c r="J115" s="4099">
        <v>1300</v>
      </c>
      <c r="K115" s="4099">
        <v>0.3</v>
      </c>
      <c r="L115" s="4099">
        <v>5500</v>
      </c>
      <c r="M115" s="4099">
        <v>1600</v>
      </c>
      <c r="N115" s="4099">
        <v>0.12</v>
      </c>
      <c r="O115" s="3725">
        <v>5000</v>
      </c>
      <c r="P115" s="3725">
        <v>1500</v>
      </c>
      <c r="Q115" s="3725">
        <v>0.8</v>
      </c>
      <c r="R115" s="3725">
        <v>5500</v>
      </c>
      <c r="S115" s="3725">
        <v>1650</v>
      </c>
      <c r="T115" s="3725">
        <v>0.12</v>
      </c>
      <c r="U115" s="4104"/>
    </row>
    <row r="116" spans="1:21" ht="17.45" customHeight="1">
      <c r="A116" s="4083" t="s">
        <v>712</v>
      </c>
      <c r="B116" s="3940" t="s">
        <v>708</v>
      </c>
      <c r="C116" s="3725">
        <v>5500</v>
      </c>
      <c r="D116" s="3725">
        <v>1300</v>
      </c>
      <c r="E116" s="3725">
        <v>0.25</v>
      </c>
      <c r="F116" s="3725">
        <v>6000</v>
      </c>
      <c r="G116" s="3725">
        <v>1500</v>
      </c>
      <c r="H116" s="3725">
        <v>0.1</v>
      </c>
      <c r="I116" s="4099">
        <v>5600</v>
      </c>
      <c r="J116" s="4099">
        <v>1200</v>
      </c>
      <c r="K116" s="4099">
        <v>0.25</v>
      </c>
      <c r="L116" s="4099">
        <v>6000</v>
      </c>
      <c r="M116" s="4099">
        <v>1500</v>
      </c>
      <c r="N116" s="4099">
        <v>0.1</v>
      </c>
      <c r="O116" s="3725">
        <v>5500</v>
      </c>
      <c r="P116" s="3725">
        <v>1500</v>
      </c>
      <c r="Q116" s="3725">
        <v>0.5</v>
      </c>
      <c r="R116" s="3725">
        <v>6000</v>
      </c>
      <c r="S116" s="3725">
        <v>1650</v>
      </c>
      <c r="T116" s="3725">
        <v>0.1</v>
      </c>
      <c r="U116" s="4104"/>
    </row>
    <row r="117" spans="1:21" s="2700" customFormat="1" ht="21.6" customHeight="1">
      <c r="A117" s="4107"/>
      <c r="B117" s="4108"/>
      <c r="C117" s="4383" t="s">
        <v>713</v>
      </c>
      <c r="D117" s="4384"/>
      <c r="E117" s="4384"/>
      <c r="F117" s="4384"/>
      <c r="G117" s="4384"/>
      <c r="H117" s="4384"/>
      <c r="I117" s="4384"/>
      <c r="J117" s="4384"/>
      <c r="K117" s="4384"/>
      <c r="L117" s="4384"/>
      <c r="M117" s="4384"/>
      <c r="N117" s="4384"/>
      <c r="O117" s="4384"/>
      <c r="P117" s="4384"/>
      <c r="Q117" s="4384"/>
      <c r="R117" s="4384"/>
      <c r="S117" s="4384"/>
      <c r="T117" s="4384"/>
      <c r="U117" s="4109"/>
    </row>
    <row r="118" spans="1:21" ht="21.6" customHeight="1">
      <c r="A118" s="4090"/>
      <c r="B118" s="4084"/>
      <c r="C118" s="4374" t="s">
        <v>714</v>
      </c>
      <c r="D118" s="4375"/>
      <c r="E118" s="4375"/>
      <c r="F118" s="4375"/>
      <c r="G118" s="4375"/>
      <c r="H118" s="4375"/>
      <c r="I118" s="4375"/>
      <c r="J118" s="4375"/>
      <c r="K118" s="4375"/>
      <c r="L118" s="4375"/>
      <c r="M118" s="4375"/>
      <c r="N118" s="4375"/>
      <c r="O118" s="4375"/>
      <c r="P118" s="4375"/>
      <c r="Q118" s="4375"/>
      <c r="R118" s="4375"/>
      <c r="S118" s="4375"/>
      <c r="T118" s="4375"/>
      <c r="U118" s="4110"/>
    </row>
    <row r="119" spans="1:21" ht="21.6" customHeight="1">
      <c r="A119" s="4090"/>
      <c r="B119" s="4084"/>
      <c r="C119" s="4374" t="s">
        <v>715</v>
      </c>
      <c r="D119" s="4375"/>
      <c r="E119" s="4375"/>
      <c r="F119" s="4375"/>
      <c r="G119" s="4375"/>
      <c r="H119" s="4375"/>
      <c r="I119" s="4375"/>
      <c r="J119" s="4375"/>
      <c r="K119" s="4375"/>
      <c r="L119" s="4375"/>
      <c r="M119" s="4375"/>
      <c r="N119" s="4375"/>
      <c r="O119" s="4375"/>
      <c r="P119" s="4375"/>
      <c r="Q119" s="4375"/>
      <c r="R119" s="4375"/>
      <c r="S119" s="4375"/>
      <c r="T119" s="4375"/>
      <c r="U119" s="4110"/>
    </row>
    <row r="120" spans="1:21" ht="21.6" customHeight="1">
      <c r="A120" s="4083"/>
      <c r="B120" s="3940"/>
      <c r="C120" s="4374" t="s">
        <v>716</v>
      </c>
      <c r="D120" s="4375"/>
      <c r="E120" s="4375"/>
      <c r="F120" s="4375"/>
      <c r="G120" s="4375"/>
      <c r="H120" s="4375"/>
      <c r="I120" s="4375"/>
      <c r="J120" s="4375"/>
      <c r="K120" s="4375"/>
      <c r="L120" s="4375"/>
      <c r="M120" s="4375"/>
      <c r="N120" s="4375"/>
      <c r="O120" s="4375"/>
      <c r="P120" s="4375"/>
      <c r="Q120" s="4375"/>
      <c r="R120" s="4375"/>
      <c r="S120" s="4375"/>
      <c r="T120" s="4375"/>
      <c r="U120" s="3725"/>
    </row>
    <row r="121" spans="1:21" ht="21.6" customHeight="1">
      <c r="A121" s="4083"/>
      <c r="B121" s="3940"/>
      <c r="C121" s="4374" t="s">
        <v>717</v>
      </c>
      <c r="D121" s="4375"/>
      <c r="E121" s="4375"/>
      <c r="F121" s="4375"/>
      <c r="G121" s="4375"/>
      <c r="H121" s="4375"/>
      <c r="I121" s="4375"/>
      <c r="J121" s="4375"/>
      <c r="K121" s="4375"/>
      <c r="L121" s="4375"/>
      <c r="M121" s="4375"/>
      <c r="N121" s="4375"/>
      <c r="O121" s="4375"/>
      <c r="P121" s="4375"/>
      <c r="Q121" s="4375"/>
      <c r="R121" s="4375"/>
      <c r="S121" s="4375"/>
      <c r="T121" s="4375"/>
      <c r="U121" s="3725"/>
    </row>
    <row r="122" spans="1:21" ht="21.6" customHeight="1">
      <c r="A122" s="4083"/>
      <c r="B122" s="3940"/>
      <c r="C122" s="4374" t="s">
        <v>718</v>
      </c>
      <c r="D122" s="4375"/>
      <c r="E122" s="4375"/>
      <c r="F122" s="4375"/>
      <c r="G122" s="4375"/>
      <c r="H122" s="4375"/>
      <c r="I122" s="4375"/>
      <c r="J122" s="4375"/>
      <c r="K122" s="4375"/>
      <c r="L122" s="4375"/>
      <c r="M122" s="4375"/>
      <c r="N122" s="4375"/>
      <c r="O122" s="4375"/>
      <c r="P122" s="4375"/>
      <c r="Q122" s="4375"/>
      <c r="R122" s="4375"/>
      <c r="S122" s="4375"/>
      <c r="T122" s="4375"/>
      <c r="U122" s="3725"/>
    </row>
    <row r="123" spans="1:21" ht="21.6" customHeight="1">
      <c r="A123" s="4083"/>
      <c r="B123" s="3940"/>
      <c r="C123" s="4374" t="s">
        <v>719</v>
      </c>
      <c r="D123" s="4375"/>
      <c r="E123" s="4375"/>
      <c r="F123" s="4375"/>
      <c r="G123" s="4375"/>
      <c r="H123" s="4375"/>
      <c r="I123" s="4375"/>
      <c r="J123" s="4375"/>
      <c r="K123" s="4375"/>
      <c r="L123" s="4375"/>
      <c r="M123" s="4375"/>
      <c r="N123" s="4375"/>
      <c r="O123" s="4375"/>
      <c r="P123" s="4375"/>
      <c r="Q123" s="4375"/>
      <c r="R123" s="4375"/>
      <c r="S123" s="4375"/>
      <c r="T123" s="4375"/>
      <c r="U123" s="3725"/>
    </row>
    <row r="124" spans="1:21" ht="21.6" customHeight="1">
      <c r="A124" s="4083"/>
      <c r="B124" s="3940"/>
      <c r="C124" s="4374" t="s">
        <v>720</v>
      </c>
      <c r="D124" s="4375"/>
      <c r="E124" s="4375"/>
      <c r="F124" s="4375"/>
      <c r="G124" s="4375"/>
      <c r="H124" s="4375"/>
      <c r="I124" s="4375"/>
      <c r="J124" s="4375"/>
      <c r="K124" s="4375"/>
      <c r="L124" s="4375"/>
      <c r="M124" s="4375"/>
      <c r="N124" s="4375"/>
      <c r="O124" s="4375"/>
      <c r="P124" s="4375"/>
      <c r="Q124" s="4375"/>
      <c r="R124" s="4375"/>
      <c r="S124" s="4375"/>
      <c r="T124" s="4375"/>
      <c r="U124" s="3725"/>
    </row>
    <row r="125" spans="1:21" ht="21.6" customHeight="1">
      <c r="A125" s="4083"/>
      <c r="B125" s="3940"/>
      <c r="C125" s="4374" t="s">
        <v>721</v>
      </c>
      <c r="D125" s="4375"/>
      <c r="E125" s="4375"/>
      <c r="F125" s="4375"/>
      <c r="G125" s="4375"/>
      <c r="H125" s="4375"/>
      <c r="I125" s="4375"/>
      <c r="J125" s="4375"/>
      <c r="K125" s="4375"/>
      <c r="L125" s="4375"/>
      <c r="M125" s="4375"/>
      <c r="N125" s="4375"/>
      <c r="O125" s="4375"/>
      <c r="P125" s="4375"/>
      <c r="Q125" s="4375"/>
      <c r="R125" s="4375"/>
      <c r="S125" s="4375"/>
      <c r="T125" s="4375"/>
      <c r="U125" s="3725"/>
    </row>
    <row r="126" spans="1:21" ht="21.6" customHeight="1">
      <c r="A126" s="4083"/>
      <c r="B126" s="3940"/>
      <c r="C126" s="4374" t="s">
        <v>722</v>
      </c>
      <c r="D126" s="4375"/>
      <c r="E126" s="4375"/>
      <c r="F126" s="4375"/>
      <c r="G126" s="4375"/>
      <c r="H126" s="4375"/>
      <c r="I126" s="4375"/>
      <c r="J126" s="4375"/>
      <c r="K126" s="4375"/>
      <c r="L126" s="4375"/>
      <c r="M126" s="4375"/>
      <c r="N126" s="4375"/>
      <c r="O126" s="4375"/>
      <c r="P126" s="4375"/>
      <c r="Q126" s="4375"/>
      <c r="R126" s="4375"/>
      <c r="S126" s="4375"/>
      <c r="T126" s="4375"/>
      <c r="U126" s="3725"/>
    </row>
    <row r="127" spans="1:21" ht="21.6" customHeight="1">
      <c r="A127" s="4083"/>
      <c r="B127" s="3940"/>
      <c r="C127" s="4374" t="s">
        <v>723</v>
      </c>
      <c r="D127" s="4375"/>
      <c r="E127" s="4375"/>
      <c r="F127" s="4375"/>
      <c r="G127" s="4375"/>
      <c r="H127" s="4375"/>
      <c r="I127" s="4375"/>
      <c r="J127" s="4375"/>
      <c r="K127" s="4375"/>
      <c r="L127" s="4375"/>
      <c r="M127" s="4375"/>
      <c r="N127" s="4375"/>
      <c r="O127" s="4375"/>
      <c r="P127" s="4375"/>
      <c r="Q127" s="4375"/>
      <c r="R127" s="4375"/>
      <c r="S127" s="4375"/>
      <c r="T127" s="4375"/>
      <c r="U127" s="3725"/>
    </row>
    <row r="128" spans="1:21" ht="21.6" customHeight="1">
      <c r="A128" s="4083"/>
      <c r="B128" s="3940"/>
      <c r="C128" s="4374" t="s">
        <v>724</v>
      </c>
      <c r="D128" s="4375"/>
      <c r="E128" s="4375"/>
      <c r="F128" s="4375"/>
      <c r="G128" s="4375"/>
      <c r="H128" s="4375"/>
      <c r="I128" s="4375"/>
      <c r="J128" s="4375"/>
      <c r="K128" s="4375"/>
      <c r="L128" s="4375"/>
      <c r="M128" s="4375"/>
      <c r="N128" s="4375"/>
      <c r="O128" s="4375"/>
      <c r="P128" s="4375"/>
      <c r="Q128" s="4375"/>
      <c r="R128" s="4375"/>
      <c r="S128" s="4375"/>
      <c r="T128" s="4375"/>
      <c r="U128" s="3725"/>
    </row>
    <row r="129" spans="3:21" ht="18.75">
      <c r="C129" s="4111"/>
      <c r="D129" s="4111"/>
      <c r="E129" s="4111"/>
      <c r="F129" s="4111"/>
      <c r="G129" s="4111"/>
      <c r="H129" s="4111"/>
      <c r="I129" s="4111"/>
      <c r="J129" s="4111"/>
      <c r="K129" s="4111"/>
      <c r="L129" s="4111"/>
      <c r="M129" s="4111"/>
      <c r="N129" s="4111"/>
      <c r="O129" s="4111"/>
      <c r="P129" s="4111"/>
      <c r="Q129" s="4111"/>
      <c r="R129" s="4111"/>
      <c r="S129" s="4111"/>
      <c r="T129" s="4111"/>
      <c r="U129" s="4112"/>
    </row>
  </sheetData>
  <mergeCells count="89">
    <mergeCell ref="A1:U1"/>
    <mergeCell ref="A2:U2"/>
    <mergeCell ref="A3:B3"/>
    <mergeCell ref="C3:H3"/>
    <mergeCell ref="I3:N3"/>
    <mergeCell ref="O3:T3"/>
    <mergeCell ref="R4:T4"/>
    <mergeCell ref="A37:U37"/>
    <mergeCell ref="A38:U38"/>
    <mergeCell ref="A39:B39"/>
    <mergeCell ref="C39:H39"/>
    <mergeCell ref="I39:N39"/>
    <mergeCell ref="O39:T39"/>
    <mergeCell ref="U3:U5"/>
    <mergeCell ref="C4:E4"/>
    <mergeCell ref="F4:H4"/>
    <mergeCell ref="I4:K4"/>
    <mergeCell ref="L4:N4"/>
    <mergeCell ref="O4:Q4"/>
    <mergeCell ref="I74:K74"/>
    <mergeCell ref="L74:N74"/>
    <mergeCell ref="O74:Q74"/>
    <mergeCell ref="R40:T40"/>
    <mergeCell ref="A71:U71"/>
    <mergeCell ref="A72:U72"/>
    <mergeCell ref="A73:B73"/>
    <mergeCell ref="C73:H73"/>
    <mergeCell ref="I73:N73"/>
    <mergeCell ref="O73:T73"/>
    <mergeCell ref="U39:U41"/>
    <mergeCell ref="C40:E40"/>
    <mergeCell ref="F40:H40"/>
    <mergeCell ref="I40:K40"/>
    <mergeCell ref="L40:N40"/>
    <mergeCell ref="O40:Q40"/>
    <mergeCell ref="R74:T74"/>
    <mergeCell ref="A100:U100"/>
    <mergeCell ref="A101:U101"/>
    <mergeCell ref="A102:B102"/>
    <mergeCell ref="C102:H102"/>
    <mergeCell ref="I102:N102"/>
    <mergeCell ref="O102:T102"/>
    <mergeCell ref="A82:A85"/>
    <mergeCell ref="A86:A89"/>
    <mergeCell ref="A90:A93"/>
    <mergeCell ref="A94:A96"/>
    <mergeCell ref="A97:A99"/>
    <mergeCell ref="U73:U75"/>
    <mergeCell ref="U102:U104"/>
    <mergeCell ref="C74:E74"/>
    <mergeCell ref="F74:H74"/>
    <mergeCell ref="R103:T103"/>
    <mergeCell ref="C117:T117"/>
    <mergeCell ref="C118:T118"/>
    <mergeCell ref="C119:T119"/>
    <mergeCell ref="C120:T120"/>
    <mergeCell ref="C103:E103"/>
    <mergeCell ref="F103:H103"/>
    <mergeCell ref="I103:K103"/>
    <mergeCell ref="L103:N103"/>
    <mergeCell ref="O103:Q103"/>
    <mergeCell ref="C121:T121"/>
    <mergeCell ref="C122:T122"/>
    <mergeCell ref="C123:T123"/>
    <mergeCell ref="C124:T124"/>
    <mergeCell ref="C125:T125"/>
    <mergeCell ref="C126:T126"/>
    <mergeCell ref="C127:T127"/>
    <mergeCell ref="C128:T128"/>
    <mergeCell ref="A4:A5"/>
    <mergeCell ref="A6:A19"/>
    <mergeCell ref="A20:A27"/>
    <mergeCell ref="A28:A34"/>
    <mergeCell ref="A35:A36"/>
    <mergeCell ref="A40:A41"/>
    <mergeCell ref="A42:A43"/>
    <mergeCell ref="A46:A48"/>
    <mergeCell ref="A49:A54"/>
    <mergeCell ref="A55:A64"/>
    <mergeCell ref="A65:A70"/>
    <mergeCell ref="A74:A75"/>
    <mergeCell ref="A76:A81"/>
    <mergeCell ref="A103:A104"/>
    <mergeCell ref="A105:A107"/>
    <mergeCell ref="A108:A111"/>
    <mergeCell ref="B4:B5"/>
    <mergeCell ref="B40:B41"/>
    <mergeCell ref="B74:B75"/>
    <mergeCell ref="B103:B104"/>
  </mergeCells>
  <phoneticPr fontId="214" type="noConversion"/>
  <pageMargins left="0" right="0.28999999999999998" top="0" bottom="0" header="0" footer="0"/>
  <pageSetup paperSize="9" orientation="landscape" horizontalDpi="180" verticalDpi="18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WVQ78"/>
  <sheetViews>
    <sheetView workbookViewId="0">
      <selection activeCell="O14" sqref="O14"/>
    </sheetView>
  </sheetViews>
  <sheetFormatPr defaultColWidth="9" defaultRowHeight="14.25"/>
  <cols>
    <col min="1" max="1" width="8.5" style="1371" customWidth="1"/>
    <col min="2" max="2" width="11.5" style="1371" customWidth="1"/>
    <col min="3" max="3" width="14.5" style="1371" customWidth="1"/>
    <col min="4" max="4" width="17.75" style="1371" customWidth="1"/>
    <col min="5" max="5" width="35.625" style="1371" customWidth="1"/>
    <col min="6" max="6" width="35.5" style="1371" customWidth="1"/>
    <col min="7" max="7" width="0.5" style="4060" hidden="1" customWidth="1"/>
    <col min="8" max="8" width="0.75" style="1371" hidden="1" customWidth="1"/>
    <col min="9" max="9" width="9" style="1371" hidden="1" customWidth="1"/>
    <col min="10" max="10" width="9.375" style="1371" customWidth="1"/>
    <col min="11" max="11" width="9" style="1371"/>
    <col min="12" max="13" width="15.125" style="1371" customWidth="1"/>
    <col min="14" max="14" width="26.5" style="1371" customWidth="1"/>
    <col min="15" max="15" width="16.125" style="1371" customWidth="1"/>
    <col min="16" max="16" width="14.375" style="1371" customWidth="1"/>
    <col min="17" max="256" width="9" style="1371"/>
    <col min="257" max="257" width="8.5" style="1371" customWidth="1"/>
    <col min="258" max="258" width="11.5" style="1371" customWidth="1"/>
    <col min="259" max="259" width="14.5" style="1371" customWidth="1"/>
    <col min="260" max="260" width="17.75" style="1371" customWidth="1"/>
    <col min="261" max="261" width="35.625" style="1371" customWidth="1"/>
    <col min="262" max="262" width="35.5" style="1371" customWidth="1"/>
    <col min="263" max="265" width="9" style="1371" hidden="1" customWidth="1"/>
    <col min="266" max="266" width="9.375" style="1371" customWidth="1"/>
    <col min="267" max="267" width="9" style="1371"/>
    <col min="268" max="269" width="15.125" style="1371" customWidth="1"/>
    <col min="270" max="270" width="26.5" style="1371" customWidth="1"/>
    <col min="271" max="271" width="16.125" style="1371" customWidth="1"/>
    <col min="272" max="272" width="14.375" style="1371" customWidth="1"/>
    <col min="273" max="512" width="9" style="1371"/>
    <col min="513" max="513" width="8.5" style="1371" customWidth="1"/>
    <col min="514" max="514" width="11.5" style="1371" customWidth="1"/>
    <col min="515" max="515" width="14.5" style="1371" customWidth="1"/>
    <col min="516" max="516" width="17.75" style="1371" customWidth="1"/>
    <col min="517" max="517" width="35.625" style="1371" customWidth="1"/>
    <col min="518" max="518" width="35.5" style="1371" customWidth="1"/>
    <col min="519" max="521" width="9" style="1371" hidden="1" customWidth="1"/>
    <col min="522" max="522" width="9.375" style="1371" customWidth="1"/>
    <col min="523" max="523" width="9" style="1371"/>
    <col min="524" max="525" width="15.125" style="1371" customWidth="1"/>
    <col min="526" max="526" width="26.5" style="1371" customWidth="1"/>
    <col min="527" max="527" width="16.125" style="1371" customWidth="1"/>
    <col min="528" max="528" width="14.375" style="1371" customWidth="1"/>
    <col min="529" max="768" width="9" style="1371"/>
    <col min="769" max="769" width="8.5" style="1371" customWidth="1"/>
    <col min="770" max="770" width="11.5" style="1371" customWidth="1"/>
    <col min="771" max="771" width="14.5" style="1371" customWidth="1"/>
    <col min="772" max="772" width="17.75" style="1371" customWidth="1"/>
    <col min="773" max="773" width="35.625" style="1371" customWidth="1"/>
    <col min="774" max="774" width="35.5" style="1371" customWidth="1"/>
    <col min="775" max="777" width="9" style="1371" hidden="1" customWidth="1"/>
    <col min="778" max="778" width="9.375" style="1371" customWidth="1"/>
    <col min="779" max="779" width="9" style="1371"/>
    <col min="780" max="781" width="15.125" style="1371" customWidth="1"/>
    <col min="782" max="782" width="26.5" style="1371" customWidth="1"/>
    <col min="783" max="783" width="16.125" style="1371" customWidth="1"/>
    <col min="784" max="784" width="14.375" style="1371" customWidth="1"/>
    <col min="785" max="1024" width="9" style="1371"/>
    <col min="1025" max="1025" width="8.5" style="1371" customWidth="1"/>
    <col min="1026" max="1026" width="11.5" style="1371" customWidth="1"/>
    <col min="1027" max="1027" width="14.5" style="1371" customWidth="1"/>
    <col min="1028" max="1028" width="17.75" style="1371" customWidth="1"/>
    <col min="1029" max="1029" width="35.625" style="1371" customWidth="1"/>
    <col min="1030" max="1030" width="35.5" style="1371" customWidth="1"/>
    <col min="1031" max="1033" width="9" style="1371" hidden="1" customWidth="1"/>
    <col min="1034" max="1034" width="9.375" style="1371" customWidth="1"/>
    <col min="1035" max="1035" width="9" style="1371"/>
    <col min="1036" max="1037" width="15.125" style="1371" customWidth="1"/>
    <col min="1038" max="1038" width="26.5" style="1371" customWidth="1"/>
    <col min="1039" max="1039" width="16.125" style="1371" customWidth="1"/>
    <col min="1040" max="1040" width="14.375" style="1371" customWidth="1"/>
    <col min="1041" max="1280" width="9" style="1371"/>
    <col min="1281" max="1281" width="8.5" style="1371" customWidth="1"/>
    <col min="1282" max="1282" width="11.5" style="1371" customWidth="1"/>
    <col min="1283" max="1283" width="14.5" style="1371" customWidth="1"/>
    <col min="1284" max="1284" width="17.75" style="1371" customWidth="1"/>
    <col min="1285" max="1285" width="35.625" style="1371" customWidth="1"/>
    <col min="1286" max="1286" width="35.5" style="1371" customWidth="1"/>
    <col min="1287" max="1289" width="9" style="1371" hidden="1" customWidth="1"/>
    <col min="1290" max="1290" width="9.375" style="1371" customWidth="1"/>
    <col min="1291" max="1291" width="9" style="1371"/>
    <col min="1292" max="1293" width="15.125" style="1371" customWidth="1"/>
    <col min="1294" max="1294" width="26.5" style="1371" customWidth="1"/>
    <col min="1295" max="1295" width="16.125" style="1371" customWidth="1"/>
    <col min="1296" max="1296" width="14.375" style="1371" customWidth="1"/>
    <col min="1297" max="1536" width="9" style="1371"/>
    <col min="1537" max="1537" width="8.5" style="1371" customWidth="1"/>
    <col min="1538" max="1538" width="11.5" style="1371" customWidth="1"/>
    <col min="1539" max="1539" width="14.5" style="1371" customWidth="1"/>
    <col min="1540" max="1540" width="17.75" style="1371" customWidth="1"/>
    <col min="1541" max="1541" width="35.625" style="1371" customWidth="1"/>
    <col min="1542" max="1542" width="35.5" style="1371" customWidth="1"/>
    <col min="1543" max="1545" width="9" style="1371" hidden="1" customWidth="1"/>
    <col min="1546" max="1546" width="9.375" style="1371" customWidth="1"/>
    <col min="1547" max="1547" width="9" style="1371"/>
    <col min="1548" max="1549" width="15.125" style="1371" customWidth="1"/>
    <col min="1550" max="1550" width="26.5" style="1371" customWidth="1"/>
    <col min="1551" max="1551" width="16.125" style="1371" customWidth="1"/>
    <col min="1552" max="1552" width="14.375" style="1371" customWidth="1"/>
    <col min="1553" max="1792" width="9" style="1371"/>
    <col min="1793" max="1793" width="8.5" style="1371" customWidth="1"/>
    <col min="1794" max="1794" width="11.5" style="1371" customWidth="1"/>
    <col min="1795" max="1795" width="14.5" style="1371" customWidth="1"/>
    <col min="1796" max="1796" width="17.75" style="1371" customWidth="1"/>
    <col min="1797" max="1797" width="35.625" style="1371" customWidth="1"/>
    <col min="1798" max="1798" width="35.5" style="1371" customWidth="1"/>
    <col min="1799" max="1801" width="9" style="1371" hidden="1" customWidth="1"/>
    <col min="1802" max="1802" width="9.375" style="1371" customWidth="1"/>
    <col min="1803" max="1803" width="9" style="1371"/>
    <col min="1804" max="1805" width="15.125" style="1371" customWidth="1"/>
    <col min="1806" max="1806" width="26.5" style="1371" customWidth="1"/>
    <col min="1807" max="1807" width="16.125" style="1371" customWidth="1"/>
    <col min="1808" max="1808" width="14.375" style="1371" customWidth="1"/>
    <col min="1809" max="2048" width="9" style="1371"/>
    <col min="2049" max="2049" width="8.5" style="1371" customWidth="1"/>
    <col min="2050" max="2050" width="11.5" style="1371" customWidth="1"/>
    <col min="2051" max="2051" width="14.5" style="1371" customWidth="1"/>
    <col min="2052" max="2052" width="17.75" style="1371" customWidth="1"/>
    <col min="2053" max="2053" width="35.625" style="1371" customWidth="1"/>
    <col min="2054" max="2054" width="35.5" style="1371" customWidth="1"/>
    <col min="2055" max="2057" width="9" style="1371" hidden="1" customWidth="1"/>
    <col min="2058" max="2058" width="9.375" style="1371" customWidth="1"/>
    <col min="2059" max="2059" width="9" style="1371"/>
    <col min="2060" max="2061" width="15.125" style="1371" customWidth="1"/>
    <col min="2062" max="2062" width="26.5" style="1371" customWidth="1"/>
    <col min="2063" max="2063" width="16.125" style="1371" customWidth="1"/>
    <col min="2064" max="2064" width="14.375" style="1371" customWidth="1"/>
    <col min="2065" max="2304" width="9" style="1371"/>
    <col min="2305" max="2305" width="8.5" style="1371" customWidth="1"/>
    <col min="2306" max="2306" width="11.5" style="1371" customWidth="1"/>
    <col min="2307" max="2307" width="14.5" style="1371" customWidth="1"/>
    <col min="2308" max="2308" width="17.75" style="1371" customWidth="1"/>
    <col min="2309" max="2309" width="35.625" style="1371" customWidth="1"/>
    <col min="2310" max="2310" width="35.5" style="1371" customWidth="1"/>
    <col min="2311" max="2313" width="9" style="1371" hidden="1" customWidth="1"/>
    <col min="2314" max="2314" width="9.375" style="1371" customWidth="1"/>
    <col min="2315" max="2315" width="9" style="1371"/>
    <col min="2316" max="2317" width="15.125" style="1371" customWidth="1"/>
    <col min="2318" max="2318" width="26.5" style="1371" customWidth="1"/>
    <col min="2319" max="2319" width="16.125" style="1371" customWidth="1"/>
    <col min="2320" max="2320" width="14.375" style="1371" customWidth="1"/>
    <col min="2321" max="2560" width="9" style="1371"/>
    <col min="2561" max="2561" width="8.5" style="1371" customWidth="1"/>
    <col min="2562" max="2562" width="11.5" style="1371" customWidth="1"/>
    <col min="2563" max="2563" width="14.5" style="1371" customWidth="1"/>
    <col min="2564" max="2564" width="17.75" style="1371" customWidth="1"/>
    <col min="2565" max="2565" width="35.625" style="1371" customWidth="1"/>
    <col min="2566" max="2566" width="35.5" style="1371" customWidth="1"/>
    <col min="2567" max="2569" width="9" style="1371" hidden="1" customWidth="1"/>
    <col min="2570" max="2570" width="9.375" style="1371" customWidth="1"/>
    <col min="2571" max="2571" width="9" style="1371"/>
    <col min="2572" max="2573" width="15.125" style="1371" customWidth="1"/>
    <col min="2574" max="2574" width="26.5" style="1371" customWidth="1"/>
    <col min="2575" max="2575" width="16.125" style="1371" customWidth="1"/>
    <col min="2576" max="2576" width="14.375" style="1371" customWidth="1"/>
    <col min="2577" max="2816" width="9" style="1371"/>
    <col min="2817" max="2817" width="8.5" style="1371" customWidth="1"/>
    <col min="2818" max="2818" width="11.5" style="1371" customWidth="1"/>
    <col min="2819" max="2819" width="14.5" style="1371" customWidth="1"/>
    <col min="2820" max="2820" width="17.75" style="1371" customWidth="1"/>
    <col min="2821" max="2821" width="35.625" style="1371" customWidth="1"/>
    <col min="2822" max="2822" width="35.5" style="1371" customWidth="1"/>
    <col min="2823" max="2825" width="9" style="1371" hidden="1" customWidth="1"/>
    <col min="2826" max="2826" width="9.375" style="1371" customWidth="1"/>
    <col min="2827" max="2827" width="9" style="1371"/>
    <col min="2828" max="2829" width="15.125" style="1371" customWidth="1"/>
    <col min="2830" max="2830" width="26.5" style="1371" customWidth="1"/>
    <col min="2831" max="2831" width="16.125" style="1371" customWidth="1"/>
    <col min="2832" max="2832" width="14.375" style="1371" customWidth="1"/>
    <col min="2833" max="3072" width="9" style="1371"/>
    <col min="3073" max="3073" width="8.5" style="1371" customWidth="1"/>
    <col min="3074" max="3074" width="11.5" style="1371" customWidth="1"/>
    <col min="3075" max="3075" width="14.5" style="1371" customWidth="1"/>
    <col min="3076" max="3076" width="17.75" style="1371" customWidth="1"/>
    <col min="3077" max="3077" width="35.625" style="1371" customWidth="1"/>
    <col min="3078" max="3078" width="35.5" style="1371" customWidth="1"/>
    <col min="3079" max="3081" width="9" style="1371" hidden="1" customWidth="1"/>
    <col min="3082" max="3082" width="9.375" style="1371" customWidth="1"/>
    <col min="3083" max="3083" width="9" style="1371"/>
    <col min="3084" max="3085" width="15.125" style="1371" customWidth="1"/>
    <col min="3086" max="3086" width="26.5" style="1371" customWidth="1"/>
    <col min="3087" max="3087" width="16.125" style="1371" customWidth="1"/>
    <col min="3088" max="3088" width="14.375" style="1371" customWidth="1"/>
    <col min="3089" max="3328" width="9" style="1371"/>
    <col min="3329" max="3329" width="8.5" style="1371" customWidth="1"/>
    <col min="3330" max="3330" width="11.5" style="1371" customWidth="1"/>
    <col min="3331" max="3331" width="14.5" style="1371" customWidth="1"/>
    <col min="3332" max="3332" width="17.75" style="1371" customWidth="1"/>
    <col min="3333" max="3333" width="35.625" style="1371" customWidth="1"/>
    <col min="3334" max="3334" width="35.5" style="1371" customWidth="1"/>
    <col min="3335" max="3337" width="9" style="1371" hidden="1" customWidth="1"/>
    <col min="3338" max="3338" width="9.375" style="1371" customWidth="1"/>
    <col min="3339" max="3339" width="9" style="1371"/>
    <col min="3340" max="3341" width="15.125" style="1371" customWidth="1"/>
    <col min="3342" max="3342" width="26.5" style="1371" customWidth="1"/>
    <col min="3343" max="3343" width="16.125" style="1371" customWidth="1"/>
    <col min="3344" max="3344" width="14.375" style="1371" customWidth="1"/>
    <col min="3345" max="3584" width="9" style="1371"/>
    <col min="3585" max="3585" width="8.5" style="1371" customWidth="1"/>
    <col min="3586" max="3586" width="11.5" style="1371" customWidth="1"/>
    <col min="3587" max="3587" width="14.5" style="1371" customWidth="1"/>
    <col min="3588" max="3588" width="17.75" style="1371" customWidth="1"/>
    <col min="3589" max="3589" width="35.625" style="1371" customWidth="1"/>
    <col min="3590" max="3590" width="35.5" style="1371" customWidth="1"/>
    <col min="3591" max="3593" width="9" style="1371" hidden="1" customWidth="1"/>
    <col min="3594" max="3594" width="9.375" style="1371" customWidth="1"/>
    <col min="3595" max="3595" width="9" style="1371"/>
    <col min="3596" max="3597" width="15.125" style="1371" customWidth="1"/>
    <col min="3598" max="3598" width="26.5" style="1371" customWidth="1"/>
    <col min="3599" max="3599" width="16.125" style="1371" customWidth="1"/>
    <col min="3600" max="3600" width="14.375" style="1371" customWidth="1"/>
    <col min="3601" max="3840" width="9" style="1371"/>
    <col min="3841" max="3841" width="8.5" style="1371" customWidth="1"/>
    <col min="3842" max="3842" width="11.5" style="1371" customWidth="1"/>
    <col min="3843" max="3843" width="14.5" style="1371" customWidth="1"/>
    <col min="3844" max="3844" width="17.75" style="1371" customWidth="1"/>
    <col min="3845" max="3845" width="35.625" style="1371" customWidth="1"/>
    <col min="3846" max="3846" width="35.5" style="1371" customWidth="1"/>
    <col min="3847" max="3849" width="9" style="1371" hidden="1" customWidth="1"/>
    <col min="3850" max="3850" width="9.375" style="1371" customWidth="1"/>
    <col min="3851" max="3851" width="9" style="1371"/>
    <col min="3852" max="3853" width="15.125" style="1371" customWidth="1"/>
    <col min="3854" max="3854" width="26.5" style="1371" customWidth="1"/>
    <col min="3855" max="3855" width="16.125" style="1371" customWidth="1"/>
    <col min="3856" max="3856" width="14.375" style="1371" customWidth="1"/>
    <col min="3857" max="4096" width="9" style="1371"/>
    <col min="4097" max="4097" width="8.5" style="1371" customWidth="1"/>
    <col min="4098" max="4098" width="11.5" style="1371" customWidth="1"/>
    <col min="4099" max="4099" width="14.5" style="1371" customWidth="1"/>
    <col min="4100" max="4100" width="17.75" style="1371" customWidth="1"/>
    <col min="4101" max="4101" width="35.625" style="1371" customWidth="1"/>
    <col min="4102" max="4102" width="35.5" style="1371" customWidth="1"/>
    <col min="4103" max="4105" width="9" style="1371" hidden="1" customWidth="1"/>
    <col min="4106" max="4106" width="9.375" style="1371" customWidth="1"/>
    <col min="4107" max="4107" width="9" style="1371"/>
    <col min="4108" max="4109" width="15.125" style="1371" customWidth="1"/>
    <col min="4110" max="4110" width="26.5" style="1371" customWidth="1"/>
    <col min="4111" max="4111" width="16.125" style="1371" customWidth="1"/>
    <col min="4112" max="4112" width="14.375" style="1371" customWidth="1"/>
    <col min="4113" max="4352" width="9" style="1371"/>
    <col min="4353" max="4353" width="8.5" style="1371" customWidth="1"/>
    <col min="4354" max="4354" width="11.5" style="1371" customWidth="1"/>
    <col min="4355" max="4355" width="14.5" style="1371" customWidth="1"/>
    <col min="4356" max="4356" width="17.75" style="1371" customWidth="1"/>
    <col min="4357" max="4357" width="35.625" style="1371" customWidth="1"/>
    <col min="4358" max="4358" width="35.5" style="1371" customWidth="1"/>
    <col min="4359" max="4361" width="9" style="1371" hidden="1" customWidth="1"/>
    <col min="4362" max="4362" width="9.375" style="1371" customWidth="1"/>
    <col min="4363" max="4363" width="9" style="1371"/>
    <col min="4364" max="4365" width="15.125" style="1371" customWidth="1"/>
    <col min="4366" max="4366" width="26.5" style="1371" customWidth="1"/>
    <col min="4367" max="4367" width="16.125" style="1371" customWidth="1"/>
    <col min="4368" max="4368" width="14.375" style="1371" customWidth="1"/>
    <col min="4369" max="4608" width="9" style="1371"/>
    <col min="4609" max="4609" width="8.5" style="1371" customWidth="1"/>
    <col min="4610" max="4610" width="11.5" style="1371" customWidth="1"/>
    <col min="4611" max="4611" width="14.5" style="1371" customWidth="1"/>
    <col min="4612" max="4612" width="17.75" style="1371" customWidth="1"/>
    <col min="4613" max="4613" width="35.625" style="1371" customWidth="1"/>
    <col min="4614" max="4614" width="35.5" style="1371" customWidth="1"/>
    <col min="4615" max="4617" width="9" style="1371" hidden="1" customWidth="1"/>
    <col min="4618" max="4618" width="9.375" style="1371" customWidth="1"/>
    <col min="4619" max="4619" width="9" style="1371"/>
    <col min="4620" max="4621" width="15.125" style="1371" customWidth="1"/>
    <col min="4622" max="4622" width="26.5" style="1371" customWidth="1"/>
    <col min="4623" max="4623" width="16.125" style="1371" customWidth="1"/>
    <col min="4624" max="4624" width="14.375" style="1371" customWidth="1"/>
    <col min="4625" max="4864" width="9" style="1371"/>
    <col min="4865" max="4865" width="8.5" style="1371" customWidth="1"/>
    <col min="4866" max="4866" width="11.5" style="1371" customWidth="1"/>
    <col min="4867" max="4867" width="14.5" style="1371" customWidth="1"/>
    <col min="4868" max="4868" width="17.75" style="1371" customWidth="1"/>
    <col min="4869" max="4869" width="35.625" style="1371" customWidth="1"/>
    <col min="4870" max="4870" width="35.5" style="1371" customWidth="1"/>
    <col min="4871" max="4873" width="9" style="1371" hidden="1" customWidth="1"/>
    <col min="4874" max="4874" width="9.375" style="1371" customWidth="1"/>
    <col min="4875" max="4875" width="9" style="1371"/>
    <col min="4876" max="4877" width="15.125" style="1371" customWidth="1"/>
    <col min="4878" max="4878" width="26.5" style="1371" customWidth="1"/>
    <col min="4879" max="4879" width="16.125" style="1371" customWidth="1"/>
    <col min="4880" max="4880" width="14.375" style="1371" customWidth="1"/>
    <col min="4881" max="5120" width="9" style="1371"/>
    <col min="5121" max="5121" width="8.5" style="1371" customWidth="1"/>
    <col min="5122" max="5122" width="11.5" style="1371" customWidth="1"/>
    <col min="5123" max="5123" width="14.5" style="1371" customWidth="1"/>
    <col min="5124" max="5124" width="17.75" style="1371" customWidth="1"/>
    <col min="5125" max="5125" width="35.625" style="1371" customWidth="1"/>
    <col min="5126" max="5126" width="35.5" style="1371" customWidth="1"/>
    <col min="5127" max="5129" width="9" style="1371" hidden="1" customWidth="1"/>
    <col min="5130" max="5130" width="9.375" style="1371" customWidth="1"/>
    <col min="5131" max="5131" width="9" style="1371"/>
    <col min="5132" max="5133" width="15.125" style="1371" customWidth="1"/>
    <col min="5134" max="5134" width="26.5" style="1371" customWidth="1"/>
    <col min="5135" max="5135" width="16.125" style="1371" customWidth="1"/>
    <col min="5136" max="5136" width="14.375" style="1371" customWidth="1"/>
    <col min="5137" max="5376" width="9" style="1371"/>
    <col min="5377" max="5377" width="8.5" style="1371" customWidth="1"/>
    <col min="5378" max="5378" width="11.5" style="1371" customWidth="1"/>
    <col min="5379" max="5379" width="14.5" style="1371" customWidth="1"/>
    <col min="5380" max="5380" width="17.75" style="1371" customWidth="1"/>
    <col min="5381" max="5381" width="35.625" style="1371" customWidth="1"/>
    <col min="5382" max="5382" width="35.5" style="1371" customWidth="1"/>
    <col min="5383" max="5385" width="9" style="1371" hidden="1" customWidth="1"/>
    <col min="5386" max="5386" width="9.375" style="1371" customWidth="1"/>
    <col min="5387" max="5387" width="9" style="1371"/>
    <col min="5388" max="5389" width="15.125" style="1371" customWidth="1"/>
    <col min="5390" max="5390" width="26.5" style="1371" customWidth="1"/>
    <col min="5391" max="5391" width="16.125" style="1371" customWidth="1"/>
    <col min="5392" max="5392" width="14.375" style="1371" customWidth="1"/>
    <col min="5393" max="5632" width="9" style="1371"/>
    <col min="5633" max="5633" width="8.5" style="1371" customWidth="1"/>
    <col min="5634" max="5634" width="11.5" style="1371" customWidth="1"/>
    <col min="5635" max="5635" width="14.5" style="1371" customWidth="1"/>
    <col min="5636" max="5636" width="17.75" style="1371" customWidth="1"/>
    <col min="5637" max="5637" width="35.625" style="1371" customWidth="1"/>
    <col min="5638" max="5638" width="35.5" style="1371" customWidth="1"/>
    <col min="5639" max="5641" width="9" style="1371" hidden="1" customWidth="1"/>
    <col min="5642" max="5642" width="9.375" style="1371" customWidth="1"/>
    <col min="5643" max="5643" width="9" style="1371"/>
    <col min="5644" max="5645" width="15.125" style="1371" customWidth="1"/>
    <col min="5646" max="5646" width="26.5" style="1371" customWidth="1"/>
    <col min="5647" max="5647" width="16.125" style="1371" customWidth="1"/>
    <col min="5648" max="5648" width="14.375" style="1371" customWidth="1"/>
    <col min="5649" max="5888" width="9" style="1371"/>
    <col min="5889" max="5889" width="8.5" style="1371" customWidth="1"/>
    <col min="5890" max="5890" width="11.5" style="1371" customWidth="1"/>
    <col min="5891" max="5891" width="14.5" style="1371" customWidth="1"/>
    <col min="5892" max="5892" width="17.75" style="1371" customWidth="1"/>
    <col min="5893" max="5893" width="35.625" style="1371" customWidth="1"/>
    <col min="5894" max="5894" width="35.5" style="1371" customWidth="1"/>
    <col min="5895" max="5897" width="9" style="1371" hidden="1" customWidth="1"/>
    <col min="5898" max="5898" width="9.375" style="1371" customWidth="1"/>
    <col min="5899" max="5899" width="9" style="1371"/>
    <col min="5900" max="5901" width="15.125" style="1371" customWidth="1"/>
    <col min="5902" max="5902" width="26.5" style="1371" customWidth="1"/>
    <col min="5903" max="5903" width="16.125" style="1371" customWidth="1"/>
    <col min="5904" max="5904" width="14.375" style="1371" customWidth="1"/>
    <col min="5905" max="6144" width="9" style="1371"/>
    <col min="6145" max="6145" width="8.5" style="1371" customWidth="1"/>
    <col min="6146" max="6146" width="11.5" style="1371" customWidth="1"/>
    <col min="6147" max="6147" width="14.5" style="1371" customWidth="1"/>
    <col min="6148" max="6148" width="17.75" style="1371" customWidth="1"/>
    <col min="6149" max="6149" width="35.625" style="1371" customWidth="1"/>
    <col min="6150" max="6150" width="35.5" style="1371" customWidth="1"/>
    <col min="6151" max="6153" width="9" style="1371" hidden="1" customWidth="1"/>
    <col min="6154" max="6154" width="9.375" style="1371" customWidth="1"/>
    <col min="6155" max="6155" width="9" style="1371"/>
    <col min="6156" max="6157" width="15.125" style="1371" customWidth="1"/>
    <col min="6158" max="6158" width="26.5" style="1371" customWidth="1"/>
    <col min="6159" max="6159" width="16.125" style="1371" customWidth="1"/>
    <col min="6160" max="6160" width="14.375" style="1371" customWidth="1"/>
    <col min="6161" max="6400" width="9" style="1371"/>
    <col min="6401" max="6401" width="8.5" style="1371" customWidth="1"/>
    <col min="6402" max="6402" width="11.5" style="1371" customWidth="1"/>
    <col min="6403" max="6403" width="14.5" style="1371" customWidth="1"/>
    <col min="6404" max="6404" width="17.75" style="1371" customWidth="1"/>
    <col min="6405" max="6405" width="35.625" style="1371" customWidth="1"/>
    <col min="6406" max="6406" width="35.5" style="1371" customWidth="1"/>
    <col min="6407" max="6409" width="9" style="1371" hidden="1" customWidth="1"/>
    <col min="6410" max="6410" width="9.375" style="1371" customWidth="1"/>
    <col min="6411" max="6411" width="9" style="1371"/>
    <col min="6412" max="6413" width="15.125" style="1371" customWidth="1"/>
    <col min="6414" max="6414" width="26.5" style="1371" customWidth="1"/>
    <col min="6415" max="6415" width="16.125" style="1371" customWidth="1"/>
    <col min="6416" max="6416" width="14.375" style="1371" customWidth="1"/>
    <col min="6417" max="6656" width="9" style="1371"/>
    <col min="6657" max="6657" width="8.5" style="1371" customWidth="1"/>
    <col min="6658" max="6658" width="11.5" style="1371" customWidth="1"/>
    <col min="6659" max="6659" width="14.5" style="1371" customWidth="1"/>
    <col min="6660" max="6660" width="17.75" style="1371" customWidth="1"/>
    <col min="6661" max="6661" width="35.625" style="1371" customWidth="1"/>
    <col min="6662" max="6662" width="35.5" style="1371" customWidth="1"/>
    <col min="6663" max="6665" width="9" style="1371" hidden="1" customWidth="1"/>
    <col min="6666" max="6666" width="9.375" style="1371" customWidth="1"/>
    <col min="6667" max="6667" width="9" style="1371"/>
    <col min="6668" max="6669" width="15.125" style="1371" customWidth="1"/>
    <col min="6670" max="6670" width="26.5" style="1371" customWidth="1"/>
    <col min="6671" max="6671" width="16.125" style="1371" customWidth="1"/>
    <col min="6672" max="6672" width="14.375" style="1371" customWidth="1"/>
    <col min="6673" max="6912" width="9" style="1371"/>
    <col min="6913" max="6913" width="8.5" style="1371" customWidth="1"/>
    <col min="6914" max="6914" width="11.5" style="1371" customWidth="1"/>
    <col min="6915" max="6915" width="14.5" style="1371" customWidth="1"/>
    <col min="6916" max="6916" width="17.75" style="1371" customWidth="1"/>
    <col min="6917" max="6917" width="35.625" style="1371" customWidth="1"/>
    <col min="6918" max="6918" width="35.5" style="1371" customWidth="1"/>
    <col min="6919" max="6921" width="9" style="1371" hidden="1" customWidth="1"/>
    <col min="6922" max="6922" width="9.375" style="1371" customWidth="1"/>
    <col min="6923" max="6923" width="9" style="1371"/>
    <col min="6924" max="6925" width="15.125" style="1371" customWidth="1"/>
    <col min="6926" max="6926" width="26.5" style="1371" customWidth="1"/>
    <col min="6927" max="6927" width="16.125" style="1371" customWidth="1"/>
    <col min="6928" max="6928" width="14.375" style="1371" customWidth="1"/>
    <col min="6929" max="7168" width="9" style="1371"/>
    <col min="7169" max="7169" width="8.5" style="1371" customWidth="1"/>
    <col min="7170" max="7170" width="11.5" style="1371" customWidth="1"/>
    <col min="7171" max="7171" width="14.5" style="1371" customWidth="1"/>
    <col min="7172" max="7172" width="17.75" style="1371" customWidth="1"/>
    <col min="7173" max="7173" width="35.625" style="1371" customWidth="1"/>
    <col min="7174" max="7174" width="35.5" style="1371" customWidth="1"/>
    <col min="7175" max="7177" width="9" style="1371" hidden="1" customWidth="1"/>
    <col min="7178" max="7178" width="9.375" style="1371" customWidth="1"/>
    <col min="7179" max="7179" width="9" style="1371"/>
    <col min="7180" max="7181" width="15.125" style="1371" customWidth="1"/>
    <col min="7182" max="7182" width="26.5" style="1371" customWidth="1"/>
    <col min="7183" max="7183" width="16.125" style="1371" customWidth="1"/>
    <col min="7184" max="7184" width="14.375" style="1371" customWidth="1"/>
    <col min="7185" max="7424" width="9" style="1371"/>
    <col min="7425" max="7425" width="8.5" style="1371" customWidth="1"/>
    <col min="7426" max="7426" width="11.5" style="1371" customWidth="1"/>
    <col min="7427" max="7427" width="14.5" style="1371" customWidth="1"/>
    <col min="7428" max="7428" width="17.75" style="1371" customWidth="1"/>
    <col min="7429" max="7429" width="35.625" style="1371" customWidth="1"/>
    <col min="7430" max="7430" width="35.5" style="1371" customWidth="1"/>
    <col min="7431" max="7433" width="9" style="1371" hidden="1" customWidth="1"/>
    <col min="7434" max="7434" width="9.375" style="1371" customWidth="1"/>
    <col min="7435" max="7435" width="9" style="1371"/>
    <col min="7436" max="7437" width="15.125" style="1371" customWidth="1"/>
    <col min="7438" max="7438" width="26.5" style="1371" customWidth="1"/>
    <col min="7439" max="7439" width="16.125" style="1371" customWidth="1"/>
    <col min="7440" max="7440" width="14.375" style="1371" customWidth="1"/>
    <col min="7441" max="7680" width="9" style="1371"/>
    <col min="7681" max="7681" width="8.5" style="1371" customWidth="1"/>
    <col min="7682" max="7682" width="11.5" style="1371" customWidth="1"/>
    <col min="7683" max="7683" width="14.5" style="1371" customWidth="1"/>
    <col min="7684" max="7684" width="17.75" style="1371" customWidth="1"/>
    <col min="7685" max="7685" width="35.625" style="1371" customWidth="1"/>
    <col min="7686" max="7686" width="35.5" style="1371" customWidth="1"/>
    <col min="7687" max="7689" width="9" style="1371" hidden="1" customWidth="1"/>
    <col min="7690" max="7690" width="9.375" style="1371" customWidth="1"/>
    <col min="7691" max="7691" width="9" style="1371"/>
    <col min="7692" max="7693" width="15.125" style="1371" customWidth="1"/>
    <col min="7694" max="7694" width="26.5" style="1371" customWidth="1"/>
    <col min="7695" max="7695" width="16.125" style="1371" customWidth="1"/>
    <col min="7696" max="7696" width="14.375" style="1371" customWidth="1"/>
    <col min="7697" max="7936" width="9" style="1371"/>
    <col min="7937" max="7937" width="8.5" style="1371" customWidth="1"/>
    <col min="7938" max="7938" width="11.5" style="1371" customWidth="1"/>
    <col min="7939" max="7939" width="14.5" style="1371" customWidth="1"/>
    <col min="7940" max="7940" width="17.75" style="1371" customWidth="1"/>
    <col min="7941" max="7941" width="35.625" style="1371" customWidth="1"/>
    <col min="7942" max="7942" width="35.5" style="1371" customWidth="1"/>
    <col min="7943" max="7945" width="9" style="1371" hidden="1" customWidth="1"/>
    <col min="7946" max="7946" width="9.375" style="1371" customWidth="1"/>
    <col min="7947" max="7947" width="9" style="1371"/>
    <col min="7948" max="7949" width="15.125" style="1371" customWidth="1"/>
    <col min="7950" max="7950" width="26.5" style="1371" customWidth="1"/>
    <col min="7951" max="7951" width="16.125" style="1371" customWidth="1"/>
    <col min="7952" max="7952" width="14.375" style="1371" customWidth="1"/>
    <col min="7953" max="8192" width="9" style="1371"/>
    <col min="8193" max="8193" width="8.5" style="1371" customWidth="1"/>
    <col min="8194" max="8194" width="11.5" style="1371" customWidth="1"/>
    <col min="8195" max="8195" width="14.5" style="1371" customWidth="1"/>
    <col min="8196" max="8196" width="17.75" style="1371" customWidth="1"/>
    <col min="8197" max="8197" width="35.625" style="1371" customWidth="1"/>
    <col min="8198" max="8198" width="35.5" style="1371" customWidth="1"/>
    <col min="8199" max="8201" width="9" style="1371" hidden="1" customWidth="1"/>
    <col min="8202" max="8202" width="9.375" style="1371" customWidth="1"/>
    <col min="8203" max="8203" width="9" style="1371"/>
    <col min="8204" max="8205" width="15.125" style="1371" customWidth="1"/>
    <col min="8206" max="8206" width="26.5" style="1371" customWidth="1"/>
    <col min="8207" max="8207" width="16.125" style="1371" customWidth="1"/>
    <col min="8208" max="8208" width="14.375" style="1371" customWidth="1"/>
    <col min="8209" max="8448" width="9" style="1371"/>
    <col min="8449" max="8449" width="8.5" style="1371" customWidth="1"/>
    <col min="8450" max="8450" width="11.5" style="1371" customWidth="1"/>
    <col min="8451" max="8451" width="14.5" style="1371" customWidth="1"/>
    <col min="8452" max="8452" width="17.75" style="1371" customWidth="1"/>
    <col min="8453" max="8453" width="35.625" style="1371" customWidth="1"/>
    <col min="8454" max="8454" width="35.5" style="1371" customWidth="1"/>
    <col min="8455" max="8457" width="9" style="1371" hidden="1" customWidth="1"/>
    <col min="8458" max="8458" width="9.375" style="1371" customWidth="1"/>
    <col min="8459" max="8459" width="9" style="1371"/>
    <col min="8460" max="8461" width="15.125" style="1371" customWidth="1"/>
    <col min="8462" max="8462" width="26.5" style="1371" customWidth="1"/>
    <col min="8463" max="8463" width="16.125" style="1371" customWidth="1"/>
    <col min="8464" max="8464" width="14.375" style="1371" customWidth="1"/>
    <col min="8465" max="8704" width="9" style="1371"/>
    <col min="8705" max="8705" width="8.5" style="1371" customWidth="1"/>
    <col min="8706" max="8706" width="11.5" style="1371" customWidth="1"/>
    <col min="8707" max="8707" width="14.5" style="1371" customWidth="1"/>
    <col min="8708" max="8708" width="17.75" style="1371" customWidth="1"/>
    <col min="8709" max="8709" width="35.625" style="1371" customWidth="1"/>
    <col min="8710" max="8710" width="35.5" style="1371" customWidth="1"/>
    <col min="8711" max="8713" width="9" style="1371" hidden="1" customWidth="1"/>
    <col min="8714" max="8714" width="9.375" style="1371" customWidth="1"/>
    <col min="8715" max="8715" width="9" style="1371"/>
    <col min="8716" max="8717" width="15.125" style="1371" customWidth="1"/>
    <col min="8718" max="8718" width="26.5" style="1371" customWidth="1"/>
    <col min="8719" max="8719" width="16.125" style="1371" customWidth="1"/>
    <col min="8720" max="8720" width="14.375" style="1371" customWidth="1"/>
    <col min="8721" max="8960" width="9" style="1371"/>
    <col min="8961" max="8961" width="8.5" style="1371" customWidth="1"/>
    <col min="8962" max="8962" width="11.5" style="1371" customWidth="1"/>
    <col min="8963" max="8963" width="14.5" style="1371" customWidth="1"/>
    <col min="8964" max="8964" width="17.75" style="1371" customWidth="1"/>
    <col min="8965" max="8965" width="35.625" style="1371" customWidth="1"/>
    <col min="8966" max="8966" width="35.5" style="1371" customWidth="1"/>
    <col min="8967" max="8969" width="9" style="1371" hidden="1" customWidth="1"/>
    <col min="8970" max="8970" width="9.375" style="1371" customWidth="1"/>
    <col min="8971" max="8971" width="9" style="1371"/>
    <col min="8972" max="8973" width="15.125" style="1371" customWidth="1"/>
    <col min="8974" max="8974" width="26.5" style="1371" customWidth="1"/>
    <col min="8975" max="8975" width="16.125" style="1371" customWidth="1"/>
    <col min="8976" max="8976" width="14.375" style="1371" customWidth="1"/>
    <col min="8977" max="9216" width="9" style="1371"/>
    <col min="9217" max="9217" width="8.5" style="1371" customWidth="1"/>
    <col min="9218" max="9218" width="11.5" style="1371" customWidth="1"/>
    <col min="9219" max="9219" width="14.5" style="1371" customWidth="1"/>
    <col min="9220" max="9220" width="17.75" style="1371" customWidth="1"/>
    <col min="9221" max="9221" width="35.625" style="1371" customWidth="1"/>
    <col min="9222" max="9222" width="35.5" style="1371" customWidth="1"/>
    <col min="9223" max="9225" width="9" style="1371" hidden="1" customWidth="1"/>
    <col min="9226" max="9226" width="9.375" style="1371" customWidth="1"/>
    <col min="9227" max="9227" width="9" style="1371"/>
    <col min="9228" max="9229" width="15.125" style="1371" customWidth="1"/>
    <col min="9230" max="9230" width="26.5" style="1371" customWidth="1"/>
    <col min="9231" max="9231" width="16.125" style="1371" customWidth="1"/>
    <col min="9232" max="9232" width="14.375" style="1371" customWidth="1"/>
    <col min="9233" max="9472" width="9" style="1371"/>
    <col min="9473" max="9473" width="8.5" style="1371" customWidth="1"/>
    <col min="9474" max="9474" width="11.5" style="1371" customWidth="1"/>
    <col min="9475" max="9475" width="14.5" style="1371" customWidth="1"/>
    <col min="9476" max="9476" width="17.75" style="1371" customWidth="1"/>
    <col min="9477" max="9477" width="35.625" style="1371" customWidth="1"/>
    <col min="9478" max="9478" width="35.5" style="1371" customWidth="1"/>
    <col min="9479" max="9481" width="9" style="1371" hidden="1" customWidth="1"/>
    <col min="9482" max="9482" width="9.375" style="1371" customWidth="1"/>
    <col min="9483" max="9483" width="9" style="1371"/>
    <col min="9484" max="9485" width="15.125" style="1371" customWidth="1"/>
    <col min="9486" max="9486" width="26.5" style="1371" customWidth="1"/>
    <col min="9487" max="9487" width="16.125" style="1371" customWidth="1"/>
    <col min="9488" max="9488" width="14.375" style="1371" customWidth="1"/>
    <col min="9489" max="9728" width="9" style="1371"/>
    <col min="9729" max="9729" width="8.5" style="1371" customWidth="1"/>
    <col min="9730" max="9730" width="11.5" style="1371" customWidth="1"/>
    <col min="9731" max="9731" width="14.5" style="1371" customWidth="1"/>
    <col min="9732" max="9732" width="17.75" style="1371" customWidth="1"/>
    <col min="9733" max="9733" width="35.625" style="1371" customWidth="1"/>
    <col min="9734" max="9734" width="35.5" style="1371" customWidth="1"/>
    <col min="9735" max="9737" width="9" style="1371" hidden="1" customWidth="1"/>
    <col min="9738" max="9738" width="9.375" style="1371" customWidth="1"/>
    <col min="9739" max="9739" width="9" style="1371"/>
    <col min="9740" max="9741" width="15.125" style="1371" customWidth="1"/>
    <col min="9742" max="9742" width="26.5" style="1371" customWidth="1"/>
    <col min="9743" max="9743" width="16.125" style="1371" customWidth="1"/>
    <col min="9744" max="9744" width="14.375" style="1371" customWidth="1"/>
    <col min="9745" max="9984" width="9" style="1371"/>
    <col min="9985" max="9985" width="8.5" style="1371" customWidth="1"/>
    <col min="9986" max="9986" width="11.5" style="1371" customWidth="1"/>
    <col min="9987" max="9987" width="14.5" style="1371" customWidth="1"/>
    <col min="9988" max="9988" width="17.75" style="1371" customWidth="1"/>
    <col min="9989" max="9989" width="35.625" style="1371" customWidth="1"/>
    <col min="9990" max="9990" width="35.5" style="1371" customWidth="1"/>
    <col min="9991" max="9993" width="9" style="1371" hidden="1" customWidth="1"/>
    <col min="9994" max="9994" width="9.375" style="1371" customWidth="1"/>
    <col min="9995" max="9995" width="9" style="1371"/>
    <col min="9996" max="9997" width="15.125" style="1371" customWidth="1"/>
    <col min="9998" max="9998" width="26.5" style="1371" customWidth="1"/>
    <col min="9999" max="9999" width="16.125" style="1371" customWidth="1"/>
    <col min="10000" max="10000" width="14.375" style="1371" customWidth="1"/>
    <col min="10001" max="10240" width="9" style="1371"/>
    <col min="10241" max="10241" width="8.5" style="1371" customWidth="1"/>
    <col min="10242" max="10242" width="11.5" style="1371" customWidth="1"/>
    <col min="10243" max="10243" width="14.5" style="1371" customWidth="1"/>
    <col min="10244" max="10244" width="17.75" style="1371" customWidth="1"/>
    <col min="10245" max="10245" width="35.625" style="1371" customWidth="1"/>
    <col min="10246" max="10246" width="35.5" style="1371" customWidth="1"/>
    <col min="10247" max="10249" width="9" style="1371" hidden="1" customWidth="1"/>
    <col min="10250" max="10250" width="9.375" style="1371" customWidth="1"/>
    <col min="10251" max="10251" width="9" style="1371"/>
    <col min="10252" max="10253" width="15.125" style="1371" customWidth="1"/>
    <col min="10254" max="10254" width="26.5" style="1371" customWidth="1"/>
    <col min="10255" max="10255" width="16.125" style="1371" customWidth="1"/>
    <col min="10256" max="10256" width="14.375" style="1371" customWidth="1"/>
    <col min="10257" max="10496" width="9" style="1371"/>
    <col min="10497" max="10497" width="8.5" style="1371" customWidth="1"/>
    <col min="10498" max="10498" width="11.5" style="1371" customWidth="1"/>
    <col min="10499" max="10499" width="14.5" style="1371" customWidth="1"/>
    <col min="10500" max="10500" width="17.75" style="1371" customWidth="1"/>
    <col min="10501" max="10501" width="35.625" style="1371" customWidth="1"/>
    <col min="10502" max="10502" width="35.5" style="1371" customWidth="1"/>
    <col min="10503" max="10505" width="9" style="1371" hidden="1" customWidth="1"/>
    <col min="10506" max="10506" width="9.375" style="1371" customWidth="1"/>
    <col min="10507" max="10507" width="9" style="1371"/>
    <col min="10508" max="10509" width="15.125" style="1371" customWidth="1"/>
    <col min="10510" max="10510" width="26.5" style="1371" customWidth="1"/>
    <col min="10511" max="10511" width="16.125" style="1371" customWidth="1"/>
    <col min="10512" max="10512" width="14.375" style="1371" customWidth="1"/>
    <col min="10513" max="10752" width="9" style="1371"/>
    <col min="10753" max="10753" width="8.5" style="1371" customWidth="1"/>
    <col min="10754" max="10754" width="11.5" style="1371" customWidth="1"/>
    <col min="10755" max="10755" width="14.5" style="1371" customWidth="1"/>
    <col min="10756" max="10756" width="17.75" style="1371" customWidth="1"/>
    <col min="10757" max="10757" width="35.625" style="1371" customWidth="1"/>
    <col min="10758" max="10758" width="35.5" style="1371" customWidth="1"/>
    <col min="10759" max="10761" width="9" style="1371" hidden="1" customWidth="1"/>
    <col min="10762" max="10762" width="9.375" style="1371" customWidth="1"/>
    <col min="10763" max="10763" width="9" style="1371"/>
    <col min="10764" max="10765" width="15.125" style="1371" customWidth="1"/>
    <col min="10766" max="10766" width="26.5" style="1371" customWidth="1"/>
    <col min="10767" max="10767" width="16.125" style="1371" customWidth="1"/>
    <col min="10768" max="10768" width="14.375" style="1371" customWidth="1"/>
    <col min="10769" max="11008" width="9" style="1371"/>
    <col min="11009" max="11009" width="8.5" style="1371" customWidth="1"/>
    <col min="11010" max="11010" width="11.5" style="1371" customWidth="1"/>
    <col min="11011" max="11011" width="14.5" style="1371" customWidth="1"/>
    <col min="11012" max="11012" width="17.75" style="1371" customWidth="1"/>
    <col min="11013" max="11013" width="35.625" style="1371" customWidth="1"/>
    <col min="11014" max="11014" width="35.5" style="1371" customWidth="1"/>
    <col min="11015" max="11017" width="9" style="1371" hidden="1" customWidth="1"/>
    <col min="11018" max="11018" width="9.375" style="1371" customWidth="1"/>
    <col min="11019" max="11019" width="9" style="1371"/>
    <col min="11020" max="11021" width="15.125" style="1371" customWidth="1"/>
    <col min="11022" max="11022" width="26.5" style="1371" customWidth="1"/>
    <col min="11023" max="11023" width="16.125" style="1371" customWidth="1"/>
    <col min="11024" max="11024" width="14.375" style="1371" customWidth="1"/>
    <col min="11025" max="11264" width="9" style="1371"/>
    <col min="11265" max="11265" width="8.5" style="1371" customWidth="1"/>
    <col min="11266" max="11266" width="11.5" style="1371" customWidth="1"/>
    <col min="11267" max="11267" width="14.5" style="1371" customWidth="1"/>
    <col min="11268" max="11268" width="17.75" style="1371" customWidth="1"/>
    <col min="11269" max="11269" width="35.625" style="1371" customWidth="1"/>
    <col min="11270" max="11270" width="35.5" style="1371" customWidth="1"/>
    <col min="11271" max="11273" width="9" style="1371" hidden="1" customWidth="1"/>
    <col min="11274" max="11274" width="9.375" style="1371" customWidth="1"/>
    <col min="11275" max="11275" width="9" style="1371"/>
    <col min="11276" max="11277" width="15.125" style="1371" customWidth="1"/>
    <col min="11278" max="11278" width="26.5" style="1371" customWidth="1"/>
    <col min="11279" max="11279" width="16.125" style="1371" customWidth="1"/>
    <col min="11280" max="11280" width="14.375" style="1371" customWidth="1"/>
    <col min="11281" max="11520" width="9" style="1371"/>
    <col min="11521" max="11521" width="8.5" style="1371" customWidth="1"/>
    <col min="11522" max="11522" width="11.5" style="1371" customWidth="1"/>
    <col min="11523" max="11523" width="14.5" style="1371" customWidth="1"/>
    <col min="11524" max="11524" width="17.75" style="1371" customWidth="1"/>
    <col min="11525" max="11525" width="35.625" style="1371" customWidth="1"/>
    <col min="11526" max="11526" width="35.5" style="1371" customWidth="1"/>
    <col min="11527" max="11529" width="9" style="1371" hidden="1" customWidth="1"/>
    <col min="11530" max="11530" width="9.375" style="1371" customWidth="1"/>
    <col min="11531" max="11531" width="9" style="1371"/>
    <col min="11532" max="11533" width="15.125" style="1371" customWidth="1"/>
    <col min="11534" max="11534" width="26.5" style="1371" customWidth="1"/>
    <col min="11535" max="11535" width="16.125" style="1371" customWidth="1"/>
    <col min="11536" max="11536" width="14.375" style="1371" customWidth="1"/>
    <col min="11537" max="11776" width="9" style="1371"/>
    <col min="11777" max="11777" width="8.5" style="1371" customWidth="1"/>
    <col min="11778" max="11778" width="11.5" style="1371" customWidth="1"/>
    <col min="11779" max="11779" width="14.5" style="1371" customWidth="1"/>
    <col min="11780" max="11780" width="17.75" style="1371" customWidth="1"/>
    <col min="11781" max="11781" width="35.625" style="1371" customWidth="1"/>
    <col min="11782" max="11782" width="35.5" style="1371" customWidth="1"/>
    <col min="11783" max="11785" width="9" style="1371" hidden="1" customWidth="1"/>
    <col min="11786" max="11786" width="9.375" style="1371" customWidth="1"/>
    <col min="11787" max="11787" width="9" style="1371"/>
    <col min="11788" max="11789" width="15.125" style="1371" customWidth="1"/>
    <col min="11790" max="11790" width="26.5" style="1371" customWidth="1"/>
    <col min="11791" max="11791" width="16.125" style="1371" customWidth="1"/>
    <col min="11792" max="11792" width="14.375" style="1371" customWidth="1"/>
    <col min="11793" max="12032" width="9" style="1371"/>
    <col min="12033" max="12033" width="8.5" style="1371" customWidth="1"/>
    <col min="12034" max="12034" width="11.5" style="1371" customWidth="1"/>
    <col min="12035" max="12035" width="14.5" style="1371" customWidth="1"/>
    <col min="12036" max="12036" width="17.75" style="1371" customWidth="1"/>
    <col min="12037" max="12037" width="35.625" style="1371" customWidth="1"/>
    <col min="12038" max="12038" width="35.5" style="1371" customWidth="1"/>
    <col min="12039" max="12041" width="9" style="1371" hidden="1" customWidth="1"/>
    <col min="12042" max="12042" width="9.375" style="1371" customWidth="1"/>
    <col min="12043" max="12043" width="9" style="1371"/>
    <col min="12044" max="12045" width="15.125" style="1371" customWidth="1"/>
    <col min="12046" max="12046" width="26.5" style="1371" customWidth="1"/>
    <col min="12047" max="12047" width="16.125" style="1371" customWidth="1"/>
    <col min="12048" max="12048" width="14.375" style="1371" customWidth="1"/>
    <col min="12049" max="12288" width="9" style="1371"/>
    <col min="12289" max="12289" width="8.5" style="1371" customWidth="1"/>
    <col min="12290" max="12290" width="11.5" style="1371" customWidth="1"/>
    <col min="12291" max="12291" width="14.5" style="1371" customWidth="1"/>
    <col min="12292" max="12292" width="17.75" style="1371" customWidth="1"/>
    <col min="12293" max="12293" width="35.625" style="1371" customWidth="1"/>
    <col min="12294" max="12294" width="35.5" style="1371" customWidth="1"/>
    <col min="12295" max="12297" width="9" style="1371" hidden="1" customWidth="1"/>
    <col min="12298" max="12298" width="9.375" style="1371" customWidth="1"/>
    <col min="12299" max="12299" width="9" style="1371"/>
    <col min="12300" max="12301" width="15.125" style="1371" customWidth="1"/>
    <col min="12302" max="12302" width="26.5" style="1371" customWidth="1"/>
    <col min="12303" max="12303" width="16.125" style="1371" customWidth="1"/>
    <col min="12304" max="12304" width="14.375" style="1371" customWidth="1"/>
    <col min="12305" max="12544" width="9" style="1371"/>
    <col min="12545" max="12545" width="8.5" style="1371" customWidth="1"/>
    <col min="12546" max="12546" width="11.5" style="1371" customWidth="1"/>
    <col min="12547" max="12547" width="14.5" style="1371" customWidth="1"/>
    <col min="12548" max="12548" width="17.75" style="1371" customWidth="1"/>
    <col min="12549" max="12549" width="35.625" style="1371" customWidth="1"/>
    <col min="12550" max="12550" width="35.5" style="1371" customWidth="1"/>
    <col min="12551" max="12553" width="9" style="1371" hidden="1" customWidth="1"/>
    <col min="12554" max="12554" width="9.375" style="1371" customWidth="1"/>
    <col min="12555" max="12555" width="9" style="1371"/>
    <col min="12556" max="12557" width="15.125" style="1371" customWidth="1"/>
    <col min="12558" max="12558" width="26.5" style="1371" customWidth="1"/>
    <col min="12559" max="12559" width="16.125" style="1371" customWidth="1"/>
    <col min="12560" max="12560" width="14.375" style="1371" customWidth="1"/>
    <col min="12561" max="12800" width="9" style="1371"/>
    <col min="12801" max="12801" width="8.5" style="1371" customWidth="1"/>
    <col min="12802" max="12802" width="11.5" style="1371" customWidth="1"/>
    <col min="12803" max="12803" width="14.5" style="1371" customWidth="1"/>
    <col min="12804" max="12804" width="17.75" style="1371" customWidth="1"/>
    <col min="12805" max="12805" width="35.625" style="1371" customWidth="1"/>
    <col min="12806" max="12806" width="35.5" style="1371" customWidth="1"/>
    <col min="12807" max="12809" width="9" style="1371" hidden="1" customWidth="1"/>
    <col min="12810" max="12810" width="9.375" style="1371" customWidth="1"/>
    <col min="12811" max="12811" width="9" style="1371"/>
    <col min="12812" max="12813" width="15.125" style="1371" customWidth="1"/>
    <col min="12814" max="12814" width="26.5" style="1371" customWidth="1"/>
    <col min="12815" max="12815" width="16.125" style="1371" customWidth="1"/>
    <col min="12816" max="12816" width="14.375" style="1371" customWidth="1"/>
    <col min="12817" max="13056" width="9" style="1371"/>
    <col min="13057" max="13057" width="8.5" style="1371" customWidth="1"/>
    <col min="13058" max="13058" width="11.5" style="1371" customWidth="1"/>
    <col min="13059" max="13059" width="14.5" style="1371" customWidth="1"/>
    <col min="13060" max="13060" width="17.75" style="1371" customWidth="1"/>
    <col min="13061" max="13061" width="35.625" style="1371" customWidth="1"/>
    <col min="13062" max="13062" width="35.5" style="1371" customWidth="1"/>
    <col min="13063" max="13065" width="9" style="1371" hidden="1" customWidth="1"/>
    <col min="13066" max="13066" width="9.375" style="1371" customWidth="1"/>
    <col min="13067" max="13067" width="9" style="1371"/>
    <col min="13068" max="13069" width="15.125" style="1371" customWidth="1"/>
    <col min="13070" max="13070" width="26.5" style="1371" customWidth="1"/>
    <col min="13071" max="13071" width="16.125" style="1371" customWidth="1"/>
    <col min="13072" max="13072" width="14.375" style="1371" customWidth="1"/>
    <col min="13073" max="13312" width="9" style="1371"/>
    <col min="13313" max="13313" width="8.5" style="1371" customWidth="1"/>
    <col min="13314" max="13314" width="11.5" style="1371" customWidth="1"/>
    <col min="13315" max="13315" width="14.5" style="1371" customWidth="1"/>
    <col min="13316" max="13316" width="17.75" style="1371" customWidth="1"/>
    <col min="13317" max="13317" width="35.625" style="1371" customWidth="1"/>
    <col min="13318" max="13318" width="35.5" style="1371" customWidth="1"/>
    <col min="13319" max="13321" width="9" style="1371" hidden="1" customWidth="1"/>
    <col min="13322" max="13322" width="9.375" style="1371" customWidth="1"/>
    <col min="13323" max="13323" width="9" style="1371"/>
    <col min="13324" max="13325" width="15.125" style="1371" customWidth="1"/>
    <col min="13326" max="13326" width="26.5" style="1371" customWidth="1"/>
    <col min="13327" max="13327" width="16.125" style="1371" customWidth="1"/>
    <col min="13328" max="13328" width="14.375" style="1371" customWidth="1"/>
    <col min="13329" max="13568" width="9" style="1371"/>
    <col min="13569" max="13569" width="8.5" style="1371" customWidth="1"/>
    <col min="13570" max="13570" width="11.5" style="1371" customWidth="1"/>
    <col min="13571" max="13571" width="14.5" style="1371" customWidth="1"/>
    <col min="13572" max="13572" width="17.75" style="1371" customWidth="1"/>
    <col min="13573" max="13573" width="35.625" style="1371" customWidth="1"/>
    <col min="13574" max="13574" width="35.5" style="1371" customWidth="1"/>
    <col min="13575" max="13577" width="9" style="1371" hidden="1" customWidth="1"/>
    <col min="13578" max="13578" width="9.375" style="1371" customWidth="1"/>
    <col min="13579" max="13579" width="9" style="1371"/>
    <col min="13580" max="13581" width="15.125" style="1371" customWidth="1"/>
    <col min="13582" max="13582" width="26.5" style="1371" customWidth="1"/>
    <col min="13583" max="13583" width="16.125" style="1371" customWidth="1"/>
    <col min="13584" max="13584" width="14.375" style="1371" customWidth="1"/>
    <col min="13585" max="13824" width="9" style="1371"/>
    <col min="13825" max="13825" width="8.5" style="1371" customWidth="1"/>
    <col min="13826" max="13826" width="11.5" style="1371" customWidth="1"/>
    <col min="13827" max="13827" width="14.5" style="1371" customWidth="1"/>
    <col min="13828" max="13828" width="17.75" style="1371" customWidth="1"/>
    <col min="13829" max="13829" width="35.625" style="1371" customWidth="1"/>
    <col min="13830" max="13830" width="35.5" style="1371" customWidth="1"/>
    <col min="13831" max="13833" width="9" style="1371" hidden="1" customWidth="1"/>
    <col min="13834" max="13834" width="9.375" style="1371" customWidth="1"/>
    <col min="13835" max="13835" width="9" style="1371"/>
    <col min="13836" max="13837" width="15.125" style="1371" customWidth="1"/>
    <col min="13838" max="13838" width="26.5" style="1371" customWidth="1"/>
    <col min="13839" max="13839" width="16.125" style="1371" customWidth="1"/>
    <col min="13840" max="13840" width="14.375" style="1371" customWidth="1"/>
    <col min="13841" max="14080" width="9" style="1371"/>
    <col min="14081" max="14081" width="8.5" style="1371" customWidth="1"/>
    <col min="14082" max="14082" width="11.5" style="1371" customWidth="1"/>
    <col min="14083" max="14083" width="14.5" style="1371" customWidth="1"/>
    <col min="14084" max="14084" width="17.75" style="1371" customWidth="1"/>
    <col min="14085" max="14085" width="35.625" style="1371" customWidth="1"/>
    <col min="14086" max="14086" width="35.5" style="1371" customWidth="1"/>
    <col min="14087" max="14089" width="9" style="1371" hidden="1" customWidth="1"/>
    <col min="14090" max="14090" width="9.375" style="1371" customWidth="1"/>
    <col min="14091" max="14091" width="9" style="1371"/>
    <col min="14092" max="14093" width="15.125" style="1371" customWidth="1"/>
    <col min="14094" max="14094" width="26.5" style="1371" customWidth="1"/>
    <col min="14095" max="14095" width="16.125" style="1371" customWidth="1"/>
    <col min="14096" max="14096" width="14.375" style="1371" customWidth="1"/>
    <col min="14097" max="14336" width="9" style="1371"/>
    <col min="14337" max="14337" width="8.5" style="1371" customWidth="1"/>
    <col min="14338" max="14338" width="11.5" style="1371" customWidth="1"/>
    <col min="14339" max="14339" width="14.5" style="1371" customWidth="1"/>
    <col min="14340" max="14340" width="17.75" style="1371" customWidth="1"/>
    <col min="14341" max="14341" width="35.625" style="1371" customWidth="1"/>
    <col min="14342" max="14342" width="35.5" style="1371" customWidth="1"/>
    <col min="14343" max="14345" width="9" style="1371" hidden="1" customWidth="1"/>
    <col min="14346" max="14346" width="9.375" style="1371" customWidth="1"/>
    <col min="14347" max="14347" width="9" style="1371"/>
    <col min="14348" max="14349" width="15.125" style="1371" customWidth="1"/>
    <col min="14350" max="14350" width="26.5" style="1371" customWidth="1"/>
    <col min="14351" max="14351" width="16.125" style="1371" customWidth="1"/>
    <col min="14352" max="14352" width="14.375" style="1371" customWidth="1"/>
    <col min="14353" max="14592" width="9" style="1371"/>
    <col min="14593" max="14593" width="8.5" style="1371" customWidth="1"/>
    <col min="14594" max="14594" width="11.5" style="1371" customWidth="1"/>
    <col min="14595" max="14595" width="14.5" style="1371" customWidth="1"/>
    <col min="14596" max="14596" width="17.75" style="1371" customWidth="1"/>
    <col min="14597" max="14597" width="35.625" style="1371" customWidth="1"/>
    <col min="14598" max="14598" width="35.5" style="1371" customWidth="1"/>
    <col min="14599" max="14601" width="9" style="1371" hidden="1" customWidth="1"/>
    <col min="14602" max="14602" width="9.375" style="1371" customWidth="1"/>
    <col min="14603" max="14603" width="9" style="1371"/>
    <col min="14604" max="14605" width="15.125" style="1371" customWidth="1"/>
    <col min="14606" max="14606" width="26.5" style="1371" customWidth="1"/>
    <col min="14607" max="14607" width="16.125" style="1371" customWidth="1"/>
    <col min="14608" max="14608" width="14.375" style="1371" customWidth="1"/>
    <col min="14609" max="14848" width="9" style="1371"/>
    <col min="14849" max="14849" width="8.5" style="1371" customWidth="1"/>
    <col min="14850" max="14850" width="11.5" style="1371" customWidth="1"/>
    <col min="14851" max="14851" width="14.5" style="1371" customWidth="1"/>
    <col min="14852" max="14852" width="17.75" style="1371" customWidth="1"/>
    <col min="14853" max="14853" width="35.625" style="1371" customWidth="1"/>
    <col min="14854" max="14854" width="35.5" style="1371" customWidth="1"/>
    <col min="14855" max="14857" width="9" style="1371" hidden="1" customWidth="1"/>
    <col min="14858" max="14858" width="9.375" style="1371" customWidth="1"/>
    <col min="14859" max="14859" width="9" style="1371"/>
    <col min="14860" max="14861" width="15.125" style="1371" customWidth="1"/>
    <col min="14862" max="14862" width="26.5" style="1371" customWidth="1"/>
    <col min="14863" max="14863" width="16.125" style="1371" customWidth="1"/>
    <col min="14864" max="14864" width="14.375" style="1371" customWidth="1"/>
    <col min="14865" max="15104" width="9" style="1371"/>
    <col min="15105" max="15105" width="8.5" style="1371" customWidth="1"/>
    <col min="15106" max="15106" width="11.5" style="1371" customWidth="1"/>
    <col min="15107" max="15107" width="14.5" style="1371" customWidth="1"/>
    <col min="15108" max="15108" width="17.75" style="1371" customWidth="1"/>
    <col min="15109" max="15109" width="35.625" style="1371" customWidth="1"/>
    <col min="15110" max="15110" width="35.5" style="1371" customWidth="1"/>
    <col min="15111" max="15113" width="9" style="1371" hidden="1" customWidth="1"/>
    <col min="15114" max="15114" width="9.375" style="1371" customWidth="1"/>
    <col min="15115" max="15115" width="9" style="1371"/>
    <col min="15116" max="15117" width="15.125" style="1371" customWidth="1"/>
    <col min="15118" max="15118" width="26.5" style="1371" customWidth="1"/>
    <col min="15119" max="15119" width="16.125" style="1371" customWidth="1"/>
    <col min="15120" max="15120" width="14.375" style="1371" customWidth="1"/>
    <col min="15121" max="15360" width="9" style="1371"/>
    <col min="15361" max="15361" width="8.5" style="1371" customWidth="1"/>
    <col min="15362" max="15362" width="11.5" style="1371" customWidth="1"/>
    <col min="15363" max="15363" width="14.5" style="1371" customWidth="1"/>
    <col min="15364" max="15364" width="17.75" style="1371" customWidth="1"/>
    <col min="15365" max="15365" width="35.625" style="1371" customWidth="1"/>
    <col min="15366" max="15366" width="35.5" style="1371" customWidth="1"/>
    <col min="15367" max="15369" width="9" style="1371" hidden="1" customWidth="1"/>
    <col min="15370" max="15370" width="9.375" style="1371" customWidth="1"/>
    <col min="15371" max="15371" width="9" style="1371"/>
    <col min="15372" max="15373" width="15.125" style="1371" customWidth="1"/>
    <col min="15374" max="15374" width="26.5" style="1371" customWidth="1"/>
    <col min="15375" max="15375" width="16.125" style="1371" customWidth="1"/>
    <col min="15376" max="15376" width="14.375" style="1371" customWidth="1"/>
    <col min="15377" max="15616" width="9" style="1371"/>
    <col min="15617" max="15617" width="8.5" style="1371" customWidth="1"/>
    <col min="15618" max="15618" width="11.5" style="1371" customWidth="1"/>
    <col min="15619" max="15619" width="14.5" style="1371" customWidth="1"/>
    <col min="15620" max="15620" width="17.75" style="1371" customWidth="1"/>
    <col min="15621" max="15621" width="35.625" style="1371" customWidth="1"/>
    <col min="15622" max="15622" width="35.5" style="1371" customWidth="1"/>
    <col min="15623" max="15625" width="9" style="1371" hidden="1" customWidth="1"/>
    <col min="15626" max="15626" width="9.375" style="1371" customWidth="1"/>
    <col min="15627" max="15627" width="9" style="1371"/>
    <col min="15628" max="15629" width="15.125" style="1371" customWidth="1"/>
    <col min="15630" max="15630" width="26.5" style="1371" customWidth="1"/>
    <col min="15631" max="15631" width="16.125" style="1371" customWidth="1"/>
    <col min="15632" max="15632" width="14.375" style="1371" customWidth="1"/>
    <col min="15633" max="15872" width="9" style="1371"/>
    <col min="15873" max="15873" width="8.5" style="1371" customWidth="1"/>
    <col min="15874" max="15874" width="11.5" style="1371" customWidth="1"/>
    <col min="15875" max="15875" width="14.5" style="1371" customWidth="1"/>
    <col min="15876" max="15876" width="17.75" style="1371" customWidth="1"/>
    <col min="15877" max="15877" width="35.625" style="1371" customWidth="1"/>
    <col min="15878" max="15878" width="35.5" style="1371" customWidth="1"/>
    <col min="15879" max="15881" width="9" style="1371" hidden="1" customWidth="1"/>
    <col min="15882" max="15882" width="9.375" style="1371" customWidth="1"/>
    <col min="15883" max="15883" width="9" style="1371"/>
    <col min="15884" max="15885" width="15.125" style="1371" customWidth="1"/>
    <col min="15886" max="15886" width="26.5" style="1371" customWidth="1"/>
    <col min="15887" max="15887" width="16.125" style="1371" customWidth="1"/>
    <col min="15888" max="15888" width="14.375" style="1371" customWidth="1"/>
    <col min="15889" max="16128" width="9" style="1371"/>
    <col min="16129" max="16129" width="8.5" style="1371" customWidth="1"/>
    <col min="16130" max="16130" width="11.5" style="1371" customWidth="1"/>
    <col min="16131" max="16131" width="14.5" style="1371" customWidth="1"/>
    <col min="16132" max="16132" width="17.75" style="1371" customWidth="1"/>
    <col min="16133" max="16133" width="35.625" style="1371" customWidth="1"/>
    <col min="16134" max="16134" width="35.5" style="1371" customWidth="1"/>
    <col min="16135" max="16137" width="9" style="1371" hidden="1" customWidth="1"/>
    <col min="16138" max="16138" width="9.375" style="1371" customWidth="1"/>
    <col min="16139" max="16139" width="9" style="1371"/>
    <col min="16140" max="16141" width="15.125" style="1371" customWidth="1"/>
    <col min="16142" max="16142" width="26.5" style="1371" customWidth="1"/>
    <col min="16143" max="16143" width="16.125" style="1371" customWidth="1"/>
    <col min="16144" max="16144" width="14.375" style="1371" customWidth="1"/>
    <col min="16145" max="16384" width="9" style="1371"/>
  </cols>
  <sheetData>
    <row r="1" spans="1:17" ht="30" customHeight="1">
      <c r="A1" s="4416" t="s">
        <v>725</v>
      </c>
      <c r="B1" s="4410"/>
      <c r="C1" s="4410"/>
      <c r="D1" s="4410"/>
      <c r="E1" s="4410"/>
      <c r="F1" s="4410"/>
      <c r="G1" s="4410"/>
      <c r="H1" s="4410"/>
      <c r="I1" s="4410"/>
      <c r="J1" s="4410"/>
      <c r="K1" s="4410"/>
      <c r="L1" s="4410"/>
      <c r="M1" s="4410"/>
      <c r="N1" s="4410"/>
      <c r="O1" s="4410"/>
      <c r="P1" s="4410"/>
      <c r="Q1" s="4410"/>
    </row>
    <row r="2" spans="1:17" ht="20.25">
      <c r="A2" s="4417" t="s">
        <v>726</v>
      </c>
      <c r="B2" s="4417"/>
      <c r="C2" s="4417"/>
      <c r="D2" s="4417"/>
      <c r="F2" s="4060"/>
      <c r="J2" s="4418" t="s">
        <v>727</v>
      </c>
      <c r="K2" s="4418"/>
      <c r="L2" s="4418"/>
      <c r="M2" s="4418"/>
      <c r="N2" s="4418"/>
    </row>
    <row r="3" spans="1:17" ht="14.45" customHeight="1">
      <c r="A3" s="4061" t="s">
        <v>728</v>
      </c>
      <c r="B3" s="4061" t="s">
        <v>729</v>
      </c>
      <c r="C3" s="4061" t="s">
        <v>730</v>
      </c>
      <c r="D3" s="4061" t="s">
        <v>731</v>
      </c>
      <c r="E3" s="4061" t="s">
        <v>732</v>
      </c>
      <c r="F3" s="4062"/>
      <c r="G3" s="4063"/>
      <c r="J3" s="4074" t="s">
        <v>728</v>
      </c>
      <c r="K3" s="4074" t="s">
        <v>729</v>
      </c>
      <c r="L3" s="4074" t="s">
        <v>730</v>
      </c>
      <c r="M3" s="4074" t="s">
        <v>731</v>
      </c>
      <c r="N3" s="4074" t="s">
        <v>732</v>
      </c>
    </row>
    <row r="4" spans="1:17" ht="14.45" customHeight="1">
      <c r="A4" s="4061" t="s">
        <v>733</v>
      </c>
      <c r="B4" s="4061">
        <v>1500</v>
      </c>
      <c r="C4" s="4061">
        <v>3000</v>
      </c>
      <c r="D4" s="4061" t="s">
        <v>734</v>
      </c>
      <c r="E4" s="4061" t="s">
        <v>735</v>
      </c>
      <c r="F4" s="4062"/>
      <c r="J4" s="4074" t="s">
        <v>736</v>
      </c>
      <c r="K4" s="4074">
        <v>6000</v>
      </c>
      <c r="L4" s="4074">
        <v>9000</v>
      </c>
      <c r="M4" s="4074">
        <v>0.05</v>
      </c>
      <c r="N4" s="4075" t="s">
        <v>737</v>
      </c>
    </row>
    <row r="5" spans="1:17" ht="14.45" customHeight="1">
      <c r="A5" s="4061" t="s">
        <v>738</v>
      </c>
      <c r="B5" s="4061">
        <v>1800</v>
      </c>
      <c r="C5" s="4061">
        <v>2500</v>
      </c>
      <c r="D5" s="4061" t="s">
        <v>739</v>
      </c>
      <c r="E5" s="4061" t="s">
        <v>735</v>
      </c>
      <c r="F5" s="4062"/>
      <c r="J5" s="4074" t="s">
        <v>740</v>
      </c>
      <c r="K5" s="4074">
        <v>9000</v>
      </c>
      <c r="L5" s="4074">
        <v>9000</v>
      </c>
      <c r="M5" s="4074">
        <v>0.05</v>
      </c>
      <c r="N5" s="4075" t="s">
        <v>737</v>
      </c>
    </row>
    <row r="6" spans="1:17" ht="14.45" customHeight="1">
      <c r="A6" s="4061" t="s">
        <v>741</v>
      </c>
      <c r="B6" s="4061">
        <v>1800</v>
      </c>
      <c r="C6" s="4061">
        <v>2200</v>
      </c>
      <c r="D6" s="4061" t="s">
        <v>742</v>
      </c>
      <c r="E6" s="4061" t="s">
        <v>735</v>
      </c>
      <c r="F6" s="4062"/>
      <c r="J6" s="4074" t="s">
        <v>743</v>
      </c>
      <c r="K6" s="4074">
        <v>12000</v>
      </c>
      <c r="L6" s="4074">
        <v>9000</v>
      </c>
      <c r="M6" s="4074" t="s">
        <v>744</v>
      </c>
      <c r="N6" s="4075" t="s">
        <v>737</v>
      </c>
    </row>
    <row r="7" spans="1:17" ht="14.45" customHeight="1">
      <c r="A7" s="4061" t="s">
        <v>745</v>
      </c>
      <c r="B7" s="4061">
        <v>2000</v>
      </c>
      <c r="C7" s="4061">
        <v>2200</v>
      </c>
      <c r="D7" s="4061" t="s">
        <v>742</v>
      </c>
      <c r="E7" s="4061" t="s">
        <v>735</v>
      </c>
      <c r="F7" s="4062"/>
      <c r="J7" s="4074" t="s">
        <v>746</v>
      </c>
      <c r="K7" s="4074">
        <v>12000</v>
      </c>
      <c r="L7" s="4074">
        <v>7000</v>
      </c>
      <c r="M7" s="4074">
        <v>0.05</v>
      </c>
      <c r="N7" s="4075" t="s">
        <v>737</v>
      </c>
    </row>
    <row r="8" spans="1:17" ht="14.45" customHeight="1">
      <c r="A8" s="4061" t="s">
        <v>747</v>
      </c>
      <c r="B8" s="4061">
        <v>2000</v>
      </c>
      <c r="C8" s="4061">
        <v>2200</v>
      </c>
      <c r="D8" s="4061" t="s">
        <v>742</v>
      </c>
      <c r="E8" s="4061" t="s">
        <v>735</v>
      </c>
      <c r="F8" s="4062"/>
      <c r="J8" s="4074" t="s">
        <v>748</v>
      </c>
      <c r="K8" s="4074">
        <v>13000</v>
      </c>
      <c r="L8" s="4074">
        <v>6000</v>
      </c>
      <c r="M8" s="4074" t="s">
        <v>744</v>
      </c>
      <c r="N8" s="4075" t="s">
        <v>737</v>
      </c>
    </row>
    <row r="9" spans="1:17" ht="14.45" customHeight="1">
      <c r="A9" s="4061" t="s">
        <v>749</v>
      </c>
      <c r="B9" s="4061">
        <v>2200</v>
      </c>
      <c r="C9" s="4061">
        <v>2200</v>
      </c>
      <c r="D9" s="4061" t="s">
        <v>742</v>
      </c>
      <c r="E9" s="4061" t="s">
        <v>735</v>
      </c>
      <c r="F9" s="4062"/>
      <c r="J9" s="4074" t="s">
        <v>750</v>
      </c>
      <c r="K9" s="4074">
        <v>13000</v>
      </c>
      <c r="L9" s="4074">
        <v>5000</v>
      </c>
      <c r="M9" s="4074">
        <v>0.03</v>
      </c>
      <c r="N9" s="4075" t="s">
        <v>737</v>
      </c>
    </row>
    <row r="10" spans="1:17" ht="14.45" customHeight="1">
      <c r="A10" s="4061" t="s">
        <v>751</v>
      </c>
      <c r="B10" s="4061">
        <v>2000</v>
      </c>
      <c r="C10" s="4061">
        <v>1500</v>
      </c>
      <c r="D10" s="4061">
        <v>0.35</v>
      </c>
      <c r="E10" s="4061" t="s">
        <v>735</v>
      </c>
      <c r="F10" s="4062"/>
      <c r="J10" s="4074" t="s">
        <v>752</v>
      </c>
      <c r="K10" s="4074">
        <v>13000</v>
      </c>
      <c r="L10" s="4074">
        <v>4000</v>
      </c>
      <c r="M10" s="4074">
        <v>0.02</v>
      </c>
      <c r="N10" s="4075" t="s">
        <v>737</v>
      </c>
    </row>
    <row r="11" spans="1:17" ht="14.45" customHeight="1">
      <c r="A11" s="4061" t="s">
        <v>753</v>
      </c>
      <c r="B11" s="4061">
        <v>2500</v>
      </c>
      <c r="C11" s="4061">
        <v>2000</v>
      </c>
      <c r="D11" s="4061">
        <v>0.35</v>
      </c>
      <c r="E11" s="4061" t="s">
        <v>735</v>
      </c>
      <c r="F11" s="4062"/>
      <c r="J11" s="4074" t="s">
        <v>754</v>
      </c>
      <c r="K11" s="4074">
        <v>14000</v>
      </c>
      <c r="L11" s="4074">
        <v>3500</v>
      </c>
      <c r="M11" s="4074">
        <v>0.02</v>
      </c>
      <c r="N11" s="4075" t="s">
        <v>737</v>
      </c>
    </row>
    <row r="12" spans="1:17" ht="14.45" customHeight="1">
      <c r="A12" s="4061" t="s">
        <v>755</v>
      </c>
      <c r="B12" s="4061">
        <v>2800</v>
      </c>
      <c r="C12" s="4061">
        <v>2000</v>
      </c>
      <c r="D12" s="4061">
        <v>0.35</v>
      </c>
      <c r="E12" s="4061" t="s">
        <v>735</v>
      </c>
      <c r="F12" s="4062"/>
      <c r="J12" s="4074" t="s">
        <v>756</v>
      </c>
      <c r="K12" s="4074">
        <v>15000</v>
      </c>
      <c r="L12" s="4074">
        <v>3000</v>
      </c>
      <c r="M12" s="4074">
        <v>0.01</v>
      </c>
      <c r="N12" s="4074" t="s">
        <v>757</v>
      </c>
    </row>
    <row r="13" spans="1:17" ht="14.45" customHeight="1">
      <c r="A13" s="4061" t="s">
        <v>758</v>
      </c>
      <c r="B13" s="4061">
        <v>2800</v>
      </c>
      <c r="C13" s="4061">
        <v>1600</v>
      </c>
      <c r="D13" s="4061">
        <v>0.25</v>
      </c>
      <c r="E13" s="4061" t="s">
        <v>735</v>
      </c>
      <c r="F13" s="4062"/>
      <c r="J13" s="4074" t="s">
        <v>759</v>
      </c>
      <c r="K13" s="4074">
        <v>15000</v>
      </c>
      <c r="L13" s="4074">
        <v>1200</v>
      </c>
      <c r="M13" s="4074">
        <v>0.01</v>
      </c>
      <c r="N13" s="4074" t="s">
        <v>757</v>
      </c>
    </row>
    <row r="14" spans="1:17" ht="43.5" customHeight="1">
      <c r="A14" s="4419" t="s">
        <v>760</v>
      </c>
      <c r="B14" s="4419"/>
      <c r="C14" s="4419"/>
      <c r="D14" s="4419"/>
      <c r="E14" s="4419"/>
      <c r="F14" s="4064"/>
      <c r="J14" s="4074" t="s">
        <v>761</v>
      </c>
      <c r="K14" s="4074">
        <v>15000</v>
      </c>
      <c r="L14" s="4074">
        <v>1000</v>
      </c>
      <c r="M14" s="4074">
        <v>0.01</v>
      </c>
      <c r="N14" s="4074" t="s">
        <v>757</v>
      </c>
    </row>
    <row r="15" spans="1:17" ht="36" customHeight="1">
      <c r="J15" s="4074" t="s">
        <v>762</v>
      </c>
      <c r="K15" s="4074">
        <v>15000</v>
      </c>
      <c r="L15" s="4074">
        <v>800</v>
      </c>
      <c r="M15" s="4074">
        <v>0.01</v>
      </c>
      <c r="N15" s="4074" t="s">
        <v>757</v>
      </c>
    </row>
    <row r="16" spans="1:17" ht="14.45" customHeight="1">
      <c r="A16" s="4065" t="s">
        <v>728</v>
      </c>
      <c r="B16" s="4065" t="s">
        <v>729</v>
      </c>
      <c r="C16" s="4065" t="s">
        <v>730</v>
      </c>
      <c r="D16" s="4065" t="s">
        <v>731</v>
      </c>
      <c r="E16" s="4065" t="s">
        <v>732</v>
      </c>
      <c r="F16" s="4066"/>
      <c r="G16" s="4067"/>
      <c r="J16" s="4074"/>
      <c r="K16" s="4074"/>
      <c r="L16" s="4074"/>
      <c r="M16" s="4074"/>
      <c r="N16" s="4074" t="s">
        <v>757</v>
      </c>
    </row>
    <row r="17" spans="1:14" ht="14.45" customHeight="1">
      <c r="A17" s="4065" t="s">
        <v>763</v>
      </c>
      <c r="B17" s="4065">
        <v>2200</v>
      </c>
      <c r="C17" s="4065">
        <v>2000</v>
      </c>
      <c r="D17" s="4065">
        <v>0.3</v>
      </c>
      <c r="E17" s="4065" t="s">
        <v>735</v>
      </c>
      <c r="F17" s="4066"/>
      <c r="G17" s="4067"/>
      <c r="J17" s="4074" t="s">
        <v>764</v>
      </c>
      <c r="K17" s="4074">
        <v>15000</v>
      </c>
      <c r="L17" s="4074">
        <v>600</v>
      </c>
      <c r="M17" s="4074">
        <v>0.01</v>
      </c>
      <c r="N17" s="4074" t="s">
        <v>757</v>
      </c>
    </row>
    <row r="18" spans="1:14" ht="14.45" customHeight="1">
      <c r="A18" s="4065" t="s">
        <v>736</v>
      </c>
      <c r="B18" s="4065">
        <v>3000</v>
      </c>
      <c r="C18" s="4065">
        <v>2000</v>
      </c>
      <c r="D18" s="4065">
        <v>0.3</v>
      </c>
      <c r="E18" s="4065" t="s">
        <v>735</v>
      </c>
      <c r="F18" s="4066"/>
      <c r="G18" s="4067"/>
      <c r="J18" s="4074" t="s">
        <v>765</v>
      </c>
      <c r="K18" s="4074">
        <v>15000</v>
      </c>
      <c r="L18" s="4074">
        <v>400</v>
      </c>
      <c r="M18" s="4074">
        <v>0.01</v>
      </c>
      <c r="N18" s="4074" t="s">
        <v>757</v>
      </c>
    </row>
    <row r="19" spans="1:14" ht="14.45" customHeight="1">
      <c r="A19" s="4065" t="s">
        <v>740</v>
      </c>
      <c r="B19" s="4065">
        <v>3500</v>
      </c>
      <c r="C19" s="4065">
        <v>2000</v>
      </c>
      <c r="D19" s="4065" t="s">
        <v>766</v>
      </c>
      <c r="E19" s="4065" t="s">
        <v>735</v>
      </c>
      <c r="F19" s="4066"/>
      <c r="G19" s="4067"/>
      <c r="J19" s="4420"/>
      <c r="K19" s="4420"/>
      <c r="L19" s="4420"/>
      <c r="M19" s="4420"/>
      <c r="N19" s="4420"/>
    </row>
    <row r="20" spans="1:14" ht="14.45" customHeight="1">
      <c r="A20" s="4065" t="s">
        <v>743</v>
      </c>
      <c r="B20" s="4065">
        <v>3600</v>
      </c>
      <c r="C20" s="4065">
        <v>1800</v>
      </c>
      <c r="D20" s="4065" t="s">
        <v>767</v>
      </c>
      <c r="E20" s="4065" t="s">
        <v>735</v>
      </c>
      <c r="F20" s="4066"/>
      <c r="G20" s="4067"/>
      <c r="J20" s="1367"/>
      <c r="K20" s="1367"/>
      <c r="L20" s="1367"/>
      <c r="M20" s="1367"/>
      <c r="N20" s="1367"/>
    </row>
    <row r="21" spans="1:14" ht="14.45" customHeight="1">
      <c r="A21" s="4065" t="s">
        <v>746</v>
      </c>
      <c r="B21" s="4065" t="s">
        <v>768</v>
      </c>
      <c r="C21" s="4065">
        <v>1800</v>
      </c>
      <c r="D21" s="4065" t="s">
        <v>769</v>
      </c>
      <c r="E21" s="4065" t="s">
        <v>735</v>
      </c>
      <c r="F21" s="4066"/>
      <c r="G21" s="4067"/>
      <c r="J21" s="4076" t="s">
        <v>728</v>
      </c>
      <c r="K21" s="4076" t="s">
        <v>729</v>
      </c>
      <c r="L21" s="4076" t="s">
        <v>730</v>
      </c>
      <c r="M21" s="4076" t="s">
        <v>731</v>
      </c>
      <c r="N21" s="4076" t="s">
        <v>732</v>
      </c>
    </row>
    <row r="22" spans="1:14" ht="14.45" customHeight="1">
      <c r="A22" s="4065" t="s">
        <v>748</v>
      </c>
      <c r="B22" s="4065" t="s">
        <v>770</v>
      </c>
      <c r="C22" s="4065">
        <v>1600</v>
      </c>
      <c r="D22" s="4065" t="s">
        <v>771</v>
      </c>
      <c r="E22" s="4065" t="s">
        <v>735</v>
      </c>
      <c r="F22" s="4066"/>
      <c r="G22" s="4067"/>
      <c r="J22" s="4076" t="s">
        <v>772</v>
      </c>
      <c r="K22" s="4076">
        <v>12000</v>
      </c>
      <c r="L22" s="4076">
        <v>9000</v>
      </c>
      <c r="M22" s="4076">
        <v>0.05</v>
      </c>
      <c r="N22" s="4076" t="s">
        <v>773</v>
      </c>
    </row>
    <row r="23" spans="1:14" ht="14.45" customHeight="1">
      <c r="A23" s="4065" t="s">
        <v>750</v>
      </c>
      <c r="B23" s="4065" t="s">
        <v>774</v>
      </c>
      <c r="C23" s="4065">
        <v>1600</v>
      </c>
      <c r="D23" s="4065" t="s">
        <v>775</v>
      </c>
      <c r="E23" s="4065" t="s">
        <v>735</v>
      </c>
      <c r="F23" s="4066"/>
      <c r="G23" s="4067"/>
      <c r="J23" s="4076" t="s">
        <v>776</v>
      </c>
      <c r="K23" s="4076">
        <v>12000</v>
      </c>
      <c r="L23" s="4076">
        <v>7000</v>
      </c>
      <c r="M23" s="4076">
        <v>0.05</v>
      </c>
      <c r="N23" s="4076" t="s">
        <v>773</v>
      </c>
    </row>
    <row r="24" spans="1:14" ht="14.45" customHeight="1">
      <c r="A24" s="4065" t="s">
        <v>752</v>
      </c>
      <c r="B24" s="4065" t="s">
        <v>777</v>
      </c>
      <c r="C24" s="4065" t="s">
        <v>778</v>
      </c>
      <c r="D24" s="4065" t="s">
        <v>779</v>
      </c>
      <c r="E24" s="4065" t="s">
        <v>735</v>
      </c>
      <c r="F24" s="4066"/>
      <c r="G24" s="4067"/>
      <c r="J24" s="4076" t="s">
        <v>780</v>
      </c>
      <c r="K24" s="4076">
        <v>13000</v>
      </c>
      <c r="L24" s="4076">
        <v>6000</v>
      </c>
      <c r="M24" s="4076">
        <v>0.03</v>
      </c>
      <c r="N24" s="4076" t="s">
        <v>773</v>
      </c>
    </row>
    <row r="25" spans="1:14" ht="14.45" customHeight="1">
      <c r="A25" s="4065" t="s">
        <v>754</v>
      </c>
      <c r="B25" s="4065" t="s">
        <v>781</v>
      </c>
      <c r="C25" s="4065" t="s">
        <v>782</v>
      </c>
      <c r="D25" s="4065">
        <v>0.06</v>
      </c>
      <c r="E25" s="4065" t="s">
        <v>783</v>
      </c>
      <c r="F25" s="4066"/>
      <c r="G25" s="4067"/>
      <c r="J25" s="4076" t="s">
        <v>784</v>
      </c>
      <c r="K25" s="4076">
        <v>13000</v>
      </c>
      <c r="L25" s="4076">
        <v>5000</v>
      </c>
      <c r="M25" s="4076">
        <v>0.03</v>
      </c>
      <c r="N25" s="4076" t="s">
        <v>773</v>
      </c>
    </row>
    <row r="26" spans="1:14" ht="14.45" customHeight="1">
      <c r="A26" s="4065" t="s">
        <v>756</v>
      </c>
      <c r="B26" s="4065" t="s">
        <v>785</v>
      </c>
      <c r="C26" s="4065" t="s">
        <v>786</v>
      </c>
      <c r="D26" s="4065" t="s">
        <v>787</v>
      </c>
      <c r="E26" s="4065" t="s">
        <v>783</v>
      </c>
      <c r="F26" s="4066"/>
      <c r="G26" s="4067"/>
      <c r="J26" s="4076" t="s">
        <v>788</v>
      </c>
      <c r="K26" s="4076">
        <v>13000</v>
      </c>
      <c r="L26" s="4076">
        <v>4000</v>
      </c>
      <c r="M26" s="4076">
        <v>0.02</v>
      </c>
      <c r="N26" s="4076" t="s">
        <v>773</v>
      </c>
    </row>
    <row r="27" spans="1:14" ht="14.45" customHeight="1">
      <c r="A27" s="4065" t="s">
        <v>759</v>
      </c>
      <c r="B27" s="4065">
        <v>5500</v>
      </c>
      <c r="C27" s="4065" t="s">
        <v>789</v>
      </c>
      <c r="D27" s="4065" t="s">
        <v>790</v>
      </c>
      <c r="E27" s="4065" t="s">
        <v>783</v>
      </c>
      <c r="F27" s="4066"/>
      <c r="G27" s="4067"/>
      <c r="J27" s="4076" t="s">
        <v>791</v>
      </c>
      <c r="K27" s="4076">
        <v>14000</v>
      </c>
      <c r="L27" s="4076">
        <v>3500</v>
      </c>
      <c r="M27" s="4076">
        <v>0.02</v>
      </c>
      <c r="N27" s="4076" t="s">
        <v>773</v>
      </c>
    </row>
    <row r="28" spans="1:14" ht="14.45" customHeight="1">
      <c r="A28" s="4065" t="s">
        <v>761</v>
      </c>
      <c r="B28" s="4065" t="s">
        <v>792</v>
      </c>
      <c r="C28" s="4065" t="s">
        <v>793</v>
      </c>
      <c r="D28" s="4065">
        <v>0.01</v>
      </c>
      <c r="E28" s="4065" t="s">
        <v>783</v>
      </c>
      <c r="F28" s="4413" t="s">
        <v>794</v>
      </c>
      <c r="G28" s="4065" t="s">
        <v>795</v>
      </c>
      <c r="J28" s="4077" t="s">
        <v>796</v>
      </c>
      <c r="K28" s="4077">
        <v>15000</v>
      </c>
      <c r="L28" s="4077">
        <v>3000</v>
      </c>
      <c r="M28" s="4077">
        <v>0.02</v>
      </c>
      <c r="N28" s="4077" t="s">
        <v>773</v>
      </c>
    </row>
    <row r="29" spans="1:14" ht="14.45" customHeight="1">
      <c r="A29" s="4065" t="s">
        <v>762</v>
      </c>
      <c r="B29" s="4065">
        <v>6000</v>
      </c>
      <c r="C29" s="4065">
        <v>120</v>
      </c>
      <c r="D29" s="4065">
        <v>0.01</v>
      </c>
      <c r="E29" s="4065" t="s">
        <v>783</v>
      </c>
      <c r="F29" s="4414"/>
      <c r="G29" s="4065"/>
      <c r="J29" s="1367"/>
      <c r="K29" s="1367"/>
      <c r="L29" s="1367"/>
      <c r="M29" s="1367"/>
      <c r="N29" s="1367"/>
    </row>
    <row r="30" spans="1:14" ht="14.45" customHeight="1">
      <c r="A30" s="4065" t="s">
        <v>764</v>
      </c>
      <c r="B30" s="4065">
        <v>6300</v>
      </c>
      <c r="C30" s="4065">
        <v>100</v>
      </c>
      <c r="D30" s="4065">
        <v>0.01</v>
      </c>
      <c r="E30" s="4065" t="s">
        <v>783</v>
      </c>
      <c r="F30" s="4414"/>
      <c r="G30" s="4065"/>
      <c r="J30" s="1367"/>
      <c r="K30" s="1367"/>
      <c r="L30" s="1367"/>
      <c r="M30" s="1367"/>
      <c r="N30" s="1367"/>
    </row>
    <row r="31" spans="1:14" ht="14.45" customHeight="1">
      <c r="A31" s="4065" t="s">
        <v>765</v>
      </c>
      <c r="B31" s="4065">
        <v>6500</v>
      </c>
      <c r="C31" s="4065">
        <v>80</v>
      </c>
      <c r="D31" s="4065">
        <v>0.01</v>
      </c>
      <c r="E31" s="4065" t="s">
        <v>783</v>
      </c>
      <c r="F31" s="4415"/>
      <c r="G31" s="4065"/>
      <c r="J31" s="4078" t="s">
        <v>728</v>
      </c>
      <c r="K31" s="4078" t="s">
        <v>729</v>
      </c>
      <c r="L31" s="4078" t="s">
        <v>730</v>
      </c>
      <c r="M31" s="4078" t="s">
        <v>731</v>
      </c>
      <c r="N31" s="4078" t="s">
        <v>732</v>
      </c>
    </row>
    <row r="32" spans="1:14" ht="24" customHeight="1">
      <c r="A32" s="4407" t="s">
        <v>797</v>
      </c>
      <c r="B32" s="4408"/>
      <c r="C32" s="4408"/>
      <c r="D32" s="4408"/>
      <c r="E32" s="4409"/>
      <c r="F32" s="4065"/>
      <c r="G32" s="4065"/>
      <c r="J32" s="4078" t="s">
        <v>798</v>
      </c>
      <c r="K32" s="4078">
        <v>7000</v>
      </c>
      <c r="L32" s="4078">
        <v>3500</v>
      </c>
      <c r="M32" s="4078"/>
      <c r="N32" s="4078" t="s">
        <v>771</v>
      </c>
    </row>
    <row r="33" spans="1:14" ht="30" customHeight="1">
      <c r="A33" s="4410"/>
      <c r="B33" s="4410"/>
      <c r="C33" s="4410"/>
      <c r="D33" s="4410"/>
      <c r="E33" s="4410"/>
      <c r="J33" s="4078" t="s">
        <v>799</v>
      </c>
      <c r="K33" s="4078">
        <v>8000</v>
      </c>
      <c r="L33" s="4078">
        <v>3000</v>
      </c>
      <c r="M33" s="4078"/>
      <c r="N33" s="4078" t="s">
        <v>800</v>
      </c>
    </row>
    <row r="34" spans="1:14">
      <c r="J34" s="4078" t="s">
        <v>801</v>
      </c>
      <c r="K34" s="4078">
        <v>9000</v>
      </c>
      <c r="L34" s="4078">
        <v>2800</v>
      </c>
      <c r="M34" s="4078"/>
      <c r="N34" s="4078" t="s">
        <v>561</v>
      </c>
    </row>
    <row r="35" spans="1:14">
      <c r="A35" s="4068" t="s">
        <v>728</v>
      </c>
      <c r="B35" s="4068" t="s">
        <v>729</v>
      </c>
      <c r="C35" s="4068" t="s">
        <v>730</v>
      </c>
      <c r="D35" s="4068" t="s">
        <v>731</v>
      </c>
      <c r="E35" s="4068" t="s">
        <v>732</v>
      </c>
      <c r="F35" s="4069"/>
      <c r="J35" s="4078" t="s">
        <v>802</v>
      </c>
      <c r="K35" s="4078">
        <v>10000</v>
      </c>
      <c r="L35" s="4078">
        <v>2500</v>
      </c>
      <c r="M35" s="4078"/>
      <c r="N35" s="4078" t="s">
        <v>775</v>
      </c>
    </row>
    <row r="36" spans="1:14">
      <c r="A36" s="4068" t="s">
        <v>772</v>
      </c>
      <c r="B36" s="4068">
        <v>3800</v>
      </c>
      <c r="C36" s="4068">
        <v>2500</v>
      </c>
      <c r="D36" s="4068" t="s">
        <v>766</v>
      </c>
      <c r="E36" s="4068" t="s">
        <v>773</v>
      </c>
      <c r="F36" s="4069"/>
      <c r="J36" s="4078" t="s">
        <v>803</v>
      </c>
      <c r="K36" s="4078">
        <v>12000</v>
      </c>
      <c r="L36" s="4078">
        <v>2000</v>
      </c>
      <c r="M36" s="4078"/>
      <c r="N36" s="4078" t="s">
        <v>804</v>
      </c>
    </row>
    <row r="37" spans="1:14">
      <c r="A37" s="4068" t="s">
        <v>776</v>
      </c>
      <c r="B37" s="4068">
        <v>3800</v>
      </c>
      <c r="C37" s="4068">
        <v>2400</v>
      </c>
      <c r="D37" s="4068" t="s">
        <v>767</v>
      </c>
      <c r="E37" s="4068" t="s">
        <v>773</v>
      </c>
      <c r="F37" s="4069"/>
      <c r="J37" s="4078" t="s">
        <v>805</v>
      </c>
      <c r="K37" s="4078">
        <v>13000</v>
      </c>
      <c r="L37" s="4078">
        <v>1500</v>
      </c>
      <c r="M37" s="4078"/>
      <c r="N37" s="4078" t="s">
        <v>806</v>
      </c>
    </row>
    <row r="38" spans="1:14">
      <c r="A38" s="4068" t="s">
        <v>780</v>
      </c>
      <c r="B38" s="4068" t="s">
        <v>807</v>
      </c>
      <c r="C38" s="4068">
        <v>2200</v>
      </c>
      <c r="D38" s="4068">
        <v>0.2</v>
      </c>
      <c r="E38" s="4068" t="s">
        <v>773</v>
      </c>
      <c r="F38" s="4069"/>
      <c r="J38" s="4078" t="s">
        <v>808</v>
      </c>
      <c r="K38" s="4078">
        <v>15000</v>
      </c>
      <c r="L38" s="4078">
        <v>1000</v>
      </c>
      <c r="M38" s="4078"/>
      <c r="N38" s="4078" t="s">
        <v>787</v>
      </c>
    </row>
    <row r="39" spans="1:14">
      <c r="A39" s="4068" t="s">
        <v>784</v>
      </c>
      <c r="B39" s="4068" t="s">
        <v>770</v>
      </c>
      <c r="C39" s="4068">
        <v>1800</v>
      </c>
      <c r="D39" s="4068" t="s">
        <v>771</v>
      </c>
      <c r="E39" s="4068" t="s">
        <v>773</v>
      </c>
      <c r="F39" s="4069"/>
      <c r="J39" s="4078" t="s">
        <v>809</v>
      </c>
      <c r="K39" s="4078">
        <v>15000</v>
      </c>
      <c r="L39" s="4078">
        <v>800</v>
      </c>
      <c r="M39" s="4078"/>
      <c r="N39" s="4078">
        <v>0.02</v>
      </c>
    </row>
    <row r="40" spans="1:14">
      <c r="A40" s="4068" t="s">
        <v>788</v>
      </c>
      <c r="B40" s="4068" t="s">
        <v>777</v>
      </c>
      <c r="C40" s="4068" t="s">
        <v>778</v>
      </c>
      <c r="D40" s="4068" t="s">
        <v>810</v>
      </c>
      <c r="E40" s="4068" t="s">
        <v>773</v>
      </c>
      <c r="F40" s="4069"/>
      <c r="J40" s="4078" t="s">
        <v>811</v>
      </c>
      <c r="K40" s="4078">
        <v>15000</v>
      </c>
      <c r="L40" s="4078">
        <v>600</v>
      </c>
      <c r="M40" s="4078"/>
      <c r="N40" s="4078">
        <v>0.01</v>
      </c>
    </row>
    <row r="41" spans="1:14">
      <c r="A41" s="4068" t="s">
        <v>791</v>
      </c>
      <c r="B41" s="4068" t="s">
        <v>777</v>
      </c>
      <c r="C41" s="4068" t="s">
        <v>812</v>
      </c>
      <c r="D41" s="4068" t="s">
        <v>804</v>
      </c>
      <c r="E41" s="4068" t="s">
        <v>773</v>
      </c>
      <c r="F41" s="4069"/>
      <c r="J41" s="4078" t="s">
        <v>813</v>
      </c>
      <c r="K41" s="4078">
        <v>15000</v>
      </c>
      <c r="L41" s="4078">
        <v>400</v>
      </c>
      <c r="M41" s="4078"/>
      <c r="N41" s="4078">
        <v>0.01</v>
      </c>
    </row>
    <row r="42" spans="1:14">
      <c r="A42" s="4068" t="s">
        <v>796</v>
      </c>
      <c r="B42" s="4068" t="s">
        <v>781</v>
      </c>
      <c r="C42" s="4068" t="s">
        <v>814</v>
      </c>
      <c r="D42" s="4068" t="s">
        <v>815</v>
      </c>
      <c r="E42" s="4068" t="s">
        <v>773</v>
      </c>
      <c r="F42" s="4069"/>
      <c r="J42" s="4411" t="s">
        <v>816</v>
      </c>
      <c r="K42" s="4411"/>
      <c r="L42" s="4411"/>
      <c r="M42" s="4411"/>
      <c r="N42" s="4411"/>
    </row>
    <row r="43" spans="1:14" s="4059" customFormat="1" ht="33.75" customHeight="1">
      <c r="A43" s="4412" t="s">
        <v>817</v>
      </c>
      <c r="B43" s="4412"/>
      <c r="C43" s="4412"/>
      <c r="D43" s="4412"/>
      <c r="E43" s="4412"/>
      <c r="F43" s="4070"/>
      <c r="G43" s="4071"/>
      <c r="J43" s="4079"/>
      <c r="K43" s="4079"/>
      <c r="L43" s="4079"/>
      <c r="M43" s="4079"/>
      <c r="N43" s="4079"/>
    </row>
    <row r="44" spans="1:14" ht="31.5" customHeight="1"/>
    <row r="46" spans="1:14" ht="14.45" customHeight="1">
      <c r="A46" s="4072" t="s">
        <v>728</v>
      </c>
      <c r="B46" s="4072" t="s">
        <v>729</v>
      </c>
      <c r="C46" s="4072" t="s">
        <v>730</v>
      </c>
      <c r="D46" s="4072" t="s">
        <v>731</v>
      </c>
      <c r="E46" s="4072" t="s">
        <v>732</v>
      </c>
      <c r="F46" s="4073"/>
    </row>
    <row r="47" spans="1:14" ht="14.45" customHeight="1">
      <c r="A47" s="4072" t="s">
        <v>818</v>
      </c>
      <c r="B47" s="4072">
        <v>3200</v>
      </c>
      <c r="C47" s="4072" t="s">
        <v>819</v>
      </c>
      <c r="D47" s="4072"/>
      <c r="E47" s="4072" t="s">
        <v>820</v>
      </c>
      <c r="F47" s="4073"/>
    </row>
    <row r="48" spans="1:14" ht="14.45" customHeight="1">
      <c r="A48" s="4072" t="s">
        <v>798</v>
      </c>
      <c r="B48" s="4072">
        <v>3500</v>
      </c>
      <c r="C48" s="4072" t="s">
        <v>821</v>
      </c>
      <c r="D48" s="4072"/>
      <c r="E48" s="4072" t="s">
        <v>771</v>
      </c>
      <c r="F48" s="4073"/>
    </row>
    <row r="49" spans="1:6" ht="14.45" customHeight="1">
      <c r="A49" s="4072" t="s">
        <v>799</v>
      </c>
      <c r="B49" s="4072" t="s">
        <v>822</v>
      </c>
      <c r="C49" s="4072" t="s">
        <v>778</v>
      </c>
      <c r="D49" s="4072"/>
      <c r="E49" s="4072" t="s">
        <v>800</v>
      </c>
      <c r="F49" s="4073"/>
    </row>
    <row r="50" spans="1:6" ht="14.45" customHeight="1">
      <c r="A50" s="4072" t="s">
        <v>801</v>
      </c>
      <c r="B50" s="4072" t="s">
        <v>823</v>
      </c>
      <c r="C50" s="4072" t="s">
        <v>778</v>
      </c>
      <c r="D50" s="4072"/>
      <c r="E50" s="4072" t="s">
        <v>561</v>
      </c>
      <c r="F50" s="4073"/>
    </row>
    <row r="51" spans="1:6" ht="14.45" customHeight="1">
      <c r="A51" s="4072" t="s">
        <v>802</v>
      </c>
      <c r="B51" s="4072" t="s">
        <v>824</v>
      </c>
      <c r="C51" s="4072" t="s">
        <v>778</v>
      </c>
      <c r="D51" s="4072"/>
      <c r="E51" s="4072" t="s">
        <v>775</v>
      </c>
      <c r="F51" s="4073"/>
    </row>
    <row r="52" spans="1:6" ht="14.45" customHeight="1">
      <c r="A52" s="4072" t="s">
        <v>803</v>
      </c>
      <c r="B52" s="4072" t="s">
        <v>825</v>
      </c>
      <c r="C52" s="4072" t="s">
        <v>812</v>
      </c>
      <c r="D52" s="4072"/>
      <c r="E52" s="4072" t="s">
        <v>804</v>
      </c>
      <c r="F52" s="4073"/>
    </row>
    <row r="53" spans="1:6" ht="14.45" customHeight="1">
      <c r="A53" s="4072" t="s">
        <v>805</v>
      </c>
      <c r="B53" s="4072" t="s">
        <v>777</v>
      </c>
      <c r="C53" s="4072" t="s">
        <v>826</v>
      </c>
      <c r="D53" s="4072"/>
      <c r="E53" s="4072" t="s">
        <v>806</v>
      </c>
      <c r="F53" s="4073"/>
    </row>
    <row r="54" spans="1:6" ht="14.45" customHeight="1">
      <c r="A54" s="4072" t="s">
        <v>808</v>
      </c>
      <c r="B54" s="4072" t="s">
        <v>785</v>
      </c>
      <c r="C54" s="4072" t="s">
        <v>827</v>
      </c>
      <c r="D54" s="4072"/>
      <c r="E54" s="4072" t="s">
        <v>787</v>
      </c>
      <c r="F54" s="4073"/>
    </row>
    <row r="55" spans="1:6" ht="14.45" customHeight="1">
      <c r="A55" s="4072" t="s">
        <v>809</v>
      </c>
      <c r="B55" s="4072" t="s">
        <v>792</v>
      </c>
      <c r="C55" s="4072" t="s">
        <v>789</v>
      </c>
      <c r="D55" s="4072"/>
      <c r="E55" s="4072">
        <v>0.02</v>
      </c>
      <c r="F55" s="4073"/>
    </row>
    <row r="56" spans="1:6" ht="14.45" customHeight="1">
      <c r="A56" s="4072" t="s">
        <v>811</v>
      </c>
      <c r="B56" s="4072" t="s">
        <v>828</v>
      </c>
      <c r="C56" s="4072" t="s">
        <v>829</v>
      </c>
      <c r="D56" s="4072"/>
      <c r="E56" s="4072">
        <v>0.01</v>
      </c>
      <c r="F56" s="4073"/>
    </row>
    <row r="57" spans="1:6" ht="14.45" customHeight="1">
      <c r="A57" s="4072" t="s">
        <v>813</v>
      </c>
      <c r="B57" s="4072" t="s">
        <v>830</v>
      </c>
      <c r="C57" s="4072" t="s">
        <v>831</v>
      </c>
      <c r="D57" s="4072"/>
      <c r="E57" s="4072">
        <v>0.01</v>
      </c>
      <c r="F57" s="4073"/>
    </row>
    <row r="77" ht="33" customHeight="1"/>
    <row r="78" ht="21" customHeight="1"/>
  </sheetData>
  <mergeCells count="10">
    <mergeCell ref="A1:Q1"/>
    <mergeCell ref="A2:D2"/>
    <mergeCell ref="J2:N2"/>
    <mergeCell ref="A14:E14"/>
    <mergeCell ref="J19:N19"/>
    <mergeCell ref="A32:E32"/>
    <mergeCell ref="A33:E33"/>
    <mergeCell ref="J42:N42"/>
    <mergeCell ref="A43:E43"/>
    <mergeCell ref="F28:F31"/>
  </mergeCells>
  <phoneticPr fontId="214" type="noConversion"/>
  <pageMargins left="0.75" right="0.75" top="1" bottom="1" header="0.5" footer="0.5"/>
  <pageSetup paperSize="9" orientation="portrait"/>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U150"/>
  <sheetViews>
    <sheetView workbookViewId="0">
      <selection activeCell="X11" sqref="X11"/>
    </sheetView>
  </sheetViews>
  <sheetFormatPr defaultColWidth="9" defaultRowHeight="14.25"/>
  <cols>
    <col min="1" max="1" width="7.625" style="4039" customWidth="1"/>
    <col min="2" max="3" width="7.125" style="4039" customWidth="1"/>
    <col min="4" max="5" width="5.125" style="4039" customWidth="1"/>
    <col min="6" max="7" width="7.125" style="4039" customWidth="1"/>
    <col min="8" max="9" width="5.125" style="4039" customWidth="1"/>
    <col min="10" max="11" width="7.125" style="4039" customWidth="1"/>
    <col min="12" max="13" width="5.125" style="4039" customWidth="1"/>
    <col min="14" max="15" width="7.125" style="4039" customWidth="1"/>
    <col min="16" max="17" width="5.125" style="4039" customWidth="1"/>
    <col min="18" max="19" width="7.125" style="4039" customWidth="1"/>
    <col min="20" max="21" width="5.125" style="4039" customWidth="1"/>
    <col min="22" max="256" width="9" style="4039"/>
    <col min="257" max="257" width="7.625" style="4039" customWidth="1"/>
    <col min="258" max="259" width="7.125" style="4039" customWidth="1"/>
    <col min="260" max="261" width="5.125" style="4039" customWidth="1"/>
    <col min="262" max="263" width="7.125" style="4039" customWidth="1"/>
    <col min="264" max="265" width="5.125" style="4039" customWidth="1"/>
    <col min="266" max="267" width="7.125" style="4039" customWidth="1"/>
    <col min="268" max="269" width="5.125" style="4039" customWidth="1"/>
    <col min="270" max="271" width="7.125" style="4039" customWidth="1"/>
    <col min="272" max="273" width="5.125" style="4039" customWidth="1"/>
    <col min="274" max="275" width="7.125" style="4039" customWidth="1"/>
    <col min="276" max="277" width="5.125" style="4039" customWidth="1"/>
    <col min="278" max="512" width="9" style="4039"/>
    <col min="513" max="513" width="7.625" style="4039" customWidth="1"/>
    <col min="514" max="515" width="7.125" style="4039" customWidth="1"/>
    <col min="516" max="517" width="5.125" style="4039" customWidth="1"/>
    <col min="518" max="519" width="7.125" style="4039" customWidth="1"/>
    <col min="520" max="521" width="5.125" style="4039" customWidth="1"/>
    <col min="522" max="523" width="7.125" style="4039" customWidth="1"/>
    <col min="524" max="525" width="5.125" style="4039" customWidth="1"/>
    <col min="526" max="527" width="7.125" style="4039" customWidth="1"/>
    <col min="528" max="529" width="5.125" style="4039" customWidth="1"/>
    <col min="530" max="531" width="7.125" style="4039" customWidth="1"/>
    <col min="532" max="533" width="5.125" style="4039" customWidth="1"/>
    <col min="534" max="768" width="9" style="4039"/>
    <col min="769" max="769" width="7.625" style="4039" customWidth="1"/>
    <col min="770" max="771" width="7.125" style="4039" customWidth="1"/>
    <col min="772" max="773" width="5.125" style="4039" customWidth="1"/>
    <col min="774" max="775" width="7.125" style="4039" customWidth="1"/>
    <col min="776" max="777" width="5.125" style="4039" customWidth="1"/>
    <col min="778" max="779" width="7.125" style="4039" customWidth="1"/>
    <col min="780" max="781" width="5.125" style="4039" customWidth="1"/>
    <col min="782" max="783" width="7.125" style="4039" customWidth="1"/>
    <col min="784" max="785" width="5.125" style="4039" customWidth="1"/>
    <col min="786" max="787" width="7.125" style="4039" customWidth="1"/>
    <col min="788" max="789" width="5.125" style="4039" customWidth="1"/>
    <col min="790" max="1024" width="9" style="4039"/>
    <col min="1025" max="1025" width="7.625" style="4039" customWidth="1"/>
    <col min="1026" max="1027" width="7.125" style="4039" customWidth="1"/>
    <col min="1028" max="1029" width="5.125" style="4039" customWidth="1"/>
    <col min="1030" max="1031" width="7.125" style="4039" customWidth="1"/>
    <col min="1032" max="1033" width="5.125" style="4039" customWidth="1"/>
    <col min="1034" max="1035" width="7.125" style="4039" customWidth="1"/>
    <col min="1036" max="1037" width="5.125" style="4039" customWidth="1"/>
    <col min="1038" max="1039" width="7.125" style="4039" customWidth="1"/>
    <col min="1040" max="1041" width="5.125" style="4039" customWidth="1"/>
    <col min="1042" max="1043" width="7.125" style="4039" customWidth="1"/>
    <col min="1044" max="1045" width="5.125" style="4039" customWidth="1"/>
    <col min="1046" max="1280" width="9" style="4039"/>
    <col min="1281" max="1281" width="7.625" style="4039" customWidth="1"/>
    <col min="1282" max="1283" width="7.125" style="4039" customWidth="1"/>
    <col min="1284" max="1285" width="5.125" style="4039" customWidth="1"/>
    <col min="1286" max="1287" width="7.125" style="4039" customWidth="1"/>
    <col min="1288" max="1289" width="5.125" style="4039" customWidth="1"/>
    <col min="1290" max="1291" width="7.125" style="4039" customWidth="1"/>
    <col min="1292" max="1293" width="5.125" style="4039" customWidth="1"/>
    <col min="1294" max="1295" width="7.125" style="4039" customWidth="1"/>
    <col min="1296" max="1297" width="5.125" style="4039" customWidth="1"/>
    <col min="1298" max="1299" width="7.125" style="4039" customWidth="1"/>
    <col min="1300" max="1301" width="5.125" style="4039" customWidth="1"/>
    <col min="1302" max="1536" width="9" style="4039"/>
    <col min="1537" max="1537" width="7.625" style="4039" customWidth="1"/>
    <col min="1538" max="1539" width="7.125" style="4039" customWidth="1"/>
    <col min="1540" max="1541" width="5.125" style="4039" customWidth="1"/>
    <col min="1542" max="1543" width="7.125" style="4039" customWidth="1"/>
    <col min="1544" max="1545" width="5.125" style="4039" customWidth="1"/>
    <col min="1546" max="1547" width="7.125" style="4039" customWidth="1"/>
    <col min="1548" max="1549" width="5.125" style="4039" customWidth="1"/>
    <col min="1550" max="1551" width="7.125" style="4039" customWidth="1"/>
    <col min="1552" max="1553" width="5.125" style="4039" customWidth="1"/>
    <col min="1554" max="1555" width="7.125" style="4039" customWidth="1"/>
    <col min="1556" max="1557" width="5.125" style="4039" customWidth="1"/>
    <col min="1558" max="1792" width="9" style="4039"/>
    <col min="1793" max="1793" width="7.625" style="4039" customWidth="1"/>
    <col min="1794" max="1795" width="7.125" style="4039" customWidth="1"/>
    <col min="1796" max="1797" width="5.125" style="4039" customWidth="1"/>
    <col min="1798" max="1799" width="7.125" style="4039" customWidth="1"/>
    <col min="1800" max="1801" width="5.125" style="4039" customWidth="1"/>
    <col min="1802" max="1803" width="7.125" style="4039" customWidth="1"/>
    <col min="1804" max="1805" width="5.125" style="4039" customWidth="1"/>
    <col min="1806" max="1807" width="7.125" style="4039" customWidth="1"/>
    <col min="1808" max="1809" width="5.125" style="4039" customWidth="1"/>
    <col min="1810" max="1811" width="7.125" style="4039" customWidth="1"/>
    <col min="1812" max="1813" width="5.125" style="4039" customWidth="1"/>
    <col min="1814" max="2048" width="9" style="4039"/>
    <col min="2049" max="2049" width="7.625" style="4039" customWidth="1"/>
    <col min="2050" max="2051" width="7.125" style="4039" customWidth="1"/>
    <col min="2052" max="2053" width="5.125" style="4039" customWidth="1"/>
    <col min="2054" max="2055" width="7.125" style="4039" customWidth="1"/>
    <col min="2056" max="2057" width="5.125" style="4039" customWidth="1"/>
    <col min="2058" max="2059" width="7.125" style="4039" customWidth="1"/>
    <col min="2060" max="2061" width="5.125" style="4039" customWidth="1"/>
    <col min="2062" max="2063" width="7.125" style="4039" customWidth="1"/>
    <col min="2064" max="2065" width="5.125" style="4039" customWidth="1"/>
    <col min="2066" max="2067" width="7.125" style="4039" customWidth="1"/>
    <col min="2068" max="2069" width="5.125" style="4039" customWidth="1"/>
    <col min="2070" max="2304" width="9" style="4039"/>
    <col min="2305" max="2305" width="7.625" style="4039" customWidth="1"/>
    <col min="2306" max="2307" width="7.125" style="4039" customWidth="1"/>
    <col min="2308" max="2309" width="5.125" style="4039" customWidth="1"/>
    <col min="2310" max="2311" width="7.125" style="4039" customWidth="1"/>
    <col min="2312" max="2313" width="5.125" style="4039" customWidth="1"/>
    <col min="2314" max="2315" width="7.125" style="4039" customWidth="1"/>
    <col min="2316" max="2317" width="5.125" style="4039" customWidth="1"/>
    <col min="2318" max="2319" width="7.125" style="4039" customWidth="1"/>
    <col min="2320" max="2321" width="5.125" style="4039" customWidth="1"/>
    <col min="2322" max="2323" width="7.125" style="4039" customWidth="1"/>
    <col min="2324" max="2325" width="5.125" style="4039" customWidth="1"/>
    <col min="2326" max="2560" width="9" style="4039"/>
    <col min="2561" max="2561" width="7.625" style="4039" customWidth="1"/>
    <col min="2562" max="2563" width="7.125" style="4039" customWidth="1"/>
    <col min="2564" max="2565" width="5.125" style="4039" customWidth="1"/>
    <col min="2566" max="2567" width="7.125" style="4039" customWidth="1"/>
    <col min="2568" max="2569" width="5.125" style="4039" customWidth="1"/>
    <col min="2570" max="2571" width="7.125" style="4039" customWidth="1"/>
    <col min="2572" max="2573" width="5.125" style="4039" customWidth="1"/>
    <col min="2574" max="2575" width="7.125" style="4039" customWidth="1"/>
    <col min="2576" max="2577" width="5.125" style="4039" customWidth="1"/>
    <col min="2578" max="2579" width="7.125" style="4039" customWidth="1"/>
    <col min="2580" max="2581" width="5.125" style="4039" customWidth="1"/>
    <col min="2582" max="2816" width="9" style="4039"/>
    <col min="2817" max="2817" width="7.625" style="4039" customWidth="1"/>
    <col min="2818" max="2819" width="7.125" style="4039" customWidth="1"/>
    <col min="2820" max="2821" width="5.125" style="4039" customWidth="1"/>
    <col min="2822" max="2823" width="7.125" style="4039" customWidth="1"/>
    <col min="2824" max="2825" width="5.125" style="4039" customWidth="1"/>
    <col min="2826" max="2827" width="7.125" style="4039" customWidth="1"/>
    <col min="2828" max="2829" width="5.125" style="4039" customWidth="1"/>
    <col min="2830" max="2831" width="7.125" style="4039" customWidth="1"/>
    <col min="2832" max="2833" width="5.125" style="4039" customWidth="1"/>
    <col min="2834" max="2835" width="7.125" style="4039" customWidth="1"/>
    <col min="2836" max="2837" width="5.125" style="4039" customWidth="1"/>
    <col min="2838" max="3072" width="9" style="4039"/>
    <col min="3073" max="3073" width="7.625" style="4039" customWidth="1"/>
    <col min="3074" max="3075" width="7.125" style="4039" customWidth="1"/>
    <col min="3076" max="3077" width="5.125" style="4039" customWidth="1"/>
    <col min="3078" max="3079" width="7.125" style="4039" customWidth="1"/>
    <col min="3080" max="3081" width="5.125" style="4039" customWidth="1"/>
    <col min="3082" max="3083" width="7.125" style="4039" customWidth="1"/>
    <col min="3084" max="3085" width="5.125" style="4039" customWidth="1"/>
    <col min="3086" max="3087" width="7.125" style="4039" customWidth="1"/>
    <col min="3088" max="3089" width="5.125" style="4039" customWidth="1"/>
    <col min="3090" max="3091" width="7.125" style="4039" customWidth="1"/>
    <col min="3092" max="3093" width="5.125" style="4039" customWidth="1"/>
    <col min="3094" max="3328" width="9" style="4039"/>
    <col min="3329" max="3329" width="7.625" style="4039" customWidth="1"/>
    <col min="3330" max="3331" width="7.125" style="4039" customWidth="1"/>
    <col min="3332" max="3333" width="5.125" style="4039" customWidth="1"/>
    <col min="3334" max="3335" width="7.125" style="4039" customWidth="1"/>
    <col min="3336" max="3337" width="5.125" style="4039" customWidth="1"/>
    <col min="3338" max="3339" width="7.125" style="4039" customWidth="1"/>
    <col min="3340" max="3341" width="5.125" style="4039" customWidth="1"/>
    <col min="3342" max="3343" width="7.125" style="4039" customWidth="1"/>
    <col min="3344" max="3345" width="5.125" style="4039" customWidth="1"/>
    <col min="3346" max="3347" width="7.125" style="4039" customWidth="1"/>
    <col min="3348" max="3349" width="5.125" style="4039" customWidth="1"/>
    <col min="3350" max="3584" width="9" style="4039"/>
    <col min="3585" max="3585" width="7.625" style="4039" customWidth="1"/>
    <col min="3586" max="3587" width="7.125" style="4039" customWidth="1"/>
    <col min="3588" max="3589" width="5.125" style="4039" customWidth="1"/>
    <col min="3590" max="3591" width="7.125" style="4039" customWidth="1"/>
    <col min="3592" max="3593" width="5.125" style="4039" customWidth="1"/>
    <col min="3594" max="3595" width="7.125" style="4039" customWidth="1"/>
    <col min="3596" max="3597" width="5.125" style="4039" customWidth="1"/>
    <col min="3598" max="3599" width="7.125" style="4039" customWidth="1"/>
    <col min="3600" max="3601" width="5.125" style="4039" customWidth="1"/>
    <col min="3602" max="3603" width="7.125" style="4039" customWidth="1"/>
    <col min="3604" max="3605" width="5.125" style="4039" customWidth="1"/>
    <col min="3606" max="3840" width="9" style="4039"/>
    <col min="3841" max="3841" width="7.625" style="4039" customWidth="1"/>
    <col min="3842" max="3843" width="7.125" style="4039" customWidth="1"/>
    <col min="3844" max="3845" width="5.125" style="4039" customWidth="1"/>
    <col min="3846" max="3847" width="7.125" style="4039" customWidth="1"/>
    <col min="3848" max="3849" width="5.125" style="4039" customWidth="1"/>
    <col min="3850" max="3851" width="7.125" style="4039" customWidth="1"/>
    <col min="3852" max="3853" width="5.125" style="4039" customWidth="1"/>
    <col min="3854" max="3855" width="7.125" style="4039" customWidth="1"/>
    <col min="3856" max="3857" width="5.125" style="4039" customWidth="1"/>
    <col min="3858" max="3859" width="7.125" style="4039" customWidth="1"/>
    <col min="3860" max="3861" width="5.125" style="4039" customWidth="1"/>
    <col min="3862" max="4096" width="9" style="4039"/>
    <col min="4097" max="4097" width="7.625" style="4039" customWidth="1"/>
    <col min="4098" max="4099" width="7.125" style="4039" customWidth="1"/>
    <col min="4100" max="4101" width="5.125" style="4039" customWidth="1"/>
    <col min="4102" max="4103" width="7.125" style="4039" customWidth="1"/>
    <col min="4104" max="4105" width="5.125" style="4039" customWidth="1"/>
    <col min="4106" max="4107" width="7.125" style="4039" customWidth="1"/>
    <col min="4108" max="4109" width="5.125" style="4039" customWidth="1"/>
    <col min="4110" max="4111" width="7.125" style="4039" customWidth="1"/>
    <col min="4112" max="4113" width="5.125" style="4039" customWidth="1"/>
    <col min="4114" max="4115" width="7.125" style="4039" customWidth="1"/>
    <col min="4116" max="4117" width="5.125" style="4039" customWidth="1"/>
    <col min="4118" max="4352" width="9" style="4039"/>
    <col min="4353" max="4353" width="7.625" style="4039" customWidth="1"/>
    <col min="4354" max="4355" width="7.125" style="4039" customWidth="1"/>
    <col min="4356" max="4357" width="5.125" style="4039" customWidth="1"/>
    <col min="4358" max="4359" width="7.125" style="4039" customWidth="1"/>
    <col min="4360" max="4361" width="5.125" style="4039" customWidth="1"/>
    <col min="4362" max="4363" width="7.125" style="4039" customWidth="1"/>
    <col min="4364" max="4365" width="5.125" style="4039" customWidth="1"/>
    <col min="4366" max="4367" width="7.125" style="4039" customWidth="1"/>
    <col min="4368" max="4369" width="5.125" style="4039" customWidth="1"/>
    <col min="4370" max="4371" width="7.125" style="4039" customWidth="1"/>
    <col min="4372" max="4373" width="5.125" style="4039" customWidth="1"/>
    <col min="4374" max="4608" width="9" style="4039"/>
    <col min="4609" max="4609" width="7.625" style="4039" customWidth="1"/>
    <col min="4610" max="4611" width="7.125" style="4039" customWidth="1"/>
    <col min="4612" max="4613" width="5.125" style="4039" customWidth="1"/>
    <col min="4614" max="4615" width="7.125" style="4039" customWidth="1"/>
    <col min="4616" max="4617" width="5.125" style="4039" customWidth="1"/>
    <col min="4618" max="4619" width="7.125" style="4039" customWidth="1"/>
    <col min="4620" max="4621" width="5.125" style="4039" customWidth="1"/>
    <col min="4622" max="4623" width="7.125" style="4039" customWidth="1"/>
    <col min="4624" max="4625" width="5.125" style="4039" customWidth="1"/>
    <col min="4626" max="4627" width="7.125" style="4039" customWidth="1"/>
    <col min="4628" max="4629" width="5.125" style="4039" customWidth="1"/>
    <col min="4630" max="4864" width="9" style="4039"/>
    <col min="4865" max="4865" width="7.625" style="4039" customWidth="1"/>
    <col min="4866" max="4867" width="7.125" style="4039" customWidth="1"/>
    <col min="4868" max="4869" width="5.125" style="4039" customWidth="1"/>
    <col min="4870" max="4871" width="7.125" style="4039" customWidth="1"/>
    <col min="4872" max="4873" width="5.125" style="4039" customWidth="1"/>
    <col min="4874" max="4875" width="7.125" style="4039" customWidth="1"/>
    <col min="4876" max="4877" width="5.125" style="4039" customWidth="1"/>
    <col min="4878" max="4879" width="7.125" style="4039" customWidth="1"/>
    <col min="4880" max="4881" width="5.125" style="4039" customWidth="1"/>
    <col min="4882" max="4883" width="7.125" style="4039" customWidth="1"/>
    <col min="4884" max="4885" width="5.125" style="4039" customWidth="1"/>
    <col min="4886" max="5120" width="9" style="4039"/>
    <col min="5121" max="5121" width="7.625" style="4039" customWidth="1"/>
    <col min="5122" max="5123" width="7.125" style="4039" customWidth="1"/>
    <col min="5124" max="5125" width="5.125" style="4039" customWidth="1"/>
    <col min="5126" max="5127" width="7.125" style="4039" customWidth="1"/>
    <col min="5128" max="5129" width="5.125" style="4039" customWidth="1"/>
    <col min="5130" max="5131" width="7.125" style="4039" customWidth="1"/>
    <col min="5132" max="5133" width="5.125" style="4039" customWidth="1"/>
    <col min="5134" max="5135" width="7.125" style="4039" customWidth="1"/>
    <col min="5136" max="5137" width="5.125" style="4039" customWidth="1"/>
    <col min="5138" max="5139" width="7.125" style="4039" customWidth="1"/>
    <col min="5140" max="5141" width="5.125" style="4039" customWidth="1"/>
    <col min="5142" max="5376" width="9" style="4039"/>
    <col min="5377" max="5377" width="7.625" style="4039" customWidth="1"/>
    <col min="5378" max="5379" width="7.125" style="4039" customWidth="1"/>
    <col min="5380" max="5381" width="5.125" style="4039" customWidth="1"/>
    <col min="5382" max="5383" width="7.125" style="4039" customWidth="1"/>
    <col min="5384" max="5385" width="5.125" style="4039" customWidth="1"/>
    <col min="5386" max="5387" width="7.125" style="4039" customWidth="1"/>
    <col min="5388" max="5389" width="5.125" style="4039" customWidth="1"/>
    <col min="5390" max="5391" width="7.125" style="4039" customWidth="1"/>
    <col min="5392" max="5393" width="5.125" style="4039" customWidth="1"/>
    <col min="5394" max="5395" width="7.125" style="4039" customWidth="1"/>
    <col min="5396" max="5397" width="5.125" style="4039" customWidth="1"/>
    <col min="5398" max="5632" width="9" style="4039"/>
    <col min="5633" max="5633" width="7.625" style="4039" customWidth="1"/>
    <col min="5634" max="5635" width="7.125" style="4039" customWidth="1"/>
    <col min="5636" max="5637" width="5.125" style="4039" customWidth="1"/>
    <col min="5638" max="5639" width="7.125" style="4039" customWidth="1"/>
    <col min="5640" max="5641" width="5.125" style="4039" customWidth="1"/>
    <col min="5642" max="5643" width="7.125" style="4039" customWidth="1"/>
    <col min="5644" max="5645" width="5.125" style="4039" customWidth="1"/>
    <col min="5646" max="5647" width="7.125" style="4039" customWidth="1"/>
    <col min="5648" max="5649" width="5.125" style="4039" customWidth="1"/>
    <col min="5650" max="5651" width="7.125" style="4039" customWidth="1"/>
    <col min="5652" max="5653" width="5.125" style="4039" customWidth="1"/>
    <col min="5654" max="5888" width="9" style="4039"/>
    <col min="5889" max="5889" width="7.625" style="4039" customWidth="1"/>
    <col min="5890" max="5891" width="7.125" style="4039" customWidth="1"/>
    <col min="5892" max="5893" width="5.125" style="4039" customWidth="1"/>
    <col min="5894" max="5895" width="7.125" style="4039" customWidth="1"/>
    <col min="5896" max="5897" width="5.125" style="4039" customWidth="1"/>
    <col min="5898" max="5899" width="7.125" style="4039" customWidth="1"/>
    <col min="5900" max="5901" width="5.125" style="4039" customWidth="1"/>
    <col min="5902" max="5903" width="7.125" style="4039" customWidth="1"/>
    <col min="5904" max="5905" width="5.125" style="4039" customWidth="1"/>
    <col min="5906" max="5907" width="7.125" style="4039" customWidth="1"/>
    <col min="5908" max="5909" width="5.125" style="4039" customWidth="1"/>
    <col min="5910" max="6144" width="9" style="4039"/>
    <col min="6145" max="6145" width="7.625" style="4039" customWidth="1"/>
    <col min="6146" max="6147" width="7.125" style="4039" customWidth="1"/>
    <col min="6148" max="6149" width="5.125" style="4039" customWidth="1"/>
    <col min="6150" max="6151" width="7.125" style="4039" customWidth="1"/>
    <col min="6152" max="6153" width="5.125" style="4039" customWidth="1"/>
    <col min="6154" max="6155" width="7.125" style="4039" customWidth="1"/>
    <col min="6156" max="6157" width="5.125" style="4039" customWidth="1"/>
    <col min="6158" max="6159" width="7.125" style="4039" customWidth="1"/>
    <col min="6160" max="6161" width="5.125" style="4039" customWidth="1"/>
    <col min="6162" max="6163" width="7.125" style="4039" customWidth="1"/>
    <col min="6164" max="6165" width="5.125" style="4039" customWidth="1"/>
    <col min="6166" max="6400" width="9" style="4039"/>
    <col min="6401" max="6401" width="7.625" style="4039" customWidth="1"/>
    <col min="6402" max="6403" width="7.125" style="4039" customWidth="1"/>
    <col min="6404" max="6405" width="5.125" style="4039" customWidth="1"/>
    <col min="6406" max="6407" width="7.125" style="4039" customWidth="1"/>
    <col min="6408" max="6409" width="5.125" style="4039" customWidth="1"/>
    <col min="6410" max="6411" width="7.125" style="4039" customWidth="1"/>
    <col min="6412" max="6413" width="5.125" style="4039" customWidth="1"/>
    <col min="6414" max="6415" width="7.125" style="4039" customWidth="1"/>
    <col min="6416" max="6417" width="5.125" style="4039" customWidth="1"/>
    <col min="6418" max="6419" width="7.125" style="4039" customWidth="1"/>
    <col min="6420" max="6421" width="5.125" style="4039" customWidth="1"/>
    <col min="6422" max="6656" width="9" style="4039"/>
    <col min="6657" max="6657" width="7.625" style="4039" customWidth="1"/>
    <col min="6658" max="6659" width="7.125" style="4039" customWidth="1"/>
    <col min="6660" max="6661" width="5.125" style="4039" customWidth="1"/>
    <col min="6662" max="6663" width="7.125" style="4039" customWidth="1"/>
    <col min="6664" max="6665" width="5.125" style="4039" customWidth="1"/>
    <col min="6666" max="6667" width="7.125" style="4039" customWidth="1"/>
    <col min="6668" max="6669" width="5.125" style="4039" customWidth="1"/>
    <col min="6670" max="6671" width="7.125" style="4039" customWidth="1"/>
    <col min="6672" max="6673" width="5.125" style="4039" customWidth="1"/>
    <col min="6674" max="6675" width="7.125" style="4039" customWidth="1"/>
    <col min="6676" max="6677" width="5.125" style="4039" customWidth="1"/>
    <col min="6678" max="6912" width="9" style="4039"/>
    <col min="6913" max="6913" width="7.625" style="4039" customWidth="1"/>
    <col min="6914" max="6915" width="7.125" style="4039" customWidth="1"/>
    <col min="6916" max="6917" width="5.125" style="4039" customWidth="1"/>
    <col min="6918" max="6919" width="7.125" style="4039" customWidth="1"/>
    <col min="6920" max="6921" width="5.125" style="4039" customWidth="1"/>
    <col min="6922" max="6923" width="7.125" style="4039" customWidth="1"/>
    <col min="6924" max="6925" width="5.125" style="4039" customWidth="1"/>
    <col min="6926" max="6927" width="7.125" style="4039" customWidth="1"/>
    <col min="6928" max="6929" width="5.125" style="4039" customWidth="1"/>
    <col min="6930" max="6931" width="7.125" style="4039" customWidth="1"/>
    <col min="6932" max="6933" width="5.125" style="4039" customWidth="1"/>
    <col min="6934" max="7168" width="9" style="4039"/>
    <col min="7169" max="7169" width="7.625" style="4039" customWidth="1"/>
    <col min="7170" max="7171" width="7.125" style="4039" customWidth="1"/>
    <col min="7172" max="7173" width="5.125" style="4039" customWidth="1"/>
    <col min="7174" max="7175" width="7.125" style="4039" customWidth="1"/>
    <col min="7176" max="7177" width="5.125" style="4039" customWidth="1"/>
    <col min="7178" max="7179" width="7.125" style="4039" customWidth="1"/>
    <col min="7180" max="7181" width="5.125" style="4039" customWidth="1"/>
    <col min="7182" max="7183" width="7.125" style="4039" customWidth="1"/>
    <col min="7184" max="7185" width="5.125" style="4039" customWidth="1"/>
    <col min="7186" max="7187" width="7.125" style="4039" customWidth="1"/>
    <col min="7188" max="7189" width="5.125" style="4039" customWidth="1"/>
    <col min="7190" max="7424" width="9" style="4039"/>
    <col min="7425" max="7425" width="7.625" style="4039" customWidth="1"/>
    <col min="7426" max="7427" width="7.125" style="4039" customWidth="1"/>
    <col min="7428" max="7429" width="5.125" style="4039" customWidth="1"/>
    <col min="7430" max="7431" width="7.125" style="4039" customWidth="1"/>
    <col min="7432" max="7433" width="5.125" style="4039" customWidth="1"/>
    <col min="7434" max="7435" width="7.125" style="4039" customWidth="1"/>
    <col min="7436" max="7437" width="5.125" style="4039" customWidth="1"/>
    <col min="7438" max="7439" width="7.125" style="4039" customWidth="1"/>
    <col min="7440" max="7441" width="5.125" style="4039" customWidth="1"/>
    <col min="7442" max="7443" width="7.125" style="4039" customWidth="1"/>
    <col min="7444" max="7445" width="5.125" style="4039" customWidth="1"/>
    <col min="7446" max="7680" width="9" style="4039"/>
    <col min="7681" max="7681" width="7.625" style="4039" customWidth="1"/>
    <col min="7682" max="7683" width="7.125" style="4039" customWidth="1"/>
    <col min="7684" max="7685" width="5.125" style="4039" customWidth="1"/>
    <col min="7686" max="7687" width="7.125" style="4039" customWidth="1"/>
    <col min="7688" max="7689" width="5.125" style="4039" customWidth="1"/>
    <col min="7690" max="7691" width="7.125" style="4039" customWidth="1"/>
    <col min="7692" max="7693" width="5.125" style="4039" customWidth="1"/>
    <col min="7694" max="7695" width="7.125" style="4039" customWidth="1"/>
    <col min="7696" max="7697" width="5.125" style="4039" customWidth="1"/>
    <col min="7698" max="7699" width="7.125" style="4039" customWidth="1"/>
    <col min="7700" max="7701" width="5.125" style="4039" customWidth="1"/>
    <col min="7702" max="7936" width="9" style="4039"/>
    <col min="7937" max="7937" width="7.625" style="4039" customWidth="1"/>
    <col min="7938" max="7939" width="7.125" style="4039" customWidth="1"/>
    <col min="7940" max="7941" width="5.125" style="4039" customWidth="1"/>
    <col min="7942" max="7943" width="7.125" style="4039" customWidth="1"/>
    <col min="7944" max="7945" width="5.125" style="4039" customWidth="1"/>
    <col min="7946" max="7947" width="7.125" style="4039" customWidth="1"/>
    <col min="7948" max="7949" width="5.125" style="4039" customWidth="1"/>
    <col min="7950" max="7951" width="7.125" style="4039" customWidth="1"/>
    <col min="7952" max="7953" width="5.125" style="4039" customWidth="1"/>
    <col min="7954" max="7955" width="7.125" style="4039" customWidth="1"/>
    <col min="7956" max="7957" width="5.125" style="4039" customWidth="1"/>
    <col min="7958" max="8192" width="9" style="4039"/>
    <col min="8193" max="8193" width="7.625" style="4039" customWidth="1"/>
    <col min="8194" max="8195" width="7.125" style="4039" customWidth="1"/>
    <col min="8196" max="8197" width="5.125" style="4039" customWidth="1"/>
    <col min="8198" max="8199" width="7.125" style="4039" customWidth="1"/>
    <col min="8200" max="8201" width="5.125" style="4039" customWidth="1"/>
    <col min="8202" max="8203" width="7.125" style="4039" customWidth="1"/>
    <col min="8204" max="8205" width="5.125" style="4039" customWidth="1"/>
    <col min="8206" max="8207" width="7.125" style="4039" customWidth="1"/>
    <col min="8208" max="8209" width="5.125" style="4039" customWidth="1"/>
    <col min="8210" max="8211" width="7.125" style="4039" customWidth="1"/>
    <col min="8212" max="8213" width="5.125" style="4039" customWidth="1"/>
    <col min="8214" max="8448" width="9" style="4039"/>
    <col min="8449" max="8449" width="7.625" style="4039" customWidth="1"/>
    <col min="8450" max="8451" width="7.125" style="4039" customWidth="1"/>
    <col min="8452" max="8453" width="5.125" style="4039" customWidth="1"/>
    <col min="8454" max="8455" width="7.125" style="4039" customWidth="1"/>
    <col min="8456" max="8457" width="5.125" style="4039" customWidth="1"/>
    <col min="8458" max="8459" width="7.125" style="4039" customWidth="1"/>
    <col min="8460" max="8461" width="5.125" style="4039" customWidth="1"/>
    <col min="8462" max="8463" width="7.125" style="4039" customWidth="1"/>
    <col min="8464" max="8465" width="5.125" style="4039" customWidth="1"/>
    <col min="8466" max="8467" width="7.125" style="4039" customWidth="1"/>
    <col min="8468" max="8469" width="5.125" style="4039" customWidth="1"/>
    <col min="8470" max="8704" width="9" style="4039"/>
    <col min="8705" max="8705" width="7.625" style="4039" customWidth="1"/>
    <col min="8706" max="8707" width="7.125" style="4039" customWidth="1"/>
    <col min="8708" max="8709" width="5.125" style="4039" customWidth="1"/>
    <col min="8710" max="8711" width="7.125" style="4039" customWidth="1"/>
    <col min="8712" max="8713" width="5.125" style="4039" customWidth="1"/>
    <col min="8714" max="8715" width="7.125" style="4039" customWidth="1"/>
    <col min="8716" max="8717" width="5.125" style="4039" customWidth="1"/>
    <col min="8718" max="8719" width="7.125" style="4039" customWidth="1"/>
    <col min="8720" max="8721" width="5.125" style="4039" customWidth="1"/>
    <col min="8722" max="8723" width="7.125" style="4039" customWidth="1"/>
    <col min="8724" max="8725" width="5.125" style="4039" customWidth="1"/>
    <col min="8726" max="8960" width="9" style="4039"/>
    <col min="8961" max="8961" width="7.625" style="4039" customWidth="1"/>
    <col min="8962" max="8963" width="7.125" style="4039" customWidth="1"/>
    <col min="8964" max="8965" width="5.125" style="4039" customWidth="1"/>
    <col min="8966" max="8967" width="7.125" style="4039" customWidth="1"/>
    <col min="8968" max="8969" width="5.125" style="4039" customWidth="1"/>
    <col min="8970" max="8971" width="7.125" style="4039" customWidth="1"/>
    <col min="8972" max="8973" width="5.125" style="4039" customWidth="1"/>
    <col min="8974" max="8975" width="7.125" style="4039" customWidth="1"/>
    <col min="8976" max="8977" width="5.125" style="4039" customWidth="1"/>
    <col min="8978" max="8979" width="7.125" style="4039" customWidth="1"/>
    <col min="8980" max="8981" width="5.125" style="4039" customWidth="1"/>
    <col min="8982" max="9216" width="9" style="4039"/>
    <col min="9217" max="9217" width="7.625" style="4039" customWidth="1"/>
    <col min="9218" max="9219" width="7.125" style="4039" customWidth="1"/>
    <col min="9220" max="9221" width="5.125" style="4039" customWidth="1"/>
    <col min="9222" max="9223" width="7.125" style="4039" customWidth="1"/>
    <col min="9224" max="9225" width="5.125" style="4039" customWidth="1"/>
    <col min="9226" max="9227" width="7.125" style="4039" customWidth="1"/>
    <col min="9228" max="9229" width="5.125" style="4039" customWidth="1"/>
    <col min="9230" max="9231" width="7.125" style="4039" customWidth="1"/>
    <col min="9232" max="9233" width="5.125" style="4039" customWidth="1"/>
    <col min="9234" max="9235" width="7.125" style="4039" customWidth="1"/>
    <col min="9236" max="9237" width="5.125" style="4039" customWidth="1"/>
    <col min="9238" max="9472" width="9" style="4039"/>
    <col min="9473" max="9473" width="7.625" style="4039" customWidth="1"/>
    <col min="9474" max="9475" width="7.125" style="4039" customWidth="1"/>
    <col min="9476" max="9477" width="5.125" style="4039" customWidth="1"/>
    <col min="9478" max="9479" width="7.125" style="4039" customWidth="1"/>
    <col min="9480" max="9481" width="5.125" style="4039" customWidth="1"/>
    <col min="9482" max="9483" width="7.125" style="4039" customWidth="1"/>
    <col min="9484" max="9485" width="5.125" style="4039" customWidth="1"/>
    <col min="9486" max="9487" width="7.125" style="4039" customWidth="1"/>
    <col min="9488" max="9489" width="5.125" style="4039" customWidth="1"/>
    <col min="9490" max="9491" width="7.125" style="4039" customWidth="1"/>
    <col min="9492" max="9493" width="5.125" style="4039" customWidth="1"/>
    <col min="9494" max="9728" width="9" style="4039"/>
    <col min="9729" max="9729" width="7.625" style="4039" customWidth="1"/>
    <col min="9730" max="9731" width="7.125" style="4039" customWidth="1"/>
    <col min="9732" max="9733" width="5.125" style="4039" customWidth="1"/>
    <col min="9734" max="9735" width="7.125" style="4039" customWidth="1"/>
    <col min="9736" max="9737" width="5.125" style="4039" customWidth="1"/>
    <col min="9738" max="9739" width="7.125" style="4039" customWidth="1"/>
    <col min="9740" max="9741" width="5.125" style="4039" customWidth="1"/>
    <col min="9742" max="9743" width="7.125" style="4039" customWidth="1"/>
    <col min="9744" max="9745" width="5.125" style="4039" customWidth="1"/>
    <col min="9746" max="9747" width="7.125" style="4039" customWidth="1"/>
    <col min="9748" max="9749" width="5.125" style="4039" customWidth="1"/>
    <col min="9750" max="9984" width="9" style="4039"/>
    <col min="9985" max="9985" width="7.625" style="4039" customWidth="1"/>
    <col min="9986" max="9987" width="7.125" style="4039" customWidth="1"/>
    <col min="9988" max="9989" width="5.125" style="4039" customWidth="1"/>
    <col min="9990" max="9991" width="7.125" style="4039" customWidth="1"/>
    <col min="9992" max="9993" width="5.125" style="4039" customWidth="1"/>
    <col min="9994" max="9995" width="7.125" style="4039" customWidth="1"/>
    <col min="9996" max="9997" width="5.125" style="4039" customWidth="1"/>
    <col min="9998" max="9999" width="7.125" style="4039" customWidth="1"/>
    <col min="10000" max="10001" width="5.125" style="4039" customWidth="1"/>
    <col min="10002" max="10003" width="7.125" style="4039" customWidth="1"/>
    <col min="10004" max="10005" width="5.125" style="4039" customWidth="1"/>
    <col min="10006" max="10240" width="9" style="4039"/>
    <col min="10241" max="10241" width="7.625" style="4039" customWidth="1"/>
    <col min="10242" max="10243" width="7.125" style="4039" customWidth="1"/>
    <col min="10244" max="10245" width="5.125" style="4039" customWidth="1"/>
    <col min="10246" max="10247" width="7.125" style="4039" customWidth="1"/>
    <col min="10248" max="10249" width="5.125" style="4039" customWidth="1"/>
    <col min="10250" max="10251" width="7.125" style="4039" customWidth="1"/>
    <col min="10252" max="10253" width="5.125" style="4039" customWidth="1"/>
    <col min="10254" max="10255" width="7.125" style="4039" customWidth="1"/>
    <col min="10256" max="10257" width="5.125" style="4039" customWidth="1"/>
    <col min="10258" max="10259" width="7.125" style="4039" customWidth="1"/>
    <col min="10260" max="10261" width="5.125" style="4039" customWidth="1"/>
    <col min="10262" max="10496" width="9" style="4039"/>
    <col min="10497" max="10497" width="7.625" style="4039" customWidth="1"/>
    <col min="10498" max="10499" width="7.125" style="4039" customWidth="1"/>
    <col min="10500" max="10501" width="5.125" style="4039" customWidth="1"/>
    <col min="10502" max="10503" width="7.125" style="4039" customWidth="1"/>
    <col min="10504" max="10505" width="5.125" style="4039" customWidth="1"/>
    <col min="10506" max="10507" width="7.125" style="4039" customWidth="1"/>
    <col min="10508" max="10509" width="5.125" style="4039" customWidth="1"/>
    <col min="10510" max="10511" width="7.125" style="4039" customWidth="1"/>
    <col min="10512" max="10513" width="5.125" style="4039" customWidth="1"/>
    <col min="10514" max="10515" width="7.125" style="4039" customWidth="1"/>
    <col min="10516" max="10517" width="5.125" style="4039" customWidth="1"/>
    <col min="10518" max="10752" width="9" style="4039"/>
    <col min="10753" max="10753" width="7.625" style="4039" customWidth="1"/>
    <col min="10754" max="10755" width="7.125" style="4039" customWidth="1"/>
    <col min="10756" max="10757" width="5.125" style="4039" customWidth="1"/>
    <col min="10758" max="10759" width="7.125" style="4039" customWidth="1"/>
    <col min="10760" max="10761" width="5.125" style="4039" customWidth="1"/>
    <col min="10762" max="10763" width="7.125" style="4039" customWidth="1"/>
    <col min="10764" max="10765" width="5.125" style="4039" customWidth="1"/>
    <col min="10766" max="10767" width="7.125" style="4039" customWidth="1"/>
    <col min="10768" max="10769" width="5.125" style="4039" customWidth="1"/>
    <col min="10770" max="10771" width="7.125" style="4039" customWidth="1"/>
    <col min="10772" max="10773" width="5.125" style="4039" customWidth="1"/>
    <col min="10774" max="11008" width="9" style="4039"/>
    <col min="11009" max="11009" width="7.625" style="4039" customWidth="1"/>
    <col min="11010" max="11011" width="7.125" style="4039" customWidth="1"/>
    <col min="11012" max="11013" width="5.125" style="4039" customWidth="1"/>
    <col min="11014" max="11015" width="7.125" style="4039" customWidth="1"/>
    <col min="11016" max="11017" width="5.125" style="4039" customWidth="1"/>
    <col min="11018" max="11019" width="7.125" style="4039" customWidth="1"/>
    <col min="11020" max="11021" width="5.125" style="4039" customWidth="1"/>
    <col min="11022" max="11023" width="7.125" style="4039" customWidth="1"/>
    <col min="11024" max="11025" width="5.125" style="4039" customWidth="1"/>
    <col min="11026" max="11027" width="7.125" style="4039" customWidth="1"/>
    <col min="11028" max="11029" width="5.125" style="4039" customWidth="1"/>
    <col min="11030" max="11264" width="9" style="4039"/>
    <col min="11265" max="11265" width="7.625" style="4039" customWidth="1"/>
    <col min="11266" max="11267" width="7.125" style="4039" customWidth="1"/>
    <col min="11268" max="11269" width="5.125" style="4039" customWidth="1"/>
    <col min="11270" max="11271" width="7.125" style="4039" customWidth="1"/>
    <col min="11272" max="11273" width="5.125" style="4039" customWidth="1"/>
    <col min="11274" max="11275" width="7.125" style="4039" customWidth="1"/>
    <col min="11276" max="11277" width="5.125" style="4039" customWidth="1"/>
    <col min="11278" max="11279" width="7.125" style="4039" customWidth="1"/>
    <col min="11280" max="11281" width="5.125" style="4039" customWidth="1"/>
    <col min="11282" max="11283" width="7.125" style="4039" customWidth="1"/>
    <col min="11284" max="11285" width="5.125" style="4039" customWidth="1"/>
    <col min="11286" max="11520" width="9" style="4039"/>
    <col min="11521" max="11521" width="7.625" style="4039" customWidth="1"/>
    <col min="11522" max="11523" width="7.125" style="4039" customWidth="1"/>
    <col min="11524" max="11525" width="5.125" style="4039" customWidth="1"/>
    <col min="11526" max="11527" width="7.125" style="4039" customWidth="1"/>
    <col min="11528" max="11529" width="5.125" style="4039" customWidth="1"/>
    <col min="11530" max="11531" width="7.125" style="4039" customWidth="1"/>
    <col min="11532" max="11533" width="5.125" style="4039" customWidth="1"/>
    <col min="11534" max="11535" width="7.125" style="4039" customWidth="1"/>
    <col min="11536" max="11537" width="5.125" style="4039" customWidth="1"/>
    <col min="11538" max="11539" width="7.125" style="4039" customWidth="1"/>
    <col min="11540" max="11541" width="5.125" style="4039" customWidth="1"/>
    <col min="11542" max="11776" width="9" style="4039"/>
    <col min="11777" max="11777" width="7.625" style="4039" customWidth="1"/>
    <col min="11778" max="11779" width="7.125" style="4039" customWidth="1"/>
    <col min="11780" max="11781" width="5.125" style="4039" customWidth="1"/>
    <col min="11782" max="11783" width="7.125" style="4039" customWidth="1"/>
    <col min="11784" max="11785" width="5.125" style="4039" customWidth="1"/>
    <col min="11786" max="11787" width="7.125" style="4039" customWidth="1"/>
    <col min="11788" max="11789" width="5.125" style="4039" customWidth="1"/>
    <col min="11790" max="11791" width="7.125" style="4039" customWidth="1"/>
    <col min="11792" max="11793" width="5.125" style="4039" customWidth="1"/>
    <col min="11794" max="11795" width="7.125" style="4039" customWidth="1"/>
    <col min="11796" max="11797" width="5.125" style="4039" customWidth="1"/>
    <col min="11798" max="12032" width="9" style="4039"/>
    <col min="12033" max="12033" width="7.625" style="4039" customWidth="1"/>
    <col min="12034" max="12035" width="7.125" style="4039" customWidth="1"/>
    <col min="12036" max="12037" width="5.125" style="4039" customWidth="1"/>
    <col min="12038" max="12039" width="7.125" style="4039" customWidth="1"/>
    <col min="12040" max="12041" width="5.125" style="4039" customWidth="1"/>
    <col min="12042" max="12043" width="7.125" style="4039" customWidth="1"/>
    <col min="12044" max="12045" width="5.125" style="4039" customWidth="1"/>
    <col min="12046" max="12047" width="7.125" style="4039" customWidth="1"/>
    <col min="12048" max="12049" width="5.125" style="4039" customWidth="1"/>
    <col min="12050" max="12051" width="7.125" style="4039" customWidth="1"/>
    <col min="12052" max="12053" width="5.125" style="4039" customWidth="1"/>
    <col min="12054" max="12288" width="9" style="4039"/>
    <col min="12289" max="12289" width="7.625" style="4039" customWidth="1"/>
    <col min="12290" max="12291" width="7.125" style="4039" customWidth="1"/>
    <col min="12292" max="12293" width="5.125" style="4039" customWidth="1"/>
    <col min="12294" max="12295" width="7.125" style="4039" customWidth="1"/>
    <col min="12296" max="12297" width="5.125" style="4039" customWidth="1"/>
    <col min="12298" max="12299" width="7.125" style="4039" customWidth="1"/>
    <col min="12300" max="12301" width="5.125" style="4039" customWidth="1"/>
    <col min="12302" max="12303" width="7.125" style="4039" customWidth="1"/>
    <col min="12304" max="12305" width="5.125" style="4039" customWidth="1"/>
    <col min="12306" max="12307" width="7.125" style="4039" customWidth="1"/>
    <col min="12308" max="12309" width="5.125" style="4039" customWidth="1"/>
    <col min="12310" max="12544" width="9" style="4039"/>
    <col min="12545" max="12545" width="7.625" style="4039" customWidth="1"/>
    <col min="12546" max="12547" width="7.125" style="4039" customWidth="1"/>
    <col min="12548" max="12549" width="5.125" style="4039" customWidth="1"/>
    <col min="12550" max="12551" width="7.125" style="4039" customWidth="1"/>
    <col min="12552" max="12553" width="5.125" style="4039" customWidth="1"/>
    <col min="12554" max="12555" width="7.125" style="4039" customWidth="1"/>
    <col min="12556" max="12557" width="5.125" style="4039" customWidth="1"/>
    <col min="12558" max="12559" width="7.125" style="4039" customWidth="1"/>
    <col min="12560" max="12561" width="5.125" style="4039" customWidth="1"/>
    <col min="12562" max="12563" width="7.125" style="4039" customWidth="1"/>
    <col min="12564" max="12565" width="5.125" style="4039" customWidth="1"/>
    <col min="12566" max="12800" width="9" style="4039"/>
    <col min="12801" max="12801" width="7.625" style="4039" customWidth="1"/>
    <col min="12802" max="12803" width="7.125" style="4039" customWidth="1"/>
    <col min="12804" max="12805" width="5.125" style="4039" customWidth="1"/>
    <col min="12806" max="12807" width="7.125" style="4039" customWidth="1"/>
    <col min="12808" max="12809" width="5.125" style="4039" customWidth="1"/>
    <col min="12810" max="12811" width="7.125" style="4039" customWidth="1"/>
    <col min="12812" max="12813" width="5.125" style="4039" customWidth="1"/>
    <col min="12814" max="12815" width="7.125" style="4039" customWidth="1"/>
    <col min="12816" max="12817" width="5.125" style="4039" customWidth="1"/>
    <col min="12818" max="12819" width="7.125" style="4039" customWidth="1"/>
    <col min="12820" max="12821" width="5.125" style="4039" customWidth="1"/>
    <col min="12822" max="13056" width="9" style="4039"/>
    <col min="13057" max="13057" width="7.625" style="4039" customWidth="1"/>
    <col min="13058" max="13059" width="7.125" style="4039" customWidth="1"/>
    <col min="13060" max="13061" width="5.125" style="4039" customWidth="1"/>
    <col min="13062" max="13063" width="7.125" style="4039" customWidth="1"/>
    <col min="13064" max="13065" width="5.125" style="4039" customWidth="1"/>
    <col min="13066" max="13067" width="7.125" style="4039" customWidth="1"/>
    <col min="13068" max="13069" width="5.125" style="4039" customWidth="1"/>
    <col min="13070" max="13071" width="7.125" style="4039" customWidth="1"/>
    <col min="13072" max="13073" width="5.125" style="4039" customWidth="1"/>
    <col min="13074" max="13075" width="7.125" style="4039" customWidth="1"/>
    <col min="13076" max="13077" width="5.125" style="4039" customWidth="1"/>
    <col min="13078" max="13312" width="9" style="4039"/>
    <col min="13313" max="13313" width="7.625" style="4039" customWidth="1"/>
    <col min="13314" max="13315" width="7.125" style="4039" customWidth="1"/>
    <col min="13316" max="13317" width="5.125" style="4039" customWidth="1"/>
    <col min="13318" max="13319" width="7.125" style="4039" customWidth="1"/>
    <col min="13320" max="13321" width="5.125" style="4039" customWidth="1"/>
    <col min="13322" max="13323" width="7.125" style="4039" customWidth="1"/>
    <col min="13324" max="13325" width="5.125" style="4039" customWidth="1"/>
    <col min="13326" max="13327" width="7.125" style="4039" customWidth="1"/>
    <col min="13328" max="13329" width="5.125" style="4039" customWidth="1"/>
    <col min="13330" max="13331" width="7.125" style="4039" customWidth="1"/>
    <col min="13332" max="13333" width="5.125" style="4039" customWidth="1"/>
    <col min="13334" max="13568" width="9" style="4039"/>
    <col min="13569" max="13569" width="7.625" style="4039" customWidth="1"/>
    <col min="13570" max="13571" width="7.125" style="4039" customWidth="1"/>
    <col min="13572" max="13573" width="5.125" style="4039" customWidth="1"/>
    <col min="13574" max="13575" width="7.125" style="4039" customWidth="1"/>
    <col min="13576" max="13577" width="5.125" style="4039" customWidth="1"/>
    <col min="13578" max="13579" width="7.125" style="4039" customWidth="1"/>
    <col min="13580" max="13581" width="5.125" style="4039" customWidth="1"/>
    <col min="13582" max="13583" width="7.125" style="4039" customWidth="1"/>
    <col min="13584" max="13585" width="5.125" style="4039" customWidth="1"/>
    <col min="13586" max="13587" width="7.125" style="4039" customWidth="1"/>
    <col min="13588" max="13589" width="5.125" style="4039" customWidth="1"/>
    <col min="13590" max="13824" width="9" style="4039"/>
    <col min="13825" max="13825" width="7.625" style="4039" customWidth="1"/>
    <col min="13826" max="13827" width="7.125" style="4039" customWidth="1"/>
    <col min="13828" max="13829" width="5.125" style="4039" customWidth="1"/>
    <col min="13830" max="13831" width="7.125" style="4039" customWidth="1"/>
    <col min="13832" max="13833" width="5.125" style="4039" customWidth="1"/>
    <col min="13834" max="13835" width="7.125" style="4039" customWidth="1"/>
    <col min="13836" max="13837" width="5.125" style="4039" customWidth="1"/>
    <col min="13838" max="13839" width="7.125" style="4039" customWidth="1"/>
    <col min="13840" max="13841" width="5.125" style="4039" customWidth="1"/>
    <col min="13842" max="13843" width="7.125" style="4039" customWidth="1"/>
    <col min="13844" max="13845" width="5.125" style="4039" customWidth="1"/>
    <col min="13846" max="14080" width="9" style="4039"/>
    <col min="14081" max="14081" width="7.625" style="4039" customWidth="1"/>
    <col min="14082" max="14083" width="7.125" style="4039" customWidth="1"/>
    <col min="14084" max="14085" width="5.125" style="4039" customWidth="1"/>
    <col min="14086" max="14087" width="7.125" style="4039" customWidth="1"/>
    <col min="14088" max="14089" width="5.125" style="4039" customWidth="1"/>
    <col min="14090" max="14091" width="7.125" style="4039" customWidth="1"/>
    <col min="14092" max="14093" width="5.125" style="4039" customWidth="1"/>
    <col min="14094" max="14095" width="7.125" style="4039" customWidth="1"/>
    <col min="14096" max="14097" width="5.125" style="4039" customWidth="1"/>
    <col min="14098" max="14099" width="7.125" style="4039" customWidth="1"/>
    <col min="14100" max="14101" width="5.125" style="4039" customWidth="1"/>
    <col min="14102" max="14336" width="9" style="4039"/>
    <col min="14337" max="14337" width="7.625" style="4039" customWidth="1"/>
    <col min="14338" max="14339" width="7.125" style="4039" customWidth="1"/>
    <col min="14340" max="14341" width="5.125" style="4039" customWidth="1"/>
    <col min="14342" max="14343" width="7.125" style="4039" customWidth="1"/>
    <col min="14344" max="14345" width="5.125" style="4039" customWidth="1"/>
    <col min="14346" max="14347" width="7.125" style="4039" customWidth="1"/>
    <col min="14348" max="14349" width="5.125" style="4039" customWidth="1"/>
    <col min="14350" max="14351" width="7.125" style="4039" customWidth="1"/>
    <col min="14352" max="14353" width="5.125" style="4039" customWidth="1"/>
    <col min="14354" max="14355" width="7.125" style="4039" customWidth="1"/>
    <col min="14356" max="14357" width="5.125" style="4039" customWidth="1"/>
    <col min="14358" max="14592" width="9" style="4039"/>
    <col min="14593" max="14593" width="7.625" style="4039" customWidth="1"/>
    <col min="14594" max="14595" width="7.125" style="4039" customWidth="1"/>
    <col min="14596" max="14597" width="5.125" style="4039" customWidth="1"/>
    <col min="14598" max="14599" width="7.125" style="4039" customWidth="1"/>
    <col min="14600" max="14601" width="5.125" style="4039" customWidth="1"/>
    <col min="14602" max="14603" width="7.125" style="4039" customWidth="1"/>
    <col min="14604" max="14605" width="5.125" style="4039" customWidth="1"/>
    <col min="14606" max="14607" width="7.125" style="4039" customWidth="1"/>
    <col min="14608" max="14609" width="5.125" style="4039" customWidth="1"/>
    <col min="14610" max="14611" width="7.125" style="4039" customWidth="1"/>
    <col min="14612" max="14613" width="5.125" style="4039" customWidth="1"/>
    <col min="14614" max="14848" width="9" style="4039"/>
    <col min="14849" max="14849" width="7.625" style="4039" customWidth="1"/>
    <col min="14850" max="14851" width="7.125" style="4039" customWidth="1"/>
    <col min="14852" max="14853" width="5.125" style="4039" customWidth="1"/>
    <col min="14854" max="14855" width="7.125" style="4039" customWidth="1"/>
    <col min="14856" max="14857" width="5.125" style="4039" customWidth="1"/>
    <col min="14858" max="14859" width="7.125" style="4039" customWidth="1"/>
    <col min="14860" max="14861" width="5.125" style="4039" customWidth="1"/>
    <col min="14862" max="14863" width="7.125" style="4039" customWidth="1"/>
    <col min="14864" max="14865" width="5.125" style="4039" customWidth="1"/>
    <col min="14866" max="14867" width="7.125" style="4039" customWidth="1"/>
    <col min="14868" max="14869" width="5.125" style="4039" customWidth="1"/>
    <col min="14870" max="15104" width="9" style="4039"/>
    <col min="15105" max="15105" width="7.625" style="4039" customWidth="1"/>
    <col min="15106" max="15107" width="7.125" style="4039" customWidth="1"/>
    <col min="15108" max="15109" width="5.125" style="4039" customWidth="1"/>
    <col min="15110" max="15111" width="7.125" style="4039" customWidth="1"/>
    <col min="15112" max="15113" width="5.125" style="4039" customWidth="1"/>
    <col min="15114" max="15115" width="7.125" style="4039" customWidth="1"/>
    <col min="15116" max="15117" width="5.125" style="4039" customWidth="1"/>
    <col min="15118" max="15119" width="7.125" style="4039" customWidth="1"/>
    <col min="15120" max="15121" width="5.125" style="4039" customWidth="1"/>
    <col min="15122" max="15123" width="7.125" style="4039" customWidth="1"/>
    <col min="15124" max="15125" width="5.125" style="4039" customWidth="1"/>
    <col min="15126" max="15360" width="9" style="4039"/>
    <col min="15361" max="15361" width="7.625" style="4039" customWidth="1"/>
    <col min="15362" max="15363" width="7.125" style="4039" customWidth="1"/>
    <col min="15364" max="15365" width="5.125" style="4039" customWidth="1"/>
    <col min="15366" max="15367" width="7.125" style="4039" customWidth="1"/>
    <col min="15368" max="15369" width="5.125" style="4039" customWidth="1"/>
    <col min="15370" max="15371" width="7.125" style="4039" customWidth="1"/>
    <col min="15372" max="15373" width="5.125" style="4039" customWidth="1"/>
    <col min="15374" max="15375" width="7.125" style="4039" customWidth="1"/>
    <col min="15376" max="15377" width="5.125" style="4039" customWidth="1"/>
    <col min="15378" max="15379" width="7.125" style="4039" customWidth="1"/>
    <col min="15380" max="15381" width="5.125" style="4039" customWidth="1"/>
    <col min="15382" max="15616" width="9" style="4039"/>
    <col min="15617" max="15617" width="7.625" style="4039" customWidth="1"/>
    <col min="15618" max="15619" width="7.125" style="4039" customWidth="1"/>
    <col min="15620" max="15621" width="5.125" style="4039" customWidth="1"/>
    <col min="15622" max="15623" width="7.125" style="4039" customWidth="1"/>
    <col min="15624" max="15625" width="5.125" style="4039" customWidth="1"/>
    <col min="15626" max="15627" width="7.125" style="4039" customWidth="1"/>
    <col min="15628" max="15629" width="5.125" style="4039" customWidth="1"/>
    <col min="15630" max="15631" width="7.125" style="4039" customWidth="1"/>
    <col min="15632" max="15633" width="5.125" style="4039" customWidth="1"/>
    <col min="15634" max="15635" width="7.125" style="4039" customWidth="1"/>
    <col min="15636" max="15637" width="5.125" style="4039" customWidth="1"/>
    <col min="15638" max="15872" width="9" style="4039"/>
    <col min="15873" max="15873" width="7.625" style="4039" customWidth="1"/>
    <col min="15874" max="15875" width="7.125" style="4039" customWidth="1"/>
    <col min="15876" max="15877" width="5.125" style="4039" customWidth="1"/>
    <col min="15878" max="15879" width="7.125" style="4039" customWidth="1"/>
    <col min="15880" max="15881" width="5.125" style="4039" customWidth="1"/>
    <col min="15882" max="15883" width="7.125" style="4039" customWidth="1"/>
    <col min="15884" max="15885" width="5.125" style="4039" customWidth="1"/>
    <col min="15886" max="15887" width="7.125" style="4039" customWidth="1"/>
    <col min="15888" max="15889" width="5.125" style="4039" customWidth="1"/>
    <col min="15890" max="15891" width="7.125" style="4039" customWidth="1"/>
    <col min="15892" max="15893" width="5.125" style="4039" customWidth="1"/>
    <col min="15894" max="16128" width="9" style="4039"/>
    <col min="16129" max="16129" width="7.625" style="4039" customWidth="1"/>
    <col min="16130" max="16131" width="7.125" style="4039" customWidth="1"/>
    <col min="16132" max="16133" width="5.125" style="4039" customWidth="1"/>
    <col min="16134" max="16135" width="7.125" style="4039" customWidth="1"/>
    <col min="16136" max="16137" width="5.125" style="4039" customWidth="1"/>
    <col min="16138" max="16139" width="7.125" style="4039" customWidth="1"/>
    <col min="16140" max="16141" width="5.125" style="4039" customWidth="1"/>
    <col min="16142" max="16143" width="7.125" style="4039" customWidth="1"/>
    <col min="16144" max="16145" width="5.125" style="4039" customWidth="1"/>
    <col min="16146" max="16147" width="7.125" style="4039" customWidth="1"/>
    <col min="16148" max="16149" width="5.125" style="4039" customWidth="1"/>
    <col min="16150" max="16384" width="9" style="4039"/>
  </cols>
  <sheetData>
    <row r="1" spans="1:21" ht="50.25" customHeight="1">
      <c r="A1" s="4445" t="s">
        <v>832</v>
      </c>
      <c r="B1" s="4446"/>
      <c r="C1" s="4446"/>
      <c r="D1" s="4446"/>
      <c r="E1" s="4446"/>
      <c r="F1" s="4446"/>
      <c r="G1" s="4446"/>
      <c r="H1" s="4446"/>
      <c r="I1" s="4446"/>
      <c r="J1" s="4446"/>
      <c r="K1" s="4446"/>
      <c r="L1" s="4446"/>
      <c r="M1" s="4446"/>
      <c r="N1" s="4446"/>
      <c r="O1" s="4446"/>
      <c r="P1" s="4446"/>
      <c r="Q1" s="4446"/>
      <c r="R1" s="4446"/>
      <c r="S1" s="4446"/>
      <c r="T1" s="4446"/>
      <c r="U1" s="4446"/>
    </row>
    <row r="2" spans="1:21" ht="12.95" customHeight="1">
      <c r="A2" s="4429"/>
      <c r="B2" s="4430"/>
      <c r="C2" s="4430"/>
      <c r="D2" s="4430"/>
      <c r="E2" s="4430"/>
      <c r="F2" s="4430"/>
      <c r="G2" s="4430"/>
      <c r="H2" s="4429"/>
      <c r="I2" s="4430"/>
      <c r="J2" s="4430"/>
      <c r="K2" s="4430"/>
      <c r="L2" s="4434"/>
      <c r="M2" s="4436" t="s">
        <v>833</v>
      </c>
      <c r="N2" s="4437"/>
      <c r="O2" s="4437"/>
      <c r="P2" s="4437"/>
      <c r="Q2" s="4437"/>
      <c r="R2" s="4437"/>
      <c r="S2" s="4437"/>
      <c r="T2" s="4437"/>
      <c r="U2" s="4438"/>
    </row>
    <row r="3" spans="1:21" ht="12.95" customHeight="1">
      <c r="A3" s="4431"/>
      <c r="B3" s="4432"/>
      <c r="C3" s="4432"/>
      <c r="D3" s="4432"/>
      <c r="E3" s="4432"/>
      <c r="F3" s="4432"/>
      <c r="G3" s="4432"/>
      <c r="H3" s="4433"/>
      <c r="I3" s="4422"/>
      <c r="J3" s="4422"/>
      <c r="K3" s="4422"/>
      <c r="L3" s="4423"/>
      <c r="M3" s="4447" t="s">
        <v>834</v>
      </c>
      <c r="N3" s="4448"/>
      <c r="O3" s="4448"/>
      <c r="P3" s="4448"/>
      <c r="Q3" s="4448"/>
      <c r="R3" s="4448"/>
      <c r="S3" s="4448"/>
      <c r="T3" s="4448"/>
      <c r="U3" s="4449"/>
    </row>
    <row r="4" spans="1:21" ht="12.95" customHeight="1">
      <c r="A4" s="4431"/>
      <c r="B4" s="4432"/>
      <c r="C4" s="4432"/>
      <c r="D4" s="4432"/>
      <c r="E4" s="4432"/>
      <c r="F4" s="4432"/>
      <c r="G4" s="4432"/>
      <c r="H4" s="4429"/>
      <c r="I4" s="4430"/>
      <c r="J4" s="4430"/>
      <c r="K4" s="4430"/>
      <c r="L4" s="4434"/>
      <c r="M4" s="4447" t="s">
        <v>835</v>
      </c>
      <c r="N4" s="4448"/>
      <c r="O4" s="4448"/>
      <c r="P4" s="4448"/>
      <c r="Q4" s="4448"/>
      <c r="R4" s="4448"/>
      <c r="S4" s="4448"/>
      <c r="T4" s="4448"/>
      <c r="U4" s="4449"/>
    </row>
    <row r="5" spans="1:21" ht="12.95" customHeight="1">
      <c r="A5" s="4431"/>
      <c r="B5" s="4432"/>
      <c r="C5" s="4432"/>
      <c r="D5" s="4432"/>
      <c r="E5" s="4432"/>
      <c r="F5" s="4432"/>
      <c r="G5" s="4432"/>
      <c r="H5" s="4433"/>
      <c r="I5" s="4422"/>
      <c r="J5" s="4422"/>
      <c r="K5" s="4422"/>
      <c r="L5" s="4423"/>
      <c r="M5" s="4447" t="s">
        <v>836</v>
      </c>
      <c r="N5" s="4448"/>
      <c r="O5" s="4448"/>
      <c r="P5" s="4448"/>
      <c r="Q5" s="4448"/>
      <c r="R5" s="4448"/>
      <c r="S5" s="4448"/>
      <c r="T5" s="4448"/>
      <c r="U5" s="4449"/>
    </row>
    <row r="6" spans="1:21" ht="12.95" customHeight="1">
      <c r="A6" s="4431"/>
      <c r="B6" s="4432"/>
      <c r="C6" s="4432"/>
      <c r="D6" s="4432"/>
      <c r="E6" s="4432"/>
      <c r="F6" s="4432"/>
      <c r="G6" s="4432"/>
      <c r="H6" s="4429"/>
      <c r="I6" s="4430"/>
      <c r="J6" s="4430"/>
      <c r="K6" s="4430"/>
      <c r="L6" s="4434"/>
      <c r="M6" s="4447" t="s">
        <v>837</v>
      </c>
      <c r="N6" s="4448"/>
      <c r="O6" s="4448"/>
      <c r="P6" s="4448"/>
      <c r="Q6" s="4448"/>
      <c r="R6" s="4448"/>
      <c r="S6" s="4448"/>
      <c r="T6" s="4448"/>
      <c r="U6" s="4449"/>
    </row>
    <row r="7" spans="1:21" ht="12.95" customHeight="1">
      <c r="A7" s="4431"/>
      <c r="B7" s="4432"/>
      <c r="C7" s="4432"/>
      <c r="D7" s="4432"/>
      <c r="E7" s="4432"/>
      <c r="F7" s="4432"/>
      <c r="G7" s="4432"/>
      <c r="H7" s="4433"/>
      <c r="I7" s="4422"/>
      <c r="J7" s="4422"/>
      <c r="K7" s="4422"/>
      <c r="L7" s="4423"/>
      <c r="M7" s="4436" t="s">
        <v>838</v>
      </c>
      <c r="N7" s="4437"/>
      <c r="O7" s="4437"/>
      <c r="P7" s="4437"/>
      <c r="Q7" s="4437"/>
      <c r="R7" s="4437"/>
      <c r="S7" s="4437"/>
      <c r="T7" s="4437"/>
      <c r="U7" s="4438"/>
    </row>
    <row r="8" spans="1:21" ht="12.95" customHeight="1">
      <c r="A8" s="4431"/>
      <c r="B8" s="4432"/>
      <c r="C8" s="4432"/>
      <c r="D8" s="4432"/>
      <c r="E8" s="4432"/>
      <c r="F8" s="4432"/>
      <c r="G8" s="4432"/>
      <c r="H8" s="4429"/>
      <c r="I8" s="4430"/>
      <c r="J8" s="4430"/>
      <c r="K8" s="4430"/>
      <c r="L8" s="4434"/>
      <c r="M8" s="4436" t="s">
        <v>839</v>
      </c>
      <c r="N8" s="4437"/>
      <c r="O8" s="4437"/>
      <c r="P8" s="4437"/>
      <c r="Q8" s="4437"/>
      <c r="R8" s="4437"/>
      <c r="S8" s="4437"/>
      <c r="T8" s="4437"/>
      <c r="U8" s="4438"/>
    </row>
    <row r="9" spans="1:21" ht="12.95" customHeight="1">
      <c r="A9" s="4431"/>
      <c r="B9" s="4432"/>
      <c r="C9" s="4432"/>
      <c r="D9" s="4432"/>
      <c r="E9" s="4432"/>
      <c r="F9" s="4432"/>
      <c r="G9" s="4432"/>
      <c r="H9" s="4431"/>
      <c r="I9" s="4432"/>
      <c r="J9" s="4432"/>
      <c r="K9" s="4432"/>
      <c r="L9" s="4435"/>
      <c r="M9" s="4436" t="s">
        <v>840</v>
      </c>
      <c r="N9" s="4437"/>
      <c r="O9" s="4437"/>
      <c r="P9" s="4437"/>
      <c r="Q9" s="4437"/>
      <c r="R9" s="4437"/>
      <c r="S9" s="4437"/>
      <c r="T9" s="4437"/>
      <c r="U9" s="4438"/>
    </row>
    <row r="10" spans="1:21" ht="12.95" customHeight="1">
      <c r="A10" s="4431"/>
      <c r="B10" s="4432"/>
      <c r="C10" s="4432"/>
      <c r="D10" s="4432"/>
      <c r="E10" s="4432"/>
      <c r="F10" s="4432"/>
      <c r="G10" s="4432"/>
      <c r="H10" s="4433"/>
      <c r="I10" s="4422"/>
      <c r="J10" s="4422"/>
      <c r="K10" s="4422"/>
      <c r="L10" s="4423"/>
      <c r="M10" s="4436" t="s">
        <v>841</v>
      </c>
      <c r="N10" s="4437"/>
      <c r="O10" s="4437"/>
      <c r="P10" s="4437"/>
      <c r="Q10" s="4437"/>
      <c r="R10" s="4437"/>
      <c r="S10" s="4437"/>
      <c r="T10" s="4437"/>
      <c r="U10" s="4438"/>
    </row>
    <row r="11" spans="1:21" ht="12.95" customHeight="1">
      <c r="A11" s="4433"/>
      <c r="B11" s="4422"/>
      <c r="C11" s="4422"/>
      <c r="D11" s="4422"/>
      <c r="E11" s="4422"/>
      <c r="F11" s="4422"/>
      <c r="G11" s="4422"/>
      <c r="H11" s="4439" t="s">
        <v>842</v>
      </c>
      <c r="I11" s="4440"/>
      <c r="J11" s="4440"/>
      <c r="K11" s="4440"/>
      <c r="L11" s="4441"/>
      <c r="M11" s="4436" t="s">
        <v>843</v>
      </c>
      <c r="N11" s="4437"/>
      <c r="O11" s="4437"/>
      <c r="P11" s="4437"/>
      <c r="Q11" s="4437"/>
      <c r="R11" s="4437"/>
      <c r="S11" s="4437"/>
      <c r="T11" s="4437"/>
      <c r="U11" s="4438"/>
    </row>
    <row r="12" spans="1:21" ht="18" customHeight="1">
      <c r="A12" s="4426" t="s">
        <v>583</v>
      </c>
      <c r="B12" s="4442" t="s">
        <v>589</v>
      </c>
      <c r="C12" s="4443"/>
      <c r="D12" s="4443"/>
      <c r="E12" s="4443"/>
      <c r="F12" s="4442" t="s">
        <v>844</v>
      </c>
      <c r="G12" s="4443"/>
      <c r="H12" s="4450"/>
      <c r="I12" s="4451"/>
      <c r="J12" s="4452" t="s">
        <v>845</v>
      </c>
      <c r="K12" s="4450"/>
      <c r="L12" s="4450"/>
      <c r="M12" s="4451"/>
      <c r="N12" s="4452" t="s">
        <v>846</v>
      </c>
      <c r="O12" s="4450"/>
      <c r="P12" s="4450"/>
      <c r="Q12" s="4451"/>
      <c r="R12" s="4452" t="s">
        <v>847</v>
      </c>
      <c r="S12" s="4450"/>
      <c r="T12" s="4450"/>
      <c r="U12" s="4451"/>
    </row>
    <row r="13" spans="1:21" ht="13.5" customHeight="1">
      <c r="A13" s="4427"/>
      <c r="B13" s="4421" t="s">
        <v>848</v>
      </c>
      <c r="C13" s="4422"/>
      <c r="D13" s="4422"/>
      <c r="E13" s="4422"/>
      <c r="F13" s="4421" t="s">
        <v>849</v>
      </c>
      <c r="G13" s="4422"/>
      <c r="H13" s="4422"/>
      <c r="I13" s="4423"/>
      <c r="J13" s="4421" t="s">
        <v>850</v>
      </c>
      <c r="K13" s="4422"/>
      <c r="L13" s="4422"/>
      <c r="M13" s="4423"/>
      <c r="N13" s="4421" t="s">
        <v>851</v>
      </c>
      <c r="O13" s="4422"/>
      <c r="P13" s="4422"/>
      <c r="Q13" s="4423"/>
      <c r="R13" s="4421" t="s">
        <v>852</v>
      </c>
      <c r="S13" s="4422"/>
      <c r="T13" s="4422"/>
      <c r="U13" s="4423"/>
    </row>
    <row r="14" spans="1:21" ht="15" customHeight="1">
      <c r="A14" s="4428"/>
      <c r="B14" s="4040" t="s">
        <v>475</v>
      </c>
      <c r="C14" s="4040" t="s">
        <v>471</v>
      </c>
      <c r="D14" s="4040" t="s">
        <v>853</v>
      </c>
      <c r="E14" s="4040" t="s">
        <v>854</v>
      </c>
      <c r="F14" s="4041" t="s">
        <v>475</v>
      </c>
      <c r="G14" s="4041" t="s">
        <v>471</v>
      </c>
      <c r="H14" s="4041" t="s">
        <v>853</v>
      </c>
      <c r="I14" s="4041" t="s">
        <v>854</v>
      </c>
      <c r="J14" s="4053" t="s">
        <v>475</v>
      </c>
      <c r="K14" s="4053" t="s">
        <v>471</v>
      </c>
      <c r="L14" s="4053" t="s">
        <v>853</v>
      </c>
      <c r="M14" s="4053" t="s">
        <v>854</v>
      </c>
      <c r="N14" s="4054" t="s">
        <v>475</v>
      </c>
      <c r="O14" s="4054" t="s">
        <v>471</v>
      </c>
      <c r="P14" s="4054" t="s">
        <v>853</v>
      </c>
      <c r="Q14" s="4054" t="s">
        <v>854</v>
      </c>
      <c r="R14" s="4053" t="s">
        <v>475</v>
      </c>
      <c r="S14" s="4053" t="s">
        <v>471</v>
      </c>
      <c r="T14" s="4053" t="s">
        <v>853</v>
      </c>
      <c r="U14" s="4053" t="s">
        <v>854</v>
      </c>
    </row>
    <row r="15" spans="1:21" s="4038" customFormat="1" ht="13.5" customHeight="1">
      <c r="A15" s="4042" t="s">
        <v>855</v>
      </c>
      <c r="B15" s="4043">
        <v>3300</v>
      </c>
      <c r="C15" s="4044">
        <v>4350</v>
      </c>
      <c r="D15" s="4044">
        <v>7.5</v>
      </c>
      <c r="E15" s="4044">
        <v>0.2</v>
      </c>
      <c r="F15" s="4044">
        <v>3600</v>
      </c>
      <c r="G15" s="4044">
        <v>6000</v>
      </c>
      <c r="H15" s="4044">
        <v>7</v>
      </c>
      <c r="I15" s="4044">
        <v>0.25</v>
      </c>
      <c r="J15" s="4044">
        <v>3300</v>
      </c>
      <c r="K15" s="4044">
        <v>9200</v>
      </c>
      <c r="L15" s="4044">
        <v>0.1</v>
      </c>
      <c r="M15" s="4044">
        <v>0.1</v>
      </c>
      <c r="N15" s="4044">
        <v>800</v>
      </c>
      <c r="O15" s="4044">
        <v>7000</v>
      </c>
      <c r="P15" s="4044">
        <v>0.08</v>
      </c>
      <c r="Q15" s="4044">
        <v>0.05</v>
      </c>
      <c r="R15" s="4044"/>
      <c r="S15" s="4044"/>
      <c r="T15" s="4044"/>
      <c r="U15" s="4055"/>
    </row>
    <row r="16" spans="1:21" s="4038" customFormat="1" ht="13.5" customHeight="1">
      <c r="A16" s="4045" t="s">
        <v>856</v>
      </c>
      <c r="B16" s="4046">
        <v>3300</v>
      </c>
      <c r="C16" s="4047">
        <v>6500</v>
      </c>
      <c r="D16" s="4047">
        <v>5</v>
      </c>
      <c r="E16" s="4047">
        <v>0.18</v>
      </c>
      <c r="F16" s="4047">
        <v>3600</v>
      </c>
      <c r="G16" s="4047">
        <v>8000</v>
      </c>
      <c r="H16" s="4047">
        <v>5</v>
      </c>
      <c r="I16" s="4047">
        <v>0.25</v>
      </c>
      <c r="J16" s="4047">
        <v>3500</v>
      </c>
      <c r="K16" s="4047">
        <v>9500</v>
      </c>
      <c r="L16" s="4047">
        <v>0.1</v>
      </c>
      <c r="M16" s="4047">
        <v>0.1</v>
      </c>
      <c r="N16" s="4047">
        <v>800</v>
      </c>
      <c r="O16" s="4047">
        <v>8500</v>
      </c>
      <c r="P16" s="4047">
        <v>0.08</v>
      </c>
      <c r="Q16" s="4047">
        <v>0.05</v>
      </c>
      <c r="R16" s="4047"/>
      <c r="S16" s="4047"/>
      <c r="T16" s="4047"/>
      <c r="U16" s="4056"/>
    </row>
    <row r="17" spans="1:21" s="4038" customFormat="1" ht="13.5" customHeight="1">
      <c r="A17" s="4042" t="s">
        <v>857</v>
      </c>
      <c r="B17" s="4048">
        <v>3300</v>
      </c>
      <c r="C17" s="4049">
        <v>8500</v>
      </c>
      <c r="D17" s="4049">
        <v>3.5</v>
      </c>
      <c r="E17" s="4049">
        <v>0.13</v>
      </c>
      <c r="F17" s="4049">
        <v>3500</v>
      </c>
      <c r="G17" s="4049">
        <v>9000</v>
      </c>
      <c r="H17" s="4049">
        <v>3.5</v>
      </c>
      <c r="I17" s="4049">
        <v>0.2</v>
      </c>
      <c r="J17" s="4049">
        <v>3200</v>
      </c>
      <c r="K17" s="4049">
        <v>11000</v>
      </c>
      <c r="L17" s="4049">
        <v>7.0000000000000007E-2</v>
      </c>
      <c r="M17" s="4049">
        <v>7.0000000000000007E-2</v>
      </c>
      <c r="N17" s="4049">
        <v>800</v>
      </c>
      <c r="O17" s="4049">
        <v>8500</v>
      </c>
      <c r="P17" s="4049">
        <v>0.06</v>
      </c>
      <c r="Q17" s="4049">
        <v>0.05</v>
      </c>
      <c r="R17" s="4049"/>
      <c r="S17" s="4049"/>
      <c r="T17" s="4049"/>
      <c r="U17" s="4057"/>
    </row>
    <row r="18" spans="1:21" s="4038" customFormat="1" ht="13.5" customHeight="1">
      <c r="A18" s="4045" t="s">
        <v>858</v>
      </c>
      <c r="B18" s="4046">
        <v>3200</v>
      </c>
      <c r="C18" s="4047">
        <v>12000</v>
      </c>
      <c r="D18" s="4047">
        <v>2</v>
      </c>
      <c r="E18" s="4047">
        <v>0.08</v>
      </c>
      <c r="F18" s="4047">
        <v>3000</v>
      </c>
      <c r="G18" s="4047">
        <v>12000</v>
      </c>
      <c r="H18" s="4047">
        <v>2</v>
      </c>
      <c r="I18" s="4047">
        <v>0.15</v>
      </c>
      <c r="J18" s="4047">
        <v>3000</v>
      </c>
      <c r="K18" s="4047">
        <v>12000</v>
      </c>
      <c r="L18" s="4047">
        <v>0.05</v>
      </c>
      <c r="M18" s="4047">
        <v>0.05</v>
      </c>
      <c r="N18" s="4047">
        <v>700</v>
      </c>
      <c r="O18" s="4047">
        <v>9000</v>
      </c>
      <c r="P18" s="4047">
        <v>0.05</v>
      </c>
      <c r="Q18" s="4047">
        <v>0.05</v>
      </c>
      <c r="R18" s="4047"/>
      <c r="S18" s="4047"/>
      <c r="T18" s="4047"/>
      <c r="U18" s="4056"/>
    </row>
    <row r="19" spans="1:21" s="4038" customFormat="1" ht="13.5" customHeight="1">
      <c r="A19" s="4042" t="s">
        <v>859</v>
      </c>
      <c r="B19" s="4048"/>
      <c r="C19" s="4049"/>
      <c r="D19" s="4049"/>
      <c r="E19" s="4049"/>
      <c r="F19" s="4049">
        <v>3000</v>
      </c>
      <c r="G19" s="4049">
        <v>12500</v>
      </c>
      <c r="H19" s="4049">
        <v>1.5</v>
      </c>
      <c r="I19" s="4049">
        <v>0.06</v>
      </c>
      <c r="J19" s="4049">
        <v>2600</v>
      </c>
      <c r="K19" s="4049">
        <v>12000</v>
      </c>
      <c r="L19" s="4049">
        <v>3.5000000000000003E-2</v>
      </c>
      <c r="M19" s="4049">
        <v>3.5000000000000003E-2</v>
      </c>
      <c r="N19" s="4049">
        <v>700</v>
      </c>
      <c r="O19" s="4049">
        <v>9500</v>
      </c>
      <c r="P19" s="4049">
        <v>0.03</v>
      </c>
      <c r="Q19" s="4049">
        <v>0.05</v>
      </c>
      <c r="R19" s="4049"/>
      <c r="S19" s="4049"/>
      <c r="T19" s="4049"/>
      <c r="U19" s="4057"/>
    </row>
    <row r="20" spans="1:21" s="4038" customFormat="1" ht="13.5" customHeight="1">
      <c r="A20" s="4042" t="s">
        <v>860</v>
      </c>
      <c r="B20" s="4048"/>
      <c r="C20" s="4049"/>
      <c r="D20" s="4049"/>
      <c r="E20" s="4049"/>
      <c r="F20" s="4049"/>
      <c r="G20" s="4049"/>
      <c r="H20" s="4049"/>
      <c r="I20" s="4049"/>
      <c r="J20" s="4049"/>
      <c r="K20" s="4049"/>
      <c r="L20" s="4049"/>
      <c r="M20" s="4049"/>
      <c r="N20" s="4049"/>
      <c r="O20" s="4049"/>
      <c r="P20" s="4049"/>
      <c r="Q20" s="4049"/>
      <c r="R20" s="4049"/>
      <c r="S20" s="4049"/>
      <c r="T20" s="4049"/>
      <c r="U20" s="4057"/>
    </row>
    <row r="21" spans="1:21" s="4038" customFormat="1" ht="13.5" customHeight="1">
      <c r="A21" s="4042" t="s">
        <v>759</v>
      </c>
      <c r="B21" s="4048"/>
      <c r="C21" s="4049"/>
      <c r="D21" s="4049"/>
      <c r="E21" s="4049"/>
      <c r="F21" s="4049"/>
      <c r="G21" s="4049"/>
      <c r="H21" s="4049"/>
      <c r="I21" s="4049"/>
      <c r="J21" s="4049"/>
      <c r="K21" s="4049"/>
      <c r="L21" s="4049"/>
      <c r="M21" s="4049"/>
      <c r="N21" s="4049"/>
      <c r="O21" s="4049"/>
      <c r="P21" s="4049"/>
      <c r="Q21" s="4049"/>
      <c r="R21" s="4049"/>
      <c r="S21" s="4049"/>
      <c r="T21" s="4049"/>
      <c r="U21" s="4057"/>
    </row>
    <row r="22" spans="1:21" s="4038" customFormat="1" ht="13.5" customHeight="1">
      <c r="A22" s="4042" t="s">
        <v>761</v>
      </c>
      <c r="B22" s="4048"/>
      <c r="C22" s="4049"/>
      <c r="D22" s="4049"/>
      <c r="E22" s="4049"/>
      <c r="F22" s="4049"/>
      <c r="G22" s="4049"/>
      <c r="H22" s="4049"/>
      <c r="I22" s="4049"/>
      <c r="J22" s="4049"/>
      <c r="K22" s="4049"/>
      <c r="L22" s="4049"/>
      <c r="M22" s="4049"/>
      <c r="N22" s="4049"/>
      <c r="O22" s="4049"/>
      <c r="P22" s="4049"/>
      <c r="Q22" s="4049"/>
      <c r="R22" s="4049"/>
      <c r="S22" s="4049"/>
      <c r="T22" s="4049"/>
      <c r="U22" s="4057"/>
    </row>
    <row r="23" spans="1:21" s="4038" customFormat="1" ht="13.5" customHeight="1">
      <c r="A23" s="4045" t="s">
        <v>861</v>
      </c>
      <c r="B23" s="4046">
        <v>3800</v>
      </c>
      <c r="C23" s="4047">
        <v>5000</v>
      </c>
      <c r="D23" s="4047">
        <v>7</v>
      </c>
      <c r="E23" s="4047">
        <v>0.22</v>
      </c>
      <c r="F23" s="4047">
        <v>3800</v>
      </c>
      <c r="G23" s="4047">
        <v>6300</v>
      </c>
      <c r="H23" s="4047">
        <v>7</v>
      </c>
      <c r="I23" s="4047">
        <v>0.3</v>
      </c>
      <c r="J23" s="4047">
        <v>3000</v>
      </c>
      <c r="K23" s="4047">
        <v>8500</v>
      </c>
      <c r="L23" s="4047">
        <v>0.22</v>
      </c>
      <c r="M23" s="4047">
        <v>0.22</v>
      </c>
      <c r="N23" s="4047">
        <v>850</v>
      </c>
      <c r="O23" s="4047">
        <v>8000</v>
      </c>
      <c r="P23" s="4047">
        <v>7</v>
      </c>
      <c r="Q23" s="4047">
        <v>0.06</v>
      </c>
      <c r="R23" s="4047">
        <v>3200</v>
      </c>
      <c r="S23" s="4047">
        <v>8500</v>
      </c>
      <c r="T23" s="4047">
        <v>0.25</v>
      </c>
      <c r="U23" s="4056">
        <v>0.3</v>
      </c>
    </row>
    <row r="24" spans="1:21" s="4038" customFormat="1" ht="13.5" customHeight="1">
      <c r="A24" s="4042" t="s">
        <v>862</v>
      </c>
      <c r="B24" s="4048">
        <v>3800</v>
      </c>
      <c r="C24" s="4049">
        <v>7200</v>
      </c>
      <c r="D24" s="4049">
        <v>4</v>
      </c>
      <c r="E24" s="4049">
        <v>0.2</v>
      </c>
      <c r="F24" s="4049">
        <v>3800</v>
      </c>
      <c r="G24" s="4049">
        <v>8000</v>
      </c>
      <c r="H24" s="4049">
        <v>4</v>
      </c>
      <c r="I24" s="4049">
        <v>0.25</v>
      </c>
      <c r="J24" s="4049">
        <v>3500</v>
      </c>
      <c r="K24" s="4049">
        <v>9500</v>
      </c>
      <c r="L24" s="4049">
        <v>0.2</v>
      </c>
      <c r="M24" s="4049">
        <v>0.2</v>
      </c>
      <c r="N24" s="4049">
        <v>850</v>
      </c>
      <c r="O24" s="4049">
        <v>8500</v>
      </c>
      <c r="P24" s="4049">
        <v>5</v>
      </c>
      <c r="Q24" s="4049">
        <v>0.06</v>
      </c>
      <c r="R24" s="4049">
        <v>3200</v>
      </c>
      <c r="S24" s="4049">
        <v>9500</v>
      </c>
      <c r="T24" s="4049">
        <v>0.25</v>
      </c>
      <c r="U24" s="4057">
        <v>0.3</v>
      </c>
    </row>
    <row r="25" spans="1:21" s="4038" customFormat="1" ht="13.5" customHeight="1">
      <c r="A25" s="4045" t="s">
        <v>863</v>
      </c>
      <c r="B25" s="4046">
        <v>3500</v>
      </c>
      <c r="C25" s="4047">
        <v>8500</v>
      </c>
      <c r="D25" s="4047">
        <v>3</v>
      </c>
      <c r="E25" s="4047">
        <v>0.13</v>
      </c>
      <c r="F25" s="4047">
        <v>3200</v>
      </c>
      <c r="G25" s="4047">
        <v>9500</v>
      </c>
      <c r="H25" s="4047">
        <v>3</v>
      </c>
      <c r="I25" s="4047">
        <v>0.25</v>
      </c>
      <c r="J25" s="4047">
        <v>3300</v>
      </c>
      <c r="K25" s="4047">
        <v>11000</v>
      </c>
      <c r="L25" s="4047">
        <v>0.2</v>
      </c>
      <c r="M25" s="4047">
        <v>0.2</v>
      </c>
      <c r="N25" s="4047">
        <v>850</v>
      </c>
      <c r="O25" s="4047">
        <v>8500</v>
      </c>
      <c r="P25" s="4047">
        <v>3</v>
      </c>
      <c r="Q25" s="4047">
        <v>0.06</v>
      </c>
      <c r="R25" s="4047">
        <v>3000</v>
      </c>
      <c r="S25" s="4047">
        <v>10000</v>
      </c>
      <c r="T25" s="4047">
        <v>0.2</v>
      </c>
      <c r="U25" s="4056">
        <v>0.22</v>
      </c>
    </row>
    <row r="26" spans="1:21" s="4038" customFormat="1" ht="13.5" customHeight="1">
      <c r="A26" s="4042" t="s">
        <v>864</v>
      </c>
      <c r="B26" s="4048">
        <v>3200</v>
      </c>
      <c r="C26" s="4049">
        <v>12000</v>
      </c>
      <c r="D26" s="4049">
        <v>2</v>
      </c>
      <c r="E26" s="4049">
        <v>0.08</v>
      </c>
      <c r="F26" s="4049">
        <v>3000</v>
      </c>
      <c r="G26" s="4049">
        <v>12000</v>
      </c>
      <c r="H26" s="4049">
        <v>2</v>
      </c>
      <c r="I26" s="4049">
        <v>0.2</v>
      </c>
      <c r="J26" s="4049">
        <v>3000</v>
      </c>
      <c r="K26" s="4049">
        <v>12000</v>
      </c>
      <c r="L26" s="4049">
        <v>0.15</v>
      </c>
      <c r="M26" s="4049">
        <v>0.15</v>
      </c>
      <c r="N26" s="4049">
        <v>700</v>
      </c>
      <c r="O26" s="4049">
        <v>9000</v>
      </c>
      <c r="P26" s="4049">
        <v>2</v>
      </c>
      <c r="Q26" s="4049">
        <v>0.06</v>
      </c>
      <c r="R26" s="4049">
        <v>3000</v>
      </c>
      <c r="S26" s="4049">
        <v>13000</v>
      </c>
      <c r="T26" s="4049">
        <v>0.17</v>
      </c>
      <c r="U26" s="4057">
        <v>0.17</v>
      </c>
    </row>
    <row r="27" spans="1:21" s="4038" customFormat="1" ht="13.5" customHeight="1">
      <c r="A27" s="4045" t="s">
        <v>865</v>
      </c>
      <c r="B27" s="4046">
        <v>2500</v>
      </c>
      <c r="C27" s="4047">
        <v>5500</v>
      </c>
      <c r="D27" s="4047">
        <v>0.35</v>
      </c>
      <c r="E27" s="4047">
        <v>0.3</v>
      </c>
      <c r="F27" s="4047">
        <v>3000</v>
      </c>
      <c r="G27" s="4047">
        <v>7200</v>
      </c>
      <c r="H27" s="4047">
        <v>0.35</v>
      </c>
      <c r="I27" s="4047">
        <v>0.3</v>
      </c>
      <c r="J27" s="4047">
        <v>2850</v>
      </c>
      <c r="K27" s="4047">
        <v>8500</v>
      </c>
      <c r="L27" s="4047">
        <v>0.22</v>
      </c>
      <c r="M27" s="4047">
        <v>0.22</v>
      </c>
      <c r="N27" s="4047"/>
      <c r="O27" s="4047"/>
      <c r="P27" s="4047"/>
      <c r="Q27" s="4047"/>
      <c r="R27" s="4047">
        <v>3000</v>
      </c>
      <c r="S27" s="4047">
        <v>8500</v>
      </c>
      <c r="T27" s="4047">
        <v>0.35</v>
      </c>
      <c r="U27" s="4056">
        <v>0.35</v>
      </c>
    </row>
    <row r="28" spans="1:21" s="4038" customFormat="1" ht="13.5" customHeight="1">
      <c r="A28" s="4042" t="s">
        <v>866</v>
      </c>
      <c r="B28" s="4048">
        <v>3000</v>
      </c>
      <c r="C28" s="4049">
        <v>7500</v>
      </c>
      <c r="D28" s="4049">
        <v>0.35</v>
      </c>
      <c r="E28" s="4049">
        <v>0.25</v>
      </c>
      <c r="F28" s="4049">
        <v>3000</v>
      </c>
      <c r="G28" s="4049">
        <v>8500</v>
      </c>
      <c r="H28" s="4049">
        <v>0.35</v>
      </c>
      <c r="I28" s="4049">
        <v>0.3</v>
      </c>
      <c r="J28" s="4049">
        <v>2850</v>
      </c>
      <c r="K28" s="4049">
        <v>9000</v>
      </c>
      <c r="L28" s="4049">
        <v>0.22</v>
      </c>
      <c r="M28" s="4049">
        <v>0.22</v>
      </c>
      <c r="N28" s="4049"/>
      <c r="O28" s="4049"/>
      <c r="P28" s="4049"/>
      <c r="Q28" s="4049"/>
      <c r="R28" s="4049">
        <v>3000</v>
      </c>
      <c r="S28" s="4049">
        <v>10000</v>
      </c>
      <c r="T28" s="4049">
        <v>0.32</v>
      </c>
      <c r="U28" s="4057">
        <v>0.32</v>
      </c>
    </row>
    <row r="29" spans="1:21" s="4038" customFormat="1" ht="13.5" customHeight="1">
      <c r="A29" s="4045" t="s">
        <v>867</v>
      </c>
      <c r="B29" s="4046">
        <v>3000</v>
      </c>
      <c r="C29" s="4047">
        <v>9500</v>
      </c>
      <c r="D29" s="4047">
        <v>0.3</v>
      </c>
      <c r="E29" s="4047">
        <v>0.2</v>
      </c>
      <c r="F29" s="4047">
        <v>2800</v>
      </c>
      <c r="G29" s="4047">
        <v>10000</v>
      </c>
      <c r="H29" s="4047">
        <v>0.3</v>
      </c>
      <c r="I29" s="4047">
        <v>0.25</v>
      </c>
      <c r="J29" s="4047">
        <v>3000</v>
      </c>
      <c r="K29" s="4047">
        <v>11000</v>
      </c>
      <c r="L29" s="4047">
        <v>0.18</v>
      </c>
      <c r="M29" s="4047">
        <v>0.18</v>
      </c>
      <c r="N29" s="4047"/>
      <c r="O29" s="4047"/>
      <c r="P29" s="4047"/>
      <c r="Q29" s="4047"/>
      <c r="R29" s="4047">
        <v>3000</v>
      </c>
      <c r="S29" s="4047">
        <v>12000</v>
      </c>
      <c r="T29" s="4047">
        <v>0.27</v>
      </c>
      <c r="U29" s="4056">
        <v>0.27</v>
      </c>
    </row>
    <row r="30" spans="1:21" s="4038" customFormat="1" ht="13.5" customHeight="1">
      <c r="A30" s="4042" t="s">
        <v>868</v>
      </c>
      <c r="B30" s="4048">
        <v>3000</v>
      </c>
      <c r="C30" s="4049">
        <v>12000</v>
      </c>
      <c r="D30" s="4049">
        <v>0.25</v>
      </c>
      <c r="E30" s="4049">
        <v>0.18</v>
      </c>
      <c r="F30" s="4049">
        <v>2800</v>
      </c>
      <c r="G30" s="4049">
        <v>12000</v>
      </c>
      <c r="H30" s="4049">
        <v>0.22</v>
      </c>
      <c r="I30" s="4049">
        <v>0.18</v>
      </c>
      <c r="J30" s="4049">
        <v>3000</v>
      </c>
      <c r="K30" s="4049">
        <v>12000</v>
      </c>
      <c r="L30" s="4049">
        <v>0.18</v>
      </c>
      <c r="M30" s="4049">
        <v>0.18</v>
      </c>
      <c r="N30" s="4049"/>
      <c r="O30" s="4049"/>
      <c r="P30" s="4049"/>
      <c r="Q30" s="4049"/>
      <c r="R30" s="4049">
        <v>2600</v>
      </c>
      <c r="S30" s="4049">
        <v>13000</v>
      </c>
      <c r="T30" s="4049">
        <v>0.23</v>
      </c>
      <c r="U30" s="4057">
        <v>0.23</v>
      </c>
    </row>
    <row r="31" spans="1:21" s="4038" customFormat="1" ht="13.5" customHeight="1">
      <c r="A31" s="4045" t="s">
        <v>869</v>
      </c>
      <c r="B31" s="4046"/>
      <c r="C31" s="4047"/>
      <c r="D31" s="4047"/>
      <c r="E31" s="4047"/>
      <c r="F31" s="4047">
        <v>2200</v>
      </c>
      <c r="G31" s="4047">
        <v>13000</v>
      </c>
      <c r="H31" s="4047">
        <v>0.15</v>
      </c>
      <c r="I31" s="4047">
        <v>0.12</v>
      </c>
      <c r="J31" s="4047">
        <v>2800</v>
      </c>
      <c r="K31" s="4047">
        <v>13500</v>
      </c>
      <c r="L31" s="4047">
        <v>0.15</v>
      </c>
      <c r="M31" s="4047">
        <v>0.15</v>
      </c>
      <c r="N31" s="4047"/>
      <c r="O31" s="4047"/>
      <c r="P31" s="4047"/>
      <c r="Q31" s="4047"/>
      <c r="R31" s="4047">
        <v>2500</v>
      </c>
      <c r="S31" s="4047">
        <v>13500</v>
      </c>
      <c r="T31" s="4047">
        <v>0.17</v>
      </c>
      <c r="U31" s="4056">
        <v>0.17</v>
      </c>
    </row>
    <row r="32" spans="1:21" s="4038" customFormat="1" ht="13.5" customHeight="1">
      <c r="A32" s="4042"/>
      <c r="B32" s="4048"/>
      <c r="C32" s="4049"/>
      <c r="D32" s="4049"/>
      <c r="E32" s="4049"/>
      <c r="F32" s="4049"/>
      <c r="G32" s="4049"/>
      <c r="H32" s="4049"/>
      <c r="I32" s="4049"/>
      <c r="J32" s="4049"/>
      <c r="K32" s="4049"/>
      <c r="L32" s="4049"/>
      <c r="M32" s="4049"/>
      <c r="N32" s="4049"/>
      <c r="O32" s="4049"/>
      <c r="P32" s="4049"/>
      <c r="Q32" s="4049"/>
      <c r="R32" s="4049"/>
      <c r="S32" s="4049"/>
      <c r="T32" s="4049"/>
      <c r="U32" s="4057"/>
    </row>
    <row r="33" spans="1:21" s="4038" customFormat="1" ht="13.5" customHeight="1">
      <c r="A33" s="4042" t="s">
        <v>870</v>
      </c>
      <c r="B33" s="4048"/>
      <c r="C33" s="4049"/>
      <c r="D33" s="4049"/>
      <c r="E33" s="4049"/>
      <c r="F33" s="4049"/>
      <c r="G33" s="4049"/>
      <c r="H33" s="4049"/>
      <c r="I33" s="4049"/>
      <c r="J33" s="4049">
        <v>3000</v>
      </c>
      <c r="K33" s="4049">
        <v>1650</v>
      </c>
      <c r="L33" s="4049">
        <v>0.2</v>
      </c>
      <c r="M33" s="4049">
        <v>0.22</v>
      </c>
      <c r="N33" s="4049">
        <v>850</v>
      </c>
      <c r="O33" s="4049">
        <v>1800</v>
      </c>
      <c r="P33" s="4049">
        <v>16</v>
      </c>
      <c r="Q33" s="4049">
        <v>0.1</v>
      </c>
      <c r="R33" s="4049">
        <v>3000</v>
      </c>
      <c r="S33" s="4049">
        <v>1800</v>
      </c>
      <c r="T33" s="4049">
        <v>0.3</v>
      </c>
      <c r="U33" s="4057">
        <v>0.3</v>
      </c>
    </row>
    <row r="34" spans="1:21" s="4038" customFormat="1" ht="13.5" customHeight="1">
      <c r="A34" s="4045" t="s">
        <v>871</v>
      </c>
      <c r="B34" s="4046"/>
      <c r="C34" s="4047"/>
      <c r="D34" s="4047"/>
      <c r="E34" s="4047"/>
      <c r="F34" s="4047"/>
      <c r="G34" s="4047"/>
      <c r="H34" s="4047"/>
      <c r="I34" s="4047"/>
      <c r="J34" s="4047"/>
      <c r="K34" s="4047"/>
      <c r="L34" s="4047"/>
      <c r="M34" s="4047"/>
      <c r="N34" s="4047"/>
      <c r="O34" s="4047"/>
      <c r="P34" s="4047"/>
      <c r="Q34" s="4047"/>
      <c r="R34" s="4047"/>
      <c r="S34" s="4047"/>
      <c r="T34" s="4047"/>
      <c r="U34" s="4056"/>
    </row>
    <row r="35" spans="1:21" s="4038" customFormat="1" ht="13.5" customHeight="1">
      <c r="A35" s="4042" t="s">
        <v>872</v>
      </c>
      <c r="B35" s="4048"/>
      <c r="C35" s="4049"/>
      <c r="D35" s="4049"/>
      <c r="E35" s="4049"/>
      <c r="F35" s="4049"/>
      <c r="G35" s="4049"/>
      <c r="H35" s="4049"/>
      <c r="I35" s="4049"/>
      <c r="J35" s="4049">
        <v>3000</v>
      </c>
      <c r="K35" s="4049">
        <v>1800</v>
      </c>
      <c r="L35" s="4049">
        <v>0.2</v>
      </c>
      <c r="M35" s="4049">
        <v>0.18</v>
      </c>
      <c r="N35" s="4049">
        <v>850</v>
      </c>
      <c r="O35" s="4049">
        <v>1800</v>
      </c>
      <c r="P35" s="4049">
        <v>10</v>
      </c>
      <c r="Q35" s="4049">
        <v>0.1</v>
      </c>
      <c r="R35" s="4049">
        <v>3000</v>
      </c>
      <c r="S35" s="4049">
        <v>1800</v>
      </c>
      <c r="T35" s="4049">
        <v>0.3</v>
      </c>
      <c r="U35" s="4057">
        <v>0.3</v>
      </c>
    </row>
    <row r="36" spans="1:21" s="4038" customFormat="1" ht="13.5" customHeight="1">
      <c r="A36" s="4045" t="s">
        <v>873</v>
      </c>
      <c r="B36" s="4046"/>
      <c r="C36" s="4047"/>
      <c r="D36" s="4047"/>
      <c r="E36" s="4047"/>
      <c r="F36" s="4047"/>
      <c r="G36" s="4047"/>
      <c r="H36" s="4047"/>
      <c r="I36" s="4047"/>
      <c r="J36" s="4047"/>
      <c r="K36" s="4047"/>
      <c r="L36" s="4047"/>
      <c r="M36" s="4047"/>
      <c r="N36" s="4047"/>
      <c r="O36" s="4047"/>
      <c r="P36" s="4047"/>
      <c r="Q36" s="4047"/>
      <c r="R36" s="4047"/>
      <c r="S36" s="4047"/>
      <c r="T36" s="4047"/>
      <c r="U36" s="4056"/>
    </row>
    <row r="37" spans="1:21" s="4038" customFormat="1" ht="13.5" customHeight="1">
      <c r="A37" s="4042" t="s">
        <v>874</v>
      </c>
      <c r="B37" s="4048"/>
      <c r="C37" s="4049"/>
      <c r="D37" s="4049"/>
      <c r="E37" s="4049"/>
      <c r="F37" s="4049"/>
      <c r="G37" s="4049"/>
      <c r="H37" s="4049"/>
      <c r="I37" s="4049"/>
      <c r="J37" s="4049">
        <v>3200</v>
      </c>
      <c r="K37" s="4049">
        <v>5000</v>
      </c>
      <c r="L37" s="4049">
        <v>0.25</v>
      </c>
      <c r="M37" s="4049">
        <v>0.25</v>
      </c>
      <c r="N37" s="4049"/>
      <c r="O37" s="4049"/>
      <c r="P37" s="4049"/>
      <c r="Q37" s="4049"/>
      <c r="R37" s="4049">
        <v>3500</v>
      </c>
      <c r="S37" s="4049">
        <v>5000</v>
      </c>
      <c r="T37" s="4049">
        <v>0.38</v>
      </c>
      <c r="U37" s="4057">
        <v>0.38</v>
      </c>
    </row>
    <row r="38" spans="1:21" s="4038" customFormat="1" ht="13.5" customHeight="1">
      <c r="A38" s="4045" t="s">
        <v>875</v>
      </c>
      <c r="B38" s="4050"/>
      <c r="C38" s="4051"/>
      <c r="D38" s="4051"/>
      <c r="E38" s="4051"/>
      <c r="F38" s="4051"/>
      <c r="G38" s="4051"/>
      <c r="H38" s="4051"/>
      <c r="I38" s="4051"/>
      <c r="J38" s="4051">
        <v>3200</v>
      </c>
      <c r="K38" s="4051">
        <v>5500</v>
      </c>
      <c r="L38" s="4051">
        <v>0.22</v>
      </c>
      <c r="M38" s="4051">
        <v>0.22</v>
      </c>
      <c r="N38" s="4051"/>
      <c r="O38" s="4051"/>
      <c r="P38" s="4051"/>
      <c r="Q38" s="4051"/>
      <c r="R38" s="4051">
        <v>3500</v>
      </c>
      <c r="S38" s="4051">
        <v>5500</v>
      </c>
      <c r="T38" s="4051">
        <v>0.35</v>
      </c>
      <c r="U38" s="4058">
        <v>0.35</v>
      </c>
    </row>
    <row r="39" spans="1:21" ht="22.5" customHeight="1">
      <c r="A39" s="4424" t="s">
        <v>876</v>
      </c>
      <c r="B39" s="4424"/>
      <c r="C39" s="4424"/>
      <c r="D39" s="4424"/>
      <c r="E39" s="4424"/>
      <c r="F39" s="4424"/>
      <c r="M39" s="4424" t="s">
        <v>877</v>
      </c>
      <c r="N39" s="4424"/>
      <c r="O39" s="4424"/>
      <c r="P39" s="4424"/>
      <c r="Q39" s="4424"/>
      <c r="R39" s="4424"/>
      <c r="S39" s="4424"/>
      <c r="T39" s="4424"/>
      <c r="U39" s="4424"/>
    </row>
    <row r="40" spans="1:21" ht="22.5" customHeight="1">
      <c r="A40" s="4052"/>
      <c r="B40" s="4052"/>
      <c r="C40" s="4052"/>
      <c r="D40" s="4052"/>
      <c r="E40" s="4052"/>
      <c r="F40" s="4052"/>
      <c r="M40" s="4052"/>
      <c r="N40" s="4052"/>
      <c r="O40" s="4052"/>
      <c r="P40" s="4052"/>
      <c r="Q40" s="4052"/>
      <c r="R40" s="4052"/>
      <c r="S40" s="4052"/>
      <c r="T40" s="4052"/>
      <c r="U40" s="4052"/>
    </row>
    <row r="41" spans="1:21" ht="22.5" customHeight="1">
      <c r="A41" s="4052"/>
      <c r="B41" s="4052"/>
      <c r="C41" s="4052"/>
      <c r="D41" s="4052"/>
      <c r="E41" s="4052"/>
      <c r="F41" s="4052"/>
      <c r="M41" s="4052"/>
      <c r="N41" s="4052"/>
      <c r="O41" s="4052"/>
      <c r="P41" s="4052"/>
      <c r="Q41" s="4052"/>
      <c r="R41" s="4052"/>
      <c r="S41" s="4052"/>
      <c r="T41" s="4052"/>
      <c r="U41" s="4052"/>
    </row>
    <row r="42" spans="1:21" ht="50.25" customHeight="1">
      <c r="A42" s="4445" t="s">
        <v>878</v>
      </c>
      <c r="B42" s="4446"/>
      <c r="C42" s="4446"/>
      <c r="D42" s="4446"/>
      <c r="E42" s="4446"/>
      <c r="F42" s="4446"/>
      <c r="G42" s="4446"/>
      <c r="H42" s="4446"/>
      <c r="I42" s="4446"/>
      <c r="J42" s="4446"/>
      <c r="K42" s="4446"/>
      <c r="L42" s="4446"/>
      <c r="M42" s="4446"/>
      <c r="N42" s="4446"/>
      <c r="O42" s="4446"/>
      <c r="P42" s="4446"/>
      <c r="Q42" s="4446"/>
      <c r="R42" s="4446"/>
      <c r="S42" s="4446"/>
      <c r="T42" s="4446"/>
      <c r="U42" s="4446"/>
    </row>
    <row r="43" spans="1:21" ht="12.95" customHeight="1">
      <c r="A43" s="4429"/>
      <c r="B43" s="4430"/>
      <c r="C43" s="4430"/>
      <c r="D43" s="4430"/>
      <c r="E43" s="4430"/>
      <c r="F43" s="4430"/>
      <c r="G43" s="4430"/>
      <c r="H43" s="4429"/>
      <c r="I43" s="4430"/>
      <c r="J43" s="4430"/>
      <c r="K43" s="4430"/>
      <c r="L43" s="4434"/>
      <c r="M43" s="4436" t="s">
        <v>833</v>
      </c>
      <c r="N43" s="4437"/>
      <c r="O43" s="4437"/>
      <c r="P43" s="4437"/>
      <c r="Q43" s="4437"/>
      <c r="R43" s="4437"/>
      <c r="S43" s="4437"/>
      <c r="T43" s="4437"/>
      <c r="U43" s="4438"/>
    </row>
    <row r="44" spans="1:21" ht="12.95" customHeight="1">
      <c r="A44" s="4431"/>
      <c r="B44" s="4432"/>
      <c r="C44" s="4432"/>
      <c r="D44" s="4432"/>
      <c r="E44" s="4432"/>
      <c r="F44" s="4432"/>
      <c r="G44" s="4432"/>
      <c r="H44" s="4433"/>
      <c r="I44" s="4422"/>
      <c r="J44" s="4422"/>
      <c r="K44" s="4422"/>
      <c r="L44" s="4423"/>
      <c r="M44" s="4447" t="s">
        <v>834</v>
      </c>
      <c r="N44" s="4448"/>
      <c r="O44" s="4448"/>
      <c r="P44" s="4448"/>
      <c r="Q44" s="4448"/>
      <c r="R44" s="4448"/>
      <c r="S44" s="4448"/>
      <c r="T44" s="4448"/>
      <c r="U44" s="4449"/>
    </row>
    <row r="45" spans="1:21" ht="12.95" customHeight="1">
      <c r="A45" s="4431"/>
      <c r="B45" s="4432"/>
      <c r="C45" s="4432"/>
      <c r="D45" s="4432"/>
      <c r="E45" s="4432"/>
      <c r="F45" s="4432"/>
      <c r="G45" s="4432"/>
      <c r="H45" s="4429"/>
      <c r="I45" s="4430"/>
      <c r="J45" s="4430"/>
      <c r="K45" s="4430"/>
      <c r="L45" s="4434"/>
      <c r="M45" s="4447" t="s">
        <v>835</v>
      </c>
      <c r="N45" s="4448"/>
      <c r="O45" s="4448"/>
      <c r="P45" s="4448"/>
      <c r="Q45" s="4448"/>
      <c r="R45" s="4448"/>
      <c r="S45" s="4448"/>
      <c r="T45" s="4448"/>
      <c r="U45" s="4449"/>
    </row>
    <row r="46" spans="1:21" ht="12.95" customHeight="1">
      <c r="A46" s="4431"/>
      <c r="B46" s="4432"/>
      <c r="C46" s="4432"/>
      <c r="D46" s="4432"/>
      <c r="E46" s="4432"/>
      <c r="F46" s="4432"/>
      <c r="G46" s="4432"/>
      <c r="H46" s="4433"/>
      <c r="I46" s="4422"/>
      <c r="J46" s="4422"/>
      <c r="K46" s="4422"/>
      <c r="L46" s="4423"/>
      <c r="M46" s="4447" t="s">
        <v>836</v>
      </c>
      <c r="N46" s="4448"/>
      <c r="O46" s="4448"/>
      <c r="P46" s="4448"/>
      <c r="Q46" s="4448"/>
      <c r="R46" s="4448"/>
      <c r="S46" s="4448"/>
      <c r="T46" s="4448"/>
      <c r="U46" s="4449"/>
    </row>
    <row r="47" spans="1:21" ht="12.95" customHeight="1">
      <c r="A47" s="4431"/>
      <c r="B47" s="4432"/>
      <c r="C47" s="4432"/>
      <c r="D47" s="4432"/>
      <c r="E47" s="4432"/>
      <c r="F47" s="4432"/>
      <c r="G47" s="4432"/>
      <c r="H47" s="4429"/>
      <c r="I47" s="4430"/>
      <c r="J47" s="4430"/>
      <c r="K47" s="4430"/>
      <c r="L47" s="4434"/>
      <c r="M47" s="4447" t="s">
        <v>837</v>
      </c>
      <c r="N47" s="4448"/>
      <c r="O47" s="4448"/>
      <c r="P47" s="4448"/>
      <c r="Q47" s="4448"/>
      <c r="R47" s="4448"/>
      <c r="S47" s="4448"/>
      <c r="T47" s="4448"/>
      <c r="U47" s="4449"/>
    </row>
    <row r="48" spans="1:21" ht="12.95" customHeight="1">
      <c r="A48" s="4431"/>
      <c r="B48" s="4432"/>
      <c r="C48" s="4432"/>
      <c r="D48" s="4432"/>
      <c r="E48" s="4432"/>
      <c r="F48" s="4432"/>
      <c r="G48" s="4432"/>
      <c r="H48" s="4433"/>
      <c r="I48" s="4422"/>
      <c r="J48" s="4422"/>
      <c r="K48" s="4422"/>
      <c r="L48" s="4423"/>
      <c r="M48" s="4436" t="s">
        <v>838</v>
      </c>
      <c r="N48" s="4437"/>
      <c r="O48" s="4437"/>
      <c r="P48" s="4437"/>
      <c r="Q48" s="4437"/>
      <c r="R48" s="4437"/>
      <c r="S48" s="4437"/>
      <c r="T48" s="4437"/>
      <c r="U48" s="4438"/>
    </row>
    <row r="49" spans="1:21" ht="12.95" customHeight="1">
      <c r="A49" s="4431"/>
      <c r="B49" s="4432"/>
      <c r="C49" s="4432"/>
      <c r="D49" s="4432"/>
      <c r="E49" s="4432"/>
      <c r="F49" s="4432"/>
      <c r="G49" s="4432"/>
      <c r="H49" s="4429"/>
      <c r="I49" s="4430"/>
      <c r="J49" s="4430"/>
      <c r="K49" s="4430"/>
      <c r="L49" s="4434"/>
      <c r="M49" s="4436" t="s">
        <v>839</v>
      </c>
      <c r="N49" s="4437"/>
      <c r="O49" s="4437"/>
      <c r="P49" s="4437"/>
      <c r="Q49" s="4437"/>
      <c r="R49" s="4437"/>
      <c r="S49" s="4437"/>
      <c r="T49" s="4437"/>
      <c r="U49" s="4438"/>
    </row>
    <row r="50" spans="1:21" ht="12.95" customHeight="1">
      <c r="A50" s="4431"/>
      <c r="B50" s="4432"/>
      <c r="C50" s="4432"/>
      <c r="D50" s="4432"/>
      <c r="E50" s="4432"/>
      <c r="F50" s="4432"/>
      <c r="G50" s="4432"/>
      <c r="H50" s="4431"/>
      <c r="I50" s="4432"/>
      <c r="J50" s="4432"/>
      <c r="K50" s="4432"/>
      <c r="L50" s="4435"/>
      <c r="M50" s="4436" t="s">
        <v>840</v>
      </c>
      <c r="N50" s="4437"/>
      <c r="O50" s="4437"/>
      <c r="P50" s="4437"/>
      <c r="Q50" s="4437"/>
      <c r="R50" s="4437"/>
      <c r="S50" s="4437"/>
      <c r="T50" s="4437"/>
      <c r="U50" s="4438"/>
    </row>
    <row r="51" spans="1:21" ht="12.95" customHeight="1">
      <c r="A51" s="4431"/>
      <c r="B51" s="4432"/>
      <c r="C51" s="4432"/>
      <c r="D51" s="4432"/>
      <c r="E51" s="4432"/>
      <c r="F51" s="4432"/>
      <c r="G51" s="4432"/>
      <c r="H51" s="4433"/>
      <c r="I51" s="4422"/>
      <c r="J51" s="4422"/>
      <c r="K51" s="4422"/>
      <c r="L51" s="4423"/>
      <c r="M51" s="4436" t="s">
        <v>841</v>
      </c>
      <c r="N51" s="4437"/>
      <c r="O51" s="4437"/>
      <c r="P51" s="4437"/>
      <c r="Q51" s="4437"/>
      <c r="R51" s="4437"/>
      <c r="S51" s="4437"/>
      <c r="T51" s="4437"/>
      <c r="U51" s="4438"/>
    </row>
    <row r="52" spans="1:21" ht="12.95" customHeight="1">
      <c r="A52" s="4433"/>
      <c r="B52" s="4422"/>
      <c r="C52" s="4422"/>
      <c r="D52" s="4422"/>
      <c r="E52" s="4422"/>
      <c r="F52" s="4422"/>
      <c r="G52" s="4422"/>
      <c r="H52" s="4439" t="s">
        <v>842</v>
      </c>
      <c r="I52" s="4440"/>
      <c r="J52" s="4440"/>
      <c r="K52" s="4440"/>
      <c r="L52" s="4441"/>
      <c r="M52" s="4436" t="s">
        <v>843</v>
      </c>
      <c r="N52" s="4437"/>
      <c r="O52" s="4437"/>
      <c r="P52" s="4437"/>
      <c r="Q52" s="4437"/>
      <c r="R52" s="4437"/>
      <c r="S52" s="4437"/>
      <c r="T52" s="4437"/>
      <c r="U52" s="4438"/>
    </row>
    <row r="53" spans="1:21" ht="18" customHeight="1">
      <c r="A53" s="4426" t="s">
        <v>583</v>
      </c>
      <c r="B53" s="4442" t="s">
        <v>589</v>
      </c>
      <c r="C53" s="4443"/>
      <c r="D53" s="4443"/>
      <c r="E53" s="4443"/>
      <c r="F53" s="4442" t="s">
        <v>844</v>
      </c>
      <c r="G53" s="4443"/>
      <c r="H53" s="4443"/>
      <c r="I53" s="4444"/>
      <c r="J53" s="4442" t="s">
        <v>845</v>
      </c>
      <c r="K53" s="4443"/>
      <c r="L53" s="4443"/>
      <c r="M53" s="4444"/>
      <c r="N53" s="4442" t="s">
        <v>846</v>
      </c>
      <c r="O53" s="4443"/>
      <c r="P53" s="4443"/>
      <c r="Q53" s="4444"/>
      <c r="R53" s="4442" t="s">
        <v>847</v>
      </c>
      <c r="S53" s="4443"/>
      <c r="T53" s="4443"/>
      <c r="U53" s="4444"/>
    </row>
    <row r="54" spans="1:21" ht="13.5" customHeight="1">
      <c r="A54" s="4427"/>
      <c r="B54" s="4421" t="s">
        <v>879</v>
      </c>
      <c r="C54" s="4422"/>
      <c r="D54" s="4422"/>
      <c r="E54" s="4422"/>
      <c r="F54" s="4421" t="s">
        <v>880</v>
      </c>
      <c r="G54" s="4422"/>
      <c r="H54" s="4422"/>
      <c r="I54" s="4423"/>
      <c r="J54" s="4421" t="s">
        <v>881</v>
      </c>
      <c r="K54" s="4422"/>
      <c r="L54" s="4422"/>
      <c r="M54" s="4423"/>
      <c r="N54" s="4421" t="s">
        <v>882</v>
      </c>
      <c r="O54" s="4422"/>
      <c r="P54" s="4422"/>
      <c r="Q54" s="4423"/>
      <c r="R54" s="4421" t="s">
        <v>883</v>
      </c>
      <c r="S54" s="4422"/>
      <c r="T54" s="4422"/>
      <c r="U54" s="4423"/>
    </row>
    <row r="55" spans="1:21" ht="13.5" customHeight="1">
      <c r="A55" s="4428"/>
      <c r="B55" s="4040" t="s">
        <v>475</v>
      </c>
      <c r="C55" s="4040" t="s">
        <v>471</v>
      </c>
      <c r="D55" s="4040" t="s">
        <v>853</v>
      </c>
      <c r="E55" s="4040" t="s">
        <v>854</v>
      </c>
      <c r="F55" s="4041" t="s">
        <v>475</v>
      </c>
      <c r="G55" s="4041" t="s">
        <v>471</v>
      </c>
      <c r="H55" s="4041" t="s">
        <v>853</v>
      </c>
      <c r="I55" s="4041" t="s">
        <v>854</v>
      </c>
      <c r="J55" s="4053" t="s">
        <v>475</v>
      </c>
      <c r="K55" s="4053" t="s">
        <v>471</v>
      </c>
      <c r="L55" s="4053" t="s">
        <v>853</v>
      </c>
      <c r="M55" s="4053" t="s">
        <v>854</v>
      </c>
      <c r="N55" s="4054" t="s">
        <v>475</v>
      </c>
      <c r="O55" s="4054" t="s">
        <v>471</v>
      </c>
      <c r="P55" s="4054" t="s">
        <v>853</v>
      </c>
      <c r="Q55" s="4054" t="s">
        <v>854</v>
      </c>
      <c r="R55" s="4053" t="s">
        <v>475</v>
      </c>
      <c r="S55" s="4053" t="s">
        <v>471</v>
      </c>
      <c r="T55" s="4053" t="s">
        <v>853</v>
      </c>
      <c r="U55" s="4053" t="s">
        <v>854</v>
      </c>
    </row>
    <row r="56" spans="1:21" s="4038" customFormat="1" ht="13.5" customHeight="1">
      <c r="A56" s="4042" t="s">
        <v>855</v>
      </c>
      <c r="B56" s="4043">
        <v>3200</v>
      </c>
      <c r="C56" s="4044">
        <v>4350</v>
      </c>
      <c r="D56" s="4044">
        <v>7.5</v>
      </c>
      <c r="E56" s="4044">
        <v>0.2</v>
      </c>
      <c r="F56" s="4044">
        <v>3200</v>
      </c>
      <c r="G56" s="4044">
        <v>6000</v>
      </c>
      <c r="H56" s="4044">
        <v>7</v>
      </c>
      <c r="I56" s="4044">
        <v>0.25</v>
      </c>
      <c r="J56" s="4044">
        <v>3000</v>
      </c>
      <c r="K56" s="4044">
        <v>6000</v>
      </c>
      <c r="L56" s="4044">
        <v>0.1</v>
      </c>
      <c r="M56" s="4044">
        <v>0.1</v>
      </c>
      <c r="N56" s="4044">
        <v>800</v>
      </c>
      <c r="O56" s="4044">
        <v>6000</v>
      </c>
      <c r="P56" s="4044">
        <v>0.08</v>
      </c>
      <c r="Q56" s="4044">
        <v>0.05</v>
      </c>
      <c r="R56" s="4044"/>
      <c r="S56" s="4044"/>
      <c r="T56" s="4044"/>
      <c r="U56" s="4055"/>
    </row>
    <row r="57" spans="1:21" s="4038" customFormat="1" ht="13.5" customHeight="1">
      <c r="A57" s="4045" t="s">
        <v>856</v>
      </c>
      <c r="B57" s="4046">
        <v>3000</v>
      </c>
      <c r="C57" s="4047">
        <v>6000</v>
      </c>
      <c r="D57" s="4047">
        <v>5</v>
      </c>
      <c r="E57" s="4047">
        <v>0.17</v>
      </c>
      <c r="F57" s="4047">
        <v>3200</v>
      </c>
      <c r="G57" s="4047">
        <v>6000</v>
      </c>
      <c r="H57" s="4047">
        <v>5</v>
      </c>
      <c r="I57" s="4047">
        <v>0.25</v>
      </c>
      <c r="J57" s="4047">
        <v>3000</v>
      </c>
      <c r="K57" s="4047">
        <v>6000</v>
      </c>
      <c r="L57" s="4047">
        <v>0.1</v>
      </c>
      <c r="M57" s="4047">
        <v>0.1</v>
      </c>
      <c r="N57" s="4047">
        <v>750</v>
      </c>
      <c r="O57" s="4047">
        <v>6000</v>
      </c>
      <c r="P57" s="4047">
        <v>0.08</v>
      </c>
      <c r="Q57" s="4047">
        <v>0.05</v>
      </c>
      <c r="R57" s="4047"/>
      <c r="S57" s="4047"/>
      <c r="T57" s="4047"/>
      <c r="U57" s="4056"/>
    </row>
    <row r="58" spans="1:21" s="4038" customFormat="1" ht="13.5" customHeight="1">
      <c r="A58" s="4042" t="s">
        <v>857</v>
      </c>
      <c r="B58" s="4048">
        <v>2800</v>
      </c>
      <c r="C58" s="4049">
        <v>6000</v>
      </c>
      <c r="D58" s="4049">
        <v>3.5</v>
      </c>
      <c r="E58" s="4049">
        <v>0.1</v>
      </c>
      <c r="F58" s="4049">
        <v>3200</v>
      </c>
      <c r="G58" s="4049">
        <v>6000</v>
      </c>
      <c r="H58" s="4049">
        <v>3.5</v>
      </c>
      <c r="I58" s="4049">
        <v>0.2</v>
      </c>
      <c r="J58" s="4049">
        <v>3000</v>
      </c>
      <c r="K58" s="4049">
        <v>6000</v>
      </c>
      <c r="L58" s="4049">
        <v>7.0000000000000007E-2</v>
      </c>
      <c r="M58" s="4049">
        <v>7.0000000000000007E-2</v>
      </c>
      <c r="N58" s="4049">
        <v>750</v>
      </c>
      <c r="O58" s="4049">
        <v>6000</v>
      </c>
      <c r="P58" s="4049">
        <v>0.06</v>
      </c>
      <c r="Q58" s="4049">
        <v>0.05</v>
      </c>
      <c r="R58" s="4049"/>
      <c r="S58" s="4049"/>
      <c r="T58" s="4049"/>
      <c r="U58" s="4057"/>
    </row>
    <row r="59" spans="1:21" s="4038" customFormat="1" ht="13.5" customHeight="1">
      <c r="A59" s="4045" t="s">
        <v>858</v>
      </c>
      <c r="B59" s="4046"/>
      <c r="C59" s="4047"/>
      <c r="D59" s="4047"/>
      <c r="E59" s="4047"/>
      <c r="F59" s="4047">
        <v>3000</v>
      </c>
      <c r="G59" s="4047">
        <v>6000</v>
      </c>
      <c r="H59" s="4047">
        <v>2</v>
      </c>
      <c r="I59" s="4047">
        <v>0.15</v>
      </c>
      <c r="J59" s="4047">
        <v>2800</v>
      </c>
      <c r="K59" s="4047">
        <v>6000</v>
      </c>
      <c r="L59" s="4047">
        <v>0.05</v>
      </c>
      <c r="M59" s="4047">
        <v>0.05</v>
      </c>
      <c r="N59" s="4047">
        <v>700</v>
      </c>
      <c r="O59" s="4047">
        <v>6000</v>
      </c>
      <c r="P59" s="4047">
        <v>0.05</v>
      </c>
      <c r="Q59" s="4047">
        <v>0.05</v>
      </c>
      <c r="R59" s="4047"/>
      <c r="S59" s="4047"/>
      <c r="T59" s="4047"/>
      <c r="U59" s="4056"/>
    </row>
    <row r="60" spans="1:21" s="4038" customFormat="1" ht="13.5" customHeight="1">
      <c r="A60" s="4042" t="s">
        <v>859</v>
      </c>
      <c r="B60" s="4048"/>
      <c r="C60" s="4049"/>
      <c r="D60" s="4049"/>
      <c r="E60" s="4049"/>
      <c r="F60" s="4049">
        <v>2600</v>
      </c>
      <c r="G60" s="4049">
        <v>6000</v>
      </c>
      <c r="H60" s="4049">
        <v>1.5</v>
      </c>
      <c r="I60" s="4049">
        <v>0.08</v>
      </c>
      <c r="J60" s="4049">
        <v>2200</v>
      </c>
      <c r="K60" s="4049">
        <v>6000</v>
      </c>
      <c r="L60" s="4049">
        <v>3.5000000000000003E-2</v>
      </c>
      <c r="M60" s="4049">
        <v>3.5000000000000003E-2</v>
      </c>
      <c r="N60" s="4049">
        <v>700</v>
      </c>
      <c r="O60" s="4049">
        <v>6000</v>
      </c>
      <c r="P60" s="4049">
        <v>0.03</v>
      </c>
      <c r="Q60" s="4049">
        <v>0.05</v>
      </c>
      <c r="R60" s="4049"/>
      <c r="S60" s="4049"/>
      <c r="T60" s="4049"/>
      <c r="U60" s="4057"/>
    </row>
    <row r="61" spans="1:21" s="4038" customFormat="1" ht="13.5" customHeight="1">
      <c r="A61" s="4045" t="s">
        <v>861</v>
      </c>
      <c r="B61" s="4046">
        <v>3500</v>
      </c>
      <c r="C61" s="4047">
        <v>6000</v>
      </c>
      <c r="D61" s="4047">
        <v>7</v>
      </c>
      <c r="E61" s="4047">
        <v>0.2</v>
      </c>
      <c r="F61" s="4047">
        <v>3200</v>
      </c>
      <c r="G61" s="4047">
        <v>6000</v>
      </c>
      <c r="H61" s="4047">
        <v>7</v>
      </c>
      <c r="I61" s="4047">
        <v>0.3</v>
      </c>
      <c r="J61" s="4047">
        <v>3000</v>
      </c>
      <c r="K61" s="4047">
        <v>6000</v>
      </c>
      <c r="L61" s="4047">
        <v>0.2</v>
      </c>
      <c r="M61" s="4047">
        <v>0.22</v>
      </c>
      <c r="N61" s="4047">
        <v>800</v>
      </c>
      <c r="O61" s="4047">
        <v>6000</v>
      </c>
      <c r="P61" s="4047">
        <v>7</v>
      </c>
      <c r="Q61" s="4047">
        <v>0.06</v>
      </c>
      <c r="R61" s="4047">
        <v>3000</v>
      </c>
      <c r="S61" s="4047">
        <v>6000</v>
      </c>
      <c r="T61" s="4047">
        <v>0.25</v>
      </c>
      <c r="U61" s="4056">
        <v>0.28000000000000003</v>
      </c>
    </row>
    <row r="62" spans="1:21" s="4038" customFormat="1" ht="13.5" customHeight="1">
      <c r="A62" s="4042" t="s">
        <v>862</v>
      </c>
      <c r="B62" s="4048">
        <v>3800</v>
      </c>
      <c r="C62" s="4049">
        <v>6000</v>
      </c>
      <c r="D62" s="4049">
        <v>4</v>
      </c>
      <c r="E62" s="4049">
        <v>0.17</v>
      </c>
      <c r="F62" s="4049">
        <v>3200</v>
      </c>
      <c r="G62" s="4049">
        <v>6000</v>
      </c>
      <c r="H62" s="4049">
        <v>4</v>
      </c>
      <c r="I62" s="4049">
        <v>0.3</v>
      </c>
      <c r="J62" s="4049">
        <v>3000</v>
      </c>
      <c r="K62" s="4049">
        <v>6000</v>
      </c>
      <c r="L62" s="4049">
        <v>0.2</v>
      </c>
      <c r="M62" s="4049">
        <v>0.2</v>
      </c>
      <c r="N62" s="4049">
        <v>800</v>
      </c>
      <c r="O62" s="4049">
        <v>6000</v>
      </c>
      <c r="P62" s="4049">
        <v>5</v>
      </c>
      <c r="Q62" s="4049">
        <v>0.06</v>
      </c>
      <c r="R62" s="4049">
        <v>3000</v>
      </c>
      <c r="S62" s="4049">
        <v>6000</v>
      </c>
      <c r="T62" s="4049">
        <v>0.25</v>
      </c>
      <c r="U62" s="4057">
        <v>0.28000000000000003</v>
      </c>
    </row>
    <row r="63" spans="1:21" s="4038" customFormat="1" ht="13.5" customHeight="1">
      <c r="A63" s="4045" t="s">
        <v>863</v>
      </c>
      <c r="B63" s="4046">
        <v>2800</v>
      </c>
      <c r="C63" s="4047">
        <v>6000</v>
      </c>
      <c r="D63" s="4047">
        <v>3</v>
      </c>
      <c r="E63" s="4047">
        <v>0.1</v>
      </c>
      <c r="F63" s="4047">
        <v>3000</v>
      </c>
      <c r="G63" s="4047">
        <v>6000</v>
      </c>
      <c r="H63" s="4047">
        <v>3</v>
      </c>
      <c r="I63" s="4047">
        <v>0.25</v>
      </c>
      <c r="J63" s="4047">
        <v>3000</v>
      </c>
      <c r="K63" s="4047">
        <v>6000</v>
      </c>
      <c r="L63" s="4047">
        <v>0.2</v>
      </c>
      <c r="M63" s="4047">
        <v>0.2</v>
      </c>
      <c r="N63" s="4047">
        <v>800</v>
      </c>
      <c r="O63" s="4047">
        <v>6000</v>
      </c>
      <c r="P63" s="4047">
        <v>3</v>
      </c>
      <c r="Q63" s="4047">
        <v>0.06</v>
      </c>
      <c r="R63" s="4047">
        <v>2800</v>
      </c>
      <c r="S63" s="4047">
        <v>6000</v>
      </c>
      <c r="T63" s="4047">
        <v>0.2</v>
      </c>
      <c r="U63" s="4056">
        <v>0.22</v>
      </c>
    </row>
    <row r="64" spans="1:21" s="4038" customFormat="1" ht="13.5" customHeight="1">
      <c r="A64" s="4042" t="s">
        <v>864</v>
      </c>
      <c r="B64" s="4048"/>
      <c r="C64" s="4049"/>
      <c r="D64" s="4049"/>
      <c r="E64" s="4049"/>
      <c r="F64" s="4049">
        <v>2600</v>
      </c>
      <c r="G64" s="4049">
        <v>6000</v>
      </c>
      <c r="H64" s="4049">
        <v>2</v>
      </c>
      <c r="I64" s="4049">
        <v>0.15</v>
      </c>
      <c r="J64" s="4049">
        <v>2650</v>
      </c>
      <c r="K64" s="4049">
        <v>6000</v>
      </c>
      <c r="L64" s="4049">
        <v>0.15</v>
      </c>
      <c r="M64" s="4049">
        <v>0.15</v>
      </c>
      <c r="N64" s="4049">
        <v>700</v>
      </c>
      <c r="O64" s="4049">
        <v>6000</v>
      </c>
      <c r="P64" s="4049">
        <v>2</v>
      </c>
      <c r="Q64" s="4049">
        <v>0.05</v>
      </c>
      <c r="R64" s="4049">
        <v>2500</v>
      </c>
      <c r="S64" s="4049">
        <v>6000</v>
      </c>
      <c r="T64" s="4049">
        <v>0.15</v>
      </c>
      <c r="U64" s="4057">
        <v>0.18</v>
      </c>
    </row>
    <row r="65" spans="1:21" s="4038" customFormat="1" ht="13.5" customHeight="1">
      <c r="A65" s="4045" t="s">
        <v>865</v>
      </c>
      <c r="B65" s="4046">
        <v>2500</v>
      </c>
      <c r="C65" s="4047">
        <v>6000</v>
      </c>
      <c r="D65" s="4047">
        <v>0.35</v>
      </c>
      <c r="E65" s="4047">
        <v>0.3</v>
      </c>
      <c r="F65" s="4047">
        <v>3200</v>
      </c>
      <c r="G65" s="4047">
        <v>6000</v>
      </c>
      <c r="H65" s="4047">
        <v>0.3</v>
      </c>
      <c r="I65" s="4047">
        <v>0.3</v>
      </c>
      <c r="J65" s="4047">
        <v>3000</v>
      </c>
      <c r="K65" s="4047">
        <v>6000</v>
      </c>
      <c r="L65" s="4047">
        <v>0.22</v>
      </c>
      <c r="M65" s="4047">
        <v>0.22</v>
      </c>
      <c r="N65" s="4047"/>
      <c r="O65" s="4047"/>
      <c r="P65" s="4047"/>
      <c r="Q65" s="4047"/>
      <c r="R65" s="4047">
        <v>3000</v>
      </c>
      <c r="S65" s="4047">
        <v>6000</v>
      </c>
      <c r="T65" s="4047">
        <v>0.35</v>
      </c>
      <c r="U65" s="4056">
        <v>0.35</v>
      </c>
    </row>
    <row r="66" spans="1:21" s="4038" customFormat="1" ht="13.5" customHeight="1">
      <c r="A66" s="4042" t="s">
        <v>866</v>
      </c>
      <c r="B66" s="4048">
        <v>3000</v>
      </c>
      <c r="C66" s="4049">
        <v>6000</v>
      </c>
      <c r="D66" s="4049">
        <v>0.35</v>
      </c>
      <c r="E66" s="4049">
        <v>0.25</v>
      </c>
      <c r="F66" s="4049">
        <v>3200</v>
      </c>
      <c r="G66" s="4049">
        <v>6000</v>
      </c>
      <c r="H66" s="4049">
        <v>0.3</v>
      </c>
      <c r="I66" s="4049">
        <v>0.3</v>
      </c>
      <c r="J66" s="4049">
        <v>3000</v>
      </c>
      <c r="K66" s="4049">
        <v>6000</v>
      </c>
      <c r="L66" s="4049">
        <v>0.22</v>
      </c>
      <c r="M66" s="4049">
        <v>0.22</v>
      </c>
      <c r="N66" s="4049"/>
      <c r="O66" s="4049"/>
      <c r="P66" s="4049"/>
      <c r="Q66" s="4049"/>
      <c r="R66" s="4049">
        <v>3000</v>
      </c>
      <c r="S66" s="4049">
        <v>6000</v>
      </c>
      <c r="T66" s="4049">
        <v>0.32</v>
      </c>
      <c r="U66" s="4057">
        <v>0.32</v>
      </c>
    </row>
    <row r="67" spans="1:21" s="4038" customFormat="1" ht="13.5" customHeight="1">
      <c r="A67" s="4045" t="s">
        <v>867</v>
      </c>
      <c r="B67" s="4046">
        <v>2800</v>
      </c>
      <c r="C67" s="4047">
        <v>6000</v>
      </c>
      <c r="D67" s="4047">
        <v>0.3</v>
      </c>
      <c r="E67" s="4047">
        <v>0.2</v>
      </c>
      <c r="F67" s="4047">
        <v>3000</v>
      </c>
      <c r="G67" s="4047">
        <v>6000</v>
      </c>
      <c r="H67" s="4047">
        <v>0.25</v>
      </c>
      <c r="I67" s="4047">
        <v>0.25</v>
      </c>
      <c r="J67" s="4047">
        <v>2800</v>
      </c>
      <c r="K67" s="4047">
        <v>6000</v>
      </c>
      <c r="L67" s="4047">
        <v>0.18</v>
      </c>
      <c r="M67" s="4047">
        <v>0.18</v>
      </c>
      <c r="N67" s="4047"/>
      <c r="O67" s="4047"/>
      <c r="P67" s="4047"/>
      <c r="Q67" s="4047"/>
      <c r="R67" s="4047">
        <v>3000</v>
      </c>
      <c r="S67" s="4047">
        <v>6000</v>
      </c>
      <c r="T67" s="4047">
        <v>0.28000000000000003</v>
      </c>
      <c r="U67" s="4056">
        <v>0.28000000000000003</v>
      </c>
    </row>
    <row r="68" spans="1:21" s="4038" customFormat="1" ht="13.5" customHeight="1">
      <c r="A68" s="4042" t="s">
        <v>868</v>
      </c>
      <c r="B68" s="4048">
        <v>2200</v>
      </c>
      <c r="C68" s="4049">
        <v>6000</v>
      </c>
      <c r="D68" s="4049">
        <v>0.22</v>
      </c>
      <c r="E68" s="4049">
        <v>0.15</v>
      </c>
      <c r="F68" s="4049">
        <v>2650</v>
      </c>
      <c r="G68" s="4049">
        <v>6000</v>
      </c>
      <c r="H68" s="4049">
        <v>0.15</v>
      </c>
      <c r="I68" s="4049">
        <v>0.15</v>
      </c>
      <c r="J68" s="4049">
        <v>2650</v>
      </c>
      <c r="K68" s="4049">
        <v>6000</v>
      </c>
      <c r="L68" s="4049">
        <v>0.15</v>
      </c>
      <c r="M68" s="4049">
        <v>0.15</v>
      </c>
      <c r="N68" s="4049"/>
      <c r="O68" s="4049"/>
      <c r="P68" s="4049"/>
      <c r="Q68" s="4049"/>
      <c r="R68" s="4049">
        <v>2500</v>
      </c>
      <c r="S68" s="4049">
        <v>6000</v>
      </c>
      <c r="T68" s="4049">
        <v>0.22</v>
      </c>
      <c r="U68" s="4057">
        <v>0.22</v>
      </c>
    </row>
    <row r="69" spans="1:21" s="4038" customFormat="1" ht="13.5" customHeight="1">
      <c r="A69" s="4045" t="s">
        <v>869</v>
      </c>
      <c r="B69" s="4046"/>
      <c r="C69" s="4047"/>
      <c r="D69" s="4047"/>
      <c r="E69" s="4047"/>
      <c r="F69" s="4047">
        <v>2000</v>
      </c>
      <c r="G69" s="4047">
        <v>6000</v>
      </c>
      <c r="H69" s="4047">
        <v>0.12</v>
      </c>
      <c r="I69" s="4047">
        <v>0.1</v>
      </c>
      <c r="J69" s="4047">
        <v>1800</v>
      </c>
      <c r="K69" s="4047">
        <v>6000</v>
      </c>
      <c r="L69" s="4047">
        <v>0.15</v>
      </c>
      <c r="M69" s="4047">
        <v>0.15</v>
      </c>
      <c r="N69" s="4047"/>
      <c r="O69" s="4047"/>
      <c r="P69" s="4047"/>
      <c r="Q69" s="4047"/>
      <c r="R69" s="4047">
        <v>2000</v>
      </c>
      <c r="S69" s="4047">
        <v>6000</v>
      </c>
      <c r="T69" s="4047">
        <v>0.18</v>
      </c>
      <c r="U69" s="4056">
        <v>0.18</v>
      </c>
    </row>
    <row r="70" spans="1:21" s="4038" customFormat="1" ht="13.5" customHeight="1">
      <c r="A70" s="4042" t="s">
        <v>884</v>
      </c>
      <c r="B70" s="4048"/>
      <c r="C70" s="4049"/>
      <c r="D70" s="4049"/>
      <c r="E70" s="4049"/>
      <c r="F70" s="4049"/>
      <c r="G70" s="4049"/>
      <c r="H70" s="4049"/>
      <c r="I70" s="4049"/>
      <c r="J70" s="4049"/>
      <c r="K70" s="4049"/>
      <c r="L70" s="4049"/>
      <c r="M70" s="4049"/>
      <c r="N70" s="4049"/>
      <c r="O70" s="4049"/>
      <c r="P70" s="4049"/>
      <c r="Q70" s="4049"/>
      <c r="R70" s="4049"/>
      <c r="S70" s="4049"/>
      <c r="T70" s="4049"/>
      <c r="U70" s="4057"/>
    </row>
    <row r="71" spans="1:21" s="4038" customFormat="1" ht="13.5" customHeight="1">
      <c r="A71" s="4045" t="s">
        <v>885</v>
      </c>
      <c r="B71" s="4046">
        <v>3500</v>
      </c>
      <c r="C71" s="4047">
        <v>1600</v>
      </c>
      <c r="D71" s="4047">
        <v>16.5</v>
      </c>
      <c r="E71" s="4047">
        <v>0.45</v>
      </c>
      <c r="F71" s="4047">
        <v>3500</v>
      </c>
      <c r="G71" s="4047">
        <v>1600</v>
      </c>
      <c r="H71" s="4047">
        <v>16</v>
      </c>
      <c r="I71" s="4047">
        <v>0.4</v>
      </c>
      <c r="J71" s="4047"/>
      <c r="K71" s="4047"/>
      <c r="L71" s="4047"/>
      <c r="M71" s="4047"/>
      <c r="N71" s="4047"/>
      <c r="O71" s="4047"/>
      <c r="P71" s="4047"/>
      <c r="Q71" s="4047"/>
      <c r="R71" s="4047"/>
      <c r="S71" s="4047"/>
      <c r="T71" s="4047"/>
      <c r="U71" s="4056"/>
    </row>
    <row r="72" spans="1:21" s="4038" customFormat="1" ht="13.5" customHeight="1">
      <c r="A72" s="4042" t="s">
        <v>870</v>
      </c>
      <c r="B72" s="4048">
        <v>3500</v>
      </c>
      <c r="C72" s="4049">
        <v>1650</v>
      </c>
      <c r="D72" s="4049">
        <v>15</v>
      </c>
      <c r="E72" s="4049">
        <v>0.4</v>
      </c>
      <c r="F72" s="4049">
        <v>3500</v>
      </c>
      <c r="G72" s="4049">
        <v>1650</v>
      </c>
      <c r="H72" s="4049">
        <v>15</v>
      </c>
      <c r="I72" s="4049">
        <v>0.35</v>
      </c>
      <c r="J72" s="4049">
        <v>3000</v>
      </c>
      <c r="K72" s="4049">
        <v>1650</v>
      </c>
      <c r="L72" s="4049">
        <v>0.2</v>
      </c>
      <c r="M72" s="4049">
        <v>0.22</v>
      </c>
      <c r="N72" s="4049">
        <v>850</v>
      </c>
      <c r="O72" s="4049">
        <v>1800</v>
      </c>
      <c r="P72" s="4049">
        <v>16</v>
      </c>
      <c r="Q72" s="4049">
        <v>0.1</v>
      </c>
      <c r="R72" s="4049">
        <v>3000</v>
      </c>
      <c r="S72" s="4049">
        <v>1800</v>
      </c>
      <c r="T72" s="4049">
        <v>0.25</v>
      </c>
      <c r="U72" s="4057">
        <v>0.25</v>
      </c>
    </row>
    <row r="73" spans="1:21" s="4038" customFormat="1" ht="13.5" customHeight="1">
      <c r="A73" s="4045" t="s">
        <v>871</v>
      </c>
      <c r="B73" s="4046">
        <v>3500</v>
      </c>
      <c r="C73" s="4047">
        <v>1800</v>
      </c>
      <c r="D73" s="4047">
        <v>13</v>
      </c>
      <c r="E73" s="4047">
        <v>0.45</v>
      </c>
      <c r="F73" s="4047">
        <v>3500</v>
      </c>
      <c r="G73" s="4047">
        <v>1800</v>
      </c>
      <c r="H73" s="4047">
        <v>13</v>
      </c>
      <c r="I73" s="4047">
        <v>0.4</v>
      </c>
      <c r="J73" s="4047"/>
      <c r="K73" s="4047"/>
      <c r="L73" s="4047"/>
      <c r="M73" s="4047"/>
      <c r="N73" s="4047"/>
      <c r="O73" s="4047"/>
      <c r="P73" s="4047"/>
      <c r="Q73" s="4047"/>
      <c r="R73" s="4047"/>
      <c r="S73" s="4047"/>
      <c r="T73" s="4047"/>
      <c r="U73" s="4056"/>
    </row>
    <row r="74" spans="1:21" s="4038" customFormat="1" ht="13.5" customHeight="1">
      <c r="A74" s="4042" t="s">
        <v>872</v>
      </c>
      <c r="B74" s="4048">
        <v>3500</v>
      </c>
      <c r="C74" s="4049">
        <v>1800</v>
      </c>
      <c r="D74" s="4049">
        <v>11</v>
      </c>
      <c r="E74" s="4049">
        <v>0.4</v>
      </c>
      <c r="F74" s="4049">
        <v>3500</v>
      </c>
      <c r="G74" s="4049">
        <v>1800</v>
      </c>
      <c r="H74" s="4049">
        <v>11</v>
      </c>
      <c r="I74" s="4049">
        <v>0.35</v>
      </c>
      <c r="J74" s="4049">
        <v>3000</v>
      </c>
      <c r="K74" s="4049">
        <v>1800</v>
      </c>
      <c r="L74" s="4049">
        <v>0.2</v>
      </c>
      <c r="M74" s="4049">
        <v>0.2</v>
      </c>
      <c r="N74" s="4049">
        <v>850</v>
      </c>
      <c r="O74" s="4049">
        <v>1800</v>
      </c>
      <c r="P74" s="4049">
        <v>10</v>
      </c>
      <c r="Q74" s="4049">
        <v>0.1</v>
      </c>
      <c r="R74" s="4049">
        <v>3000</v>
      </c>
      <c r="S74" s="4049">
        <v>1800</v>
      </c>
      <c r="T74" s="4049">
        <v>0.25</v>
      </c>
      <c r="U74" s="4057">
        <v>0.25</v>
      </c>
    </row>
    <row r="75" spans="1:21" s="4038" customFormat="1" ht="13.5" customHeight="1">
      <c r="A75" s="4045" t="s">
        <v>873</v>
      </c>
      <c r="B75" s="4046">
        <v>3200</v>
      </c>
      <c r="C75" s="4047">
        <v>1850</v>
      </c>
      <c r="D75" s="4047">
        <v>9</v>
      </c>
      <c r="E75" s="4047">
        <v>0.4</v>
      </c>
      <c r="F75" s="4047">
        <v>3500</v>
      </c>
      <c r="G75" s="4047">
        <v>1850</v>
      </c>
      <c r="H75" s="4047">
        <v>9</v>
      </c>
      <c r="I75" s="4047">
        <v>0.35</v>
      </c>
      <c r="J75" s="4047">
        <v>3000</v>
      </c>
      <c r="K75" s="4047">
        <v>1850</v>
      </c>
      <c r="L75" s="4047">
        <v>0.2</v>
      </c>
      <c r="M75" s="4047">
        <v>0.2</v>
      </c>
      <c r="N75" s="4047">
        <v>850</v>
      </c>
      <c r="O75" s="4047">
        <v>1850</v>
      </c>
      <c r="P75" s="4047">
        <v>10</v>
      </c>
      <c r="Q75" s="4047">
        <v>0.1</v>
      </c>
      <c r="R75" s="4047">
        <v>3000</v>
      </c>
      <c r="S75" s="4047">
        <v>1800</v>
      </c>
      <c r="T75" s="4047">
        <v>0.25</v>
      </c>
      <c r="U75" s="4056">
        <v>0.25</v>
      </c>
    </row>
    <row r="76" spans="1:21" s="4038" customFormat="1" ht="13.5" customHeight="1">
      <c r="A76" s="4042" t="s">
        <v>874</v>
      </c>
      <c r="B76" s="4048"/>
      <c r="C76" s="4049"/>
      <c r="D76" s="4049"/>
      <c r="E76" s="4049"/>
      <c r="F76" s="4049"/>
      <c r="G76" s="4049"/>
      <c r="H76" s="4049"/>
      <c r="I76" s="4049"/>
      <c r="J76" s="4049">
        <v>3000</v>
      </c>
      <c r="K76" s="4049">
        <v>5000</v>
      </c>
      <c r="L76" s="4049">
        <v>0.25</v>
      </c>
      <c r="M76" s="4049">
        <v>0.25</v>
      </c>
      <c r="N76" s="4049"/>
      <c r="O76" s="4049"/>
      <c r="P76" s="4049"/>
      <c r="Q76" s="4049"/>
      <c r="R76" s="4049">
        <v>3500</v>
      </c>
      <c r="S76" s="4049">
        <v>5000</v>
      </c>
      <c r="T76" s="4049">
        <v>0.35</v>
      </c>
      <c r="U76" s="4057">
        <v>0.35</v>
      </c>
    </row>
    <row r="77" spans="1:21" s="4038" customFormat="1" ht="13.5" customHeight="1">
      <c r="A77" s="4045" t="s">
        <v>875</v>
      </c>
      <c r="B77" s="4050"/>
      <c r="C77" s="4051"/>
      <c r="D77" s="4051"/>
      <c r="E77" s="4051"/>
      <c r="F77" s="4051"/>
      <c r="G77" s="4051"/>
      <c r="H77" s="4051"/>
      <c r="I77" s="4051"/>
      <c r="J77" s="4051">
        <v>3000</v>
      </c>
      <c r="K77" s="4051">
        <v>5500</v>
      </c>
      <c r="L77" s="4051">
        <v>0.22</v>
      </c>
      <c r="M77" s="4051">
        <v>0.22</v>
      </c>
      <c r="N77" s="4051"/>
      <c r="O77" s="4051"/>
      <c r="P77" s="4051"/>
      <c r="Q77" s="4051"/>
      <c r="R77" s="4051">
        <v>3500</v>
      </c>
      <c r="S77" s="4051">
        <v>5500</v>
      </c>
      <c r="T77" s="4051">
        <v>0.35</v>
      </c>
      <c r="U77" s="4058">
        <v>0.35</v>
      </c>
    </row>
    <row r="78" spans="1:21" ht="22.5" customHeight="1">
      <c r="A78" s="4424" t="s">
        <v>876</v>
      </c>
      <c r="B78" s="4424"/>
      <c r="C78" s="4424"/>
      <c r="D78" s="4424"/>
      <c r="E78" s="4424"/>
      <c r="F78" s="4424"/>
      <c r="M78" s="4424" t="s">
        <v>877</v>
      </c>
      <c r="N78" s="4424"/>
      <c r="O78" s="4424"/>
      <c r="P78" s="4424"/>
      <c r="Q78" s="4424"/>
      <c r="R78" s="4424"/>
      <c r="S78" s="4424"/>
      <c r="T78" s="4424"/>
      <c r="U78" s="4424"/>
    </row>
    <row r="79" spans="1:21" ht="22.5" customHeight="1">
      <c r="A79" s="4052"/>
      <c r="B79" s="4052"/>
      <c r="C79" s="4052"/>
      <c r="D79" s="4052"/>
      <c r="E79" s="4052"/>
      <c r="F79" s="4052"/>
      <c r="M79" s="4052"/>
      <c r="N79" s="4052"/>
      <c r="O79" s="4052"/>
      <c r="P79" s="4052"/>
      <c r="Q79" s="4052"/>
      <c r="R79" s="4052"/>
      <c r="S79" s="4052"/>
      <c r="T79" s="4052"/>
      <c r="U79" s="4052"/>
    </row>
    <row r="80" spans="1:21" ht="22.5" customHeight="1">
      <c r="A80" s="4052"/>
      <c r="B80" s="4052"/>
      <c r="C80" s="4052"/>
      <c r="D80" s="4052"/>
      <c r="E80" s="4052"/>
      <c r="F80" s="4052"/>
      <c r="M80" s="4052"/>
      <c r="N80" s="4052"/>
      <c r="O80" s="4052"/>
      <c r="P80" s="4052"/>
      <c r="Q80" s="4052"/>
      <c r="R80" s="4052"/>
      <c r="S80" s="4052"/>
      <c r="T80" s="4052"/>
      <c r="U80" s="4052"/>
    </row>
    <row r="81" spans="1:21" ht="50.25" customHeight="1">
      <c r="A81" s="4445" t="s">
        <v>886</v>
      </c>
      <c r="B81" s="4446"/>
      <c r="C81" s="4446"/>
      <c r="D81" s="4446"/>
      <c r="E81" s="4446"/>
      <c r="F81" s="4446"/>
      <c r="G81" s="4446"/>
      <c r="H81" s="4446"/>
      <c r="I81" s="4446"/>
      <c r="J81" s="4446"/>
      <c r="K81" s="4446"/>
      <c r="L81" s="4446"/>
      <c r="M81" s="4446"/>
      <c r="N81" s="4446"/>
      <c r="O81" s="4446"/>
      <c r="P81" s="4446"/>
      <c r="Q81" s="4446"/>
      <c r="R81" s="4446"/>
      <c r="S81" s="4446"/>
      <c r="T81" s="4446"/>
      <c r="U81" s="4446"/>
    </row>
    <row r="82" spans="1:21" ht="12.95" customHeight="1">
      <c r="A82" s="4429"/>
      <c r="B82" s="4430"/>
      <c r="C82" s="4430"/>
      <c r="D82" s="4430"/>
      <c r="E82" s="4430"/>
      <c r="F82" s="4430"/>
      <c r="G82" s="4430"/>
      <c r="H82" s="4429"/>
      <c r="I82" s="4430"/>
      <c r="J82" s="4430"/>
      <c r="K82" s="4430"/>
      <c r="L82" s="4434"/>
      <c r="M82" s="4436" t="s">
        <v>833</v>
      </c>
      <c r="N82" s="4437"/>
      <c r="O82" s="4437"/>
      <c r="P82" s="4437"/>
      <c r="Q82" s="4437"/>
      <c r="R82" s="4437"/>
      <c r="S82" s="4437"/>
      <c r="T82" s="4437"/>
      <c r="U82" s="4438"/>
    </row>
    <row r="83" spans="1:21" ht="12.95" customHeight="1">
      <c r="A83" s="4431"/>
      <c r="B83" s="4432"/>
      <c r="C83" s="4432"/>
      <c r="D83" s="4432"/>
      <c r="E83" s="4432"/>
      <c r="F83" s="4432"/>
      <c r="G83" s="4432"/>
      <c r="H83" s="4433"/>
      <c r="I83" s="4422"/>
      <c r="J83" s="4422"/>
      <c r="K83" s="4422"/>
      <c r="L83" s="4423"/>
      <c r="M83" s="4447" t="s">
        <v>834</v>
      </c>
      <c r="N83" s="4448"/>
      <c r="O83" s="4448"/>
      <c r="P83" s="4448"/>
      <c r="Q83" s="4448"/>
      <c r="R83" s="4448"/>
      <c r="S83" s="4448"/>
      <c r="T83" s="4448"/>
      <c r="U83" s="4449"/>
    </row>
    <row r="84" spans="1:21" ht="12.95" customHeight="1">
      <c r="A84" s="4431"/>
      <c r="B84" s="4432"/>
      <c r="C84" s="4432"/>
      <c r="D84" s="4432"/>
      <c r="E84" s="4432"/>
      <c r="F84" s="4432"/>
      <c r="G84" s="4432"/>
      <c r="H84" s="4429"/>
      <c r="I84" s="4430"/>
      <c r="J84" s="4430"/>
      <c r="K84" s="4430"/>
      <c r="L84" s="4434"/>
      <c r="M84" s="4447" t="s">
        <v>835</v>
      </c>
      <c r="N84" s="4448"/>
      <c r="O84" s="4448"/>
      <c r="P84" s="4448"/>
      <c r="Q84" s="4448"/>
      <c r="R84" s="4448"/>
      <c r="S84" s="4448"/>
      <c r="T84" s="4448"/>
      <c r="U84" s="4449"/>
    </row>
    <row r="85" spans="1:21" ht="12.95" customHeight="1">
      <c r="A85" s="4431"/>
      <c r="B85" s="4432"/>
      <c r="C85" s="4432"/>
      <c r="D85" s="4432"/>
      <c r="E85" s="4432"/>
      <c r="F85" s="4432"/>
      <c r="G85" s="4432"/>
      <c r="H85" s="4433"/>
      <c r="I85" s="4422"/>
      <c r="J85" s="4422"/>
      <c r="K85" s="4422"/>
      <c r="L85" s="4423"/>
      <c r="M85" s="4447" t="s">
        <v>836</v>
      </c>
      <c r="N85" s="4448"/>
      <c r="O85" s="4448"/>
      <c r="P85" s="4448"/>
      <c r="Q85" s="4448"/>
      <c r="R85" s="4448"/>
      <c r="S85" s="4448"/>
      <c r="T85" s="4448"/>
      <c r="U85" s="4449"/>
    </row>
    <row r="86" spans="1:21" ht="12.95" customHeight="1">
      <c r="A86" s="4431"/>
      <c r="B86" s="4432"/>
      <c r="C86" s="4432"/>
      <c r="D86" s="4432"/>
      <c r="E86" s="4432"/>
      <c r="F86" s="4432"/>
      <c r="G86" s="4432"/>
      <c r="H86" s="4429"/>
      <c r="I86" s="4430"/>
      <c r="J86" s="4430"/>
      <c r="K86" s="4430"/>
      <c r="L86" s="4434"/>
      <c r="M86" s="4447" t="s">
        <v>837</v>
      </c>
      <c r="N86" s="4448"/>
      <c r="O86" s="4448"/>
      <c r="P86" s="4448"/>
      <c r="Q86" s="4448"/>
      <c r="R86" s="4448"/>
      <c r="S86" s="4448"/>
      <c r="T86" s="4448"/>
      <c r="U86" s="4449"/>
    </row>
    <row r="87" spans="1:21" ht="12.95" customHeight="1">
      <c r="A87" s="4431"/>
      <c r="B87" s="4432"/>
      <c r="C87" s="4432"/>
      <c r="D87" s="4432"/>
      <c r="E87" s="4432"/>
      <c r="F87" s="4432"/>
      <c r="G87" s="4432"/>
      <c r="H87" s="4433"/>
      <c r="I87" s="4422"/>
      <c r="J87" s="4422"/>
      <c r="K87" s="4422"/>
      <c r="L87" s="4423"/>
      <c r="M87" s="4436" t="s">
        <v>838</v>
      </c>
      <c r="N87" s="4437"/>
      <c r="O87" s="4437"/>
      <c r="P87" s="4437"/>
      <c r="Q87" s="4437"/>
      <c r="R87" s="4437"/>
      <c r="S87" s="4437"/>
      <c r="T87" s="4437"/>
      <c r="U87" s="4438"/>
    </row>
    <row r="88" spans="1:21" ht="12.95" customHeight="1">
      <c r="A88" s="4431"/>
      <c r="B88" s="4432"/>
      <c r="C88" s="4432"/>
      <c r="D88" s="4432"/>
      <c r="E88" s="4432"/>
      <c r="F88" s="4432"/>
      <c r="G88" s="4432"/>
      <c r="H88" s="4429"/>
      <c r="I88" s="4430"/>
      <c r="J88" s="4430"/>
      <c r="K88" s="4430"/>
      <c r="L88" s="4434"/>
      <c r="M88" s="4436" t="s">
        <v>839</v>
      </c>
      <c r="N88" s="4437"/>
      <c r="O88" s="4437"/>
      <c r="P88" s="4437"/>
      <c r="Q88" s="4437"/>
      <c r="R88" s="4437"/>
      <c r="S88" s="4437"/>
      <c r="T88" s="4437"/>
      <c r="U88" s="4438"/>
    </row>
    <row r="89" spans="1:21" ht="12.95" customHeight="1">
      <c r="A89" s="4431"/>
      <c r="B89" s="4432"/>
      <c r="C89" s="4432"/>
      <c r="D89" s="4432"/>
      <c r="E89" s="4432"/>
      <c r="F89" s="4432"/>
      <c r="G89" s="4432"/>
      <c r="H89" s="4431"/>
      <c r="I89" s="4432"/>
      <c r="J89" s="4432"/>
      <c r="K89" s="4432"/>
      <c r="L89" s="4435"/>
      <c r="M89" s="4436" t="s">
        <v>840</v>
      </c>
      <c r="N89" s="4437"/>
      <c r="O89" s="4437"/>
      <c r="P89" s="4437"/>
      <c r="Q89" s="4437"/>
      <c r="R89" s="4437"/>
      <c r="S89" s="4437"/>
      <c r="T89" s="4437"/>
      <c r="U89" s="4438"/>
    </row>
    <row r="90" spans="1:21" ht="12.95" customHeight="1">
      <c r="A90" s="4431"/>
      <c r="B90" s="4432"/>
      <c r="C90" s="4432"/>
      <c r="D90" s="4432"/>
      <c r="E90" s="4432"/>
      <c r="F90" s="4432"/>
      <c r="G90" s="4432"/>
      <c r="H90" s="4433"/>
      <c r="I90" s="4422"/>
      <c r="J90" s="4422"/>
      <c r="K90" s="4422"/>
      <c r="L90" s="4423"/>
      <c r="M90" s="4436" t="s">
        <v>841</v>
      </c>
      <c r="N90" s="4437"/>
      <c r="O90" s="4437"/>
      <c r="P90" s="4437"/>
      <c r="Q90" s="4437"/>
      <c r="R90" s="4437"/>
      <c r="S90" s="4437"/>
      <c r="T90" s="4437"/>
      <c r="U90" s="4438"/>
    </row>
    <row r="91" spans="1:21" ht="12.95" customHeight="1">
      <c r="A91" s="4433"/>
      <c r="B91" s="4422"/>
      <c r="C91" s="4422"/>
      <c r="D91" s="4422"/>
      <c r="E91" s="4422"/>
      <c r="F91" s="4422"/>
      <c r="G91" s="4422"/>
      <c r="H91" s="4439" t="s">
        <v>842</v>
      </c>
      <c r="I91" s="4440"/>
      <c r="J91" s="4440"/>
      <c r="K91" s="4440"/>
      <c r="L91" s="4441"/>
      <c r="M91" s="4436" t="s">
        <v>843</v>
      </c>
      <c r="N91" s="4437"/>
      <c r="O91" s="4437"/>
      <c r="P91" s="4437"/>
      <c r="Q91" s="4437"/>
      <c r="R91" s="4437"/>
      <c r="S91" s="4437"/>
      <c r="T91" s="4437"/>
      <c r="U91" s="4438"/>
    </row>
    <row r="92" spans="1:21" ht="18" customHeight="1">
      <c r="A92" s="4426" t="s">
        <v>583</v>
      </c>
      <c r="B92" s="4442" t="s">
        <v>589</v>
      </c>
      <c r="C92" s="4443"/>
      <c r="D92" s="4443"/>
      <c r="E92" s="4443"/>
      <c r="F92" s="4442" t="s">
        <v>844</v>
      </c>
      <c r="G92" s="4443"/>
      <c r="H92" s="4443"/>
      <c r="I92" s="4444"/>
      <c r="J92" s="4442" t="s">
        <v>845</v>
      </c>
      <c r="K92" s="4443"/>
      <c r="L92" s="4443"/>
      <c r="M92" s="4444"/>
      <c r="N92" s="4442" t="s">
        <v>846</v>
      </c>
      <c r="O92" s="4443"/>
      <c r="P92" s="4443"/>
      <c r="Q92" s="4444"/>
      <c r="R92" s="4442" t="s">
        <v>887</v>
      </c>
      <c r="S92" s="4443"/>
      <c r="T92" s="4443"/>
      <c r="U92" s="4444"/>
    </row>
    <row r="93" spans="1:21" ht="13.5" customHeight="1">
      <c r="A93" s="4427"/>
      <c r="B93" s="4421" t="s">
        <v>888</v>
      </c>
      <c r="C93" s="4422"/>
      <c r="D93" s="4422"/>
      <c r="E93" s="4422"/>
      <c r="F93" s="4421" t="s">
        <v>889</v>
      </c>
      <c r="G93" s="4422"/>
      <c r="H93" s="4422"/>
      <c r="I93" s="4423"/>
      <c r="J93" s="4421" t="s">
        <v>890</v>
      </c>
      <c r="K93" s="4422"/>
      <c r="L93" s="4422"/>
      <c r="M93" s="4423"/>
      <c r="N93" s="4421" t="s">
        <v>891</v>
      </c>
      <c r="O93" s="4422"/>
      <c r="P93" s="4422"/>
      <c r="Q93" s="4423"/>
      <c r="R93" s="4421" t="s">
        <v>892</v>
      </c>
      <c r="S93" s="4422"/>
      <c r="T93" s="4422"/>
      <c r="U93" s="4423"/>
    </row>
    <row r="94" spans="1:21" ht="13.5" customHeight="1">
      <c r="A94" s="4428"/>
      <c r="B94" s="4040" t="s">
        <v>475</v>
      </c>
      <c r="C94" s="4040" t="s">
        <v>471</v>
      </c>
      <c r="D94" s="4040" t="s">
        <v>853</v>
      </c>
      <c r="E94" s="4040" t="s">
        <v>854</v>
      </c>
      <c r="F94" s="4041" t="s">
        <v>475</v>
      </c>
      <c r="G94" s="4041" t="s">
        <v>471</v>
      </c>
      <c r="H94" s="4041" t="s">
        <v>853</v>
      </c>
      <c r="I94" s="4041" t="s">
        <v>854</v>
      </c>
      <c r="J94" s="4053" t="s">
        <v>475</v>
      </c>
      <c r="K94" s="4053" t="s">
        <v>471</v>
      </c>
      <c r="L94" s="4053" t="s">
        <v>853</v>
      </c>
      <c r="M94" s="4053" t="s">
        <v>854</v>
      </c>
      <c r="N94" s="4054" t="s">
        <v>475</v>
      </c>
      <c r="O94" s="4054" t="s">
        <v>471</v>
      </c>
      <c r="P94" s="4054" t="s">
        <v>853</v>
      </c>
      <c r="Q94" s="4054" t="s">
        <v>854</v>
      </c>
      <c r="R94" s="4053" t="s">
        <v>475</v>
      </c>
      <c r="S94" s="4053" t="s">
        <v>471</v>
      </c>
      <c r="T94" s="4053" t="s">
        <v>853</v>
      </c>
      <c r="U94" s="4053" t="s">
        <v>854</v>
      </c>
    </row>
    <row r="95" spans="1:21" s="4038" customFormat="1" ht="13.5" customHeight="1">
      <c r="A95" s="4042" t="s">
        <v>855</v>
      </c>
      <c r="B95" s="4043">
        <v>4500</v>
      </c>
      <c r="C95" s="4044">
        <v>7500</v>
      </c>
      <c r="D95" s="4044">
        <v>6</v>
      </c>
      <c r="E95" s="4044">
        <v>0.45</v>
      </c>
      <c r="F95" s="4044">
        <v>4000</v>
      </c>
      <c r="G95" s="4044">
        <v>7500</v>
      </c>
      <c r="H95" s="4044">
        <v>6</v>
      </c>
      <c r="I95" s="4044">
        <v>0.35</v>
      </c>
      <c r="J95" s="4044">
        <v>3200</v>
      </c>
      <c r="K95" s="4044">
        <v>8000</v>
      </c>
      <c r="L95" s="4044">
        <v>0.12</v>
      </c>
      <c r="M95" s="4044">
        <v>0.12</v>
      </c>
      <c r="N95" s="4044">
        <v>850</v>
      </c>
      <c r="O95" s="4044">
        <v>7000</v>
      </c>
      <c r="P95" s="4044">
        <v>0.1</v>
      </c>
      <c r="Q95" s="4044">
        <v>0.1</v>
      </c>
      <c r="R95" s="4044"/>
      <c r="S95" s="4044"/>
      <c r="T95" s="4044"/>
      <c r="U95" s="4055"/>
    </row>
    <row r="96" spans="1:21" s="4038" customFormat="1" ht="13.5" customHeight="1">
      <c r="A96" s="4045" t="s">
        <v>856</v>
      </c>
      <c r="B96" s="4046">
        <v>4500</v>
      </c>
      <c r="C96" s="4047">
        <v>9000</v>
      </c>
      <c r="D96" s="4047">
        <v>4</v>
      </c>
      <c r="E96" s="4047">
        <v>0.45</v>
      </c>
      <c r="F96" s="4047">
        <v>4000</v>
      </c>
      <c r="G96" s="4047">
        <v>9000</v>
      </c>
      <c r="H96" s="4047">
        <v>4</v>
      </c>
      <c r="I96" s="4047">
        <v>0.35</v>
      </c>
      <c r="J96" s="4047">
        <v>3500</v>
      </c>
      <c r="K96" s="4047">
        <v>9200</v>
      </c>
      <c r="L96" s="4047">
        <v>0.12</v>
      </c>
      <c r="M96" s="4047">
        <v>0.12</v>
      </c>
      <c r="N96" s="4047">
        <v>850</v>
      </c>
      <c r="O96" s="4047">
        <v>8500</v>
      </c>
      <c r="P96" s="4047">
        <v>0.1</v>
      </c>
      <c r="Q96" s="4047">
        <v>0.1</v>
      </c>
      <c r="R96" s="4047"/>
      <c r="S96" s="4047"/>
      <c r="T96" s="4047"/>
      <c r="U96" s="4056"/>
    </row>
    <row r="97" spans="1:21" s="4038" customFormat="1" ht="13.5" customHeight="1">
      <c r="A97" s="4042" t="s">
        <v>857</v>
      </c>
      <c r="B97" s="4048">
        <v>4000</v>
      </c>
      <c r="C97" s="4049">
        <v>9500</v>
      </c>
      <c r="D97" s="4049">
        <v>3</v>
      </c>
      <c r="E97" s="4049">
        <v>0.3</v>
      </c>
      <c r="F97" s="4049">
        <v>4000</v>
      </c>
      <c r="G97" s="4049">
        <v>9500</v>
      </c>
      <c r="H97" s="4049">
        <v>3</v>
      </c>
      <c r="I97" s="4049">
        <v>0.3</v>
      </c>
      <c r="J97" s="4049">
        <v>3500</v>
      </c>
      <c r="K97" s="4049">
        <v>11000</v>
      </c>
      <c r="L97" s="4049">
        <v>0.1</v>
      </c>
      <c r="M97" s="4049">
        <v>0.1</v>
      </c>
      <c r="N97" s="4049">
        <v>850</v>
      </c>
      <c r="O97" s="4049">
        <v>8800</v>
      </c>
      <c r="P97" s="4049">
        <v>0.1</v>
      </c>
      <c r="Q97" s="4049">
        <v>0.1</v>
      </c>
      <c r="R97" s="4049">
        <v>2000</v>
      </c>
      <c r="S97" s="4049">
        <v>11500</v>
      </c>
      <c r="T97" s="4049">
        <v>0.05</v>
      </c>
      <c r="U97" s="4057">
        <v>0.1</v>
      </c>
    </row>
    <row r="98" spans="1:21" s="4038" customFormat="1" ht="13.5" customHeight="1">
      <c r="A98" s="4045" t="s">
        <v>858</v>
      </c>
      <c r="B98" s="4046">
        <v>3500</v>
      </c>
      <c r="C98" s="4047">
        <v>11000</v>
      </c>
      <c r="D98" s="4047">
        <v>2</v>
      </c>
      <c r="E98" s="4047">
        <v>0.25</v>
      </c>
      <c r="F98" s="4047">
        <v>3500</v>
      </c>
      <c r="G98" s="4047">
        <v>11000</v>
      </c>
      <c r="H98" s="4047">
        <v>2</v>
      </c>
      <c r="I98" s="4047">
        <v>0.25</v>
      </c>
      <c r="J98" s="4047">
        <v>3200</v>
      </c>
      <c r="K98" s="4047">
        <v>12000</v>
      </c>
      <c r="L98" s="4047">
        <v>0.1</v>
      </c>
      <c r="M98" s="4047">
        <v>0.1</v>
      </c>
      <c r="N98" s="4047">
        <v>800</v>
      </c>
      <c r="O98" s="4047">
        <v>9000</v>
      </c>
      <c r="P98" s="4047">
        <v>0.1</v>
      </c>
      <c r="Q98" s="4047">
        <v>0.1</v>
      </c>
      <c r="R98" s="4047">
        <v>1500</v>
      </c>
      <c r="S98" s="4047">
        <v>13000</v>
      </c>
      <c r="T98" s="4047">
        <v>0.05</v>
      </c>
      <c r="U98" s="4056">
        <v>0.1</v>
      </c>
    </row>
    <row r="99" spans="1:21" s="4038" customFormat="1" ht="13.5" customHeight="1">
      <c r="A99" s="4042" t="s">
        <v>859</v>
      </c>
      <c r="B99" s="4048">
        <v>3000</v>
      </c>
      <c r="C99" s="4049">
        <v>12500</v>
      </c>
      <c r="D99" s="4049">
        <v>1.5</v>
      </c>
      <c r="E99" s="4049">
        <v>0.2</v>
      </c>
      <c r="F99" s="4049">
        <v>3000</v>
      </c>
      <c r="G99" s="4049">
        <v>12500</v>
      </c>
      <c r="H99" s="4049">
        <v>1.5</v>
      </c>
      <c r="I99" s="4049">
        <v>0.15</v>
      </c>
      <c r="J99" s="4049">
        <v>3000</v>
      </c>
      <c r="K99" s="4049">
        <v>13000</v>
      </c>
      <c r="L99" s="4049">
        <v>0.08</v>
      </c>
      <c r="M99" s="4049">
        <v>0.08</v>
      </c>
      <c r="N99" s="4049">
        <v>700</v>
      </c>
      <c r="O99" s="4049">
        <v>10000</v>
      </c>
      <c r="P99" s="4049">
        <v>0.05</v>
      </c>
      <c r="Q99" s="4049">
        <v>0.08</v>
      </c>
      <c r="R99" s="4049">
        <v>1500</v>
      </c>
      <c r="S99" s="4049">
        <v>13000</v>
      </c>
      <c r="T99" s="4049">
        <v>0.05</v>
      </c>
      <c r="U99" s="4057">
        <v>0.08</v>
      </c>
    </row>
    <row r="100" spans="1:21" s="4038" customFormat="1" ht="13.5" customHeight="1">
      <c r="A100" s="4045" t="s">
        <v>860</v>
      </c>
      <c r="B100" s="4046">
        <v>2800</v>
      </c>
      <c r="C100" s="4047">
        <v>13000</v>
      </c>
      <c r="D100" s="4047">
        <v>1</v>
      </c>
      <c r="E100" s="4047">
        <v>0.15</v>
      </c>
      <c r="F100" s="4047">
        <v>3000</v>
      </c>
      <c r="G100" s="4047">
        <v>13000</v>
      </c>
      <c r="H100" s="4047">
        <v>1</v>
      </c>
      <c r="I100" s="4047">
        <v>0.13</v>
      </c>
      <c r="J100" s="4047">
        <v>2500</v>
      </c>
      <c r="K100" s="4047">
        <v>14500</v>
      </c>
      <c r="L100" s="4047">
        <v>0.05</v>
      </c>
      <c r="M100" s="4047">
        <v>0.05</v>
      </c>
      <c r="N100" s="4047">
        <v>650</v>
      </c>
      <c r="O100" s="4047">
        <v>12000</v>
      </c>
      <c r="P100" s="4047">
        <v>0.05</v>
      </c>
      <c r="Q100" s="4047">
        <v>0.08</v>
      </c>
      <c r="R100" s="4047">
        <v>1200</v>
      </c>
      <c r="S100" s="4047">
        <v>14000</v>
      </c>
      <c r="T100" s="4047">
        <v>0.05</v>
      </c>
      <c r="U100" s="4056">
        <v>0.06</v>
      </c>
    </row>
    <row r="101" spans="1:21" s="4038" customFormat="1" ht="13.5" customHeight="1">
      <c r="A101" s="4042" t="s">
        <v>893</v>
      </c>
      <c r="B101" s="4048">
        <v>2300</v>
      </c>
      <c r="C101" s="4049">
        <v>13500</v>
      </c>
      <c r="D101" s="4049">
        <v>0.5</v>
      </c>
      <c r="E101" s="4049">
        <v>0.12</v>
      </c>
      <c r="F101" s="4049">
        <v>2200</v>
      </c>
      <c r="G101" s="4049">
        <v>13500</v>
      </c>
      <c r="H101" s="4049">
        <v>0.5</v>
      </c>
      <c r="I101" s="4049">
        <v>0.1</v>
      </c>
      <c r="J101" s="4049">
        <v>2000</v>
      </c>
      <c r="K101" s="4049">
        <v>15000</v>
      </c>
      <c r="L101" s="4049">
        <v>0.05</v>
      </c>
      <c r="M101" s="4049">
        <v>0.05</v>
      </c>
      <c r="N101" s="4049">
        <v>600</v>
      </c>
      <c r="O101" s="4049">
        <v>12500</v>
      </c>
      <c r="P101" s="4049">
        <v>0.05</v>
      </c>
      <c r="Q101" s="4049">
        <v>0.05</v>
      </c>
      <c r="R101" s="4049">
        <v>1000</v>
      </c>
      <c r="S101" s="4049">
        <v>14500</v>
      </c>
      <c r="T101" s="4049">
        <v>0.03</v>
      </c>
      <c r="U101" s="4057">
        <v>0.05</v>
      </c>
    </row>
    <row r="102" spans="1:21" s="4038" customFormat="1" ht="13.5" customHeight="1">
      <c r="A102" s="4045" t="s">
        <v>894</v>
      </c>
      <c r="B102" s="4046"/>
      <c r="C102" s="4047"/>
      <c r="D102" s="4047"/>
      <c r="E102" s="4047"/>
      <c r="F102" s="4047"/>
      <c r="G102" s="4047"/>
      <c r="H102" s="4047"/>
      <c r="I102" s="4047"/>
      <c r="J102" s="4047">
        <v>1800</v>
      </c>
      <c r="K102" s="4047">
        <v>15000</v>
      </c>
      <c r="L102" s="4047">
        <v>0.05</v>
      </c>
      <c r="M102" s="4047">
        <v>0.05</v>
      </c>
      <c r="N102" s="4047"/>
      <c r="O102" s="4047"/>
      <c r="P102" s="4047"/>
      <c r="Q102" s="4047"/>
      <c r="R102" s="4047">
        <v>850</v>
      </c>
      <c r="S102" s="4047">
        <v>15000</v>
      </c>
      <c r="T102" s="4047">
        <v>0.03</v>
      </c>
      <c r="U102" s="4056">
        <v>0.03</v>
      </c>
    </row>
    <row r="103" spans="1:21" s="4038" customFormat="1" ht="13.5" customHeight="1">
      <c r="A103" s="4042" t="s">
        <v>861</v>
      </c>
      <c r="B103" s="4048">
        <v>4500</v>
      </c>
      <c r="C103" s="4049">
        <v>8000</v>
      </c>
      <c r="D103" s="4049">
        <v>6</v>
      </c>
      <c r="E103" s="4049">
        <v>0.45</v>
      </c>
      <c r="F103" s="4049">
        <v>4000</v>
      </c>
      <c r="G103" s="4049">
        <v>8000</v>
      </c>
      <c r="H103" s="4049">
        <v>6</v>
      </c>
      <c r="I103" s="4049">
        <v>0.4</v>
      </c>
      <c r="J103" s="4049">
        <v>3200</v>
      </c>
      <c r="K103" s="4049">
        <v>8000</v>
      </c>
      <c r="L103" s="4049">
        <v>0.15</v>
      </c>
      <c r="M103" s="4049">
        <v>0.25</v>
      </c>
      <c r="N103" s="4049">
        <v>850</v>
      </c>
      <c r="O103" s="4049">
        <v>7500</v>
      </c>
      <c r="P103" s="4049">
        <v>6.5</v>
      </c>
      <c r="Q103" s="4049">
        <v>0.1</v>
      </c>
      <c r="R103" s="4049"/>
      <c r="S103" s="4049"/>
      <c r="T103" s="4049"/>
      <c r="U103" s="4057"/>
    </row>
    <row r="104" spans="1:21" s="4038" customFormat="1" ht="13.5" customHeight="1">
      <c r="A104" s="4045" t="s">
        <v>862</v>
      </c>
      <c r="B104" s="4046">
        <v>4500</v>
      </c>
      <c r="C104" s="4047">
        <v>9000</v>
      </c>
      <c r="D104" s="4047">
        <v>4</v>
      </c>
      <c r="E104" s="4047">
        <v>0.45</v>
      </c>
      <c r="F104" s="4047">
        <v>4000</v>
      </c>
      <c r="G104" s="4047">
        <v>9000</v>
      </c>
      <c r="H104" s="4047">
        <v>4</v>
      </c>
      <c r="I104" s="4047">
        <v>0.4</v>
      </c>
      <c r="J104" s="4047">
        <v>3500</v>
      </c>
      <c r="K104" s="4047">
        <v>9500</v>
      </c>
      <c r="L104" s="4047">
        <v>0.15</v>
      </c>
      <c r="M104" s="4047">
        <v>0.22</v>
      </c>
      <c r="N104" s="4047">
        <v>850</v>
      </c>
      <c r="O104" s="4047">
        <v>8500</v>
      </c>
      <c r="P104" s="4047">
        <v>4.5</v>
      </c>
      <c r="Q104" s="4047">
        <v>0.1</v>
      </c>
      <c r="R104" s="4047"/>
      <c r="S104" s="4047"/>
      <c r="T104" s="4047"/>
      <c r="U104" s="4056"/>
    </row>
    <row r="105" spans="1:21" s="4038" customFormat="1" ht="13.5" customHeight="1">
      <c r="A105" s="4042" t="s">
        <v>863</v>
      </c>
      <c r="B105" s="4048">
        <v>4000</v>
      </c>
      <c r="C105" s="4049">
        <v>9500</v>
      </c>
      <c r="D105" s="4049">
        <v>3</v>
      </c>
      <c r="E105" s="4049">
        <v>0.3</v>
      </c>
      <c r="F105" s="4049">
        <v>4000</v>
      </c>
      <c r="G105" s="4049">
        <v>9500</v>
      </c>
      <c r="H105" s="4049">
        <v>3</v>
      </c>
      <c r="I105" s="4049">
        <v>0.3</v>
      </c>
      <c r="J105" s="4049">
        <v>3500</v>
      </c>
      <c r="K105" s="4049">
        <v>11000</v>
      </c>
      <c r="L105" s="4049">
        <v>0.1</v>
      </c>
      <c r="M105" s="4049">
        <v>0.22</v>
      </c>
      <c r="N105" s="4049">
        <v>850</v>
      </c>
      <c r="O105" s="4049">
        <v>9000</v>
      </c>
      <c r="P105" s="4049">
        <v>3.5</v>
      </c>
      <c r="Q105" s="4049">
        <v>0.1</v>
      </c>
      <c r="R105" s="4049"/>
      <c r="S105" s="4049"/>
      <c r="T105" s="4049"/>
      <c r="U105" s="4057"/>
    </row>
    <row r="106" spans="1:21" s="4038" customFormat="1" ht="13.5" customHeight="1">
      <c r="A106" s="4045" t="s">
        <v>864</v>
      </c>
      <c r="B106" s="4046">
        <v>3500</v>
      </c>
      <c r="C106" s="4047">
        <v>11000</v>
      </c>
      <c r="D106" s="4047">
        <v>2</v>
      </c>
      <c r="E106" s="4047">
        <v>0.3</v>
      </c>
      <c r="F106" s="4047">
        <v>3500</v>
      </c>
      <c r="G106" s="4047">
        <v>11000</v>
      </c>
      <c r="H106" s="4047">
        <v>2</v>
      </c>
      <c r="I106" s="4047">
        <v>0.3</v>
      </c>
      <c r="J106" s="4047">
        <v>3000</v>
      </c>
      <c r="K106" s="4047">
        <v>12000</v>
      </c>
      <c r="L106" s="4047">
        <v>0.1</v>
      </c>
      <c r="M106" s="4047">
        <v>0.2</v>
      </c>
      <c r="N106" s="4047">
        <v>800</v>
      </c>
      <c r="O106" s="4047">
        <v>9000</v>
      </c>
      <c r="P106" s="4047">
        <v>2.5</v>
      </c>
      <c r="Q106" s="4047">
        <v>0.1</v>
      </c>
      <c r="R106" s="4047"/>
      <c r="S106" s="4047"/>
      <c r="T106" s="4047"/>
      <c r="U106" s="4056"/>
    </row>
    <row r="107" spans="1:21" s="4038" customFormat="1" ht="13.5" customHeight="1">
      <c r="A107" s="4042" t="s">
        <v>895</v>
      </c>
      <c r="B107" s="4048">
        <v>2800</v>
      </c>
      <c r="C107" s="4049">
        <v>12500</v>
      </c>
      <c r="D107" s="4049">
        <v>1.5</v>
      </c>
      <c r="E107" s="4049">
        <v>0.2</v>
      </c>
      <c r="F107" s="4049">
        <v>3000</v>
      </c>
      <c r="G107" s="4049">
        <v>12500</v>
      </c>
      <c r="H107" s="4049">
        <v>1.5</v>
      </c>
      <c r="I107" s="4049">
        <v>0.25</v>
      </c>
      <c r="J107" s="4049">
        <v>3000</v>
      </c>
      <c r="K107" s="4049">
        <v>12500</v>
      </c>
      <c r="L107" s="4049">
        <v>0.08</v>
      </c>
      <c r="M107" s="4049">
        <v>0.15</v>
      </c>
      <c r="N107" s="4049">
        <v>700</v>
      </c>
      <c r="O107" s="4049">
        <v>10000</v>
      </c>
      <c r="P107" s="4049">
        <v>1.5</v>
      </c>
      <c r="Q107" s="4049">
        <v>0.08</v>
      </c>
      <c r="R107" s="4049"/>
      <c r="S107" s="4049"/>
      <c r="T107" s="4049"/>
      <c r="U107" s="4057"/>
    </row>
    <row r="108" spans="1:21" s="4038" customFormat="1" ht="13.5" customHeight="1">
      <c r="A108" s="4045" t="s">
        <v>866</v>
      </c>
      <c r="B108" s="4046">
        <v>4500</v>
      </c>
      <c r="C108" s="4047">
        <v>8500</v>
      </c>
      <c r="D108" s="4047">
        <v>0.7</v>
      </c>
      <c r="E108" s="4047">
        <v>0.4</v>
      </c>
      <c r="F108" s="4047">
        <v>4000</v>
      </c>
      <c r="G108" s="4047">
        <v>8500</v>
      </c>
      <c r="H108" s="4047">
        <v>0.5</v>
      </c>
      <c r="I108" s="4047">
        <v>0.4</v>
      </c>
      <c r="J108" s="4047">
        <v>3500</v>
      </c>
      <c r="K108" s="4047">
        <v>8500</v>
      </c>
      <c r="L108" s="4047">
        <v>0.22</v>
      </c>
      <c r="M108" s="4047">
        <v>0.22</v>
      </c>
      <c r="N108" s="4047"/>
      <c r="O108" s="4047"/>
      <c r="P108" s="4047"/>
      <c r="Q108" s="4047"/>
      <c r="R108" s="4047"/>
      <c r="S108" s="4047"/>
      <c r="T108" s="4047"/>
      <c r="U108" s="4056"/>
    </row>
    <row r="109" spans="1:21" s="4038" customFormat="1" ht="13.5" customHeight="1">
      <c r="A109" s="4042" t="s">
        <v>867</v>
      </c>
      <c r="B109" s="4048">
        <v>4000</v>
      </c>
      <c r="C109" s="4049">
        <v>9200</v>
      </c>
      <c r="D109" s="4049">
        <v>0.5</v>
      </c>
      <c r="E109" s="4049">
        <v>0.4</v>
      </c>
      <c r="F109" s="4049">
        <v>4000</v>
      </c>
      <c r="G109" s="4049">
        <v>9200</v>
      </c>
      <c r="H109" s="4049">
        <v>0.4</v>
      </c>
      <c r="I109" s="4049">
        <v>0.4</v>
      </c>
      <c r="J109" s="4049">
        <v>3500</v>
      </c>
      <c r="K109" s="4049">
        <v>10000</v>
      </c>
      <c r="L109" s="4049">
        <v>0.22</v>
      </c>
      <c r="M109" s="4049">
        <v>0.22</v>
      </c>
      <c r="N109" s="4049"/>
      <c r="O109" s="4049"/>
      <c r="P109" s="4049"/>
      <c r="Q109" s="4049"/>
      <c r="R109" s="4049"/>
      <c r="S109" s="4049"/>
      <c r="T109" s="4049"/>
      <c r="U109" s="4057"/>
    </row>
    <row r="110" spans="1:21" s="4038" customFormat="1" ht="13.5" customHeight="1">
      <c r="A110" s="4045" t="s">
        <v>868</v>
      </c>
      <c r="B110" s="4046">
        <v>3500</v>
      </c>
      <c r="C110" s="4047">
        <v>10000</v>
      </c>
      <c r="D110" s="4047">
        <v>0.4</v>
      </c>
      <c r="E110" s="4047">
        <v>0.3</v>
      </c>
      <c r="F110" s="4047">
        <v>4000</v>
      </c>
      <c r="G110" s="4047">
        <v>10000</v>
      </c>
      <c r="H110" s="4047">
        <v>0.35</v>
      </c>
      <c r="I110" s="4047">
        <v>0.3</v>
      </c>
      <c r="J110" s="4047">
        <v>3500</v>
      </c>
      <c r="K110" s="4047">
        <v>12000</v>
      </c>
      <c r="L110" s="4047">
        <v>0.2</v>
      </c>
      <c r="M110" s="4047">
        <v>0.2</v>
      </c>
      <c r="N110" s="4047"/>
      <c r="O110" s="4047"/>
      <c r="P110" s="4047"/>
      <c r="Q110" s="4047"/>
      <c r="R110" s="4047">
        <v>2000</v>
      </c>
      <c r="S110" s="4047">
        <v>9000</v>
      </c>
      <c r="T110" s="4047">
        <v>0.1</v>
      </c>
      <c r="U110" s="4056">
        <v>0.1</v>
      </c>
    </row>
    <row r="111" spans="1:21" s="4038" customFormat="1" ht="13.5" customHeight="1">
      <c r="A111" s="4042" t="s">
        <v>869</v>
      </c>
      <c r="B111" s="4048">
        <v>3000</v>
      </c>
      <c r="C111" s="4049">
        <v>13000</v>
      </c>
      <c r="D111" s="4049">
        <v>0.3</v>
      </c>
      <c r="E111" s="4049">
        <v>0.2</v>
      </c>
      <c r="F111" s="4049">
        <v>3200</v>
      </c>
      <c r="G111" s="4049">
        <v>13000</v>
      </c>
      <c r="H111" s="4049">
        <v>0.25</v>
      </c>
      <c r="I111" s="4049">
        <v>0.2</v>
      </c>
      <c r="J111" s="4049">
        <v>3000</v>
      </c>
      <c r="K111" s="4049">
        <v>13000</v>
      </c>
      <c r="L111" s="4049">
        <v>0.17</v>
      </c>
      <c r="M111" s="4049">
        <v>0.17</v>
      </c>
      <c r="N111" s="4049"/>
      <c r="O111" s="4049"/>
      <c r="P111" s="4049"/>
      <c r="Q111" s="4049"/>
      <c r="R111" s="4049">
        <v>1800</v>
      </c>
      <c r="S111" s="4049">
        <v>12000</v>
      </c>
      <c r="T111" s="4049">
        <v>0.1</v>
      </c>
      <c r="U111" s="4057">
        <v>0.1</v>
      </c>
    </row>
    <row r="112" spans="1:21" s="4038" customFormat="1" ht="13.5" customHeight="1">
      <c r="A112" s="4045" t="s">
        <v>884</v>
      </c>
      <c r="B112" s="4046"/>
      <c r="C112" s="4047"/>
      <c r="D112" s="4047"/>
      <c r="E112" s="4047"/>
      <c r="F112" s="4047"/>
      <c r="G112" s="4047"/>
      <c r="H112" s="4047"/>
      <c r="I112" s="4047"/>
      <c r="J112" s="4047">
        <v>2500</v>
      </c>
      <c r="K112" s="4047">
        <v>15000</v>
      </c>
      <c r="L112" s="4047">
        <v>0.1</v>
      </c>
      <c r="M112" s="4047">
        <v>0.1</v>
      </c>
      <c r="N112" s="4047"/>
      <c r="O112" s="4047"/>
      <c r="P112" s="4047"/>
      <c r="Q112" s="4047"/>
      <c r="R112" s="4047">
        <v>1300</v>
      </c>
      <c r="S112" s="4047">
        <v>13500</v>
      </c>
      <c r="T112" s="4047">
        <v>0.08</v>
      </c>
      <c r="U112" s="4056">
        <v>0.08</v>
      </c>
    </row>
    <row r="113" spans="1:21" s="4038" customFormat="1" ht="13.5" customHeight="1">
      <c r="A113" s="4042" t="s">
        <v>896</v>
      </c>
      <c r="B113" s="4048"/>
      <c r="C113" s="4049"/>
      <c r="D113" s="4049"/>
      <c r="E113" s="4049"/>
      <c r="F113" s="4049"/>
      <c r="G113" s="4049"/>
      <c r="H113" s="4049"/>
      <c r="I113" s="4049"/>
      <c r="J113" s="4049">
        <v>1350</v>
      </c>
      <c r="K113" s="4049">
        <v>15000</v>
      </c>
      <c r="L113" s="4049">
        <v>0.05</v>
      </c>
      <c r="M113" s="4049">
        <v>0.05</v>
      </c>
      <c r="N113" s="4049"/>
      <c r="O113" s="4049"/>
      <c r="P113" s="4049"/>
      <c r="Q113" s="4049"/>
      <c r="R113" s="4049">
        <v>850</v>
      </c>
      <c r="S113" s="4049">
        <v>15000</v>
      </c>
      <c r="T113" s="4049">
        <v>0.05</v>
      </c>
      <c r="U113" s="4057">
        <v>0.05</v>
      </c>
    </row>
    <row r="114" spans="1:21" s="4038" customFormat="1" ht="13.5" customHeight="1">
      <c r="A114" s="4045"/>
      <c r="B114" s="4046"/>
      <c r="C114" s="4047"/>
      <c r="D114" s="4047"/>
      <c r="E114" s="4047"/>
      <c r="F114" s="4047"/>
      <c r="G114" s="4047"/>
      <c r="H114" s="4047"/>
      <c r="I114" s="4047"/>
      <c r="J114" s="4047"/>
      <c r="K114" s="4047"/>
      <c r="L114" s="4047"/>
      <c r="M114" s="4047"/>
      <c r="N114" s="4047"/>
      <c r="O114" s="4047"/>
      <c r="P114" s="4047"/>
      <c r="Q114" s="4047"/>
      <c r="R114" s="4047"/>
      <c r="S114" s="4047"/>
      <c r="T114" s="4047"/>
      <c r="U114" s="4056"/>
    </row>
    <row r="115" spans="1:21" s="4038" customFormat="1" ht="13.5" customHeight="1">
      <c r="A115" s="4042"/>
      <c r="B115" s="4048"/>
      <c r="C115" s="4049"/>
      <c r="D115" s="4049"/>
      <c r="E115" s="4049"/>
      <c r="F115" s="4049"/>
      <c r="G115" s="4049"/>
      <c r="H115" s="4049"/>
      <c r="I115" s="4049"/>
      <c r="J115" s="4049"/>
      <c r="K115" s="4049"/>
      <c r="L115" s="4049"/>
      <c r="M115" s="4049"/>
      <c r="N115" s="4049"/>
      <c r="O115" s="4049"/>
      <c r="P115" s="4049"/>
      <c r="Q115" s="4049"/>
      <c r="R115" s="4049"/>
      <c r="S115" s="4049"/>
      <c r="T115" s="4049"/>
      <c r="U115" s="4057"/>
    </row>
    <row r="116" spans="1:21" s="4038" customFormat="1" ht="13.5" customHeight="1">
      <c r="A116" s="4045"/>
      <c r="B116" s="4050"/>
      <c r="C116" s="4051"/>
      <c r="D116" s="4051"/>
      <c r="E116" s="4051"/>
      <c r="F116" s="4051"/>
      <c r="G116" s="4051"/>
      <c r="H116" s="4051"/>
      <c r="I116" s="4051"/>
      <c r="J116" s="4051"/>
      <c r="K116" s="4051"/>
      <c r="L116" s="4051"/>
      <c r="M116" s="4051"/>
      <c r="N116" s="4051"/>
      <c r="O116" s="4051"/>
      <c r="P116" s="4051"/>
      <c r="Q116" s="4051"/>
      <c r="R116" s="4051"/>
      <c r="S116" s="4051"/>
      <c r="T116" s="4051"/>
      <c r="U116" s="4058"/>
    </row>
    <row r="117" spans="1:21" ht="22.5" customHeight="1">
      <c r="A117" s="4424" t="s">
        <v>876</v>
      </c>
      <c r="B117" s="4424"/>
      <c r="C117" s="4424"/>
      <c r="D117" s="4424"/>
      <c r="E117" s="4424"/>
      <c r="F117" s="4424"/>
      <c r="M117" s="4424" t="s">
        <v>877</v>
      </c>
      <c r="N117" s="4424"/>
      <c r="O117" s="4424"/>
      <c r="P117" s="4424"/>
      <c r="Q117" s="4424"/>
      <c r="R117" s="4424"/>
      <c r="S117" s="4424"/>
      <c r="T117" s="4424"/>
      <c r="U117" s="4424"/>
    </row>
    <row r="118" spans="1:21" ht="50.25" customHeight="1">
      <c r="A118" s="4445" t="s">
        <v>897</v>
      </c>
      <c r="B118" s="4446"/>
      <c r="C118" s="4446"/>
      <c r="D118" s="4446"/>
      <c r="E118" s="4446"/>
      <c r="F118" s="4446"/>
      <c r="G118" s="4446"/>
      <c r="H118" s="4446"/>
      <c r="I118" s="4446"/>
      <c r="J118" s="4446"/>
      <c r="K118" s="4446"/>
      <c r="L118" s="4446"/>
      <c r="M118" s="4446"/>
      <c r="N118" s="4446"/>
      <c r="O118" s="4446"/>
      <c r="P118" s="4446"/>
      <c r="Q118" s="4446"/>
      <c r="R118" s="4446"/>
      <c r="S118" s="4446"/>
      <c r="T118" s="4446"/>
      <c r="U118" s="4446"/>
    </row>
    <row r="119" spans="1:21" ht="12.95" customHeight="1">
      <c r="A119" s="4429"/>
      <c r="B119" s="4430"/>
      <c r="C119" s="4430"/>
      <c r="D119" s="4430"/>
      <c r="E119" s="4430"/>
      <c r="F119" s="4430"/>
      <c r="G119" s="4430"/>
      <c r="H119" s="4429"/>
      <c r="I119" s="4430"/>
      <c r="J119" s="4430"/>
      <c r="K119" s="4430"/>
      <c r="L119" s="4434"/>
      <c r="M119" s="4436" t="s">
        <v>833</v>
      </c>
      <c r="N119" s="4437"/>
      <c r="O119" s="4437"/>
      <c r="P119" s="4437"/>
      <c r="Q119" s="4437"/>
      <c r="R119" s="4437"/>
      <c r="S119" s="4437"/>
      <c r="T119" s="4437"/>
      <c r="U119" s="4438"/>
    </row>
    <row r="120" spans="1:21" ht="12.95" customHeight="1">
      <c r="A120" s="4431"/>
      <c r="B120" s="4432"/>
      <c r="C120" s="4432"/>
      <c r="D120" s="4432"/>
      <c r="E120" s="4432"/>
      <c r="F120" s="4432"/>
      <c r="G120" s="4432"/>
      <c r="H120" s="4433"/>
      <c r="I120" s="4422"/>
      <c r="J120" s="4422"/>
      <c r="K120" s="4422"/>
      <c r="L120" s="4423"/>
      <c r="M120" s="4447" t="s">
        <v>834</v>
      </c>
      <c r="N120" s="4448"/>
      <c r="O120" s="4448"/>
      <c r="P120" s="4448"/>
      <c r="Q120" s="4448"/>
      <c r="R120" s="4448"/>
      <c r="S120" s="4448"/>
      <c r="T120" s="4448"/>
      <c r="U120" s="4449"/>
    </row>
    <row r="121" spans="1:21" ht="12.95" customHeight="1">
      <c r="A121" s="4431"/>
      <c r="B121" s="4432"/>
      <c r="C121" s="4432"/>
      <c r="D121" s="4432"/>
      <c r="E121" s="4432"/>
      <c r="F121" s="4432"/>
      <c r="G121" s="4432"/>
      <c r="H121" s="4429"/>
      <c r="I121" s="4430"/>
      <c r="J121" s="4430"/>
      <c r="K121" s="4430"/>
      <c r="L121" s="4434"/>
      <c r="M121" s="4447" t="s">
        <v>835</v>
      </c>
      <c r="N121" s="4448"/>
      <c r="O121" s="4448"/>
      <c r="P121" s="4448"/>
      <c r="Q121" s="4448"/>
      <c r="R121" s="4448"/>
      <c r="S121" s="4448"/>
      <c r="T121" s="4448"/>
      <c r="U121" s="4449"/>
    </row>
    <row r="122" spans="1:21" ht="12.95" customHeight="1">
      <c r="A122" s="4431"/>
      <c r="B122" s="4432"/>
      <c r="C122" s="4432"/>
      <c r="D122" s="4432"/>
      <c r="E122" s="4432"/>
      <c r="F122" s="4432"/>
      <c r="G122" s="4432"/>
      <c r="H122" s="4433"/>
      <c r="I122" s="4422"/>
      <c r="J122" s="4422"/>
      <c r="K122" s="4422"/>
      <c r="L122" s="4423"/>
      <c r="M122" s="4447" t="s">
        <v>836</v>
      </c>
      <c r="N122" s="4448"/>
      <c r="O122" s="4448"/>
      <c r="P122" s="4448"/>
      <c r="Q122" s="4448"/>
      <c r="R122" s="4448"/>
      <c r="S122" s="4448"/>
      <c r="T122" s="4448"/>
      <c r="U122" s="4449"/>
    </row>
    <row r="123" spans="1:21" ht="12.95" customHeight="1">
      <c r="A123" s="4431"/>
      <c r="B123" s="4432"/>
      <c r="C123" s="4432"/>
      <c r="D123" s="4432"/>
      <c r="E123" s="4432"/>
      <c r="F123" s="4432"/>
      <c r="G123" s="4432"/>
      <c r="H123" s="4429"/>
      <c r="I123" s="4430"/>
      <c r="J123" s="4430"/>
      <c r="K123" s="4430"/>
      <c r="L123" s="4434"/>
      <c r="M123" s="4447" t="s">
        <v>837</v>
      </c>
      <c r="N123" s="4448"/>
      <c r="O123" s="4448"/>
      <c r="P123" s="4448"/>
      <c r="Q123" s="4448"/>
      <c r="R123" s="4448"/>
      <c r="S123" s="4448"/>
      <c r="T123" s="4448"/>
      <c r="U123" s="4449"/>
    </row>
    <row r="124" spans="1:21" ht="12.95" customHeight="1">
      <c r="A124" s="4431"/>
      <c r="B124" s="4432"/>
      <c r="C124" s="4432"/>
      <c r="D124" s="4432"/>
      <c r="E124" s="4432"/>
      <c r="F124" s="4432"/>
      <c r="G124" s="4432"/>
      <c r="H124" s="4433"/>
      <c r="I124" s="4422"/>
      <c r="J124" s="4422"/>
      <c r="K124" s="4422"/>
      <c r="L124" s="4423"/>
      <c r="M124" s="4436" t="s">
        <v>838</v>
      </c>
      <c r="N124" s="4437"/>
      <c r="O124" s="4437"/>
      <c r="P124" s="4437"/>
      <c r="Q124" s="4437"/>
      <c r="R124" s="4437"/>
      <c r="S124" s="4437"/>
      <c r="T124" s="4437"/>
      <c r="U124" s="4438"/>
    </row>
    <row r="125" spans="1:21" ht="12.95" customHeight="1">
      <c r="A125" s="4431"/>
      <c r="B125" s="4432"/>
      <c r="C125" s="4432"/>
      <c r="D125" s="4432"/>
      <c r="E125" s="4432"/>
      <c r="F125" s="4432"/>
      <c r="G125" s="4432"/>
      <c r="H125" s="4429"/>
      <c r="I125" s="4430"/>
      <c r="J125" s="4430"/>
      <c r="K125" s="4430"/>
      <c r="L125" s="4434"/>
      <c r="M125" s="4436" t="s">
        <v>839</v>
      </c>
      <c r="N125" s="4437"/>
      <c r="O125" s="4437"/>
      <c r="P125" s="4437"/>
      <c r="Q125" s="4437"/>
      <c r="R125" s="4437"/>
      <c r="S125" s="4437"/>
      <c r="T125" s="4437"/>
      <c r="U125" s="4438"/>
    </row>
    <row r="126" spans="1:21" ht="12.95" customHeight="1">
      <c r="A126" s="4431"/>
      <c r="B126" s="4432"/>
      <c r="C126" s="4432"/>
      <c r="D126" s="4432"/>
      <c r="E126" s="4432"/>
      <c r="F126" s="4432"/>
      <c r="G126" s="4432"/>
      <c r="H126" s="4431"/>
      <c r="I126" s="4432"/>
      <c r="J126" s="4432"/>
      <c r="K126" s="4432"/>
      <c r="L126" s="4435"/>
      <c r="M126" s="4436" t="s">
        <v>840</v>
      </c>
      <c r="N126" s="4437"/>
      <c r="O126" s="4437"/>
      <c r="P126" s="4437"/>
      <c r="Q126" s="4437"/>
      <c r="R126" s="4437"/>
      <c r="S126" s="4437"/>
      <c r="T126" s="4437"/>
      <c r="U126" s="4438"/>
    </row>
    <row r="127" spans="1:21" ht="12.95" customHeight="1">
      <c r="A127" s="4431"/>
      <c r="B127" s="4432"/>
      <c r="C127" s="4432"/>
      <c r="D127" s="4432"/>
      <c r="E127" s="4432"/>
      <c r="F127" s="4432"/>
      <c r="G127" s="4432"/>
      <c r="H127" s="4433"/>
      <c r="I127" s="4422"/>
      <c r="J127" s="4422"/>
      <c r="K127" s="4422"/>
      <c r="L127" s="4423"/>
      <c r="M127" s="4436" t="s">
        <v>841</v>
      </c>
      <c r="N127" s="4437"/>
      <c r="O127" s="4437"/>
      <c r="P127" s="4437"/>
      <c r="Q127" s="4437"/>
      <c r="R127" s="4437"/>
      <c r="S127" s="4437"/>
      <c r="T127" s="4437"/>
      <c r="U127" s="4438"/>
    </row>
    <row r="128" spans="1:21" ht="12.95" customHeight="1">
      <c r="A128" s="4433"/>
      <c r="B128" s="4422"/>
      <c r="C128" s="4422"/>
      <c r="D128" s="4422"/>
      <c r="E128" s="4422"/>
      <c r="F128" s="4422"/>
      <c r="G128" s="4422"/>
      <c r="H128" s="4439" t="s">
        <v>842</v>
      </c>
      <c r="I128" s="4440"/>
      <c r="J128" s="4440"/>
      <c r="K128" s="4440"/>
      <c r="L128" s="4441"/>
      <c r="M128" s="4436" t="s">
        <v>843</v>
      </c>
      <c r="N128" s="4437"/>
      <c r="O128" s="4437"/>
      <c r="P128" s="4437"/>
      <c r="Q128" s="4437"/>
      <c r="R128" s="4437"/>
      <c r="S128" s="4437"/>
      <c r="T128" s="4437"/>
      <c r="U128" s="4438"/>
    </row>
    <row r="129" spans="1:21" ht="18" customHeight="1">
      <c r="A129" s="4426" t="s">
        <v>583</v>
      </c>
      <c r="B129" s="4442" t="s">
        <v>589</v>
      </c>
      <c r="C129" s="4443"/>
      <c r="D129" s="4443"/>
      <c r="E129" s="4443"/>
      <c r="F129" s="4442" t="s">
        <v>844</v>
      </c>
      <c r="G129" s="4443"/>
      <c r="H129" s="4443"/>
      <c r="I129" s="4444"/>
      <c r="J129" s="4442" t="s">
        <v>845</v>
      </c>
      <c r="K129" s="4443"/>
      <c r="L129" s="4443"/>
      <c r="M129" s="4444"/>
      <c r="N129" s="4442" t="s">
        <v>846</v>
      </c>
      <c r="O129" s="4443"/>
      <c r="P129" s="4443"/>
      <c r="Q129" s="4444"/>
      <c r="R129" s="4442" t="s">
        <v>887</v>
      </c>
      <c r="S129" s="4443"/>
      <c r="T129" s="4443"/>
      <c r="U129" s="4444"/>
    </row>
    <row r="130" spans="1:21" ht="13.5" customHeight="1">
      <c r="A130" s="4427"/>
      <c r="B130" s="4421" t="s">
        <v>898</v>
      </c>
      <c r="C130" s="4422"/>
      <c r="D130" s="4422"/>
      <c r="E130" s="4422"/>
      <c r="F130" s="4421" t="s">
        <v>899</v>
      </c>
      <c r="G130" s="4422"/>
      <c r="H130" s="4422"/>
      <c r="I130" s="4423"/>
      <c r="J130" s="4421" t="s">
        <v>900</v>
      </c>
      <c r="K130" s="4422"/>
      <c r="L130" s="4422"/>
      <c r="M130" s="4423"/>
      <c r="N130" s="4421" t="s">
        <v>901</v>
      </c>
      <c r="O130" s="4422"/>
      <c r="P130" s="4422"/>
      <c r="Q130" s="4423"/>
      <c r="R130" s="4421" t="s">
        <v>892</v>
      </c>
      <c r="S130" s="4422"/>
      <c r="T130" s="4422"/>
      <c r="U130" s="4423"/>
    </row>
    <row r="131" spans="1:21" ht="13.5" customHeight="1">
      <c r="A131" s="4428"/>
      <c r="B131" s="4040" t="s">
        <v>475</v>
      </c>
      <c r="C131" s="4040" t="s">
        <v>471</v>
      </c>
      <c r="D131" s="4040" t="s">
        <v>853</v>
      </c>
      <c r="E131" s="4040" t="s">
        <v>854</v>
      </c>
      <c r="F131" s="4041" t="s">
        <v>475</v>
      </c>
      <c r="G131" s="4041" t="s">
        <v>471</v>
      </c>
      <c r="H131" s="4041" t="s">
        <v>853</v>
      </c>
      <c r="I131" s="4041" t="s">
        <v>854</v>
      </c>
      <c r="J131" s="4053" t="s">
        <v>475</v>
      </c>
      <c r="K131" s="4053" t="s">
        <v>471</v>
      </c>
      <c r="L131" s="4053" t="s">
        <v>853</v>
      </c>
      <c r="M131" s="4041" t="s">
        <v>854</v>
      </c>
      <c r="N131" s="4054" t="s">
        <v>475</v>
      </c>
      <c r="O131" s="4054" t="s">
        <v>471</v>
      </c>
      <c r="P131" s="4054" t="s">
        <v>853</v>
      </c>
      <c r="Q131" s="4054" t="s">
        <v>854</v>
      </c>
      <c r="R131" s="4053" t="s">
        <v>475</v>
      </c>
      <c r="S131" s="4053" t="s">
        <v>471</v>
      </c>
      <c r="T131" s="4053" t="s">
        <v>853</v>
      </c>
      <c r="U131" s="4053" t="s">
        <v>854</v>
      </c>
    </row>
    <row r="132" spans="1:21" s="4038" customFormat="1" ht="13.5" customHeight="1">
      <c r="A132" s="4042" t="s">
        <v>855</v>
      </c>
      <c r="B132" s="4043">
        <v>5000</v>
      </c>
      <c r="C132" s="4044">
        <v>7000</v>
      </c>
      <c r="D132" s="4044">
        <v>6</v>
      </c>
      <c r="E132" s="4044">
        <v>1.5</v>
      </c>
      <c r="F132" s="4044">
        <v>4500</v>
      </c>
      <c r="G132" s="4044">
        <v>7000</v>
      </c>
      <c r="H132" s="4044">
        <v>6</v>
      </c>
      <c r="I132" s="4044">
        <v>0.6</v>
      </c>
      <c r="J132" s="4044">
        <v>3500</v>
      </c>
      <c r="K132" s="4044">
        <v>7000</v>
      </c>
      <c r="L132" s="4044">
        <v>0.15</v>
      </c>
      <c r="M132" s="4044">
        <v>0.2</v>
      </c>
      <c r="N132" s="4044">
        <v>850</v>
      </c>
      <c r="O132" s="4044">
        <v>5500</v>
      </c>
      <c r="P132" s="4044">
        <v>0.15</v>
      </c>
      <c r="Q132" s="4044">
        <v>0.12</v>
      </c>
      <c r="R132" s="4044"/>
      <c r="S132" s="4044"/>
      <c r="T132" s="4044"/>
      <c r="U132" s="4055"/>
    </row>
    <row r="133" spans="1:21" s="4038" customFormat="1" ht="13.5" customHeight="1">
      <c r="A133" s="4045" t="s">
        <v>857</v>
      </c>
      <c r="B133" s="4046">
        <v>4000</v>
      </c>
      <c r="C133" s="4047">
        <v>9000</v>
      </c>
      <c r="D133" s="4047">
        <v>3</v>
      </c>
      <c r="E133" s="4047">
        <v>1</v>
      </c>
      <c r="F133" s="4047">
        <v>4500</v>
      </c>
      <c r="G133" s="4047">
        <v>9000</v>
      </c>
      <c r="H133" s="4047">
        <v>3</v>
      </c>
      <c r="I133" s="4047">
        <v>0.5</v>
      </c>
      <c r="J133" s="4047">
        <v>3500</v>
      </c>
      <c r="K133" s="4047">
        <v>9500</v>
      </c>
      <c r="L133" s="4047">
        <v>0.12</v>
      </c>
      <c r="M133" s="4047">
        <v>0.15</v>
      </c>
      <c r="N133" s="4047">
        <v>850</v>
      </c>
      <c r="O133" s="4047">
        <v>7000</v>
      </c>
      <c r="P133" s="4047">
        <v>0.12</v>
      </c>
      <c r="Q133" s="4047">
        <v>0.12</v>
      </c>
      <c r="R133" s="4047">
        <v>1300</v>
      </c>
      <c r="S133" s="4047">
        <v>8800</v>
      </c>
      <c r="T133" s="4047">
        <v>0.06</v>
      </c>
      <c r="U133" s="4056">
        <v>0.1</v>
      </c>
    </row>
    <row r="134" spans="1:21" s="4038" customFormat="1" ht="13.5" customHeight="1">
      <c r="A134" s="4042" t="s">
        <v>858</v>
      </c>
      <c r="B134" s="4048">
        <v>3600</v>
      </c>
      <c r="C134" s="4049">
        <v>11000</v>
      </c>
      <c r="D134" s="4049">
        <v>2</v>
      </c>
      <c r="E134" s="4049">
        <v>0.55000000000000004</v>
      </c>
      <c r="F134" s="4049">
        <v>3500</v>
      </c>
      <c r="G134" s="4049">
        <v>11000</v>
      </c>
      <c r="H134" s="4049">
        <v>2</v>
      </c>
      <c r="I134" s="4049">
        <v>0.35</v>
      </c>
      <c r="J134" s="4049">
        <v>3500</v>
      </c>
      <c r="K134" s="4049">
        <v>12000</v>
      </c>
      <c r="L134" s="4049">
        <v>0.1</v>
      </c>
      <c r="M134" s="4049">
        <v>0.15</v>
      </c>
      <c r="N134" s="4049">
        <v>800</v>
      </c>
      <c r="O134" s="4049">
        <v>8500</v>
      </c>
      <c r="P134" s="4049">
        <v>0.1</v>
      </c>
      <c r="Q134" s="4049">
        <v>0.1</v>
      </c>
      <c r="R134" s="4049">
        <v>1200</v>
      </c>
      <c r="S134" s="4049">
        <v>10000</v>
      </c>
      <c r="T134" s="4049">
        <v>0.06</v>
      </c>
      <c r="U134" s="4057">
        <v>0.1</v>
      </c>
    </row>
    <row r="135" spans="1:21" s="4038" customFormat="1" ht="13.5" customHeight="1">
      <c r="A135" s="4045" t="s">
        <v>859</v>
      </c>
      <c r="B135" s="4046">
        <v>3200</v>
      </c>
      <c r="C135" s="4047">
        <v>12000</v>
      </c>
      <c r="D135" s="4047">
        <v>1.5</v>
      </c>
      <c r="E135" s="4047">
        <v>0.35</v>
      </c>
      <c r="F135" s="4047">
        <v>3200</v>
      </c>
      <c r="G135" s="4047">
        <v>12000</v>
      </c>
      <c r="H135" s="4047">
        <v>1.5</v>
      </c>
      <c r="I135" s="4047">
        <v>0.3</v>
      </c>
      <c r="J135" s="4047">
        <v>3000</v>
      </c>
      <c r="K135" s="4047">
        <v>13000</v>
      </c>
      <c r="L135" s="4047">
        <v>0.1</v>
      </c>
      <c r="M135" s="4047">
        <v>0.12</v>
      </c>
      <c r="N135" s="4047">
        <v>700</v>
      </c>
      <c r="O135" s="4047">
        <v>10000</v>
      </c>
      <c r="P135" s="4047">
        <v>0.1</v>
      </c>
      <c r="Q135" s="4047">
        <v>0.1</v>
      </c>
      <c r="R135" s="4047">
        <v>1000</v>
      </c>
      <c r="S135" s="4047">
        <v>12000</v>
      </c>
      <c r="T135" s="4047">
        <v>0.06</v>
      </c>
      <c r="U135" s="4056">
        <v>0.06</v>
      </c>
    </row>
    <row r="136" spans="1:21" s="4038" customFormat="1" ht="13.5" customHeight="1">
      <c r="A136" s="4042" t="s">
        <v>860</v>
      </c>
      <c r="B136" s="4048">
        <v>2600</v>
      </c>
      <c r="C136" s="4049">
        <v>13000</v>
      </c>
      <c r="D136" s="4049">
        <v>1</v>
      </c>
      <c r="E136" s="4049">
        <v>0.2</v>
      </c>
      <c r="F136" s="4049">
        <v>3000</v>
      </c>
      <c r="G136" s="4049">
        <v>13000</v>
      </c>
      <c r="H136" s="4049">
        <v>1</v>
      </c>
      <c r="I136" s="4049">
        <v>0.25</v>
      </c>
      <c r="J136" s="4049">
        <v>2800</v>
      </c>
      <c r="K136" s="4049">
        <v>14000</v>
      </c>
      <c r="L136" s="4049">
        <v>0.08</v>
      </c>
      <c r="M136" s="4049">
        <v>0.1</v>
      </c>
      <c r="N136" s="4049">
        <v>650</v>
      </c>
      <c r="O136" s="4049">
        <v>12000</v>
      </c>
      <c r="P136" s="4049">
        <v>0.08</v>
      </c>
      <c r="Q136" s="4049">
        <v>0.08</v>
      </c>
      <c r="R136" s="4049">
        <v>1000</v>
      </c>
      <c r="S136" s="4049">
        <v>13000</v>
      </c>
      <c r="T136" s="4049">
        <v>0.05</v>
      </c>
      <c r="U136" s="4057">
        <v>0.05</v>
      </c>
    </row>
    <row r="137" spans="1:21" s="4038" customFormat="1" ht="13.5" customHeight="1">
      <c r="A137" s="4045" t="s">
        <v>894</v>
      </c>
      <c r="B137" s="4046"/>
      <c r="C137" s="4047"/>
      <c r="D137" s="4047"/>
      <c r="E137" s="4047"/>
      <c r="F137" s="4047"/>
      <c r="G137" s="4047"/>
      <c r="H137" s="4047"/>
      <c r="I137" s="4047"/>
      <c r="J137" s="4047">
        <v>1800</v>
      </c>
      <c r="K137" s="4047">
        <v>16000</v>
      </c>
      <c r="L137" s="4047">
        <v>0.05</v>
      </c>
      <c r="M137" s="4047">
        <v>0.05</v>
      </c>
      <c r="N137" s="4047"/>
      <c r="O137" s="4047"/>
      <c r="P137" s="4047"/>
      <c r="Q137" s="4047"/>
      <c r="R137" s="4047">
        <v>850</v>
      </c>
      <c r="S137" s="4047">
        <v>15000</v>
      </c>
      <c r="T137" s="4047">
        <v>0.03</v>
      </c>
      <c r="U137" s="4056">
        <v>0.03</v>
      </c>
    </row>
    <row r="138" spans="1:21" s="4038" customFormat="1" ht="13.5" customHeight="1">
      <c r="A138" s="4042" t="s">
        <v>863</v>
      </c>
      <c r="B138" s="4048">
        <v>4000</v>
      </c>
      <c r="C138" s="4049">
        <v>9500</v>
      </c>
      <c r="D138" s="4049">
        <v>3</v>
      </c>
      <c r="E138" s="4049">
        <v>1</v>
      </c>
      <c r="F138" s="4049">
        <v>4500</v>
      </c>
      <c r="G138" s="4049">
        <v>9500</v>
      </c>
      <c r="H138" s="4049">
        <v>3</v>
      </c>
      <c r="I138" s="4049">
        <v>0.5</v>
      </c>
      <c r="J138" s="4049">
        <v>3500</v>
      </c>
      <c r="K138" s="4049">
        <v>9500</v>
      </c>
      <c r="L138" s="4049">
        <v>0.12</v>
      </c>
      <c r="M138" s="4049">
        <v>0.15</v>
      </c>
      <c r="N138" s="4049">
        <v>850</v>
      </c>
      <c r="O138" s="4049">
        <v>7000</v>
      </c>
      <c r="P138" s="4049">
        <v>3.5</v>
      </c>
      <c r="Q138" s="4049">
        <v>0.12</v>
      </c>
      <c r="R138" s="4049"/>
      <c r="S138" s="4049"/>
      <c r="T138" s="4049"/>
      <c r="U138" s="4057"/>
    </row>
    <row r="139" spans="1:21" s="4038" customFormat="1" ht="13.5" customHeight="1">
      <c r="A139" s="4045" t="s">
        <v>864</v>
      </c>
      <c r="B139" s="4046">
        <v>3500</v>
      </c>
      <c r="C139" s="4047">
        <v>11000</v>
      </c>
      <c r="D139" s="4047">
        <v>2</v>
      </c>
      <c r="E139" s="4047">
        <v>0.55000000000000004</v>
      </c>
      <c r="F139" s="4047">
        <v>4000</v>
      </c>
      <c r="G139" s="4047">
        <v>11000</v>
      </c>
      <c r="H139" s="4047">
        <v>2</v>
      </c>
      <c r="I139" s="4047">
        <v>0.35</v>
      </c>
      <c r="J139" s="4047">
        <v>3500</v>
      </c>
      <c r="K139" s="4047">
        <v>12000</v>
      </c>
      <c r="L139" s="4047">
        <v>0.1</v>
      </c>
      <c r="M139" s="4047">
        <v>0.15</v>
      </c>
      <c r="N139" s="4047">
        <v>800</v>
      </c>
      <c r="O139" s="4047">
        <v>8500</v>
      </c>
      <c r="P139" s="4047">
        <v>2.5</v>
      </c>
      <c r="Q139" s="4047">
        <v>0.1</v>
      </c>
      <c r="R139" s="4047"/>
      <c r="S139" s="4047"/>
      <c r="T139" s="4047"/>
      <c r="U139" s="4056"/>
    </row>
    <row r="140" spans="1:21" s="4038" customFormat="1" ht="13.5" customHeight="1">
      <c r="A140" s="4042" t="s">
        <v>895</v>
      </c>
      <c r="B140" s="4048">
        <v>3200</v>
      </c>
      <c r="C140" s="4049">
        <v>12000</v>
      </c>
      <c r="D140" s="4049">
        <v>1.5</v>
      </c>
      <c r="E140" s="4049">
        <v>0.35</v>
      </c>
      <c r="F140" s="4049">
        <v>3000</v>
      </c>
      <c r="G140" s="4049">
        <v>12000</v>
      </c>
      <c r="H140" s="4049">
        <v>1.5</v>
      </c>
      <c r="I140" s="4049">
        <v>0.25</v>
      </c>
      <c r="J140" s="4049">
        <v>3000</v>
      </c>
      <c r="K140" s="4049">
        <v>12500</v>
      </c>
      <c r="L140" s="4049">
        <v>0.1</v>
      </c>
      <c r="M140" s="4049">
        <v>0.12</v>
      </c>
      <c r="N140" s="4049">
        <v>700</v>
      </c>
      <c r="O140" s="4049">
        <v>10000</v>
      </c>
      <c r="P140" s="4049">
        <v>1.5</v>
      </c>
      <c r="Q140" s="4049">
        <v>0.1</v>
      </c>
      <c r="R140" s="4049"/>
      <c r="S140" s="4049"/>
      <c r="T140" s="4049"/>
      <c r="U140" s="4057"/>
    </row>
    <row r="141" spans="1:21" s="4038" customFormat="1" ht="13.5" customHeight="1">
      <c r="A141" s="4045" t="s">
        <v>866</v>
      </c>
      <c r="B141" s="4046">
        <v>4500</v>
      </c>
      <c r="C141" s="4047">
        <v>8500</v>
      </c>
      <c r="D141" s="4047">
        <v>0.8</v>
      </c>
      <c r="E141" s="4047">
        <v>0.8</v>
      </c>
      <c r="F141" s="4047">
        <v>4500</v>
      </c>
      <c r="G141" s="4047">
        <v>8500</v>
      </c>
      <c r="H141" s="4047">
        <v>0.8</v>
      </c>
      <c r="I141" s="4047">
        <v>0.6</v>
      </c>
      <c r="J141" s="4047">
        <v>3500</v>
      </c>
      <c r="K141" s="4047">
        <v>8500</v>
      </c>
      <c r="L141" s="4047">
        <v>0.2</v>
      </c>
      <c r="M141" s="4047">
        <v>0.2</v>
      </c>
      <c r="N141" s="4047"/>
      <c r="O141" s="4047"/>
      <c r="P141" s="4047"/>
      <c r="Q141" s="4047"/>
      <c r="R141" s="4047"/>
      <c r="S141" s="4047"/>
      <c r="T141" s="4047"/>
      <c r="U141" s="4056"/>
    </row>
    <row r="142" spans="1:21" s="4038" customFormat="1" ht="13.5" customHeight="1">
      <c r="A142" s="4042" t="s">
        <v>867</v>
      </c>
      <c r="B142" s="4048">
        <v>4000</v>
      </c>
      <c r="C142" s="4049">
        <v>9200</v>
      </c>
      <c r="D142" s="4049">
        <v>0.5</v>
      </c>
      <c r="E142" s="4049">
        <v>0.6</v>
      </c>
      <c r="F142" s="4049">
        <v>4200</v>
      </c>
      <c r="G142" s="4049">
        <v>9200</v>
      </c>
      <c r="H142" s="4049">
        <v>0.5</v>
      </c>
      <c r="I142" s="4049">
        <v>0.4</v>
      </c>
      <c r="J142" s="4049">
        <v>3500</v>
      </c>
      <c r="K142" s="4049">
        <v>10000</v>
      </c>
      <c r="L142" s="4049">
        <v>0.2</v>
      </c>
      <c r="M142" s="4049">
        <v>0.2</v>
      </c>
      <c r="N142" s="4049"/>
      <c r="O142" s="4049"/>
      <c r="P142" s="4049"/>
      <c r="Q142" s="4049"/>
      <c r="R142" s="4049"/>
      <c r="S142" s="4049"/>
      <c r="T142" s="4049"/>
      <c r="U142" s="4057"/>
    </row>
    <row r="143" spans="1:21" s="4038" customFormat="1" ht="13.5" customHeight="1">
      <c r="A143" s="4045" t="s">
        <v>868</v>
      </c>
      <c r="B143" s="4046">
        <v>3500</v>
      </c>
      <c r="C143" s="4047">
        <v>9500</v>
      </c>
      <c r="D143" s="4047">
        <v>0.45</v>
      </c>
      <c r="E143" s="4047">
        <v>0.3</v>
      </c>
      <c r="F143" s="4047">
        <v>4000</v>
      </c>
      <c r="G143" s="4047">
        <v>9500</v>
      </c>
      <c r="H143" s="4047">
        <v>0.4</v>
      </c>
      <c r="I143" s="4047">
        <v>0.35</v>
      </c>
      <c r="J143" s="4047">
        <v>3500</v>
      </c>
      <c r="K143" s="4047">
        <v>12000</v>
      </c>
      <c r="L143" s="4047">
        <v>0.15</v>
      </c>
      <c r="M143" s="4047">
        <v>0.15</v>
      </c>
      <c r="N143" s="4047"/>
      <c r="O143" s="4047"/>
      <c r="P143" s="4047"/>
      <c r="Q143" s="4047"/>
      <c r="R143" s="4047">
        <v>1600</v>
      </c>
      <c r="S143" s="4047">
        <v>9000</v>
      </c>
      <c r="T143" s="4047">
        <v>0.08</v>
      </c>
      <c r="U143" s="4056">
        <v>0.08</v>
      </c>
    </row>
    <row r="144" spans="1:21" s="4038" customFormat="1" ht="13.5" customHeight="1">
      <c r="A144" s="4042" t="s">
        <v>869</v>
      </c>
      <c r="B144" s="4048">
        <v>3000</v>
      </c>
      <c r="C144" s="4049">
        <v>12500</v>
      </c>
      <c r="D144" s="4049">
        <v>0.35</v>
      </c>
      <c r="E144" s="4049">
        <v>0.25</v>
      </c>
      <c r="F144" s="4049">
        <v>3200</v>
      </c>
      <c r="G144" s="4049">
        <v>12500</v>
      </c>
      <c r="H144" s="4049">
        <v>0.3</v>
      </c>
      <c r="I144" s="4049">
        <v>0.2</v>
      </c>
      <c r="J144" s="4049">
        <v>3000</v>
      </c>
      <c r="K144" s="4049">
        <v>13000</v>
      </c>
      <c r="L144" s="4049">
        <v>0.15</v>
      </c>
      <c r="M144" s="4049">
        <v>0.15</v>
      </c>
      <c r="N144" s="4049"/>
      <c r="O144" s="4049"/>
      <c r="P144" s="4049"/>
      <c r="Q144" s="4049"/>
      <c r="R144" s="4049">
        <v>1600</v>
      </c>
      <c r="S144" s="4049">
        <v>12000</v>
      </c>
      <c r="T144" s="4049">
        <v>0.08</v>
      </c>
      <c r="U144" s="4057">
        <v>0.08</v>
      </c>
    </row>
    <row r="145" spans="1:21" s="4038" customFormat="1" ht="13.5" customHeight="1">
      <c r="A145" s="4045" t="s">
        <v>884</v>
      </c>
      <c r="B145" s="4046"/>
      <c r="C145" s="4047"/>
      <c r="D145" s="4047"/>
      <c r="E145" s="4047"/>
      <c r="F145" s="4047"/>
      <c r="G145" s="4047"/>
      <c r="H145" s="4047"/>
      <c r="I145" s="4047"/>
      <c r="J145" s="4047">
        <v>2500</v>
      </c>
      <c r="K145" s="4047">
        <v>15000</v>
      </c>
      <c r="L145" s="4047">
        <v>0.1</v>
      </c>
      <c r="M145" s="4047">
        <v>0.1</v>
      </c>
      <c r="N145" s="4047"/>
      <c r="O145" s="4047"/>
      <c r="P145" s="4047"/>
      <c r="Q145" s="4047"/>
      <c r="R145" s="4047">
        <v>1300</v>
      </c>
      <c r="S145" s="4047">
        <v>13500</v>
      </c>
      <c r="T145" s="4047">
        <v>0.05</v>
      </c>
      <c r="U145" s="4056">
        <v>0.05</v>
      </c>
    </row>
    <row r="146" spans="1:21" s="4038" customFormat="1" ht="13.5" customHeight="1">
      <c r="A146" s="4042" t="s">
        <v>896</v>
      </c>
      <c r="B146" s="4048"/>
      <c r="C146" s="4049"/>
      <c r="D146" s="4049"/>
      <c r="E146" s="4049"/>
      <c r="F146" s="4049"/>
      <c r="G146" s="4049"/>
      <c r="H146" s="4049"/>
      <c r="I146" s="4049"/>
      <c r="J146" s="4049">
        <v>1350</v>
      </c>
      <c r="K146" s="4049">
        <v>16000</v>
      </c>
      <c r="L146" s="4049">
        <v>0.05</v>
      </c>
      <c r="M146" s="4049">
        <v>0.05</v>
      </c>
      <c r="N146" s="4049"/>
      <c r="O146" s="4049"/>
      <c r="P146" s="4049"/>
      <c r="Q146" s="4049"/>
      <c r="R146" s="4049">
        <v>850</v>
      </c>
      <c r="S146" s="4049">
        <v>15000</v>
      </c>
      <c r="T146" s="4049">
        <v>0.05</v>
      </c>
      <c r="U146" s="4057">
        <v>0.05</v>
      </c>
    </row>
    <row r="147" spans="1:21" s="4038" customFormat="1" ht="13.5" customHeight="1">
      <c r="A147" s="4045"/>
      <c r="B147" s="4046"/>
      <c r="C147" s="4047"/>
      <c r="D147" s="4047"/>
      <c r="E147" s="4047"/>
      <c r="F147" s="4047"/>
      <c r="G147" s="4047"/>
      <c r="H147" s="4047"/>
      <c r="I147" s="4047"/>
      <c r="J147" s="4047"/>
      <c r="K147" s="4047"/>
      <c r="L147" s="4047"/>
      <c r="M147" s="4047"/>
      <c r="N147" s="4047"/>
      <c r="O147" s="4047"/>
      <c r="P147" s="4047"/>
      <c r="Q147" s="4047"/>
      <c r="R147" s="4047"/>
      <c r="S147" s="4047"/>
      <c r="T147" s="4047"/>
      <c r="U147" s="4056"/>
    </row>
    <row r="148" spans="1:21" s="4038" customFormat="1" ht="13.5" customHeight="1">
      <c r="A148" s="4042"/>
      <c r="B148" s="4048"/>
      <c r="C148" s="4049"/>
      <c r="D148" s="4049"/>
      <c r="E148" s="4049"/>
      <c r="F148" s="4049"/>
      <c r="G148" s="4049"/>
      <c r="H148" s="4049"/>
      <c r="I148" s="4049"/>
      <c r="J148" s="4049"/>
      <c r="K148" s="4049"/>
      <c r="L148" s="4049"/>
      <c r="M148" s="4049"/>
      <c r="N148" s="4049"/>
      <c r="O148" s="4049"/>
      <c r="P148" s="4049"/>
      <c r="Q148" s="4049"/>
      <c r="R148" s="4049"/>
      <c r="S148" s="4049"/>
      <c r="T148" s="4049"/>
      <c r="U148" s="4057"/>
    </row>
    <row r="149" spans="1:21" s="4038" customFormat="1" ht="13.5" customHeight="1">
      <c r="A149" s="4045"/>
      <c r="B149" s="4050"/>
      <c r="C149" s="4051"/>
      <c r="D149" s="4051"/>
      <c r="E149" s="4051"/>
      <c r="F149" s="4051"/>
      <c r="G149" s="4051"/>
      <c r="H149" s="4051"/>
      <c r="I149" s="4051"/>
      <c r="J149" s="4051"/>
      <c r="K149" s="4051"/>
      <c r="L149" s="4051"/>
      <c r="M149" s="4051"/>
      <c r="N149" s="4051"/>
      <c r="O149" s="4051"/>
      <c r="P149" s="4051"/>
      <c r="Q149" s="4051"/>
      <c r="R149" s="4051"/>
      <c r="S149" s="4051"/>
      <c r="T149" s="4051"/>
      <c r="U149" s="4058"/>
    </row>
    <row r="150" spans="1:21" ht="22.5" customHeight="1">
      <c r="A150" s="4424" t="s">
        <v>876</v>
      </c>
      <c r="B150" s="4425"/>
      <c r="C150" s="4425"/>
      <c r="D150" s="4425"/>
      <c r="E150" s="4425"/>
      <c r="F150" s="4425"/>
      <c r="M150" s="4425" t="s">
        <v>877</v>
      </c>
      <c r="N150" s="4425"/>
      <c r="O150" s="4425"/>
      <c r="P150" s="4425"/>
      <c r="Q150" s="4425"/>
      <c r="R150" s="4425"/>
      <c r="S150" s="4425"/>
      <c r="T150" s="4425"/>
      <c r="U150" s="4425"/>
    </row>
  </sheetData>
  <mergeCells count="120">
    <mergeCell ref="A1:U1"/>
    <mergeCell ref="M2:U2"/>
    <mergeCell ref="M3:U3"/>
    <mergeCell ref="M4:U4"/>
    <mergeCell ref="M5:U5"/>
    <mergeCell ref="M6:U6"/>
    <mergeCell ref="M7:U7"/>
    <mergeCell ref="M8:U8"/>
    <mergeCell ref="M9:U9"/>
    <mergeCell ref="M10:U10"/>
    <mergeCell ref="H11:L11"/>
    <mergeCell ref="M11:U11"/>
    <mergeCell ref="B12:E12"/>
    <mergeCell ref="F12:I12"/>
    <mergeCell ref="J12:M12"/>
    <mergeCell ref="N12:Q12"/>
    <mergeCell ref="R12:U12"/>
    <mergeCell ref="B13:E13"/>
    <mergeCell ref="F13:I13"/>
    <mergeCell ref="J13:M13"/>
    <mergeCell ref="N13:Q13"/>
    <mergeCell ref="R13:U13"/>
    <mergeCell ref="H8:L10"/>
    <mergeCell ref="A2:G11"/>
    <mergeCell ref="H2:L3"/>
    <mergeCell ref="H4:L5"/>
    <mergeCell ref="H6:L7"/>
    <mergeCell ref="A39:F39"/>
    <mergeCell ref="M39:U39"/>
    <mergeCell ref="A42:U42"/>
    <mergeCell ref="M43:U43"/>
    <mergeCell ref="M44:U44"/>
    <mergeCell ref="M45:U45"/>
    <mergeCell ref="M46:U46"/>
    <mergeCell ref="M47:U47"/>
    <mergeCell ref="M48:U48"/>
    <mergeCell ref="H47:L48"/>
    <mergeCell ref="M49:U49"/>
    <mergeCell ref="M50:U50"/>
    <mergeCell ref="M51:U51"/>
    <mergeCell ref="H52:L52"/>
    <mergeCell ref="M52:U52"/>
    <mergeCell ref="B53:E53"/>
    <mergeCell ref="F53:I53"/>
    <mergeCell ref="J53:M53"/>
    <mergeCell ref="N53:Q53"/>
    <mergeCell ref="R53:U53"/>
    <mergeCell ref="H49:L51"/>
    <mergeCell ref="B54:E54"/>
    <mergeCell ref="F54:I54"/>
    <mergeCell ref="J54:M54"/>
    <mergeCell ref="N54:Q54"/>
    <mergeCell ref="R54:U54"/>
    <mergeCell ref="A78:F78"/>
    <mergeCell ref="M78:U78"/>
    <mergeCell ref="A81:U81"/>
    <mergeCell ref="M82:U82"/>
    <mergeCell ref="M83:U83"/>
    <mergeCell ref="M84:U84"/>
    <mergeCell ref="M85:U85"/>
    <mergeCell ref="M86:U86"/>
    <mergeCell ref="M87:U87"/>
    <mergeCell ref="M88:U88"/>
    <mergeCell ref="M89:U89"/>
    <mergeCell ref="M90:U90"/>
    <mergeCell ref="H91:L91"/>
    <mergeCell ref="M91:U91"/>
    <mergeCell ref="B92:E92"/>
    <mergeCell ref="F92:I92"/>
    <mergeCell ref="J92:M92"/>
    <mergeCell ref="N92:Q92"/>
    <mergeCell ref="R92:U92"/>
    <mergeCell ref="B93:E93"/>
    <mergeCell ref="F93:I93"/>
    <mergeCell ref="J93:M93"/>
    <mergeCell ref="N93:Q93"/>
    <mergeCell ref="R93:U93"/>
    <mergeCell ref="A117:F117"/>
    <mergeCell ref="M117:U117"/>
    <mergeCell ref="A118:U118"/>
    <mergeCell ref="M119:U119"/>
    <mergeCell ref="M120:U120"/>
    <mergeCell ref="M121:U121"/>
    <mergeCell ref="M122:U122"/>
    <mergeCell ref="M123:U123"/>
    <mergeCell ref="M124:U124"/>
    <mergeCell ref="M125:U125"/>
    <mergeCell ref="M126:U126"/>
    <mergeCell ref="M127:U127"/>
    <mergeCell ref="H128:L128"/>
    <mergeCell ref="M128:U128"/>
    <mergeCell ref="B129:E129"/>
    <mergeCell ref="F129:I129"/>
    <mergeCell ref="J129:M129"/>
    <mergeCell ref="N129:Q129"/>
    <mergeCell ref="R129:U129"/>
    <mergeCell ref="B130:E130"/>
    <mergeCell ref="F130:I130"/>
    <mergeCell ref="J130:M130"/>
    <mergeCell ref="N130:Q130"/>
    <mergeCell ref="R130:U130"/>
    <mergeCell ref="A150:F150"/>
    <mergeCell ref="M150:U150"/>
    <mergeCell ref="A12:A14"/>
    <mergeCell ref="A53:A55"/>
    <mergeCell ref="A92:A94"/>
    <mergeCell ref="A129:A131"/>
    <mergeCell ref="A119:G128"/>
    <mergeCell ref="H119:L120"/>
    <mergeCell ref="H121:L122"/>
    <mergeCell ref="H123:L124"/>
    <mergeCell ref="H125:L127"/>
    <mergeCell ref="H88:L90"/>
    <mergeCell ref="A82:G91"/>
    <mergeCell ref="H82:L83"/>
    <mergeCell ref="H84:L85"/>
    <mergeCell ref="H86:L87"/>
    <mergeCell ref="A43:G52"/>
    <mergeCell ref="H43:L44"/>
    <mergeCell ref="H45:L46"/>
  </mergeCells>
  <phoneticPr fontId="214" type="noConversion"/>
  <printOptions horizontalCentered="1"/>
  <pageMargins left="0.118110236220472" right="0.118110236220472" top="0.196850393700787" bottom="0.196850393700787" header="3.9370078740157501E-2" footer="0.118110236220472"/>
  <pageSetup paperSize="9" orientation="landscape"/>
  <headerFooter alignWithMargins="0">
    <oddFooter>&amp;R&amp;P/&amp;N</oddFooter>
  </headerFooter>
  <drawing r:id="rId1"/>
  <legacyDrawing r:id="rId2"/>
  <oleObjects>
    <mc:AlternateContent xmlns:mc="http://schemas.openxmlformats.org/markup-compatibility/2006">
      <mc:Choice Requires="x14">
        <oleObject progId="Equation.3" shapeId="1461249" r:id="rId3">
          <objectPr defaultSize="0" altText="" r:id="rId4">
            <anchor moveWithCells="1" sizeWithCells="1">
              <from>
                <xdr:col>7</xdr:col>
                <xdr:colOff>304800</xdr:colOff>
                <xdr:row>124</xdr:row>
                <xdr:rowOff>66675</xdr:rowOff>
              </from>
              <to>
                <xdr:col>11</xdr:col>
                <xdr:colOff>76200</xdr:colOff>
                <xdr:row>126</xdr:row>
                <xdr:rowOff>76200</xdr:rowOff>
              </to>
            </anchor>
          </objectPr>
        </oleObject>
      </mc:Choice>
      <mc:Fallback>
        <oleObject progId="Equation.3" shapeId="1461249" r:id="rId3"/>
      </mc:Fallback>
    </mc:AlternateContent>
    <mc:AlternateContent xmlns:mc="http://schemas.openxmlformats.org/markup-compatibility/2006">
      <mc:Choice Requires="x14">
        <oleObject progId="Equation.3" shapeId="1461250" r:id="rId5">
          <objectPr defaultSize="0" altText="" r:id="rId4">
            <anchor moveWithCells="1" sizeWithCells="1">
              <from>
                <xdr:col>7</xdr:col>
                <xdr:colOff>304800</xdr:colOff>
                <xdr:row>87</xdr:row>
                <xdr:rowOff>66675</xdr:rowOff>
              </from>
              <to>
                <xdr:col>11</xdr:col>
                <xdr:colOff>76200</xdr:colOff>
                <xdr:row>89</xdr:row>
                <xdr:rowOff>76200</xdr:rowOff>
              </to>
            </anchor>
          </objectPr>
        </oleObject>
      </mc:Choice>
      <mc:Fallback>
        <oleObject progId="Equation.3" shapeId="1461250" r:id="rId5"/>
      </mc:Fallback>
    </mc:AlternateContent>
    <mc:AlternateContent xmlns:mc="http://schemas.openxmlformats.org/markup-compatibility/2006">
      <mc:Choice Requires="x14">
        <oleObject progId="Equation.3" shapeId="1461251" r:id="rId6">
          <objectPr defaultSize="0" altText="" r:id="rId4">
            <anchor moveWithCells="1" sizeWithCells="1">
              <from>
                <xdr:col>7</xdr:col>
                <xdr:colOff>304800</xdr:colOff>
                <xdr:row>48</xdr:row>
                <xdr:rowOff>66675</xdr:rowOff>
              </from>
              <to>
                <xdr:col>11</xdr:col>
                <xdr:colOff>76200</xdr:colOff>
                <xdr:row>50</xdr:row>
                <xdr:rowOff>76200</xdr:rowOff>
              </to>
            </anchor>
          </objectPr>
        </oleObject>
      </mc:Choice>
      <mc:Fallback>
        <oleObject progId="Equation.3" shapeId="1461251" r:id="rId6"/>
      </mc:Fallback>
    </mc:AlternateContent>
    <mc:AlternateContent xmlns:mc="http://schemas.openxmlformats.org/markup-compatibility/2006">
      <mc:Choice Requires="x14">
        <oleObject progId="Equation.3" shapeId="1461252" r:id="rId7">
          <objectPr defaultSize="0" altText="" r:id="rId4">
            <anchor moveWithCells="1" sizeWithCells="1">
              <from>
                <xdr:col>7</xdr:col>
                <xdr:colOff>304800</xdr:colOff>
                <xdr:row>7</xdr:row>
                <xdr:rowOff>66675</xdr:rowOff>
              </from>
              <to>
                <xdr:col>11</xdr:col>
                <xdr:colOff>76200</xdr:colOff>
                <xdr:row>9</xdr:row>
                <xdr:rowOff>76200</xdr:rowOff>
              </to>
            </anchor>
          </objectPr>
        </oleObject>
      </mc:Choice>
      <mc:Fallback>
        <oleObject progId="Equation.3" shapeId="1461252" r:id="rId7"/>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indexed="10"/>
  </sheetPr>
  <dimension ref="A1:Y41"/>
  <sheetViews>
    <sheetView showGridLines="0" zoomScale="145" zoomScaleNormal="145" workbookViewId="0">
      <selection activeCell="H14" sqref="H14:H15"/>
    </sheetView>
  </sheetViews>
  <sheetFormatPr defaultColWidth="7" defaultRowHeight="12" customHeight="1"/>
  <cols>
    <col min="1" max="1" width="9.375" style="3978" customWidth="1"/>
    <col min="2" max="2" width="6.75" style="3979" customWidth="1"/>
    <col min="3" max="3" width="8.5" style="3979" customWidth="1"/>
    <col min="4" max="4" width="6.75" style="3978" customWidth="1"/>
    <col min="5" max="5" width="1.5" style="3978" customWidth="1"/>
    <col min="6" max="6" width="9.375" style="3978" customWidth="1"/>
    <col min="7" max="7" width="1.5" style="3978" customWidth="1"/>
    <col min="8" max="8" width="9.375" style="3978" customWidth="1"/>
    <col min="9" max="9" width="6.75" style="3978" customWidth="1"/>
    <col min="10" max="10" width="8.5" style="3978" customWidth="1"/>
    <col min="11" max="11" width="7" style="3978" customWidth="1"/>
    <col min="12" max="12" width="3.75" style="3978" customWidth="1"/>
    <col min="13" max="13" width="9.375" style="3978" customWidth="1"/>
    <col min="14" max="14" width="2.375" style="3978" customWidth="1"/>
    <col min="15" max="15" width="5.5" style="3978" customWidth="1"/>
    <col min="16" max="17" width="5.875" style="3980" customWidth="1"/>
    <col min="18" max="18" width="7.625" style="3978" customWidth="1"/>
    <col min="19" max="19" width="9.375" style="3978" customWidth="1"/>
    <col min="20" max="21" width="7.625" style="3978" customWidth="1"/>
    <col min="22" max="22" width="9.375" style="3978" customWidth="1"/>
    <col min="23" max="23" width="7.625" style="3978" customWidth="1"/>
    <col min="24" max="256" width="7" style="3978"/>
    <col min="257" max="257" width="9.375" style="3978" customWidth="1"/>
    <col min="258" max="258" width="6.75" style="3978" customWidth="1"/>
    <col min="259" max="259" width="8.5" style="3978" customWidth="1"/>
    <col min="260" max="260" width="6.75" style="3978" customWidth="1"/>
    <col min="261" max="261" width="1.5" style="3978" customWidth="1"/>
    <col min="262" max="262" width="9.375" style="3978" customWidth="1"/>
    <col min="263" max="263" width="1.5" style="3978" customWidth="1"/>
    <col min="264" max="264" width="9.375" style="3978" customWidth="1"/>
    <col min="265" max="265" width="6.75" style="3978" customWidth="1"/>
    <col min="266" max="266" width="8.5" style="3978" customWidth="1"/>
    <col min="267" max="267" width="7" style="3978" customWidth="1"/>
    <col min="268" max="268" width="3.75" style="3978" customWidth="1"/>
    <col min="269" max="269" width="9.375" style="3978" customWidth="1"/>
    <col min="270" max="270" width="2.375" style="3978" customWidth="1"/>
    <col min="271" max="271" width="5.5" style="3978" customWidth="1"/>
    <col min="272" max="273" width="5.875" style="3978" customWidth="1"/>
    <col min="274" max="274" width="7.625" style="3978" customWidth="1"/>
    <col min="275" max="275" width="9.375" style="3978" customWidth="1"/>
    <col min="276" max="277" width="7.625" style="3978" customWidth="1"/>
    <col min="278" max="278" width="9.375" style="3978" customWidth="1"/>
    <col min="279" max="279" width="7.625" style="3978" customWidth="1"/>
    <col min="280" max="512" width="7" style="3978"/>
    <col min="513" max="513" width="9.375" style="3978" customWidth="1"/>
    <col min="514" max="514" width="6.75" style="3978" customWidth="1"/>
    <col min="515" max="515" width="8.5" style="3978" customWidth="1"/>
    <col min="516" max="516" width="6.75" style="3978" customWidth="1"/>
    <col min="517" max="517" width="1.5" style="3978" customWidth="1"/>
    <col min="518" max="518" width="9.375" style="3978" customWidth="1"/>
    <col min="519" max="519" width="1.5" style="3978" customWidth="1"/>
    <col min="520" max="520" width="9.375" style="3978" customWidth="1"/>
    <col min="521" max="521" width="6.75" style="3978" customWidth="1"/>
    <col min="522" max="522" width="8.5" style="3978" customWidth="1"/>
    <col min="523" max="523" width="7" style="3978" customWidth="1"/>
    <col min="524" max="524" width="3.75" style="3978" customWidth="1"/>
    <col min="525" max="525" width="9.375" style="3978" customWidth="1"/>
    <col min="526" max="526" width="2.375" style="3978" customWidth="1"/>
    <col min="527" max="527" width="5.5" style="3978" customWidth="1"/>
    <col min="528" max="529" width="5.875" style="3978" customWidth="1"/>
    <col min="530" max="530" width="7.625" style="3978" customWidth="1"/>
    <col min="531" max="531" width="9.375" style="3978" customWidth="1"/>
    <col min="532" max="533" width="7.625" style="3978" customWidth="1"/>
    <col min="534" max="534" width="9.375" style="3978" customWidth="1"/>
    <col min="535" max="535" width="7.625" style="3978" customWidth="1"/>
    <col min="536" max="768" width="7" style="3978"/>
    <col min="769" max="769" width="9.375" style="3978" customWidth="1"/>
    <col min="770" max="770" width="6.75" style="3978" customWidth="1"/>
    <col min="771" max="771" width="8.5" style="3978" customWidth="1"/>
    <col min="772" max="772" width="6.75" style="3978" customWidth="1"/>
    <col min="773" max="773" width="1.5" style="3978" customWidth="1"/>
    <col min="774" max="774" width="9.375" style="3978" customWidth="1"/>
    <col min="775" max="775" width="1.5" style="3978" customWidth="1"/>
    <col min="776" max="776" width="9.375" style="3978" customWidth="1"/>
    <col min="777" max="777" width="6.75" style="3978" customWidth="1"/>
    <col min="778" max="778" width="8.5" style="3978" customWidth="1"/>
    <col min="779" max="779" width="7" style="3978" customWidth="1"/>
    <col min="780" max="780" width="3.75" style="3978" customWidth="1"/>
    <col min="781" max="781" width="9.375" style="3978" customWidth="1"/>
    <col min="782" max="782" width="2.375" style="3978" customWidth="1"/>
    <col min="783" max="783" width="5.5" style="3978" customWidth="1"/>
    <col min="784" max="785" width="5.875" style="3978" customWidth="1"/>
    <col min="786" max="786" width="7.625" style="3978" customWidth="1"/>
    <col min="787" max="787" width="9.375" style="3978" customWidth="1"/>
    <col min="788" max="789" width="7.625" style="3978" customWidth="1"/>
    <col min="790" max="790" width="9.375" style="3978" customWidth="1"/>
    <col min="791" max="791" width="7.625" style="3978" customWidth="1"/>
    <col min="792" max="1024" width="7" style="3978"/>
    <col min="1025" max="1025" width="9.375" style="3978" customWidth="1"/>
    <col min="1026" max="1026" width="6.75" style="3978" customWidth="1"/>
    <col min="1027" max="1027" width="8.5" style="3978" customWidth="1"/>
    <col min="1028" max="1028" width="6.75" style="3978" customWidth="1"/>
    <col min="1029" max="1029" width="1.5" style="3978" customWidth="1"/>
    <col min="1030" max="1030" width="9.375" style="3978" customWidth="1"/>
    <col min="1031" max="1031" width="1.5" style="3978" customWidth="1"/>
    <col min="1032" max="1032" width="9.375" style="3978" customWidth="1"/>
    <col min="1033" max="1033" width="6.75" style="3978" customWidth="1"/>
    <col min="1034" max="1034" width="8.5" style="3978" customWidth="1"/>
    <col min="1035" max="1035" width="7" style="3978" customWidth="1"/>
    <col min="1036" max="1036" width="3.75" style="3978" customWidth="1"/>
    <col min="1037" max="1037" width="9.375" style="3978" customWidth="1"/>
    <col min="1038" max="1038" width="2.375" style="3978" customWidth="1"/>
    <col min="1039" max="1039" width="5.5" style="3978" customWidth="1"/>
    <col min="1040" max="1041" width="5.875" style="3978" customWidth="1"/>
    <col min="1042" max="1042" width="7.625" style="3978" customWidth="1"/>
    <col min="1043" max="1043" width="9.375" style="3978" customWidth="1"/>
    <col min="1044" max="1045" width="7.625" style="3978" customWidth="1"/>
    <col min="1046" max="1046" width="9.375" style="3978" customWidth="1"/>
    <col min="1047" max="1047" width="7.625" style="3978" customWidth="1"/>
    <col min="1048" max="1280" width="7" style="3978"/>
    <col min="1281" max="1281" width="9.375" style="3978" customWidth="1"/>
    <col min="1282" max="1282" width="6.75" style="3978" customWidth="1"/>
    <col min="1283" max="1283" width="8.5" style="3978" customWidth="1"/>
    <col min="1284" max="1284" width="6.75" style="3978" customWidth="1"/>
    <col min="1285" max="1285" width="1.5" style="3978" customWidth="1"/>
    <col min="1286" max="1286" width="9.375" style="3978" customWidth="1"/>
    <col min="1287" max="1287" width="1.5" style="3978" customWidth="1"/>
    <col min="1288" max="1288" width="9.375" style="3978" customWidth="1"/>
    <col min="1289" max="1289" width="6.75" style="3978" customWidth="1"/>
    <col min="1290" max="1290" width="8.5" style="3978" customWidth="1"/>
    <col min="1291" max="1291" width="7" style="3978" customWidth="1"/>
    <col min="1292" max="1292" width="3.75" style="3978" customWidth="1"/>
    <col min="1293" max="1293" width="9.375" style="3978" customWidth="1"/>
    <col min="1294" max="1294" width="2.375" style="3978" customWidth="1"/>
    <col min="1295" max="1295" width="5.5" style="3978" customWidth="1"/>
    <col min="1296" max="1297" width="5.875" style="3978" customWidth="1"/>
    <col min="1298" max="1298" width="7.625" style="3978" customWidth="1"/>
    <col min="1299" max="1299" width="9.375" style="3978" customWidth="1"/>
    <col min="1300" max="1301" width="7.625" style="3978" customWidth="1"/>
    <col min="1302" max="1302" width="9.375" style="3978" customWidth="1"/>
    <col min="1303" max="1303" width="7.625" style="3978" customWidth="1"/>
    <col min="1304" max="1536" width="7" style="3978"/>
    <col min="1537" max="1537" width="9.375" style="3978" customWidth="1"/>
    <col min="1538" max="1538" width="6.75" style="3978" customWidth="1"/>
    <col min="1539" max="1539" width="8.5" style="3978" customWidth="1"/>
    <col min="1540" max="1540" width="6.75" style="3978" customWidth="1"/>
    <col min="1541" max="1541" width="1.5" style="3978" customWidth="1"/>
    <col min="1542" max="1542" width="9.375" style="3978" customWidth="1"/>
    <col min="1543" max="1543" width="1.5" style="3978" customWidth="1"/>
    <col min="1544" max="1544" width="9.375" style="3978" customWidth="1"/>
    <col min="1545" max="1545" width="6.75" style="3978" customWidth="1"/>
    <col min="1546" max="1546" width="8.5" style="3978" customWidth="1"/>
    <col min="1547" max="1547" width="7" style="3978" customWidth="1"/>
    <col min="1548" max="1548" width="3.75" style="3978" customWidth="1"/>
    <col min="1549" max="1549" width="9.375" style="3978" customWidth="1"/>
    <col min="1550" max="1550" width="2.375" style="3978" customWidth="1"/>
    <col min="1551" max="1551" width="5.5" style="3978" customWidth="1"/>
    <col min="1552" max="1553" width="5.875" style="3978" customWidth="1"/>
    <col min="1554" max="1554" width="7.625" style="3978" customWidth="1"/>
    <col min="1555" max="1555" width="9.375" style="3978" customWidth="1"/>
    <col min="1556" max="1557" width="7.625" style="3978" customWidth="1"/>
    <col min="1558" max="1558" width="9.375" style="3978" customWidth="1"/>
    <col min="1559" max="1559" width="7.625" style="3978" customWidth="1"/>
    <col min="1560" max="1792" width="7" style="3978"/>
    <col min="1793" max="1793" width="9.375" style="3978" customWidth="1"/>
    <col min="1794" max="1794" width="6.75" style="3978" customWidth="1"/>
    <col min="1795" max="1795" width="8.5" style="3978" customWidth="1"/>
    <col min="1796" max="1796" width="6.75" style="3978" customWidth="1"/>
    <col min="1797" max="1797" width="1.5" style="3978" customWidth="1"/>
    <col min="1798" max="1798" width="9.375" style="3978" customWidth="1"/>
    <col min="1799" max="1799" width="1.5" style="3978" customWidth="1"/>
    <col min="1800" max="1800" width="9.375" style="3978" customWidth="1"/>
    <col min="1801" max="1801" width="6.75" style="3978" customWidth="1"/>
    <col min="1802" max="1802" width="8.5" style="3978" customWidth="1"/>
    <col min="1803" max="1803" width="7" style="3978" customWidth="1"/>
    <col min="1804" max="1804" width="3.75" style="3978" customWidth="1"/>
    <col min="1805" max="1805" width="9.375" style="3978" customWidth="1"/>
    <col min="1806" max="1806" width="2.375" style="3978" customWidth="1"/>
    <col min="1807" max="1807" width="5.5" style="3978" customWidth="1"/>
    <col min="1808" max="1809" width="5.875" style="3978" customWidth="1"/>
    <col min="1810" max="1810" width="7.625" style="3978" customWidth="1"/>
    <col min="1811" max="1811" width="9.375" style="3978" customWidth="1"/>
    <col min="1812" max="1813" width="7.625" style="3978" customWidth="1"/>
    <col min="1814" max="1814" width="9.375" style="3978" customWidth="1"/>
    <col min="1815" max="1815" width="7.625" style="3978" customWidth="1"/>
    <col min="1816" max="2048" width="7" style="3978"/>
    <col min="2049" max="2049" width="9.375" style="3978" customWidth="1"/>
    <col min="2050" max="2050" width="6.75" style="3978" customWidth="1"/>
    <col min="2051" max="2051" width="8.5" style="3978" customWidth="1"/>
    <col min="2052" max="2052" width="6.75" style="3978" customWidth="1"/>
    <col min="2053" max="2053" width="1.5" style="3978" customWidth="1"/>
    <col min="2054" max="2054" width="9.375" style="3978" customWidth="1"/>
    <col min="2055" max="2055" width="1.5" style="3978" customWidth="1"/>
    <col min="2056" max="2056" width="9.375" style="3978" customWidth="1"/>
    <col min="2057" max="2057" width="6.75" style="3978" customWidth="1"/>
    <col min="2058" max="2058" width="8.5" style="3978" customWidth="1"/>
    <col min="2059" max="2059" width="7" style="3978" customWidth="1"/>
    <col min="2060" max="2060" width="3.75" style="3978" customWidth="1"/>
    <col min="2061" max="2061" width="9.375" style="3978" customWidth="1"/>
    <col min="2062" max="2062" width="2.375" style="3978" customWidth="1"/>
    <col min="2063" max="2063" width="5.5" style="3978" customWidth="1"/>
    <col min="2064" max="2065" width="5.875" style="3978" customWidth="1"/>
    <col min="2066" max="2066" width="7.625" style="3978" customWidth="1"/>
    <col min="2067" max="2067" width="9.375" style="3978" customWidth="1"/>
    <col min="2068" max="2069" width="7.625" style="3978" customWidth="1"/>
    <col min="2070" max="2070" width="9.375" style="3978" customWidth="1"/>
    <col min="2071" max="2071" width="7.625" style="3978" customWidth="1"/>
    <col min="2072" max="2304" width="7" style="3978"/>
    <col min="2305" max="2305" width="9.375" style="3978" customWidth="1"/>
    <col min="2306" max="2306" width="6.75" style="3978" customWidth="1"/>
    <col min="2307" max="2307" width="8.5" style="3978" customWidth="1"/>
    <col min="2308" max="2308" width="6.75" style="3978" customWidth="1"/>
    <col min="2309" max="2309" width="1.5" style="3978" customWidth="1"/>
    <col min="2310" max="2310" width="9.375" style="3978" customWidth="1"/>
    <col min="2311" max="2311" width="1.5" style="3978" customWidth="1"/>
    <col min="2312" max="2312" width="9.375" style="3978" customWidth="1"/>
    <col min="2313" max="2313" width="6.75" style="3978" customWidth="1"/>
    <col min="2314" max="2314" width="8.5" style="3978" customWidth="1"/>
    <col min="2315" max="2315" width="7" style="3978" customWidth="1"/>
    <col min="2316" max="2316" width="3.75" style="3978" customWidth="1"/>
    <col min="2317" max="2317" width="9.375" style="3978" customWidth="1"/>
    <col min="2318" max="2318" width="2.375" style="3978" customWidth="1"/>
    <col min="2319" max="2319" width="5.5" style="3978" customWidth="1"/>
    <col min="2320" max="2321" width="5.875" style="3978" customWidth="1"/>
    <col min="2322" max="2322" width="7.625" style="3978" customWidth="1"/>
    <col min="2323" max="2323" width="9.375" style="3978" customWidth="1"/>
    <col min="2324" max="2325" width="7.625" style="3978" customWidth="1"/>
    <col min="2326" max="2326" width="9.375" style="3978" customWidth="1"/>
    <col min="2327" max="2327" width="7.625" style="3978" customWidth="1"/>
    <col min="2328" max="2560" width="7" style="3978"/>
    <col min="2561" max="2561" width="9.375" style="3978" customWidth="1"/>
    <col min="2562" max="2562" width="6.75" style="3978" customWidth="1"/>
    <col min="2563" max="2563" width="8.5" style="3978" customWidth="1"/>
    <col min="2564" max="2564" width="6.75" style="3978" customWidth="1"/>
    <col min="2565" max="2565" width="1.5" style="3978" customWidth="1"/>
    <col min="2566" max="2566" width="9.375" style="3978" customWidth="1"/>
    <col min="2567" max="2567" width="1.5" style="3978" customWidth="1"/>
    <col min="2568" max="2568" width="9.375" style="3978" customWidth="1"/>
    <col min="2569" max="2569" width="6.75" style="3978" customWidth="1"/>
    <col min="2570" max="2570" width="8.5" style="3978" customWidth="1"/>
    <col min="2571" max="2571" width="7" style="3978" customWidth="1"/>
    <col min="2572" max="2572" width="3.75" style="3978" customWidth="1"/>
    <col min="2573" max="2573" width="9.375" style="3978" customWidth="1"/>
    <col min="2574" max="2574" width="2.375" style="3978" customWidth="1"/>
    <col min="2575" max="2575" width="5.5" style="3978" customWidth="1"/>
    <col min="2576" max="2577" width="5.875" style="3978" customWidth="1"/>
    <col min="2578" max="2578" width="7.625" style="3978" customWidth="1"/>
    <col min="2579" max="2579" width="9.375" style="3978" customWidth="1"/>
    <col min="2580" max="2581" width="7.625" style="3978" customWidth="1"/>
    <col min="2582" max="2582" width="9.375" style="3978" customWidth="1"/>
    <col min="2583" max="2583" width="7.625" style="3978" customWidth="1"/>
    <col min="2584" max="2816" width="7" style="3978"/>
    <col min="2817" max="2817" width="9.375" style="3978" customWidth="1"/>
    <col min="2818" max="2818" width="6.75" style="3978" customWidth="1"/>
    <col min="2819" max="2819" width="8.5" style="3978" customWidth="1"/>
    <col min="2820" max="2820" width="6.75" style="3978" customWidth="1"/>
    <col min="2821" max="2821" width="1.5" style="3978" customWidth="1"/>
    <col min="2822" max="2822" width="9.375" style="3978" customWidth="1"/>
    <col min="2823" max="2823" width="1.5" style="3978" customWidth="1"/>
    <col min="2824" max="2824" width="9.375" style="3978" customWidth="1"/>
    <col min="2825" max="2825" width="6.75" style="3978" customWidth="1"/>
    <col min="2826" max="2826" width="8.5" style="3978" customWidth="1"/>
    <col min="2827" max="2827" width="7" style="3978" customWidth="1"/>
    <col min="2828" max="2828" width="3.75" style="3978" customWidth="1"/>
    <col min="2829" max="2829" width="9.375" style="3978" customWidth="1"/>
    <col min="2830" max="2830" width="2.375" style="3978" customWidth="1"/>
    <col min="2831" max="2831" width="5.5" style="3978" customWidth="1"/>
    <col min="2832" max="2833" width="5.875" style="3978" customWidth="1"/>
    <col min="2834" max="2834" width="7.625" style="3978" customWidth="1"/>
    <col min="2835" max="2835" width="9.375" style="3978" customWidth="1"/>
    <col min="2836" max="2837" width="7.625" style="3978" customWidth="1"/>
    <col min="2838" max="2838" width="9.375" style="3978" customWidth="1"/>
    <col min="2839" max="2839" width="7.625" style="3978" customWidth="1"/>
    <col min="2840" max="3072" width="7" style="3978"/>
    <col min="3073" max="3073" width="9.375" style="3978" customWidth="1"/>
    <col min="3074" max="3074" width="6.75" style="3978" customWidth="1"/>
    <col min="3075" max="3075" width="8.5" style="3978" customWidth="1"/>
    <col min="3076" max="3076" width="6.75" style="3978" customWidth="1"/>
    <col min="3077" max="3077" width="1.5" style="3978" customWidth="1"/>
    <col min="3078" max="3078" width="9.375" style="3978" customWidth="1"/>
    <col min="3079" max="3079" width="1.5" style="3978" customWidth="1"/>
    <col min="3080" max="3080" width="9.375" style="3978" customWidth="1"/>
    <col min="3081" max="3081" width="6.75" style="3978" customWidth="1"/>
    <col min="3082" max="3082" width="8.5" style="3978" customWidth="1"/>
    <col min="3083" max="3083" width="7" style="3978" customWidth="1"/>
    <col min="3084" max="3084" width="3.75" style="3978" customWidth="1"/>
    <col min="3085" max="3085" width="9.375" style="3978" customWidth="1"/>
    <col min="3086" max="3086" width="2.375" style="3978" customWidth="1"/>
    <col min="3087" max="3087" width="5.5" style="3978" customWidth="1"/>
    <col min="3088" max="3089" width="5.875" style="3978" customWidth="1"/>
    <col min="3090" max="3090" width="7.625" style="3978" customWidth="1"/>
    <col min="3091" max="3091" width="9.375" style="3978" customWidth="1"/>
    <col min="3092" max="3093" width="7.625" style="3978" customWidth="1"/>
    <col min="3094" max="3094" width="9.375" style="3978" customWidth="1"/>
    <col min="3095" max="3095" width="7.625" style="3978" customWidth="1"/>
    <col min="3096" max="3328" width="7" style="3978"/>
    <col min="3329" max="3329" width="9.375" style="3978" customWidth="1"/>
    <col min="3330" max="3330" width="6.75" style="3978" customWidth="1"/>
    <col min="3331" max="3331" width="8.5" style="3978" customWidth="1"/>
    <col min="3332" max="3332" width="6.75" style="3978" customWidth="1"/>
    <col min="3333" max="3333" width="1.5" style="3978" customWidth="1"/>
    <col min="3334" max="3334" width="9.375" style="3978" customWidth="1"/>
    <col min="3335" max="3335" width="1.5" style="3978" customWidth="1"/>
    <col min="3336" max="3336" width="9.375" style="3978" customWidth="1"/>
    <col min="3337" max="3337" width="6.75" style="3978" customWidth="1"/>
    <col min="3338" max="3338" width="8.5" style="3978" customWidth="1"/>
    <col min="3339" max="3339" width="7" style="3978" customWidth="1"/>
    <col min="3340" max="3340" width="3.75" style="3978" customWidth="1"/>
    <col min="3341" max="3341" width="9.375" style="3978" customWidth="1"/>
    <col min="3342" max="3342" width="2.375" style="3978" customWidth="1"/>
    <col min="3343" max="3343" width="5.5" style="3978" customWidth="1"/>
    <col min="3344" max="3345" width="5.875" style="3978" customWidth="1"/>
    <col min="3346" max="3346" width="7.625" style="3978" customWidth="1"/>
    <col min="3347" max="3347" width="9.375" style="3978" customWidth="1"/>
    <col min="3348" max="3349" width="7.625" style="3978" customWidth="1"/>
    <col min="3350" max="3350" width="9.375" style="3978" customWidth="1"/>
    <col min="3351" max="3351" width="7.625" style="3978" customWidth="1"/>
    <col min="3352" max="3584" width="7" style="3978"/>
    <col min="3585" max="3585" width="9.375" style="3978" customWidth="1"/>
    <col min="3586" max="3586" width="6.75" style="3978" customWidth="1"/>
    <col min="3587" max="3587" width="8.5" style="3978" customWidth="1"/>
    <col min="3588" max="3588" width="6.75" style="3978" customWidth="1"/>
    <col min="3589" max="3589" width="1.5" style="3978" customWidth="1"/>
    <col min="3590" max="3590" width="9.375" style="3978" customWidth="1"/>
    <col min="3591" max="3591" width="1.5" style="3978" customWidth="1"/>
    <col min="3592" max="3592" width="9.375" style="3978" customWidth="1"/>
    <col min="3593" max="3593" width="6.75" style="3978" customWidth="1"/>
    <col min="3594" max="3594" width="8.5" style="3978" customWidth="1"/>
    <col min="3595" max="3595" width="7" style="3978" customWidth="1"/>
    <col min="3596" max="3596" width="3.75" style="3978" customWidth="1"/>
    <col min="3597" max="3597" width="9.375" style="3978" customWidth="1"/>
    <col min="3598" max="3598" width="2.375" style="3978" customWidth="1"/>
    <col min="3599" max="3599" width="5.5" style="3978" customWidth="1"/>
    <col min="3600" max="3601" width="5.875" style="3978" customWidth="1"/>
    <col min="3602" max="3602" width="7.625" style="3978" customWidth="1"/>
    <col min="3603" max="3603" width="9.375" style="3978" customWidth="1"/>
    <col min="3604" max="3605" width="7.625" style="3978" customWidth="1"/>
    <col min="3606" max="3606" width="9.375" style="3978" customWidth="1"/>
    <col min="3607" max="3607" width="7.625" style="3978" customWidth="1"/>
    <col min="3608" max="3840" width="7" style="3978"/>
    <col min="3841" max="3841" width="9.375" style="3978" customWidth="1"/>
    <col min="3842" max="3842" width="6.75" style="3978" customWidth="1"/>
    <col min="3843" max="3843" width="8.5" style="3978" customWidth="1"/>
    <col min="3844" max="3844" width="6.75" style="3978" customWidth="1"/>
    <col min="3845" max="3845" width="1.5" style="3978" customWidth="1"/>
    <col min="3846" max="3846" width="9.375" style="3978" customWidth="1"/>
    <col min="3847" max="3847" width="1.5" style="3978" customWidth="1"/>
    <col min="3848" max="3848" width="9.375" style="3978" customWidth="1"/>
    <col min="3849" max="3849" width="6.75" style="3978" customWidth="1"/>
    <col min="3850" max="3850" width="8.5" style="3978" customWidth="1"/>
    <col min="3851" max="3851" width="7" style="3978" customWidth="1"/>
    <col min="3852" max="3852" width="3.75" style="3978" customWidth="1"/>
    <col min="3853" max="3853" width="9.375" style="3978" customWidth="1"/>
    <col min="3854" max="3854" width="2.375" style="3978" customWidth="1"/>
    <col min="3855" max="3855" width="5.5" style="3978" customWidth="1"/>
    <col min="3856" max="3857" width="5.875" style="3978" customWidth="1"/>
    <col min="3858" max="3858" width="7.625" style="3978" customWidth="1"/>
    <col min="3859" max="3859" width="9.375" style="3978" customWidth="1"/>
    <col min="3860" max="3861" width="7.625" style="3978" customWidth="1"/>
    <col min="3862" max="3862" width="9.375" style="3978" customWidth="1"/>
    <col min="3863" max="3863" width="7.625" style="3978" customWidth="1"/>
    <col min="3864" max="4096" width="7" style="3978"/>
    <col min="4097" max="4097" width="9.375" style="3978" customWidth="1"/>
    <col min="4098" max="4098" width="6.75" style="3978" customWidth="1"/>
    <col min="4099" max="4099" width="8.5" style="3978" customWidth="1"/>
    <col min="4100" max="4100" width="6.75" style="3978" customWidth="1"/>
    <col min="4101" max="4101" width="1.5" style="3978" customWidth="1"/>
    <col min="4102" max="4102" width="9.375" style="3978" customWidth="1"/>
    <col min="4103" max="4103" width="1.5" style="3978" customWidth="1"/>
    <col min="4104" max="4104" width="9.375" style="3978" customWidth="1"/>
    <col min="4105" max="4105" width="6.75" style="3978" customWidth="1"/>
    <col min="4106" max="4106" width="8.5" style="3978" customWidth="1"/>
    <col min="4107" max="4107" width="7" style="3978" customWidth="1"/>
    <col min="4108" max="4108" width="3.75" style="3978" customWidth="1"/>
    <col min="4109" max="4109" width="9.375" style="3978" customWidth="1"/>
    <col min="4110" max="4110" width="2.375" style="3978" customWidth="1"/>
    <col min="4111" max="4111" width="5.5" style="3978" customWidth="1"/>
    <col min="4112" max="4113" width="5.875" style="3978" customWidth="1"/>
    <col min="4114" max="4114" width="7.625" style="3978" customWidth="1"/>
    <col min="4115" max="4115" width="9.375" style="3978" customWidth="1"/>
    <col min="4116" max="4117" width="7.625" style="3978" customWidth="1"/>
    <col min="4118" max="4118" width="9.375" style="3978" customWidth="1"/>
    <col min="4119" max="4119" width="7.625" style="3978" customWidth="1"/>
    <col min="4120" max="4352" width="7" style="3978"/>
    <col min="4353" max="4353" width="9.375" style="3978" customWidth="1"/>
    <col min="4354" max="4354" width="6.75" style="3978" customWidth="1"/>
    <col min="4355" max="4355" width="8.5" style="3978" customWidth="1"/>
    <col min="4356" max="4356" width="6.75" style="3978" customWidth="1"/>
    <col min="4357" max="4357" width="1.5" style="3978" customWidth="1"/>
    <col min="4358" max="4358" width="9.375" style="3978" customWidth="1"/>
    <col min="4359" max="4359" width="1.5" style="3978" customWidth="1"/>
    <col min="4360" max="4360" width="9.375" style="3978" customWidth="1"/>
    <col min="4361" max="4361" width="6.75" style="3978" customWidth="1"/>
    <col min="4362" max="4362" width="8.5" style="3978" customWidth="1"/>
    <col min="4363" max="4363" width="7" style="3978" customWidth="1"/>
    <col min="4364" max="4364" width="3.75" style="3978" customWidth="1"/>
    <col min="4365" max="4365" width="9.375" style="3978" customWidth="1"/>
    <col min="4366" max="4366" width="2.375" style="3978" customWidth="1"/>
    <col min="4367" max="4367" width="5.5" style="3978" customWidth="1"/>
    <col min="4368" max="4369" width="5.875" style="3978" customWidth="1"/>
    <col min="4370" max="4370" width="7.625" style="3978" customWidth="1"/>
    <col min="4371" max="4371" width="9.375" style="3978" customWidth="1"/>
    <col min="4372" max="4373" width="7.625" style="3978" customWidth="1"/>
    <col min="4374" max="4374" width="9.375" style="3978" customWidth="1"/>
    <col min="4375" max="4375" width="7.625" style="3978" customWidth="1"/>
    <col min="4376" max="4608" width="7" style="3978"/>
    <col min="4609" max="4609" width="9.375" style="3978" customWidth="1"/>
    <col min="4610" max="4610" width="6.75" style="3978" customWidth="1"/>
    <col min="4611" max="4611" width="8.5" style="3978" customWidth="1"/>
    <col min="4612" max="4612" width="6.75" style="3978" customWidth="1"/>
    <col min="4613" max="4613" width="1.5" style="3978" customWidth="1"/>
    <col min="4614" max="4614" width="9.375" style="3978" customWidth="1"/>
    <col min="4615" max="4615" width="1.5" style="3978" customWidth="1"/>
    <col min="4616" max="4616" width="9.375" style="3978" customWidth="1"/>
    <col min="4617" max="4617" width="6.75" style="3978" customWidth="1"/>
    <col min="4618" max="4618" width="8.5" style="3978" customWidth="1"/>
    <col min="4619" max="4619" width="7" style="3978" customWidth="1"/>
    <col min="4620" max="4620" width="3.75" style="3978" customWidth="1"/>
    <col min="4621" max="4621" width="9.375" style="3978" customWidth="1"/>
    <col min="4622" max="4622" width="2.375" style="3978" customWidth="1"/>
    <col min="4623" max="4623" width="5.5" style="3978" customWidth="1"/>
    <col min="4624" max="4625" width="5.875" style="3978" customWidth="1"/>
    <col min="4626" max="4626" width="7.625" style="3978" customWidth="1"/>
    <col min="4627" max="4627" width="9.375" style="3978" customWidth="1"/>
    <col min="4628" max="4629" width="7.625" style="3978" customWidth="1"/>
    <col min="4630" max="4630" width="9.375" style="3978" customWidth="1"/>
    <col min="4631" max="4631" width="7.625" style="3978" customWidth="1"/>
    <col min="4632" max="4864" width="7" style="3978"/>
    <col min="4865" max="4865" width="9.375" style="3978" customWidth="1"/>
    <col min="4866" max="4866" width="6.75" style="3978" customWidth="1"/>
    <col min="4867" max="4867" width="8.5" style="3978" customWidth="1"/>
    <col min="4868" max="4868" width="6.75" style="3978" customWidth="1"/>
    <col min="4869" max="4869" width="1.5" style="3978" customWidth="1"/>
    <col min="4870" max="4870" width="9.375" style="3978" customWidth="1"/>
    <col min="4871" max="4871" width="1.5" style="3978" customWidth="1"/>
    <col min="4872" max="4872" width="9.375" style="3978" customWidth="1"/>
    <col min="4873" max="4873" width="6.75" style="3978" customWidth="1"/>
    <col min="4874" max="4874" width="8.5" style="3978" customWidth="1"/>
    <col min="4875" max="4875" width="7" style="3978" customWidth="1"/>
    <col min="4876" max="4876" width="3.75" style="3978" customWidth="1"/>
    <col min="4877" max="4877" width="9.375" style="3978" customWidth="1"/>
    <col min="4878" max="4878" width="2.375" style="3978" customWidth="1"/>
    <col min="4879" max="4879" width="5.5" style="3978" customWidth="1"/>
    <col min="4880" max="4881" width="5.875" style="3978" customWidth="1"/>
    <col min="4882" max="4882" width="7.625" style="3978" customWidth="1"/>
    <col min="4883" max="4883" width="9.375" style="3978" customWidth="1"/>
    <col min="4884" max="4885" width="7.625" style="3978" customWidth="1"/>
    <col min="4886" max="4886" width="9.375" style="3978" customWidth="1"/>
    <col min="4887" max="4887" width="7.625" style="3978" customWidth="1"/>
    <col min="4888" max="5120" width="7" style="3978"/>
    <col min="5121" max="5121" width="9.375" style="3978" customWidth="1"/>
    <col min="5122" max="5122" width="6.75" style="3978" customWidth="1"/>
    <col min="5123" max="5123" width="8.5" style="3978" customWidth="1"/>
    <col min="5124" max="5124" width="6.75" style="3978" customWidth="1"/>
    <col min="5125" max="5125" width="1.5" style="3978" customWidth="1"/>
    <col min="5126" max="5126" width="9.375" style="3978" customWidth="1"/>
    <col min="5127" max="5127" width="1.5" style="3978" customWidth="1"/>
    <col min="5128" max="5128" width="9.375" style="3978" customWidth="1"/>
    <col min="5129" max="5129" width="6.75" style="3978" customWidth="1"/>
    <col min="5130" max="5130" width="8.5" style="3978" customWidth="1"/>
    <col min="5131" max="5131" width="7" style="3978" customWidth="1"/>
    <col min="5132" max="5132" width="3.75" style="3978" customWidth="1"/>
    <col min="5133" max="5133" width="9.375" style="3978" customWidth="1"/>
    <col min="5134" max="5134" width="2.375" style="3978" customWidth="1"/>
    <col min="5135" max="5135" width="5.5" style="3978" customWidth="1"/>
    <col min="5136" max="5137" width="5.875" style="3978" customWidth="1"/>
    <col min="5138" max="5138" width="7.625" style="3978" customWidth="1"/>
    <col min="5139" max="5139" width="9.375" style="3978" customWidth="1"/>
    <col min="5140" max="5141" width="7.625" style="3978" customWidth="1"/>
    <col min="5142" max="5142" width="9.375" style="3978" customWidth="1"/>
    <col min="5143" max="5143" width="7.625" style="3978" customWidth="1"/>
    <col min="5144" max="5376" width="7" style="3978"/>
    <col min="5377" max="5377" width="9.375" style="3978" customWidth="1"/>
    <col min="5378" max="5378" width="6.75" style="3978" customWidth="1"/>
    <col min="5379" max="5379" width="8.5" style="3978" customWidth="1"/>
    <col min="5380" max="5380" width="6.75" style="3978" customWidth="1"/>
    <col min="5381" max="5381" width="1.5" style="3978" customWidth="1"/>
    <col min="5382" max="5382" width="9.375" style="3978" customWidth="1"/>
    <col min="5383" max="5383" width="1.5" style="3978" customWidth="1"/>
    <col min="5384" max="5384" width="9.375" style="3978" customWidth="1"/>
    <col min="5385" max="5385" width="6.75" style="3978" customWidth="1"/>
    <col min="5386" max="5386" width="8.5" style="3978" customWidth="1"/>
    <col min="5387" max="5387" width="7" style="3978" customWidth="1"/>
    <col min="5388" max="5388" width="3.75" style="3978" customWidth="1"/>
    <col min="5389" max="5389" width="9.375" style="3978" customWidth="1"/>
    <col min="5390" max="5390" width="2.375" style="3978" customWidth="1"/>
    <col min="5391" max="5391" width="5.5" style="3978" customWidth="1"/>
    <col min="5392" max="5393" width="5.875" style="3978" customWidth="1"/>
    <col min="5394" max="5394" width="7.625" style="3978" customWidth="1"/>
    <col min="5395" max="5395" width="9.375" style="3978" customWidth="1"/>
    <col min="5396" max="5397" width="7.625" style="3978" customWidth="1"/>
    <col min="5398" max="5398" width="9.375" style="3978" customWidth="1"/>
    <col min="5399" max="5399" width="7.625" style="3978" customWidth="1"/>
    <col min="5400" max="5632" width="7" style="3978"/>
    <col min="5633" max="5633" width="9.375" style="3978" customWidth="1"/>
    <col min="5634" max="5634" width="6.75" style="3978" customWidth="1"/>
    <col min="5635" max="5635" width="8.5" style="3978" customWidth="1"/>
    <col min="5636" max="5636" width="6.75" style="3978" customWidth="1"/>
    <col min="5637" max="5637" width="1.5" style="3978" customWidth="1"/>
    <col min="5638" max="5638" width="9.375" style="3978" customWidth="1"/>
    <col min="5639" max="5639" width="1.5" style="3978" customWidth="1"/>
    <col min="5640" max="5640" width="9.375" style="3978" customWidth="1"/>
    <col min="5641" max="5641" width="6.75" style="3978" customWidth="1"/>
    <col min="5642" max="5642" width="8.5" style="3978" customWidth="1"/>
    <col min="5643" max="5643" width="7" style="3978" customWidth="1"/>
    <col min="5644" max="5644" width="3.75" style="3978" customWidth="1"/>
    <col min="5645" max="5645" width="9.375" style="3978" customWidth="1"/>
    <col min="5646" max="5646" width="2.375" style="3978" customWidth="1"/>
    <col min="5647" max="5647" width="5.5" style="3978" customWidth="1"/>
    <col min="5648" max="5649" width="5.875" style="3978" customWidth="1"/>
    <col min="5650" max="5650" width="7.625" style="3978" customWidth="1"/>
    <col min="5651" max="5651" width="9.375" style="3978" customWidth="1"/>
    <col min="5652" max="5653" width="7.625" style="3978" customWidth="1"/>
    <col min="5654" max="5654" width="9.375" style="3978" customWidth="1"/>
    <col min="5655" max="5655" width="7.625" style="3978" customWidth="1"/>
    <col min="5656" max="5888" width="7" style="3978"/>
    <col min="5889" max="5889" width="9.375" style="3978" customWidth="1"/>
    <col min="5890" max="5890" width="6.75" style="3978" customWidth="1"/>
    <col min="5891" max="5891" width="8.5" style="3978" customWidth="1"/>
    <col min="5892" max="5892" width="6.75" style="3978" customWidth="1"/>
    <col min="5893" max="5893" width="1.5" style="3978" customWidth="1"/>
    <col min="5894" max="5894" width="9.375" style="3978" customWidth="1"/>
    <col min="5895" max="5895" width="1.5" style="3978" customWidth="1"/>
    <col min="5896" max="5896" width="9.375" style="3978" customWidth="1"/>
    <col min="5897" max="5897" width="6.75" style="3978" customWidth="1"/>
    <col min="5898" max="5898" width="8.5" style="3978" customWidth="1"/>
    <col min="5899" max="5899" width="7" style="3978" customWidth="1"/>
    <col min="5900" max="5900" width="3.75" style="3978" customWidth="1"/>
    <col min="5901" max="5901" width="9.375" style="3978" customWidth="1"/>
    <col min="5902" max="5902" width="2.375" style="3978" customWidth="1"/>
    <col min="5903" max="5903" width="5.5" style="3978" customWidth="1"/>
    <col min="5904" max="5905" width="5.875" style="3978" customWidth="1"/>
    <col min="5906" max="5906" width="7.625" style="3978" customWidth="1"/>
    <col min="5907" max="5907" width="9.375" style="3978" customWidth="1"/>
    <col min="5908" max="5909" width="7.625" style="3978" customWidth="1"/>
    <col min="5910" max="5910" width="9.375" style="3978" customWidth="1"/>
    <col min="5911" max="5911" width="7.625" style="3978" customWidth="1"/>
    <col min="5912" max="6144" width="7" style="3978"/>
    <col min="6145" max="6145" width="9.375" style="3978" customWidth="1"/>
    <col min="6146" max="6146" width="6.75" style="3978" customWidth="1"/>
    <col min="6147" max="6147" width="8.5" style="3978" customWidth="1"/>
    <col min="6148" max="6148" width="6.75" style="3978" customWidth="1"/>
    <col min="6149" max="6149" width="1.5" style="3978" customWidth="1"/>
    <col min="6150" max="6150" width="9.375" style="3978" customWidth="1"/>
    <col min="6151" max="6151" width="1.5" style="3978" customWidth="1"/>
    <col min="6152" max="6152" width="9.375" style="3978" customWidth="1"/>
    <col min="6153" max="6153" width="6.75" style="3978" customWidth="1"/>
    <col min="6154" max="6154" width="8.5" style="3978" customWidth="1"/>
    <col min="6155" max="6155" width="7" style="3978" customWidth="1"/>
    <col min="6156" max="6156" width="3.75" style="3978" customWidth="1"/>
    <col min="6157" max="6157" width="9.375" style="3978" customWidth="1"/>
    <col min="6158" max="6158" width="2.375" style="3978" customWidth="1"/>
    <col min="6159" max="6159" width="5.5" style="3978" customWidth="1"/>
    <col min="6160" max="6161" width="5.875" style="3978" customWidth="1"/>
    <col min="6162" max="6162" width="7.625" style="3978" customWidth="1"/>
    <col min="6163" max="6163" width="9.375" style="3978" customWidth="1"/>
    <col min="6164" max="6165" width="7.625" style="3978" customWidth="1"/>
    <col min="6166" max="6166" width="9.375" style="3978" customWidth="1"/>
    <col min="6167" max="6167" width="7.625" style="3978" customWidth="1"/>
    <col min="6168" max="6400" width="7" style="3978"/>
    <col min="6401" max="6401" width="9.375" style="3978" customWidth="1"/>
    <col min="6402" max="6402" width="6.75" style="3978" customWidth="1"/>
    <col min="6403" max="6403" width="8.5" style="3978" customWidth="1"/>
    <col min="6404" max="6404" width="6.75" style="3978" customWidth="1"/>
    <col min="6405" max="6405" width="1.5" style="3978" customWidth="1"/>
    <col min="6406" max="6406" width="9.375" style="3978" customWidth="1"/>
    <col min="6407" max="6407" width="1.5" style="3978" customWidth="1"/>
    <col min="6408" max="6408" width="9.375" style="3978" customWidth="1"/>
    <col min="6409" max="6409" width="6.75" style="3978" customWidth="1"/>
    <col min="6410" max="6410" width="8.5" style="3978" customWidth="1"/>
    <col min="6411" max="6411" width="7" style="3978" customWidth="1"/>
    <col min="6412" max="6412" width="3.75" style="3978" customWidth="1"/>
    <col min="6413" max="6413" width="9.375" style="3978" customWidth="1"/>
    <col min="6414" max="6414" width="2.375" style="3978" customWidth="1"/>
    <col min="6415" max="6415" width="5.5" style="3978" customWidth="1"/>
    <col min="6416" max="6417" width="5.875" style="3978" customWidth="1"/>
    <col min="6418" max="6418" width="7.625" style="3978" customWidth="1"/>
    <col min="6419" max="6419" width="9.375" style="3978" customWidth="1"/>
    <col min="6420" max="6421" width="7.625" style="3978" customWidth="1"/>
    <col min="6422" max="6422" width="9.375" style="3978" customWidth="1"/>
    <col min="6423" max="6423" width="7.625" style="3978" customWidth="1"/>
    <col min="6424" max="6656" width="7" style="3978"/>
    <col min="6657" max="6657" width="9.375" style="3978" customWidth="1"/>
    <col min="6658" max="6658" width="6.75" style="3978" customWidth="1"/>
    <col min="6659" max="6659" width="8.5" style="3978" customWidth="1"/>
    <col min="6660" max="6660" width="6.75" style="3978" customWidth="1"/>
    <col min="6661" max="6661" width="1.5" style="3978" customWidth="1"/>
    <col min="6662" max="6662" width="9.375" style="3978" customWidth="1"/>
    <col min="6663" max="6663" width="1.5" style="3978" customWidth="1"/>
    <col min="6664" max="6664" width="9.375" style="3978" customWidth="1"/>
    <col min="6665" max="6665" width="6.75" style="3978" customWidth="1"/>
    <col min="6666" max="6666" width="8.5" style="3978" customWidth="1"/>
    <col min="6667" max="6667" width="7" style="3978" customWidth="1"/>
    <col min="6668" max="6668" width="3.75" style="3978" customWidth="1"/>
    <col min="6669" max="6669" width="9.375" style="3978" customWidth="1"/>
    <col min="6670" max="6670" width="2.375" style="3978" customWidth="1"/>
    <col min="6671" max="6671" width="5.5" style="3978" customWidth="1"/>
    <col min="6672" max="6673" width="5.875" style="3978" customWidth="1"/>
    <col min="6674" max="6674" width="7.625" style="3978" customWidth="1"/>
    <col min="6675" max="6675" width="9.375" style="3978" customWidth="1"/>
    <col min="6676" max="6677" width="7.625" style="3978" customWidth="1"/>
    <col min="6678" max="6678" width="9.375" style="3978" customWidth="1"/>
    <col min="6679" max="6679" width="7.625" style="3978" customWidth="1"/>
    <col min="6680" max="6912" width="7" style="3978"/>
    <col min="6913" max="6913" width="9.375" style="3978" customWidth="1"/>
    <col min="6914" max="6914" width="6.75" style="3978" customWidth="1"/>
    <col min="6915" max="6915" width="8.5" style="3978" customWidth="1"/>
    <col min="6916" max="6916" width="6.75" style="3978" customWidth="1"/>
    <col min="6917" max="6917" width="1.5" style="3978" customWidth="1"/>
    <col min="6918" max="6918" width="9.375" style="3978" customWidth="1"/>
    <col min="6919" max="6919" width="1.5" style="3978" customWidth="1"/>
    <col min="6920" max="6920" width="9.375" style="3978" customWidth="1"/>
    <col min="6921" max="6921" width="6.75" style="3978" customWidth="1"/>
    <col min="6922" max="6922" width="8.5" style="3978" customWidth="1"/>
    <col min="6923" max="6923" width="7" style="3978" customWidth="1"/>
    <col min="6924" max="6924" width="3.75" style="3978" customWidth="1"/>
    <col min="6925" max="6925" width="9.375" style="3978" customWidth="1"/>
    <col min="6926" max="6926" width="2.375" style="3978" customWidth="1"/>
    <col min="6927" max="6927" width="5.5" style="3978" customWidth="1"/>
    <col min="6928" max="6929" width="5.875" style="3978" customWidth="1"/>
    <col min="6930" max="6930" width="7.625" style="3978" customWidth="1"/>
    <col min="6931" max="6931" width="9.375" style="3978" customWidth="1"/>
    <col min="6932" max="6933" width="7.625" style="3978" customWidth="1"/>
    <col min="6934" max="6934" width="9.375" style="3978" customWidth="1"/>
    <col min="6935" max="6935" width="7.625" style="3978" customWidth="1"/>
    <col min="6936" max="7168" width="7" style="3978"/>
    <col min="7169" max="7169" width="9.375" style="3978" customWidth="1"/>
    <col min="7170" max="7170" width="6.75" style="3978" customWidth="1"/>
    <col min="7171" max="7171" width="8.5" style="3978" customWidth="1"/>
    <col min="7172" max="7172" width="6.75" style="3978" customWidth="1"/>
    <col min="7173" max="7173" width="1.5" style="3978" customWidth="1"/>
    <col min="7174" max="7174" width="9.375" style="3978" customWidth="1"/>
    <col min="7175" max="7175" width="1.5" style="3978" customWidth="1"/>
    <col min="7176" max="7176" width="9.375" style="3978" customWidth="1"/>
    <col min="7177" max="7177" width="6.75" style="3978" customWidth="1"/>
    <col min="7178" max="7178" width="8.5" style="3978" customWidth="1"/>
    <col min="7179" max="7179" width="7" style="3978" customWidth="1"/>
    <col min="7180" max="7180" width="3.75" style="3978" customWidth="1"/>
    <col min="7181" max="7181" width="9.375" style="3978" customWidth="1"/>
    <col min="7182" max="7182" width="2.375" style="3978" customWidth="1"/>
    <col min="7183" max="7183" width="5.5" style="3978" customWidth="1"/>
    <col min="7184" max="7185" width="5.875" style="3978" customWidth="1"/>
    <col min="7186" max="7186" width="7.625" style="3978" customWidth="1"/>
    <col min="7187" max="7187" width="9.375" style="3978" customWidth="1"/>
    <col min="7188" max="7189" width="7.625" style="3978" customWidth="1"/>
    <col min="7190" max="7190" width="9.375" style="3978" customWidth="1"/>
    <col min="7191" max="7191" width="7.625" style="3978" customWidth="1"/>
    <col min="7192" max="7424" width="7" style="3978"/>
    <col min="7425" max="7425" width="9.375" style="3978" customWidth="1"/>
    <col min="7426" max="7426" width="6.75" style="3978" customWidth="1"/>
    <col min="7427" max="7427" width="8.5" style="3978" customWidth="1"/>
    <col min="7428" max="7428" width="6.75" style="3978" customWidth="1"/>
    <col min="7429" max="7429" width="1.5" style="3978" customWidth="1"/>
    <col min="7430" max="7430" width="9.375" style="3978" customWidth="1"/>
    <col min="7431" max="7431" width="1.5" style="3978" customWidth="1"/>
    <col min="7432" max="7432" width="9.375" style="3978" customWidth="1"/>
    <col min="7433" max="7433" width="6.75" style="3978" customWidth="1"/>
    <col min="7434" max="7434" width="8.5" style="3978" customWidth="1"/>
    <col min="7435" max="7435" width="7" style="3978" customWidth="1"/>
    <col min="7436" max="7436" width="3.75" style="3978" customWidth="1"/>
    <col min="7437" max="7437" width="9.375" style="3978" customWidth="1"/>
    <col min="7438" max="7438" width="2.375" style="3978" customWidth="1"/>
    <col min="7439" max="7439" width="5.5" style="3978" customWidth="1"/>
    <col min="7440" max="7441" width="5.875" style="3978" customWidth="1"/>
    <col min="7442" max="7442" width="7.625" style="3978" customWidth="1"/>
    <col min="7443" max="7443" width="9.375" style="3978" customWidth="1"/>
    <col min="7444" max="7445" width="7.625" style="3978" customWidth="1"/>
    <col min="7446" max="7446" width="9.375" style="3978" customWidth="1"/>
    <col min="7447" max="7447" width="7.625" style="3978" customWidth="1"/>
    <col min="7448" max="7680" width="7" style="3978"/>
    <col min="7681" max="7681" width="9.375" style="3978" customWidth="1"/>
    <col min="7682" max="7682" width="6.75" style="3978" customWidth="1"/>
    <col min="7683" max="7683" width="8.5" style="3978" customWidth="1"/>
    <col min="7684" max="7684" width="6.75" style="3978" customWidth="1"/>
    <col min="7685" max="7685" width="1.5" style="3978" customWidth="1"/>
    <col min="7686" max="7686" width="9.375" style="3978" customWidth="1"/>
    <col min="7687" max="7687" width="1.5" style="3978" customWidth="1"/>
    <col min="7688" max="7688" width="9.375" style="3978" customWidth="1"/>
    <col min="7689" max="7689" width="6.75" style="3978" customWidth="1"/>
    <col min="7690" max="7690" width="8.5" style="3978" customWidth="1"/>
    <col min="7691" max="7691" width="7" style="3978" customWidth="1"/>
    <col min="7692" max="7692" width="3.75" style="3978" customWidth="1"/>
    <col min="7693" max="7693" width="9.375" style="3978" customWidth="1"/>
    <col min="7694" max="7694" width="2.375" style="3978" customWidth="1"/>
    <col min="7695" max="7695" width="5.5" style="3978" customWidth="1"/>
    <col min="7696" max="7697" width="5.875" style="3978" customWidth="1"/>
    <col min="7698" max="7698" width="7.625" style="3978" customWidth="1"/>
    <col min="7699" max="7699" width="9.375" style="3978" customWidth="1"/>
    <col min="7700" max="7701" width="7.625" style="3978" customWidth="1"/>
    <col min="7702" max="7702" width="9.375" style="3978" customWidth="1"/>
    <col min="7703" max="7703" width="7.625" style="3978" customWidth="1"/>
    <col min="7704" max="7936" width="7" style="3978"/>
    <col min="7937" max="7937" width="9.375" style="3978" customWidth="1"/>
    <col min="7938" max="7938" width="6.75" style="3978" customWidth="1"/>
    <col min="7939" max="7939" width="8.5" style="3978" customWidth="1"/>
    <col min="7940" max="7940" width="6.75" style="3978" customWidth="1"/>
    <col min="7941" max="7941" width="1.5" style="3978" customWidth="1"/>
    <col min="7942" max="7942" width="9.375" style="3978" customWidth="1"/>
    <col min="7943" max="7943" width="1.5" style="3978" customWidth="1"/>
    <col min="7944" max="7944" width="9.375" style="3978" customWidth="1"/>
    <col min="7945" max="7945" width="6.75" style="3978" customWidth="1"/>
    <col min="7946" max="7946" width="8.5" style="3978" customWidth="1"/>
    <col min="7947" max="7947" width="7" style="3978" customWidth="1"/>
    <col min="7948" max="7948" width="3.75" style="3978" customWidth="1"/>
    <col min="7949" max="7949" width="9.375" style="3978" customWidth="1"/>
    <col min="7950" max="7950" width="2.375" style="3978" customWidth="1"/>
    <col min="7951" max="7951" width="5.5" style="3978" customWidth="1"/>
    <col min="7952" max="7953" width="5.875" style="3978" customWidth="1"/>
    <col min="7954" max="7954" width="7.625" style="3978" customWidth="1"/>
    <col min="7955" max="7955" width="9.375" style="3978" customWidth="1"/>
    <col min="7956" max="7957" width="7.625" style="3978" customWidth="1"/>
    <col min="7958" max="7958" width="9.375" style="3978" customWidth="1"/>
    <col min="7959" max="7959" width="7.625" style="3978" customWidth="1"/>
    <col min="7960" max="8192" width="7" style="3978"/>
    <col min="8193" max="8193" width="9.375" style="3978" customWidth="1"/>
    <col min="8194" max="8194" width="6.75" style="3978" customWidth="1"/>
    <col min="8195" max="8195" width="8.5" style="3978" customWidth="1"/>
    <col min="8196" max="8196" width="6.75" style="3978" customWidth="1"/>
    <col min="8197" max="8197" width="1.5" style="3978" customWidth="1"/>
    <col min="8198" max="8198" width="9.375" style="3978" customWidth="1"/>
    <col min="8199" max="8199" width="1.5" style="3978" customWidth="1"/>
    <col min="8200" max="8200" width="9.375" style="3978" customWidth="1"/>
    <col min="8201" max="8201" width="6.75" style="3978" customWidth="1"/>
    <col min="8202" max="8202" width="8.5" style="3978" customWidth="1"/>
    <col min="8203" max="8203" width="7" style="3978" customWidth="1"/>
    <col min="8204" max="8204" width="3.75" style="3978" customWidth="1"/>
    <col min="8205" max="8205" width="9.375" style="3978" customWidth="1"/>
    <col min="8206" max="8206" width="2.375" style="3978" customWidth="1"/>
    <col min="8207" max="8207" width="5.5" style="3978" customWidth="1"/>
    <col min="8208" max="8209" width="5.875" style="3978" customWidth="1"/>
    <col min="8210" max="8210" width="7.625" style="3978" customWidth="1"/>
    <col min="8211" max="8211" width="9.375" style="3978" customWidth="1"/>
    <col min="8212" max="8213" width="7.625" style="3978" customWidth="1"/>
    <col min="8214" max="8214" width="9.375" style="3978" customWidth="1"/>
    <col min="8215" max="8215" width="7.625" style="3978" customWidth="1"/>
    <col min="8216" max="8448" width="7" style="3978"/>
    <col min="8449" max="8449" width="9.375" style="3978" customWidth="1"/>
    <col min="8450" max="8450" width="6.75" style="3978" customWidth="1"/>
    <col min="8451" max="8451" width="8.5" style="3978" customWidth="1"/>
    <col min="8452" max="8452" width="6.75" style="3978" customWidth="1"/>
    <col min="8453" max="8453" width="1.5" style="3978" customWidth="1"/>
    <col min="8454" max="8454" width="9.375" style="3978" customWidth="1"/>
    <col min="8455" max="8455" width="1.5" style="3978" customWidth="1"/>
    <col min="8456" max="8456" width="9.375" style="3978" customWidth="1"/>
    <col min="8457" max="8457" width="6.75" style="3978" customWidth="1"/>
    <col min="8458" max="8458" width="8.5" style="3978" customWidth="1"/>
    <col min="8459" max="8459" width="7" style="3978" customWidth="1"/>
    <col min="8460" max="8460" width="3.75" style="3978" customWidth="1"/>
    <col min="8461" max="8461" width="9.375" style="3978" customWidth="1"/>
    <col min="8462" max="8462" width="2.375" style="3978" customWidth="1"/>
    <col min="8463" max="8463" width="5.5" style="3978" customWidth="1"/>
    <col min="8464" max="8465" width="5.875" style="3978" customWidth="1"/>
    <col min="8466" max="8466" width="7.625" style="3978" customWidth="1"/>
    <col min="8467" max="8467" width="9.375" style="3978" customWidth="1"/>
    <col min="8468" max="8469" width="7.625" style="3978" customWidth="1"/>
    <col min="8470" max="8470" width="9.375" style="3978" customWidth="1"/>
    <col min="8471" max="8471" width="7.625" style="3978" customWidth="1"/>
    <col min="8472" max="8704" width="7" style="3978"/>
    <col min="8705" max="8705" width="9.375" style="3978" customWidth="1"/>
    <col min="8706" max="8706" width="6.75" style="3978" customWidth="1"/>
    <col min="8707" max="8707" width="8.5" style="3978" customWidth="1"/>
    <col min="8708" max="8708" width="6.75" style="3978" customWidth="1"/>
    <col min="8709" max="8709" width="1.5" style="3978" customWidth="1"/>
    <col min="8710" max="8710" width="9.375" style="3978" customWidth="1"/>
    <col min="8711" max="8711" width="1.5" style="3978" customWidth="1"/>
    <col min="8712" max="8712" width="9.375" style="3978" customWidth="1"/>
    <col min="8713" max="8713" width="6.75" style="3978" customWidth="1"/>
    <col min="8714" max="8714" width="8.5" style="3978" customWidth="1"/>
    <col min="8715" max="8715" width="7" style="3978" customWidth="1"/>
    <col min="8716" max="8716" width="3.75" style="3978" customWidth="1"/>
    <col min="8717" max="8717" width="9.375" style="3978" customWidth="1"/>
    <col min="8718" max="8718" width="2.375" style="3978" customWidth="1"/>
    <col min="8719" max="8719" width="5.5" style="3978" customWidth="1"/>
    <col min="8720" max="8721" width="5.875" style="3978" customWidth="1"/>
    <col min="8722" max="8722" width="7.625" style="3978" customWidth="1"/>
    <col min="8723" max="8723" width="9.375" style="3978" customWidth="1"/>
    <col min="8724" max="8725" width="7.625" style="3978" customWidth="1"/>
    <col min="8726" max="8726" width="9.375" style="3978" customWidth="1"/>
    <col min="8727" max="8727" width="7.625" style="3978" customWidth="1"/>
    <col min="8728" max="8960" width="7" style="3978"/>
    <col min="8961" max="8961" width="9.375" style="3978" customWidth="1"/>
    <col min="8962" max="8962" width="6.75" style="3978" customWidth="1"/>
    <col min="8963" max="8963" width="8.5" style="3978" customWidth="1"/>
    <col min="8964" max="8964" width="6.75" style="3978" customWidth="1"/>
    <col min="8965" max="8965" width="1.5" style="3978" customWidth="1"/>
    <col min="8966" max="8966" width="9.375" style="3978" customWidth="1"/>
    <col min="8967" max="8967" width="1.5" style="3978" customWidth="1"/>
    <col min="8968" max="8968" width="9.375" style="3978" customWidth="1"/>
    <col min="8969" max="8969" width="6.75" style="3978" customWidth="1"/>
    <col min="8970" max="8970" width="8.5" style="3978" customWidth="1"/>
    <col min="8971" max="8971" width="7" style="3978" customWidth="1"/>
    <col min="8972" max="8972" width="3.75" style="3978" customWidth="1"/>
    <col min="8973" max="8973" width="9.375" style="3978" customWidth="1"/>
    <col min="8974" max="8974" width="2.375" style="3978" customWidth="1"/>
    <col min="8975" max="8975" width="5.5" style="3978" customWidth="1"/>
    <col min="8976" max="8977" width="5.875" style="3978" customWidth="1"/>
    <col min="8978" max="8978" width="7.625" style="3978" customWidth="1"/>
    <col min="8979" max="8979" width="9.375" style="3978" customWidth="1"/>
    <col min="8980" max="8981" width="7.625" style="3978" customWidth="1"/>
    <col min="8982" max="8982" width="9.375" style="3978" customWidth="1"/>
    <col min="8983" max="8983" width="7.625" style="3978" customWidth="1"/>
    <col min="8984" max="9216" width="7" style="3978"/>
    <col min="9217" max="9217" width="9.375" style="3978" customWidth="1"/>
    <col min="9218" max="9218" width="6.75" style="3978" customWidth="1"/>
    <col min="9219" max="9219" width="8.5" style="3978" customWidth="1"/>
    <col min="9220" max="9220" width="6.75" style="3978" customWidth="1"/>
    <col min="9221" max="9221" width="1.5" style="3978" customWidth="1"/>
    <col min="9222" max="9222" width="9.375" style="3978" customWidth="1"/>
    <col min="9223" max="9223" width="1.5" style="3978" customWidth="1"/>
    <col min="9224" max="9224" width="9.375" style="3978" customWidth="1"/>
    <col min="9225" max="9225" width="6.75" style="3978" customWidth="1"/>
    <col min="9226" max="9226" width="8.5" style="3978" customWidth="1"/>
    <col min="9227" max="9227" width="7" style="3978" customWidth="1"/>
    <col min="9228" max="9228" width="3.75" style="3978" customWidth="1"/>
    <col min="9229" max="9229" width="9.375" style="3978" customWidth="1"/>
    <col min="9230" max="9230" width="2.375" style="3978" customWidth="1"/>
    <col min="9231" max="9231" width="5.5" style="3978" customWidth="1"/>
    <col min="9232" max="9233" width="5.875" style="3978" customWidth="1"/>
    <col min="9234" max="9234" width="7.625" style="3978" customWidth="1"/>
    <col min="9235" max="9235" width="9.375" style="3978" customWidth="1"/>
    <col min="9236" max="9237" width="7.625" style="3978" customWidth="1"/>
    <col min="9238" max="9238" width="9.375" style="3978" customWidth="1"/>
    <col min="9239" max="9239" width="7.625" style="3978" customWidth="1"/>
    <col min="9240" max="9472" width="7" style="3978"/>
    <col min="9473" max="9473" width="9.375" style="3978" customWidth="1"/>
    <col min="9474" max="9474" width="6.75" style="3978" customWidth="1"/>
    <col min="9475" max="9475" width="8.5" style="3978" customWidth="1"/>
    <col min="9476" max="9476" width="6.75" style="3978" customWidth="1"/>
    <col min="9477" max="9477" width="1.5" style="3978" customWidth="1"/>
    <col min="9478" max="9478" width="9.375" style="3978" customWidth="1"/>
    <col min="9479" max="9479" width="1.5" style="3978" customWidth="1"/>
    <col min="9480" max="9480" width="9.375" style="3978" customWidth="1"/>
    <col min="9481" max="9481" width="6.75" style="3978" customWidth="1"/>
    <col min="9482" max="9482" width="8.5" style="3978" customWidth="1"/>
    <col min="9483" max="9483" width="7" style="3978" customWidth="1"/>
    <col min="9484" max="9484" width="3.75" style="3978" customWidth="1"/>
    <col min="9485" max="9485" width="9.375" style="3978" customWidth="1"/>
    <col min="9486" max="9486" width="2.375" style="3978" customWidth="1"/>
    <col min="9487" max="9487" width="5.5" style="3978" customWidth="1"/>
    <col min="9488" max="9489" width="5.875" style="3978" customWidth="1"/>
    <col min="9490" max="9490" width="7.625" style="3978" customWidth="1"/>
    <col min="9491" max="9491" width="9.375" style="3978" customWidth="1"/>
    <col min="9492" max="9493" width="7.625" style="3978" customWidth="1"/>
    <col min="9494" max="9494" width="9.375" style="3978" customWidth="1"/>
    <col min="9495" max="9495" width="7.625" style="3978" customWidth="1"/>
    <col min="9496" max="9728" width="7" style="3978"/>
    <col min="9729" max="9729" width="9.375" style="3978" customWidth="1"/>
    <col min="9730" max="9730" width="6.75" style="3978" customWidth="1"/>
    <col min="9731" max="9731" width="8.5" style="3978" customWidth="1"/>
    <col min="9732" max="9732" width="6.75" style="3978" customWidth="1"/>
    <col min="9733" max="9733" width="1.5" style="3978" customWidth="1"/>
    <col min="9734" max="9734" width="9.375" style="3978" customWidth="1"/>
    <col min="9735" max="9735" width="1.5" style="3978" customWidth="1"/>
    <col min="9736" max="9736" width="9.375" style="3978" customWidth="1"/>
    <col min="9737" max="9737" width="6.75" style="3978" customWidth="1"/>
    <col min="9738" max="9738" width="8.5" style="3978" customWidth="1"/>
    <col min="9739" max="9739" width="7" style="3978" customWidth="1"/>
    <col min="9740" max="9740" width="3.75" style="3978" customWidth="1"/>
    <col min="9741" max="9741" width="9.375" style="3978" customWidth="1"/>
    <col min="9742" max="9742" width="2.375" style="3978" customWidth="1"/>
    <col min="9743" max="9743" width="5.5" style="3978" customWidth="1"/>
    <col min="9744" max="9745" width="5.875" style="3978" customWidth="1"/>
    <col min="9746" max="9746" width="7.625" style="3978" customWidth="1"/>
    <col min="9747" max="9747" width="9.375" style="3978" customWidth="1"/>
    <col min="9748" max="9749" width="7.625" style="3978" customWidth="1"/>
    <col min="9750" max="9750" width="9.375" style="3978" customWidth="1"/>
    <col min="9751" max="9751" width="7.625" style="3978" customWidth="1"/>
    <col min="9752" max="9984" width="7" style="3978"/>
    <col min="9985" max="9985" width="9.375" style="3978" customWidth="1"/>
    <col min="9986" max="9986" width="6.75" style="3978" customWidth="1"/>
    <col min="9987" max="9987" width="8.5" style="3978" customWidth="1"/>
    <col min="9988" max="9988" width="6.75" style="3978" customWidth="1"/>
    <col min="9989" max="9989" width="1.5" style="3978" customWidth="1"/>
    <col min="9990" max="9990" width="9.375" style="3978" customWidth="1"/>
    <col min="9991" max="9991" width="1.5" style="3978" customWidth="1"/>
    <col min="9992" max="9992" width="9.375" style="3978" customWidth="1"/>
    <col min="9993" max="9993" width="6.75" style="3978" customWidth="1"/>
    <col min="9994" max="9994" width="8.5" style="3978" customWidth="1"/>
    <col min="9995" max="9995" width="7" style="3978" customWidth="1"/>
    <col min="9996" max="9996" width="3.75" style="3978" customWidth="1"/>
    <col min="9997" max="9997" width="9.375" style="3978" customWidth="1"/>
    <col min="9998" max="9998" width="2.375" style="3978" customWidth="1"/>
    <col min="9999" max="9999" width="5.5" style="3978" customWidth="1"/>
    <col min="10000" max="10001" width="5.875" style="3978" customWidth="1"/>
    <col min="10002" max="10002" width="7.625" style="3978" customWidth="1"/>
    <col min="10003" max="10003" width="9.375" style="3978" customWidth="1"/>
    <col min="10004" max="10005" width="7.625" style="3978" customWidth="1"/>
    <col min="10006" max="10006" width="9.375" style="3978" customWidth="1"/>
    <col min="10007" max="10007" width="7.625" style="3978" customWidth="1"/>
    <col min="10008" max="10240" width="7" style="3978"/>
    <col min="10241" max="10241" width="9.375" style="3978" customWidth="1"/>
    <col min="10242" max="10242" width="6.75" style="3978" customWidth="1"/>
    <col min="10243" max="10243" width="8.5" style="3978" customWidth="1"/>
    <col min="10244" max="10244" width="6.75" style="3978" customWidth="1"/>
    <col min="10245" max="10245" width="1.5" style="3978" customWidth="1"/>
    <col min="10246" max="10246" width="9.375" style="3978" customWidth="1"/>
    <col min="10247" max="10247" width="1.5" style="3978" customWidth="1"/>
    <col min="10248" max="10248" width="9.375" style="3978" customWidth="1"/>
    <col min="10249" max="10249" width="6.75" style="3978" customWidth="1"/>
    <col min="10250" max="10250" width="8.5" style="3978" customWidth="1"/>
    <col min="10251" max="10251" width="7" style="3978" customWidth="1"/>
    <col min="10252" max="10252" width="3.75" style="3978" customWidth="1"/>
    <col min="10253" max="10253" width="9.375" style="3978" customWidth="1"/>
    <col min="10254" max="10254" width="2.375" style="3978" customWidth="1"/>
    <col min="10255" max="10255" width="5.5" style="3978" customWidth="1"/>
    <col min="10256" max="10257" width="5.875" style="3978" customWidth="1"/>
    <col min="10258" max="10258" width="7.625" style="3978" customWidth="1"/>
    <col min="10259" max="10259" width="9.375" style="3978" customWidth="1"/>
    <col min="10260" max="10261" width="7.625" style="3978" customWidth="1"/>
    <col min="10262" max="10262" width="9.375" style="3978" customWidth="1"/>
    <col min="10263" max="10263" width="7.625" style="3978" customWidth="1"/>
    <col min="10264" max="10496" width="7" style="3978"/>
    <col min="10497" max="10497" width="9.375" style="3978" customWidth="1"/>
    <col min="10498" max="10498" width="6.75" style="3978" customWidth="1"/>
    <col min="10499" max="10499" width="8.5" style="3978" customWidth="1"/>
    <col min="10500" max="10500" width="6.75" style="3978" customWidth="1"/>
    <col min="10501" max="10501" width="1.5" style="3978" customWidth="1"/>
    <col min="10502" max="10502" width="9.375" style="3978" customWidth="1"/>
    <col min="10503" max="10503" width="1.5" style="3978" customWidth="1"/>
    <col min="10504" max="10504" width="9.375" style="3978" customWidth="1"/>
    <col min="10505" max="10505" width="6.75" style="3978" customWidth="1"/>
    <col min="10506" max="10506" width="8.5" style="3978" customWidth="1"/>
    <col min="10507" max="10507" width="7" style="3978" customWidth="1"/>
    <col min="10508" max="10508" width="3.75" style="3978" customWidth="1"/>
    <col min="10509" max="10509" width="9.375" style="3978" customWidth="1"/>
    <col min="10510" max="10510" width="2.375" style="3978" customWidth="1"/>
    <col min="10511" max="10511" width="5.5" style="3978" customWidth="1"/>
    <col min="10512" max="10513" width="5.875" style="3978" customWidth="1"/>
    <col min="10514" max="10514" width="7.625" style="3978" customWidth="1"/>
    <col min="10515" max="10515" width="9.375" style="3978" customWidth="1"/>
    <col min="10516" max="10517" width="7.625" style="3978" customWidth="1"/>
    <col min="10518" max="10518" width="9.375" style="3978" customWidth="1"/>
    <col min="10519" max="10519" width="7.625" style="3978" customWidth="1"/>
    <col min="10520" max="10752" width="7" style="3978"/>
    <col min="10753" max="10753" width="9.375" style="3978" customWidth="1"/>
    <col min="10754" max="10754" width="6.75" style="3978" customWidth="1"/>
    <col min="10755" max="10755" width="8.5" style="3978" customWidth="1"/>
    <col min="10756" max="10756" width="6.75" style="3978" customWidth="1"/>
    <col min="10757" max="10757" width="1.5" style="3978" customWidth="1"/>
    <col min="10758" max="10758" width="9.375" style="3978" customWidth="1"/>
    <col min="10759" max="10759" width="1.5" style="3978" customWidth="1"/>
    <col min="10760" max="10760" width="9.375" style="3978" customWidth="1"/>
    <col min="10761" max="10761" width="6.75" style="3978" customWidth="1"/>
    <col min="10762" max="10762" width="8.5" style="3978" customWidth="1"/>
    <col min="10763" max="10763" width="7" style="3978" customWidth="1"/>
    <col min="10764" max="10764" width="3.75" style="3978" customWidth="1"/>
    <col min="10765" max="10765" width="9.375" style="3978" customWidth="1"/>
    <col min="10766" max="10766" width="2.375" style="3978" customWidth="1"/>
    <col min="10767" max="10767" width="5.5" style="3978" customWidth="1"/>
    <col min="10768" max="10769" width="5.875" style="3978" customWidth="1"/>
    <col min="10770" max="10770" width="7.625" style="3978" customWidth="1"/>
    <col min="10771" max="10771" width="9.375" style="3978" customWidth="1"/>
    <col min="10772" max="10773" width="7.625" style="3978" customWidth="1"/>
    <col min="10774" max="10774" width="9.375" style="3978" customWidth="1"/>
    <col min="10775" max="10775" width="7.625" style="3978" customWidth="1"/>
    <col min="10776" max="11008" width="7" style="3978"/>
    <col min="11009" max="11009" width="9.375" style="3978" customWidth="1"/>
    <col min="11010" max="11010" width="6.75" style="3978" customWidth="1"/>
    <col min="11011" max="11011" width="8.5" style="3978" customWidth="1"/>
    <col min="11012" max="11012" width="6.75" style="3978" customWidth="1"/>
    <col min="11013" max="11013" width="1.5" style="3978" customWidth="1"/>
    <col min="11014" max="11014" width="9.375" style="3978" customWidth="1"/>
    <col min="11015" max="11015" width="1.5" style="3978" customWidth="1"/>
    <col min="11016" max="11016" width="9.375" style="3978" customWidth="1"/>
    <col min="11017" max="11017" width="6.75" style="3978" customWidth="1"/>
    <col min="11018" max="11018" width="8.5" style="3978" customWidth="1"/>
    <col min="11019" max="11019" width="7" style="3978" customWidth="1"/>
    <col min="11020" max="11020" width="3.75" style="3978" customWidth="1"/>
    <col min="11021" max="11021" width="9.375" style="3978" customWidth="1"/>
    <col min="11022" max="11022" width="2.375" style="3978" customWidth="1"/>
    <col min="11023" max="11023" width="5.5" style="3978" customWidth="1"/>
    <col min="11024" max="11025" width="5.875" style="3978" customWidth="1"/>
    <col min="11026" max="11026" width="7.625" style="3978" customWidth="1"/>
    <col min="11027" max="11027" width="9.375" style="3978" customWidth="1"/>
    <col min="11028" max="11029" width="7.625" style="3978" customWidth="1"/>
    <col min="11030" max="11030" width="9.375" style="3978" customWidth="1"/>
    <col min="11031" max="11031" width="7.625" style="3978" customWidth="1"/>
    <col min="11032" max="11264" width="7" style="3978"/>
    <col min="11265" max="11265" width="9.375" style="3978" customWidth="1"/>
    <col min="11266" max="11266" width="6.75" style="3978" customWidth="1"/>
    <col min="11267" max="11267" width="8.5" style="3978" customWidth="1"/>
    <col min="11268" max="11268" width="6.75" style="3978" customWidth="1"/>
    <col min="11269" max="11269" width="1.5" style="3978" customWidth="1"/>
    <col min="11270" max="11270" width="9.375" style="3978" customWidth="1"/>
    <col min="11271" max="11271" width="1.5" style="3978" customWidth="1"/>
    <col min="11272" max="11272" width="9.375" style="3978" customWidth="1"/>
    <col min="11273" max="11273" width="6.75" style="3978" customWidth="1"/>
    <col min="11274" max="11274" width="8.5" style="3978" customWidth="1"/>
    <col min="11275" max="11275" width="7" style="3978" customWidth="1"/>
    <col min="11276" max="11276" width="3.75" style="3978" customWidth="1"/>
    <col min="11277" max="11277" width="9.375" style="3978" customWidth="1"/>
    <col min="11278" max="11278" width="2.375" style="3978" customWidth="1"/>
    <col min="11279" max="11279" width="5.5" style="3978" customWidth="1"/>
    <col min="11280" max="11281" width="5.875" style="3978" customWidth="1"/>
    <col min="11282" max="11282" width="7.625" style="3978" customWidth="1"/>
    <col min="11283" max="11283" width="9.375" style="3978" customWidth="1"/>
    <col min="11284" max="11285" width="7.625" style="3978" customWidth="1"/>
    <col min="11286" max="11286" width="9.375" style="3978" customWidth="1"/>
    <col min="11287" max="11287" width="7.625" style="3978" customWidth="1"/>
    <col min="11288" max="11520" width="7" style="3978"/>
    <col min="11521" max="11521" width="9.375" style="3978" customWidth="1"/>
    <col min="11522" max="11522" width="6.75" style="3978" customWidth="1"/>
    <col min="11523" max="11523" width="8.5" style="3978" customWidth="1"/>
    <col min="11524" max="11524" width="6.75" style="3978" customWidth="1"/>
    <col min="11525" max="11525" width="1.5" style="3978" customWidth="1"/>
    <col min="11526" max="11526" width="9.375" style="3978" customWidth="1"/>
    <col min="11527" max="11527" width="1.5" style="3978" customWidth="1"/>
    <col min="11528" max="11528" width="9.375" style="3978" customWidth="1"/>
    <col min="11529" max="11529" width="6.75" style="3978" customWidth="1"/>
    <col min="11530" max="11530" width="8.5" style="3978" customWidth="1"/>
    <col min="11531" max="11531" width="7" style="3978" customWidth="1"/>
    <col min="11532" max="11532" width="3.75" style="3978" customWidth="1"/>
    <col min="11533" max="11533" width="9.375" style="3978" customWidth="1"/>
    <col min="11534" max="11534" width="2.375" style="3978" customWidth="1"/>
    <col min="11535" max="11535" width="5.5" style="3978" customWidth="1"/>
    <col min="11536" max="11537" width="5.875" style="3978" customWidth="1"/>
    <col min="11538" max="11538" width="7.625" style="3978" customWidth="1"/>
    <col min="11539" max="11539" width="9.375" style="3978" customWidth="1"/>
    <col min="11540" max="11541" width="7.625" style="3978" customWidth="1"/>
    <col min="11542" max="11542" width="9.375" style="3978" customWidth="1"/>
    <col min="11543" max="11543" width="7.625" style="3978" customWidth="1"/>
    <col min="11544" max="11776" width="7" style="3978"/>
    <col min="11777" max="11777" width="9.375" style="3978" customWidth="1"/>
    <col min="11778" max="11778" width="6.75" style="3978" customWidth="1"/>
    <col min="11779" max="11779" width="8.5" style="3978" customWidth="1"/>
    <col min="11780" max="11780" width="6.75" style="3978" customWidth="1"/>
    <col min="11781" max="11781" width="1.5" style="3978" customWidth="1"/>
    <col min="11782" max="11782" width="9.375" style="3978" customWidth="1"/>
    <col min="11783" max="11783" width="1.5" style="3978" customWidth="1"/>
    <col min="11784" max="11784" width="9.375" style="3978" customWidth="1"/>
    <col min="11785" max="11785" width="6.75" style="3978" customWidth="1"/>
    <col min="11786" max="11786" width="8.5" style="3978" customWidth="1"/>
    <col min="11787" max="11787" width="7" style="3978" customWidth="1"/>
    <col min="11788" max="11788" width="3.75" style="3978" customWidth="1"/>
    <col min="11789" max="11789" width="9.375" style="3978" customWidth="1"/>
    <col min="11790" max="11790" width="2.375" style="3978" customWidth="1"/>
    <col min="11791" max="11791" width="5.5" style="3978" customWidth="1"/>
    <col min="11792" max="11793" width="5.875" style="3978" customWidth="1"/>
    <col min="11794" max="11794" width="7.625" style="3978" customWidth="1"/>
    <col min="11795" max="11795" width="9.375" style="3978" customWidth="1"/>
    <col min="11796" max="11797" width="7.625" style="3978" customWidth="1"/>
    <col min="11798" max="11798" width="9.375" style="3978" customWidth="1"/>
    <col min="11799" max="11799" width="7.625" style="3978" customWidth="1"/>
    <col min="11800" max="12032" width="7" style="3978"/>
    <col min="12033" max="12033" width="9.375" style="3978" customWidth="1"/>
    <col min="12034" max="12034" width="6.75" style="3978" customWidth="1"/>
    <col min="12035" max="12035" width="8.5" style="3978" customWidth="1"/>
    <col min="12036" max="12036" width="6.75" style="3978" customWidth="1"/>
    <col min="12037" max="12037" width="1.5" style="3978" customWidth="1"/>
    <col min="12038" max="12038" width="9.375" style="3978" customWidth="1"/>
    <col min="12039" max="12039" width="1.5" style="3978" customWidth="1"/>
    <col min="12040" max="12040" width="9.375" style="3978" customWidth="1"/>
    <col min="12041" max="12041" width="6.75" style="3978" customWidth="1"/>
    <col min="12042" max="12042" width="8.5" style="3978" customWidth="1"/>
    <col min="12043" max="12043" width="7" style="3978" customWidth="1"/>
    <col min="12044" max="12044" width="3.75" style="3978" customWidth="1"/>
    <col min="12045" max="12045" width="9.375" style="3978" customWidth="1"/>
    <col min="12046" max="12046" width="2.375" style="3978" customWidth="1"/>
    <col min="12047" max="12047" width="5.5" style="3978" customWidth="1"/>
    <col min="12048" max="12049" width="5.875" style="3978" customWidth="1"/>
    <col min="12050" max="12050" width="7.625" style="3978" customWidth="1"/>
    <col min="12051" max="12051" width="9.375" style="3978" customWidth="1"/>
    <col min="12052" max="12053" width="7.625" style="3978" customWidth="1"/>
    <col min="12054" max="12054" width="9.375" style="3978" customWidth="1"/>
    <col min="12055" max="12055" width="7.625" style="3978" customWidth="1"/>
    <col min="12056" max="12288" width="7" style="3978"/>
    <col min="12289" max="12289" width="9.375" style="3978" customWidth="1"/>
    <col min="12290" max="12290" width="6.75" style="3978" customWidth="1"/>
    <col min="12291" max="12291" width="8.5" style="3978" customWidth="1"/>
    <col min="12292" max="12292" width="6.75" style="3978" customWidth="1"/>
    <col min="12293" max="12293" width="1.5" style="3978" customWidth="1"/>
    <col min="12294" max="12294" width="9.375" style="3978" customWidth="1"/>
    <col min="12295" max="12295" width="1.5" style="3978" customWidth="1"/>
    <col min="12296" max="12296" width="9.375" style="3978" customWidth="1"/>
    <col min="12297" max="12297" width="6.75" style="3978" customWidth="1"/>
    <col min="12298" max="12298" width="8.5" style="3978" customWidth="1"/>
    <col min="12299" max="12299" width="7" style="3978" customWidth="1"/>
    <col min="12300" max="12300" width="3.75" style="3978" customWidth="1"/>
    <col min="12301" max="12301" width="9.375" style="3978" customWidth="1"/>
    <col min="12302" max="12302" width="2.375" style="3978" customWidth="1"/>
    <col min="12303" max="12303" width="5.5" style="3978" customWidth="1"/>
    <col min="12304" max="12305" width="5.875" style="3978" customWidth="1"/>
    <col min="12306" max="12306" width="7.625" style="3978" customWidth="1"/>
    <col min="12307" max="12307" width="9.375" style="3978" customWidth="1"/>
    <col min="12308" max="12309" width="7.625" style="3978" customWidth="1"/>
    <col min="12310" max="12310" width="9.375" style="3978" customWidth="1"/>
    <col min="12311" max="12311" width="7.625" style="3978" customWidth="1"/>
    <col min="12312" max="12544" width="7" style="3978"/>
    <col min="12545" max="12545" width="9.375" style="3978" customWidth="1"/>
    <col min="12546" max="12546" width="6.75" style="3978" customWidth="1"/>
    <col min="12547" max="12547" width="8.5" style="3978" customWidth="1"/>
    <col min="12548" max="12548" width="6.75" style="3978" customWidth="1"/>
    <col min="12549" max="12549" width="1.5" style="3978" customWidth="1"/>
    <col min="12550" max="12550" width="9.375" style="3978" customWidth="1"/>
    <col min="12551" max="12551" width="1.5" style="3978" customWidth="1"/>
    <col min="12552" max="12552" width="9.375" style="3978" customWidth="1"/>
    <col min="12553" max="12553" width="6.75" style="3978" customWidth="1"/>
    <col min="12554" max="12554" width="8.5" style="3978" customWidth="1"/>
    <col min="12555" max="12555" width="7" style="3978" customWidth="1"/>
    <col min="12556" max="12556" width="3.75" style="3978" customWidth="1"/>
    <col min="12557" max="12557" width="9.375" style="3978" customWidth="1"/>
    <col min="12558" max="12558" width="2.375" style="3978" customWidth="1"/>
    <col min="12559" max="12559" width="5.5" style="3978" customWidth="1"/>
    <col min="12560" max="12561" width="5.875" style="3978" customWidth="1"/>
    <col min="12562" max="12562" width="7.625" style="3978" customWidth="1"/>
    <col min="12563" max="12563" width="9.375" style="3978" customWidth="1"/>
    <col min="12564" max="12565" width="7.625" style="3978" customWidth="1"/>
    <col min="12566" max="12566" width="9.375" style="3978" customWidth="1"/>
    <col min="12567" max="12567" width="7.625" style="3978" customWidth="1"/>
    <col min="12568" max="12800" width="7" style="3978"/>
    <col min="12801" max="12801" width="9.375" style="3978" customWidth="1"/>
    <col min="12802" max="12802" width="6.75" style="3978" customWidth="1"/>
    <col min="12803" max="12803" width="8.5" style="3978" customWidth="1"/>
    <col min="12804" max="12804" width="6.75" style="3978" customWidth="1"/>
    <col min="12805" max="12805" width="1.5" style="3978" customWidth="1"/>
    <col min="12806" max="12806" width="9.375" style="3978" customWidth="1"/>
    <col min="12807" max="12807" width="1.5" style="3978" customWidth="1"/>
    <col min="12808" max="12808" width="9.375" style="3978" customWidth="1"/>
    <col min="12809" max="12809" width="6.75" style="3978" customWidth="1"/>
    <col min="12810" max="12810" width="8.5" style="3978" customWidth="1"/>
    <col min="12811" max="12811" width="7" style="3978" customWidth="1"/>
    <col min="12812" max="12812" width="3.75" style="3978" customWidth="1"/>
    <col min="12813" max="12813" width="9.375" style="3978" customWidth="1"/>
    <col min="12814" max="12814" width="2.375" style="3978" customWidth="1"/>
    <col min="12815" max="12815" width="5.5" style="3978" customWidth="1"/>
    <col min="12816" max="12817" width="5.875" style="3978" customWidth="1"/>
    <col min="12818" max="12818" width="7.625" style="3978" customWidth="1"/>
    <col min="12819" max="12819" width="9.375" style="3978" customWidth="1"/>
    <col min="12820" max="12821" width="7.625" style="3978" customWidth="1"/>
    <col min="12822" max="12822" width="9.375" style="3978" customWidth="1"/>
    <col min="12823" max="12823" width="7.625" style="3978" customWidth="1"/>
    <col min="12824" max="13056" width="7" style="3978"/>
    <col min="13057" max="13057" width="9.375" style="3978" customWidth="1"/>
    <col min="13058" max="13058" width="6.75" style="3978" customWidth="1"/>
    <col min="13059" max="13059" width="8.5" style="3978" customWidth="1"/>
    <col min="13060" max="13060" width="6.75" style="3978" customWidth="1"/>
    <col min="13061" max="13061" width="1.5" style="3978" customWidth="1"/>
    <col min="13062" max="13062" width="9.375" style="3978" customWidth="1"/>
    <col min="13063" max="13063" width="1.5" style="3978" customWidth="1"/>
    <col min="13064" max="13064" width="9.375" style="3978" customWidth="1"/>
    <col min="13065" max="13065" width="6.75" style="3978" customWidth="1"/>
    <col min="13066" max="13066" width="8.5" style="3978" customWidth="1"/>
    <col min="13067" max="13067" width="7" style="3978" customWidth="1"/>
    <col min="13068" max="13068" width="3.75" style="3978" customWidth="1"/>
    <col min="13069" max="13069" width="9.375" style="3978" customWidth="1"/>
    <col min="13070" max="13070" width="2.375" style="3978" customWidth="1"/>
    <col min="13071" max="13071" width="5.5" style="3978" customWidth="1"/>
    <col min="13072" max="13073" width="5.875" style="3978" customWidth="1"/>
    <col min="13074" max="13074" width="7.625" style="3978" customWidth="1"/>
    <col min="13075" max="13075" width="9.375" style="3978" customWidth="1"/>
    <col min="13076" max="13077" width="7.625" style="3978" customWidth="1"/>
    <col min="13078" max="13078" width="9.375" style="3978" customWidth="1"/>
    <col min="13079" max="13079" width="7.625" style="3978" customWidth="1"/>
    <col min="13080" max="13312" width="7" style="3978"/>
    <col min="13313" max="13313" width="9.375" style="3978" customWidth="1"/>
    <col min="13314" max="13314" width="6.75" style="3978" customWidth="1"/>
    <col min="13315" max="13315" width="8.5" style="3978" customWidth="1"/>
    <col min="13316" max="13316" width="6.75" style="3978" customWidth="1"/>
    <col min="13317" max="13317" width="1.5" style="3978" customWidth="1"/>
    <col min="13318" max="13318" width="9.375" style="3978" customWidth="1"/>
    <col min="13319" max="13319" width="1.5" style="3978" customWidth="1"/>
    <col min="13320" max="13320" width="9.375" style="3978" customWidth="1"/>
    <col min="13321" max="13321" width="6.75" style="3978" customWidth="1"/>
    <col min="13322" max="13322" width="8.5" style="3978" customWidth="1"/>
    <col min="13323" max="13323" width="7" style="3978" customWidth="1"/>
    <col min="13324" max="13324" width="3.75" style="3978" customWidth="1"/>
    <col min="13325" max="13325" width="9.375" style="3978" customWidth="1"/>
    <col min="13326" max="13326" width="2.375" style="3978" customWidth="1"/>
    <col min="13327" max="13327" width="5.5" style="3978" customWidth="1"/>
    <col min="13328" max="13329" width="5.875" style="3978" customWidth="1"/>
    <col min="13330" max="13330" width="7.625" style="3978" customWidth="1"/>
    <col min="13331" max="13331" width="9.375" style="3978" customWidth="1"/>
    <col min="13332" max="13333" width="7.625" style="3978" customWidth="1"/>
    <col min="13334" max="13334" width="9.375" style="3978" customWidth="1"/>
    <col min="13335" max="13335" width="7.625" style="3978" customWidth="1"/>
    <col min="13336" max="13568" width="7" style="3978"/>
    <col min="13569" max="13569" width="9.375" style="3978" customWidth="1"/>
    <col min="13570" max="13570" width="6.75" style="3978" customWidth="1"/>
    <col min="13571" max="13571" width="8.5" style="3978" customWidth="1"/>
    <col min="13572" max="13572" width="6.75" style="3978" customWidth="1"/>
    <col min="13573" max="13573" width="1.5" style="3978" customWidth="1"/>
    <col min="13574" max="13574" width="9.375" style="3978" customWidth="1"/>
    <col min="13575" max="13575" width="1.5" style="3978" customWidth="1"/>
    <col min="13576" max="13576" width="9.375" style="3978" customWidth="1"/>
    <col min="13577" max="13577" width="6.75" style="3978" customWidth="1"/>
    <col min="13578" max="13578" width="8.5" style="3978" customWidth="1"/>
    <col min="13579" max="13579" width="7" style="3978" customWidth="1"/>
    <col min="13580" max="13580" width="3.75" style="3978" customWidth="1"/>
    <col min="13581" max="13581" width="9.375" style="3978" customWidth="1"/>
    <col min="13582" max="13582" width="2.375" style="3978" customWidth="1"/>
    <col min="13583" max="13583" width="5.5" style="3978" customWidth="1"/>
    <col min="13584" max="13585" width="5.875" style="3978" customWidth="1"/>
    <col min="13586" max="13586" width="7.625" style="3978" customWidth="1"/>
    <col min="13587" max="13587" width="9.375" style="3978" customWidth="1"/>
    <col min="13588" max="13589" width="7.625" style="3978" customWidth="1"/>
    <col min="13590" max="13590" width="9.375" style="3978" customWidth="1"/>
    <col min="13591" max="13591" width="7.625" style="3978" customWidth="1"/>
    <col min="13592" max="13824" width="7" style="3978"/>
    <col min="13825" max="13825" width="9.375" style="3978" customWidth="1"/>
    <col min="13826" max="13826" width="6.75" style="3978" customWidth="1"/>
    <col min="13827" max="13827" width="8.5" style="3978" customWidth="1"/>
    <col min="13828" max="13828" width="6.75" style="3978" customWidth="1"/>
    <col min="13829" max="13829" width="1.5" style="3978" customWidth="1"/>
    <col min="13830" max="13830" width="9.375" style="3978" customWidth="1"/>
    <col min="13831" max="13831" width="1.5" style="3978" customWidth="1"/>
    <col min="13832" max="13832" width="9.375" style="3978" customWidth="1"/>
    <col min="13833" max="13833" width="6.75" style="3978" customWidth="1"/>
    <col min="13834" max="13834" width="8.5" style="3978" customWidth="1"/>
    <col min="13835" max="13835" width="7" style="3978" customWidth="1"/>
    <col min="13836" max="13836" width="3.75" style="3978" customWidth="1"/>
    <col min="13837" max="13837" width="9.375" style="3978" customWidth="1"/>
    <col min="13838" max="13838" width="2.375" style="3978" customWidth="1"/>
    <col min="13839" max="13839" width="5.5" style="3978" customWidth="1"/>
    <col min="13840" max="13841" width="5.875" style="3978" customWidth="1"/>
    <col min="13842" max="13842" width="7.625" style="3978" customWidth="1"/>
    <col min="13843" max="13843" width="9.375" style="3978" customWidth="1"/>
    <col min="13844" max="13845" width="7.625" style="3978" customWidth="1"/>
    <col min="13846" max="13846" width="9.375" style="3978" customWidth="1"/>
    <col min="13847" max="13847" width="7.625" style="3978" customWidth="1"/>
    <col min="13848" max="14080" width="7" style="3978"/>
    <col min="14081" max="14081" width="9.375" style="3978" customWidth="1"/>
    <col min="14082" max="14082" width="6.75" style="3978" customWidth="1"/>
    <col min="14083" max="14083" width="8.5" style="3978" customWidth="1"/>
    <col min="14084" max="14084" width="6.75" style="3978" customWidth="1"/>
    <col min="14085" max="14085" width="1.5" style="3978" customWidth="1"/>
    <col min="14086" max="14086" width="9.375" style="3978" customWidth="1"/>
    <col min="14087" max="14087" width="1.5" style="3978" customWidth="1"/>
    <col min="14088" max="14088" width="9.375" style="3978" customWidth="1"/>
    <col min="14089" max="14089" width="6.75" style="3978" customWidth="1"/>
    <col min="14090" max="14090" width="8.5" style="3978" customWidth="1"/>
    <col min="14091" max="14091" width="7" style="3978" customWidth="1"/>
    <col min="14092" max="14092" width="3.75" style="3978" customWidth="1"/>
    <col min="14093" max="14093" width="9.375" style="3978" customWidth="1"/>
    <col min="14094" max="14094" width="2.375" style="3978" customWidth="1"/>
    <col min="14095" max="14095" width="5.5" style="3978" customWidth="1"/>
    <col min="14096" max="14097" width="5.875" style="3978" customWidth="1"/>
    <col min="14098" max="14098" width="7.625" style="3978" customWidth="1"/>
    <col min="14099" max="14099" width="9.375" style="3978" customWidth="1"/>
    <col min="14100" max="14101" width="7.625" style="3978" customWidth="1"/>
    <col min="14102" max="14102" width="9.375" style="3978" customWidth="1"/>
    <col min="14103" max="14103" width="7.625" style="3978" customWidth="1"/>
    <col min="14104" max="14336" width="7" style="3978"/>
    <col min="14337" max="14337" width="9.375" style="3978" customWidth="1"/>
    <col min="14338" max="14338" width="6.75" style="3978" customWidth="1"/>
    <col min="14339" max="14339" width="8.5" style="3978" customWidth="1"/>
    <col min="14340" max="14340" width="6.75" style="3978" customWidth="1"/>
    <col min="14341" max="14341" width="1.5" style="3978" customWidth="1"/>
    <col min="14342" max="14342" width="9.375" style="3978" customWidth="1"/>
    <col min="14343" max="14343" width="1.5" style="3978" customWidth="1"/>
    <col min="14344" max="14344" width="9.375" style="3978" customWidth="1"/>
    <col min="14345" max="14345" width="6.75" style="3978" customWidth="1"/>
    <col min="14346" max="14346" width="8.5" style="3978" customWidth="1"/>
    <col min="14347" max="14347" width="7" style="3978" customWidth="1"/>
    <col min="14348" max="14348" width="3.75" style="3978" customWidth="1"/>
    <col min="14349" max="14349" width="9.375" style="3978" customWidth="1"/>
    <col min="14350" max="14350" width="2.375" style="3978" customWidth="1"/>
    <col min="14351" max="14351" width="5.5" style="3978" customWidth="1"/>
    <col min="14352" max="14353" width="5.875" style="3978" customWidth="1"/>
    <col min="14354" max="14354" width="7.625" style="3978" customWidth="1"/>
    <col min="14355" max="14355" width="9.375" style="3978" customWidth="1"/>
    <col min="14356" max="14357" width="7.625" style="3978" customWidth="1"/>
    <col min="14358" max="14358" width="9.375" style="3978" customWidth="1"/>
    <col min="14359" max="14359" width="7.625" style="3978" customWidth="1"/>
    <col min="14360" max="14592" width="7" style="3978"/>
    <col min="14593" max="14593" width="9.375" style="3978" customWidth="1"/>
    <col min="14594" max="14594" width="6.75" style="3978" customWidth="1"/>
    <col min="14595" max="14595" width="8.5" style="3978" customWidth="1"/>
    <col min="14596" max="14596" width="6.75" style="3978" customWidth="1"/>
    <col min="14597" max="14597" width="1.5" style="3978" customWidth="1"/>
    <col min="14598" max="14598" width="9.375" style="3978" customWidth="1"/>
    <col min="14599" max="14599" width="1.5" style="3978" customWidth="1"/>
    <col min="14600" max="14600" width="9.375" style="3978" customWidth="1"/>
    <col min="14601" max="14601" width="6.75" style="3978" customWidth="1"/>
    <col min="14602" max="14602" width="8.5" style="3978" customWidth="1"/>
    <col min="14603" max="14603" width="7" style="3978" customWidth="1"/>
    <col min="14604" max="14604" width="3.75" style="3978" customWidth="1"/>
    <col min="14605" max="14605" width="9.375" style="3978" customWidth="1"/>
    <col min="14606" max="14606" width="2.375" style="3978" customWidth="1"/>
    <col min="14607" max="14607" width="5.5" style="3978" customWidth="1"/>
    <col min="14608" max="14609" width="5.875" style="3978" customWidth="1"/>
    <col min="14610" max="14610" width="7.625" style="3978" customWidth="1"/>
    <col min="14611" max="14611" width="9.375" style="3978" customWidth="1"/>
    <col min="14612" max="14613" width="7.625" style="3978" customWidth="1"/>
    <col min="14614" max="14614" width="9.375" style="3978" customWidth="1"/>
    <col min="14615" max="14615" width="7.625" style="3978" customWidth="1"/>
    <col min="14616" max="14848" width="7" style="3978"/>
    <col min="14849" max="14849" width="9.375" style="3978" customWidth="1"/>
    <col min="14850" max="14850" width="6.75" style="3978" customWidth="1"/>
    <col min="14851" max="14851" width="8.5" style="3978" customWidth="1"/>
    <col min="14852" max="14852" width="6.75" style="3978" customWidth="1"/>
    <col min="14853" max="14853" width="1.5" style="3978" customWidth="1"/>
    <col min="14854" max="14854" width="9.375" style="3978" customWidth="1"/>
    <col min="14855" max="14855" width="1.5" style="3978" customWidth="1"/>
    <col min="14856" max="14856" width="9.375" style="3978" customWidth="1"/>
    <col min="14857" max="14857" width="6.75" style="3978" customWidth="1"/>
    <col min="14858" max="14858" width="8.5" style="3978" customWidth="1"/>
    <col min="14859" max="14859" width="7" style="3978" customWidth="1"/>
    <col min="14860" max="14860" width="3.75" style="3978" customWidth="1"/>
    <col min="14861" max="14861" width="9.375" style="3978" customWidth="1"/>
    <col min="14862" max="14862" width="2.375" style="3978" customWidth="1"/>
    <col min="14863" max="14863" width="5.5" style="3978" customWidth="1"/>
    <col min="14864" max="14865" width="5.875" style="3978" customWidth="1"/>
    <col min="14866" max="14866" width="7.625" style="3978" customWidth="1"/>
    <col min="14867" max="14867" width="9.375" style="3978" customWidth="1"/>
    <col min="14868" max="14869" width="7.625" style="3978" customWidth="1"/>
    <col min="14870" max="14870" width="9.375" style="3978" customWidth="1"/>
    <col min="14871" max="14871" width="7.625" style="3978" customWidth="1"/>
    <col min="14872" max="15104" width="7" style="3978"/>
    <col min="15105" max="15105" width="9.375" style="3978" customWidth="1"/>
    <col min="15106" max="15106" width="6.75" style="3978" customWidth="1"/>
    <col min="15107" max="15107" width="8.5" style="3978" customWidth="1"/>
    <col min="15108" max="15108" width="6.75" style="3978" customWidth="1"/>
    <col min="15109" max="15109" width="1.5" style="3978" customWidth="1"/>
    <col min="15110" max="15110" width="9.375" style="3978" customWidth="1"/>
    <col min="15111" max="15111" width="1.5" style="3978" customWidth="1"/>
    <col min="15112" max="15112" width="9.375" style="3978" customWidth="1"/>
    <col min="15113" max="15113" width="6.75" style="3978" customWidth="1"/>
    <col min="15114" max="15114" width="8.5" style="3978" customWidth="1"/>
    <col min="15115" max="15115" width="7" style="3978" customWidth="1"/>
    <col min="15116" max="15116" width="3.75" style="3978" customWidth="1"/>
    <col min="15117" max="15117" width="9.375" style="3978" customWidth="1"/>
    <col min="15118" max="15118" width="2.375" style="3978" customWidth="1"/>
    <col min="15119" max="15119" width="5.5" style="3978" customWidth="1"/>
    <col min="15120" max="15121" width="5.875" style="3978" customWidth="1"/>
    <col min="15122" max="15122" width="7.625" style="3978" customWidth="1"/>
    <col min="15123" max="15123" width="9.375" style="3978" customWidth="1"/>
    <col min="15124" max="15125" width="7.625" style="3978" customWidth="1"/>
    <col min="15126" max="15126" width="9.375" style="3978" customWidth="1"/>
    <col min="15127" max="15127" width="7.625" style="3978" customWidth="1"/>
    <col min="15128" max="15360" width="7" style="3978"/>
    <col min="15361" max="15361" width="9.375" style="3978" customWidth="1"/>
    <col min="15362" max="15362" width="6.75" style="3978" customWidth="1"/>
    <col min="15363" max="15363" width="8.5" style="3978" customWidth="1"/>
    <col min="15364" max="15364" width="6.75" style="3978" customWidth="1"/>
    <col min="15365" max="15365" width="1.5" style="3978" customWidth="1"/>
    <col min="15366" max="15366" width="9.375" style="3978" customWidth="1"/>
    <col min="15367" max="15367" width="1.5" style="3978" customWidth="1"/>
    <col min="15368" max="15368" width="9.375" style="3978" customWidth="1"/>
    <col min="15369" max="15369" width="6.75" style="3978" customWidth="1"/>
    <col min="15370" max="15370" width="8.5" style="3978" customWidth="1"/>
    <col min="15371" max="15371" width="7" style="3978" customWidth="1"/>
    <col min="15372" max="15372" width="3.75" style="3978" customWidth="1"/>
    <col min="15373" max="15373" width="9.375" style="3978" customWidth="1"/>
    <col min="15374" max="15374" width="2.375" style="3978" customWidth="1"/>
    <col min="15375" max="15375" width="5.5" style="3978" customWidth="1"/>
    <col min="15376" max="15377" width="5.875" style="3978" customWidth="1"/>
    <col min="15378" max="15378" width="7.625" style="3978" customWidth="1"/>
    <col min="15379" max="15379" width="9.375" style="3978" customWidth="1"/>
    <col min="15380" max="15381" width="7.625" style="3978" customWidth="1"/>
    <col min="15382" max="15382" width="9.375" style="3978" customWidth="1"/>
    <col min="15383" max="15383" width="7.625" style="3978" customWidth="1"/>
    <col min="15384" max="15616" width="7" style="3978"/>
    <col min="15617" max="15617" width="9.375" style="3978" customWidth="1"/>
    <col min="15618" max="15618" width="6.75" style="3978" customWidth="1"/>
    <col min="15619" max="15619" width="8.5" style="3978" customWidth="1"/>
    <col min="15620" max="15620" width="6.75" style="3978" customWidth="1"/>
    <col min="15621" max="15621" width="1.5" style="3978" customWidth="1"/>
    <col min="15622" max="15622" width="9.375" style="3978" customWidth="1"/>
    <col min="15623" max="15623" width="1.5" style="3978" customWidth="1"/>
    <col min="15624" max="15624" width="9.375" style="3978" customWidth="1"/>
    <col min="15625" max="15625" width="6.75" style="3978" customWidth="1"/>
    <col min="15626" max="15626" width="8.5" style="3978" customWidth="1"/>
    <col min="15627" max="15627" width="7" style="3978" customWidth="1"/>
    <col min="15628" max="15628" width="3.75" style="3978" customWidth="1"/>
    <col min="15629" max="15629" width="9.375" style="3978" customWidth="1"/>
    <col min="15630" max="15630" width="2.375" style="3978" customWidth="1"/>
    <col min="15631" max="15631" width="5.5" style="3978" customWidth="1"/>
    <col min="15632" max="15633" width="5.875" style="3978" customWidth="1"/>
    <col min="15634" max="15634" width="7.625" style="3978" customWidth="1"/>
    <col min="15635" max="15635" width="9.375" style="3978" customWidth="1"/>
    <col min="15636" max="15637" width="7.625" style="3978" customWidth="1"/>
    <col min="15638" max="15638" width="9.375" style="3978" customWidth="1"/>
    <col min="15639" max="15639" width="7.625" style="3978" customWidth="1"/>
    <col min="15640" max="15872" width="7" style="3978"/>
    <col min="15873" max="15873" width="9.375" style="3978" customWidth="1"/>
    <col min="15874" max="15874" width="6.75" style="3978" customWidth="1"/>
    <col min="15875" max="15875" width="8.5" style="3978" customWidth="1"/>
    <col min="15876" max="15876" width="6.75" style="3978" customWidth="1"/>
    <col min="15877" max="15877" width="1.5" style="3978" customWidth="1"/>
    <col min="15878" max="15878" width="9.375" style="3978" customWidth="1"/>
    <col min="15879" max="15879" width="1.5" style="3978" customWidth="1"/>
    <col min="15880" max="15880" width="9.375" style="3978" customWidth="1"/>
    <col min="15881" max="15881" width="6.75" style="3978" customWidth="1"/>
    <col min="15882" max="15882" width="8.5" style="3978" customWidth="1"/>
    <col min="15883" max="15883" width="7" style="3978" customWidth="1"/>
    <col min="15884" max="15884" width="3.75" style="3978" customWidth="1"/>
    <col min="15885" max="15885" width="9.375" style="3978" customWidth="1"/>
    <col min="15886" max="15886" width="2.375" style="3978" customWidth="1"/>
    <col min="15887" max="15887" width="5.5" style="3978" customWidth="1"/>
    <col min="15888" max="15889" width="5.875" style="3978" customWidth="1"/>
    <col min="15890" max="15890" width="7.625" style="3978" customWidth="1"/>
    <col min="15891" max="15891" width="9.375" style="3978" customWidth="1"/>
    <col min="15892" max="15893" width="7.625" style="3978" customWidth="1"/>
    <col min="15894" max="15894" width="9.375" style="3978" customWidth="1"/>
    <col min="15895" max="15895" width="7.625" style="3978" customWidth="1"/>
    <col min="15896" max="16128" width="7" style="3978"/>
    <col min="16129" max="16129" width="9.375" style="3978" customWidth="1"/>
    <col min="16130" max="16130" width="6.75" style="3978" customWidth="1"/>
    <col min="16131" max="16131" width="8.5" style="3978" customWidth="1"/>
    <col min="16132" max="16132" width="6.75" style="3978" customWidth="1"/>
    <col min="16133" max="16133" width="1.5" style="3978" customWidth="1"/>
    <col min="16134" max="16134" width="9.375" style="3978" customWidth="1"/>
    <col min="16135" max="16135" width="1.5" style="3978" customWidth="1"/>
    <col min="16136" max="16136" width="9.375" style="3978" customWidth="1"/>
    <col min="16137" max="16137" width="6.75" style="3978" customWidth="1"/>
    <col min="16138" max="16138" width="8.5" style="3978" customWidth="1"/>
    <col min="16139" max="16139" width="7" style="3978" customWidth="1"/>
    <col min="16140" max="16140" width="3.75" style="3978" customWidth="1"/>
    <col min="16141" max="16141" width="9.375" style="3978" customWidth="1"/>
    <col min="16142" max="16142" width="2.375" style="3978" customWidth="1"/>
    <col min="16143" max="16143" width="5.5" style="3978" customWidth="1"/>
    <col min="16144" max="16145" width="5.875" style="3978" customWidth="1"/>
    <col min="16146" max="16146" width="7.625" style="3978" customWidth="1"/>
    <col min="16147" max="16147" width="9.375" style="3978" customWidth="1"/>
    <col min="16148" max="16149" width="7.625" style="3978" customWidth="1"/>
    <col min="16150" max="16150" width="9.375" style="3978" customWidth="1"/>
    <col min="16151" max="16151" width="7.625" style="3978" customWidth="1"/>
    <col min="16152" max="16384" width="7" style="3978"/>
  </cols>
  <sheetData>
    <row r="1" spans="1:25" ht="15" customHeight="1">
      <c r="A1" s="4509" t="s">
        <v>902</v>
      </c>
      <c r="B1" s="4509"/>
      <c r="C1" s="4509"/>
      <c r="D1" s="4509"/>
      <c r="E1" s="3981"/>
      <c r="F1" s="3981"/>
      <c r="G1" s="3981"/>
      <c r="H1" s="4510" t="s">
        <v>903</v>
      </c>
      <c r="I1" s="4510"/>
      <c r="J1" s="4510"/>
      <c r="K1" s="4510"/>
      <c r="M1" s="4511" t="s">
        <v>904</v>
      </c>
      <c r="N1" s="4512"/>
      <c r="O1" s="4512"/>
      <c r="P1" s="4512"/>
      <c r="Q1" s="4512"/>
      <c r="R1" s="4512"/>
      <c r="S1" s="4512"/>
      <c r="T1" s="4512"/>
      <c r="U1" s="4513"/>
      <c r="V1" s="4514" t="s">
        <v>905</v>
      </c>
      <c r="W1" s="4515"/>
    </row>
    <row r="2" spans="1:25" s="3977" customFormat="1" ht="15" customHeight="1">
      <c r="A2" s="4516" t="s">
        <v>906</v>
      </c>
      <c r="B2" s="4516"/>
      <c r="C2" s="4516"/>
      <c r="D2" s="4516"/>
      <c r="E2" s="3982"/>
      <c r="F2" s="3982"/>
      <c r="G2" s="3982"/>
      <c r="H2" s="4516" t="s">
        <v>906</v>
      </c>
      <c r="I2" s="4516"/>
      <c r="J2" s="4516"/>
      <c r="K2" s="4516"/>
      <c r="M2" s="4517" t="s">
        <v>907</v>
      </c>
      <c r="N2" s="4518"/>
      <c r="O2" s="4518"/>
      <c r="P2" s="4518"/>
      <c r="Q2" s="4518"/>
      <c r="R2" s="4519"/>
      <c r="S2" s="4517" t="s">
        <v>908</v>
      </c>
      <c r="T2" s="4519"/>
      <c r="U2" s="4011"/>
      <c r="V2" s="4520" t="s">
        <v>906</v>
      </c>
      <c r="W2" s="4521"/>
    </row>
    <row r="3" spans="1:25" s="3977" customFormat="1" ht="24.95" customHeight="1">
      <c r="A3" s="3983" t="s">
        <v>909</v>
      </c>
      <c r="B3" s="3983" t="s">
        <v>910</v>
      </c>
      <c r="C3" s="3983" t="s">
        <v>911</v>
      </c>
      <c r="D3" s="3983" t="s">
        <v>912</v>
      </c>
      <c r="E3" s="3982"/>
      <c r="F3" s="3984" t="s">
        <v>913</v>
      </c>
      <c r="G3" s="3982"/>
      <c r="H3" s="3983" t="s">
        <v>909</v>
      </c>
      <c r="I3" s="3983" t="s">
        <v>914</v>
      </c>
      <c r="J3" s="3983" t="s">
        <v>911</v>
      </c>
      <c r="K3" s="3983" t="s">
        <v>912</v>
      </c>
      <c r="M3" s="4003" t="s">
        <v>909</v>
      </c>
      <c r="N3" s="4498" t="s">
        <v>915</v>
      </c>
      <c r="O3" s="4498"/>
      <c r="P3" s="3997" t="s">
        <v>914</v>
      </c>
      <c r="Q3" s="3997" t="s">
        <v>124</v>
      </c>
      <c r="R3" s="4012" t="s">
        <v>911</v>
      </c>
      <c r="S3" s="4003" t="s">
        <v>909</v>
      </c>
      <c r="T3" s="4012" t="s">
        <v>911</v>
      </c>
      <c r="U3" s="4013" t="s">
        <v>916</v>
      </c>
      <c r="V3" s="4014" t="s">
        <v>909</v>
      </c>
      <c r="W3" s="4015" t="s">
        <v>917</v>
      </c>
      <c r="Y3" s="4036"/>
    </row>
    <row r="4" spans="1:25" ht="12" customHeight="1">
      <c r="A4" s="4508">
        <v>42.2</v>
      </c>
      <c r="B4" s="3985">
        <v>0</v>
      </c>
      <c r="C4" s="3986">
        <f>IF(A4="","",A4+B4)</f>
        <v>42.2</v>
      </c>
      <c r="D4" s="4485" t="s">
        <v>918</v>
      </c>
      <c r="E4" s="3987"/>
      <c r="F4" s="4485" t="s">
        <v>919</v>
      </c>
      <c r="G4" s="3987"/>
      <c r="H4" s="4493" t="str">
        <f>IF(AND(F4&lt;&gt;"封闭环",A4&lt;&gt;""),A4,"")</f>
        <v/>
      </c>
      <c r="I4" s="3985"/>
      <c r="J4" s="4004" t="str">
        <f>IF(H4="","",H4+I4)</f>
        <v/>
      </c>
      <c r="K4" s="4485"/>
      <c r="M4" s="4488" t="str">
        <f>IF(AND(F4&lt;&gt;"封闭环",A4&lt;&gt;""),(C4+C5)/2,"")</f>
        <v/>
      </c>
      <c r="N4" s="4477" t="str">
        <f>IF(M4&lt;&gt;"","±","")</f>
        <v/>
      </c>
      <c r="O4" s="4481" t="str">
        <f>IF(M4&lt;&gt;"",ABS((B4+B5)/2),"")</f>
        <v/>
      </c>
      <c r="P4" s="4475"/>
      <c r="Q4" s="4476" t="str">
        <f>IF(M4&lt;&gt;"",P4*2,"")</f>
        <v/>
      </c>
      <c r="R4" s="4016" t="str">
        <f>IF(M4="","",M4+P4)</f>
        <v/>
      </c>
      <c r="S4" s="4470"/>
      <c r="T4" s="4017" t="str">
        <f>IF(S4="","",S4+P4)</f>
        <v/>
      </c>
      <c r="U4" s="4473" t="str">
        <f>IF(M4&lt;&gt;"",K4,"")</f>
        <v/>
      </c>
      <c r="V4" s="4467" t="str">
        <f>IF(AND(F4&lt;&gt;"封闭环",H4&lt;&gt;""),H4,"")</f>
        <v/>
      </c>
      <c r="W4" s="4018" t="str">
        <f>IF(V4&lt;&gt;"",T4-V4,"")</f>
        <v/>
      </c>
      <c r="Y4" s="4037"/>
    </row>
    <row r="5" spans="1:25" ht="12" customHeight="1">
      <c r="A5" s="4508"/>
      <c r="B5" s="3985">
        <v>-0.16</v>
      </c>
      <c r="C5" s="3986">
        <f>IF(A4="","",A4+B5)</f>
        <v>42.04</v>
      </c>
      <c r="D5" s="4485"/>
      <c r="E5" s="3987"/>
      <c r="F5" s="4485"/>
      <c r="G5" s="3987"/>
      <c r="H5" s="4493"/>
      <c r="I5" s="3985"/>
      <c r="J5" s="4004" t="str">
        <f>IF(H4="","",H4+I5)</f>
        <v/>
      </c>
      <c r="K5" s="4485"/>
      <c r="M5" s="4488"/>
      <c r="N5" s="4477"/>
      <c r="O5" s="4481"/>
      <c r="P5" s="4475"/>
      <c r="Q5" s="4476"/>
      <c r="R5" s="4016" t="str">
        <f>IF(M4="","",M4-P4)</f>
        <v/>
      </c>
      <c r="S5" s="4470"/>
      <c r="T5" s="4017" t="str">
        <f>IF(S4="","",S4-P4)</f>
        <v/>
      </c>
      <c r="U5" s="4473"/>
      <c r="V5" s="4468"/>
      <c r="W5" s="4018" t="str">
        <f>IF(V4&lt;&gt;"",T5-V4,"")</f>
        <v/>
      </c>
      <c r="Y5" s="4037"/>
    </row>
    <row r="6" spans="1:25" ht="12" customHeight="1">
      <c r="A6" s="4508">
        <v>12.6</v>
      </c>
      <c r="B6" s="3985">
        <v>0.11</v>
      </c>
      <c r="C6" s="3986">
        <f>IF(A6="","",A6+B6)</f>
        <v>12.71</v>
      </c>
      <c r="D6" s="4485" t="s">
        <v>920</v>
      </c>
      <c r="E6" s="3987"/>
      <c r="F6" s="4485"/>
      <c r="G6" s="3987"/>
      <c r="H6" s="4493">
        <f>IF(AND(F6&lt;&gt;"封闭环",A6&lt;&gt;""),A6,"")</f>
        <v>12.6</v>
      </c>
      <c r="I6" s="3985">
        <v>0.11</v>
      </c>
      <c r="J6" s="4004">
        <f>IF(H6="","",H6+I6)</f>
        <v>12.71</v>
      </c>
      <c r="K6" s="4485" t="s">
        <v>918</v>
      </c>
      <c r="M6" s="4488">
        <f>IF(AND(F6&lt;&gt;"封闭环",A6&lt;&gt;""),(C6+C7)/2,"")</f>
        <v>12.654999999999999</v>
      </c>
      <c r="N6" s="4477" t="str">
        <f>IF(M6&lt;&gt;"","±","")</f>
        <v>±</v>
      </c>
      <c r="O6" s="4481">
        <f>IF(M6&lt;&gt;"",ABS((B6+B7)/2),"")</f>
        <v>5.5E-2</v>
      </c>
      <c r="P6" s="4475">
        <v>0.05</v>
      </c>
      <c r="Q6" s="4476">
        <f>IF(M6&lt;&gt;"",P6*2,"")</f>
        <v>0.1</v>
      </c>
      <c r="R6" s="4016">
        <f>IF(M6="","",M6+P6)</f>
        <v>12.705</v>
      </c>
      <c r="S6" s="4470">
        <v>12.65</v>
      </c>
      <c r="T6" s="4017">
        <f>IF(S6="","",S6+P6)</f>
        <v>12.7</v>
      </c>
      <c r="U6" s="4473" t="str">
        <f>IF(M6&lt;&gt;"",K6,"")</f>
        <v>增环</v>
      </c>
      <c r="V6" s="4467">
        <f>IF(AND(F6&lt;&gt;"封闭环",H6&lt;&gt;""),H6,"")</f>
        <v>12.6</v>
      </c>
      <c r="W6" s="4018">
        <f>IF(V6&lt;&gt;"",T6-V6,"")</f>
        <v>0.100000000000001</v>
      </c>
      <c r="Y6" s="4037"/>
    </row>
    <row r="7" spans="1:25" ht="12" customHeight="1">
      <c r="A7" s="4508"/>
      <c r="B7" s="3985">
        <v>0</v>
      </c>
      <c r="C7" s="3986">
        <f>IF(A6="","",A6+B7)</f>
        <v>12.6</v>
      </c>
      <c r="D7" s="4485"/>
      <c r="E7" s="3987"/>
      <c r="F7" s="4485"/>
      <c r="G7" s="3987"/>
      <c r="H7" s="4493"/>
      <c r="I7" s="3985">
        <v>0</v>
      </c>
      <c r="J7" s="4004">
        <f>IF(H6="","",H6+I7)</f>
        <v>12.6</v>
      </c>
      <c r="K7" s="4485"/>
      <c r="M7" s="4488"/>
      <c r="N7" s="4477"/>
      <c r="O7" s="4481"/>
      <c r="P7" s="4475"/>
      <c r="Q7" s="4476"/>
      <c r="R7" s="4016">
        <f>IF(M6="","",M6-P6)</f>
        <v>12.605</v>
      </c>
      <c r="S7" s="4470"/>
      <c r="T7" s="4017">
        <f>IF(S6="","",S6-P6)</f>
        <v>12.6</v>
      </c>
      <c r="U7" s="4473"/>
      <c r="V7" s="4468"/>
      <c r="W7" s="4018">
        <f>IF(V6&lt;&gt;"",T7-V6,"")</f>
        <v>0</v>
      </c>
      <c r="Y7" s="4037"/>
    </row>
    <row r="8" spans="1:25" ht="12" customHeight="1">
      <c r="A8" s="4508">
        <v>6</v>
      </c>
      <c r="B8" s="3985">
        <v>0</v>
      </c>
      <c r="C8" s="3986">
        <f>IF(A8="","",A8+B8)</f>
        <v>6</v>
      </c>
      <c r="D8" s="4485" t="s">
        <v>920</v>
      </c>
      <c r="E8" s="3987"/>
      <c r="F8" s="4485"/>
      <c r="G8" s="3987"/>
      <c r="H8" s="4493">
        <f>IF(AND(F8&lt;&gt;"封闭环",A8&lt;&gt;""),A8,"")</f>
        <v>6</v>
      </c>
      <c r="I8" s="3985">
        <v>0</v>
      </c>
      <c r="J8" s="4004">
        <f>IF(H8="","",H8+I8)</f>
        <v>6</v>
      </c>
      <c r="K8" s="4485" t="s">
        <v>918</v>
      </c>
      <c r="M8" s="4488">
        <f>IF(AND(F8&lt;&gt;"封闭环",A8&lt;&gt;""),(C8+C9)/2,"")</f>
        <v>5.9625000000000004</v>
      </c>
      <c r="N8" s="4477" t="str">
        <f>IF(M8&lt;&gt;"","±","")</f>
        <v>±</v>
      </c>
      <c r="O8" s="4481">
        <f>IF(M8&lt;&gt;"",ABS((B8+B9)/2),"")</f>
        <v>3.7499999999999999E-2</v>
      </c>
      <c r="P8" s="4475">
        <v>3.7999999999999999E-2</v>
      </c>
      <c r="Q8" s="4476">
        <f>IF(M8&lt;&gt;"",P8*2,"")</f>
        <v>7.5999999999999998E-2</v>
      </c>
      <c r="R8" s="4016">
        <f>IF(M8="","",M8+P8)</f>
        <v>6.0004999999999997</v>
      </c>
      <c r="S8" s="4470">
        <v>5.9619999999999997</v>
      </c>
      <c r="T8" s="4017">
        <f>IF(S8="","",S8+P8)</f>
        <v>6</v>
      </c>
      <c r="U8" s="4473" t="str">
        <f>IF(M8&lt;&gt;"",K8,"")</f>
        <v>增环</v>
      </c>
      <c r="V8" s="4467">
        <f>IF(AND(F8&lt;&gt;"封闭环",H8&lt;&gt;""),H8,"")</f>
        <v>6</v>
      </c>
      <c r="W8" s="4018">
        <f>IF(V8&lt;&gt;"",T8-V8,"")</f>
        <v>0</v>
      </c>
      <c r="Y8" s="4037"/>
    </row>
    <row r="9" spans="1:25" ht="12" customHeight="1">
      <c r="A9" s="4508"/>
      <c r="B9" s="3985">
        <v>-7.4999999999999997E-2</v>
      </c>
      <c r="C9" s="3986">
        <f>IF(A8="","",A8+B9)</f>
        <v>5.9249999999999998</v>
      </c>
      <c r="D9" s="4485"/>
      <c r="E9" s="3987"/>
      <c r="F9" s="4485"/>
      <c r="G9" s="3987"/>
      <c r="H9" s="4493"/>
      <c r="I9" s="3985">
        <v>-7.4999999999999997E-2</v>
      </c>
      <c r="J9" s="4004">
        <f>IF(H8="","",H8+I9)</f>
        <v>5.9249999999999998</v>
      </c>
      <c r="K9" s="4485"/>
      <c r="M9" s="4488"/>
      <c r="N9" s="4477"/>
      <c r="O9" s="4481"/>
      <c r="P9" s="4475"/>
      <c r="Q9" s="4476"/>
      <c r="R9" s="4016">
        <f>IF(M8="","",M8-P8)</f>
        <v>5.9245000000000001</v>
      </c>
      <c r="S9" s="4470"/>
      <c r="T9" s="4017">
        <f>IF(S8="","",S8-P8)</f>
        <v>5.9240000000000004</v>
      </c>
      <c r="U9" s="4473"/>
      <c r="V9" s="4468"/>
      <c r="W9" s="4018">
        <f>IF(V8&lt;&gt;"",T9-V8,"")</f>
        <v>-7.6000000000000498E-2</v>
      </c>
      <c r="Y9" s="4037"/>
    </row>
    <row r="10" spans="1:25" ht="12" customHeight="1">
      <c r="A10" s="4508"/>
      <c r="B10" s="3985"/>
      <c r="C10" s="3986" t="str">
        <f>IF(A10="","",A10+B10)</f>
        <v/>
      </c>
      <c r="D10" s="4485"/>
      <c r="E10" s="3987"/>
      <c r="F10" s="4485"/>
      <c r="G10" s="3987"/>
      <c r="H10" s="4493" t="str">
        <f>IF(AND(F10&lt;&gt;"封闭环",A10&lt;&gt;""),A10,"")</f>
        <v/>
      </c>
      <c r="I10" s="3985"/>
      <c r="J10" s="4004" t="str">
        <f>IF(H10="","",H10+I10)</f>
        <v/>
      </c>
      <c r="K10" s="4485"/>
      <c r="M10" s="4488" t="str">
        <f>IF(AND(F10&lt;&gt;"封闭环",A10&lt;&gt;""),(C10+C11)/2,"")</f>
        <v/>
      </c>
      <c r="N10" s="4477" t="str">
        <f>IF(M10&lt;&gt;"","±","")</f>
        <v/>
      </c>
      <c r="O10" s="4481" t="str">
        <f>IF(M10&lt;&gt;"",ABS((B10+B11)/2),"")</f>
        <v/>
      </c>
      <c r="P10" s="4475"/>
      <c r="Q10" s="4476" t="str">
        <f>IF(M10&lt;&gt;"",P10*2,"")</f>
        <v/>
      </c>
      <c r="R10" s="4016" t="str">
        <f>IF(M10="","",M10+P10)</f>
        <v/>
      </c>
      <c r="S10" s="4470"/>
      <c r="T10" s="4017" t="str">
        <f>IF(S10="","",S10+P10)</f>
        <v/>
      </c>
      <c r="U10" s="4473" t="str">
        <f>IF(M10&lt;&gt;"",K10,"")</f>
        <v/>
      </c>
      <c r="V10" s="4467" t="str">
        <f>IF(AND(F10&lt;&gt;"封闭环",H10&lt;&gt;""),H10,"")</f>
        <v/>
      </c>
      <c r="W10" s="4018" t="str">
        <f>IF(V10&lt;&gt;"",T10-V10,"")</f>
        <v/>
      </c>
      <c r="Y10" s="4037"/>
    </row>
    <row r="11" spans="1:25" ht="12" customHeight="1">
      <c r="A11" s="4508"/>
      <c r="B11" s="3985"/>
      <c r="C11" s="3986" t="str">
        <f>IF(A10="","",A10+B11)</f>
        <v/>
      </c>
      <c r="D11" s="4485"/>
      <c r="E11" s="3987"/>
      <c r="F11" s="4485"/>
      <c r="G11" s="3987"/>
      <c r="H11" s="4493"/>
      <c r="I11" s="3985"/>
      <c r="J11" s="4004" t="str">
        <f>IF(H10="","",H10+I11)</f>
        <v/>
      </c>
      <c r="K11" s="4485"/>
      <c r="M11" s="4488"/>
      <c r="N11" s="4477"/>
      <c r="O11" s="4481"/>
      <c r="P11" s="4475"/>
      <c r="Q11" s="4476"/>
      <c r="R11" s="4016" t="str">
        <f>IF(M10="","",M10-P10)</f>
        <v/>
      </c>
      <c r="S11" s="4470"/>
      <c r="T11" s="4017" t="str">
        <f>IF(S10="","",S10-P10)</f>
        <v/>
      </c>
      <c r="U11" s="4473"/>
      <c r="V11" s="4468"/>
      <c r="W11" s="4018" t="str">
        <f>IF(V10&lt;&gt;"",T11-V10,"")</f>
        <v/>
      </c>
      <c r="Y11" s="4037"/>
    </row>
    <row r="12" spans="1:25" ht="12" customHeight="1">
      <c r="A12" s="4508"/>
      <c r="B12" s="3985"/>
      <c r="C12" s="3986" t="str">
        <f>IF(A12="","",A12+B12)</f>
        <v/>
      </c>
      <c r="D12" s="4485"/>
      <c r="E12" s="3987"/>
      <c r="F12" s="4485"/>
      <c r="G12" s="3987"/>
      <c r="H12" s="4493" t="str">
        <f>IF(AND(F12&lt;&gt;"封闭环",A12&lt;&gt;""),A12,"")</f>
        <v/>
      </c>
      <c r="I12" s="3985"/>
      <c r="J12" s="4004" t="str">
        <f>IF(H12="","",H12+I12)</f>
        <v/>
      </c>
      <c r="K12" s="4485"/>
      <c r="M12" s="4488" t="str">
        <f>IF(AND(F12&lt;&gt;"封闭环",A12&lt;&gt;""),(C12+C13)/2,"")</f>
        <v/>
      </c>
      <c r="N12" s="4477" t="str">
        <f>IF(M12&lt;&gt;"","±","")</f>
        <v/>
      </c>
      <c r="O12" s="4481" t="str">
        <f>IF(M12&lt;&gt;"",ABS((B12+B13)/2),"")</f>
        <v/>
      </c>
      <c r="P12" s="4475"/>
      <c r="Q12" s="4476" t="str">
        <f>IF(M12&lt;&gt;"",P12*2,"")</f>
        <v/>
      </c>
      <c r="R12" s="4016" t="str">
        <f>IF(M12="","",M12+P12)</f>
        <v/>
      </c>
      <c r="S12" s="4470"/>
      <c r="T12" s="4017" t="str">
        <f>IF(S12="","",S12+P12)</f>
        <v/>
      </c>
      <c r="U12" s="4473" t="str">
        <f>IF(M12&lt;&gt;"",K12,"")</f>
        <v/>
      </c>
      <c r="V12" s="4467" t="str">
        <f>IF(AND(F12&lt;&gt;"封闭环",H12&lt;&gt;""),H12,"")</f>
        <v/>
      </c>
      <c r="W12" s="4018" t="str">
        <f>IF(V12&lt;&gt;"",T12-V12,"")</f>
        <v/>
      </c>
      <c r="Y12" s="4037"/>
    </row>
    <row r="13" spans="1:25" ht="12" customHeight="1">
      <c r="A13" s="4508"/>
      <c r="B13" s="3985"/>
      <c r="C13" s="3986" t="str">
        <f>IF(A12="","",A12+B13)</f>
        <v/>
      </c>
      <c r="D13" s="4485"/>
      <c r="E13" s="3987"/>
      <c r="F13" s="4485"/>
      <c r="G13" s="3987"/>
      <c r="H13" s="4493"/>
      <c r="I13" s="3985"/>
      <c r="J13" s="4004" t="str">
        <f>IF(H12="","",H12+I13)</f>
        <v/>
      </c>
      <c r="K13" s="4485"/>
      <c r="M13" s="4488"/>
      <c r="N13" s="4477"/>
      <c r="O13" s="4481"/>
      <c r="P13" s="4475"/>
      <c r="Q13" s="4476"/>
      <c r="R13" s="4016" t="str">
        <f>IF(M12="","",M12-P12)</f>
        <v/>
      </c>
      <c r="S13" s="4470"/>
      <c r="T13" s="4017" t="str">
        <f>IF(S12="","",S12-P12)</f>
        <v/>
      </c>
      <c r="U13" s="4473"/>
      <c r="V13" s="4468"/>
      <c r="W13" s="4018" t="str">
        <f>IF(V12&lt;&gt;"",T13-V12,"")</f>
        <v/>
      </c>
      <c r="Y13" s="4037"/>
    </row>
    <row r="14" spans="1:25" ht="12" customHeight="1">
      <c r="A14" s="4508"/>
      <c r="B14" s="3985"/>
      <c r="C14" s="3986" t="str">
        <f>IF(A14="","",A14+B14)</f>
        <v/>
      </c>
      <c r="D14" s="4485"/>
      <c r="E14" s="3987"/>
      <c r="F14" s="4485"/>
      <c r="G14" s="3987"/>
      <c r="H14" s="4493" t="str">
        <f>IF(AND(F14&lt;&gt;"封闭环",A14&lt;&gt;""),A14,"")</f>
        <v/>
      </c>
      <c r="I14" s="3985"/>
      <c r="J14" s="4004" t="str">
        <f>IF(H14="","",H14+I14)</f>
        <v/>
      </c>
      <c r="K14" s="4485"/>
      <c r="M14" s="4488" t="str">
        <f>IF(AND(F14&lt;&gt;"封闭环",A14&lt;&gt;""),(C14+C15)/2,"")</f>
        <v/>
      </c>
      <c r="N14" s="4477" t="str">
        <f>IF(M14&lt;&gt;"","±","")</f>
        <v/>
      </c>
      <c r="O14" s="4481" t="str">
        <f>IF(M14&lt;&gt;"",ABS((B14+B15)/2),"")</f>
        <v/>
      </c>
      <c r="P14" s="4475"/>
      <c r="Q14" s="4476" t="str">
        <f>IF(M14&lt;&gt;"",P14*2,"")</f>
        <v/>
      </c>
      <c r="R14" s="4016" t="str">
        <f>IF(M14="","",M14+P14)</f>
        <v/>
      </c>
      <c r="S14" s="4470"/>
      <c r="T14" s="4017" t="str">
        <f>IF(S14="","",S14+P14)</f>
        <v/>
      </c>
      <c r="U14" s="4473" t="str">
        <f>IF(M14&lt;&gt;"",K14,"")</f>
        <v/>
      </c>
      <c r="V14" s="4467" t="str">
        <f>IF(AND(F14&lt;&gt;"封闭环",H14&lt;&gt;""),H14,"")</f>
        <v/>
      </c>
      <c r="W14" s="4018" t="str">
        <f>IF(V14&lt;&gt;"",T14-V14,"")</f>
        <v/>
      </c>
      <c r="Y14" s="4037"/>
    </row>
    <row r="15" spans="1:25" ht="12" customHeight="1">
      <c r="A15" s="4508"/>
      <c r="B15" s="3985"/>
      <c r="C15" s="3986" t="str">
        <f>IF(A14="","",A14+B15)</f>
        <v/>
      </c>
      <c r="D15" s="4485"/>
      <c r="E15" s="3987"/>
      <c r="F15" s="4485"/>
      <c r="G15" s="3987"/>
      <c r="H15" s="4493"/>
      <c r="I15" s="3985"/>
      <c r="J15" s="4004" t="str">
        <f>IF(H14="","",H14+I15)</f>
        <v/>
      </c>
      <c r="K15" s="4485"/>
      <c r="M15" s="4488"/>
      <c r="N15" s="4477"/>
      <c r="O15" s="4481"/>
      <c r="P15" s="4475"/>
      <c r="Q15" s="4476"/>
      <c r="R15" s="4016" t="str">
        <f>IF(M14="","",M14-P14)</f>
        <v/>
      </c>
      <c r="S15" s="4470"/>
      <c r="T15" s="4017" t="str">
        <f>IF(S14="","",S14-P14)</f>
        <v/>
      </c>
      <c r="U15" s="4473"/>
      <c r="V15" s="4468"/>
      <c r="W15" s="4018" t="str">
        <f>IF(V14&lt;&gt;"",T15-V14,"")</f>
        <v/>
      </c>
      <c r="Y15" s="4037"/>
    </row>
    <row r="16" spans="1:25" ht="12" customHeight="1">
      <c r="A16" s="4508"/>
      <c r="B16" s="3985"/>
      <c r="C16" s="3986" t="str">
        <f>IF(A16="","",A16+B16)</f>
        <v/>
      </c>
      <c r="D16" s="4485"/>
      <c r="E16" s="3987"/>
      <c r="F16" s="4485"/>
      <c r="G16" s="3987"/>
      <c r="H16" s="4493" t="str">
        <f>IF(AND(F16&lt;&gt;"封闭环",A16&lt;&gt;""),A16,"")</f>
        <v/>
      </c>
      <c r="I16" s="3985"/>
      <c r="J16" s="4004" t="str">
        <f>IF(H16="","",H16+I16)</f>
        <v/>
      </c>
      <c r="K16" s="4485"/>
      <c r="M16" s="4488" t="str">
        <f>IF(AND(F16&lt;&gt;"封闭环",A16&lt;&gt;""),(C16+C17)/2,"")</f>
        <v/>
      </c>
      <c r="N16" s="4477" t="str">
        <f>IF(M16&lt;&gt;"","±","")</f>
        <v/>
      </c>
      <c r="O16" s="4481" t="str">
        <f>IF(M16&lt;&gt;"",ABS((B16+B17)/2),"")</f>
        <v/>
      </c>
      <c r="P16" s="4475"/>
      <c r="Q16" s="4476" t="str">
        <f>IF(M16&lt;&gt;"",P16*2,"")</f>
        <v/>
      </c>
      <c r="R16" s="4016" t="str">
        <f>IF(M16="","",M16+P16)</f>
        <v/>
      </c>
      <c r="S16" s="4470"/>
      <c r="T16" s="4017" t="str">
        <f>IF(S16="","",S16+P16)</f>
        <v/>
      </c>
      <c r="U16" s="4473" t="str">
        <f>IF(M16&lt;&gt;"",K16,"")</f>
        <v/>
      </c>
      <c r="V16" s="4467" t="str">
        <f>IF(AND(F16&lt;&gt;"封闭环",H16&lt;&gt;""),H16,"")</f>
        <v/>
      </c>
      <c r="W16" s="4018" t="str">
        <f>IF(V16&lt;&gt;"",T16-V16,"")</f>
        <v/>
      </c>
      <c r="Y16" s="4037"/>
    </row>
    <row r="17" spans="1:25" ht="12" customHeight="1">
      <c r="A17" s="4508"/>
      <c r="B17" s="3985"/>
      <c r="C17" s="3986" t="str">
        <f>IF(A16="","",A16+B17)</f>
        <v/>
      </c>
      <c r="D17" s="4485"/>
      <c r="E17" s="3987"/>
      <c r="F17" s="4485"/>
      <c r="G17" s="3987"/>
      <c r="H17" s="4493"/>
      <c r="I17" s="3985"/>
      <c r="J17" s="4004" t="str">
        <f>IF(H16="","",H16+I17)</f>
        <v/>
      </c>
      <c r="K17" s="4485"/>
      <c r="M17" s="4488"/>
      <c r="N17" s="4477"/>
      <c r="O17" s="4481"/>
      <c r="P17" s="4475"/>
      <c r="Q17" s="4476"/>
      <c r="R17" s="4016" t="str">
        <f>IF(M16="","",M16-P16)</f>
        <v/>
      </c>
      <c r="S17" s="4470"/>
      <c r="T17" s="4017" t="str">
        <f>IF(S16="","",S16-P16)</f>
        <v/>
      </c>
      <c r="U17" s="4473"/>
      <c r="V17" s="4468"/>
      <c r="W17" s="4018" t="str">
        <f>IF(V16&lt;&gt;"",T17-V16,"")</f>
        <v/>
      </c>
      <c r="Y17" s="4037"/>
    </row>
    <row r="18" spans="1:25" ht="12" customHeight="1">
      <c r="A18" s="4508"/>
      <c r="B18" s="3985"/>
      <c r="C18" s="3986" t="str">
        <f>IF(A18="","",A18+B18)</f>
        <v/>
      </c>
      <c r="D18" s="4485"/>
      <c r="E18" s="3987"/>
      <c r="F18" s="4485"/>
      <c r="G18" s="3987"/>
      <c r="H18" s="4493" t="str">
        <f>IF(AND(F18&lt;&gt;"封闭环",A18&lt;&gt;""),A18,"")</f>
        <v/>
      </c>
      <c r="I18" s="3985"/>
      <c r="J18" s="4004" t="str">
        <f>IF(H18="","",H18+I18)</f>
        <v/>
      </c>
      <c r="K18" s="4485"/>
      <c r="M18" s="4488" t="str">
        <f>IF(AND(F18&lt;&gt;"封闭环",A18&lt;&gt;""),(C18+C19)/2,"")</f>
        <v/>
      </c>
      <c r="N18" s="4477" t="str">
        <f>IF(M18&lt;&gt;"","±","")</f>
        <v/>
      </c>
      <c r="O18" s="4481" t="str">
        <f>IF(M18&lt;&gt;"",ABS((B18+B19)/2),"")</f>
        <v/>
      </c>
      <c r="P18" s="4475"/>
      <c r="Q18" s="4476" t="str">
        <f>IF(M18&lt;&gt;"",P18*2,"")</f>
        <v/>
      </c>
      <c r="R18" s="4016" t="str">
        <f>IF(M18="","",M18+P18)</f>
        <v/>
      </c>
      <c r="S18" s="4470"/>
      <c r="T18" s="4017" t="str">
        <f>IF(S18="","",S18+P18)</f>
        <v/>
      </c>
      <c r="U18" s="4473" t="str">
        <f>IF(M18&lt;&gt;"",K18,"")</f>
        <v/>
      </c>
      <c r="V18" s="4467" t="str">
        <f>IF(AND(F18&lt;&gt;"封闭环",H18&lt;&gt;""),H18,"")</f>
        <v/>
      </c>
      <c r="W18" s="4018" t="str">
        <f>IF(V18&lt;&gt;"",T18-V18,"")</f>
        <v/>
      </c>
      <c r="Y18" s="4037"/>
    </row>
    <row r="19" spans="1:25" ht="12" customHeight="1">
      <c r="A19" s="4508"/>
      <c r="B19" s="3985"/>
      <c r="C19" s="3986" t="str">
        <f>IF(A18="","",A18+B19)</f>
        <v/>
      </c>
      <c r="D19" s="4485"/>
      <c r="E19" s="3987"/>
      <c r="F19" s="4485"/>
      <c r="G19" s="3987"/>
      <c r="H19" s="4493"/>
      <c r="I19" s="3985"/>
      <c r="J19" s="4004" t="str">
        <f>IF(H18="","",H18+I19)</f>
        <v/>
      </c>
      <c r="K19" s="4485"/>
      <c r="M19" s="4488"/>
      <c r="N19" s="4477"/>
      <c r="O19" s="4481"/>
      <c r="P19" s="4475"/>
      <c r="Q19" s="4476"/>
      <c r="R19" s="4016" t="str">
        <f>IF(M18="","",M18-P18)</f>
        <v/>
      </c>
      <c r="S19" s="4470"/>
      <c r="T19" s="4017" t="str">
        <f>IF(S18="","",S18-P18)</f>
        <v/>
      </c>
      <c r="U19" s="4473"/>
      <c r="V19" s="4468"/>
      <c r="W19" s="4018" t="str">
        <f>IF(V18&lt;&gt;"",T19-V18,"")</f>
        <v/>
      </c>
      <c r="Y19" s="4037"/>
    </row>
    <row r="20" spans="1:25" ht="12" customHeight="1">
      <c r="A20" s="4508"/>
      <c r="B20" s="3985"/>
      <c r="C20" s="3986" t="str">
        <f>IF(A20="","",A20+B20)</f>
        <v/>
      </c>
      <c r="D20" s="4485"/>
      <c r="E20" s="3987"/>
      <c r="F20" s="4485"/>
      <c r="G20" s="3987"/>
      <c r="H20" s="4493" t="str">
        <f>IF(AND(F20&lt;&gt;"封闭环",A20&lt;&gt;""),A20,"")</f>
        <v/>
      </c>
      <c r="I20" s="3985"/>
      <c r="J20" s="4004" t="str">
        <f>IF(H20="","",H20+I20)</f>
        <v/>
      </c>
      <c r="K20" s="4485"/>
      <c r="M20" s="4488" t="str">
        <f>IF(AND(F20&lt;&gt;"封闭环",A20&lt;&gt;""),(C20+C21)/2,"")</f>
        <v/>
      </c>
      <c r="N20" s="4477" t="str">
        <f>IF(M20&lt;&gt;"","±","")</f>
        <v/>
      </c>
      <c r="O20" s="4481" t="str">
        <f>IF(M20&lt;&gt;"",ABS((B20+B21)/2),"")</f>
        <v/>
      </c>
      <c r="P20" s="4475"/>
      <c r="Q20" s="4476" t="str">
        <f>IF(M20&lt;&gt;"",P20*2,"")</f>
        <v/>
      </c>
      <c r="R20" s="4016" t="str">
        <f>IF(M20="","",M20+P20)</f>
        <v/>
      </c>
      <c r="S20" s="4470"/>
      <c r="T20" s="4017" t="str">
        <f>IF(S20="","",S20+P20)</f>
        <v/>
      </c>
      <c r="U20" s="4473" t="str">
        <f>IF(M20&lt;&gt;"",K20,"")</f>
        <v/>
      </c>
      <c r="V20" s="4467" t="str">
        <f>IF(AND(F20&lt;&gt;"封闭环",H20&lt;&gt;""),H20,"")</f>
        <v/>
      </c>
      <c r="W20" s="4018" t="str">
        <f>IF(V20&lt;&gt;"",T20-V20,"")</f>
        <v/>
      </c>
      <c r="Y20" s="4037"/>
    </row>
    <row r="21" spans="1:25" ht="12" customHeight="1">
      <c r="A21" s="4508"/>
      <c r="B21" s="3985"/>
      <c r="C21" s="3986" t="str">
        <f>IF(A20="","",A20+B21)</f>
        <v/>
      </c>
      <c r="D21" s="4485"/>
      <c r="E21" s="3987"/>
      <c r="F21" s="4485"/>
      <c r="G21" s="3987"/>
      <c r="H21" s="4493"/>
      <c r="I21" s="3985"/>
      <c r="J21" s="4004" t="str">
        <f>IF(H20="","",H20+I21)</f>
        <v/>
      </c>
      <c r="K21" s="4485"/>
      <c r="M21" s="4488"/>
      <c r="N21" s="4477"/>
      <c r="O21" s="4481"/>
      <c r="P21" s="4475"/>
      <c r="Q21" s="4476"/>
      <c r="R21" s="4016" t="str">
        <f>IF(M20="","",M20-P20)</f>
        <v/>
      </c>
      <c r="S21" s="4470"/>
      <c r="T21" s="4017" t="str">
        <f>IF(S20="","",S20-P20)</f>
        <v/>
      </c>
      <c r="U21" s="4473"/>
      <c r="V21" s="4468"/>
      <c r="W21" s="4018" t="str">
        <f>IF(V20&lt;&gt;"",T21-V20,"")</f>
        <v/>
      </c>
      <c r="Y21" s="4037"/>
    </row>
    <row r="22" spans="1:25" ht="12" customHeight="1">
      <c r="A22" s="4508"/>
      <c r="B22" s="3985"/>
      <c r="C22" s="3986" t="str">
        <f>IF(A22="","",A22+B22)</f>
        <v/>
      </c>
      <c r="D22" s="4485"/>
      <c r="E22" s="3987"/>
      <c r="F22" s="4485"/>
      <c r="G22" s="3987"/>
      <c r="H22" s="4493" t="str">
        <f>IF(AND(F22&lt;&gt;"封闭环",A22&lt;&gt;""),A22,"")</f>
        <v/>
      </c>
      <c r="I22" s="3985"/>
      <c r="J22" s="4004" t="str">
        <f>IF(H22="","",H22+I22)</f>
        <v/>
      </c>
      <c r="K22" s="4485"/>
      <c r="M22" s="4488" t="str">
        <f>IF(AND(F22&lt;&gt;"封闭环",A22&lt;&gt;""),(C22+C23)/2,"")</f>
        <v/>
      </c>
      <c r="N22" s="4477" t="str">
        <f>IF(M22&lt;&gt;"","±","")</f>
        <v/>
      </c>
      <c r="O22" s="4481" t="str">
        <f>IF(M22&lt;&gt;"",ABS((B22+B23)/2),"")</f>
        <v/>
      </c>
      <c r="P22" s="4475"/>
      <c r="Q22" s="4476" t="str">
        <f>IF(M22&lt;&gt;"",P22*2,"")</f>
        <v/>
      </c>
      <c r="R22" s="4016" t="str">
        <f>IF(M22="","",M22+P22)</f>
        <v/>
      </c>
      <c r="S22" s="4470"/>
      <c r="T22" s="4017" t="str">
        <f>IF(S22="","",S22+P22)</f>
        <v/>
      </c>
      <c r="U22" s="4473" t="str">
        <f>IF(M22&lt;&gt;"",K22,"")</f>
        <v/>
      </c>
      <c r="V22" s="4467" t="str">
        <f>IF(AND(F22&lt;&gt;"封闭环",H22&lt;&gt;""),H22,"")</f>
        <v/>
      </c>
      <c r="W22" s="4018" t="str">
        <f>IF(V22&lt;&gt;"",T22-V22,"")</f>
        <v/>
      </c>
      <c r="Y22" s="4037"/>
    </row>
    <row r="23" spans="1:25" ht="12" customHeight="1">
      <c r="A23" s="4508"/>
      <c r="B23" s="3985"/>
      <c r="C23" s="3986" t="str">
        <f>IF(A22="","",A22+B23)</f>
        <v/>
      </c>
      <c r="D23" s="4485"/>
      <c r="E23" s="3987"/>
      <c r="F23" s="4485"/>
      <c r="G23" s="3987"/>
      <c r="H23" s="4493"/>
      <c r="I23" s="3985"/>
      <c r="J23" s="4004" t="str">
        <f>IF(H22="","",H22+I23)</f>
        <v/>
      </c>
      <c r="K23" s="4485"/>
      <c r="M23" s="4488"/>
      <c r="N23" s="4477"/>
      <c r="O23" s="4481"/>
      <c r="P23" s="4475"/>
      <c r="Q23" s="4476"/>
      <c r="R23" s="4016" t="str">
        <f>IF(M22="","",M22-P22)</f>
        <v/>
      </c>
      <c r="S23" s="4470"/>
      <c r="T23" s="4017" t="str">
        <f>IF(S22="","",S22-P22)</f>
        <v/>
      </c>
      <c r="U23" s="4473"/>
      <c r="V23" s="4468"/>
      <c r="W23" s="4018" t="str">
        <f>IF(V22&lt;&gt;"",T23-V22,"")</f>
        <v/>
      </c>
      <c r="Y23" s="4037"/>
    </row>
    <row r="24" spans="1:25" ht="12" customHeight="1">
      <c r="A24" s="3988"/>
      <c r="B24" s="3989"/>
      <c r="C24" s="3990"/>
      <c r="D24" s="3991"/>
      <c r="E24" s="3987"/>
      <c r="F24" s="3992"/>
      <c r="G24" s="3987"/>
      <c r="H24" s="4494">
        <f>IF(A28&lt;&gt;0,A28,"")</f>
        <v>23.6</v>
      </c>
      <c r="I24" s="3985">
        <v>0.05</v>
      </c>
      <c r="J24" s="4004">
        <f>IF(H24="","",H24+I24)</f>
        <v>23.65</v>
      </c>
      <c r="K24" s="4486" t="s">
        <v>918</v>
      </c>
      <c r="M24" s="4489">
        <f>IF(A28&lt;&gt;0,A28,"")</f>
        <v>23.6</v>
      </c>
      <c r="N24" s="4478" t="str">
        <f>IF(M24&lt;&gt;"","±","")</f>
        <v>±</v>
      </c>
      <c r="O24" s="4482"/>
      <c r="P24" s="4475">
        <v>0.05</v>
      </c>
      <c r="Q24" s="4476">
        <f>IF(M24&lt;&gt;"",P24*2,"")</f>
        <v>0.1</v>
      </c>
      <c r="R24" s="4016">
        <f>IF(M24="","",M24+P24)</f>
        <v>23.65</v>
      </c>
      <c r="S24" s="4470">
        <v>23.51</v>
      </c>
      <c r="T24" s="4017">
        <f>IF(S24="","",S24+P24)</f>
        <v>23.56</v>
      </c>
      <c r="U24" s="4473" t="str">
        <f>IF(M24&lt;&gt;"",K24,"")</f>
        <v>增环</v>
      </c>
      <c r="V24" s="4467">
        <f>IF(AND(F24&lt;&gt;"封闭环",H24&lt;&gt;""),H24,"")</f>
        <v>23.6</v>
      </c>
      <c r="W24" s="4018">
        <f>IF(V24&lt;&gt;"",T24-V24,"")</f>
        <v>-3.9999999999999099E-2</v>
      </c>
      <c r="Y24" s="4037"/>
    </row>
    <row r="25" spans="1:25" ht="12" customHeight="1">
      <c r="A25" s="3993"/>
      <c r="B25" s="3994"/>
      <c r="C25" s="3995"/>
      <c r="D25" s="3996"/>
      <c r="E25" s="3987"/>
      <c r="F25" s="3992"/>
      <c r="G25" s="3987"/>
      <c r="H25" s="4494"/>
      <c r="I25" s="3985">
        <v>-0.05</v>
      </c>
      <c r="J25" s="4004">
        <f>IF(H24="","",H24+I25)</f>
        <v>23.55</v>
      </c>
      <c r="K25" s="4486"/>
      <c r="M25" s="4489"/>
      <c r="N25" s="4478"/>
      <c r="O25" s="4482"/>
      <c r="P25" s="4475"/>
      <c r="Q25" s="4476"/>
      <c r="R25" s="4016">
        <f>IF(M24="","",M24-P24)</f>
        <v>23.55</v>
      </c>
      <c r="S25" s="4470"/>
      <c r="T25" s="4017">
        <f>IF(S24="","",S24-P24)</f>
        <v>23.46</v>
      </c>
      <c r="U25" s="4473"/>
      <c r="V25" s="4468"/>
      <c r="W25" s="4018">
        <f>IF(V24&lt;&gt;"",T25-V24,"")</f>
        <v>-0.14000000000000101</v>
      </c>
      <c r="Y25" s="4037"/>
    </row>
    <row r="26" spans="1:25" ht="15" customHeight="1">
      <c r="A26" s="4499" t="s">
        <v>921</v>
      </c>
      <c r="B26" s="4499"/>
      <c r="C26" s="4499"/>
      <c r="D26" s="4499"/>
      <c r="E26" s="3981"/>
      <c r="F26" s="3981"/>
      <c r="G26" s="3981"/>
      <c r="H26" s="4500" t="s">
        <v>921</v>
      </c>
      <c r="I26" s="4500"/>
      <c r="J26" s="4500"/>
      <c r="K26" s="4500"/>
      <c r="M26" s="4501" t="s">
        <v>922</v>
      </c>
      <c r="N26" s="4502"/>
      <c r="O26" s="4502"/>
      <c r="P26" s="4502"/>
      <c r="Q26" s="4502"/>
      <c r="R26" s="4503"/>
      <c r="S26" s="4501" t="s">
        <v>923</v>
      </c>
      <c r="T26" s="4503"/>
      <c r="U26" s="4019"/>
      <c r="V26" s="4504" t="s">
        <v>921</v>
      </c>
      <c r="W26" s="4505"/>
    </row>
    <row r="27" spans="1:25" ht="24.95" customHeight="1">
      <c r="A27" s="3997" t="s">
        <v>909</v>
      </c>
      <c r="B27" s="3997" t="s">
        <v>910</v>
      </c>
      <c r="C27" s="3997" t="s">
        <v>911</v>
      </c>
      <c r="D27" s="3998"/>
      <c r="E27" s="3981"/>
      <c r="F27" s="3981"/>
      <c r="G27" s="3981"/>
      <c r="H27" s="3983" t="s">
        <v>909</v>
      </c>
      <c r="I27" s="3983" t="s">
        <v>910</v>
      </c>
      <c r="J27" s="3983" t="s">
        <v>911</v>
      </c>
      <c r="K27" s="4005"/>
      <c r="M27" s="4003" t="s">
        <v>909</v>
      </c>
      <c r="N27" s="4506" t="s">
        <v>917</v>
      </c>
      <c r="O27" s="4507"/>
      <c r="P27" s="4006"/>
      <c r="Q27" s="4020"/>
      <c r="R27" s="4012" t="s">
        <v>911</v>
      </c>
      <c r="S27" s="4021" t="s">
        <v>909</v>
      </c>
      <c r="T27" s="4022" t="s">
        <v>911</v>
      </c>
      <c r="U27" s="4023"/>
      <c r="V27" s="4014" t="s">
        <v>909</v>
      </c>
      <c r="W27" s="4015" t="s">
        <v>917</v>
      </c>
    </row>
    <row r="28" spans="1:25" ht="12" customHeight="1">
      <c r="A28" s="4496">
        <f>SUMIF(D4:D23,"增环",A4:A23)-SUMIF(D4:D23,"减环",A4:A23)</f>
        <v>23.6</v>
      </c>
      <c r="B28" s="3999">
        <f>[5]公差计算表!F15-[5]公差计算表!I15</f>
        <v>7.4999999999999997E-2</v>
      </c>
      <c r="C28" s="4000">
        <f>IF(A28="","",A28+B28)</f>
        <v>23.675000000000001</v>
      </c>
      <c r="D28" s="4497"/>
      <c r="E28" s="3981"/>
      <c r="F28" s="4492"/>
      <c r="G28" s="3987"/>
      <c r="H28" s="4495">
        <f>SUMIF(K4:K25,"增环",H4:H25)-SUMIF(K4:K25,"减环",H4:H25)</f>
        <v>42.2</v>
      </c>
      <c r="I28" s="4007">
        <f>[5]公差计算表!O16-[5]公差计算表!R16</f>
        <v>0.16</v>
      </c>
      <c r="J28" s="4008">
        <f>IF(H28="","",H28+I28)</f>
        <v>42.36</v>
      </c>
      <c r="K28" s="4487"/>
      <c r="M28" s="4490">
        <f>SUMIF(U4:U25,"增环",M4:M25)-SUMIF(U4:U25,"减环",M4:M25)</f>
        <v>42.217500000000001</v>
      </c>
      <c r="N28" s="4479" t="str">
        <f>IF(M28&lt;&gt;"","±","")</f>
        <v>±</v>
      </c>
      <c r="O28" s="4483">
        <f>SQRT(SUMSQ(Q4:Q25))/2</f>
        <v>8.0274528961557901E-2</v>
      </c>
      <c r="P28" s="4009"/>
      <c r="Q28" s="4024"/>
      <c r="R28" s="4025">
        <f>IF(M28="","",M28+O28)</f>
        <v>42.297774528961597</v>
      </c>
      <c r="S28" s="4471">
        <f>SUMIF(U4:U25,"增环",S4:S25)-SUMIF(U4:U25,"减环",S4:S25)</f>
        <v>42.122</v>
      </c>
      <c r="T28" s="4026">
        <f>IF(S28="","",S28+O28)</f>
        <v>42.202274528961603</v>
      </c>
      <c r="U28" s="4474"/>
      <c r="V28" s="4467">
        <f>SUMIF(U4:U25,"增环",V4:V25)-SUMIF(U4:U25,"减环",V4:V25)</f>
        <v>42.2</v>
      </c>
      <c r="W28" s="4027">
        <f>IF(V28&lt;&gt;"",T28-V28,"")</f>
        <v>2.27452896155711E-3</v>
      </c>
    </row>
    <row r="29" spans="1:25" ht="12" customHeight="1">
      <c r="A29" s="4496"/>
      <c r="B29" s="3999">
        <f>[5]公差计算表!G15-[5]公差计算表!H15</f>
        <v>-0.27</v>
      </c>
      <c r="C29" s="4000">
        <f>IF(A28="","",A28+B29)</f>
        <v>23.33</v>
      </c>
      <c r="D29" s="4497"/>
      <c r="E29" s="3981"/>
      <c r="F29" s="4492"/>
      <c r="G29" s="3987"/>
      <c r="H29" s="4495"/>
      <c r="I29" s="4007">
        <f>[5]公差计算表!P16-[5]公差计算表!Q16</f>
        <v>-0.125</v>
      </c>
      <c r="J29" s="4008">
        <f>IF(H28="","",H28+I29)</f>
        <v>42.075000000000003</v>
      </c>
      <c r="K29" s="4487"/>
      <c r="M29" s="4491"/>
      <c r="N29" s="4480"/>
      <c r="O29" s="4484"/>
      <c r="P29" s="4010"/>
      <c r="Q29" s="4028"/>
      <c r="R29" s="4029">
        <f>IF(M28="","",M28-O28)</f>
        <v>42.137225471038398</v>
      </c>
      <c r="S29" s="4472"/>
      <c r="T29" s="4030">
        <f>IF(S28="","",S28-O28)</f>
        <v>42.041725471038397</v>
      </c>
      <c r="U29" s="4474"/>
      <c r="V29" s="4469"/>
      <c r="W29" s="4031">
        <f>IF(V28&lt;&gt;"",T29-V28,"")</f>
        <v>-0.15827452896156299</v>
      </c>
    </row>
    <row r="30" spans="1:25" ht="12" customHeight="1">
      <c r="M30" s="4455" t="s">
        <v>924</v>
      </c>
      <c r="N30" s="4456"/>
      <c r="O30" s="4456"/>
      <c r="P30" s="4457"/>
      <c r="Q30" s="4461">
        <f>INDEX(A4:A23,MATCH("封闭环",F4:F23,0),1)</f>
        <v>42.2</v>
      </c>
      <c r="R30" s="4462"/>
      <c r="S30" s="4032">
        <f>INDEX(B4:B23,MATCH("封闭环",F4:F23,0),1)</f>
        <v>0</v>
      </c>
      <c r="T30" s="4033">
        <f>INDEX(C4:C23,ROW(INDEX(A4:A23,MATCH("封闭环",F4:F23,0),1))-3,1)</f>
        <v>42.2</v>
      </c>
      <c r="U30" s="4465"/>
      <c r="V30" s="4453"/>
      <c r="W30" s="4453"/>
    </row>
    <row r="31" spans="1:25" ht="12" customHeight="1">
      <c r="M31" s="4458"/>
      <c r="N31" s="4459"/>
      <c r="O31" s="4459"/>
      <c r="P31" s="4460"/>
      <c r="Q31" s="4463"/>
      <c r="R31" s="4464"/>
      <c r="S31" s="4034">
        <f>INDEX(B4:B23,MATCH("封闭环",F4:F23,0)+1,1)</f>
        <v>-0.16</v>
      </c>
      <c r="T31" s="4035">
        <f>INDEX(C4:C23,ROW(INDEX(A4:A23,MATCH("封闭环",F4:F23,0),1))-2,1)</f>
        <v>42.04</v>
      </c>
      <c r="U31" s="4466"/>
      <c r="V31" s="4454"/>
      <c r="W31" s="4454"/>
    </row>
    <row r="33" spans="1:6" ht="12" customHeight="1">
      <c r="A33" s="4001" t="s">
        <v>925</v>
      </c>
    </row>
    <row r="34" spans="1:6" ht="12" customHeight="1">
      <c r="A34" s="4001" t="s">
        <v>926</v>
      </c>
    </row>
    <row r="35" spans="1:6" ht="12" customHeight="1">
      <c r="A35" s="4001" t="s">
        <v>927</v>
      </c>
    </row>
    <row r="36" spans="1:6" ht="12" customHeight="1">
      <c r="A36" s="4001" t="s">
        <v>928</v>
      </c>
    </row>
    <row r="37" spans="1:6" ht="12" customHeight="1">
      <c r="A37" s="4001" t="s">
        <v>929</v>
      </c>
      <c r="D37" s="4002"/>
      <c r="E37" s="4002"/>
      <c r="F37" s="4002"/>
    </row>
    <row r="38" spans="1:6" ht="12" customHeight="1">
      <c r="D38" s="4002"/>
      <c r="E38" s="4002"/>
      <c r="F38" s="4002"/>
    </row>
    <row r="39" spans="1:6" ht="12" customHeight="1">
      <c r="D39" s="4002" t="s">
        <v>918</v>
      </c>
      <c r="E39" s="4002"/>
      <c r="F39" s="4002" t="s">
        <v>919</v>
      </c>
    </row>
    <row r="40" spans="1:6" ht="12" customHeight="1">
      <c r="D40" s="4002" t="s">
        <v>920</v>
      </c>
      <c r="E40" s="4002"/>
      <c r="F40" s="4002"/>
    </row>
    <row r="41" spans="1:6" ht="12" customHeight="1">
      <c r="D41" s="4002"/>
      <c r="E41" s="4002"/>
      <c r="F41" s="4002"/>
    </row>
  </sheetData>
  <mergeCells count="172">
    <mergeCell ref="A1:D1"/>
    <mergeCell ref="H1:K1"/>
    <mergeCell ref="M1:U1"/>
    <mergeCell ref="V1:W1"/>
    <mergeCell ref="A2:D2"/>
    <mergeCell ref="H2:K2"/>
    <mergeCell ref="M2:R2"/>
    <mergeCell ref="S2:T2"/>
    <mergeCell ref="V2:W2"/>
    <mergeCell ref="N3:O3"/>
    <mergeCell ref="A26:D26"/>
    <mergeCell ref="H26:K26"/>
    <mergeCell ref="M26:R26"/>
    <mergeCell ref="S26:T26"/>
    <mergeCell ref="V26:W26"/>
    <mergeCell ref="N27:O27"/>
    <mergeCell ref="A4:A5"/>
    <mergeCell ref="A6:A7"/>
    <mergeCell ref="A8:A9"/>
    <mergeCell ref="A10:A11"/>
    <mergeCell ref="A12:A13"/>
    <mergeCell ref="A14:A15"/>
    <mergeCell ref="A16:A17"/>
    <mergeCell ref="A18:A19"/>
    <mergeCell ref="A20:A21"/>
    <mergeCell ref="A22:A23"/>
    <mergeCell ref="F4:F5"/>
    <mergeCell ref="F6:F7"/>
    <mergeCell ref="F8:F9"/>
    <mergeCell ref="F10:F11"/>
    <mergeCell ref="F12:F13"/>
    <mergeCell ref="F14:F15"/>
    <mergeCell ref="F16:F17"/>
    <mergeCell ref="A28:A29"/>
    <mergeCell ref="D4:D5"/>
    <mergeCell ref="D6:D7"/>
    <mergeCell ref="D8:D9"/>
    <mergeCell ref="D10:D11"/>
    <mergeCell ref="D12:D13"/>
    <mergeCell ref="D14:D15"/>
    <mergeCell ref="D16:D17"/>
    <mergeCell ref="D18:D19"/>
    <mergeCell ref="D20:D21"/>
    <mergeCell ref="D22:D23"/>
    <mergeCell ref="D28:D29"/>
    <mergeCell ref="F18:F19"/>
    <mergeCell ref="F20:F21"/>
    <mergeCell ref="F22:F23"/>
    <mergeCell ref="F28:F29"/>
    <mergeCell ref="H4:H5"/>
    <mergeCell ref="H6:H7"/>
    <mergeCell ref="H8:H9"/>
    <mergeCell ref="H10:H11"/>
    <mergeCell ref="H12:H13"/>
    <mergeCell ref="H14:H15"/>
    <mergeCell ref="H16:H17"/>
    <mergeCell ref="H18:H19"/>
    <mergeCell ref="H20:H21"/>
    <mergeCell ref="H22:H23"/>
    <mergeCell ref="H24:H25"/>
    <mergeCell ref="H28:H29"/>
    <mergeCell ref="K22:K23"/>
    <mergeCell ref="K24:K25"/>
    <mergeCell ref="K28:K29"/>
    <mergeCell ref="M4:M5"/>
    <mergeCell ref="M6:M7"/>
    <mergeCell ref="M8:M9"/>
    <mergeCell ref="M10:M11"/>
    <mergeCell ref="M12:M13"/>
    <mergeCell ref="M14:M15"/>
    <mergeCell ref="M16:M17"/>
    <mergeCell ref="M18:M19"/>
    <mergeCell ref="M20:M21"/>
    <mergeCell ref="M22:M23"/>
    <mergeCell ref="M24:M25"/>
    <mergeCell ref="M28:M29"/>
    <mergeCell ref="K4:K5"/>
    <mergeCell ref="K6:K7"/>
    <mergeCell ref="K8:K9"/>
    <mergeCell ref="K10:K11"/>
    <mergeCell ref="K12:K13"/>
    <mergeCell ref="K14:K15"/>
    <mergeCell ref="K16:K17"/>
    <mergeCell ref="K18:K19"/>
    <mergeCell ref="K20:K21"/>
    <mergeCell ref="N22:N23"/>
    <mergeCell ref="N24:N25"/>
    <mergeCell ref="N28:N29"/>
    <mergeCell ref="O4:O5"/>
    <mergeCell ref="O6:O7"/>
    <mergeCell ref="O8:O9"/>
    <mergeCell ref="O10:O11"/>
    <mergeCell ref="O12:O13"/>
    <mergeCell ref="O14:O15"/>
    <mergeCell ref="O16:O17"/>
    <mergeCell ref="O18:O19"/>
    <mergeCell ref="O20:O21"/>
    <mergeCell ref="O22:O23"/>
    <mergeCell ref="O24:O25"/>
    <mergeCell ref="O28:O29"/>
    <mergeCell ref="N4:N5"/>
    <mergeCell ref="N6:N7"/>
    <mergeCell ref="N8:N9"/>
    <mergeCell ref="N10:N11"/>
    <mergeCell ref="N12:N13"/>
    <mergeCell ref="N14:N15"/>
    <mergeCell ref="N16:N17"/>
    <mergeCell ref="N18:N19"/>
    <mergeCell ref="N20:N21"/>
    <mergeCell ref="P22:P23"/>
    <mergeCell ref="P24:P25"/>
    <mergeCell ref="Q4:Q5"/>
    <mergeCell ref="Q6:Q7"/>
    <mergeCell ref="Q8:Q9"/>
    <mergeCell ref="Q10:Q11"/>
    <mergeCell ref="Q12:Q13"/>
    <mergeCell ref="Q14:Q15"/>
    <mergeCell ref="Q16:Q17"/>
    <mergeCell ref="Q18:Q19"/>
    <mergeCell ref="Q20:Q21"/>
    <mergeCell ref="Q22:Q23"/>
    <mergeCell ref="Q24:Q25"/>
    <mergeCell ref="P4:P5"/>
    <mergeCell ref="P6:P7"/>
    <mergeCell ref="P8:P9"/>
    <mergeCell ref="P10:P11"/>
    <mergeCell ref="P12:P13"/>
    <mergeCell ref="P14:P15"/>
    <mergeCell ref="P16:P17"/>
    <mergeCell ref="P18:P19"/>
    <mergeCell ref="P20:P21"/>
    <mergeCell ref="U12:U13"/>
    <mergeCell ref="U14:U15"/>
    <mergeCell ref="U16:U17"/>
    <mergeCell ref="U18:U19"/>
    <mergeCell ref="U20:U21"/>
    <mergeCell ref="U22:U23"/>
    <mergeCell ref="U24:U25"/>
    <mergeCell ref="U28:U29"/>
    <mergeCell ref="S4:S5"/>
    <mergeCell ref="S6:S7"/>
    <mergeCell ref="S8:S9"/>
    <mergeCell ref="S10:S11"/>
    <mergeCell ref="S12:S13"/>
    <mergeCell ref="S14:S15"/>
    <mergeCell ref="S16:S17"/>
    <mergeCell ref="S18:S19"/>
    <mergeCell ref="S20:S21"/>
    <mergeCell ref="W30:W31"/>
    <mergeCell ref="M30:P31"/>
    <mergeCell ref="Q30:R31"/>
    <mergeCell ref="U30:U31"/>
    <mergeCell ref="V4:V5"/>
    <mergeCell ref="V6:V7"/>
    <mergeCell ref="V8:V9"/>
    <mergeCell ref="V10:V11"/>
    <mergeCell ref="V12:V13"/>
    <mergeCell ref="V14:V15"/>
    <mergeCell ref="V16:V17"/>
    <mergeCell ref="V18:V19"/>
    <mergeCell ref="V20:V21"/>
    <mergeCell ref="V22:V23"/>
    <mergeCell ref="V24:V25"/>
    <mergeCell ref="V28:V29"/>
    <mergeCell ref="V30:V31"/>
    <mergeCell ref="S22:S23"/>
    <mergeCell ref="S24:S25"/>
    <mergeCell ref="S28:S29"/>
    <mergeCell ref="U4:U5"/>
    <mergeCell ref="U6:U7"/>
    <mergeCell ref="U8:U9"/>
    <mergeCell ref="U10:U11"/>
  </mergeCells>
  <phoneticPr fontId="214" type="noConversion"/>
  <conditionalFormatting sqref="F4:F23">
    <cfRule type="cellIs" dxfId="5" priority="1" stopIfTrue="1" operator="equal">
      <formula>"封闭环"</formula>
    </cfRule>
  </conditionalFormatting>
  <conditionalFormatting sqref="U4:U25 K28:K29 K4:K25 D4:D25 D28:D29">
    <cfRule type="cellIs" dxfId="4" priority="2" stopIfTrue="1" operator="equal">
      <formula>"增环"</formula>
    </cfRule>
    <cfRule type="cellIs" dxfId="3" priority="3" stopIfTrue="1" operator="equal">
      <formula>"减环"</formula>
    </cfRule>
  </conditionalFormatting>
  <dataValidations count="2">
    <dataValidation type="list" allowBlank="1" showInputMessage="1" showErrorMessage="1" sqref="D4:D23 D65540:D65559 D131076:D131095 D196612:D196631 D262148:D262167 D327684:D327703 D393220:D393239 D458756:D458775 D524292:D524311 D589828:D589847 D655364:D655383 D720900:D720919 D786436:D786455 D851972:D851991 D917508:D917527 D983044:D983063 K4:K25 K65540:K65561 K131076:K131097 K196612:K196633 K262148:K262169 K327684:K327705 K393220:K393241 K458756:K458777 K524292:K524313 K589828:K589849 K655364:K655385 K720900:K720921 K786436:K786457 K851972:K851993 K917508:K917529 K983044:K983065 IZ4:IZ23 IZ65540:IZ65559 IZ131076:IZ131095 IZ196612:IZ196631 IZ262148:IZ262167 IZ327684:IZ327703 IZ393220:IZ393239 IZ458756:IZ458775 IZ524292:IZ524311 IZ589828:IZ589847 IZ655364:IZ655383 IZ720900:IZ720919 IZ786436:IZ786455 IZ851972:IZ851991 IZ917508:IZ917527 IZ983044:IZ983063 JG4:JG25 JG65540:JG65561 JG131076:JG131097 JG196612:JG196633 JG262148:JG262169 JG327684:JG327705 JG393220:JG393241 JG458756:JG458777 JG524292:JG524313 JG589828:JG589849 JG655364:JG655385 JG720900:JG720921 JG786436:JG786457 JG851972:JG851993 JG917508:JG917529 JG983044:JG983065 SV4:SV23 SV65540:SV65559 SV131076:SV131095 SV196612:SV196631 SV262148:SV262167 SV327684:SV327703 SV393220:SV393239 SV458756:SV458775 SV524292:SV524311 SV589828:SV589847 SV655364:SV655383 SV720900:SV720919 SV786436:SV786455 SV851972:SV851991 SV917508:SV917527 SV983044:SV983063 TC4:TC25 TC65540:TC65561 TC131076:TC131097 TC196612:TC196633 TC262148:TC262169 TC327684:TC327705 TC393220:TC393241 TC458756:TC458777 TC524292:TC524313 TC589828:TC589849 TC655364:TC655385 TC720900:TC720921 TC786436:TC786457 TC851972:TC851993 TC917508:TC917529 TC983044:TC983065 ACR4:ACR23 ACR65540:ACR65559 ACR131076:ACR131095 ACR196612:ACR196631 ACR262148:ACR262167 ACR327684:ACR327703 ACR393220:ACR393239 ACR458756:ACR458775 ACR524292:ACR524311 ACR589828:ACR589847 ACR655364:ACR655383 ACR720900:ACR720919 ACR786436:ACR786455 ACR851972:ACR851991 ACR917508:ACR917527 ACR983044:ACR983063 ACY4:ACY25 ACY65540:ACY65561 ACY131076:ACY131097 ACY196612:ACY196633 ACY262148:ACY262169 ACY327684:ACY327705 ACY393220:ACY393241 ACY458756:ACY458777 ACY524292:ACY524313 ACY589828:ACY589849 ACY655364:ACY655385 ACY720900:ACY720921 ACY786436:ACY786457 ACY851972:ACY851993 ACY917508:ACY917529 ACY983044:ACY983065 AMN4:AMN23 AMN65540:AMN65559 AMN131076:AMN131095 AMN196612:AMN196631 AMN262148:AMN262167 AMN327684:AMN327703 AMN393220:AMN393239 AMN458756:AMN458775 AMN524292:AMN524311 AMN589828:AMN589847 AMN655364:AMN655383 AMN720900:AMN720919 AMN786436:AMN786455 AMN851972:AMN851991 AMN917508:AMN917527 AMN983044:AMN983063 AMU4:AMU25 AMU65540:AMU65561 AMU131076:AMU131097 AMU196612:AMU196633 AMU262148:AMU262169 AMU327684:AMU327705 AMU393220:AMU393241 AMU458756:AMU458777 AMU524292:AMU524313 AMU589828:AMU589849 AMU655364:AMU655385 AMU720900:AMU720921 AMU786436:AMU786457 AMU851972:AMU851993 AMU917508:AMU917529 AMU983044:AMU983065 AWJ4:AWJ23 AWJ65540:AWJ65559 AWJ131076:AWJ131095 AWJ196612:AWJ196631 AWJ262148:AWJ262167 AWJ327684:AWJ327703 AWJ393220:AWJ393239 AWJ458756:AWJ458775 AWJ524292:AWJ524311 AWJ589828:AWJ589847 AWJ655364:AWJ655383 AWJ720900:AWJ720919 AWJ786436:AWJ786455 AWJ851972:AWJ851991 AWJ917508:AWJ917527 AWJ983044:AWJ983063 AWQ4:AWQ25 AWQ65540:AWQ65561 AWQ131076:AWQ131097 AWQ196612:AWQ196633 AWQ262148:AWQ262169 AWQ327684:AWQ327705 AWQ393220:AWQ393241 AWQ458756:AWQ458777 AWQ524292:AWQ524313 AWQ589828:AWQ589849 AWQ655364:AWQ655385 AWQ720900:AWQ720921 AWQ786436:AWQ786457 AWQ851972:AWQ851993 AWQ917508:AWQ917529 AWQ983044:AWQ983065 BGF4:BGF23 BGF65540:BGF65559 BGF131076:BGF131095 BGF196612:BGF196631 BGF262148:BGF262167 BGF327684:BGF327703 BGF393220:BGF393239 BGF458756:BGF458775 BGF524292:BGF524311 BGF589828:BGF589847 BGF655364:BGF655383 BGF720900:BGF720919 BGF786436:BGF786455 BGF851972:BGF851991 BGF917508:BGF917527 BGF983044:BGF983063 BGM4:BGM25 BGM65540:BGM65561 BGM131076:BGM131097 BGM196612:BGM196633 BGM262148:BGM262169 BGM327684:BGM327705 BGM393220:BGM393241 BGM458756:BGM458777 BGM524292:BGM524313 BGM589828:BGM589849 BGM655364:BGM655385 BGM720900:BGM720921 BGM786436:BGM786457 BGM851972:BGM851993 BGM917508:BGM917529 BGM983044:BGM983065 BQB4:BQB23 BQB65540:BQB65559 BQB131076:BQB131095 BQB196612:BQB196631 BQB262148:BQB262167 BQB327684:BQB327703 BQB393220:BQB393239 BQB458756:BQB458775 BQB524292:BQB524311 BQB589828:BQB589847 BQB655364:BQB655383 BQB720900:BQB720919 BQB786436:BQB786455 BQB851972:BQB851991 BQB917508:BQB917527 BQB983044:BQB983063 BQI4:BQI25 BQI65540:BQI65561 BQI131076:BQI131097 BQI196612:BQI196633 BQI262148:BQI262169 BQI327684:BQI327705 BQI393220:BQI393241 BQI458756:BQI458777 BQI524292:BQI524313 BQI589828:BQI589849 BQI655364:BQI655385 BQI720900:BQI720921 BQI786436:BQI786457 BQI851972:BQI851993 BQI917508:BQI917529 BQI983044:BQI983065 BZX4:BZX23 BZX65540:BZX65559 BZX131076:BZX131095 BZX196612:BZX196631 BZX262148:BZX262167 BZX327684:BZX327703 BZX393220:BZX393239 BZX458756:BZX458775 BZX524292:BZX524311 BZX589828:BZX589847 BZX655364:BZX655383 BZX720900:BZX720919 BZX786436:BZX786455 BZX851972:BZX851991 BZX917508:BZX917527 BZX983044:BZX983063 CAE4:CAE25 CAE65540:CAE65561 CAE131076:CAE131097 CAE196612:CAE196633 CAE262148:CAE262169 CAE327684:CAE327705 CAE393220:CAE393241 CAE458756:CAE458777 CAE524292:CAE524313 CAE589828:CAE589849 CAE655364:CAE655385 CAE720900:CAE720921 CAE786436:CAE786457 CAE851972:CAE851993 CAE917508:CAE917529 CAE983044:CAE983065 CJT4:CJT23 CJT65540:CJT65559 CJT131076:CJT131095 CJT196612:CJT196631 CJT262148:CJT262167 CJT327684:CJT327703 CJT393220:CJT393239 CJT458756:CJT458775 CJT524292:CJT524311 CJT589828:CJT589847 CJT655364:CJT655383 CJT720900:CJT720919 CJT786436:CJT786455 CJT851972:CJT851991 CJT917508:CJT917527 CJT983044:CJT983063 CKA4:CKA25 CKA65540:CKA65561 CKA131076:CKA131097 CKA196612:CKA196633 CKA262148:CKA262169 CKA327684:CKA327705 CKA393220:CKA393241 CKA458756:CKA458777 CKA524292:CKA524313 CKA589828:CKA589849 CKA655364:CKA655385 CKA720900:CKA720921 CKA786436:CKA786457 CKA851972:CKA851993 CKA917508:CKA917529 CKA983044:CKA983065 CTP4:CTP23 CTP65540:CTP65559 CTP131076:CTP131095 CTP196612:CTP196631 CTP262148:CTP262167 CTP327684:CTP327703 CTP393220:CTP393239 CTP458756:CTP458775 CTP524292:CTP524311 CTP589828:CTP589847 CTP655364:CTP655383 CTP720900:CTP720919 CTP786436:CTP786455 CTP851972:CTP851991 CTP917508:CTP917527 CTP983044:CTP983063 CTW4:CTW25 CTW65540:CTW65561 CTW131076:CTW131097 CTW196612:CTW196633 CTW262148:CTW262169 CTW327684:CTW327705 CTW393220:CTW393241 CTW458756:CTW458777 CTW524292:CTW524313 CTW589828:CTW589849 CTW655364:CTW655385 CTW720900:CTW720921 CTW786436:CTW786457 CTW851972:CTW851993 CTW917508:CTW917529 CTW983044:CTW983065 DDL4:DDL23 DDL65540:DDL65559 DDL131076:DDL131095 DDL196612:DDL196631 DDL262148:DDL262167 DDL327684:DDL327703 DDL393220:DDL393239 DDL458756:DDL458775 DDL524292:DDL524311 DDL589828:DDL589847 DDL655364:DDL655383 DDL720900:DDL720919 DDL786436:DDL786455 DDL851972:DDL851991 DDL917508:DDL917527 DDL983044:DDL983063 DDS4:DDS25 DDS65540:DDS65561 DDS131076:DDS131097 DDS196612:DDS196633 DDS262148:DDS262169 DDS327684:DDS327705 DDS393220:DDS393241 DDS458756:DDS458777 DDS524292:DDS524313 DDS589828:DDS589849 DDS655364:DDS655385 DDS720900:DDS720921 DDS786436:DDS786457 DDS851972:DDS851993 DDS917508:DDS917529 DDS983044:DDS983065 DNH4:DNH23 DNH65540:DNH65559 DNH131076:DNH131095 DNH196612:DNH196631 DNH262148:DNH262167 DNH327684:DNH327703 DNH393220:DNH393239 DNH458756:DNH458775 DNH524292:DNH524311 DNH589828:DNH589847 DNH655364:DNH655383 DNH720900:DNH720919 DNH786436:DNH786455 DNH851972:DNH851991 DNH917508:DNH917527 DNH983044:DNH983063 DNO4:DNO25 DNO65540:DNO65561 DNO131076:DNO131097 DNO196612:DNO196633 DNO262148:DNO262169 DNO327684:DNO327705 DNO393220:DNO393241 DNO458756:DNO458777 DNO524292:DNO524313 DNO589828:DNO589849 DNO655364:DNO655385 DNO720900:DNO720921 DNO786436:DNO786457 DNO851972:DNO851993 DNO917508:DNO917529 DNO983044:DNO983065 DXD4:DXD23 DXD65540:DXD65559 DXD131076:DXD131095 DXD196612:DXD196631 DXD262148:DXD262167 DXD327684:DXD327703 DXD393220:DXD393239 DXD458756:DXD458775 DXD524292:DXD524311 DXD589828:DXD589847 DXD655364:DXD655383 DXD720900:DXD720919 DXD786436:DXD786455 DXD851972:DXD851991 DXD917508:DXD917527 DXD983044:DXD983063 DXK4:DXK25 DXK65540:DXK65561 DXK131076:DXK131097 DXK196612:DXK196633 DXK262148:DXK262169 DXK327684:DXK327705 DXK393220:DXK393241 DXK458756:DXK458777 DXK524292:DXK524313 DXK589828:DXK589849 DXK655364:DXK655385 DXK720900:DXK720921 DXK786436:DXK786457 DXK851972:DXK851993 DXK917508:DXK917529 DXK983044:DXK983065 EGZ4:EGZ23 EGZ65540:EGZ65559 EGZ131076:EGZ131095 EGZ196612:EGZ196631 EGZ262148:EGZ262167 EGZ327684:EGZ327703 EGZ393220:EGZ393239 EGZ458756:EGZ458775 EGZ524292:EGZ524311 EGZ589828:EGZ589847 EGZ655364:EGZ655383 EGZ720900:EGZ720919 EGZ786436:EGZ786455 EGZ851972:EGZ851991 EGZ917508:EGZ917527 EGZ983044:EGZ983063 EHG4:EHG25 EHG65540:EHG65561 EHG131076:EHG131097 EHG196612:EHG196633 EHG262148:EHG262169 EHG327684:EHG327705 EHG393220:EHG393241 EHG458756:EHG458777 EHG524292:EHG524313 EHG589828:EHG589849 EHG655364:EHG655385 EHG720900:EHG720921 EHG786436:EHG786457 EHG851972:EHG851993 EHG917508:EHG917529 EHG983044:EHG983065 EQV4:EQV23 EQV65540:EQV65559 EQV131076:EQV131095 EQV196612:EQV196631 EQV262148:EQV262167 EQV327684:EQV327703 EQV393220:EQV393239 EQV458756:EQV458775 EQV524292:EQV524311 EQV589828:EQV589847 EQV655364:EQV655383 EQV720900:EQV720919 EQV786436:EQV786455 EQV851972:EQV851991 EQV917508:EQV917527 EQV983044:EQV983063 ERC4:ERC25 ERC65540:ERC65561 ERC131076:ERC131097 ERC196612:ERC196633 ERC262148:ERC262169 ERC327684:ERC327705 ERC393220:ERC393241 ERC458756:ERC458777 ERC524292:ERC524313 ERC589828:ERC589849 ERC655364:ERC655385 ERC720900:ERC720921 ERC786436:ERC786457 ERC851972:ERC851993 ERC917508:ERC917529 ERC983044:ERC983065 FAR4:FAR23 FAR65540:FAR65559 FAR131076:FAR131095 FAR196612:FAR196631 FAR262148:FAR262167 FAR327684:FAR327703 FAR393220:FAR393239 FAR458756:FAR458775 FAR524292:FAR524311 FAR589828:FAR589847 FAR655364:FAR655383 FAR720900:FAR720919 FAR786436:FAR786455 FAR851972:FAR851991 FAR917508:FAR917527 FAR983044:FAR983063 FAY4:FAY25 FAY65540:FAY65561 FAY131076:FAY131097 FAY196612:FAY196633 FAY262148:FAY262169 FAY327684:FAY327705 FAY393220:FAY393241 FAY458756:FAY458777 FAY524292:FAY524313 FAY589828:FAY589849 FAY655364:FAY655385 FAY720900:FAY720921 FAY786436:FAY786457 FAY851972:FAY851993 FAY917508:FAY917529 FAY983044:FAY983065 FKN4:FKN23 FKN65540:FKN65559 FKN131076:FKN131095 FKN196612:FKN196631 FKN262148:FKN262167 FKN327684:FKN327703 FKN393220:FKN393239 FKN458756:FKN458775 FKN524292:FKN524311 FKN589828:FKN589847 FKN655364:FKN655383 FKN720900:FKN720919 FKN786436:FKN786455 FKN851972:FKN851991 FKN917508:FKN917527 FKN983044:FKN983063 FKU4:FKU25 FKU65540:FKU65561 FKU131076:FKU131097 FKU196612:FKU196633 FKU262148:FKU262169 FKU327684:FKU327705 FKU393220:FKU393241 FKU458756:FKU458777 FKU524292:FKU524313 FKU589828:FKU589849 FKU655364:FKU655385 FKU720900:FKU720921 FKU786436:FKU786457 FKU851972:FKU851993 FKU917508:FKU917529 FKU983044:FKU983065 FUJ4:FUJ23 FUJ65540:FUJ65559 FUJ131076:FUJ131095 FUJ196612:FUJ196631 FUJ262148:FUJ262167 FUJ327684:FUJ327703 FUJ393220:FUJ393239 FUJ458756:FUJ458775 FUJ524292:FUJ524311 FUJ589828:FUJ589847 FUJ655364:FUJ655383 FUJ720900:FUJ720919 FUJ786436:FUJ786455 FUJ851972:FUJ851991 FUJ917508:FUJ917527 FUJ983044:FUJ983063 FUQ4:FUQ25 FUQ65540:FUQ65561 FUQ131076:FUQ131097 FUQ196612:FUQ196633 FUQ262148:FUQ262169 FUQ327684:FUQ327705 FUQ393220:FUQ393241 FUQ458756:FUQ458777 FUQ524292:FUQ524313 FUQ589828:FUQ589849 FUQ655364:FUQ655385 FUQ720900:FUQ720921 FUQ786436:FUQ786457 FUQ851972:FUQ851993 FUQ917508:FUQ917529 FUQ983044:FUQ983065 GEF4:GEF23 GEF65540:GEF65559 GEF131076:GEF131095 GEF196612:GEF196631 GEF262148:GEF262167 GEF327684:GEF327703 GEF393220:GEF393239 GEF458756:GEF458775 GEF524292:GEF524311 GEF589828:GEF589847 GEF655364:GEF655383 GEF720900:GEF720919 GEF786436:GEF786455 GEF851972:GEF851991 GEF917508:GEF917527 GEF983044:GEF983063 GEM4:GEM25 GEM65540:GEM65561 GEM131076:GEM131097 GEM196612:GEM196633 GEM262148:GEM262169 GEM327684:GEM327705 GEM393220:GEM393241 GEM458756:GEM458777 GEM524292:GEM524313 GEM589828:GEM589849 GEM655364:GEM655385 GEM720900:GEM720921 GEM786436:GEM786457 GEM851972:GEM851993 GEM917508:GEM917529 GEM983044:GEM983065 GOB4:GOB23 GOB65540:GOB65559 GOB131076:GOB131095 GOB196612:GOB196631 GOB262148:GOB262167 GOB327684:GOB327703 GOB393220:GOB393239 GOB458756:GOB458775 GOB524292:GOB524311 GOB589828:GOB589847 GOB655364:GOB655383 GOB720900:GOB720919 GOB786436:GOB786455 GOB851972:GOB851991 GOB917508:GOB917527 GOB983044:GOB983063 GOI4:GOI25 GOI65540:GOI65561 GOI131076:GOI131097 GOI196612:GOI196633 GOI262148:GOI262169 GOI327684:GOI327705 GOI393220:GOI393241 GOI458756:GOI458777 GOI524292:GOI524313 GOI589828:GOI589849 GOI655364:GOI655385 GOI720900:GOI720921 GOI786436:GOI786457 GOI851972:GOI851993 GOI917508:GOI917529 GOI983044:GOI983065 GXX4:GXX23 GXX65540:GXX65559 GXX131076:GXX131095 GXX196612:GXX196631 GXX262148:GXX262167 GXX327684:GXX327703 GXX393220:GXX393239 GXX458756:GXX458775 GXX524292:GXX524311 GXX589828:GXX589847 GXX655364:GXX655383 GXX720900:GXX720919 GXX786436:GXX786455 GXX851972:GXX851991 GXX917508:GXX917527 GXX983044:GXX983063 GYE4:GYE25 GYE65540:GYE65561 GYE131076:GYE131097 GYE196612:GYE196633 GYE262148:GYE262169 GYE327684:GYE327705 GYE393220:GYE393241 GYE458756:GYE458777 GYE524292:GYE524313 GYE589828:GYE589849 GYE655364:GYE655385 GYE720900:GYE720921 GYE786436:GYE786457 GYE851972:GYE851993 GYE917508:GYE917529 GYE983044:GYE983065 HHT4:HHT23 HHT65540:HHT65559 HHT131076:HHT131095 HHT196612:HHT196631 HHT262148:HHT262167 HHT327684:HHT327703 HHT393220:HHT393239 HHT458756:HHT458775 HHT524292:HHT524311 HHT589828:HHT589847 HHT655364:HHT655383 HHT720900:HHT720919 HHT786436:HHT786455 HHT851972:HHT851991 HHT917508:HHT917527 HHT983044:HHT983063 HIA4:HIA25 HIA65540:HIA65561 HIA131076:HIA131097 HIA196612:HIA196633 HIA262148:HIA262169 HIA327684:HIA327705 HIA393220:HIA393241 HIA458756:HIA458777 HIA524292:HIA524313 HIA589828:HIA589849 HIA655364:HIA655385 HIA720900:HIA720921 HIA786436:HIA786457 HIA851972:HIA851993 HIA917508:HIA917529 HIA983044:HIA983065 HRP4:HRP23 HRP65540:HRP65559 HRP131076:HRP131095 HRP196612:HRP196631 HRP262148:HRP262167 HRP327684:HRP327703 HRP393220:HRP393239 HRP458756:HRP458775 HRP524292:HRP524311 HRP589828:HRP589847 HRP655364:HRP655383 HRP720900:HRP720919 HRP786436:HRP786455 HRP851972:HRP851991 HRP917508:HRP917527 HRP983044:HRP983063 HRW4:HRW25 HRW65540:HRW65561 HRW131076:HRW131097 HRW196612:HRW196633 HRW262148:HRW262169 HRW327684:HRW327705 HRW393220:HRW393241 HRW458756:HRW458777 HRW524292:HRW524313 HRW589828:HRW589849 HRW655364:HRW655385 HRW720900:HRW720921 HRW786436:HRW786457 HRW851972:HRW851993 HRW917508:HRW917529 HRW983044:HRW983065 IBL4:IBL23 IBL65540:IBL65559 IBL131076:IBL131095 IBL196612:IBL196631 IBL262148:IBL262167 IBL327684:IBL327703 IBL393220:IBL393239 IBL458756:IBL458775 IBL524292:IBL524311 IBL589828:IBL589847 IBL655364:IBL655383 IBL720900:IBL720919 IBL786436:IBL786455 IBL851972:IBL851991 IBL917508:IBL917527 IBL983044:IBL983063 IBS4:IBS25 IBS65540:IBS65561 IBS131076:IBS131097 IBS196612:IBS196633 IBS262148:IBS262169 IBS327684:IBS327705 IBS393220:IBS393241 IBS458756:IBS458777 IBS524292:IBS524313 IBS589828:IBS589849 IBS655364:IBS655385 IBS720900:IBS720921 IBS786436:IBS786457 IBS851972:IBS851993 IBS917508:IBS917529 IBS983044:IBS983065 ILH4:ILH23 ILH65540:ILH65559 ILH131076:ILH131095 ILH196612:ILH196631 ILH262148:ILH262167 ILH327684:ILH327703 ILH393220:ILH393239 ILH458756:ILH458775 ILH524292:ILH524311 ILH589828:ILH589847 ILH655364:ILH655383 ILH720900:ILH720919 ILH786436:ILH786455 ILH851972:ILH851991 ILH917508:ILH917527 ILH983044:ILH983063 ILO4:ILO25 ILO65540:ILO65561 ILO131076:ILO131097 ILO196612:ILO196633 ILO262148:ILO262169 ILO327684:ILO327705 ILO393220:ILO393241 ILO458756:ILO458777 ILO524292:ILO524313 ILO589828:ILO589849 ILO655364:ILO655385 ILO720900:ILO720921 ILO786436:ILO786457 ILO851972:ILO851993 ILO917508:ILO917529 ILO983044:ILO983065 IVD4:IVD23 IVD65540:IVD65559 IVD131076:IVD131095 IVD196612:IVD196631 IVD262148:IVD262167 IVD327684:IVD327703 IVD393220:IVD393239 IVD458756:IVD458775 IVD524292:IVD524311 IVD589828:IVD589847 IVD655364:IVD655383 IVD720900:IVD720919 IVD786436:IVD786455 IVD851972:IVD851991 IVD917508:IVD917527 IVD983044:IVD983063 IVK4:IVK25 IVK65540:IVK65561 IVK131076:IVK131097 IVK196612:IVK196633 IVK262148:IVK262169 IVK327684:IVK327705 IVK393220:IVK393241 IVK458756:IVK458777 IVK524292:IVK524313 IVK589828:IVK589849 IVK655364:IVK655385 IVK720900:IVK720921 IVK786436:IVK786457 IVK851972:IVK851993 IVK917508:IVK917529 IVK983044:IVK983065 JEZ4:JEZ23 JEZ65540:JEZ65559 JEZ131076:JEZ131095 JEZ196612:JEZ196631 JEZ262148:JEZ262167 JEZ327684:JEZ327703 JEZ393220:JEZ393239 JEZ458756:JEZ458775 JEZ524292:JEZ524311 JEZ589828:JEZ589847 JEZ655364:JEZ655383 JEZ720900:JEZ720919 JEZ786436:JEZ786455 JEZ851972:JEZ851991 JEZ917508:JEZ917527 JEZ983044:JEZ983063 JFG4:JFG25 JFG65540:JFG65561 JFG131076:JFG131097 JFG196612:JFG196633 JFG262148:JFG262169 JFG327684:JFG327705 JFG393220:JFG393241 JFG458756:JFG458777 JFG524292:JFG524313 JFG589828:JFG589849 JFG655364:JFG655385 JFG720900:JFG720921 JFG786436:JFG786457 JFG851972:JFG851993 JFG917508:JFG917529 JFG983044:JFG983065 JOV4:JOV23 JOV65540:JOV65559 JOV131076:JOV131095 JOV196612:JOV196631 JOV262148:JOV262167 JOV327684:JOV327703 JOV393220:JOV393239 JOV458756:JOV458775 JOV524292:JOV524311 JOV589828:JOV589847 JOV655364:JOV655383 JOV720900:JOV720919 JOV786436:JOV786455 JOV851972:JOV851991 JOV917508:JOV917527 JOV983044:JOV983063 JPC4:JPC25 JPC65540:JPC65561 JPC131076:JPC131097 JPC196612:JPC196633 JPC262148:JPC262169 JPC327684:JPC327705 JPC393220:JPC393241 JPC458756:JPC458777 JPC524292:JPC524313 JPC589828:JPC589849 JPC655364:JPC655385 JPC720900:JPC720921 JPC786436:JPC786457 JPC851972:JPC851993 JPC917508:JPC917529 JPC983044:JPC983065 JYR4:JYR23 JYR65540:JYR65559 JYR131076:JYR131095 JYR196612:JYR196631 JYR262148:JYR262167 JYR327684:JYR327703 JYR393220:JYR393239 JYR458756:JYR458775 JYR524292:JYR524311 JYR589828:JYR589847 JYR655364:JYR655383 JYR720900:JYR720919 JYR786436:JYR786455 JYR851972:JYR851991 JYR917508:JYR917527 JYR983044:JYR983063 JYY4:JYY25 JYY65540:JYY65561 JYY131076:JYY131097 JYY196612:JYY196633 JYY262148:JYY262169 JYY327684:JYY327705 JYY393220:JYY393241 JYY458756:JYY458777 JYY524292:JYY524313 JYY589828:JYY589849 JYY655364:JYY655385 JYY720900:JYY720921 JYY786436:JYY786457 JYY851972:JYY851993 JYY917508:JYY917529 JYY983044:JYY983065 KIN4:KIN23 KIN65540:KIN65559 KIN131076:KIN131095 KIN196612:KIN196631 KIN262148:KIN262167 KIN327684:KIN327703 KIN393220:KIN393239 KIN458756:KIN458775 KIN524292:KIN524311 KIN589828:KIN589847 KIN655364:KIN655383 KIN720900:KIN720919 KIN786436:KIN786455 KIN851972:KIN851991 KIN917508:KIN917527 KIN983044:KIN983063 KIU4:KIU25 KIU65540:KIU65561 KIU131076:KIU131097 KIU196612:KIU196633 KIU262148:KIU262169 KIU327684:KIU327705 KIU393220:KIU393241 KIU458756:KIU458777 KIU524292:KIU524313 KIU589828:KIU589849 KIU655364:KIU655385 KIU720900:KIU720921 KIU786436:KIU786457 KIU851972:KIU851993 KIU917508:KIU917529 KIU983044:KIU983065 KSJ4:KSJ23 KSJ65540:KSJ65559 KSJ131076:KSJ131095 KSJ196612:KSJ196631 KSJ262148:KSJ262167 KSJ327684:KSJ327703 KSJ393220:KSJ393239 KSJ458756:KSJ458775 KSJ524292:KSJ524311 KSJ589828:KSJ589847 KSJ655364:KSJ655383 KSJ720900:KSJ720919 KSJ786436:KSJ786455 KSJ851972:KSJ851991 KSJ917508:KSJ917527 KSJ983044:KSJ983063 KSQ4:KSQ25 KSQ65540:KSQ65561 KSQ131076:KSQ131097 KSQ196612:KSQ196633 KSQ262148:KSQ262169 KSQ327684:KSQ327705 KSQ393220:KSQ393241 KSQ458756:KSQ458777 KSQ524292:KSQ524313 KSQ589828:KSQ589849 KSQ655364:KSQ655385 KSQ720900:KSQ720921 KSQ786436:KSQ786457 KSQ851972:KSQ851993 KSQ917508:KSQ917529 KSQ983044:KSQ983065 LCF4:LCF23 LCF65540:LCF65559 LCF131076:LCF131095 LCF196612:LCF196631 LCF262148:LCF262167 LCF327684:LCF327703 LCF393220:LCF393239 LCF458756:LCF458775 LCF524292:LCF524311 LCF589828:LCF589847 LCF655364:LCF655383 LCF720900:LCF720919 LCF786436:LCF786455 LCF851972:LCF851991 LCF917508:LCF917527 LCF983044:LCF983063 LCM4:LCM25 LCM65540:LCM65561 LCM131076:LCM131097 LCM196612:LCM196633 LCM262148:LCM262169 LCM327684:LCM327705 LCM393220:LCM393241 LCM458756:LCM458777 LCM524292:LCM524313 LCM589828:LCM589849 LCM655364:LCM655385 LCM720900:LCM720921 LCM786436:LCM786457 LCM851972:LCM851993 LCM917508:LCM917529 LCM983044:LCM983065 LMB4:LMB23 LMB65540:LMB65559 LMB131076:LMB131095 LMB196612:LMB196631 LMB262148:LMB262167 LMB327684:LMB327703 LMB393220:LMB393239 LMB458756:LMB458775 LMB524292:LMB524311 LMB589828:LMB589847 LMB655364:LMB655383 LMB720900:LMB720919 LMB786436:LMB786455 LMB851972:LMB851991 LMB917508:LMB917527 LMB983044:LMB983063 LMI4:LMI25 LMI65540:LMI65561 LMI131076:LMI131097 LMI196612:LMI196633 LMI262148:LMI262169 LMI327684:LMI327705 LMI393220:LMI393241 LMI458756:LMI458777 LMI524292:LMI524313 LMI589828:LMI589849 LMI655364:LMI655385 LMI720900:LMI720921 LMI786436:LMI786457 LMI851972:LMI851993 LMI917508:LMI917529 LMI983044:LMI983065 LVX4:LVX23 LVX65540:LVX65559 LVX131076:LVX131095 LVX196612:LVX196631 LVX262148:LVX262167 LVX327684:LVX327703 LVX393220:LVX393239 LVX458756:LVX458775 LVX524292:LVX524311 LVX589828:LVX589847 LVX655364:LVX655383 LVX720900:LVX720919 LVX786436:LVX786455 LVX851972:LVX851991 LVX917508:LVX917527 LVX983044:LVX983063 LWE4:LWE25 LWE65540:LWE65561 LWE131076:LWE131097 LWE196612:LWE196633 LWE262148:LWE262169 LWE327684:LWE327705 LWE393220:LWE393241 LWE458756:LWE458777 LWE524292:LWE524313 LWE589828:LWE589849 LWE655364:LWE655385 LWE720900:LWE720921 LWE786436:LWE786457 LWE851972:LWE851993 LWE917508:LWE917529 LWE983044:LWE983065 MFT4:MFT23 MFT65540:MFT65559 MFT131076:MFT131095 MFT196612:MFT196631 MFT262148:MFT262167 MFT327684:MFT327703 MFT393220:MFT393239 MFT458756:MFT458775 MFT524292:MFT524311 MFT589828:MFT589847 MFT655364:MFT655383 MFT720900:MFT720919 MFT786436:MFT786455 MFT851972:MFT851991 MFT917508:MFT917527 MFT983044:MFT983063 MGA4:MGA25 MGA65540:MGA65561 MGA131076:MGA131097 MGA196612:MGA196633 MGA262148:MGA262169 MGA327684:MGA327705 MGA393220:MGA393241 MGA458756:MGA458777 MGA524292:MGA524313 MGA589828:MGA589849 MGA655364:MGA655385 MGA720900:MGA720921 MGA786436:MGA786457 MGA851972:MGA851993 MGA917508:MGA917529 MGA983044:MGA983065 MPP4:MPP23 MPP65540:MPP65559 MPP131076:MPP131095 MPP196612:MPP196631 MPP262148:MPP262167 MPP327684:MPP327703 MPP393220:MPP393239 MPP458756:MPP458775 MPP524292:MPP524311 MPP589828:MPP589847 MPP655364:MPP655383 MPP720900:MPP720919 MPP786436:MPP786455 MPP851972:MPP851991 MPP917508:MPP917527 MPP983044:MPP983063 MPW4:MPW25 MPW65540:MPW65561 MPW131076:MPW131097 MPW196612:MPW196633 MPW262148:MPW262169 MPW327684:MPW327705 MPW393220:MPW393241 MPW458756:MPW458777 MPW524292:MPW524313 MPW589828:MPW589849 MPW655364:MPW655385 MPW720900:MPW720921 MPW786436:MPW786457 MPW851972:MPW851993 MPW917508:MPW917529 MPW983044:MPW983065 MZL4:MZL23 MZL65540:MZL65559 MZL131076:MZL131095 MZL196612:MZL196631 MZL262148:MZL262167 MZL327684:MZL327703 MZL393220:MZL393239 MZL458756:MZL458775 MZL524292:MZL524311 MZL589828:MZL589847 MZL655364:MZL655383 MZL720900:MZL720919 MZL786436:MZL786455 MZL851972:MZL851991 MZL917508:MZL917527 MZL983044:MZL983063 MZS4:MZS25 MZS65540:MZS65561 MZS131076:MZS131097 MZS196612:MZS196633 MZS262148:MZS262169 MZS327684:MZS327705 MZS393220:MZS393241 MZS458756:MZS458777 MZS524292:MZS524313 MZS589828:MZS589849 MZS655364:MZS655385 MZS720900:MZS720921 MZS786436:MZS786457 MZS851972:MZS851993 MZS917508:MZS917529 MZS983044:MZS983065 NJH4:NJH23 NJH65540:NJH65559 NJH131076:NJH131095 NJH196612:NJH196631 NJH262148:NJH262167 NJH327684:NJH327703 NJH393220:NJH393239 NJH458756:NJH458775 NJH524292:NJH524311 NJH589828:NJH589847 NJH655364:NJH655383 NJH720900:NJH720919 NJH786436:NJH786455 NJH851972:NJH851991 NJH917508:NJH917527 NJH983044:NJH983063 NJO4:NJO25 NJO65540:NJO65561 NJO131076:NJO131097 NJO196612:NJO196633 NJO262148:NJO262169 NJO327684:NJO327705 NJO393220:NJO393241 NJO458756:NJO458777 NJO524292:NJO524313 NJO589828:NJO589849 NJO655364:NJO655385 NJO720900:NJO720921 NJO786436:NJO786457 NJO851972:NJO851993 NJO917508:NJO917529 NJO983044:NJO983065 NTD4:NTD23 NTD65540:NTD65559 NTD131076:NTD131095 NTD196612:NTD196631 NTD262148:NTD262167 NTD327684:NTD327703 NTD393220:NTD393239 NTD458756:NTD458775 NTD524292:NTD524311 NTD589828:NTD589847 NTD655364:NTD655383 NTD720900:NTD720919 NTD786436:NTD786455 NTD851972:NTD851991 NTD917508:NTD917527 NTD983044:NTD983063 NTK4:NTK25 NTK65540:NTK65561 NTK131076:NTK131097 NTK196612:NTK196633 NTK262148:NTK262169 NTK327684:NTK327705 NTK393220:NTK393241 NTK458756:NTK458777 NTK524292:NTK524313 NTK589828:NTK589849 NTK655364:NTK655385 NTK720900:NTK720921 NTK786436:NTK786457 NTK851972:NTK851993 NTK917508:NTK917529 NTK983044:NTK983065 OCZ4:OCZ23 OCZ65540:OCZ65559 OCZ131076:OCZ131095 OCZ196612:OCZ196631 OCZ262148:OCZ262167 OCZ327684:OCZ327703 OCZ393220:OCZ393239 OCZ458756:OCZ458775 OCZ524292:OCZ524311 OCZ589828:OCZ589847 OCZ655364:OCZ655383 OCZ720900:OCZ720919 OCZ786436:OCZ786455 OCZ851972:OCZ851991 OCZ917508:OCZ917527 OCZ983044:OCZ983063 ODG4:ODG25 ODG65540:ODG65561 ODG131076:ODG131097 ODG196612:ODG196633 ODG262148:ODG262169 ODG327684:ODG327705 ODG393220:ODG393241 ODG458756:ODG458777 ODG524292:ODG524313 ODG589828:ODG589849 ODG655364:ODG655385 ODG720900:ODG720921 ODG786436:ODG786457 ODG851972:ODG851993 ODG917508:ODG917529 ODG983044:ODG983065 OMV4:OMV23 OMV65540:OMV65559 OMV131076:OMV131095 OMV196612:OMV196631 OMV262148:OMV262167 OMV327684:OMV327703 OMV393220:OMV393239 OMV458756:OMV458775 OMV524292:OMV524311 OMV589828:OMV589847 OMV655364:OMV655383 OMV720900:OMV720919 OMV786436:OMV786455 OMV851972:OMV851991 OMV917508:OMV917527 OMV983044:OMV983063 ONC4:ONC25 ONC65540:ONC65561 ONC131076:ONC131097 ONC196612:ONC196633 ONC262148:ONC262169 ONC327684:ONC327705 ONC393220:ONC393241 ONC458756:ONC458777 ONC524292:ONC524313 ONC589828:ONC589849 ONC655364:ONC655385 ONC720900:ONC720921 ONC786436:ONC786457 ONC851972:ONC851993 ONC917508:ONC917529 ONC983044:ONC983065 OWR4:OWR23 OWR65540:OWR65559 OWR131076:OWR131095 OWR196612:OWR196631 OWR262148:OWR262167 OWR327684:OWR327703 OWR393220:OWR393239 OWR458756:OWR458775 OWR524292:OWR524311 OWR589828:OWR589847 OWR655364:OWR655383 OWR720900:OWR720919 OWR786436:OWR786455 OWR851972:OWR851991 OWR917508:OWR917527 OWR983044:OWR983063 OWY4:OWY25 OWY65540:OWY65561 OWY131076:OWY131097 OWY196612:OWY196633 OWY262148:OWY262169 OWY327684:OWY327705 OWY393220:OWY393241 OWY458756:OWY458777 OWY524292:OWY524313 OWY589828:OWY589849 OWY655364:OWY655385 OWY720900:OWY720921 OWY786436:OWY786457 OWY851972:OWY851993 OWY917508:OWY917529 OWY983044:OWY983065 PGN4:PGN23 PGN65540:PGN65559 PGN131076:PGN131095 PGN196612:PGN196631 PGN262148:PGN262167 PGN327684:PGN327703 PGN393220:PGN393239 PGN458756:PGN458775 PGN524292:PGN524311 PGN589828:PGN589847 PGN655364:PGN655383 PGN720900:PGN720919 PGN786436:PGN786455 PGN851972:PGN851991 PGN917508:PGN917527 PGN983044:PGN983063 PGU4:PGU25 PGU65540:PGU65561 PGU131076:PGU131097 PGU196612:PGU196633 PGU262148:PGU262169 PGU327684:PGU327705 PGU393220:PGU393241 PGU458756:PGU458777 PGU524292:PGU524313 PGU589828:PGU589849 PGU655364:PGU655385 PGU720900:PGU720921 PGU786436:PGU786457 PGU851972:PGU851993 PGU917508:PGU917529 PGU983044:PGU983065 PQJ4:PQJ23 PQJ65540:PQJ65559 PQJ131076:PQJ131095 PQJ196612:PQJ196631 PQJ262148:PQJ262167 PQJ327684:PQJ327703 PQJ393220:PQJ393239 PQJ458756:PQJ458775 PQJ524292:PQJ524311 PQJ589828:PQJ589847 PQJ655364:PQJ655383 PQJ720900:PQJ720919 PQJ786436:PQJ786455 PQJ851972:PQJ851991 PQJ917508:PQJ917527 PQJ983044:PQJ983063 PQQ4:PQQ25 PQQ65540:PQQ65561 PQQ131076:PQQ131097 PQQ196612:PQQ196633 PQQ262148:PQQ262169 PQQ327684:PQQ327705 PQQ393220:PQQ393241 PQQ458756:PQQ458777 PQQ524292:PQQ524313 PQQ589828:PQQ589849 PQQ655364:PQQ655385 PQQ720900:PQQ720921 PQQ786436:PQQ786457 PQQ851972:PQQ851993 PQQ917508:PQQ917529 PQQ983044:PQQ983065 QAF4:QAF23 QAF65540:QAF65559 QAF131076:QAF131095 QAF196612:QAF196631 QAF262148:QAF262167 QAF327684:QAF327703 QAF393220:QAF393239 QAF458756:QAF458775 QAF524292:QAF524311 QAF589828:QAF589847 QAF655364:QAF655383 QAF720900:QAF720919 QAF786436:QAF786455 QAF851972:QAF851991 QAF917508:QAF917527 QAF983044:QAF983063 QAM4:QAM25 QAM65540:QAM65561 QAM131076:QAM131097 QAM196612:QAM196633 QAM262148:QAM262169 QAM327684:QAM327705 QAM393220:QAM393241 QAM458756:QAM458777 QAM524292:QAM524313 QAM589828:QAM589849 QAM655364:QAM655385 QAM720900:QAM720921 QAM786436:QAM786457 QAM851972:QAM851993 QAM917508:QAM917529 QAM983044:QAM983065 QKB4:QKB23 QKB65540:QKB65559 QKB131076:QKB131095 QKB196612:QKB196631 QKB262148:QKB262167 QKB327684:QKB327703 QKB393220:QKB393239 QKB458756:QKB458775 QKB524292:QKB524311 QKB589828:QKB589847 QKB655364:QKB655383 QKB720900:QKB720919 QKB786436:QKB786455 QKB851972:QKB851991 QKB917508:QKB917527 QKB983044:QKB983063 QKI4:QKI25 QKI65540:QKI65561 QKI131076:QKI131097 QKI196612:QKI196633 QKI262148:QKI262169 QKI327684:QKI327705 QKI393220:QKI393241 QKI458756:QKI458777 QKI524292:QKI524313 QKI589828:QKI589849 QKI655364:QKI655385 QKI720900:QKI720921 QKI786436:QKI786457 QKI851972:QKI851993 QKI917508:QKI917529 QKI983044:QKI983065 QTX4:QTX23 QTX65540:QTX65559 QTX131076:QTX131095 QTX196612:QTX196631 QTX262148:QTX262167 QTX327684:QTX327703 QTX393220:QTX393239 QTX458756:QTX458775 QTX524292:QTX524311 QTX589828:QTX589847 QTX655364:QTX655383 QTX720900:QTX720919 QTX786436:QTX786455 QTX851972:QTX851991 QTX917508:QTX917527 QTX983044:QTX983063 QUE4:QUE25 QUE65540:QUE65561 QUE131076:QUE131097 QUE196612:QUE196633 QUE262148:QUE262169 QUE327684:QUE327705 QUE393220:QUE393241 QUE458756:QUE458777 QUE524292:QUE524313 QUE589828:QUE589849 QUE655364:QUE655385 QUE720900:QUE720921 QUE786436:QUE786457 QUE851972:QUE851993 QUE917508:QUE917529 QUE983044:QUE983065 RDT4:RDT23 RDT65540:RDT65559 RDT131076:RDT131095 RDT196612:RDT196631 RDT262148:RDT262167 RDT327684:RDT327703 RDT393220:RDT393239 RDT458756:RDT458775 RDT524292:RDT524311 RDT589828:RDT589847 RDT655364:RDT655383 RDT720900:RDT720919 RDT786436:RDT786455 RDT851972:RDT851991 RDT917508:RDT917527 RDT983044:RDT983063 REA4:REA25 REA65540:REA65561 REA131076:REA131097 REA196612:REA196633 REA262148:REA262169 REA327684:REA327705 REA393220:REA393241 REA458756:REA458777 REA524292:REA524313 REA589828:REA589849 REA655364:REA655385 REA720900:REA720921 REA786436:REA786457 REA851972:REA851993 REA917508:REA917529 REA983044:REA983065 RNP4:RNP23 RNP65540:RNP65559 RNP131076:RNP131095 RNP196612:RNP196631 RNP262148:RNP262167 RNP327684:RNP327703 RNP393220:RNP393239 RNP458756:RNP458775 RNP524292:RNP524311 RNP589828:RNP589847 RNP655364:RNP655383 RNP720900:RNP720919 RNP786436:RNP786455 RNP851972:RNP851991 RNP917508:RNP917527 RNP983044:RNP983063 RNW4:RNW25 RNW65540:RNW65561 RNW131076:RNW131097 RNW196612:RNW196633 RNW262148:RNW262169 RNW327684:RNW327705 RNW393220:RNW393241 RNW458756:RNW458777 RNW524292:RNW524313 RNW589828:RNW589849 RNW655364:RNW655385 RNW720900:RNW720921 RNW786436:RNW786457 RNW851972:RNW851993 RNW917508:RNW917529 RNW983044:RNW983065 RXL4:RXL23 RXL65540:RXL65559 RXL131076:RXL131095 RXL196612:RXL196631 RXL262148:RXL262167 RXL327684:RXL327703 RXL393220:RXL393239 RXL458756:RXL458775 RXL524292:RXL524311 RXL589828:RXL589847 RXL655364:RXL655383 RXL720900:RXL720919 RXL786436:RXL786455 RXL851972:RXL851991 RXL917508:RXL917527 RXL983044:RXL983063 RXS4:RXS25 RXS65540:RXS65561 RXS131076:RXS131097 RXS196612:RXS196633 RXS262148:RXS262169 RXS327684:RXS327705 RXS393220:RXS393241 RXS458756:RXS458777 RXS524292:RXS524313 RXS589828:RXS589849 RXS655364:RXS655385 RXS720900:RXS720921 RXS786436:RXS786457 RXS851972:RXS851993 RXS917508:RXS917529 RXS983044:RXS983065 SHH4:SHH23 SHH65540:SHH65559 SHH131076:SHH131095 SHH196612:SHH196631 SHH262148:SHH262167 SHH327684:SHH327703 SHH393220:SHH393239 SHH458756:SHH458775 SHH524292:SHH524311 SHH589828:SHH589847 SHH655364:SHH655383 SHH720900:SHH720919 SHH786436:SHH786455 SHH851972:SHH851991 SHH917508:SHH917527 SHH983044:SHH983063 SHO4:SHO25 SHO65540:SHO65561 SHO131076:SHO131097 SHO196612:SHO196633 SHO262148:SHO262169 SHO327684:SHO327705 SHO393220:SHO393241 SHO458756:SHO458777 SHO524292:SHO524313 SHO589828:SHO589849 SHO655364:SHO655385 SHO720900:SHO720921 SHO786436:SHO786457 SHO851972:SHO851993 SHO917508:SHO917529 SHO983044:SHO983065 SRD4:SRD23 SRD65540:SRD65559 SRD131076:SRD131095 SRD196612:SRD196631 SRD262148:SRD262167 SRD327684:SRD327703 SRD393220:SRD393239 SRD458756:SRD458775 SRD524292:SRD524311 SRD589828:SRD589847 SRD655364:SRD655383 SRD720900:SRD720919 SRD786436:SRD786455 SRD851972:SRD851991 SRD917508:SRD917527 SRD983044:SRD983063 SRK4:SRK25 SRK65540:SRK65561 SRK131076:SRK131097 SRK196612:SRK196633 SRK262148:SRK262169 SRK327684:SRK327705 SRK393220:SRK393241 SRK458756:SRK458777 SRK524292:SRK524313 SRK589828:SRK589849 SRK655364:SRK655385 SRK720900:SRK720921 SRK786436:SRK786457 SRK851972:SRK851993 SRK917508:SRK917529 SRK983044:SRK983065 TAZ4:TAZ23 TAZ65540:TAZ65559 TAZ131076:TAZ131095 TAZ196612:TAZ196631 TAZ262148:TAZ262167 TAZ327684:TAZ327703 TAZ393220:TAZ393239 TAZ458756:TAZ458775 TAZ524292:TAZ524311 TAZ589828:TAZ589847 TAZ655364:TAZ655383 TAZ720900:TAZ720919 TAZ786436:TAZ786455 TAZ851972:TAZ851991 TAZ917508:TAZ917527 TAZ983044:TAZ983063 TBG4:TBG25 TBG65540:TBG65561 TBG131076:TBG131097 TBG196612:TBG196633 TBG262148:TBG262169 TBG327684:TBG327705 TBG393220:TBG393241 TBG458756:TBG458777 TBG524292:TBG524313 TBG589828:TBG589849 TBG655364:TBG655385 TBG720900:TBG720921 TBG786436:TBG786457 TBG851972:TBG851993 TBG917508:TBG917529 TBG983044:TBG983065 TKV4:TKV23 TKV65540:TKV65559 TKV131076:TKV131095 TKV196612:TKV196631 TKV262148:TKV262167 TKV327684:TKV327703 TKV393220:TKV393239 TKV458756:TKV458775 TKV524292:TKV524311 TKV589828:TKV589847 TKV655364:TKV655383 TKV720900:TKV720919 TKV786436:TKV786455 TKV851972:TKV851991 TKV917508:TKV917527 TKV983044:TKV983063 TLC4:TLC25 TLC65540:TLC65561 TLC131076:TLC131097 TLC196612:TLC196633 TLC262148:TLC262169 TLC327684:TLC327705 TLC393220:TLC393241 TLC458756:TLC458777 TLC524292:TLC524313 TLC589828:TLC589849 TLC655364:TLC655385 TLC720900:TLC720921 TLC786436:TLC786457 TLC851972:TLC851993 TLC917508:TLC917529 TLC983044:TLC983065 TUR4:TUR23 TUR65540:TUR65559 TUR131076:TUR131095 TUR196612:TUR196631 TUR262148:TUR262167 TUR327684:TUR327703 TUR393220:TUR393239 TUR458756:TUR458775 TUR524292:TUR524311 TUR589828:TUR589847 TUR655364:TUR655383 TUR720900:TUR720919 TUR786436:TUR786455 TUR851972:TUR851991 TUR917508:TUR917527 TUR983044:TUR983063 TUY4:TUY25 TUY65540:TUY65561 TUY131076:TUY131097 TUY196612:TUY196633 TUY262148:TUY262169 TUY327684:TUY327705 TUY393220:TUY393241 TUY458756:TUY458777 TUY524292:TUY524313 TUY589828:TUY589849 TUY655364:TUY655385 TUY720900:TUY720921 TUY786436:TUY786457 TUY851972:TUY851993 TUY917508:TUY917529 TUY983044:TUY983065 UEN4:UEN23 UEN65540:UEN65559 UEN131076:UEN131095 UEN196612:UEN196631 UEN262148:UEN262167 UEN327684:UEN327703 UEN393220:UEN393239 UEN458756:UEN458775 UEN524292:UEN524311 UEN589828:UEN589847 UEN655364:UEN655383 UEN720900:UEN720919 UEN786436:UEN786455 UEN851972:UEN851991 UEN917508:UEN917527 UEN983044:UEN983063 UEU4:UEU25 UEU65540:UEU65561 UEU131076:UEU131097 UEU196612:UEU196633 UEU262148:UEU262169 UEU327684:UEU327705 UEU393220:UEU393241 UEU458756:UEU458777 UEU524292:UEU524313 UEU589828:UEU589849 UEU655364:UEU655385 UEU720900:UEU720921 UEU786436:UEU786457 UEU851972:UEU851993 UEU917508:UEU917529 UEU983044:UEU983065 UOJ4:UOJ23 UOJ65540:UOJ65559 UOJ131076:UOJ131095 UOJ196612:UOJ196631 UOJ262148:UOJ262167 UOJ327684:UOJ327703 UOJ393220:UOJ393239 UOJ458756:UOJ458775 UOJ524292:UOJ524311 UOJ589828:UOJ589847 UOJ655364:UOJ655383 UOJ720900:UOJ720919 UOJ786436:UOJ786455 UOJ851972:UOJ851991 UOJ917508:UOJ917527 UOJ983044:UOJ983063 UOQ4:UOQ25 UOQ65540:UOQ65561 UOQ131076:UOQ131097 UOQ196612:UOQ196633 UOQ262148:UOQ262169 UOQ327684:UOQ327705 UOQ393220:UOQ393241 UOQ458756:UOQ458777 UOQ524292:UOQ524313 UOQ589828:UOQ589849 UOQ655364:UOQ655385 UOQ720900:UOQ720921 UOQ786436:UOQ786457 UOQ851972:UOQ851993 UOQ917508:UOQ917529 UOQ983044:UOQ983065 UYF4:UYF23 UYF65540:UYF65559 UYF131076:UYF131095 UYF196612:UYF196631 UYF262148:UYF262167 UYF327684:UYF327703 UYF393220:UYF393239 UYF458756:UYF458775 UYF524292:UYF524311 UYF589828:UYF589847 UYF655364:UYF655383 UYF720900:UYF720919 UYF786436:UYF786455 UYF851972:UYF851991 UYF917508:UYF917527 UYF983044:UYF983063 UYM4:UYM25 UYM65540:UYM65561 UYM131076:UYM131097 UYM196612:UYM196633 UYM262148:UYM262169 UYM327684:UYM327705 UYM393220:UYM393241 UYM458756:UYM458777 UYM524292:UYM524313 UYM589828:UYM589849 UYM655364:UYM655385 UYM720900:UYM720921 UYM786436:UYM786457 UYM851972:UYM851993 UYM917508:UYM917529 UYM983044:UYM983065 VIB4:VIB23 VIB65540:VIB65559 VIB131076:VIB131095 VIB196612:VIB196631 VIB262148:VIB262167 VIB327684:VIB327703 VIB393220:VIB393239 VIB458756:VIB458775 VIB524292:VIB524311 VIB589828:VIB589847 VIB655364:VIB655383 VIB720900:VIB720919 VIB786436:VIB786455 VIB851972:VIB851991 VIB917508:VIB917527 VIB983044:VIB983063 VII4:VII25 VII65540:VII65561 VII131076:VII131097 VII196612:VII196633 VII262148:VII262169 VII327684:VII327705 VII393220:VII393241 VII458756:VII458777 VII524292:VII524313 VII589828:VII589849 VII655364:VII655385 VII720900:VII720921 VII786436:VII786457 VII851972:VII851993 VII917508:VII917529 VII983044:VII983065 VRX4:VRX23 VRX65540:VRX65559 VRX131076:VRX131095 VRX196612:VRX196631 VRX262148:VRX262167 VRX327684:VRX327703 VRX393220:VRX393239 VRX458756:VRX458775 VRX524292:VRX524311 VRX589828:VRX589847 VRX655364:VRX655383 VRX720900:VRX720919 VRX786436:VRX786455 VRX851972:VRX851991 VRX917508:VRX917527 VRX983044:VRX983063 VSE4:VSE25 VSE65540:VSE65561 VSE131076:VSE131097 VSE196612:VSE196633 VSE262148:VSE262169 VSE327684:VSE327705 VSE393220:VSE393241 VSE458756:VSE458777 VSE524292:VSE524313 VSE589828:VSE589849 VSE655364:VSE655385 VSE720900:VSE720921 VSE786436:VSE786457 VSE851972:VSE851993 VSE917508:VSE917529 VSE983044:VSE983065 WBT4:WBT23 WBT65540:WBT65559 WBT131076:WBT131095 WBT196612:WBT196631 WBT262148:WBT262167 WBT327684:WBT327703 WBT393220:WBT393239 WBT458756:WBT458775 WBT524292:WBT524311 WBT589828:WBT589847 WBT655364:WBT655383 WBT720900:WBT720919 WBT786436:WBT786455 WBT851972:WBT851991 WBT917508:WBT917527 WBT983044:WBT983063 WCA4:WCA25 WCA65540:WCA65561 WCA131076:WCA131097 WCA196612:WCA196633 WCA262148:WCA262169 WCA327684:WCA327705 WCA393220:WCA393241 WCA458756:WCA458777 WCA524292:WCA524313 WCA589828:WCA589849 WCA655364:WCA655385 WCA720900:WCA720921 WCA786436:WCA786457 WCA851972:WCA851993 WCA917508:WCA917529 WCA983044:WCA983065 WLP4:WLP23 WLP65540:WLP65559 WLP131076:WLP131095 WLP196612:WLP196631 WLP262148:WLP262167 WLP327684:WLP327703 WLP393220:WLP393239 WLP458756:WLP458775 WLP524292:WLP524311 WLP589828:WLP589847 WLP655364:WLP655383 WLP720900:WLP720919 WLP786436:WLP786455 WLP851972:WLP851991 WLP917508:WLP917527 WLP983044:WLP983063 WLW4:WLW25 WLW65540:WLW65561 WLW131076:WLW131097 WLW196612:WLW196633 WLW262148:WLW262169 WLW327684:WLW327705 WLW393220:WLW393241 WLW458756:WLW458777 WLW524292:WLW524313 WLW589828:WLW589849 WLW655364:WLW655385 WLW720900:WLW720921 WLW786436:WLW786457 WLW851972:WLW851993 WLW917508:WLW917529 WLW983044:WLW983065 WVL4:WVL23 WVL65540:WVL65559 WVL131076:WVL131095 WVL196612:WVL196631 WVL262148:WVL262167 WVL327684:WVL327703 WVL393220:WVL393239 WVL458756:WVL458775 WVL524292:WVL524311 WVL589828:WVL589847 WVL655364:WVL655383 WVL720900:WVL720919 WVL786436:WVL786455 WVL851972:WVL851991 WVL917508:WVL917527 WVL983044:WVL983063 WVS4:WVS25 WVS65540:WVS65561 WVS131076:WVS131097 WVS196612:WVS196633 WVS262148:WVS262169 WVS327684:WVS327705 WVS393220:WVS393241 WVS458756:WVS458777 WVS524292:WVS524313 WVS589828:WVS589849 WVS655364:WVS655385 WVS720900:WVS720921 WVS786436:WVS786457 WVS851972:WVS851993 WVS917508:WVS917529 WVS983044:WVS983065" xr:uid="{00000000-0002-0000-0900-000000000000}">
      <formula1>$D$38:$D$40</formula1>
    </dataValidation>
    <dataValidation type="list" allowBlank="1" showInputMessage="1" showErrorMessage="1" sqref="F4:F23 F65540:F65559 F131076:F131095 F196612:F196631 F262148:F262167 F327684:F327703 F393220:F393239 F458756:F458775 F524292:F524311 F589828:F589847 F655364:F655383 F720900:F720919 F786436:F786455 F851972:F851991 F917508:F917527 F983044:F983063 JB4:JB23 JB65540:JB65559 JB131076:JB131095 JB196612:JB196631 JB262148:JB262167 JB327684:JB327703 JB393220:JB393239 JB458756:JB458775 JB524292:JB524311 JB589828:JB589847 JB655364:JB655383 JB720900:JB720919 JB786436:JB786455 JB851972:JB851991 JB917508:JB917527 JB983044:JB983063 SX4:SX23 SX65540:SX65559 SX131076:SX131095 SX196612:SX196631 SX262148:SX262167 SX327684:SX327703 SX393220:SX393239 SX458756:SX458775 SX524292:SX524311 SX589828:SX589847 SX655364:SX655383 SX720900:SX720919 SX786436:SX786455 SX851972:SX851991 SX917508:SX917527 SX983044:SX983063 ACT4:ACT23 ACT65540:ACT65559 ACT131076:ACT131095 ACT196612:ACT196631 ACT262148:ACT262167 ACT327684:ACT327703 ACT393220:ACT393239 ACT458756:ACT458775 ACT524292:ACT524311 ACT589828:ACT589847 ACT655364:ACT655383 ACT720900:ACT720919 ACT786436:ACT786455 ACT851972:ACT851991 ACT917508:ACT917527 ACT983044:ACT983063 AMP4:AMP23 AMP65540:AMP65559 AMP131076:AMP131095 AMP196612:AMP196631 AMP262148:AMP262167 AMP327684:AMP327703 AMP393220:AMP393239 AMP458756:AMP458775 AMP524292:AMP524311 AMP589828:AMP589847 AMP655364:AMP655383 AMP720900:AMP720919 AMP786436:AMP786455 AMP851972:AMP851991 AMP917508:AMP917527 AMP983044:AMP983063 AWL4:AWL23 AWL65540:AWL65559 AWL131076:AWL131095 AWL196612:AWL196631 AWL262148:AWL262167 AWL327684:AWL327703 AWL393220:AWL393239 AWL458756:AWL458775 AWL524292:AWL524311 AWL589828:AWL589847 AWL655364:AWL655383 AWL720900:AWL720919 AWL786436:AWL786455 AWL851972:AWL851991 AWL917508:AWL917527 AWL983044:AWL983063 BGH4:BGH23 BGH65540:BGH65559 BGH131076:BGH131095 BGH196612:BGH196631 BGH262148:BGH262167 BGH327684:BGH327703 BGH393220:BGH393239 BGH458756:BGH458775 BGH524292:BGH524311 BGH589828:BGH589847 BGH655364:BGH655383 BGH720900:BGH720919 BGH786436:BGH786455 BGH851972:BGH851991 BGH917508:BGH917527 BGH983044:BGH983063 BQD4:BQD23 BQD65540:BQD65559 BQD131076:BQD131095 BQD196612:BQD196631 BQD262148:BQD262167 BQD327684:BQD327703 BQD393220:BQD393239 BQD458756:BQD458775 BQD524292:BQD524311 BQD589828:BQD589847 BQD655364:BQD655383 BQD720900:BQD720919 BQD786436:BQD786455 BQD851972:BQD851991 BQD917508:BQD917527 BQD983044:BQD983063 BZZ4:BZZ23 BZZ65540:BZZ65559 BZZ131076:BZZ131095 BZZ196612:BZZ196631 BZZ262148:BZZ262167 BZZ327684:BZZ327703 BZZ393220:BZZ393239 BZZ458756:BZZ458775 BZZ524292:BZZ524311 BZZ589828:BZZ589847 BZZ655364:BZZ655383 BZZ720900:BZZ720919 BZZ786436:BZZ786455 BZZ851972:BZZ851991 BZZ917508:BZZ917527 BZZ983044:BZZ983063 CJV4:CJV23 CJV65540:CJV65559 CJV131076:CJV131095 CJV196612:CJV196631 CJV262148:CJV262167 CJV327684:CJV327703 CJV393220:CJV393239 CJV458756:CJV458775 CJV524292:CJV524311 CJV589828:CJV589847 CJV655364:CJV655383 CJV720900:CJV720919 CJV786436:CJV786455 CJV851972:CJV851991 CJV917508:CJV917527 CJV983044:CJV983063 CTR4:CTR23 CTR65540:CTR65559 CTR131076:CTR131095 CTR196612:CTR196631 CTR262148:CTR262167 CTR327684:CTR327703 CTR393220:CTR393239 CTR458756:CTR458775 CTR524292:CTR524311 CTR589828:CTR589847 CTR655364:CTR655383 CTR720900:CTR720919 CTR786436:CTR786455 CTR851972:CTR851991 CTR917508:CTR917527 CTR983044:CTR983063 DDN4:DDN23 DDN65540:DDN65559 DDN131076:DDN131095 DDN196612:DDN196631 DDN262148:DDN262167 DDN327684:DDN327703 DDN393220:DDN393239 DDN458756:DDN458775 DDN524292:DDN524311 DDN589828:DDN589847 DDN655364:DDN655383 DDN720900:DDN720919 DDN786436:DDN786455 DDN851972:DDN851991 DDN917508:DDN917527 DDN983044:DDN983063 DNJ4:DNJ23 DNJ65540:DNJ65559 DNJ131076:DNJ131095 DNJ196612:DNJ196631 DNJ262148:DNJ262167 DNJ327684:DNJ327703 DNJ393220:DNJ393239 DNJ458756:DNJ458775 DNJ524292:DNJ524311 DNJ589828:DNJ589847 DNJ655364:DNJ655383 DNJ720900:DNJ720919 DNJ786436:DNJ786455 DNJ851972:DNJ851991 DNJ917508:DNJ917527 DNJ983044:DNJ983063 DXF4:DXF23 DXF65540:DXF65559 DXF131076:DXF131095 DXF196612:DXF196631 DXF262148:DXF262167 DXF327684:DXF327703 DXF393220:DXF393239 DXF458756:DXF458775 DXF524292:DXF524311 DXF589828:DXF589847 DXF655364:DXF655383 DXF720900:DXF720919 DXF786436:DXF786455 DXF851972:DXF851991 DXF917508:DXF917527 DXF983044:DXF983063 EHB4:EHB23 EHB65540:EHB65559 EHB131076:EHB131095 EHB196612:EHB196631 EHB262148:EHB262167 EHB327684:EHB327703 EHB393220:EHB393239 EHB458756:EHB458775 EHB524292:EHB524311 EHB589828:EHB589847 EHB655364:EHB655383 EHB720900:EHB720919 EHB786436:EHB786455 EHB851972:EHB851991 EHB917508:EHB917527 EHB983044:EHB983063 EQX4:EQX23 EQX65540:EQX65559 EQX131076:EQX131095 EQX196612:EQX196631 EQX262148:EQX262167 EQX327684:EQX327703 EQX393220:EQX393239 EQX458756:EQX458775 EQX524292:EQX524311 EQX589828:EQX589847 EQX655364:EQX655383 EQX720900:EQX720919 EQX786436:EQX786455 EQX851972:EQX851991 EQX917508:EQX917527 EQX983044:EQX983063 FAT4:FAT23 FAT65540:FAT65559 FAT131076:FAT131095 FAT196612:FAT196631 FAT262148:FAT262167 FAT327684:FAT327703 FAT393220:FAT393239 FAT458756:FAT458775 FAT524292:FAT524311 FAT589828:FAT589847 FAT655364:FAT655383 FAT720900:FAT720919 FAT786436:FAT786455 FAT851972:FAT851991 FAT917508:FAT917527 FAT983044:FAT983063 FKP4:FKP23 FKP65540:FKP65559 FKP131076:FKP131095 FKP196612:FKP196631 FKP262148:FKP262167 FKP327684:FKP327703 FKP393220:FKP393239 FKP458756:FKP458775 FKP524292:FKP524311 FKP589828:FKP589847 FKP655364:FKP655383 FKP720900:FKP720919 FKP786436:FKP786455 FKP851972:FKP851991 FKP917508:FKP917527 FKP983044:FKP983063 FUL4:FUL23 FUL65540:FUL65559 FUL131076:FUL131095 FUL196612:FUL196631 FUL262148:FUL262167 FUL327684:FUL327703 FUL393220:FUL393239 FUL458756:FUL458775 FUL524292:FUL524311 FUL589828:FUL589847 FUL655364:FUL655383 FUL720900:FUL720919 FUL786436:FUL786455 FUL851972:FUL851991 FUL917508:FUL917527 FUL983044:FUL983063 GEH4:GEH23 GEH65540:GEH65559 GEH131076:GEH131095 GEH196612:GEH196631 GEH262148:GEH262167 GEH327684:GEH327703 GEH393220:GEH393239 GEH458756:GEH458775 GEH524292:GEH524311 GEH589828:GEH589847 GEH655364:GEH655383 GEH720900:GEH720919 GEH786436:GEH786455 GEH851972:GEH851991 GEH917508:GEH917527 GEH983044:GEH983063 GOD4:GOD23 GOD65540:GOD65559 GOD131076:GOD131095 GOD196612:GOD196631 GOD262148:GOD262167 GOD327684:GOD327703 GOD393220:GOD393239 GOD458756:GOD458775 GOD524292:GOD524311 GOD589828:GOD589847 GOD655364:GOD655383 GOD720900:GOD720919 GOD786436:GOD786455 GOD851972:GOD851991 GOD917508:GOD917527 GOD983044:GOD983063 GXZ4:GXZ23 GXZ65540:GXZ65559 GXZ131076:GXZ131095 GXZ196612:GXZ196631 GXZ262148:GXZ262167 GXZ327684:GXZ327703 GXZ393220:GXZ393239 GXZ458756:GXZ458775 GXZ524292:GXZ524311 GXZ589828:GXZ589847 GXZ655364:GXZ655383 GXZ720900:GXZ720919 GXZ786436:GXZ786455 GXZ851972:GXZ851991 GXZ917508:GXZ917527 GXZ983044:GXZ983063 HHV4:HHV23 HHV65540:HHV65559 HHV131076:HHV131095 HHV196612:HHV196631 HHV262148:HHV262167 HHV327684:HHV327703 HHV393220:HHV393239 HHV458756:HHV458775 HHV524292:HHV524311 HHV589828:HHV589847 HHV655364:HHV655383 HHV720900:HHV720919 HHV786436:HHV786455 HHV851972:HHV851991 HHV917508:HHV917527 HHV983044:HHV983063 HRR4:HRR23 HRR65540:HRR65559 HRR131076:HRR131095 HRR196612:HRR196631 HRR262148:HRR262167 HRR327684:HRR327703 HRR393220:HRR393239 HRR458756:HRR458775 HRR524292:HRR524311 HRR589828:HRR589847 HRR655364:HRR655383 HRR720900:HRR720919 HRR786436:HRR786455 HRR851972:HRR851991 HRR917508:HRR917527 HRR983044:HRR983063 IBN4:IBN23 IBN65540:IBN65559 IBN131076:IBN131095 IBN196612:IBN196631 IBN262148:IBN262167 IBN327684:IBN327703 IBN393220:IBN393239 IBN458756:IBN458775 IBN524292:IBN524311 IBN589828:IBN589847 IBN655364:IBN655383 IBN720900:IBN720919 IBN786436:IBN786455 IBN851972:IBN851991 IBN917508:IBN917527 IBN983044:IBN983063 ILJ4:ILJ23 ILJ65540:ILJ65559 ILJ131076:ILJ131095 ILJ196612:ILJ196631 ILJ262148:ILJ262167 ILJ327684:ILJ327703 ILJ393220:ILJ393239 ILJ458756:ILJ458775 ILJ524292:ILJ524311 ILJ589828:ILJ589847 ILJ655364:ILJ655383 ILJ720900:ILJ720919 ILJ786436:ILJ786455 ILJ851972:ILJ851991 ILJ917508:ILJ917527 ILJ983044:ILJ983063 IVF4:IVF23 IVF65540:IVF65559 IVF131076:IVF131095 IVF196612:IVF196631 IVF262148:IVF262167 IVF327684:IVF327703 IVF393220:IVF393239 IVF458756:IVF458775 IVF524292:IVF524311 IVF589828:IVF589847 IVF655364:IVF655383 IVF720900:IVF720919 IVF786436:IVF786455 IVF851972:IVF851991 IVF917508:IVF917527 IVF983044:IVF983063 JFB4:JFB23 JFB65540:JFB65559 JFB131076:JFB131095 JFB196612:JFB196631 JFB262148:JFB262167 JFB327684:JFB327703 JFB393220:JFB393239 JFB458756:JFB458775 JFB524292:JFB524311 JFB589828:JFB589847 JFB655364:JFB655383 JFB720900:JFB720919 JFB786436:JFB786455 JFB851972:JFB851991 JFB917508:JFB917527 JFB983044:JFB983063 JOX4:JOX23 JOX65540:JOX65559 JOX131076:JOX131095 JOX196612:JOX196631 JOX262148:JOX262167 JOX327684:JOX327703 JOX393220:JOX393239 JOX458756:JOX458775 JOX524292:JOX524311 JOX589828:JOX589847 JOX655364:JOX655383 JOX720900:JOX720919 JOX786436:JOX786455 JOX851972:JOX851991 JOX917508:JOX917527 JOX983044:JOX983063 JYT4:JYT23 JYT65540:JYT65559 JYT131076:JYT131095 JYT196612:JYT196631 JYT262148:JYT262167 JYT327684:JYT327703 JYT393220:JYT393239 JYT458756:JYT458775 JYT524292:JYT524311 JYT589828:JYT589847 JYT655364:JYT655383 JYT720900:JYT720919 JYT786436:JYT786455 JYT851972:JYT851991 JYT917508:JYT917527 JYT983044:JYT983063 KIP4:KIP23 KIP65540:KIP65559 KIP131076:KIP131095 KIP196612:KIP196631 KIP262148:KIP262167 KIP327684:KIP327703 KIP393220:KIP393239 KIP458756:KIP458775 KIP524292:KIP524311 KIP589828:KIP589847 KIP655364:KIP655383 KIP720900:KIP720919 KIP786436:KIP786455 KIP851972:KIP851991 KIP917508:KIP917527 KIP983044:KIP983063 KSL4:KSL23 KSL65540:KSL65559 KSL131076:KSL131095 KSL196612:KSL196631 KSL262148:KSL262167 KSL327684:KSL327703 KSL393220:KSL393239 KSL458756:KSL458775 KSL524292:KSL524311 KSL589828:KSL589847 KSL655364:KSL655383 KSL720900:KSL720919 KSL786436:KSL786455 KSL851972:KSL851991 KSL917508:KSL917527 KSL983044:KSL983063 LCH4:LCH23 LCH65540:LCH65559 LCH131076:LCH131095 LCH196612:LCH196631 LCH262148:LCH262167 LCH327684:LCH327703 LCH393220:LCH393239 LCH458756:LCH458775 LCH524292:LCH524311 LCH589828:LCH589847 LCH655364:LCH655383 LCH720900:LCH720919 LCH786436:LCH786455 LCH851972:LCH851991 LCH917508:LCH917527 LCH983044:LCH983063 LMD4:LMD23 LMD65540:LMD65559 LMD131076:LMD131095 LMD196612:LMD196631 LMD262148:LMD262167 LMD327684:LMD327703 LMD393220:LMD393239 LMD458756:LMD458775 LMD524292:LMD524311 LMD589828:LMD589847 LMD655364:LMD655383 LMD720900:LMD720919 LMD786436:LMD786455 LMD851972:LMD851991 LMD917508:LMD917527 LMD983044:LMD983063 LVZ4:LVZ23 LVZ65540:LVZ65559 LVZ131076:LVZ131095 LVZ196612:LVZ196631 LVZ262148:LVZ262167 LVZ327684:LVZ327703 LVZ393220:LVZ393239 LVZ458756:LVZ458775 LVZ524292:LVZ524311 LVZ589828:LVZ589847 LVZ655364:LVZ655383 LVZ720900:LVZ720919 LVZ786436:LVZ786455 LVZ851972:LVZ851991 LVZ917508:LVZ917527 LVZ983044:LVZ983063 MFV4:MFV23 MFV65540:MFV65559 MFV131076:MFV131095 MFV196612:MFV196631 MFV262148:MFV262167 MFV327684:MFV327703 MFV393220:MFV393239 MFV458756:MFV458775 MFV524292:MFV524311 MFV589828:MFV589847 MFV655364:MFV655383 MFV720900:MFV720919 MFV786436:MFV786455 MFV851972:MFV851991 MFV917508:MFV917527 MFV983044:MFV983063 MPR4:MPR23 MPR65540:MPR65559 MPR131076:MPR131095 MPR196612:MPR196631 MPR262148:MPR262167 MPR327684:MPR327703 MPR393220:MPR393239 MPR458756:MPR458775 MPR524292:MPR524311 MPR589828:MPR589847 MPR655364:MPR655383 MPR720900:MPR720919 MPR786436:MPR786455 MPR851972:MPR851991 MPR917508:MPR917527 MPR983044:MPR983063 MZN4:MZN23 MZN65540:MZN65559 MZN131076:MZN131095 MZN196612:MZN196631 MZN262148:MZN262167 MZN327684:MZN327703 MZN393220:MZN393239 MZN458756:MZN458775 MZN524292:MZN524311 MZN589828:MZN589847 MZN655364:MZN655383 MZN720900:MZN720919 MZN786436:MZN786455 MZN851972:MZN851991 MZN917508:MZN917527 MZN983044:MZN983063 NJJ4:NJJ23 NJJ65540:NJJ65559 NJJ131076:NJJ131095 NJJ196612:NJJ196631 NJJ262148:NJJ262167 NJJ327684:NJJ327703 NJJ393220:NJJ393239 NJJ458756:NJJ458775 NJJ524292:NJJ524311 NJJ589828:NJJ589847 NJJ655364:NJJ655383 NJJ720900:NJJ720919 NJJ786436:NJJ786455 NJJ851972:NJJ851991 NJJ917508:NJJ917527 NJJ983044:NJJ983063 NTF4:NTF23 NTF65540:NTF65559 NTF131076:NTF131095 NTF196612:NTF196631 NTF262148:NTF262167 NTF327684:NTF327703 NTF393220:NTF393239 NTF458756:NTF458775 NTF524292:NTF524311 NTF589828:NTF589847 NTF655364:NTF655383 NTF720900:NTF720919 NTF786436:NTF786455 NTF851972:NTF851991 NTF917508:NTF917527 NTF983044:NTF983063 ODB4:ODB23 ODB65540:ODB65559 ODB131076:ODB131095 ODB196612:ODB196631 ODB262148:ODB262167 ODB327684:ODB327703 ODB393220:ODB393239 ODB458756:ODB458775 ODB524292:ODB524311 ODB589828:ODB589847 ODB655364:ODB655383 ODB720900:ODB720919 ODB786436:ODB786455 ODB851972:ODB851991 ODB917508:ODB917527 ODB983044:ODB983063 OMX4:OMX23 OMX65540:OMX65559 OMX131076:OMX131095 OMX196612:OMX196631 OMX262148:OMX262167 OMX327684:OMX327703 OMX393220:OMX393239 OMX458756:OMX458775 OMX524292:OMX524311 OMX589828:OMX589847 OMX655364:OMX655383 OMX720900:OMX720919 OMX786436:OMX786455 OMX851972:OMX851991 OMX917508:OMX917527 OMX983044:OMX983063 OWT4:OWT23 OWT65540:OWT65559 OWT131076:OWT131095 OWT196612:OWT196631 OWT262148:OWT262167 OWT327684:OWT327703 OWT393220:OWT393239 OWT458756:OWT458775 OWT524292:OWT524311 OWT589828:OWT589847 OWT655364:OWT655383 OWT720900:OWT720919 OWT786436:OWT786455 OWT851972:OWT851991 OWT917508:OWT917527 OWT983044:OWT983063 PGP4:PGP23 PGP65540:PGP65559 PGP131076:PGP131095 PGP196612:PGP196631 PGP262148:PGP262167 PGP327684:PGP327703 PGP393220:PGP393239 PGP458756:PGP458775 PGP524292:PGP524311 PGP589828:PGP589847 PGP655364:PGP655383 PGP720900:PGP720919 PGP786436:PGP786455 PGP851972:PGP851991 PGP917508:PGP917527 PGP983044:PGP983063 PQL4:PQL23 PQL65540:PQL65559 PQL131076:PQL131095 PQL196612:PQL196631 PQL262148:PQL262167 PQL327684:PQL327703 PQL393220:PQL393239 PQL458756:PQL458775 PQL524292:PQL524311 PQL589828:PQL589847 PQL655364:PQL655383 PQL720900:PQL720919 PQL786436:PQL786455 PQL851972:PQL851991 PQL917508:PQL917527 PQL983044:PQL983063 QAH4:QAH23 QAH65540:QAH65559 QAH131076:QAH131095 QAH196612:QAH196631 QAH262148:QAH262167 QAH327684:QAH327703 QAH393220:QAH393239 QAH458756:QAH458775 QAH524292:QAH524311 QAH589828:QAH589847 QAH655364:QAH655383 QAH720900:QAH720919 QAH786436:QAH786455 QAH851972:QAH851991 QAH917508:QAH917527 QAH983044:QAH983063 QKD4:QKD23 QKD65540:QKD65559 QKD131076:QKD131095 QKD196612:QKD196631 QKD262148:QKD262167 QKD327684:QKD327703 QKD393220:QKD393239 QKD458756:QKD458775 QKD524292:QKD524311 QKD589828:QKD589847 QKD655364:QKD655383 QKD720900:QKD720919 QKD786436:QKD786455 QKD851972:QKD851991 QKD917508:QKD917527 QKD983044:QKD983063 QTZ4:QTZ23 QTZ65540:QTZ65559 QTZ131076:QTZ131095 QTZ196612:QTZ196631 QTZ262148:QTZ262167 QTZ327684:QTZ327703 QTZ393220:QTZ393239 QTZ458756:QTZ458775 QTZ524292:QTZ524311 QTZ589828:QTZ589847 QTZ655364:QTZ655383 QTZ720900:QTZ720919 QTZ786436:QTZ786455 QTZ851972:QTZ851991 QTZ917508:QTZ917527 QTZ983044:QTZ983063 RDV4:RDV23 RDV65540:RDV65559 RDV131076:RDV131095 RDV196612:RDV196631 RDV262148:RDV262167 RDV327684:RDV327703 RDV393220:RDV393239 RDV458756:RDV458775 RDV524292:RDV524311 RDV589828:RDV589847 RDV655364:RDV655383 RDV720900:RDV720919 RDV786436:RDV786455 RDV851972:RDV851991 RDV917508:RDV917527 RDV983044:RDV983063 RNR4:RNR23 RNR65540:RNR65559 RNR131076:RNR131095 RNR196612:RNR196631 RNR262148:RNR262167 RNR327684:RNR327703 RNR393220:RNR393239 RNR458756:RNR458775 RNR524292:RNR524311 RNR589828:RNR589847 RNR655364:RNR655383 RNR720900:RNR720919 RNR786436:RNR786455 RNR851972:RNR851991 RNR917508:RNR917527 RNR983044:RNR983063 RXN4:RXN23 RXN65540:RXN65559 RXN131076:RXN131095 RXN196612:RXN196631 RXN262148:RXN262167 RXN327684:RXN327703 RXN393220:RXN393239 RXN458756:RXN458775 RXN524292:RXN524311 RXN589828:RXN589847 RXN655364:RXN655383 RXN720900:RXN720919 RXN786436:RXN786455 RXN851972:RXN851991 RXN917508:RXN917527 RXN983044:RXN983063 SHJ4:SHJ23 SHJ65540:SHJ65559 SHJ131076:SHJ131095 SHJ196612:SHJ196631 SHJ262148:SHJ262167 SHJ327684:SHJ327703 SHJ393220:SHJ393239 SHJ458756:SHJ458775 SHJ524292:SHJ524311 SHJ589828:SHJ589847 SHJ655364:SHJ655383 SHJ720900:SHJ720919 SHJ786436:SHJ786455 SHJ851972:SHJ851991 SHJ917508:SHJ917527 SHJ983044:SHJ983063 SRF4:SRF23 SRF65540:SRF65559 SRF131076:SRF131095 SRF196612:SRF196631 SRF262148:SRF262167 SRF327684:SRF327703 SRF393220:SRF393239 SRF458756:SRF458775 SRF524292:SRF524311 SRF589828:SRF589847 SRF655364:SRF655383 SRF720900:SRF720919 SRF786436:SRF786455 SRF851972:SRF851991 SRF917508:SRF917527 SRF983044:SRF983063 TBB4:TBB23 TBB65540:TBB65559 TBB131076:TBB131095 TBB196612:TBB196631 TBB262148:TBB262167 TBB327684:TBB327703 TBB393220:TBB393239 TBB458756:TBB458775 TBB524292:TBB524311 TBB589828:TBB589847 TBB655364:TBB655383 TBB720900:TBB720919 TBB786436:TBB786455 TBB851972:TBB851991 TBB917508:TBB917527 TBB983044:TBB983063 TKX4:TKX23 TKX65540:TKX65559 TKX131076:TKX131095 TKX196612:TKX196631 TKX262148:TKX262167 TKX327684:TKX327703 TKX393220:TKX393239 TKX458756:TKX458775 TKX524292:TKX524311 TKX589828:TKX589847 TKX655364:TKX655383 TKX720900:TKX720919 TKX786436:TKX786455 TKX851972:TKX851991 TKX917508:TKX917527 TKX983044:TKX983063 TUT4:TUT23 TUT65540:TUT65559 TUT131076:TUT131095 TUT196612:TUT196631 TUT262148:TUT262167 TUT327684:TUT327703 TUT393220:TUT393239 TUT458756:TUT458775 TUT524292:TUT524311 TUT589828:TUT589847 TUT655364:TUT655383 TUT720900:TUT720919 TUT786436:TUT786455 TUT851972:TUT851991 TUT917508:TUT917527 TUT983044:TUT983063 UEP4:UEP23 UEP65540:UEP65559 UEP131076:UEP131095 UEP196612:UEP196631 UEP262148:UEP262167 UEP327684:UEP327703 UEP393220:UEP393239 UEP458756:UEP458775 UEP524292:UEP524311 UEP589828:UEP589847 UEP655364:UEP655383 UEP720900:UEP720919 UEP786436:UEP786455 UEP851972:UEP851991 UEP917508:UEP917527 UEP983044:UEP983063 UOL4:UOL23 UOL65540:UOL65559 UOL131076:UOL131095 UOL196612:UOL196631 UOL262148:UOL262167 UOL327684:UOL327703 UOL393220:UOL393239 UOL458756:UOL458775 UOL524292:UOL524311 UOL589828:UOL589847 UOL655364:UOL655383 UOL720900:UOL720919 UOL786436:UOL786455 UOL851972:UOL851991 UOL917508:UOL917527 UOL983044:UOL983063 UYH4:UYH23 UYH65540:UYH65559 UYH131076:UYH131095 UYH196612:UYH196631 UYH262148:UYH262167 UYH327684:UYH327703 UYH393220:UYH393239 UYH458756:UYH458775 UYH524292:UYH524311 UYH589828:UYH589847 UYH655364:UYH655383 UYH720900:UYH720919 UYH786436:UYH786455 UYH851972:UYH851991 UYH917508:UYH917527 UYH983044:UYH983063 VID4:VID23 VID65540:VID65559 VID131076:VID131095 VID196612:VID196631 VID262148:VID262167 VID327684:VID327703 VID393220:VID393239 VID458756:VID458775 VID524292:VID524311 VID589828:VID589847 VID655364:VID655383 VID720900:VID720919 VID786436:VID786455 VID851972:VID851991 VID917508:VID917527 VID983044:VID983063 VRZ4:VRZ23 VRZ65540:VRZ65559 VRZ131076:VRZ131095 VRZ196612:VRZ196631 VRZ262148:VRZ262167 VRZ327684:VRZ327703 VRZ393220:VRZ393239 VRZ458756:VRZ458775 VRZ524292:VRZ524311 VRZ589828:VRZ589847 VRZ655364:VRZ655383 VRZ720900:VRZ720919 VRZ786436:VRZ786455 VRZ851972:VRZ851991 VRZ917508:VRZ917527 VRZ983044:VRZ983063 WBV4:WBV23 WBV65540:WBV65559 WBV131076:WBV131095 WBV196612:WBV196631 WBV262148:WBV262167 WBV327684:WBV327703 WBV393220:WBV393239 WBV458756:WBV458775 WBV524292:WBV524311 WBV589828:WBV589847 WBV655364:WBV655383 WBV720900:WBV720919 WBV786436:WBV786455 WBV851972:WBV851991 WBV917508:WBV917527 WBV983044:WBV983063 WLR4:WLR23 WLR65540:WLR65559 WLR131076:WLR131095 WLR196612:WLR196631 WLR262148:WLR262167 WLR327684:WLR327703 WLR393220:WLR393239 WLR458756:WLR458775 WLR524292:WLR524311 WLR589828:WLR589847 WLR655364:WLR655383 WLR720900:WLR720919 WLR786436:WLR786455 WLR851972:WLR851991 WLR917508:WLR917527 WLR983044:WLR983063 WVN4:WVN23 WVN65540:WVN65559 WVN131076:WVN131095 WVN196612:WVN196631 WVN262148:WVN262167 WVN327684:WVN327703 WVN393220:WVN393239 WVN458756:WVN458775 WVN524292:WVN524311 WVN589828:WVN589847 WVN655364:WVN655383 WVN720900:WVN720919 WVN786436:WVN786455 WVN851972:WVN851991 WVN917508:WVN917527 WVN983044:WVN983063" xr:uid="{00000000-0002-0000-0900-000001000000}">
      <formula1>$F$38:$F$39</formula1>
    </dataValidation>
  </dataValidations>
  <pageMargins left="0.75" right="0.75" top="1" bottom="1" header="0.5" footer="0.5"/>
  <pageSetup paperSize="9" orientation="portrait" horizontalDpi="180" verticalDpi="180"/>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tabColor indexed="51"/>
  </sheetPr>
  <dimension ref="B2:P27"/>
  <sheetViews>
    <sheetView showGridLines="0" workbookViewId="0">
      <selection activeCell="E15" sqref="E15"/>
    </sheetView>
  </sheetViews>
  <sheetFormatPr defaultColWidth="9" defaultRowHeight="12"/>
  <cols>
    <col min="1" max="1" width="9" style="3955"/>
    <col min="2" max="2" width="4.125" style="3955" customWidth="1"/>
    <col min="3" max="8" width="9" style="3955"/>
    <col min="9" max="9" width="3.875" style="3955" customWidth="1"/>
    <col min="10" max="257" width="9" style="3955"/>
    <col min="258" max="258" width="4.125" style="3955" customWidth="1"/>
    <col min="259" max="264" width="9" style="3955"/>
    <col min="265" max="265" width="3.875" style="3955" customWidth="1"/>
    <col min="266" max="513" width="9" style="3955"/>
    <col min="514" max="514" width="4.125" style="3955" customWidth="1"/>
    <col min="515" max="520" width="9" style="3955"/>
    <col min="521" max="521" width="3.875" style="3955" customWidth="1"/>
    <col min="522" max="769" width="9" style="3955"/>
    <col min="770" max="770" width="4.125" style="3955" customWidth="1"/>
    <col min="771" max="776" width="9" style="3955"/>
    <col min="777" max="777" width="3.875" style="3955" customWidth="1"/>
    <col min="778" max="1025" width="9" style="3955"/>
    <col min="1026" max="1026" width="4.125" style="3955" customWidth="1"/>
    <col min="1027" max="1032" width="9" style="3955"/>
    <col min="1033" max="1033" width="3.875" style="3955" customWidth="1"/>
    <col min="1034" max="1281" width="9" style="3955"/>
    <col min="1282" max="1282" width="4.125" style="3955" customWidth="1"/>
    <col min="1283" max="1288" width="9" style="3955"/>
    <col min="1289" max="1289" width="3.875" style="3955" customWidth="1"/>
    <col min="1290" max="1537" width="9" style="3955"/>
    <col min="1538" max="1538" width="4.125" style="3955" customWidth="1"/>
    <col min="1539" max="1544" width="9" style="3955"/>
    <col min="1545" max="1545" width="3.875" style="3955" customWidth="1"/>
    <col min="1546" max="1793" width="9" style="3955"/>
    <col min="1794" max="1794" width="4.125" style="3955" customWidth="1"/>
    <col min="1795" max="1800" width="9" style="3955"/>
    <col min="1801" max="1801" width="3.875" style="3955" customWidth="1"/>
    <col min="1802" max="2049" width="9" style="3955"/>
    <col min="2050" max="2050" width="4.125" style="3955" customWidth="1"/>
    <col min="2051" max="2056" width="9" style="3955"/>
    <col min="2057" max="2057" width="3.875" style="3955" customWidth="1"/>
    <col min="2058" max="2305" width="9" style="3955"/>
    <col min="2306" max="2306" width="4.125" style="3955" customWidth="1"/>
    <col min="2307" max="2312" width="9" style="3955"/>
    <col min="2313" max="2313" width="3.875" style="3955" customWidth="1"/>
    <col min="2314" max="2561" width="9" style="3955"/>
    <col min="2562" max="2562" width="4.125" style="3955" customWidth="1"/>
    <col min="2563" max="2568" width="9" style="3955"/>
    <col min="2569" max="2569" width="3.875" style="3955" customWidth="1"/>
    <col min="2570" max="2817" width="9" style="3955"/>
    <col min="2818" max="2818" width="4.125" style="3955" customWidth="1"/>
    <col min="2819" max="2824" width="9" style="3955"/>
    <col min="2825" max="2825" width="3.875" style="3955" customWidth="1"/>
    <col min="2826" max="3073" width="9" style="3955"/>
    <col min="3074" max="3074" width="4.125" style="3955" customWidth="1"/>
    <col min="3075" max="3080" width="9" style="3955"/>
    <col min="3081" max="3081" width="3.875" style="3955" customWidth="1"/>
    <col min="3082" max="3329" width="9" style="3955"/>
    <col min="3330" max="3330" width="4.125" style="3955" customWidth="1"/>
    <col min="3331" max="3336" width="9" style="3955"/>
    <col min="3337" max="3337" width="3.875" style="3955" customWidth="1"/>
    <col min="3338" max="3585" width="9" style="3955"/>
    <col min="3586" max="3586" width="4.125" style="3955" customWidth="1"/>
    <col min="3587" max="3592" width="9" style="3955"/>
    <col min="3593" max="3593" width="3.875" style="3955" customWidth="1"/>
    <col min="3594" max="3841" width="9" style="3955"/>
    <col min="3842" max="3842" width="4.125" style="3955" customWidth="1"/>
    <col min="3843" max="3848" width="9" style="3955"/>
    <col min="3849" max="3849" width="3.875" style="3955" customWidth="1"/>
    <col min="3850" max="4097" width="9" style="3955"/>
    <col min="4098" max="4098" width="4.125" style="3955" customWidth="1"/>
    <col min="4099" max="4104" width="9" style="3955"/>
    <col min="4105" max="4105" width="3.875" style="3955" customWidth="1"/>
    <col min="4106" max="4353" width="9" style="3955"/>
    <col min="4354" max="4354" width="4.125" style="3955" customWidth="1"/>
    <col min="4355" max="4360" width="9" style="3955"/>
    <col min="4361" max="4361" width="3.875" style="3955" customWidth="1"/>
    <col min="4362" max="4609" width="9" style="3955"/>
    <col min="4610" max="4610" width="4.125" style="3955" customWidth="1"/>
    <col min="4611" max="4616" width="9" style="3955"/>
    <col min="4617" max="4617" width="3.875" style="3955" customWidth="1"/>
    <col min="4618" max="4865" width="9" style="3955"/>
    <col min="4866" max="4866" width="4.125" style="3955" customWidth="1"/>
    <col min="4867" max="4872" width="9" style="3955"/>
    <col min="4873" max="4873" width="3.875" style="3955" customWidth="1"/>
    <col min="4874" max="5121" width="9" style="3955"/>
    <col min="5122" max="5122" width="4.125" style="3955" customWidth="1"/>
    <col min="5123" max="5128" width="9" style="3955"/>
    <col min="5129" max="5129" width="3.875" style="3955" customWidth="1"/>
    <col min="5130" max="5377" width="9" style="3955"/>
    <col min="5378" max="5378" width="4.125" style="3955" customWidth="1"/>
    <col min="5379" max="5384" width="9" style="3955"/>
    <col min="5385" max="5385" width="3.875" style="3955" customWidth="1"/>
    <col min="5386" max="5633" width="9" style="3955"/>
    <col min="5634" max="5634" width="4.125" style="3955" customWidth="1"/>
    <col min="5635" max="5640" width="9" style="3955"/>
    <col min="5641" max="5641" width="3.875" style="3955" customWidth="1"/>
    <col min="5642" max="5889" width="9" style="3955"/>
    <col min="5890" max="5890" width="4.125" style="3955" customWidth="1"/>
    <col min="5891" max="5896" width="9" style="3955"/>
    <col min="5897" max="5897" width="3.875" style="3955" customWidth="1"/>
    <col min="5898" max="6145" width="9" style="3955"/>
    <col min="6146" max="6146" width="4.125" style="3955" customWidth="1"/>
    <col min="6147" max="6152" width="9" style="3955"/>
    <col min="6153" max="6153" width="3.875" style="3955" customWidth="1"/>
    <col min="6154" max="6401" width="9" style="3955"/>
    <col min="6402" max="6402" width="4.125" style="3955" customWidth="1"/>
    <col min="6403" max="6408" width="9" style="3955"/>
    <col min="6409" max="6409" width="3.875" style="3955" customWidth="1"/>
    <col min="6410" max="6657" width="9" style="3955"/>
    <col min="6658" max="6658" width="4.125" style="3955" customWidth="1"/>
    <col min="6659" max="6664" width="9" style="3955"/>
    <col min="6665" max="6665" width="3.875" style="3955" customWidth="1"/>
    <col min="6666" max="6913" width="9" style="3955"/>
    <col min="6914" max="6914" width="4.125" style="3955" customWidth="1"/>
    <col min="6915" max="6920" width="9" style="3955"/>
    <col min="6921" max="6921" width="3.875" style="3955" customWidth="1"/>
    <col min="6922" max="7169" width="9" style="3955"/>
    <col min="7170" max="7170" width="4.125" style="3955" customWidth="1"/>
    <col min="7171" max="7176" width="9" style="3955"/>
    <col min="7177" max="7177" width="3.875" style="3955" customWidth="1"/>
    <col min="7178" max="7425" width="9" style="3955"/>
    <col min="7426" max="7426" width="4.125" style="3955" customWidth="1"/>
    <col min="7427" max="7432" width="9" style="3955"/>
    <col min="7433" max="7433" width="3.875" style="3955" customWidth="1"/>
    <col min="7434" max="7681" width="9" style="3955"/>
    <col min="7682" max="7682" width="4.125" style="3955" customWidth="1"/>
    <col min="7683" max="7688" width="9" style="3955"/>
    <col min="7689" max="7689" width="3.875" style="3955" customWidth="1"/>
    <col min="7690" max="7937" width="9" style="3955"/>
    <col min="7938" max="7938" width="4.125" style="3955" customWidth="1"/>
    <col min="7939" max="7944" width="9" style="3955"/>
    <col min="7945" max="7945" width="3.875" style="3955" customWidth="1"/>
    <col min="7946" max="8193" width="9" style="3955"/>
    <col min="8194" max="8194" width="4.125" style="3955" customWidth="1"/>
    <col min="8195" max="8200" width="9" style="3955"/>
    <col min="8201" max="8201" width="3.875" style="3955" customWidth="1"/>
    <col min="8202" max="8449" width="9" style="3955"/>
    <col min="8450" max="8450" width="4.125" style="3955" customWidth="1"/>
    <col min="8451" max="8456" width="9" style="3955"/>
    <col min="8457" max="8457" width="3.875" style="3955" customWidth="1"/>
    <col min="8458" max="8705" width="9" style="3955"/>
    <col min="8706" max="8706" width="4.125" style="3955" customWidth="1"/>
    <col min="8707" max="8712" width="9" style="3955"/>
    <col min="8713" max="8713" width="3.875" style="3955" customWidth="1"/>
    <col min="8714" max="8961" width="9" style="3955"/>
    <col min="8962" max="8962" width="4.125" style="3955" customWidth="1"/>
    <col min="8963" max="8968" width="9" style="3955"/>
    <col min="8969" max="8969" width="3.875" style="3955" customWidth="1"/>
    <col min="8970" max="9217" width="9" style="3955"/>
    <col min="9218" max="9218" width="4.125" style="3955" customWidth="1"/>
    <col min="9219" max="9224" width="9" style="3955"/>
    <col min="9225" max="9225" width="3.875" style="3955" customWidth="1"/>
    <col min="9226" max="9473" width="9" style="3955"/>
    <col min="9474" max="9474" width="4.125" style="3955" customWidth="1"/>
    <col min="9475" max="9480" width="9" style="3955"/>
    <col min="9481" max="9481" width="3.875" style="3955" customWidth="1"/>
    <col min="9482" max="9729" width="9" style="3955"/>
    <col min="9730" max="9730" width="4.125" style="3955" customWidth="1"/>
    <col min="9731" max="9736" width="9" style="3955"/>
    <col min="9737" max="9737" width="3.875" style="3955" customWidth="1"/>
    <col min="9738" max="9985" width="9" style="3955"/>
    <col min="9986" max="9986" width="4.125" style="3955" customWidth="1"/>
    <col min="9987" max="9992" width="9" style="3955"/>
    <col min="9993" max="9993" width="3.875" style="3955" customWidth="1"/>
    <col min="9994" max="10241" width="9" style="3955"/>
    <col min="10242" max="10242" width="4.125" style="3955" customWidth="1"/>
    <col min="10243" max="10248" width="9" style="3955"/>
    <col min="10249" max="10249" width="3.875" style="3955" customWidth="1"/>
    <col min="10250" max="10497" width="9" style="3955"/>
    <col min="10498" max="10498" width="4.125" style="3955" customWidth="1"/>
    <col min="10499" max="10504" width="9" style="3955"/>
    <col min="10505" max="10505" width="3.875" style="3955" customWidth="1"/>
    <col min="10506" max="10753" width="9" style="3955"/>
    <col min="10754" max="10754" width="4.125" style="3955" customWidth="1"/>
    <col min="10755" max="10760" width="9" style="3955"/>
    <col min="10761" max="10761" width="3.875" style="3955" customWidth="1"/>
    <col min="10762" max="11009" width="9" style="3955"/>
    <col min="11010" max="11010" width="4.125" style="3955" customWidth="1"/>
    <col min="11011" max="11016" width="9" style="3955"/>
    <col min="11017" max="11017" width="3.875" style="3955" customWidth="1"/>
    <col min="11018" max="11265" width="9" style="3955"/>
    <col min="11266" max="11266" width="4.125" style="3955" customWidth="1"/>
    <col min="11267" max="11272" width="9" style="3955"/>
    <col min="11273" max="11273" width="3.875" style="3955" customWidth="1"/>
    <col min="11274" max="11521" width="9" style="3955"/>
    <col min="11522" max="11522" width="4.125" style="3955" customWidth="1"/>
    <col min="11523" max="11528" width="9" style="3955"/>
    <col min="11529" max="11529" width="3.875" style="3955" customWidth="1"/>
    <col min="11530" max="11777" width="9" style="3955"/>
    <col min="11778" max="11778" width="4.125" style="3955" customWidth="1"/>
    <col min="11779" max="11784" width="9" style="3955"/>
    <col min="11785" max="11785" width="3.875" style="3955" customWidth="1"/>
    <col min="11786" max="12033" width="9" style="3955"/>
    <col min="12034" max="12034" width="4.125" style="3955" customWidth="1"/>
    <col min="12035" max="12040" width="9" style="3955"/>
    <col min="12041" max="12041" width="3.875" style="3955" customWidth="1"/>
    <col min="12042" max="12289" width="9" style="3955"/>
    <col min="12290" max="12290" width="4.125" style="3955" customWidth="1"/>
    <col min="12291" max="12296" width="9" style="3955"/>
    <col min="12297" max="12297" width="3.875" style="3955" customWidth="1"/>
    <col min="12298" max="12545" width="9" style="3955"/>
    <col min="12546" max="12546" width="4.125" style="3955" customWidth="1"/>
    <col min="12547" max="12552" width="9" style="3955"/>
    <col min="12553" max="12553" width="3.875" style="3955" customWidth="1"/>
    <col min="12554" max="12801" width="9" style="3955"/>
    <col min="12802" max="12802" width="4.125" style="3955" customWidth="1"/>
    <col min="12803" max="12808" width="9" style="3955"/>
    <col min="12809" max="12809" width="3.875" style="3955" customWidth="1"/>
    <col min="12810" max="13057" width="9" style="3955"/>
    <col min="13058" max="13058" width="4.125" style="3955" customWidth="1"/>
    <col min="13059" max="13064" width="9" style="3955"/>
    <col min="13065" max="13065" width="3.875" style="3955" customWidth="1"/>
    <col min="13066" max="13313" width="9" style="3955"/>
    <col min="13314" max="13314" width="4.125" style="3955" customWidth="1"/>
    <col min="13315" max="13320" width="9" style="3955"/>
    <col min="13321" max="13321" width="3.875" style="3955" customWidth="1"/>
    <col min="13322" max="13569" width="9" style="3955"/>
    <col min="13570" max="13570" width="4.125" style="3955" customWidth="1"/>
    <col min="13571" max="13576" width="9" style="3955"/>
    <col min="13577" max="13577" width="3.875" style="3955" customWidth="1"/>
    <col min="13578" max="13825" width="9" style="3955"/>
    <col min="13826" max="13826" width="4.125" style="3955" customWidth="1"/>
    <col min="13827" max="13832" width="9" style="3955"/>
    <col min="13833" max="13833" width="3.875" style="3955" customWidth="1"/>
    <col min="13834" max="14081" width="9" style="3955"/>
    <col min="14082" max="14082" width="4.125" style="3955" customWidth="1"/>
    <col min="14083" max="14088" width="9" style="3955"/>
    <col min="14089" max="14089" width="3.875" style="3955" customWidth="1"/>
    <col min="14090" max="14337" width="9" style="3955"/>
    <col min="14338" max="14338" width="4.125" style="3955" customWidth="1"/>
    <col min="14339" max="14344" width="9" style="3955"/>
    <col min="14345" max="14345" width="3.875" style="3955" customWidth="1"/>
    <col min="14346" max="14593" width="9" style="3955"/>
    <col min="14594" max="14594" width="4.125" style="3955" customWidth="1"/>
    <col min="14595" max="14600" width="9" style="3955"/>
    <col min="14601" max="14601" width="3.875" style="3955" customWidth="1"/>
    <col min="14602" max="14849" width="9" style="3955"/>
    <col min="14850" max="14850" width="4.125" style="3955" customWidth="1"/>
    <col min="14851" max="14856" width="9" style="3955"/>
    <col min="14857" max="14857" width="3.875" style="3955" customWidth="1"/>
    <col min="14858" max="15105" width="9" style="3955"/>
    <col min="15106" max="15106" width="4.125" style="3955" customWidth="1"/>
    <col min="15107" max="15112" width="9" style="3955"/>
    <col min="15113" max="15113" width="3.875" style="3955" customWidth="1"/>
    <col min="15114" max="15361" width="9" style="3955"/>
    <col min="15362" max="15362" width="4.125" style="3955" customWidth="1"/>
    <col min="15363" max="15368" width="9" style="3955"/>
    <col min="15369" max="15369" width="3.875" style="3955" customWidth="1"/>
    <col min="15370" max="15617" width="9" style="3955"/>
    <col min="15618" max="15618" width="4.125" style="3955" customWidth="1"/>
    <col min="15619" max="15624" width="9" style="3955"/>
    <col min="15625" max="15625" width="3.875" style="3955" customWidth="1"/>
    <col min="15626" max="15873" width="9" style="3955"/>
    <col min="15874" max="15874" width="4.125" style="3955" customWidth="1"/>
    <col min="15875" max="15880" width="9" style="3955"/>
    <col min="15881" max="15881" width="3.875" style="3955" customWidth="1"/>
    <col min="15882" max="16129" width="9" style="3955"/>
    <col min="16130" max="16130" width="4.125" style="3955" customWidth="1"/>
    <col min="16131" max="16136" width="9" style="3955"/>
    <col min="16137" max="16137" width="3.875" style="3955" customWidth="1"/>
    <col min="16138" max="16384" width="9" style="3955"/>
  </cols>
  <sheetData>
    <row r="2" spans="2:16" ht="16.5" customHeight="1"/>
    <row r="3" spans="2:16" ht="20.25">
      <c r="B3" s="3956"/>
      <c r="C3" s="3957"/>
      <c r="D3" s="3957"/>
      <c r="E3" s="3957"/>
      <c r="F3" s="3957"/>
      <c r="G3" s="3958"/>
      <c r="H3" s="3959"/>
      <c r="J3" s="3968"/>
      <c r="K3" s="3969"/>
      <c r="L3" s="3969"/>
      <c r="M3" s="3969"/>
      <c r="N3" s="3969"/>
      <c r="O3" s="3969"/>
      <c r="P3" s="3970"/>
    </row>
    <row r="4" spans="2:16" ht="18.75">
      <c r="B4" s="3960"/>
      <c r="C4" s="4522" t="s">
        <v>930</v>
      </c>
      <c r="D4" s="4522"/>
      <c r="E4" s="4522"/>
      <c r="F4" s="4522"/>
      <c r="G4" s="4522"/>
      <c r="H4" s="3961"/>
      <c r="J4" s="3971"/>
      <c r="K4" s="3972"/>
      <c r="L4" s="3972"/>
      <c r="M4" s="3972"/>
      <c r="N4" s="3972"/>
      <c r="O4" s="3972"/>
      <c r="P4" s="3973"/>
    </row>
    <row r="5" spans="2:16" ht="20.25">
      <c r="B5" s="3960"/>
      <c r="C5" s="3962"/>
      <c r="D5" s="3962"/>
      <c r="E5" s="3962"/>
      <c r="F5" s="3962"/>
      <c r="G5" s="3963"/>
      <c r="H5" s="3961"/>
      <c r="J5" s="3971"/>
      <c r="K5" s="3972"/>
      <c r="L5" s="3972"/>
      <c r="M5" s="3972"/>
      <c r="N5" s="3972"/>
      <c r="O5" s="3972"/>
      <c r="P5" s="3973"/>
    </row>
    <row r="6" spans="2:16" ht="18.75">
      <c r="B6" s="3960"/>
      <c r="C6" s="4523" t="s">
        <v>931</v>
      </c>
      <c r="D6" s="4523"/>
      <c r="E6" s="4523"/>
      <c r="F6" s="4523"/>
      <c r="G6" s="4523"/>
      <c r="H6" s="3961"/>
      <c r="J6" s="3971"/>
      <c r="K6" s="3972"/>
      <c r="L6" s="3972"/>
      <c r="M6" s="3972"/>
      <c r="N6" s="3972"/>
      <c r="O6" s="3972"/>
      <c r="P6" s="3973"/>
    </row>
    <row r="7" spans="2:16" ht="20.25">
      <c r="B7" s="3960"/>
      <c r="C7" s="3962"/>
      <c r="D7" s="3962"/>
      <c r="E7" s="3962"/>
      <c r="F7" s="3962"/>
      <c r="G7" s="3963"/>
      <c r="H7" s="3961"/>
      <c r="J7" s="3971"/>
      <c r="K7" s="3972"/>
      <c r="L7" s="3972"/>
      <c r="M7" s="3972"/>
      <c r="N7" s="3972"/>
      <c r="O7" s="3972"/>
      <c r="P7" s="3973"/>
    </row>
    <row r="8" spans="2:16" ht="18.75">
      <c r="B8" s="3960"/>
      <c r="C8" s="4523" t="s">
        <v>932</v>
      </c>
      <c r="D8" s="4523"/>
      <c r="E8" s="4523"/>
      <c r="F8" s="4523"/>
      <c r="G8" s="4523"/>
      <c r="H8" s="3961"/>
      <c r="J8" s="3971"/>
      <c r="K8" s="3972"/>
      <c r="L8" s="3972"/>
      <c r="M8" s="3972"/>
      <c r="N8" s="3972"/>
      <c r="O8" s="3972"/>
      <c r="P8" s="3973"/>
    </row>
    <row r="9" spans="2:16" ht="20.25">
      <c r="B9" s="3964"/>
      <c r="C9" s="3965"/>
      <c r="D9" s="3965"/>
      <c r="E9" s="3965"/>
      <c r="F9" s="3965"/>
      <c r="G9" s="3966"/>
      <c r="H9" s="3967"/>
      <c r="J9" s="3971"/>
      <c r="K9" s="3972"/>
      <c r="L9" s="3972"/>
      <c r="M9" s="3972"/>
      <c r="N9" s="3972"/>
      <c r="O9" s="3972"/>
      <c r="P9" s="3973"/>
    </row>
    <row r="10" spans="2:16">
      <c r="J10" s="3971"/>
      <c r="K10" s="3972"/>
      <c r="L10" s="3972"/>
      <c r="M10" s="3972"/>
      <c r="N10" s="3972"/>
      <c r="O10" s="3972"/>
      <c r="P10" s="3973"/>
    </row>
    <row r="11" spans="2:16">
      <c r="J11" s="3971"/>
      <c r="K11" s="3972"/>
      <c r="L11" s="3972"/>
      <c r="M11" s="3972"/>
      <c r="N11" s="3972"/>
      <c r="O11" s="3972"/>
      <c r="P11" s="3973"/>
    </row>
    <row r="12" spans="2:16">
      <c r="J12" s="3971"/>
      <c r="K12" s="3972"/>
      <c r="L12" s="3972"/>
      <c r="M12" s="3972"/>
      <c r="N12" s="3972"/>
      <c r="O12" s="3972"/>
      <c r="P12" s="3973"/>
    </row>
    <row r="13" spans="2:16">
      <c r="J13" s="3971"/>
      <c r="K13" s="3972"/>
      <c r="L13" s="3972"/>
      <c r="M13" s="3972"/>
      <c r="N13" s="3972"/>
      <c r="O13" s="3972"/>
      <c r="P13" s="3973"/>
    </row>
    <row r="14" spans="2:16">
      <c r="J14" s="3971"/>
      <c r="K14" s="3972"/>
      <c r="L14" s="3972"/>
      <c r="M14" s="3972"/>
      <c r="N14" s="3972"/>
      <c r="O14" s="3972"/>
      <c r="P14" s="3973"/>
    </row>
    <row r="15" spans="2:16">
      <c r="J15" s="3971"/>
      <c r="K15" s="3972"/>
      <c r="L15" s="3972"/>
      <c r="M15" s="3972"/>
      <c r="N15" s="3972"/>
      <c r="O15" s="3972"/>
      <c r="P15" s="3973"/>
    </row>
    <row r="16" spans="2:16">
      <c r="J16" s="3971"/>
      <c r="K16" s="3972"/>
      <c r="L16" s="3972"/>
      <c r="M16" s="3972"/>
      <c r="N16" s="3972"/>
      <c r="O16" s="3972"/>
      <c r="P16" s="3973"/>
    </row>
    <row r="17" spans="10:16">
      <c r="J17" s="3971"/>
      <c r="K17" s="3972"/>
      <c r="L17" s="3972"/>
      <c r="M17" s="3972"/>
      <c r="N17" s="3972"/>
      <c r="O17" s="3972"/>
      <c r="P17" s="3973"/>
    </row>
    <row r="18" spans="10:16">
      <c r="J18" s="3971"/>
      <c r="K18" s="3972"/>
      <c r="L18" s="3972"/>
      <c r="M18" s="3972"/>
      <c r="N18" s="3972"/>
      <c r="O18" s="3972"/>
      <c r="P18" s="3973"/>
    </row>
    <row r="19" spans="10:16">
      <c r="J19" s="3971"/>
      <c r="K19" s="3972"/>
      <c r="L19" s="3972"/>
      <c r="M19" s="3972"/>
      <c r="N19" s="3972"/>
      <c r="O19" s="3972"/>
      <c r="P19" s="3973"/>
    </row>
    <row r="20" spans="10:16">
      <c r="J20" s="3971"/>
      <c r="K20" s="3972"/>
      <c r="L20" s="3972"/>
      <c r="M20" s="3972"/>
      <c r="N20" s="3972"/>
      <c r="O20" s="3972"/>
      <c r="P20" s="3973"/>
    </row>
    <row r="21" spans="10:16">
      <c r="J21" s="3971"/>
      <c r="K21" s="3972"/>
      <c r="L21" s="3972"/>
      <c r="M21" s="3972"/>
      <c r="N21" s="3972"/>
      <c r="O21" s="3972"/>
      <c r="P21" s="3973"/>
    </row>
    <row r="22" spans="10:16">
      <c r="J22" s="3971"/>
      <c r="K22" s="3972"/>
      <c r="L22" s="3972"/>
      <c r="M22" s="3972"/>
      <c r="N22" s="3972"/>
      <c r="O22" s="3972"/>
      <c r="P22" s="3973"/>
    </row>
    <row r="23" spans="10:16">
      <c r="J23" s="3971"/>
      <c r="K23" s="3972"/>
      <c r="L23" s="3972"/>
      <c r="M23" s="3972"/>
      <c r="N23" s="3972"/>
      <c r="O23" s="3972"/>
      <c r="P23" s="3973"/>
    </row>
    <row r="24" spans="10:16">
      <c r="J24" s="3971"/>
      <c r="K24" s="3972"/>
      <c r="L24" s="3972"/>
      <c r="M24" s="3972"/>
      <c r="N24" s="3972"/>
      <c r="O24" s="3972"/>
      <c r="P24" s="3973"/>
    </row>
    <row r="25" spans="10:16">
      <c r="J25" s="3971"/>
      <c r="K25" s="3972"/>
      <c r="L25" s="3972"/>
      <c r="M25" s="3972"/>
      <c r="N25" s="3972"/>
      <c r="O25" s="3972"/>
      <c r="P25" s="3973"/>
    </row>
    <row r="26" spans="10:16">
      <c r="J26" s="3971"/>
      <c r="K26" s="3972"/>
      <c r="L26" s="3972"/>
      <c r="M26" s="3972"/>
      <c r="N26" s="3972"/>
      <c r="O26" s="3972"/>
      <c r="P26" s="3973"/>
    </row>
    <row r="27" spans="10:16">
      <c r="J27" s="3974"/>
      <c r="K27" s="3975"/>
      <c r="L27" s="3975"/>
      <c r="M27" s="3975"/>
      <c r="N27" s="3975"/>
      <c r="O27" s="3975"/>
      <c r="P27" s="3976"/>
    </row>
  </sheetData>
  <mergeCells count="3">
    <mergeCell ref="C4:G4"/>
    <mergeCell ref="C6:G6"/>
    <mergeCell ref="C8:G8"/>
  </mergeCells>
  <phoneticPr fontId="214" type="noConversion"/>
  <hyperlinks>
    <hyperlink ref="C6" r:id="rId1" xr:uid="{00000000-0004-0000-0A00-000000000000}"/>
    <hyperlink ref="C8" r:id="rId2" xr:uid="{00000000-0004-0000-0A00-000001000000}"/>
    <hyperlink ref="C6:G6" r:id="rId3" display="装配尺寸链.ppt" xr:uid="{00000000-0004-0000-0A00-000002000000}"/>
    <hyperlink ref="C4:G4" r:id="rId4" display="工艺尺寸链.pdf" xr:uid="{00000000-0004-0000-0A00-000003000000}"/>
    <hyperlink ref="C8:G8" r:id="rId5" display="GBT5487-86 尺寸链计算方法.pdf" xr:uid="{00000000-0004-0000-0A00-000004000000}"/>
  </hyperlinks>
  <pageMargins left="0.75" right="0.75" top="1" bottom="1" header="0.5" footer="0.5"/>
  <headerFooter alignWithMargins="0"/>
  <drawing r:id="rId6"/>
  <legacyDrawing r:id="rId7"/>
  <oleObjects>
    <mc:AlternateContent xmlns:mc="http://schemas.openxmlformats.org/markup-compatibility/2006">
      <mc:Choice Requires="x14">
        <oleObject progId="Equation.3" shapeId="1421313" r:id="rId8">
          <objectPr defaultSize="0" altText="" r:id="rId9">
            <anchor moveWithCells="1" sizeWithCells="1">
              <from>
                <xdr:col>12</xdr:col>
                <xdr:colOff>171450</xdr:colOff>
                <xdr:row>5</xdr:row>
                <xdr:rowOff>228600</xdr:rowOff>
              </from>
              <to>
                <xdr:col>13</xdr:col>
                <xdr:colOff>590550</xdr:colOff>
                <xdr:row>8</xdr:row>
                <xdr:rowOff>57150</xdr:rowOff>
              </to>
            </anchor>
          </objectPr>
        </oleObject>
      </mc:Choice>
      <mc:Fallback>
        <oleObject progId="Equation.3" shapeId="1421313" r:id="rId8"/>
      </mc:Fallback>
    </mc:AlternateContent>
    <mc:AlternateContent xmlns:mc="http://schemas.openxmlformats.org/markup-compatibility/2006">
      <mc:Choice Requires="x14">
        <oleObject progId="Equation.3" shapeId="1421314" r:id="rId10">
          <objectPr defaultSize="0" altText="" r:id="rId11">
            <anchor moveWithCells="1" sizeWithCells="1">
              <from>
                <xdr:col>11</xdr:col>
                <xdr:colOff>476250</xdr:colOff>
                <xdr:row>11</xdr:row>
                <xdr:rowOff>38100</xdr:rowOff>
              </from>
              <to>
                <xdr:col>15</xdr:col>
                <xdr:colOff>38100</xdr:colOff>
                <xdr:row>14</xdr:row>
                <xdr:rowOff>142875</xdr:rowOff>
              </to>
            </anchor>
          </objectPr>
        </oleObject>
      </mc:Choice>
      <mc:Fallback>
        <oleObject progId="Equation.3" shapeId="1421314" r:id="rId10"/>
      </mc:Fallback>
    </mc:AlternateContent>
    <mc:AlternateContent xmlns:mc="http://schemas.openxmlformats.org/markup-compatibility/2006">
      <mc:Choice Requires="x14">
        <oleObject progId="Equation.3" shapeId="1421315" r:id="rId12">
          <objectPr defaultSize="0" altText="" r:id="rId13">
            <anchor moveWithCells="1" sizeWithCells="1">
              <from>
                <xdr:col>11</xdr:col>
                <xdr:colOff>590550</xdr:colOff>
                <xdr:row>15</xdr:row>
                <xdr:rowOff>142875</xdr:rowOff>
              </from>
              <to>
                <xdr:col>15</xdr:col>
                <xdr:colOff>142875</xdr:colOff>
                <xdr:row>19</xdr:row>
                <xdr:rowOff>114300</xdr:rowOff>
              </to>
            </anchor>
          </objectPr>
        </oleObject>
      </mc:Choice>
      <mc:Fallback>
        <oleObject progId="Equation.3" shapeId="1421315" r:id="rId12"/>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tabColor indexed="11"/>
  </sheetPr>
  <dimension ref="B2:R16"/>
  <sheetViews>
    <sheetView showGridLines="0" workbookViewId="0">
      <selection activeCell="T5" sqref="T5"/>
    </sheetView>
  </sheetViews>
  <sheetFormatPr defaultColWidth="9" defaultRowHeight="15" customHeight="1"/>
  <cols>
    <col min="1" max="1" width="3.125" style="3943" customWidth="1"/>
    <col min="2" max="2" width="3.375" style="3943" customWidth="1"/>
    <col min="3" max="9" width="7.625" style="3944" customWidth="1"/>
    <col min="10" max="10" width="4" style="3943" customWidth="1"/>
    <col min="11" max="11" width="3.25" style="3943" customWidth="1"/>
    <col min="12" max="18" width="7.625" style="3943" customWidth="1"/>
    <col min="19" max="256" width="9" style="3943"/>
    <col min="257" max="257" width="3.125" style="3943" customWidth="1"/>
    <col min="258" max="258" width="3.375" style="3943" customWidth="1"/>
    <col min="259" max="265" width="7.625" style="3943" customWidth="1"/>
    <col min="266" max="266" width="4" style="3943" customWidth="1"/>
    <col min="267" max="267" width="3.25" style="3943" customWidth="1"/>
    <col min="268" max="274" width="7.625" style="3943" customWidth="1"/>
    <col min="275" max="512" width="9" style="3943"/>
    <col min="513" max="513" width="3.125" style="3943" customWidth="1"/>
    <col min="514" max="514" width="3.375" style="3943" customWidth="1"/>
    <col min="515" max="521" width="7.625" style="3943" customWidth="1"/>
    <col min="522" max="522" width="4" style="3943" customWidth="1"/>
    <col min="523" max="523" width="3.25" style="3943" customWidth="1"/>
    <col min="524" max="530" width="7.625" style="3943" customWidth="1"/>
    <col min="531" max="768" width="9" style="3943"/>
    <col min="769" max="769" width="3.125" style="3943" customWidth="1"/>
    <col min="770" max="770" width="3.375" style="3943" customWidth="1"/>
    <col min="771" max="777" width="7.625" style="3943" customWidth="1"/>
    <col min="778" max="778" width="4" style="3943" customWidth="1"/>
    <col min="779" max="779" width="3.25" style="3943" customWidth="1"/>
    <col min="780" max="786" width="7.625" style="3943" customWidth="1"/>
    <col min="787" max="1024" width="9" style="3943"/>
    <col min="1025" max="1025" width="3.125" style="3943" customWidth="1"/>
    <col min="1026" max="1026" width="3.375" style="3943" customWidth="1"/>
    <col min="1027" max="1033" width="7.625" style="3943" customWidth="1"/>
    <col min="1034" max="1034" width="4" style="3943" customWidth="1"/>
    <col min="1035" max="1035" width="3.25" style="3943" customWidth="1"/>
    <col min="1036" max="1042" width="7.625" style="3943" customWidth="1"/>
    <col min="1043" max="1280" width="9" style="3943"/>
    <col min="1281" max="1281" width="3.125" style="3943" customWidth="1"/>
    <col min="1282" max="1282" width="3.375" style="3943" customWidth="1"/>
    <col min="1283" max="1289" width="7.625" style="3943" customWidth="1"/>
    <col min="1290" max="1290" width="4" style="3943" customWidth="1"/>
    <col min="1291" max="1291" width="3.25" style="3943" customWidth="1"/>
    <col min="1292" max="1298" width="7.625" style="3943" customWidth="1"/>
    <col min="1299" max="1536" width="9" style="3943"/>
    <col min="1537" max="1537" width="3.125" style="3943" customWidth="1"/>
    <col min="1538" max="1538" width="3.375" style="3943" customWidth="1"/>
    <col min="1539" max="1545" width="7.625" style="3943" customWidth="1"/>
    <col min="1546" max="1546" width="4" style="3943" customWidth="1"/>
    <col min="1547" max="1547" width="3.25" style="3943" customWidth="1"/>
    <col min="1548" max="1554" width="7.625" style="3943" customWidth="1"/>
    <col min="1555" max="1792" width="9" style="3943"/>
    <col min="1793" max="1793" width="3.125" style="3943" customWidth="1"/>
    <col min="1794" max="1794" width="3.375" style="3943" customWidth="1"/>
    <col min="1795" max="1801" width="7.625" style="3943" customWidth="1"/>
    <col min="1802" max="1802" width="4" style="3943" customWidth="1"/>
    <col min="1803" max="1803" width="3.25" style="3943" customWidth="1"/>
    <col min="1804" max="1810" width="7.625" style="3943" customWidth="1"/>
    <col min="1811" max="2048" width="9" style="3943"/>
    <col min="2049" max="2049" width="3.125" style="3943" customWidth="1"/>
    <col min="2050" max="2050" width="3.375" style="3943" customWidth="1"/>
    <col min="2051" max="2057" width="7.625" style="3943" customWidth="1"/>
    <col min="2058" max="2058" width="4" style="3943" customWidth="1"/>
    <col min="2059" max="2059" width="3.25" style="3943" customWidth="1"/>
    <col min="2060" max="2066" width="7.625" style="3943" customWidth="1"/>
    <col min="2067" max="2304" width="9" style="3943"/>
    <col min="2305" max="2305" width="3.125" style="3943" customWidth="1"/>
    <col min="2306" max="2306" width="3.375" style="3943" customWidth="1"/>
    <col min="2307" max="2313" width="7.625" style="3943" customWidth="1"/>
    <col min="2314" max="2314" width="4" style="3943" customWidth="1"/>
    <col min="2315" max="2315" width="3.25" style="3943" customWidth="1"/>
    <col min="2316" max="2322" width="7.625" style="3943" customWidth="1"/>
    <col min="2323" max="2560" width="9" style="3943"/>
    <col min="2561" max="2561" width="3.125" style="3943" customWidth="1"/>
    <col min="2562" max="2562" width="3.375" style="3943" customWidth="1"/>
    <col min="2563" max="2569" width="7.625" style="3943" customWidth="1"/>
    <col min="2570" max="2570" width="4" style="3943" customWidth="1"/>
    <col min="2571" max="2571" width="3.25" style="3943" customWidth="1"/>
    <col min="2572" max="2578" width="7.625" style="3943" customWidth="1"/>
    <col min="2579" max="2816" width="9" style="3943"/>
    <col min="2817" max="2817" width="3.125" style="3943" customWidth="1"/>
    <col min="2818" max="2818" width="3.375" style="3943" customWidth="1"/>
    <col min="2819" max="2825" width="7.625" style="3943" customWidth="1"/>
    <col min="2826" max="2826" width="4" style="3943" customWidth="1"/>
    <col min="2827" max="2827" width="3.25" style="3943" customWidth="1"/>
    <col min="2828" max="2834" width="7.625" style="3943" customWidth="1"/>
    <col min="2835" max="3072" width="9" style="3943"/>
    <col min="3073" max="3073" width="3.125" style="3943" customWidth="1"/>
    <col min="3074" max="3074" width="3.375" style="3943" customWidth="1"/>
    <col min="3075" max="3081" width="7.625" style="3943" customWidth="1"/>
    <col min="3082" max="3082" width="4" style="3943" customWidth="1"/>
    <col min="3083" max="3083" width="3.25" style="3943" customWidth="1"/>
    <col min="3084" max="3090" width="7.625" style="3943" customWidth="1"/>
    <col min="3091" max="3328" width="9" style="3943"/>
    <col min="3329" max="3329" width="3.125" style="3943" customWidth="1"/>
    <col min="3330" max="3330" width="3.375" style="3943" customWidth="1"/>
    <col min="3331" max="3337" width="7.625" style="3943" customWidth="1"/>
    <col min="3338" max="3338" width="4" style="3943" customWidth="1"/>
    <col min="3339" max="3339" width="3.25" style="3943" customWidth="1"/>
    <col min="3340" max="3346" width="7.625" style="3943" customWidth="1"/>
    <col min="3347" max="3584" width="9" style="3943"/>
    <col min="3585" max="3585" width="3.125" style="3943" customWidth="1"/>
    <col min="3586" max="3586" width="3.375" style="3943" customWidth="1"/>
    <col min="3587" max="3593" width="7.625" style="3943" customWidth="1"/>
    <col min="3594" max="3594" width="4" style="3943" customWidth="1"/>
    <col min="3595" max="3595" width="3.25" style="3943" customWidth="1"/>
    <col min="3596" max="3602" width="7.625" style="3943" customWidth="1"/>
    <col min="3603" max="3840" width="9" style="3943"/>
    <col min="3841" max="3841" width="3.125" style="3943" customWidth="1"/>
    <col min="3842" max="3842" width="3.375" style="3943" customWidth="1"/>
    <col min="3843" max="3849" width="7.625" style="3943" customWidth="1"/>
    <col min="3850" max="3850" width="4" style="3943" customWidth="1"/>
    <col min="3851" max="3851" width="3.25" style="3943" customWidth="1"/>
    <col min="3852" max="3858" width="7.625" style="3943" customWidth="1"/>
    <col min="3859" max="4096" width="9" style="3943"/>
    <col min="4097" max="4097" width="3.125" style="3943" customWidth="1"/>
    <col min="4098" max="4098" width="3.375" style="3943" customWidth="1"/>
    <col min="4099" max="4105" width="7.625" style="3943" customWidth="1"/>
    <col min="4106" max="4106" width="4" style="3943" customWidth="1"/>
    <col min="4107" max="4107" width="3.25" style="3943" customWidth="1"/>
    <col min="4108" max="4114" width="7.625" style="3943" customWidth="1"/>
    <col min="4115" max="4352" width="9" style="3943"/>
    <col min="4353" max="4353" width="3.125" style="3943" customWidth="1"/>
    <col min="4354" max="4354" width="3.375" style="3943" customWidth="1"/>
    <col min="4355" max="4361" width="7.625" style="3943" customWidth="1"/>
    <col min="4362" max="4362" width="4" style="3943" customWidth="1"/>
    <col min="4363" max="4363" width="3.25" style="3943" customWidth="1"/>
    <col min="4364" max="4370" width="7.625" style="3943" customWidth="1"/>
    <col min="4371" max="4608" width="9" style="3943"/>
    <col min="4609" max="4609" width="3.125" style="3943" customWidth="1"/>
    <col min="4610" max="4610" width="3.375" style="3943" customWidth="1"/>
    <col min="4611" max="4617" width="7.625" style="3943" customWidth="1"/>
    <col min="4618" max="4618" width="4" style="3943" customWidth="1"/>
    <col min="4619" max="4619" width="3.25" style="3943" customWidth="1"/>
    <col min="4620" max="4626" width="7.625" style="3943" customWidth="1"/>
    <col min="4627" max="4864" width="9" style="3943"/>
    <col min="4865" max="4865" width="3.125" style="3943" customWidth="1"/>
    <col min="4866" max="4866" width="3.375" style="3943" customWidth="1"/>
    <col min="4867" max="4873" width="7.625" style="3943" customWidth="1"/>
    <col min="4874" max="4874" width="4" style="3943" customWidth="1"/>
    <col min="4875" max="4875" width="3.25" style="3943" customWidth="1"/>
    <col min="4876" max="4882" width="7.625" style="3943" customWidth="1"/>
    <col min="4883" max="5120" width="9" style="3943"/>
    <col min="5121" max="5121" width="3.125" style="3943" customWidth="1"/>
    <col min="5122" max="5122" width="3.375" style="3943" customWidth="1"/>
    <col min="5123" max="5129" width="7.625" style="3943" customWidth="1"/>
    <col min="5130" max="5130" width="4" style="3943" customWidth="1"/>
    <col min="5131" max="5131" width="3.25" style="3943" customWidth="1"/>
    <col min="5132" max="5138" width="7.625" style="3943" customWidth="1"/>
    <col min="5139" max="5376" width="9" style="3943"/>
    <col min="5377" max="5377" width="3.125" style="3943" customWidth="1"/>
    <col min="5378" max="5378" width="3.375" style="3943" customWidth="1"/>
    <col min="5379" max="5385" width="7.625" style="3943" customWidth="1"/>
    <col min="5386" max="5386" width="4" style="3943" customWidth="1"/>
    <col min="5387" max="5387" width="3.25" style="3943" customWidth="1"/>
    <col min="5388" max="5394" width="7.625" style="3943" customWidth="1"/>
    <col min="5395" max="5632" width="9" style="3943"/>
    <col min="5633" max="5633" width="3.125" style="3943" customWidth="1"/>
    <col min="5634" max="5634" width="3.375" style="3943" customWidth="1"/>
    <col min="5635" max="5641" width="7.625" style="3943" customWidth="1"/>
    <col min="5642" max="5642" width="4" style="3943" customWidth="1"/>
    <col min="5643" max="5643" width="3.25" style="3943" customWidth="1"/>
    <col min="5644" max="5650" width="7.625" style="3943" customWidth="1"/>
    <col min="5651" max="5888" width="9" style="3943"/>
    <col min="5889" max="5889" width="3.125" style="3943" customWidth="1"/>
    <col min="5890" max="5890" width="3.375" style="3943" customWidth="1"/>
    <col min="5891" max="5897" width="7.625" style="3943" customWidth="1"/>
    <col min="5898" max="5898" width="4" style="3943" customWidth="1"/>
    <col min="5899" max="5899" width="3.25" style="3943" customWidth="1"/>
    <col min="5900" max="5906" width="7.625" style="3943" customWidth="1"/>
    <col min="5907" max="6144" width="9" style="3943"/>
    <col min="6145" max="6145" width="3.125" style="3943" customWidth="1"/>
    <col min="6146" max="6146" width="3.375" style="3943" customWidth="1"/>
    <col min="6147" max="6153" width="7.625" style="3943" customWidth="1"/>
    <col min="6154" max="6154" width="4" style="3943" customWidth="1"/>
    <col min="6155" max="6155" width="3.25" style="3943" customWidth="1"/>
    <col min="6156" max="6162" width="7.625" style="3943" customWidth="1"/>
    <col min="6163" max="6400" width="9" style="3943"/>
    <col min="6401" max="6401" width="3.125" style="3943" customWidth="1"/>
    <col min="6402" max="6402" width="3.375" style="3943" customWidth="1"/>
    <col min="6403" max="6409" width="7.625" style="3943" customWidth="1"/>
    <col min="6410" max="6410" width="4" style="3943" customWidth="1"/>
    <col min="6411" max="6411" width="3.25" style="3943" customWidth="1"/>
    <col min="6412" max="6418" width="7.625" style="3943" customWidth="1"/>
    <col min="6419" max="6656" width="9" style="3943"/>
    <col min="6657" max="6657" width="3.125" style="3943" customWidth="1"/>
    <col min="6658" max="6658" width="3.375" style="3943" customWidth="1"/>
    <col min="6659" max="6665" width="7.625" style="3943" customWidth="1"/>
    <col min="6666" max="6666" width="4" style="3943" customWidth="1"/>
    <col min="6667" max="6667" width="3.25" style="3943" customWidth="1"/>
    <col min="6668" max="6674" width="7.625" style="3943" customWidth="1"/>
    <col min="6675" max="6912" width="9" style="3943"/>
    <col min="6913" max="6913" width="3.125" style="3943" customWidth="1"/>
    <col min="6914" max="6914" width="3.375" style="3943" customWidth="1"/>
    <col min="6915" max="6921" width="7.625" style="3943" customWidth="1"/>
    <col min="6922" max="6922" width="4" style="3943" customWidth="1"/>
    <col min="6923" max="6923" width="3.25" style="3943" customWidth="1"/>
    <col min="6924" max="6930" width="7.625" style="3943" customWidth="1"/>
    <col min="6931" max="7168" width="9" style="3943"/>
    <col min="7169" max="7169" width="3.125" style="3943" customWidth="1"/>
    <col min="7170" max="7170" width="3.375" style="3943" customWidth="1"/>
    <col min="7171" max="7177" width="7.625" style="3943" customWidth="1"/>
    <col min="7178" max="7178" width="4" style="3943" customWidth="1"/>
    <col min="7179" max="7179" width="3.25" style="3943" customWidth="1"/>
    <col min="7180" max="7186" width="7.625" style="3943" customWidth="1"/>
    <col min="7187" max="7424" width="9" style="3943"/>
    <col min="7425" max="7425" width="3.125" style="3943" customWidth="1"/>
    <col min="7426" max="7426" width="3.375" style="3943" customWidth="1"/>
    <col min="7427" max="7433" width="7.625" style="3943" customWidth="1"/>
    <col min="7434" max="7434" width="4" style="3943" customWidth="1"/>
    <col min="7435" max="7435" width="3.25" style="3943" customWidth="1"/>
    <col min="7436" max="7442" width="7.625" style="3943" customWidth="1"/>
    <col min="7443" max="7680" width="9" style="3943"/>
    <col min="7681" max="7681" width="3.125" style="3943" customWidth="1"/>
    <col min="7682" max="7682" width="3.375" style="3943" customWidth="1"/>
    <col min="7683" max="7689" width="7.625" style="3943" customWidth="1"/>
    <col min="7690" max="7690" width="4" style="3943" customWidth="1"/>
    <col min="7691" max="7691" width="3.25" style="3943" customWidth="1"/>
    <col min="7692" max="7698" width="7.625" style="3943" customWidth="1"/>
    <col min="7699" max="7936" width="9" style="3943"/>
    <col min="7937" max="7937" width="3.125" style="3943" customWidth="1"/>
    <col min="7938" max="7938" width="3.375" style="3943" customWidth="1"/>
    <col min="7939" max="7945" width="7.625" style="3943" customWidth="1"/>
    <col min="7946" max="7946" width="4" style="3943" customWidth="1"/>
    <col min="7947" max="7947" width="3.25" style="3943" customWidth="1"/>
    <col min="7948" max="7954" width="7.625" style="3943" customWidth="1"/>
    <col min="7955" max="8192" width="9" style="3943"/>
    <col min="8193" max="8193" width="3.125" style="3943" customWidth="1"/>
    <col min="8194" max="8194" width="3.375" style="3943" customWidth="1"/>
    <col min="8195" max="8201" width="7.625" style="3943" customWidth="1"/>
    <col min="8202" max="8202" width="4" style="3943" customWidth="1"/>
    <col min="8203" max="8203" width="3.25" style="3943" customWidth="1"/>
    <col min="8204" max="8210" width="7.625" style="3943" customWidth="1"/>
    <col min="8211" max="8448" width="9" style="3943"/>
    <col min="8449" max="8449" width="3.125" style="3943" customWidth="1"/>
    <col min="8450" max="8450" width="3.375" style="3943" customWidth="1"/>
    <col min="8451" max="8457" width="7.625" style="3943" customWidth="1"/>
    <col min="8458" max="8458" width="4" style="3943" customWidth="1"/>
    <col min="8459" max="8459" width="3.25" style="3943" customWidth="1"/>
    <col min="8460" max="8466" width="7.625" style="3943" customWidth="1"/>
    <col min="8467" max="8704" width="9" style="3943"/>
    <col min="8705" max="8705" width="3.125" style="3943" customWidth="1"/>
    <col min="8706" max="8706" width="3.375" style="3943" customWidth="1"/>
    <col min="8707" max="8713" width="7.625" style="3943" customWidth="1"/>
    <col min="8714" max="8714" width="4" style="3943" customWidth="1"/>
    <col min="8715" max="8715" width="3.25" style="3943" customWidth="1"/>
    <col min="8716" max="8722" width="7.625" style="3943" customWidth="1"/>
    <col min="8723" max="8960" width="9" style="3943"/>
    <col min="8961" max="8961" width="3.125" style="3943" customWidth="1"/>
    <col min="8962" max="8962" width="3.375" style="3943" customWidth="1"/>
    <col min="8963" max="8969" width="7.625" style="3943" customWidth="1"/>
    <col min="8970" max="8970" width="4" style="3943" customWidth="1"/>
    <col min="8971" max="8971" width="3.25" style="3943" customWidth="1"/>
    <col min="8972" max="8978" width="7.625" style="3943" customWidth="1"/>
    <col min="8979" max="9216" width="9" style="3943"/>
    <col min="9217" max="9217" width="3.125" style="3943" customWidth="1"/>
    <col min="9218" max="9218" width="3.375" style="3943" customWidth="1"/>
    <col min="9219" max="9225" width="7.625" style="3943" customWidth="1"/>
    <col min="9226" max="9226" width="4" style="3943" customWidth="1"/>
    <col min="9227" max="9227" width="3.25" style="3943" customWidth="1"/>
    <col min="9228" max="9234" width="7.625" style="3943" customWidth="1"/>
    <col min="9235" max="9472" width="9" style="3943"/>
    <col min="9473" max="9473" width="3.125" style="3943" customWidth="1"/>
    <col min="9474" max="9474" width="3.375" style="3943" customWidth="1"/>
    <col min="9475" max="9481" width="7.625" style="3943" customWidth="1"/>
    <col min="9482" max="9482" width="4" style="3943" customWidth="1"/>
    <col min="9483" max="9483" width="3.25" style="3943" customWidth="1"/>
    <col min="9484" max="9490" width="7.625" style="3943" customWidth="1"/>
    <col min="9491" max="9728" width="9" style="3943"/>
    <col min="9729" max="9729" width="3.125" style="3943" customWidth="1"/>
    <col min="9730" max="9730" width="3.375" style="3943" customWidth="1"/>
    <col min="9731" max="9737" width="7.625" style="3943" customWidth="1"/>
    <col min="9738" max="9738" width="4" style="3943" customWidth="1"/>
    <col min="9739" max="9739" width="3.25" style="3943" customWidth="1"/>
    <col min="9740" max="9746" width="7.625" style="3943" customWidth="1"/>
    <col min="9747" max="9984" width="9" style="3943"/>
    <col min="9985" max="9985" width="3.125" style="3943" customWidth="1"/>
    <col min="9986" max="9986" width="3.375" style="3943" customWidth="1"/>
    <col min="9987" max="9993" width="7.625" style="3943" customWidth="1"/>
    <col min="9994" max="9994" width="4" style="3943" customWidth="1"/>
    <col min="9995" max="9995" width="3.25" style="3943" customWidth="1"/>
    <col min="9996" max="10002" width="7.625" style="3943" customWidth="1"/>
    <col min="10003" max="10240" width="9" style="3943"/>
    <col min="10241" max="10241" width="3.125" style="3943" customWidth="1"/>
    <col min="10242" max="10242" width="3.375" style="3943" customWidth="1"/>
    <col min="10243" max="10249" width="7.625" style="3943" customWidth="1"/>
    <col min="10250" max="10250" width="4" style="3943" customWidth="1"/>
    <col min="10251" max="10251" width="3.25" style="3943" customWidth="1"/>
    <col min="10252" max="10258" width="7.625" style="3943" customWidth="1"/>
    <col min="10259" max="10496" width="9" style="3943"/>
    <col min="10497" max="10497" width="3.125" style="3943" customWidth="1"/>
    <col min="10498" max="10498" width="3.375" style="3943" customWidth="1"/>
    <col min="10499" max="10505" width="7.625" style="3943" customWidth="1"/>
    <col min="10506" max="10506" width="4" style="3943" customWidth="1"/>
    <col min="10507" max="10507" width="3.25" style="3943" customWidth="1"/>
    <col min="10508" max="10514" width="7.625" style="3943" customWidth="1"/>
    <col min="10515" max="10752" width="9" style="3943"/>
    <col min="10753" max="10753" width="3.125" style="3943" customWidth="1"/>
    <col min="10754" max="10754" width="3.375" style="3943" customWidth="1"/>
    <col min="10755" max="10761" width="7.625" style="3943" customWidth="1"/>
    <col min="10762" max="10762" width="4" style="3943" customWidth="1"/>
    <col min="10763" max="10763" width="3.25" style="3943" customWidth="1"/>
    <col min="10764" max="10770" width="7.625" style="3943" customWidth="1"/>
    <col min="10771" max="11008" width="9" style="3943"/>
    <col min="11009" max="11009" width="3.125" style="3943" customWidth="1"/>
    <col min="11010" max="11010" width="3.375" style="3943" customWidth="1"/>
    <col min="11011" max="11017" width="7.625" style="3943" customWidth="1"/>
    <col min="11018" max="11018" width="4" style="3943" customWidth="1"/>
    <col min="11019" max="11019" width="3.25" style="3943" customWidth="1"/>
    <col min="11020" max="11026" width="7.625" style="3943" customWidth="1"/>
    <col min="11027" max="11264" width="9" style="3943"/>
    <col min="11265" max="11265" width="3.125" style="3943" customWidth="1"/>
    <col min="11266" max="11266" width="3.375" style="3943" customWidth="1"/>
    <col min="11267" max="11273" width="7.625" style="3943" customWidth="1"/>
    <col min="11274" max="11274" width="4" style="3943" customWidth="1"/>
    <col min="11275" max="11275" width="3.25" style="3943" customWidth="1"/>
    <col min="11276" max="11282" width="7.625" style="3943" customWidth="1"/>
    <col min="11283" max="11520" width="9" style="3943"/>
    <col min="11521" max="11521" width="3.125" style="3943" customWidth="1"/>
    <col min="11522" max="11522" width="3.375" style="3943" customWidth="1"/>
    <col min="11523" max="11529" width="7.625" style="3943" customWidth="1"/>
    <col min="11530" max="11530" width="4" style="3943" customWidth="1"/>
    <col min="11531" max="11531" width="3.25" style="3943" customWidth="1"/>
    <col min="11532" max="11538" width="7.625" style="3943" customWidth="1"/>
    <col min="11539" max="11776" width="9" style="3943"/>
    <col min="11777" max="11777" width="3.125" style="3943" customWidth="1"/>
    <col min="11778" max="11778" width="3.375" style="3943" customWidth="1"/>
    <col min="11779" max="11785" width="7.625" style="3943" customWidth="1"/>
    <col min="11786" max="11786" width="4" style="3943" customWidth="1"/>
    <col min="11787" max="11787" width="3.25" style="3943" customWidth="1"/>
    <col min="11788" max="11794" width="7.625" style="3943" customWidth="1"/>
    <col min="11795" max="12032" width="9" style="3943"/>
    <col min="12033" max="12033" width="3.125" style="3943" customWidth="1"/>
    <col min="12034" max="12034" width="3.375" style="3943" customWidth="1"/>
    <col min="12035" max="12041" width="7.625" style="3943" customWidth="1"/>
    <col min="12042" max="12042" width="4" style="3943" customWidth="1"/>
    <col min="12043" max="12043" width="3.25" style="3943" customWidth="1"/>
    <col min="12044" max="12050" width="7.625" style="3943" customWidth="1"/>
    <col min="12051" max="12288" width="9" style="3943"/>
    <col min="12289" max="12289" width="3.125" style="3943" customWidth="1"/>
    <col min="12290" max="12290" width="3.375" style="3943" customWidth="1"/>
    <col min="12291" max="12297" width="7.625" style="3943" customWidth="1"/>
    <col min="12298" max="12298" width="4" style="3943" customWidth="1"/>
    <col min="12299" max="12299" width="3.25" style="3943" customWidth="1"/>
    <col min="12300" max="12306" width="7.625" style="3943" customWidth="1"/>
    <col min="12307" max="12544" width="9" style="3943"/>
    <col min="12545" max="12545" width="3.125" style="3943" customWidth="1"/>
    <col min="12546" max="12546" width="3.375" style="3943" customWidth="1"/>
    <col min="12547" max="12553" width="7.625" style="3943" customWidth="1"/>
    <col min="12554" max="12554" width="4" style="3943" customWidth="1"/>
    <col min="12555" max="12555" width="3.25" style="3943" customWidth="1"/>
    <col min="12556" max="12562" width="7.625" style="3943" customWidth="1"/>
    <col min="12563" max="12800" width="9" style="3943"/>
    <col min="12801" max="12801" width="3.125" style="3943" customWidth="1"/>
    <col min="12802" max="12802" width="3.375" style="3943" customWidth="1"/>
    <col min="12803" max="12809" width="7.625" style="3943" customWidth="1"/>
    <col min="12810" max="12810" width="4" style="3943" customWidth="1"/>
    <col min="12811" max="12811" width="3.25" style="3943" customWidth="1"/>
    <col min="12812" max="12818" width="7.625" style="3943" customWidth="1"/>
    <col min="12819" max="13056" width="9" style="3943"/>
    <col min="13057" max="13057" width="3.125" style="3943" customWidth="1"/>
    <col min="13058" max="13058" width="3.375" style="3943" customWidth="1"/>
    <col min="13059" max="13065" width="7.625" style="3943" customWidth="1"/>
    <col min="13066" max="13066" width="4" style="3943" customWidth="1"/>
    <col min="13067" max="13067" width="3.25" style="3943" customWidth="1"/>
    <col min="13068" max="13074" width="7.625" style="3943" customWidth="1"/>
    <col min="13075" max="13312" width="9" style="3943"/>
    <col min="13313" max="13313" width="3.125" style="3943" customWidth="1"/>
    <col min="13314" max="13314" width="3.375" style="3943" customWidth="1"/>
    <col min="13315" max="13321" width="7.625" style="3943" customWidth="1"/>
    <col min="13322" max="13322" width="4" style="3943" customWidth="1"/>
    <col min="13323" max="13323" width="3.25" style="3943" customWidth="1"/>
    <col min="13324" max="13330" width="7.625" style="3943" customWidth="1"/>
    <col min="13331" max="13568" width="9" style="3943"/>
    <col min="13569" max="13569" width="3.125" style="3943" customWidth="1"/>
    <col min="13570" max="13570" width="3.375" style="3943" customWidth="1"/>
    <col min="13571" max="13577" width="7.625" style="3943" customWidth="1"/>
    <col min="13578" max="13578" width="4" style="3943" customWidth="1"/>
    <col min="13579" max="13579" width="3.25" style="3943" customWidth="1"/>
    <col min="13580" max="13586" width="7.625" style="3943" customWidth="1"/>
    <col min="13587" max="13824" width="9" style="3943"/>
    <col min="13825" max="13825" width="3.125" style="3943" customWidth="1"/>
    <col min="13826" max="13826" width="3.375" style="3943" customWidth="1"/>
    <col min="13827" max="13833" width="7.625" style="3943" customWidth="1"/>
    <col min="13834" max="13834" width="4" style="3943" customWidth="1"/>
    <col min="13835" max="13835" width="3.25" style="3943" customWidth="1"/>
    <col min="13836" max="13842" width="7.625" style="3943" customWidth="1"/>
    <col min="13843" max="14080" width="9" style="3943"/>
    <col min="14081" max="14081" width="3.125" style="3943" customWidth="1"/>
    <col min="14082" max="14082" width="3.375" style="3943" customWidth="1"/>
    <col min="14083" max="14089" width="7.625" style="3943" customWidth="1"/>
    <col min="14090" max="14090" width="4" style="3943" customWidth="1"/>
    <col min="14091" max="14091" width="3.25" style="3943" customWidth="1"/>
    <col min="14092" max="14098" width="7.625" style="3943" customWidth="1"/>
    <col min="14099" max="14336" width="9" style="3943"/>
    <col min="14337" max="14337" width="3.125" style="3943" customWidth="1"/>
    <col min="14338" max="14338" width="3.375" style="3943" customWidth="1"/>
    <col min="14339" max="14345" width="7.625" style="3943" customWidth="1"/>
    <col min="14346" max="14346" width="4" style="3943" customWidth="1"/>
    <col min="14347" max="14347" width="3.25" style="3943" customWidth="1"/>
    <col min="14348" max="14354" width="7.625" style="3943" customWidth="1"/>
    <col min="14355" max="14592" width="9" style="3943"/>
    <col min="14593" max="14593" width="3.125" style="3943" customWidth="1"/>
    <col min="14594" max="14594" width="3.375" style="3943" customWidth="1"/>
    <col min="14595" max="14601" width="7.625" style="3943" customWidth="1"/>
    <col min="14602" max="14602" width="4" style="3943" customWidth="1"/>
    <col min="14603" max="14603" width="3.25" style="3943" customWidth="1"/>
    <col min="14604" max="14610" width="7.625" style="3943" customWidth="1"/>
    <col min="14611" max="14848" width="9" style="3943"/>
    <col min="14849" max="14849" width="3.125" style="3943" customWidth="1"/>
    <col min="14850" max="14850" width="3.375" style="3943" customWidth="1"/>
    <col min="14851" max="14857" width="7.625" style="3943" customWidth="1"/>
    <col min="14858" max="14858" width="4" style="3943" customWidth="1"/>
    <col min="14859" max="14859" width="3.25" style="3943" customWidth="1"/>
    <col min="14860" max="14866" width="7.625" style="3943" customWidth="1"/>
    <col min="14867" max="15104" width="9" style="3943"/>
    <col min="15105" max="15105" width="3.125" style="3943" customWidth="1"/>
    <col min="15106" max="15106" width="3.375" style="3943" customWidth="1"/>
    <col min="15107" max="15113" width="7.625" style="3943" customWidth="1"/>
    <col min="15114" max="15114" width="4" style="3943" customWidth="1"/>
    <col min="15115" max="15115" width="3.25" style="3943" customWidth="1"/>
    <col min="15116" max="15122" width="7.625" style="3943" customWidth="1"/>
    <col min="15123" max="15360" width="9" style="3943"/>
    <col min="15361" max="15361" width="3.125" style="3943" customWidth="1"/>
    <col min="15362" max="15362" width="3.375" style="3943" customWidth="1"/>
    <col min="15363" max="15369" width="7.625" style="3943" customWidth="1"/>
    <col min="15370" max="15370" width="4" style="3943" customWidth="1"/>
    <col min="15371" max="15371" width="3.25" style="3943" customWidth="1"/>
    <col min="15372" max="15378" width="7.625" style="3943" customWidth="1"/>
    <col min="15379" max="15616" width="9" style="3943"/>
    <col min="15617" max="15617" width="3.125" style="3943" customWidth="1"/>
    <col min="15618" max="15618" width="3.375" style="3943" customWidth="1"/>
    <col min="15619" max="15625" width="7.625" style="3943" customWidth="1"/>
    <col min="15626" max="15626" width="4" style="3943" customWidth="1"/>
    <col min="15627" max="15627" width="3.25" style="3943" customWidth="1"/>
    <col min="15628" max="15634" width="7.625" style="3943" customWidth="1"/>
    <col min="15635" max="15872" width="9" style="3943"/>
    <col min="15873" max="15873" width="3.125" style="3943" customWidth="1"/>
    <col min="15874" max="15874" width="3.375" style="3943" customWidth="1"/>
    <col min="15875" max="15881" width="7.625" style="3943" customWidth="1"/>
    <col min="15882" max="15882" width="4" style="3943" customWidth="1"/>
    <col min="15883" max="15883" width="3.25" style="3943" customWidth="1"/>
    <col min="15884" max="15890" width="7.625" style="3943" customWidth="1"/>
    <col min="15891" max="16128" width="9" style="3943"/>
    <col min="16129" max="16129" width="3.125" style="3943" customWidth="1"/>
    <col min="16130" max="16130" width="3.375" style="3943" customWidth="1"/>
    <col min="16131" max="16137" width="7.625" style="3943" customWidth="1"/>
    <col min="16138" max="16138" width="4" style="3943" customWidth="1"/>
    <col min="16139" max="16139" width="3.25" style="3943" customWidth="1"/>
    <col min="16140" max="16146" width="7.625" style="3943" customWidth="1"/>
    <col min="16147" max="16384" width="9" style="3943"/>
  </cols>
  <sheetData>
    <row r="2" spans="2:18" ht="19.5" customHeight="1">
      <c r="B2" s="4524" t="s">
        <v>933</v>
      </c>
      <c r="C2" s="4524"/>
      <c r="D2" s="4524"/>
      <c r="E2" s="4524"/>
      <c r="F2" s="4524"/>
      <c r="G2" s="4524"/>
      <c r="H2" s="4524"/>
      <c r="I2" s="4524"/>
      <c r="K2" s="4528" t="s">
        <v>934</v>
      </c>
      <c r="L2" s="4525"/>
      <c r="M2" s="4525"/>
      <c r="N2" s="4525"/>
      <c r="O2" s="4525"/>
      <c r="P2" s="4525"/>
      <c r="Q2" s="4525"/>
      <c r="R2" s="4525"/>
    </row>
    <row r="3" spans="2:18" ht="15" customHeight="1">
      <c r="B3" s="4526" t="s">
        <v>216</v>
      </c>
      <c r="C3" s="4524" t="s">
        <v>935</v>
      </c>
      <c r="D3" s="4524"/>
      <c r="E3" s="4524"/>
      <c r="F3" s="4524" t="s">
        <v>918</v>
      </c>
      <c r="G3" s="4524"/>
      <c r="H3" s="4524" t="s">
        <v>920</v>
      </c>
      <c r="I3" s="4524"/>
      <c r="J3" s="3950"/>
      <c r="K3" s="4527" t="s">
        <v>216</v>
      </c>
      <c r="L3" s="4525" t="s">
        <v>935</v>
      </c>
      <c r="M3" s="4525"/>
      <c r="N3" s="4525"/>
      <c r="O3" s="4525" t="s">
        <v>918</v>
      </c>
      <c r="P3" s="4525"/>
      <c r="Q3" s="4525" t="s">
        <v>920</v>
      </c>
      <c r="R3" s="4525"/>
    </row>
    <row r="4" spans="2:18" s="3942" customFormat="1" ht="30" customHeight="1">
      <c r="B4" s="4526"/>
      <c r="C4" s="3946" t="s">
        <v>936</v>
      </c>
      <c r="D4" s="3946" t="s">
        <v>937</v>
      </c>
      <c r="E4" s="3946" t="s">
        <v>938</v>
      </c>
      <c r="F4" s="3946" t="s">
        <v>937</v>
      </c>
      <c r="G4" s="3946" t="s">
        <v>938</v>
      </c>
      <c r="H4" s="3946" t="s">
        <v>937</v>
      </c>
      <c r="I4" s="3946" t="s">
        <v>938</v>
      </c>
      <c r="K4" s="4527"/>
      <c r="L4" s="3951" t="s">
        <v>936</v>
      </c>
      <c r="M4" s="3951" t="s">
        <v>937</v>
      </c>
      <c r="N4" s="3951" t="s">
        <v>938</v>
      </c>
      <c r="O4" s="3951" t="s">
        <v>937</v>
      </c>
      <c r="P4" s="3951" t="s">
        <v>938</v>
      </c>
      <c r="Q4" s="3951" t="s">
        <v>937</v>
      </c>
      <c r="R4" s="3951" t="s">
        <v>938</v>
      </c>
    </row>
    <row r="5" spans="2:18" ht="15" customHeight="1">
      <c r="B5" s="3945">
        <v>1</v>
      </c>
      <c r="C5" s="3947" t="str">
        <f>[5]尺寸链计算!D4</f>
        <v>增环</v>
      </c>
      <c r="D5" s="3948">
        <f>[5]尺寸链计算!B4</f>
        <v>0</v>
      </c>
      <c r="E5" s="3948">
        <f>[5]尺寸链计算!B5</f>
        <v>-0.16</v>
      </c>
      <c r="F5" s="3948">
        <f>IF(C5="增环",D5,"")</f>
        <v>0</v>
      </c>
      <c r="G5" s="3948">
        <f>IF(C5="增环",E5,"")</f>
        <v>-0.16</v>
      </c>
      <c r="H5" s="3948" t="str">
        <f>IF(C5="减环",D5,"")</f>
        <v/>
      </c>
      <c r="I5" s="3948" t="str">
        <f>IF(C5="减环",E5,"")</f>
        <v/>
      </c>
      <c r="K5" s="3949">
        <v>1</v>
      </c>
      <c r="L5" s="3952">
        <f>[5]尺寸链计算!K4</f>
        <v>0</v>
      </c>
      <c r="M5" s="3953">
        <f>[5]尺寸链计算!I4</f>
        <v>0</v>
      </c>
      <c r="N5" s="3953">
        <f>[5]尺寸链计算!I5</f>
        <v>0</v>
      </c>
      <c r="O5" s="3953" t="str">
        <f>IF(L5="增环",M5,"")</f>
        <v/>
      </c>
      <c r="P5" s="3953" t="str">
        <f>IF(L5="增环",N5,"")</f>
        <v/>
      </c>
      <c r="Q5" s="3953" t="str">
        <f>IF(L5="减环",M5,"")</f>
        <v/>
      </c>
      <c r="R5" s="3953" t="str">
        <f>IF(L5="减环",N5,"")</f>
        <v/>
      </c>
    </row>
    <row r="6" spans="2:18" ht="15" customHeight="1">
      <c r="B6" s="3945">
        <v>2</v>
      </c>
      <c r="C6" s="3947" t="str">
        <f>[5]尺寸链计算!D6</f>
        <v>减环</v>
      </c>
      <c r="D6" s="3948">
        <f>[5]尺寸链计算!B6</f>
        <v>0.11</v>
      </c>
      <c r="E6" s="3948">
        <f>[5]尺寸链计算!B7</f>
        <v>0</v>
      </c>
      <c r="F6" s="3948" t="str">
        <f t="shared" ref="F6:F14" si="0">IF(C6="增环",D6,"")</f>
        <v/>
      </c>
      <c r="G6" s="3948" t="str">
        <f t="shared" ref="G6:G14" si="1">IF(C6="增环",E6,"")</f>
        <v/>
      </c>
      <c r="H6" s="3948">
        <f t="shared" ref="H6:H14" si="2">IF(C6="减环",D6,"")</f>
        <v>0.11</v>
      </c>
      <c r="I6" s="3948">
        <f t="shared" ref="I6:I14" si="3">IF(C6="减环",E6,"")</f>
        <v>0</v>
      </c>
      <c r="K6" s="3949">
        <v>2</v>
      </c>
      <c r="L6" s="3952" t="str">
        <f>[5]尺寸链计算!K6</f>
        <v>增环</v>
      </c>
      <c r="M6" s="3953">
        <f>[5]尺寸链计算!I6</f>
        <v>0.11</v>
      </c>
      <c r="N6" s="3953">
        <f>[5]尺寸链计算!I7</f>
        <v>0</v>
      </c>
      <c r="O6" s="3953">
        <f t="shared" ref="O6:O15" si="4">IF(L6="增环",M6,"")</f>
        <v>0.11</v>
      </c>
      <c r="P6" s="3953">
        <f t="shared" ref="P6:P15" si="5">IF(L6="增环",N6,"")</f>
        <v>0</v>
      </c>
      <c r="Q6" s="3953" t="str">
        <f t="shared" ref="Q6:Q15" si="6">IF(L6="减环",M6,"")</f>
        <v/>
      </c>
      <c r="R6" s="3953" t="str">
        <f t="shared" ref="R6:R15" si="7">IF(L6="减环",N6,"")</f>
        <v/>
      </c>
    </row>
    <row r="7" spans="2:18" ht="15" customHeight="1">
      <c r="B7" s="3945">
        <v>3</v>
      </c>
      <c r="C7" s="3947" t="str">
        <f>[5]尺寸链计算!D8</f>
        <v>减环</v>
      </c>
      <c r="D7" s="3948">
        <f>[5]尺寸链计算!B8</f>
        <v>0</v>
      </c>
      <c r="E7" s="3948">
        <f>[5]尺寸链计算!B9</f>
        <v>-7.4999999999999997E-2</v>
      </c>
      <c r="F7" s="3948" t="str">
        <f t="shared" si="0"/>
        <v/>
      </c>
      <c r="G7" s="3948" t="str">
        <f t="shared" si="1"/>
        <v/>
      </c>
      <c r="H7" s="3948">
        <f t="shared" si="2"/>
        <v>0</v>
      </c>
      <c r="I7" s="3948">
        <f t="shared" si="3"/>
        <v>-7.4999999999999997E-2</v>
      </c>
      <c r="K7" s="3949">
        <v>3</v>
      </c>
      <c r="L7" s="3952" t="str">
        <f>[5]尺寸链计算!K8</f>
        <v>增环</v>
      </c>
      <c r="M7" s="3953">
        <f>[5]尺寸链计算!I8</f>
        <v>0</v>
      </c>
      <c r="N7" s="3953">
        <f>[5]尺寸链计算!I9</f>
        <v>-7.4999999999999997E-2</v>
      </c>
      <c r="O7" s="3953">
        <f t="shared" si="4"/>
        <v>0</v>
      </c>
      <c r="P7" s="3953">
        <f t="shared" si="5"/>
        <v>-7.4999999999999997E-2</v>
      </c>
      <c r="Q7" s="3953" t="str">
        <f t="shared" si="6"/>
        <v/>
      </c>
      <c r="R7" s="3953" t="str">
        <f t="shared" si="7"/>
        <v/>
      </c>
    </row>
    <row r="8" spans="2:18" ht="15" customHeight="1">
      <c r="B8" s="3945">
        <v>4</v>
      </c>
      <c r="C8" s="3947">
        <f>[5]尺寸链计算!D10</f>
        <v>0</v>
      </c>
      <c r="D8" s="3948">
        <f>[5]尺寸链计算!B10</f>
        <v>0</v>
      </c>
      <c r="E8" s="3948">
        <f>[5]尺寸链计算!B11</f>
        <v>0</v>
      </c>
      <c r="F8" s="3948" t="str">
        <f t="shared" si="0"/>
        <v/>
      </c>
      <c r="G8" s="3948" t="str">
        <f t="shared" si="1"/>
        <v/>
      </c>
      <c r="H8" s="3948" t="str">
        <f t="shared" si="2"/>
        <v/>
      </c>
      <c r="I8" s="3948" t="str">
        <f t="shared" si="3"/>
        <v/>
      </c>
      <c r="K8" s="3949">
        <v>4</v>
      </c>
      <c r="L8" s="3952">
        <f>[5]尺寸链计算!K10</f>
        <v>0</v>
      </c>
      <c r="M8" s="3953">
        <f>[5]尺寸链计算!I10</f>
        <v>0</v>
      </c>
      <c r="N8" s="3953">
        <f>[5]尺寸链计算!I11</f>
        <v>0</v>
      </c>
      <c r="O8" s="3953" t="str">
        <f t="shared" si="4"/>
        <v/>
      </c>
      <c r="P8" s="3953" t="str">
        <f t="shared" si="5"/>
        <v/>
      </c>
      <c r="Q8" s="3953" t="str">
        <f t="shared" si="6"/>
        <v/>
      </c>
      <c r="R8" s="3953" t="str">
        <f t="shared" si="7"/>
        <v/>
      </c>
    </row>
    <row r="9" spans="2:18" ht="15" customHeight="1">
      <c r="B9" s="3945">
        <v>5</v>
      </c>
      <c r="C9" s="3947">
        <f>[5]尺寸链计算!D12</f>
        <v>0</v>
      </c>
      <c r="D9" s="3948">
        <f>[5]尺寸链计算!B12</f>
        <v>0</v>
      </c>
      <c r="E9" s="3948">
        <f>[5]尺寸链计算!B13</f>
        <v>0</v>
      </c>
      <c r="F9" s="3948" t="str">
        <f t="shared" si="0"/>
        <v/>
      </c>
      <c r="G9" s="3948" t="str">
        <f t="shared" si="1"/>
        <v/>
      </c>
      <c r="H9" s="3948" t="str">
        <f t="shared" si="2"/>
        <v/>
      </c>
      <c r="I9" s="3948" t="str">
        <f t="shared" si="3"/>
        <v/>
      </c>
      <c r="K9" s="3949">
        <v>5</v>
      </c>
      <c r="L9" s="3952">
        <f>[5]尺寸链计算!K12</f>
        <v>0</v>
      </c>
      <c r="M9" s="3953">
        <f>[5]尺寸链计算!I12</f>
        <v>0</v>
      </c>
      <c r="N9" s="3953">
        <f>[5]尺寸链计算!I13</f>
        <v>0</v>
      </c>
      <c r="O9" s="3953" t="str">
        <f t="shared" si="4"/>
        <v/>
      </c>
      <c r="P9" s="3953" t="str">
        <f t="shared" si="5"/>
        <v/>
      </c>
      <c r="Q9" s="3953" t="str">
        <f t="shared" si="6"/>
        <v/>
      </c>
      <c r="R9" s="3953" t="str">
        <f t="shared" si="7"/>
        <v/>
      </c>
    </row>
    <row r="10" spans="2:18" ht="15" customHeight="1">
      <c r="B10" s="3945">
        <v>6</v>
      </c>
      <c r="C10" s="3947">
        <f>[5]尺寸链计算!D14</f>
        <v>0</v>
      </c>
      <c r="D10" s="3948">
        <f>[5]尺寸链计算!B14</f>
        <v>0</v>
      </c>
      <c r="E10" s="3948">
        <f>[5]尺寸链计算!B15</f>
        <v>0</v>
      </c>
      <c r="F10" s="3948" t="str">
        <f t="shared" si="0"/>
        <v/>
      </c>
      <c r="G10" s="3948" t="str">
        <f t="shared" si="1"/>
        <v/>
      </c>
      <c r="H10" s="3948" t="str">
        <f t="shared" si="2"/>
        <v/>
      </c>
      <c r="I10" s="3948" t="str">
        <f t="shared" si="3"/>
        <v/>
      </c>
      <c r="K10" s="3949">
        <v>6</v>
      </c>
      <c r="L10" s="3952">
        <f>[5]尺寸链计算!K14</f>
        <v>0</v>
      </c>
      <c r="M10" s="3953">
        <f>[5]尺寸链计算!I14</f>
        <v>0</v>
      </c>
      <c r="N10" s="3953">
        <f>[5]尺寸链计算!I15</f>
        <v>0</v>
      </c>
      <c r="O10" s="3953" t="str">
        <f t="shared" si="4"/>
        <v/>
      </c>
      <c r="P10" s="3953" t="str">
        <f t="shared" si="5"/>
        <v/>
      </c>
      <c r="Q10" s="3953" t="str">
        <f t="shared" si="6"/>
        <v/>
      </c>
      <c r="R10" s="3953" t="str">
        <f t="shared" si="7"/>
        <v/>
      </c>
    </row>
    <row r="11" spans="2:18" ht="15" customHeight="1">
      <c r="B11" s="3945">
        <v>7</v>
      </c>
      <c r="C11" s="3947">
        <f>[5]尺寸链计算!D16</f>
        <v>0</v>
      </c>
      <c r="D11" s="3948">
        <f>[5]尺寸链计算!B16</f>
        <v>0</v>
      </c>
      <c r="E11" s="3948">
        <f>[5]尺寸链计算!B17</f>
        <v>0</v>
      </c>
      <c r="F11" s="3948" t="str">
        <f t="shared" si="0"/>
        <v/>
      </c>
      <c r="G11" s="3948" t="str">
        <f t="shared" si="1"/>
        <v/>
      </c>
      <c r="H11" s="3948" t="str">
        <f t="shared" si="2"/>
        <v/>
      </c>
      <c r="I11" s="3948" t="str">
        <f t="shared" si="3"/>
        <v/>
      </c>
      <c r="K11" s="3949">
        <v>7</v>
      </c>
      <c r="L11" s="3952">
        <f>[5]尺寸链计算!K16</f>
        <v>0</v>
      </c>
      <c r="M11" s="3953">
        <f>[5]尺寸链计算!I16</f>
        <v>0</v>
      </c>
      <c r="N11" s="3953">
        <f>[5]尺寸链计算!I17</f>
        <v>0</v>
      </c>
      <c r="O11" s="3953" t="str">
        <f t="shared" si="4"/>
        <v/>
      </c>
      <c r="P11" s="3953" t="str">
        <f t="shared" si="5"/>
        <v/>
      </c>
      <c r="Q11" s="3953" t="str">
        <f t="shared" si="6"/>
        <v/>
      </c>
      <c r="R11" s="3953" t="str">
        <f t="shared" si="7"/>
        <v/>
      </c>
    </row>
    <row r="12" spans="2:18" ht="15" customHeight="1">
      <c r="B12" s="3945">
        <v>8</v>
      </c>
      <c r="C12" s="3947">
        <f>[5]尺寸链计算!D18</f>
        <v>0</v>
      </c>
      <c r="D12" s="3948">
        <f>[5]尺寸链计算!B18</f>
        <v>0</v>
      </c>
      <c r="E12" s="3948">
        <f>[5]尺寸链计算!B19</f>
        <v>0</v>
      </c>
      <c r="F12" s="3948" t="str">
        <f t="shared" si="0"/>
        <v/>
      </c>
      <c r="G12" s="3948" t="str">
        <f t="shared" si="1"/>
        <v/>
      </c>
      <c r="H12" s="3948" t="str">
        <f t="shared" si="2"/>
        <v/>
      </c>
      <c r="I12" s="3948" t="str">
        <f t="shared" si="3"/>
        <v/>
      </c>
      <c r="K12" s="3949">
        <v>8</v>
      </c>
      <c r="L12" s="3952">
        <f>[5]尺寸链计算!K18</f>
        <v>0</v>
      </c>
      <c r="M12" s="3953">
        <f>[5]尺寸链计算!I18</f>
        <v>0</v>
      </c>
      <c r="N12" s="3953">
        <f>[5]尺寸链计算!I19</f>
        <v>0</v>
      </c>
      <c r="O12" s="3953" t="str">
        <f t="shared" si="4"/>
        <v/>
      </c>
      <c r="P12" s="3953" t="str">
        <f t="shared" si="5"/>
        <v/>
      </c>
      <c r="Q12" s="3953" t="str">
        <f t="shared" si="6"/>
        <v/>
      </c>
      <c r="R12" s="3953" t="str">
        <f t="shared" si="7"/>
        <v/>
      </c>
    </row>
    <row r="13" spans="2:18" ht="15" customHeight="1">
      <c r="B13" s="3945">
        <v>9</v>
      </c>
      <c r="C13" s="3947">
        <f>[5]尺寸链计算!D20</f>
        <v>0</v>
      </c>
      <c r="D13" s="3948">
        <f>[5]尺寸链计算!B20</f>
        <v>0</v>
      </c>
      <c r="E13" s="3948">
        <f>[5]尺寸链计算!B21</f>
        <v>0</v>
      </c>
      <c r="F13" s="3948" t="str">
        <f t="shared" si="0"/>
        <v/>
      </c>
      <c r="G13" s="3948" t="str">
        <f t="shared" si="1"/>
        <v/>
      </c>
      <c r="H13" s="3948" t="str">
        <f t="shared" si="2"/>
        <v/>
      </c>
      <c r="I13" s="3948" t="str">
        <f t="shared" si="3"/>
        <v/>
      </c>
      <c r="J13" s="3954"/>
      <c r="K13" s="3949">
        <v>9</v>
      </c>
      <c r="L13" s="3952">
        <f>[5]尺寸链计算!K20</f>
        <v>0</v>
      </c>
      <c r="M13" s="3953">
        <f>[5]尺寸链计算!I20</f>
        <v>0</v>
      </c>
      <c r="N13" s="3953">
        <f>[5]尺寸链计算!I21</f>
        <v>0</v>
      </c>
      <c r="O13" s="3953" t="str">
        <f t="shared" si="4"/>
        <v/>
      </c>
      <c r="P13" s="3953" t="str">
        <f t="shared" si="5"/>
        <v/>
      </c>
      <c r="Q13" s="3953" t="str">
        <f t="shared" si="6"/>
        <v/>
      </c>
      <c r="R13" s="3953" t="str">
        <f t="shared" si="7"/>
        <v/>
      </c>
    </row>
    <row r="14" spans="2:18" ht="15" customHeight="1">
      <c r="B14" s="3945">
        <v>10</v>
      </c>
      <c r="C14" s="3947">
        <f>[5]尺寸链计算!D22</f>
        <v>0</v>
      </c>
      <c r="D14" s="3948">
        <f>[5]尺寸链计算!B22</f>
        <v>0</v>
      </c>
      <c r="E14" s="3948">
        <f>[5]尺寸链计算!B23</f>
        <v>0</v>
      </c>
      <c r="F14" s="3948" t="str">
        <f t="shared" si="0"/>
        <v/>
      </c>
      <c r="G14" s="3948" t="str">
        <f t="shared" si="1"/>
        <v/>
      </c>
      <c r="H14" s="3948" t="str">
        <f t="shared" si="2"/>
        <v/>
      </c>
      <c r="I14" s="3948" t="str">
        <f t="shared" si="3"/>
        <v/>
      </c>
      <c r="K14" s="3949">
        <v>10</v>
      </c>
      <c r="L14" s="3952">
        <f>[5]尺寸链计算!K22</f>
        <v>0</v>
      </c>
      <c r="M14" s="3953">
        <f>[5]尺寸链计算!I22</f>
        <v>0</v>
      </c>
      <c r="N14" s="3953">
        <f>[5]尺寸链计算!I23</f>
        <v>0</v>
      </c>
      <c r="O14" s="3953" t="str">
        <f t="shared" si="4"/>
        <v/>
      </c>
      <c r="P14" s="3953" t="str">
        <f t="shared" si="5"/>
        <v/>
      </c>
      <c r="Q14" s="3953" t="str">
        <f t="shared" si="6"/>
        <v/>
      </c>
      <c r="R14" s="3953" t="str">
        <f t="shared" si="7"/>
        <v/>
      </c>
    </row>
    <row r="15" spans="2:18" ht="15" customHeight="1">
      <c r="B15" s="4524" t="s">
        <v>939</v>
      </c>
      <c r="C15" s="4524"/>
      <c r="D15" s="4524"/>
      <c r="E15" s="4524"/>
      <c r="F15" s="3948">
        <f>SUM(F5:F14)</f>
        <v>0</v>
      </c>
      <c r="G15" s="3948">
        <f>SUM(G5:G14)</f>
        <v>-0.16</v>
      </c>
      <c r="H15" s="3948">
        <f>SUM(H5:H14)</f>
        <v>0.11</v>
      </c>
      <c r="I15" s="3948">
        <f>SUM(I5:I14)</f>
        <v>-7.4999999999999997E-2</v>
      </c>
      <c r="K15" s="3949">
        <v>11</v>
      </c>
      <c r="L15" s="3952" t="str">
        <f>[5]尺寸链计算!K24</f>
        <v>增环</v>
      </c>
      <c r="M15" s="3953">
        <f>[5]尺寸链计算!I24</f>
        <v>0.05</v>
      </c>
      <c r="N15" s="3953">
        <f>[5]尺寸链计算!I25</f>
        <v>-0.05</v>
      </c>
      <c r="O15" s="3953">
        <f t="shared" si="4"/>
        <v>0.05</v>
      </c>
      <c r="P15" s="3953">
        <f t="shared" si="5"/>
        <v>-0.05</v>
      </c>
      <c r="Q15" s="3953" t="str">
        <f t="shared" si="6"/>
        <v/>
      </c>
      <c r="R15" s="3953" t="str">
        <f t="shared" si="7"/>
        <v/>
      </c>
    </row>
    <row r="16" spans="2:18" ht="15" customHeight="1">
      <c r="K16" s="4525" t="s">
        <v>939</v>
      </c>
      <c r="L16" s="4525"/>
      <c r="M16" s="4525"/>
      <c r="N16" s="4525"/>
      <c r="O16" s="3953">
        <f>SUM(O5:O15)</f>
        <v>0.16</v>
      </c>
      <c r="P16" s="3953">
        <f>SUM(P5:P15)</f>
        <v>-0.125</v>
      </c>
      <c r="Q16" s="3953">
        <f>SUM(Q5:Q15)</f>
        <v>0</v>
      </c>
      <c r="R16" s="3953">
        <f>SUM(R5:R15)</f>
        <v>0</v>
      </c>
    </row>
  </sheetData>
  <mergeCells count="12">
    <mergeCell ref="B15:E15"/>
    <mergeCell ref="K16:N16"/>
    <mergeCell ref="B3:B4"/>
    <mergeCell ref="K3:K4"/>
    <mergeCell ref="B2:I2"/>
    <mergeCell ref="K2:R2"/>
    <mergeCell ref="C3:E3"/>
    <mergeCell ref="F3:G3"/>
    <mergeCell ref="H3:I3"/>
    <mergeCell ref="L3:N3"/>
    <mergeCell ref="O3:P3"/>
    <mergeCell ref="Q3:R3"/>
  </mergeCells>
  <phoneticPr fontId="214" type="noConversion"/>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Q18"/>
  <sheetViews>
    <sheetView zoomScale="115" zoomScaleNormal="115" workbookViewId="0">
      <selection activeCell="G15" sqref="G15"/>
    </sheetView>
  </sheetViews>
  <sheetFormatPr defaultColWidth="9" defaultRowHeight="14.25"/>
  <cols>
    <col min="1" max="16384" width="9" style="2694"/>
  </cols>
  <sheetData>
    <row r="1" spans="1:17" ht="18.75">
      <c r="A1" s="4530" t="s">
        <v>940</v>
      </c>
      <c r="B1" s="4530"/>
      <c r="C1" s="4530"/>
      <c r="D1" s="4530"/>
      <c r="E1" s="4530"/>
      <c r="F1" s="4530"/>
      <c r="G1" s="3931"/>
      <c r="H1" s="4531" t="s">
        <v>941</v>
      </c>
      <c r="I1" s="4531"/>
      <c r="J1" s="4531"/>
      <c r="K1" s="4531"/>
      <c r="L1" s="4531"/>
      <c r="M1" s="4531"/>
      <c r="N1" s="4531"/>
      <c r="O1" s="4531"/>
      <c r="P1" s="4531"/>
      <c r="Q1" s="4531"/>
    </row>
    <row r="2" spans="1:17">
      <c r="A2" s="4529" t="s">
        <v>918</v>
      </c>
      <c r="B2" s="4529"/>
      <c r="C2" s="4529"/>
      <c r="D2" s="4529" t="s">
        <v>920</v>
      </c>
      <c r="E2" s="4529"/>
      <c r="F2" s="4529"/>
      <c r="H2" s="4532" t="s">
        <v>918</v>
      </c>
      <c r="I2" s="4532"/>
      <c r="J2" s="4532"/>
      <c r="K2" s="4532"/>
      <c r="L2" s="4532"/>
      <c r="M2" s="4533" t="s">
        <v>920</v>
      </c>
      <c r="N2" s="4533"/>
      <c r="O2" s="4533"/>
      <c r="P2" s="4533"/>
      <c r="Q2" s="4533"/>
    </row>
    <row r="3" spans="1:17">
      <c r="A3" s="3682" t="s">
        <v>909</v>
      </c>
      <c r="B3" s="3286" t="s">
        <v>937</v>
      </c>
      <c r="C3" s="3286" t="s">
        <v>938</v>
      </c>
      <c r="D3" s="3286" t="s">
        <v>909</v>
      </c>
      <c r="E3" s="3286" t="s">
        <v>937</v>
      </c>
      <c r="F3" s="3286" t="s">
        <v>938</v>
      </c>
      <c r="H3" s="3286" t="s">
        <v>909</v>
      </c>
      <c r="I3" s="3286" t="s">
        <v>942</v>
      </c>
      <c r="J3" s="3286" t="s">
        <v>943</v>
      </c>
      <c r="K3" s="3286" t="s">
        <v>944</v>
      </c>
      <c r="L3" s="3941" t="s">
        <v>945</v>
      </c>
      <c r="M3" s="3286" t="s">
        <v>909</v>
      </c>
      <c r="N3" s="3286" t="s">
        <v>942</v>
      </c>
      <c r="O3" s="3286" t="s">
        <v>943</v>
      </c>
      <c r="P3" s="3286" t="s">
        <v>944</v>
      </c>
      <c r="Q3" s="3941" t="s">
        <v>945</v>
      </c>
    </row>
    <row r="4" spans="1:17">
      <c r="A4" s="3682">
        <v>57</v>
      </c>
      <c r="B4" s="3932">
        <v>0.15</v>
      </c>
      <c r="C4" s="3932">
        <v>-0.15</v>
      </c>
      <c r="D4" s="3682">
        <v>24</v>
      </c>
      <c r="E4" s="3932">
        <v>0</v>
      </c>
      <c r="F4" s="3932">
        <v>-0.3</v>
      </c>
      <c r="H4" s="3286"/>
      <c r="I4" s="3932"/>
      <c r="J4" s="3932"/>
      <c r="K4" s="3937">
        <f t="shared" ref="K4:K15" si="0">(I4+J4)/2</f>
        <v>0</v>
      </c>
      <c r="L4" s="3938">
        <f t="shared" ref="L4:L15" si="1">(I4-J4)^2</f>
        <v>0</v>
      </c>
      <c r="M4" s="3286"/>
      <c r="N4" s="3932"/>
      <c r="O4" s="3932"/>
      <c r="P4" s="3937">
        <f t="shared" ref="P4:P15" si="2">(N4+O4)/2</f>
        <v>0</v>
      </c>
      <c r="Q4" s="3937">
        <f t="shared" ref="Q4:Q15" si="3">(N4-O4)^2</f>
        <v>0</v>
      </c>
    </row>
    <row r="5" spans="1:17">
      <c r="A5" s="3933">
        <v>36</v>
      </c>
      <c r="B5" s="3934">
        <v>0.1</v>
      </c>
      <c r="C5" s="3934">
        <v>0</v>
      </c>
      <c r="D5" s="3935">
        <v>47.5</v>
      </c>
      <c r="E5" s="3936">
        <v>0.1</v>
      </c>
      <c r="F5" s="3936">
        <v>-0.1</v>
      </c>
      <c r="H5" s="3286"/>
      <c r="I5" s="3932"/>
      <c r="J5" s="3932"/>
      <c r="K5" s="3937">
        <f t="shared" si="0"/>
        <v>0</v>
      </c>
      <c r="L5" s="3938">
        <f t="shared" si="1"/>
        <v>0</v>
      </c>
      <c r="M5" s="3286"/>
      <c r="N5" s="3932"/>
      <c r="O5" s="3932"/>
      <c r="P5" s="3937">
        <f t="shared" si="2"/>
        <v>0</v>
      </c>
      <c r="Q5" s="3937">
        <f t="shared" si="3"/>
        <v>0</v>
      </c>
    </row>
    <row r="6" spans="1:17">
      <c r="A6" s="3933">
        <v>0</v>
      </c>
      <c r="B6" s="3934">
        <v>0</v>
      </c>
      <c r="C6" s="3934">
        <v>0</v>
      </c>
      <c r="D6" s="3675">
        <v>21.5</v>
      </c>
      <c r="E6" s="3936">
        <v>0.3</v>
      </c>
      <c r="F6" s="3936">
        <v>0</v>
      </c>
      <c r="H6" s="3286"/>
      <c r="I6" s="3932"/>
      <c r="J6" s="3932"/>
      <c r="K6" s="3937">
        <f t="shared" si="0"/>
        <v>0</v>
      </c>
      <c r="L6" s="3938">
        <f t="shared" si="1"/>
        <v>0</v>
      </c>
      <c r="M6" s="3286"/>
      <c r="N6" s="3932"/>
      <c r="O6" s="3932"/>
      <c r="P6" s="3937">
        <f t="shared" si="2"/>
        <v>0</v>
      </c>
      <c r="Q6" s="3937">
        <f t="shared" si="3"/>
        <v>0</v>
      </c>
    </row>
    <row r="7" spans="1:17">
      <c r="A7" s="3286"/>
      <c r="B7" s="3932"/>
      <c r="C7" s="3932"/>
      <c r="D7" s="3286"/>
      <c r="E7" s="3932"/>
      <c r="F7" s="3932"/>
      <c r="H7" s="3286"/>
      <c r="I7" s="3932"/>
      <c r="J7" s="3932"/>
      <c r="K7" s="3937">
        <f t="shared" si="0"/>
        <v>0</v>
      </c>
      <c r="L7" s="3938">
        <f t="shared" si="1"/>
        <v>0</v>
      </c>
      <c r="M7" s="3286"/>
      <c r="N7" s="3932"/>
      <c r="O7" s="3932"/>
      <c r="P7" s="3937">
        <f t="shared" si="2"/>
        <v>0</v>
      </c>
      <c r="Q7" s="3937">
        <f t="shared" si="3"/>
        <v>0</v>
      </c>
    </row>
    <row r="8" spans="1:17">
      <c r="A8" s="3286"/>
      <c r="B8" s="3932"/>
      <c r="C8" s="3932"/>
      <c r="D8" s="3286"/>
      <c r="E8" s="3932"/>
      <c r="F8" s="3932"/>
      <c r="H8" s="3286"/>
      <c r="I8" s="3932"/>
      <c r="J8" s="3932"/>
      <c r="K8" s="3937">
        <f t="shared" si="0"/>
        <v>0</v>
      </c>
      <c r="L8" s="3938">
        <f t="shared" si="1"/>
        <v>0</v>
      </c>
      <c r="M8" s="3286"/>
      <c r="N8" s="3932"/>
      <c r="O8" s="3932"/>
      <c r="P8" s="3937">
        <f t="shared" si="2"/>
        <v>0</v>
      </c>
      <c r="Q8" s="3937">
        <f t="shared" si="3"/>
        <v>0</v>
      </c>
    </row>
    <row r="9" spans="1:17">
      <c r="A9" s="3286"/>
      <c r="B9" s="3932"/>
      <c r="C9" s="3932"/>
      <c r="D9" s="3286"/>
      <c r="E9" s="3932"/>
      <c r="F9" s="3932"/>
      <c r="H9" s="3286"/>
      <c r="I9" s="3932"/>
      <c r="J9" s="3932"/>
      <c r="K9" s="3937">
        <f t="shared" si="0"/>
        <v>0</v>
      </c>
      <c r="L9" s="3938">
        <f t="shared" si="1"/>
        <v>0</v>
      </c>
      <c r="M9" s="3286"/>
      <c r="N9" s="3932"/>
      <c r="O9" s="3932"/>
      <c r="P9" s="3937">
        <f t="shared" si="2"/>
        <v>0</v>
      </c>
      <c r="Q9" s="3937">
        <f t="shared" si="3"/>
        <v>0</v>
      </c>
    </row>
    <row r="10" spans="1:17">
      <c r="A10" s="3286"/>
      <c r="B10" s="3932"/>
      <c r="C10" s="3932"/>
      <c r="D10" s="3286"/>
      <c r="E10" s="3932"/>
      <c r="F10" s="3932"/>
      <c r="H10" s="3286"/>
      <c r="I10" s="3932"/>
      <c r="J10" s="3932"/>
      <c r="K10" s="3937">
        <f t="shared" si="0"/>
        <v>0</v>
      </c>
      <c r="L10" s="3938">
        <f t="shared" si="1"/>
        <v>0</v>
      </c>
      <c r="M10" s="3286"/>
      <c r="N10" s="3932"/>
      <c r="O10" s="3932"/>
      <c r="P10" s="3937">
        <f t="shared" si="2"/>
        <v>0</v>
      </c>
      <c r="Q10" s="3937">
        <f t="shared" si="3"/>
        <v>0</v>
      </c>
    </row>
    <row r="11" spans="1:17">
      <c r="A11" s="3286"/>
      <c r="B11" s="3932"/>
      <c r="C11" s="3932"/>
      <c r="D11" s="3286"/>
      <c r="E11" s="3932"/>
      <c r="F11" s="3932"/>
      <c r="H11" s="3286"/>
      <c r="I11" s="3932"/>
      <c r="J11" s="3932"/>
      <c r="K11" s="3937">
        <f t="shared" si="0"/>
        <v>0</v>
      </c>
      <c r="L11" s="3938">
        <f t="shared" si="1"/>
        <v>0</v>
      </c>
      <c r="M11" s="3286"/>
      <c r="N11" s="3932"/>
      <c r="O11" s="3932"/>
      <c r="P11" s="3937">
        <f t="shared" si="2"/>
        <v>0</v>
      </c>
      <c r="Q11" s="3937">
        <f t="shared" si="3"/>
        <v>0</v>
      </c>
    </row>
    <row r="12" spans="1:17">
      <c r="A12" s="3286"/>
      <c r="B12" s="3932"/>
      <c r="C12" s="3932"/>
      <c r="D12" s="3286"/>
      <c r="E12" s="3932"/>
      <c r="F12" s="3932"/>
      <c r="H12" s="3286"/>
      <c r="I12" s="3932"/>
      <c r="J12" s="3932"/>
      <c r="K12" s="3937">
        <f t="shared" si="0"/>
        <v>0</v>
      </c>
      <c r="L12" s="3938">
        <f t="shared" si="1"/>
        <v>0</v>
      </c>
      <c r="M12" s="3286"/>
      <c r="N12" s="3932"/>
      <c r="O12" s="3932"/>
      <c r="P12" s="3937">
        <f t="shared" si="2"/>
        <v>0</v>
      </c>
      <c r="Q12" s="3937">
        <f t="shared" si="3"/>
        <v>0</v>
      </c>
    </row>
    <row r="13" spans="1:17">
      <c r="A13" s="3286"/>
      <c r="B13" s="3932"/>
      <c r="C13" s="3932"/>
      <c r="D13" s="3286"/>
      <c r="E13" s="3932"/>
      <c r="F13" s="3932"/>
      <c r="H13" s="3286"/>
      <c r="I13" s="3932"/>
      <c r="J13" s="3932"/>
      <c r="K13" s="3937">
        <f t="shared" si="0"/>
        <v>0</v>
      </c>
      <c r="L13" s="3938">
        <f t="shared" si="1"/>
        <v>0</v>
      </c>
      <c r="M13" s="3286"/>
      <c r="N13" s="3932"/>
      <c r="O13" s="3932"/>
      <c r="P13" s="3937">
        <f t="shared" si="2"/>
        <v>0</v>
      </c>
      <c r="Q13" s="3937">
        <f t="shared" si="3"/>
        <v>0</v>
      </c>
    </row>
    <row r="14" spans="1:17">
      <c r="A14" s="3286"/>
      <c r="B14" s="3932"/>
      <c r="C14" s="3932"/>
      <c r="D14" s="3286"/>
      <c r="E14" s="3932"/>
      <c r="F14" s="3932"/>
      <c r="H14" s="3286"/>
      <c r="I14" s="3932"/>
      <c r="J14" s="3932"/>
      <c r="K14" s="3937">
        <f t="shared" si="0"/>
        <v>0</v>
      </c>
      <c r="L14" s="3938">
        <f t="shared" si="1"/>
        <v>0</v>
      </c>
      <c r="M14" s="3286"/>
      <c r="N14" s="3932"/>
      <c r="O14" s="3932"/>
      <c r="P14" s="3937">
        <f t="shared" si="2"/>
        <v>0</v>
      </c>
      <c r="Q14" s="3937">
        <f t="shared" si="3"/>
        <v>0</v>
      </c>
    </row>
    <row r="15" spans="1:17">
      <c r="A15" s="3286"/>
      <c r="B15" s="3932"/>
      <c r="C15" s="3932"/>
      <c r="D15" s="3286"/>
      <c r="E15" s="3932"/>
      <c r="F15" s="3932"/>
      <c r="H15" s="3286"/>
      <c r="I15" s="3932"/>
      <c r="J15" s="3932"/>
      <c r="K15" s="3937">
        <f t="shared" si="0"/>
        <v>0</v>
      </c>
      <c r="L15" s="3938">
        <f t="shared" si="1"/>
        <v>0</v>
      </c>
      <c r="M15" s="3286"/>
      <c r="N15" s="3932"/>
      <c r="O15" s="3932"/>
      <c r="P15" s="3937">
        <f t="shared" si="2"/>
        <v>0</v>
      </c>
      <c r="Q15" s="3937">
        <f t="shared" si="3"/>
        <v>0</v>
      </c>
    </row>
    <row r="16" spans="1:17">
      <c r="A16" s="4529" t="s">
        <v>919</v>
      </c>
      <c r="B16" s="4529"/>
      <c r="C16" s="4529"/>
      <c r="H16" s="4529" t="s">
        <v>919</v>
      </c>
      <c r="I16" s="4529"/>
      <c r="J16" s="4529"/>
      <c r="K16" s="4529"/>
      <c r="L16" s="4529"/>
    </row>
    <row r="17" spans="1:12">
      <c r="A17" s="3682" t="s">
        <v>909</v>
      </c>
      <c r="B17" s="3286" t="s">
        <v>937</v>
      </c>
      <c r="C17" s="3286" t="s">
        <v>938</v>
      </c>
      <c r="D17" s="3286" t="s">
        <v>942</v>
      </c>
      <c r="E17" s="3286" t="s">
        <v>943</v>
      </c>
      <c r="F17" s="3286" t="s">
        <v>944</v>
      </c>
      <c r="H17" s="3286" t="s">
        <v>909</v>
      </c>
      <c r="I17" s="3286" t="s">
        <v>942</v>
      </c>
      <c r="J17" s="3286" t="s">
        <v>943</v>
      </c>
      <c r="K17" s="3286" t="s">
        <v>944</v>
      </c>
      <c r="L17" s="3286" t="s">
        <v>945</v>
      </c>
    </row>
    <row r="18" spans="1:12">
      <c r="A18" s="3881">
        <f>SUM(A4:A15)-SUM(D4:D15)</f>
        <v>0</v>
      </c>
      <c r="B18" s="3937">
        <f>SUM(B4:B15)-SUM(F4:F15)</f>
        <v>0.65</v>
      </c>
      <c r="C18" s="3937">
        <f>SUM(C4:C15)-SUM(E4:E15)</f>
        <v>-0.55000000000000004</v>
      </c>
      <c r="D18" s="3938">
        <f>A18+B18</f>
        <v>0.65</v>
      </c>
      <c r="E18" s="3938">
        <f>A18+C18</f>
        <v>-0.55000000000000004</v>
      </c>
      <c r="F18" s="3938">
        <f>(D18+E18)/2</f>
        <v>0.05</v>
      </c>
      <c r="H18" s="3939">
        <f>SUM(H4:H15)-SUM(M4:M15)</f>
        <v>0</v>
      </c>
      <c r="I18" s="3937">
        <f>K18+0.5*SQRT(L18)</f>
        <v>0</v>
      </c>
      <c r="J18" s="3937">
        <f>K18-0.5*SQRT(L18)</f>
        <v>0</v>
      </c>
      <c r="K18" s="3938">
        <f>SUM(K4:K15)-SUM(P4:P15)</f>
        <v>0</v>
      </c>
      <c r="L18" s="3937">
        <f>SUM(L4:L15)+SUM(Q4:Q15)</f>
        <v>0</v>
      </c>
    </row>
  </sheetData>
  <mergeCells count="8">
    <mergeCell ref="A16:C16"/>
    <mergeCell ref="H16:L16"/>
    <mergeCell ref="A1:F1"/>
    <mergeCell ref="H1:Q1"/>
    <mergeCell ref="A2:C2"/>
    <mergeCell ref="D2:F2"/>
    <mergeCell ref="H2:L2"/>
    <mergeCell ref="M2:Q2"/>
  </mergeCells>
  <phoneticPr fontId="214" type="noConversion"/>
  <pageMargins left="0.75" right="0.75" top="1" bottom="1" header="0.5" footer="0.5"/>
  <pageSetup paperSize="9"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J22"/>
  <sheetViews>
    <sheetView workbookViewId="0">
      <selection activeCell="B9" sqref="B9"/>
    </sheetView>
  </sheetViews>
  <sheetFormatPr defaultColWidth="9" defaultRowHeight="14.25"/>
  <cols>
    <col min="1" max="16384" width="9" style="2694"/>
  </cols>
  <sheetData>
    <row r="1" spans="1:10">
      <c r="A1" s="4529" t="s">
        <v>109</v>
      </c>
      <c r="B1" s="4529"/>
      <c r="C1" s="4529"/>
      <c r="D1" s="4529"/>
      <c r="E1" s="4529"/>
      <c r="F1" s="4529"/>
      <c r="G1" s="4529"/>
      <c r="H1" s="4529"/>
      <c r="I1" s="4529"/>
    </row>
    <row r="2" spans="1:10">
      <c r="A2" s="4529"/>
      <c r="B2" s="4529"/>
      <c r="C2" s="4529"/>
      <c r="D2" s="4529"/>
      <c r="E2" s="4529"/>
      <c r="F2" s="4529"/>
      <c r="G2" s="4529"/>
      <c r="H2" s="4529"/>
      <c r="I2" s="4529"/>
    </row>
    <row r="3" spans="1:10">
      <c r="A3" s="4529"/>
      <c r="B3" s="4529"/>
      <c r="C3" s="4529"/>
      <c r="D3" s="4529"/>
      <c r="E3" s="4529"/>
      <c r="F3" s="4529"/>
      <c r="G3" s="4529"/>
      <c r="H3" s="4529"/>
      <c r="I3" s="4529"/>
    </row>
    <row r="5" spans="1:10">
      <c r="C5" s="3744"/>
      <c r="D5" s="3744"/>
      <c r="E5" s="3744"/>
    </row>
    <row r="6" spans="1:10">
      <c r="C6" s="3744"/>
      <c r="D6" s="3744"/>
      <c r="E6" s="3744"/>
    </row>
    <row r="7" spans="1:10">
      <c r="C7" s="3744" t="s">
        <v>946</v>
      </c>
      <c r="D7" s="3744"/>
      <c r="E7" s="3744"/>
      <c r="H7" s="3744" t="s">
        <v>947</v>
      </c>
      <c r="I7" s="3744"/>
      <c r="J7" s="3744"/>
    </row>
    <row r="8" spans="1:10">
      <c r="C8" s="3744" t="s">
        <v>948</v>
      </c>
      <c r="D8" s="3744" t="s">
        <v>949</v>
      </c>
      <c r="E8" s="3744" t="s">
        <v>950</v>
      </c>
      <c r="H8" s="3744" t="s">
        <v>948</v>
      </c>
      <c r="I8" s="3744" t="s">
        <v>949</v>
      </c>
      <c r="J8" s="3744" t="s">
        <v>950</v>
      </c>
    </row>
    <row r="9" spans="1:10">
      <c r="C9" s="3744">
        <v>12</v>
      </c>
      <c r="D9" s="3744">
        <f>C9/18.357*16*25.4</f>
        <v>265.66432423598599</v>
      </c>
      <c r="E9" s="3744">
        <f>C9/18.357*9*25.4</f>
        <v>149.436182382742</v>
      </c>
      <c r="H9" s="3744">
        <v>20</v>
      </c>
      <c r="I9" s="3744">
        <f>H9/5*4*25.4</f>
        <v>406.4</v>
      </c>
      <c r="J9" s="3744">
        <f>H9/5*3*25.4</f>
        <v>304.8</v>
      </c>
    </row>
    <row r="10" spans="1:10">
      <c r="C10" s="3744"/>
      <c r="D10" s="3744"/>
      <c r="E10" s="3744"/>
    </row>
    <row r="11" spans="1:10">
      <c r="C11" s="3744"/>
      <c r="D11" s="3744"/>
      <c r="E11" s="3744"/>
    </row>
    <row r="12" spans="1:10">
      <c r="C12" s="3744"/>
      <c r="D12" s="3744"/>
      <c r="E12" s="3744"/>
    </row>
    <row r="13" spans="1:10">
      <c r="C13" s="3744"/>
      <c r="D13" s="3744"/>
      <c r="E13" s="3744"/>
    </row>
    <row r="14" spans="1:10">
      <c r="C14" s="3744"/>
      <c r="D14" s="3744"/>
      <c r="E14" s="3744"/>
    </row>
    <row r="15" spans="1:10">
      <c r="C15" s="3744"/>
      <c r="D15" s="3744"/>
      <c r="E15" s="3744"/>
    </row>
    <row r="16" spans="1:10">
      <c r="C16" s="3744"/>
      <c r="D16" s="3744"/>
      <c r="E16" s="3744"/>
    </row>
    <row r="17" spans="3:5">
      <c r="C17" s="3744"/>
      <c r="D17" s="3744"/>
      <c r="E17" s="3744"/>
    </row>
    <row r="18" spans="3:5">
      <c r="C18" s="3744"/>
      <c r="D18" s="3744"/>
      <c r="E18" s="3744"/>
    </row>
    <row r="19" spans="3:5">
      <c r="C19" s="3744"/>
      <c r="D19" s="3744"/>
      <c r="E19" s="3744"/>
    </row>
    <row r="20" spans="3:5">
      <c r="C20" s="3744"/>
      <c r="D20" s="3744"/>
      <c r="E20" s="3744"/>
    </row>
    <row r="21" spans="3:5">
      <c r="C21" s="3744"/>
      <c r="D21" s="3744"/>
      <c r="E21" s="3744"/>
    </row>
    <row r="22" spans="3:5">
      <c r="C22" s="3744"/>
      <c r="D22" s="3744"/>
      <c r="E22" s="3744"/>
    </row>
  </sheetData>
  <mergeCells count="1">
    <mergeCell ref="A1:I3"/>
  </mergeCells>
  <phoneticPr fontId="214" type="noConversion"/>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L50"/>
  <sheetViews>
    <sheetView workbookViewId="0">
      <selection sqref="A1:L1"/>
    </sheetView>
  </sheetViews>
  <sheetFormatPr defaultColWidth="9" defaultRowHeight="14.25"/>
  <cols>
    <col min="1" max="2" width="10.5" style="3777" customWidth="1"/>
    <col min="3" max="3" width="6.5" style="3777" customWidth="1"/>
    <col min="4" max="4" width="8.5" style="3777" customWidth="1"/>
    <col min="5" max="5" width="9.5" style="3777" customWidth="1"/>
    <col min="6" max="6" width="8.5" style="3777" customWidth="1"/>
    <col min="7" max="7" width="9.5" style="3777" customWidth="1"/>
    <col min="8" max="10" width="6.5" style="3777" customWidth="1"/>
    <col min="11" max="11" width="7.5" style="3777" customWidth="1"/>
    <col min="12" max="12" width="8.5" style="3777" customWidth="1"/>
    <col min="13" max="256" width="9" style="3777"/>
    <col min="257" max="258" width="10.5" style="3777" customWidth="1"/>
    <col min="259" max="259" width="6.5" style="3777" customWidth="1"/>
    <col min="260" max="260" width="8.5" style="3777" customWidth="1"/>
    <col min="261" max="261" width="9.5" style="3777" customWidth="1"/>
    <col min="262" max="262" width="8.5" style="3777" customWidth="1"/>
    <col min="263" max="263" width="9.5" style="3777" customWidth="1"/>
    <col min="264" max="266" width="6.5" style="3777" customWidth="1"/>
    <col min="267" max="267" width="7.5" style="3777" customWidth="1"/>
    <col min="268" max="268" width="8.5" style="3777" customWidth="1"/>
    <col min="269" max="512" width="9" style="3777"/>
    <col min="513" max="514" width="10.5" style="3777" customWidth="1"/>
    <col min="515" max="515" width="6.5" style="3777" customWidth="1"/>
    <col min="516" max="516" width="8.5" style="3777" customWidth="1"/>
    <col min="517" max="517" width="9.5" style="3777" customWidth="1"/>
    <col min="518" max="518" width="8.5" style="3777" customWidth="1"/>
    <col min="519" max="519" width="9.5" style="3777" customWidth="1"/>
    <col min="520" max="522" width="6.5" style="3777" customWidth="1"/>
    <col min="523" max="523" width="7.5" style="3777" customWidth="1"/>
    <col min="524" max="524" width="8.5" style="3777" customWidth="1"/>
    <col min="525" max="768" width="9" style="3777"/>
    <col min="769" max="770" width="10.5" style="3777" customWidth="1"/>
    <col min="771" max="771" width="6.5" style="3777" customWidth="1"/>
    <col min="772" max="772" width="8.5" style="3777" customWidth="1"/>
    <col min="773" max="773" width="9.5" style="3777" customWidth="1"/>
    <col min="774" max="774" width="8.5" style="3777" customWidth="1"/>
    <col min="775" max="775" width="9.5" style="3777" customWidth="1"/>
    <col min="776" max="778" width="6.5" style="3777" customWidth="1"/>
    <col min="779" max="779" width="7.5" style="3777" customWidth="1"/>
    <col min="780" max="780" width="8.5" style="3777" customWidth="1"/>
    <col min="781" max="1024" width="9" style="3777"/>
    <col min="1025" max="1026" width="10.5" style="3777" customWidth="1"/>
    <col min="1027" max="1027" width="6.5" style="3777" customWidth="1"/>
    <col min="1028" max="1028" width="8.5" style="3777" customWidth="1"/>
    <col min="1029" max="1029" width="9.5" style="3777" customWidth="1"/>
    <col min="1030" max="1030" width="8.5" style="3777" customWidth="1"/>
    <col min="1031" max="1031" width="9.5" style="3777" customWidth="1"/>
    <col min="1032" max="1034" width="6.5" style="3777" customWidth="1"/>
    <col min="1035" max="1035" width="7.5" style="3777" customWidth="1"/>
    <col min="1036" max="1036" width="8.5" style="3777" customWidth="1"/>
    <col min="1037" max="1280" width="9" style="3777"/>
    <col min="1281" max="1282" width="10.5" style="3777" customWidth="1"/>
    <col min="1283" max="1283" width="6.5" style="3777" customWidth="1"/>
    <col min="1284" max="1284" width="8.5" style="3777" customWidth="1"/>
    <col min="1285" max="1285" width="9.5" style="3777" customWidth="1"/>
    <col min="1286" max="1286" width="8.5" style="3777" customWidth="1"/>
    <col min="1287" max="1287" width="9.5" style="3777" customWidth="1"/>
    <col min="1288" max="1290" width="6.5" style="3777" customWidth="1"/>
    <col min="1291" max="1291" width="7.5" style="3777" customWidth="1"/>
    <col min="1292" max="1292" width="8.5" style="3777" customWidth="1"/>
    <col min="1293" max="1536" width="9" style="3777"/>
    <col min="1537" max="1538" width="10.5" style="3777" customWidth="1"/>
    <col min="1539" max="1539" width="6.5" style="3777" customWidth="1"/>
    <col min="1540" max="1540" width="8.5" style="3777" customWidth="1"/>
    <col min="1541" max="1541" width="9.5" style="3777" customWidth="1"/>
    <col min="1542" max="1542" width="8.5" style="3777" customWidth="1"/>
    <col min="1543" max="1543" width="9.5" style="3777" customWidth="1"/>
    <col min="1544" max="1546" width="6.5" style="3777" customWidth="1"/>
    <col min="1547" max="1547" width="7.5" style="3777" customWidth="1"/>
    <col min="1548" max="1548" width="8.5" style="3777" customWidth="1"/>
    <col min="1549" max="1792" width="9" style="3777"/>
    <col min="1793" max="1794" width="10.5" style="3777" customWidth="1"/>
    <col min="1795" max="1795" width="6.5" style="3777" customWidth="1"/>
    <col min="1796" max="1796" width="8.5" style="3777" customWidth="1"/>
    <col min="1797" max="1797" width="9.5" style="3777" customWidth="1"/>
    <col min="1798" max="1798" width="8.5" style="3777" customWidth="1"/>
    <col min="1799" max="1799" width="9.5" style="3777" customWidth="1"/>
    <col min="1800" max="1802" width="6.5" style="3777" customWidth="1"/>
    <col min="1803" max="1803" width="7.5" style="3777" customWidth="1"/>
    <col min="1804" max="1804" width="8.5" style="3777" customWidth="1"/>
    <col min="1805" max="2048" width="9" style="3777"/>
    <col min="2049" max="2050" width="10.5" style="3777" customWidth="1"/>
    <col min="2051" max="2051" width="6.5" style="3777" customWidth="1"/>
    <col min="2052" max="2052" width="8.5" style="3777" customWidth="1"/>
    <col min="2053" max="2053" width="9.5" style="3777" customWidth="1"/>
    <col min="2054" max="2054" width="8.5" style="3777" customWidth="1"/>
    <col min="2055" max="2055" width="9.5" style="3777" customWidth="1"/>
    <col min="2056" max="2058" width="6.5" style="3777" customWidth="1"/>
    <col min="2059" max="2059" width="7.5" style="3777" customWidth="1"/>
    <col min="2060" max="2060" width="8.5" style="3777" customWidth="1"/>
    <col min="2061" max="2304" width="9" style="3777"/>
    <col min="2305" max="2306" width="10.5" style="3777" customWidth="1"/>
    <col min="2307" max="2307" width="6.5" style="3777" customWidth="1"/>
    <col min="2308" max="2308" width="8.5" style="3777" customWidth="1"/>
    <col min="2309" max="2309" width="9.5" style="3777" customWidth="1"/>
    <col min="2310" max="2310" width="8.5" style="3777" customWidth="1"/>
    <col min="2311" max="2311" width="9.5" style="3777" customWidth="1"/>
    <col min="2312" max="2314" width="6.5" style="3777" customWidth="1"/>
    <col min="2315" max="2315" width="7.5" style="3777" customWidth="1"/>
    <col min="2316" max="2316" width="8.5" style="3777" customWidth="1"/>
    <col min="2317" max="2560" width="9" style="3777"/>
    <col min="2561" max="2562" width="10.5" style="3777" customWidth="1"/>
    <col min="2563" max="2563" width="6.5" style="3777" customWidth="1"/>
    <col min="2564" max="2564" width="8.5" style="3777" customWidth="1"/>
    <col min="2565" max="2565" width="9.5" style="3777" customWidth="1"/>
    <col min="2566" max="2566" width="8.5" style="3777" customWidth="1"/>
    <col min="2567" max="2567" width="9.5" style="3777" customWidth="1"/>
    <col min="2568" max="2570" width="6.5" style="3777" customWidth="1"/>
    <col min="2571" max="2571" width="7.5" style="3777" customWidth="1"/>
    <col min="2572" max="2572" width="8.5" style="3777" customWidth="1"/>
    <col min="2573" max="2816" width="9" style="3777"/>
    <col min="2817" max="2818" width="10.5" style="3777" customWidth="1"/>
    <col min="2819" max="2819" width="6.5" style="3777" customWidth="1"/>
    <col min="2820" max="2820" width="8.5" style="3777" customWidth="1"/>
    <col min="2821" max="2821" width="9.5" style="3777" customWidth="1"/>
    <col min="2822" max="2822" width="8.5" style="3777" customWidth="1"/>
    <col min="2823" max="2823" width="9.5" style="3777" customWidth="1"/>
    <col min="2824" max="2826" width="6.5" style="3777" customWidth="1"/>
    <col min="2827" max="2827" width="7.5" style="3777" customWidth="1"/>
    <col min="2828" max="2828" width="8.5" style="3777" customWidth="1"/>
    <col min="2829" max="3072" width="9" style="3777"/>
    <col min="3073" max="3074" width="10.5" style="3777" customWidth="1"/>
    <col min="3075" max="3075" width="6.5" style="3777" customWidth="1"/>
    <col min="3076" max="3076" width="8.5" style="3777" customWidth="1"/>
    <col min="3077" max="3077" width="9.5" style="3777" customWidth="1"/>
    <col min="3078" max="3078" width="8.5" style="3777" customWidth="1"/>
    <col min="3079" max="3079" width="9.5" style="3777" customWidth="1"/>
    <col min="3080" max="3082" width="6.5" style="3777" customWidth="1"/>
    <col min="3083" max="3083" width="7.5" style="3777" customWidth="1"/>
    <col min="3084" max="3084" width="8.5" style="3777" customWidth="1"/>
    <col min="3085" max="3328" width="9" style="3777"/>
    <col min="3329" max="3330" width="10.5" style="3777" customWidth="1"/>
    <col min="3331" max="3331" width="6.5" style="3777" customWidth="1"/>
    <col min="3332" max="3332" width="8.5" style="3777" customWidth="1"/>
    <col min="3333" max="3333" width="9.5" style="3777" customWidth="1"/>
    <col min="3334" max="3334" width="8.5" style="3777" customWidth="1"/>
    <col min="3335" max="3335" width="9.5" style="3777" customWidth="1"/>
    <col min="3336" max="3338" width="6.5" style="3777" customWidth="1"/>
    <col min="3339" max="3339" width="7.5" style="3777" customWidth="1"/>
    <col min="3340" max="3340" width="8.5" style="3777" customWidth="1"/>
    <col min="3341" max="3584" width="9" style="3777"/>
    <col min="3585" max="3586" width="10.5" style="3777" customWidth="1"/>
    <col min="3587" max="3587" width="6.5" style="3777" customWidth="1"/>
    <col min="3588" max="3588" width="8.5" style="3777" customWidth="1"/>
    <col min="3589" max="3589" width="9.5" style="3777" customWidth="1"/>
    <col min="3590" max="3590" width="8.5" style="3777" customWidth="1"/>
    <col min="3591" max="3591" width="9.5" style="3777" customWidth="1"/>
    <col min="3592" max="3594" width="6.5" style="3777" customWidth="1"/>
    <col min="3595" max="3595" width="7.5" style="3777" customWidth="1"/>
    <col min="3596" max="3596" width="8.5" style="3777" customWidth="1"/>
    <col min="3597" max="3840" width="9" style="3777"/>
    <col min="3841" max="3842" width="10.5" style="3777" customWidth="1"/>
    <col min="3843" max="3843" width="6.5" style="3777" customWidth="1"/>
    <col min="3844" max="3844" width="8.5" style="3777" customWidth="1"/>
    <col min="3845" max="3845" width="9.5" style="3777" customWidth="1"/>
    <col min="3846" max="3846" width="8.5" style="3777" customWidth="1"/>
    <col min="3847" max="3847" width="9.5" style="3777" customWidth="1"/>
    <col min="3848" max="3850" width="6.5" style="3777" customWidth="1"/>
    <col min="3851" max="3851" width="7.5" style="3777" customWidth="1"/>
    <col min="3852" max="3852" width="8.5" style="3777" customWidth="1"/>
    <col min="3853" max="4096" width="9" style="3777"/>
    <col min="4097" max="4098" width="10.5" style="3777" customWidth="1"/>
    <col min="4099" max="4099" width="6.5" style="3777" customWidth="1"/>
    <col min="4100" max="4100" width="8.5" style="3777" customWidth="1"/>
    <col min="4101" max="4101" width="9.5" style="3777" customWidth="1"/>
    <col min="4102" max="4102" width="8.5" style="3777" customWidth="1"/>
    <col min="4103" max="4103" width="9.5" style="3777" customWidth="1"/>
    <col min="4104" max="4106" width="6.5" style="3777" customWidth="1"/>
    <col min="4107" max="4107" width="7.5" style="3777" customWidth="1"/>
    <col min="4108" max="4108" width="8.5" style="3777" customWidth="1"/>
    <col min="4109" max="4352" width="9" style="3777"/>
    <col min="4353" max="4354" width="10.5" style="3777" customWidth="1"/>
    <col min="4355" max="4355" width="6.5" style="3777" customWidth="1"/>
    <col min="4356" max="4356" width="8.5" style="3777" customWidth="1"/>
    <col min="4357" max="4357" width="9.5" style="3777" customWidth="1"/>
    <col min="4358" max="4358" width="8.5" style="3777" customWidth="1"/>
    <col min="4359" max="4359" width="9.5" style="3777" customWidth="1"/>
    <col min="4360" max="4362" width="6.5" style="3777" customWidth="1"/>
    <col min="4363" max="4363" width="7.5" style="3777" customWidth="1"/>
    <col min="4364" max="4364" width="8.5" style="3777" customWidth="1"/>
    <col min="4365" max="4608" width="9" style="3777"/>
    <col min="4609" max="4610" width="10.5" style="3777" customWidth="1"/>
    <col min="4611" max="4611" width="6.5" style="3777" customWidth="1"/>
    <col min="4612" max="4612" width="8.5" style="3777" customWidth="1"/>
    <col min="4613" max="4613" width="9.5" style="3777" customWidth="1"/>
    <col min="4614" max="4614" width="8.5" style="3777" customWidth="1"/>
    <col min="4615" max="4615" width="9.5" style="3777" customWidth="1"/>
    <col min="4616" max="4618" width="6.5" style="3777" customWidth="1"/>
    <col min="4619" max="4619" width="7.5" style="3777" customWidth="1"/>
    <col min="4620" max="4620" width="8.5" style="3777" customWidth="1"/>
    <col min="4621" max="4864" width="9" style="3777"/>
    <col min="4865" max="4866" width="10.5" style="3777" customWidth="1"/>
    <col min="4867" max="4867" width="6.5" style="3777" customWidth="1"/>
    <col min="4868" max="4868" width="8.5" style="3777" customWidth="1"/>
    <col min="4869" max="4869" width="9.5" style="3777" customWidth="1"/>
    <col min="4870" max="4870" width="8.5" style="3777" customWidth="1"/>
    <col min="4871" max="4871" width="9.5" style="3777" customWidth="1"/>
    <col min="4872" max="4874" width="6.5" style="3777" customWidth="1"/>
    <col min="4875" max="4875" width="7.5" style="3777" customWidth="1"/>
    <col min="4876" max="4876" width="8.5" style="3777" customWidth="1"/>
    <col min="4877" max="5120" width="9" style="3777"/>
    <col min="5121" max="5122" width="10.5" style="3777" customWidth="1"/>
    <col min="5123" max="5123" width="6.5" style="3777" customWidth="1"/>
    <col min="5124" max="5124" width="8.5" style="3777" customWidth="1"/>
    <col min="5125" max="5125" width="9.5" style="3777" customWidth="1"/>
    <col min="5126" max="5126" width="8.5" style="3777" customWidth="1"/>
    <col min="5127" max="5127" width="9.5" style="3777" customWidth="1"/>
    <col min="5128" max="5130" width="6.5" style="3777" customWidth="1"/>
    <col min="5131" max="5131" width="7.5" style="3777" customWidth="1"/>
    <col min="5132" max="5132" width="8.5" style="3777" customWidth="1"/>
    <col min="5133" max="5376" width="9" style="3777"/>
    <col min="5377" max="5378" width="10.5" style="3777" customWidth="1"/>
    <col min="5379" max="5379" width="6.5" style="3777" customWidth="1"/>
    <col min="5380" max="5380" width="8.5" style="3777" customWidth="1"/>
    <col min="5381" max="5381" width="9.5" style="3777" customWidth="1"/>
    <col min="5382" max="5382" width="8.5" style="3777" customWidth="1"/>
    <col min="5383" max="5383" width="9.5" style="3777" customWidth="1"/>
    <col min="5384" max="5386" width="6.5" style="3777" customWidth="1"/>
    <col min="5387" max="5387" width="7.5" style="3777" customWidth="1"/>
    <col min="5388" max="5388" width="8.5" style="3777" customWidth="1"/>
    <col min="5389" max="5632" width="9" style="3777"/>
    <col min="5633" max="5634" width="10.5" style="3777" customWidth="1"/>
    <col min="5635" max="5635" width="6.5" style="3777" customWidth="1"/>
    <col min="5636" max="5636" width="8.5" style="3777" customWidth="1"/>
    <col min="5637" max="5637" width="9.5" style="3777" customWidth="1"/>
    <col min="5638" max="5638" width="8.5" style="3777" customWidth="1"/>
    <col min="5639" max="5639" width="9.5" style="3777" customWidth="1"/>
    <col min="5640" max="5642" width="6.5" style="3777" customWidth="1"/>
    <col min="5643" max="5643" width="7.5" style="3777" customWidth="1"/>
    <col min="5644" max="5644" width="8.5" style="3777" customWidth="1"/>
    <col min="5645" max="5888" width="9" style="3777"/>
    <col min="5889" max="5890" width="10.5" style="3777" customWidth="1"/>
    <col min="5891" max="5891" width="6.5" style="3777" customWidth="1"/>
    <col min="5892" max="5892" width="8.5" style="3777" customWidth="1"/>
    <col min="5893" max="5893" width="9.5" style="3777" customWidth="1"/>
    <col min="5894" max="5894" width="8.5" style="3777" customWidth="1"/>
    <col min="5895" max="5895" width="9.5" style="3777" customWidth="1"/>
    <col min="5896" max="5898" width="6.5" style="3777" customWidth="1"/>
    <col min="5899" max="5899" width="7.5" style="3777" customWidth="1"/>
    <col min="5900" max="5900" width="8.5" style="3777" customWidth="1"/>
    <col min="5901" max="6144" width="9" style="3777"/>
    <col min="6145" max="6146" width="10.5" style="3777" customWidth="1"/>
    <col min="6147" max="6147" width="6.5" style="3777" customWidth="1"/>
    <col min="6148" max="6148" width="8.5" style="3777" customWidth="1"/>
    <col min="6149" max="6149" width="9.5" style="3777" customWidth="1"/>
    <col min="6150" max="6150" width="8.5" style="3777" customWidth="1"/>
    <col min="6151" max="6151" width="9.5" style="3777" customWidth="1"/>
    <col min="6152" max="6154" width="6.5" style="3777" customWidth="1"/>
    <col min="6155" max="6155" width="7.5" style="3777" customWidth="1"/>
    <col min="6156" max="6156" width="8.5" style="3777" customWidth="1"/>
    <col min="6157" max="6400" width="9" style="3777"/>
    <col min="6401" max="6402" width="10.5" style="3777" customWidth="1"/>
    <col min="6403" max="6403" width="6.5" style="3777" customWidth="1"/>
    <col min="6404" max="6404" width="8.5" style="3777" customWidth="1"/>
    <col min="6405" max="6405" width="9.5" style="3777" customWidth="1"/>
    <col min="6406" max="6406" width="8.5" style="3777" customWidth="1"/>
    <col min="6407" max="6407" width="9.5" style="3777" customWidth="1"/>
    <col min="6408" max="6410" width="6.5" style="3777" customWidth="1"/>
    <col min="6411" max="6411" width="7.5" style="3777" customWidth="1"/>
    <col min="6412" max="6412" width="8.5" style="3777" customWidth="1"/>
    <col min="6413" max="6656" width="9" style="3777"/>
    <col min="6657" max="6658" width="10.5" style="3777" customWidth="1"/>
    <col min="6659" max="6659" width="6.5" style="3777" customWidth="1"/>
    <col min="6660" max="6660" width="8.5" style="3777" customWidth="1"/>
    <col min="6661" max="6661" width="9.5" style="3777" customWidth="1"/>
    <col min="6662" max="6662" width="8.5" style="3777" customWidth="1"/>
    <col min="6663" max="6663" width="9.5" style="3777" customWidth="1"/>
    <col min="6664" max="6666" width="6.5" style="3777" customWidth="1"/>
    <col min="6667" max="6667" width="7.5" style="3777" customWidth="1"/>
    <col min="6668" max="6668" width="8.5" style="3777" customWidth="1"/>
    <col min="6669" max="6912" width="9" style="3777"/>
    <col min="6913" max="6914" width="10.5" style="3777" customWidth="1"/>
    <col min="6915" max="6915" width="6.5" style="3777" customWidth="1"/>
    <col min="6916" max="6916" width="8.5" style="3777" customWidth="1"/>
    <col min="6917" max="6917" width="9.5" style="3777" customWidth="1"/>
    <col min="6918" max="6918" width="8.5" style="3777" customWidth="1"/>
    <col min="6919" max="6919" width="9.5" style="3777" customWidth="1"/>
    <col min="6920" max="6922" width="6.5" style="3777" customWidth="1"/>
    <col min="6923" max="6923" width="7.5" style="3777" customWidth="1"/>
    <col min="6924" max="6924" width="8.5" style="3777" customWidth="1"/>
    <col min="6925" max="7168" width="9" style="3777"/>
    <col min="7169" max="7170" width="10.5" style="3777" customWidth="1"/>
    <col min="7171" max="7171" width="6.5" style="3777" customWidth="1"/>
    <col min="7172" max="7172" width="8.5" style="3777" customWidth="1"/>
    <col min="7173" max="7173" width="9.5" style="3777" customWidth="1"/>
    <col min="7174" max="7174" width="8.5" style="3777" customWidth="1"/>
    <col min="7175" max="7175" width="9.5" style="3777" customWidth="1"/>
    <col min="7176" max="7178" width="6.5" style="3777" customWidth="1"/>
    <col min="7179" max="7179" width="7.5" style="3777" customWidth="1"/>
    <col min="7180" max="7180" width="8.5" style="3777" customWidth="1"/>
    <col min="7181" max="7424" width="9" style="3777"/>
    <col min="7425" max="7426" width="10.5" style="3777" customWidth="1"/>
    <col min="7427" max="7427" width="6.5" style="3777" customWidth="1"/>
    <col min="7428" max="7428" width="8.5" style="3777" customWidth="1"/>
    <col min="7429" max="7429" width="9.5" style="3777" customWidth="1"/>
    <col min="7430" max="7430" width="8.5" style="3777" customWidth="1"/>
    <col min="7431" max="7431" width="9.5" style="3777" customWidth="1"/>
    <col min="7432" max="7434" width="6.5" style="3777" customWidth="1"/>
    <col min="7435" max="7435" width="7.5" style="3777" customWidth="1"/>
    <col min="7436" max="7436" width="8.5" style="3777" customWidth="1"/>
    <col min="7437" max="7680" width="9" style="3777"/>
    <col min="7681" max="7682" width="10.5" style="3777" customWidth="1"/>
    <col min="7683" max="7683" width="6.5" style="3777" customWidth="1"/>
    <col min="7684" max="7684" width="8.5" style="3777" customWidth="1"/>
    <col min="7685" max="7685" width="9.5" style="3777" customWidth="1"/>
    <col min="7686" max="7686" width="8.5" style="3777" customWidth="1"/>
    <col min="7687" max="7687" width="9.5" style="3777" customWidth="1"/>
    <col min="7688" max="7690" width="6.5" style="3777" customWidth="1"/>
    <col min="7691" max="7691" width="7.5" style="3777" customWidth="1"/>
    <col min="7692" max="7692" width="8.5" style="3777" customWidth="1"/>
    <col min="7693" max="7936" width="9" style="3777"/>
    <col min="7937" max="7938" width="10.5" style="3777" customWidth="1"/>
    <col min="7939" max="7939" width="6.5" style="3777" customWidth="1"/>
    <col min="7940" max="7940" width="8.5" style="3777" customWidth="1"/>
    <col min="7941" max="7941" width="9.5" style="3777" customWidth="1"/>
    <col min="7942" max="7942" width="8.5" style="3777" customWidth="1"/>
    <col min="7943" max="7943" width="9.5" style="3777" customWidth="1"/>
    <col min="7944" max="7946" width="6.5" style="3777" customWidth="1"/>
    <col min="7947" max="7947" width="7.5" style="3777" customWidth="1"/>
    <col min="7948" max="7948" width="8.5" style="3777" customWidth="1"/>
    <col min="7949" max="8192" width="9" style="3777"/>
    <col min="8193" max="8194" width="10.5" style="3777" customWidth="1"/>
    <col min="8195" max="8195" width="6.5" style="3777" customWidth="1"/>
    <col min="8196" max="8196" width="8.5" style="3777" customWidth="1"/>
    <col min="8197" max="8197" width="9.5" style="3777" customWidth="1"/>
    <col min="8198" max="8198" width="8.5" style="3777" customWidth="1"/>
    <col min="8199" max="8199" width="9.5" style="3777" customWidth="1"/>
    <col min="8200" max="8202" width="6.5" style="3777" customWidth="1"/>
    <col min="8203" max="8203" width="7.5" style="3777" customWidth="1"/>
    <col min="8204" max="8204" width="8.5" style="3777" customWidth="1"/>
    <col min="8205" max="8448" width="9" style="3777"/>
    <col min="8449" max="8450" width="10.5" style="3777" customWidth="1"/>
    <col min="8451" max="8451" width="6.5" style="3777" customWidth="1"/>
    <col min="8452" max="8452" width="8.5" style="3777" customWidth="1"/>
    <col min="8453" max="8453" width="9.5" style="3777" customWidth="1"/>
    <col min="8454" max="8454" width="8.5" style="3777" customWidth="1"/>
    <col min="8455" max="8455" width="9.5" style="3777" customWidth="1"/>
    <col min="8456" max="8458" width="6.5" style="3777" customWidth="1"/>
    <col min="8459" max="8459" width="7.5" style="3777" customWidth="1"/>
    <col min="8460" max="8460" width="8.5" style="3777" customWidth="1"/>
    <col min="8461" max="8704" width="9" style="3777"/>
    <col min="8705" max="8706" width="10.5" style="3777" customWidth="1"/>
    <col min="8707" max="8707" width="6.5" style="3777" customWidth="1"/>
    <col min="8708" max="8708" width="8.5" style="3777" customWidth="1"/>
    <col min="8709" max="8709" width="9.5" style="3777" customWidth="1"/>
    <col min="8710" max="8710" width="8.5" style="3777" customWidth="1"/>
    <col min="8711" max="8711" width="9.5" style="3777" customWidth="1"/>
    <col min="8712" max="8714" width="6.5" style="3777" customWidth="1"/>
    <col min="8715" max="8715" width="7.5" style="3777" customWidth="1"/>
    <col min="8716" max="8716" width="8.5" style="3777" customWidth="1"/>
    <col min="8717" max="8960" width="9" style="3777"/>
    <col min="8961" max="8962" width="10.5" style="3777" customWidth="1"/>
    <col min="8963" max="8963" width="6.5" style="3777" customWidth="1"/>
    <col min="8964" max="8964" width="8.5" style="3777" customWidth="1"/>
    <col min="8965" max="8965" width="9.5" style="3777" customWidth="1"/>
    <col min="8966" max="8966" width="8.5" style="3777" customWidth="1"/>
    <col min="8967" max="8967" width="9.5" style="3777" customWidth="1"/>
    <col min="8968" max="8970" width="6.5" style="3777" customWidth="1"/>
    <col min="8971" max="8971" width="7.5" style="3777" customWidth="1"/>
    <col min="8972" max="8972" width="8.5" style="3777" customWidth="1"/>
    <col min="8973" max="9216" width="9" style="3777"/>
    <col min="9217" max="9218" width="10.5" style="3777" customWidth="1"/>
    <col min="9219" max="9219" width="6.5" style="3777" customWidth="1"/>
    <col min="9220" max="9220" width="8.5" style="3777" customWidth="1"/>
    <col min="9221" max="9221" width="9.5" style="3777" customWidth="1"/>
    <col min="9222" max="9222" width="8.5" style="3777" customWidth="1"/>
    <col min="9223" max="9223" width="9.5" style="3777" customWidth="1"/>
    <col min="9224" max="9226" width="6.5" style="3777" customWidth="1"/>
    <col min="9227" max="9227" width="7.5" style="3777" customWidth="1"/>
    <col min="9228" max="9228" width="8.5" style="3777" customWidth="1"/>
    <col min="9229" max="9472" width="9" style="3777"/>
    <col min="9473" max="9474" width="10.5" style="3777" customWidth="1"/>
    <col min="9475" max="9475" width="6.5" style="3777" customWidth="1"/>
    <col min="9476" max="9476" width="8.5" style="3777" customWidth="1"/>
    <col min="9477" max="9477" width="9.5" style="3777" customWidth="1"/>
    <col min="9478" max="9478" width="8.5" style="3777" customWidth="1"/>
    <col min="9479" max="9479" width="9.5" style="3777" customWidth="1"/>
    <col min="9480" max="9482" width="6.5" style="3777" customWidth="1"/>
    <col min="9483" max="9483" width="7.5" style="3777" customWidth="1"/>
    <col min="9484" max="9484" width="8.5" style="3777" customWidth="1"/>
    <col min="9485" max="9728" width="9" style="3777"/>
    <col min="9729" max="9730" width="10.5" style="3777" customWidth="1"/>
    <col min="9731" max="9731" width="6.5" style="3777" customWidth="1"/>
    <col min="9732" max="9732" width="8.5" style="3777" customWidth="1"/>
    <col min="9733" max="9733" width="9.5" style="3777" customWidth="1"/>
    <col min="9734" max="9734" width="8.5" style="3777" customWidth="1"/>
    <col min="9735" max="9735" width="9.5" style="3777" customWidth="1"/>
    <col min="9736" max="9738" width="6.5" style="3777" customWidth="1"/>
    <col min="9739" max="9739" width="7.5" style="3777" customWidth="1"/>
    <col min="9740" max="9740" width="8.5" style="3777" customWidth="1"/>
    <col min="9741" max="9984" width="9" style="3777"/>
    <col min="9985" max="9986" width="10.5" style="3777" customWidth="1"/>
    <col min="9987" max="9987" width="6.5" style="3777" customWidth="1"/>
    <col min="9988" max="9988" width="8.5" style="3777" customWidth="1"/>
    <col min="9989" max="9989" width="9.5" style="3777" customWidth="1"/>
    <col min="9990" max="9990" width="8.5" style="3777" customWidth="1"/>
    <col min="9991" max="9991" width="9.5" style="3777" customWidth="1"/>
    <col min="9992" max="9994" width="6.5" style="3777" customWidth="1"/>
    <col min="9995" max="9995" width="7.5" style="3777" customWidth="1"/>
    <col min="9996" max="9996" width="8.5" style="3777" customWidth="1"/>
    <col min="9997" max="10240" width="9" style="3777"/>
    <col min="10241" max="10242" width="10.5" style="3777" customWidth="1"/>
    <col min="10243" max="10243" width="6.5" style="3777" customWidth="1"/>
    <col min="10244" max="10244" width="8.5" style="3777" customWidth="1"/>
    <col min="10245" max="10245" width="9.5" style="3777" customWidth="1"/>
    <col min="10246" max="10246" width="8.5" style="3777" customWidth="1"/>
    <col min="10247" max="10247" width="9.5" style="3777" customWidth="1"/>
    <col min="10248" max="10250" width="6.5" style="3777" customWidth="1"/>
    <col min="10251" max="10251" width="7.5" style="3777" customWidth="1"/>
    <col min="10252" max="10252" width="8.5" style="3777" customWidth="1"/>
    <col min="10253" max="10496" width="9" style="3777"/>
    <col min="10497" max="10498" width="10.5" style="3777" customWidth="1"/>
    <col min="10499" max="10499" width="6.5" style="3777" customWidth="1"/>
    <col min="10500" max="10500" width="8.5" style="3777" customWidth="1"/>
    <col min="10501" max="10501" width="9.5" style="3777" customWidth="1"/>
    <col min="10502" max="10502" width="8.5" style="3777" customWidth="1"/>
    <col min="10503" max="10503" width="9.5" style="3777" customWidth="1"/>
    <col min="10504" max="10506" width="6.5" style="3777" customWidth="1"/>
    <col min="10507" max="10507" width="7.5" style="3777" customWidth="1"/>
    <col min="10508" max="10508" width="8.5" style="3777" customWidth="1"/>
    <col min="10509" max="10752" width="9" style="3777"/>
    <col min="10753" max="10754" width="10.5" style="3777" customWidth="1"/>
    <col min="10755" max="10755" width="6.5" style="3777" customWidth="1"/>
    <col min="10756" max="10756" width="8.5" style="3777" customWidth="1"/>
    <col min="10757" max="10757" width="9.5" style="3777" customWidth="1"/>
    <col min="10758" max="10758" width="8.5" style="3777" customWidth="1"/>
    <col min="10759" max="10759" width="9.5" style="3777" customWidth="1"/>
    <col min="10760" max="10762" width="6.5" style="3777" customWidth="1"/>
    <col min="10763" max="10763" width="7.5" style="3777" customWidth="1"/>
    <col min="10764" max="10764" width="8.5" style="3777" customWidth="1"/>
    <col min="10765" max="11008" width="9" style="3777"/>
    <col min="11009" max="11010" width="10.5" style="3777" customWidth="1"/>
    <col min="11011" max="11011" width="6.5" style="3777" customWidth="1"/>
    <col min="11012" max="11012" width="8.5" style="3777" customWidth="1"/>
    <col min="11013" max="11013" width="9.5" style="3777" customWidth="1"/>
    <col min="11014" max="11014" width="8.5" style="3777" customWidth="1"/>
    <col min="11015" max="11015" width="9.5" style="3777" customWidth="1"/>
    <col min="11016" max="11018" width="6.5" style="3777" customWidth="1"/>
    <col min="11019" max="11019" width="7.5" style="3777" customWidth="1"/>
    <col min="11020" max="11020" width="8.5" style="3777" customWidth="1"/>
    <col min="11021" max="11264" width="9" style="3777"/>
    <col min="11265" max="11266" width="10.5" style="3777" customWidth="1"/>
    <col min="11267" max="11267" width="6.5" style="3777" customWidth="1"/>
    <col min="11268" max="11268" width="8.5" style="3777" customWidth="1"/>
    <col min="11269" max="11269" width="9.5" style="3777" customWidth="1"/>
    <col min="11270" max="11270" width="8.5" style="3777" customWidth="1"/>
    <col min="11271" max="11271" width="9.5" style="3777" customWidth="1"/>
    <col min="11272" max="11274" width="6.5" style="3777" customWidth="1"/>
    <col min="11275" max="11275" width="7.5" style="3777" customWidth="1"/>
    <col min="11276" max="11276" width="8.5" style="3777" customWidth="1"/>
    <col min="11277" max="11520" width="9" style="3777"/>
    <col min="11521" max="11522" width="10.5" style="3777" customWidth="1"/>
    <col min="11523" max="11523" width="6.5" style="3777" customWidth="1"/>
    <col min="11524" max="11524" width="8.5" style="3777" customWidth="1"/>
    <col min="11525" max="11525" width="9.5" style="3777" customWidth="1"/>
    <col min="11526" max="11526" width="8.5" style="3777" customWidth="1"/>
    <col min="11527" max="11527" width="9.5" style="3777" customWidth="1"/>
    <col min="11528" max="11530" width="6.5" style="3777" customWidth="1"/>
    <col min="11531" max="11531" width="7.5" style="3777" customWidth="1"/>
    <col min="11532" max="11532" width="8.5" style="3777" customWidth="1"/>
    <col min="11533" max="11776" width="9" style="3777"/>
    <col min="11777" max="11778" width="10.5" style="3777" customWidth="1"/>
    <col min="11779" max="11779" width="6.5" style="3777" customWidth="1"/>
    <col min="11780" max="11780" width="8.5" style="3777" customWidth="1"/>
    <col min="11781" max="11781" width="9.5" style="3777" customWidth="1"/>
    <col min="11782" max="11782" width="8.5" style="3777" customWidth="1"/>
    <col min="11783" max="11783" width="9.5" style="3777" customWidth="1"/>
    <col min="11784" max="11786" width="6.5" style="3777" customWidth="1"/>
    <col min="11787" max="11787" width="7.5" style="3777" customWidth="1"/>
    <col min="11788" max="11788" width="8.5" style="3777" customWidth="1"/>
    <col min="11789" max="12032" width="9" style="3777"/>
    <col min="12033" max="12034" width="10.5" style="3777" customWidth="1"/>
    <col min="12035" max="12035" width="6.5" style="3777" customWidth="1"/>
    <col min="12036" max="12036" width="8.5" style="3777" customWidth="1"/>
    <col min="12037" max="12037" width="9.5" style="3777" customWidth="1"/>
    <col min="12038" max="12038" width="8.5" style="3777" customWidth="1"/>
    <col min="12039" max="12039" width="9.5" style="3777" customWidth="1"/>
    <col min="12040" max="12042" width="6.5" style="3777" customWidth="1"/>
    <col min="12043" max="12043" width="7.5" style="3777" customWidth="1"/>
    <col min="12044" max="12044" width="8.5" style="3777" customWidth="1"/>
    <col min="12045" max="12288" width="9" style="3777"/>
    <col min="12289" max="12290" width="10.5" style="3777" customWidth="1"/>
    <col min="12291" max="12291" width="6.5" style="3777" customWidth="1"/>
    <col min="12292" max="12292" width="8.5" style="3777" customWidth="1"/>
    <col min="12293" max="12293" width="9.5" style="3777" customWidth="1"/>
    <col min="12294" max="12294" width="8.5" style="3777" customWidth="1"/>
    <col min="12295" max="12295" width="9.5" style="3777" customWidth="1"/>
    <col min="12296" max="12298" width="6.5" style="3777" customWidth="1"/>
    <col min="12299" max="12299" width="7.5" style="3777" customWidth="1"/>
    <col min="12300" max="12300" width="8.5" style="3777" customWidth="1"/>
    <col min="12301" max="12544" width="9" style="3777"/>
    <col min="12545" max="12546" width="10.5" style="3777" customWidth="1"/>
    <col min="12547" max="12547" width="6.5" style="3777" customWidth="1"/>
    <col min="12548" max="12548" width="8.5" style="3777" customWidth="1"/>
    <col min="12549" max="12549" width="9.5" style="3777" customWidth="1"/>
    <col min="12550" max="12550" width="8.5" style="3777" customWidth="1"/>
    <col min="12551" max="12551" width="9.5" style="3777" customWidth="1"/>
    <col min="12552" max="12554" width="6.5" style="3777" customWidth="1"/>
    <col min="12555" max="12555" width="7.5" style="3777" customWidth="1"/>
    <col min="12556" max="12556" width="8.5" style="3777" customWidth="1"/>
    <col min="12557" max="12800" width="9" style="3777"/>
    <col min="12801" max="12802" width="10.5" style="3777" customWidth="1"/>
    <col min="12803" max="12803" width="6.5" style="3777" customWidth="1"/>
    <col min="12804" max="12804" width="8.5" style="3777" customWidth="1"/>
    <col min="12805" max="12805" width="9.5" style="3777" customWidth="1"/>
    <col min="12806" max="12806" width="8.5" style="3777" customWidth="1"/>
    <col min="12807" max="12807" width="9.5" style="3777" customWidth="1"/>
    <col min="12808" max="12810" width="6.5" style="3777" customWidth="1"/>
    <col min="12811" max="12811" width="7.5" style="3777" customWidth="1"/>
    <col min="12812" max="12812" width="8.5" style="3777" customWidth="1"/>
    <col min="12813" max="13056" width="9" style="3777"/>
    <col min="13057" max="13058" width="10.5" style="3777" customWidth="1"/>
    <col min="13059" max="13059" width="6.5" style="3777" customWidth="1"/>
    <col min="13060" max="13060" width="8.5" style="3777" customWidth="1"/>
    <col min="13061" max="13061" width="9.5" style="3777" customWidth="1"/>
    <col min="13062" max="13062" width="8.5" style="3777" customWidth="1"/>
    <col min="13063" max="13063" width="9.5" style="3777" customWidth="1"/>
    <col min="13064" max="13066" width="6.5" style="3777" customWidth="1"/>
    <col min="13067" max="13067" width="7.5" style="3777" customWidth="1"/>
    <col min="13068" max="13068" width="8.5" style="3777" customWidth="1"/>
    <col min="13069" max="13312" width="9" style="3777"/>
    <col min="13313" max="13314" width="10.5" style="3777" customWidth="1"/>
    <col min="13315" max="13315" width="6.5" style="3777" customWidth="1"/>
    <col min="13316" max="13316" width="8.5" style="3777" customWidth="1"/>
    <col min="13317" max="13317" width="9.5" style="3777" customWidth="1"/>
    <col min="13318" max="13318" width="8.5" style="3777" customWidth="1"/>
    <col min="13319" max="13319" width="9.5" style="3777" customWidth="1"/>
    <col min="13320" max="13322" width="6.5" style="3777" customWidth="1"/>
    <col min="13323" max="13323" width="7.5" style="3777" customWidth="1"/>
    <col min="13324" max="13324" width="8.5" style="3777" customWidth="1"/>
    <col min="13325" max="13568" width="9" style="3777"/>
    <col min="13569" max="13570" width="10.5" style="3777" customWidth="1"/>
    <col min="13571" max="13571" width="6.5" style="3777" customWidth="1"/>
    <col min="13572" max="13572" width="8.5" style="3777" customWidth="1"/>
    <col min="13573" max="13573" width="9.5" style="3777" customWidth="1"/>
    <col min="13574" max="13574" width="8.5" style="3777" customWidth="1"/>
    <col min="13575" max="13575" width="9.5" style="3777" customWidth="1"/>
    <col min="13576" max="13578" width="6.5" style="3777" customWidth="1"/>
    <col min="13579" max="13579" width="7.5" style="3777" customWidth="1"/>
    <col min="13580" max="13580" width="8.5" style="3777" customWidth="1"/>
    <col min="13581" max="13824" width="9" style="3777"/>
    <col min="13825" max="13826" width="10.5" style="3777" customWidth="1"/>
    <col min="13827" max="13827" width="6.5" style="3777" customWidth="1"/>
    <col min="13828" max="13828" width="8.5" style="3777" customWidth="1"/>
    <col min="13829" max="13829" width="9.5" style="3777" customWidth="1"/>
    <col min="13830" max="13830" width="8.5" style="3777" customWidth="1"/>
    <col min="13831" max="13831" width="9.5" style="3777" customWidth="1"/>
    <col min="13832" max="13834" width="6.5" style="3777" customWidth="1"/>
    <col min="13835" max="13835" width="7.5" style="3777" customWidth="1"/>
    <col min="13836" max="13836" width="8.5" style="3777" customWidth="1"/>
    <col min="13837" max="14080" width="9" style="3777"/>
    <col min="14081" max="14082" width="10.5" style="3777" customWidth="1"/>
    <col min="14083" max="14083" width="6.5" style="3777" customWidth="1"/>
    <col min="14084" max="14084" width="8.5" style="3777" customWidth="1"/>
    <col min="14085" max="14085" width="9.5" style="3777" customWidth="1"/>
    <col min="14086" max="14086" width="8.5" style="3777" customWidth="1"/>
    <col min="14087" max="14087" width="9.5" style="3777" customWidth="1"/>
    <col min="14088" max="14090" width="6.5" style="3777" customWidth="1"/>
    <col min="14091" max="14091" width="7.5" style="3777" customWidth="1"/>
    <col min="14092" max="14092" width="8.5" style="3777" customWidth="1"/>
    <col min="14093" max="14336" width="9" style="3777"/>
    <col min="14337" max="14338" width="10.5" style="3777" customWidth="1"/>
    <col min="14339" max="14339" width="6.5" style="3777" customWidth="1"/>
    <col min="14340" max="14340" width="8.5" style="3777" customWidth="1"/>
    <col min="14341" max="14341" width="9.5" style="3777" customWidth="1"/>
    <col min="14342" max="14342" width="8.5" style="3777" customWidth="1"/>
    <col min="14343" max="14343" width="9.5" style="3777" customWidth="1"/>
    <col min="14344" max="14346" width="6.5" style="3777" customWidth="1"/>
    <col min="14347" max="14347" width="7.5" style="3777" customWidth="1"/>
    <col min="14348" max="14348" width="8.5" style="3777" customWidth="1"/>
    <col min="14349" max="14592" width="9" style="3777"/>
    <col min="14593" max="14594" width="10.5" style="3777" customWidth="1"/>
    <col min="14595" max="14595" width="6.5" style="3777" customWidth="1"/>
    <col min="14596" max="14596" width="8.5" style="3777" customWidth="1"/>
    <col min="14597" max="14597" width="9.5" style="3777" customWidth="1"/>
    <col min="14598" max="14598" width="8.5" style="3777" customWidth="1"/>
    <col min="14599" max="14599" width="9.5" style="3777" customWidth="1"/>
    <col min="14600" max="14602" width="6.5" style="3777" customWidth="1"/>
    <col min="14603" max="14603" width="7.5" style="3777" customWidth="1"/>
    <col min="14604" max="14604" width="8.5" style="3777" customWidth="1"/>
    <col min="14605" max="14848" width="9" style="3777"/>
    <col min="14849" max="14850" width="10.5" style="3777" customWidth="1"/>
    <col min="14851" max="14851" width="6.5" style="3777" customWidth="1"/>
    <col min="14852" max="14852" width="8.5" style="3777" customWidth="1"/>
    <col min="14853" max="14853" width="9.5" style="3777" customWidth="1"/>
    <col min="14854" max="14854" width="8.5" style="3777" customWidth="1"/>
    <col min="14855" max="14855" width="9.5" style="3777" customWidth="1"/>
    <col min="14856" max="14858" width="6.5" style="3777" customWidth="1"/>
    <col min="14859" max="14859" width="7.5" style="3777" customWidth="1"/>
    <col min="14860" max="14860" width="8.5" style="3777" customWidth="1"/>
    <col min="14861" max="15104" width="9" style="3777"/>
    <col min="15105" max="15106" width="10.5" style="3777" customWidth="1"/>
    <col min="15107" max="15107" width="6.5" style="3777" customWidth="1"/>
    <col min="15108" max="15108" width="8.5" style="3777" customWidth="1"/>
    <col min="15109" max="15109" width="9.5" style="3777" customWidth="1"/>
    <col min="15110" max="15110" width="8.5" style="3777" customWidth="1"/>
    <col min="15111" max="15111" width="9.5" style="3777" customWidth="1"/>
    <col min="15112" max="15114" width="6.5" style="3777" customWidth="1"/>
    <col min="15115" max="15115" width="7.5" style="3777" customWidth="1"/>
    <col min="15116" max="15116" width="8.5" style="3777" customWidth="1"/>
    <col min="15117" max="15360" width="9" style="3777"/>
    <col min="15361" max="15362" width="10.5" style="3777" customWidth="1"/>
    <col min="15363" max="15363" width="6.5" style="3777" customWidth="1"/>
    <col min="15364" max="15364" width="8.5" style="3777" customWidth="1"/>
    <col min="15365" max="15365" width="9.5" style="3777" customWidth="1"/>
    <col min="15366" max="15366" width="8.5" style="3777" customWidth="1"/>
    <col min="15367" max="15367" width="9.5" style="3777" customWidth="1"/>
    <col min="15368" max="15370" width="6.5" style="3777" customWidth="1"/>
    <col min="15371" max="15371" width="7.5" style="3777" customWidth="1"/>
    <col min="15372" max="15372" width="8.5" style="3777" customWidth="1"/>
    <col min="15373" max="15616" width="9" style="3777"/>
    <col min="15617" max="15618" width="10.5" style="3777" customWidth="1"/>
    <col min="15619" max="15619" width="6.5" style="3777" customWidth="1"/>
    <col min="15620" max="15620" width="8.5" style="3777" customWidth="1"/>
    <col min="15621" max="15621" width="9.5" style="3777" customWidth="1"/>
    <col min="15622" max="15622" width="8.5" style="3777" customWidth="1"/>
    <col min="15623" max="15623" width="9.5" style="3777" customWidth="1"/>
    <col min="15624" max="15626" width="6.5" style="3777" customWidth="1"/>
    <col min="15627" max="15627" width="7.5" style="3777" customWidth="1"/>
    <col min="15628" max="15628" width="8.5" style="3777" customWidth="1"/>
    <col min="15629" max="15872" width="9" style="3777"/>
    <col min="15873" max="15874" width="10.5" style="3777" customWidth="1"/>
    <col min="15875" max="15875" width="6.5" style="3777" customWidth="1"/>
    <col min="15876" max="15876" width="8.5" style="3777" customWidth="1"/>
    <col min="15877" max="15877" width="9.5" style="3777" customWidth="1"/>
    <col min="15878" max="15878" width="8.5" style="3777" customWidth="1"/>
    <col min="15879" max="15879" width="9.5" style="3777" customWidth="1"/>
    <col min="15880" max="15882" width="6.5" style="3777" customWidth="1"/>
    <col min="15883" max="15883" width="7.5" style="3777" customWidth="1"/>
    <col min="15884" max="15884" width="8.5" style="3777" customWidth="1"/>
    <col min="15885" max="16128" width="9" style="3777"/>
    <col min="16129" max="16130" width="10.5" style="3777" customWidth="1"/>
    <col min="16131" max="16131" width="6.5" style="3777" customWidth="1"/>
    <col min="16132" max="16132" width="8.5" style="3777" customWidth="1"/>
    <col min="16133" max="16133" width="9.5" style="3777" customWidth="1"/>
    <col min="16134" max="16134" width="8.5" style="3777" customWidth="1"/>
    <col min="16135" max="16135" width="9.5" style="3777" customWidth="1"/>
    <col min="16136" max="16138" width="6.5" style="3777" customWidth="1"/>
    <col min="16139" max="16139" width="7.5" style="3777" customWidth="1"/>
    <col min="16140" max="16140" width="8.5" style="3777" customWidth="1"/>
    <col min="16141" max="16384" width="9" style="3777"/>
  </cols>
  <sheetData>
    <row r="1" spans="1:12" ht="22.5">
      <c r="A1" s="4536" t="s">
        <v>951</v>
      </c>
      <c r="B1" s="4537"/>
      <c r="C1" s="4537"/>
      <c r="D1" s="4537"/>
      <c r="E1" s="4537"/>
      <c r="F1" s="4537"/>
      <c r="G1" s="4537"/>
      <c r="H1" s="4537"/>
      <c r="I1" s="4537"/>
      <c r="J1" s="4537"/>
      <c r="K1" s="4537"/>
      <c r="L1" s="4538"/>
    </row>
    <row r="2" spans="1:12">
      <c r="A2" s="3892" t="s">
        <v>952</v>
      </c>
      <c r="B2" s="3893"/>
      <c r="C2" s="3893"/>
      <c r="D2" s="3893"/>
      <c r="E2" s="3893"/>
      <c r="F2" s="3893"/>
      <c r="G2" s="3893"/>
      <c r="H2" s="3893"/>
      <c r="I2" s="3893"/>
      <c r="J2" s="3893"/>
      <c r="K2" s="3893"/>
      <c r="L2" s="3916"/>
    </row>
    <row r="3" spans="1:12">
      <c r="A3" s="3894" t="s">
        <v>953</v>
      </c>
      <c r="B3" s="3861" t="s">
        <v>954</v>
      </c>
      <c r="C3" s="3861" t="s">
        <v>955</v>
      </c>
      <c r="D3" s="3861" t="s">
        <v>956</v>
      </c>
      <c r="E3" s="3861" t="s">
        <v>957</v>
      </c>
      <c r="F3" s="3861" t="s">
        <v>958</v>
      </c>
      <c r="G3" s="3861" t="s">
        <v>959</v>
      </c>
      <c r="H3" s="3861" t="s">
        <v>960</v>
      </c>
      <c r="I3" s="3861" t="s">
        <v>961</v>
      </c>
      <c r="J3" s="3861" t="s">
        <v>962</v>
      </c>
      <c r="K3" s="3861" t="s">
        <v>963</v>
      </c>
      <c r="L3" s="3917" t="s">
        <v>964</v>
      </c>
    </row>
    <row r="4" spans="1:12" ht="16.5">
      <c r="A4" s="3894" t="s">
        <v>235</v>
      </c>
      <c r="B4" s="3861" t="s">
        <v>235</v>
      </c>
      <c r="C4" s="3861" t="s">
        <v>235</v>
      </c>
      <c r="D4" s="3861" t="s">
        <v>235</v>
      </c>
      <c r="E4" s="3861" t="s">
        <v>235</v>
      </c>
      <c r="F4" s="3861" t="s">
        <v>965</v>
      </c>
      <c r="G4" s="3861" t="s">
        <v>965</v>
      </c>
      <c r="H4" s="3861" t="s">
        <v>966</v>
      </c>
      <c r="I4" s="3861" t="s">
        <v>235</v>
      </c>
      <c r="J4" s="3861" t="s">
        <v>235</v>
      </c>
      <c r="K4" s="3861" t="s">
        <v>235</v>
      </c>
      <c r="L4" s="3918" t="s">
        <v>257</v>
      </c>
    </row>
    <row r="5" spans="1:12">
      <c r="A5" s="3895">
        <v>0.5</v>
      </c>
      <c r="B5" s="3896">
        <v>0.3</v>
      </c>
      <c r="C5" s="3896">
        <v>0.34639999999999999</v>
      </c>
      <c r="D5" s="3897">
        <f>((A5-B5)^2+C5^2)^(1/2)</f>
        <v>0.39999119990319798</v>
      </c>
      <c r="E5" s="3897">
        <f>(C5*(A5^2+2*A5*B5+3*B5^2))/(4*(A5^2+A5*B5+B5^2))</f>
        <v>0.144922448979592</v>
      </c>
      <c r="F5" s="3897">
        <f>3.14*D5*(A5+B5)</f>
        <v>1.0047778941568299</v>
      </c>
      <c r="G5" s="3897">
        <f>F5+3.14*(A5^2+B5^2)</f>
        <v>2.0723778941568298</v>
      </c>
      <c r="H5" s="3897">
        <f>3.14*C5*(A5^2+A5*B5+B5^2)/3</f>
        <v>0.177657013333333</v>
      </c>
      <c r="I5" s="3897">
        <f>J5-2*D5</f>
        <v>1.1999735997095899</v>
      </c>
      <c r="J5" s="3897">
        <f>2*A5*D5/(A5-B5)</f>
        <v>1.9999559995159899</v>
      </c>
      <c r="K5" s="3897">
        <f>I5*SIN((3.1415/180)*L5)/(2*SIN((3.1415/180)*((180-L5)/2)))</f>
        <v>-0.40867010925935499</v>
      </c>
      <c r="L5" s="3919">
        <f>720*A5/J5</f>
        <v>180.00396013068499</v>
      </c>
    </row>
    <row r="6" spans="1:12">
      <c r="A6" s="3898"/>
      <c r="B6" s="3864"/>
      <c r="C6" s="3864"/>
      <c r="D6" s="3899"/>
      <c r="E6" s="3899"/>
      <c r="F6" s="3899"/>
      <c r="G6" s="3899"/>
      <c r="H6" s="3899"/>
      <c r="I6" s="3920"/>
      <c r="J6" s="3920"/>
      <c r="K6" s="3920"/>
      <c r="L6" s="3921"/>
    </row>
    <row r="7" spans="1:12">
      <c r="A7" s="3900"/>
      <c r="B7" s="3901"/>
      <c r="C7" s="3901"/>
      <c r="D7" s="3901"/>
      <c r="E7" s="3901"/>
      <c r="F7" s="3901"/>
      <c r="G7" s="3901"/>
      <c r="H7" s="3901"/>
      <c r="I7" s="3893"/>
      <c r="J7" s="3893"/>
      <c r="K7" s="3893"/>
      <c r="L7" s="3922"/>
    </row>
    <row r="8" spans="1:12">
      <c r="A8" s="3892" t="s">
        <v>967</v>
      </c>
      <c r="B8" s="3893"/>
      <c r="C8" s="3893"/>
      <c r="D8" s="3893"/>
      <c r="E8" s="3893"/>
      <c r="F8" s="3893"/>
      <c r="G8" s="3893"/>
      <c r="H8" s="3893"/>
      <c r="I8" s="3893"/>
      <c r="J8" s="3893"/>
      <c r="K8" s="3893"/>
      <c r="L8" s="3922"/>
    </row>
    <row r="9" spans="1:12">
      <c r="A9" s="3894" t="s">
        <v>953</v>
      </c>
      <c r="B9" s="3861" t="s">
        <v>954</v>
      </c>
      <c r="C9" s="3861" t="s">
        <v>955</v>
      </c>
      <c r="D9" s="3861" t="s">
        <v>956</v>
      </c>
      <c r="E9" s="3861" t="s">
        <v>957</v>
      </c>
      <c r="F9" s="3861" t="s">
        <v>958</v>
      </c>
      <c r="G9" s="3861" t="s">
        <v>959</v>
      </c>
      <c r="H9" s="3861" t="s">
        <v>960</v>
      </c>
      <c r="I9" s="3861" t="s">
        <v>961</v>
      </c>
      <c r="J9" s="3861" t="s">
        <v>962</v>
      </c>
      <c r="K9" s="3861" t="s">
        <v>963</v>
      </c>
      <c r="L9" s="3923" t="s">
        <v>964</v>
      </c>
    </row>
    <row r="10" spans="1:12" ht="16.5">
      <c r="A10" s="3894" t="s">
        <v>235</v>
      </c>
      <c r="B10" s="3861" t="s">
        <v>235</v>
      </c>
      <c r="C10" s="3861" t="s">
        <v>235</v>
      </c>
      <c r="D10" s="3861" t="s">
        <v>235</v>
      </c>
      <c r="E10" s="3861" t="s">
        <v>235</v>
      </c>
      <c r="F10" s="3861" t="s">
        <v>965</v>
      </c>
      <c r="G10" s="3861" t="s">
        <v>965</v>
      </c>
      <c r="H10" s="3861" t="s">
        <v>966</v>
      </c>
      <c r="I10" s="3861" t="s">
        <v>235</v>
      </c>
      <c r="J10" s="3861" t="s">
        <v>235</v>
      </c>
      <c r="K10" s="3861" t="s">
        <v>235</v>
      </c>
      <c r="L10" s="3924" t="s">
        <v>257</v>
      </c>
    </row>
    <row r="11" spans="1:12">
      <c r="A11" s="3895">
        <v>0.5</v>
      </c>
      <c r="B11" s="3896">
        <v>0.3</v>
      </c>
      <c r="C11" s="3896">
        <v>0.3</v>
      </c>
      <c r="D11" s="3897">
        <f>((A11-B11)^2+C11^2)^(1/2)</f>
        <v>0.36055512754639901</v>
      </c>
      <c r="E11" s="3897">
        <f>(C11*(A11^2+2*A11*B11+3*B11^2))/(4*(A11^2+A11*B11+B11^2))</f>
        <v>0.12551020408163299</v>
      </c>
      <c r="F11" s="3897">
        <f>3.14*D11*(A11+B11)</f>
        <v>0.905714480396554</v>
      </c>
      <c r="G11" s="3897">
        <f>F11+3.14*(A11^2+B11^2)</f>
        <v>1.9733144803965501</v>
      </c>
      <c r="H11" s="3897">
        <f>3.14*C11*(A11^2+A11*B11+B11^2)/3</f>
        <v>0.15386</v>
      </c>
      <c r="I11" s="3897">
        <f>J11-2*D11</f>
        <v>1.0816653826392</v>
      </c>
      <c r="J11" s="3897">
        <f>2*A11*D11/(A11-B11)</f>
        <v>1.8027756377319899</v>
      </c>
      <c r="K11" s="3897">
        <f>I11*SIN((3.1415/180)*(360-L11))/(2*SIN((3.1415/180)*((L11-180)/2)))</f>
        <v>1.06601018485096</v>
      </c>
      <c r="L11" s="3919">
        <f>720*A11/J11</f>
        <v>199.69207064108201</v>
      </c>
    </row>
    <row r="12" spans="1:12">
      <c r="A12" s="3898"/>
      <c r="B12" s="3864"/>
      <c r="C12" s="3864"/>
      <c r="D12" s="3899"/>
      <c r="E12" s="3899"/>
      <c r="F12" s="3899"/>
      <c r="G12" s="3899"/>
      <c r="H12" s="3899"/>
      <c r="I12" s="3920"/>
      <c r="J12" s="3920"/>
      <c r="K12" s="3920"/>
      <c r="L12" s="3921"/>
    </row>
    <row r="13" spans="1:12">
      <c r="A13" s="3900"/>
      <c r="B13" s="3901"/>
      <c r="C13" s="3901"/>
      <c r="D13" s="3901"/>
      <c r="E13" s="3901"/>
      <c r="F13" s="3901"/>
      <c r="G13" s="3901"/>
      <c r="H13" s="3901"/>
      <c r="I13" s="3893"/>
      <c r="J13" s="3893"/>
      <c r="K13" s="3893"/>
      <c r="L13" s="3916"/>
    </row>
    <row r="14" spans="1:12">
      <c r="A14" s="3892"/>
      <c r="B14" s="3901"/>
      <c r="C14" s="3901"/>
      <c r="D14" s="3901"/>
      <c r="E14" s="3901"/>
      <c r="F14" s="3901"/>
      <c r="G14" s="4534" t="s">
        <v>968</v>
      </c>
      <c r="H14" s="4534"/>
      <c r="I14" s="4534"/>
      <c r="J14" s="4534"/>
      <c r="K14" s="4534"/>
      <c r="L14" s="4535"/>
    </row>
    <row r="15" spans="1:12">
      <c r="A15" s="3900"/>
      <c r="B15" s="3901"/>
      <c r="C15" s="3901"/>
      <c r="D15" s="3901"/>
      <c r="E15" s="3901"/>
      <c r="F15" s="3901"/>
      <c r="G15" s="4534" t="s">
        <v>969</v>
      </c>
      <c r="H15" s="4534"/>
      <c r="I15" s="4534"/>
      <c r="J15" s="4534"/>
      <c r="K15" s="4534"/>
      <c r="L15" s="4535"/>
    </row>
    <row r="16" spans="1:12">
      <c r="A16" s="3900"/>
      <c r="B16" s="3901"/>
      <c r="C16" s="3901"/>
      <c r="D16" s="3901"/>
      <c r="E16" s="3901"/>
      <c r="F16" s="3901"/>
      <c r="G16" s="3901"/>
      <c r="H16" s="3901"/>
      <c r="I16" s="3893"/>
      <c r="J16" s="3893"/>
      <c r="K16" s="3893"/>
      <c r="L16" s="3916"/>
    </row>
    <row r="17" spans="1:12">
      <c r="A17" s="3900"/>
      <c r="B17" s="3901"/>
      <c r="C17" s="3901"/>
      <c r="D17" s="3901"/>
      <c r="E17" s="3901"/>
      <c r="F17" s="3901"/>
      <c r="G17" s="3901"/>
      <c r="H17" s="3901"/>
      <c r="I17" s="3893"/>
      <c r="J17" s="3893"/>
      <c r="K17" s="3893"/>
      <c r="L17" s="3916"/>
    </row>
    <row r="18" spans="1:12">
      <c r="A18" s="3902"/>
      <c r="B18" s="3903"/>
      <c r="C18" s="3903"/>
      <c r="D18" s="3903"/>
      <c r="E18" s="3903"/>
      <c r="F18" s="3903"/>
      <c r="G18" s="3903"/>
      <c r="H18" s="3903"/>
      <c r="I18" s="3893"/>
      <c r="J18" s="3893"/>
      <c r="K18" s="3893"/>
      <c r="L18" s="3916"/>
    </row>
    <row r="19" spans="1:12">
      <c r="A19" s="3902"/>
      <c r="B19" s="3903"/>
      <c r="C19" s="3903"/>
      <c r="D19" s="3903"/>
      <c r="E19" s="3903"/>
      <c r="F19" s="3903"/>
      <c r="G19" s="3903"/>
      <c r="H19" s="3903"/>
      <c r="I19" s="3893"/>
      <c r="J19" s="3893"/>
      <c r="K19" s="3893"/>
      <c r="L19" s="3916"/>
    </row>
    <row r="20" spans="1:12">
      <c r="A20" s="3904"/>
      <c r="B20" s="3905"/>
      <c r="C20" s="3905"/>
      <c r="D20" s="3905"/>
      <c r="E20" s="3905"/>
      <c r="F20" s="3905"/>
      <c r="G20" s="3905"/>
      <c r="H20" s="3905"/>
      <c r="I20" s="3893"/>
      <c r="J20" s="3893"/>
      <c r="K20" s="3893"/>
      <c r="L20" s="3916"/>
    </row>
    <row r="21" spans="1:12">
      <c r="A21" s="3904"/>
      <c r="B21" s="3905"/>
      <c r="C21" s="3905"/>
      <c r="D21" s="3905"/>
      <c r="E21" s="3905"/>
      <c r="F21" s="3905"/>
      <c r="G21" s="3905"/>
      <c r="H21" s="3905"/>
      <c r="I21" s="3893"/>
      <c r="J21" s="3893"/>
      <c r="K21" s="3893"/>
      <c r="L21" s="3916"/>
    </row>
    <row r="22" spans="1:12">
      <c r="A22" s="3904"/>
      <c r="B22" s="3905"/>
      <c r="C22" s="3905"/>
      <c r="D22" s="3905"/>
      <c r="E22" s="3905"/>
      <c r="F22" s="3905"/>
      <c r="G22" s="3905"/>
      <c r="H22" s="3905"/>
      <c r="I22" s="3893"/>
      <c r="J22" s="3893"/>
      <c r="K22" s="3893"/>
      <c r="L22" s="3916"/>
    </row>
    <row r="23" spans="1:12">
      <c r="A23" s="3904"/>
      <c r="B23" s="3905"/>
      <c r="C23" s="3905"/>
      <c r="D23" s="3905"/>
      <c r="E23" s="3905"/>
      <c r="F23" s="3905"/>
      <c r="G23" s="3905"/>
      <c r="H23" s="3905"/>
      <c r="I23" s="3893"/>
      <c r="J23" s="3893"/>
      <c r="K23" s="3893"/>
      <c r="L23" s="3916"/>
    </row>
    <row r="24" spans="1:12">
      <c r="A24" s="3904"/>
      <c r="B24" s="3905"/>
      <c r="C24" s="3905"/>
      <c r="D24" s="3905"/>
      <c r="E24" s="3905"/>
      <c r="F24" s="3905"/>
      <c r="G24" s="3905"/>
      <c r="H24" s="3905"/>
      <c r="I24" s="3893"/>
      <c r="J24" s="3893"/>
      <c r="K24" s="3893"/>
      <c r="L24" s="3916"/>
    </row>
    <row r="25" spans="1:12">
      <c r="A25" s="3906"/>
      <c r="B25" s="3907"/>
      <c r="C25" s="3907"/>
      <c r="D25" s="3907"/>
      <c r="E25" s="3907"/>
      <c r="F25" s="3907"/>
      <c r="G25" s="3907"/>
      <c r="H25" s="3907"/>
      <c r="I25" s="3909"/>
      <c r="J25" s="3909"/>
      <c r="K25" s="3909"/>
      <c r="L25" s="3925"/>
    </row>
    <row r="26" spans="1:12">
      <c r="B26" s="3908"/>
      <c r="E26" s="3908"/>
    </row>
    <row r="27" spans="1:12" ht="22.5">
      <c r="A27" s="4539" t="s">
        <v>970</v>
      </c>
      <c r="B27" s="4539"/>
      <c r="C27" s="4539"/>
      <c r="D27" s="4539"/>
      <c r="E27" s="4539"/>
      <c r="F27" s="4539"/>
      <c r="G27" s="4539"/>
      <c r="H27" s="4539"/>
      <c r="I27" s="4539"/>
    </row>
    <row r="28" spans="1:12">
      <c r="A28" s="3909" t="s">
        <v>952</v>
      </c>
      <c r="B28" s="3909"/>
      <c r="C28" s="3909"/>
      <c r="D28" s="3909"/>
      <c r="E28" s="3909"/>
      <c r="F28" s="3909"/>
      <c r="G28" s="3909"/>
      <c r="H28" s="3909"/>
      <c r="I28" s="3909"/>
    </row>
    <row r="29" spans="1:12">
      <c r="A29" s="3910" t="s">
        <v>971</v>
      </c>
      <c r="B29" s="3911" t="s">
        <v>955</v>
      </c>
      <c r="C29" s="3911" t="s">
        <v>956</v>
      </c>
      <c r="D29" s="3911" t="s">
        <v>957</v>
      </c>
      <c r="E29" s="3911" t="s">
        <v>958</v>
      </c>
      <c r="F29" s="3911" t="s">
        <v>959</v>
      </c>
      <c r="G29" s="3911" t="s">
        <v>960</v>
      </c>
      <c r="H29" s="3911" t="s">
        <v>963</v>
      </c>
      <c r="I29" s="3926" t="s">
        <v>964</v>
      </c>
    </row>
    <row r="30" spans="1:12" ht="16.5">
      <c r="A30" s="3894" t="s">
        <v>235</v>
      </c>
      <c r="B30" s="3861" t="s">
        <v>235</v>
      </c>
      <c r="C30" s="3861" t="s">
        <v>235</v>
      </c>
      <c r="D30" s="3861" t="s">
        <v>235</v>
      </c>
      <c r="E30" s="3861" t="s">
        <v>965</v>
      </c>
      <c r="F30" s="3861" t="s">
        <v>965</v>
      </c>
      <c r="G30" s="3861" t="s">
        <v>966</v>
      </c>
      <c r="H30" s="3861" t="s">
        <v>235</v>
      </c>
      <c r="I30" s="3918" t="s">
        <v>257</v>
      </c>
    </row>
    <row r="31" spans="1:12">
      <c r="A31" s="3895">
        <v>0.5</v>
      </c>
      <c r="B31" s="3896">
        <v>0.8</v>
      </c>
      <c r="C31" s="3866">
        <f>(A31^2+B31^2)^(1/2)</f>
        <v>0.94339811320566003</v>
      </c>
      <c r="D31" s="3866">
        <f>B31/4</f>
        <v>0.2</v>
      </c>
      <c r="E31" s="3866">
        <f>3.1415926*A31*(A31^2+B31^2)^(1/2)</f>
        <v>1.4818862656504299</v>
      </c>
      <c r="F31" s="3866">
        <f>3.1415926*A31^2+E31</f>
        <v>2.2672844156504302</v>
      </c>
      <c r="G31" s="3866">
        <f>(3.1415926*A31^2*B31)/3</f>
        <v>0.209439506666667</v>
      </c>
      <c r="H31" s="3866">
        <f>2*C31*SIN((I31/2)*(3.1415926/180))</f>
        <v>1.87842314478852</v>
      </c>
      <c r="I31" s="3927">
        <f>360-(360*A31)/C31</f>
        <v>169.20038159885499</v>
      </c>
    </row>
    <row r="32" spans="1:12">
      <c r="A32" s="3898"/>
      <c r="B32" s="3864"/>
      <c r="C32" s="3864"/>
      <c r="D32" s="3864"/>
      <c r="E32" s="3864"/>
      <c r="F32" s="3864"/>
      <c r="G32" s="3864"/>
      <c r="H32" s="3912"/>
      <c r="I32" s="3928"/>
    </row>
    <row r="33" spans="1:9">
      <c r="A33" s="3900"/>
      <c r="B33" s="3901"/>
      <c r="C33" s="3901"/>
      <c r="D33" s="3901"/>
      <c r="E33" s="3901"/>
      <c r="F33" s="3901"/>
      <c r="G33" s="3901"/>
      <c r="H33" s="3893"/>
      <c r="I33" s="3922"/>
    </row>
    <row r="34" spans="1:9">
      <c r="A34" s="3892" t="s">
        <v>967</v>
      </c>
      <c r="B34" s="3893"/>
      <c r="C34" s="3893"/>
      <c r="D34" s="3893"/>
      <c r="E34" s="3893"/>
      <c r="F34" s="3893"/>
      <c r="G34" s="3893"/>
      <c r="H34" s="3893"/>
      <c r="I34" s="3922"/>
    </row>
    <row r="35" spans="1:9">
      <c r="A35" s="3894" t="s">
        <v>971</v>
      </c>
      <c r="B35" s="3861" t="s">
        <v>955</v>
      </c>
      <c r="C35" s="3861" t="s">
        <v>956</v>
      </c>
      <c r="D35" s="3861" t="s">
        <v>957</v>
      </c>
      <c r="E35" s="3861" t="s">
        <v>958</v>
      </c>
      <c r="F35" s="3861" t="s">
        <v>959</v>
      </c>
      <c r="G35" s="3861" t="s">
        <v>960</v>
      </c>
      <c r="H35" s="3861" t="s">
        <v>963</v>
      </c>
      <c r="I35" s="3923" t="s">
        <v>964</v>
      </c>
    </row>
    <row r="36" spans="1:9" ht="16.5">
      <c r="A36" s="3894" t="s">
        <v>235</v>
      </c>
      <c r="B36" s="3861" t="s">
        <v>235</v>
      </c>
      <c r="C36" s="3861" t="s">
        <v>235</v>
      </c>
      <c r="D36" s="3861" t="s">
        <v>235</v>
      </c>
      <c r="E36" s="3861" t="s">
        <v>965</v>
      </c>
      <c r="F36" s="3861" t="s">
        <v>965</v>
      </c>
      <c r="G36" s="3861" t="s">
        <v>966</v>
      </c>
      <c r="H36" s="3861" t="s">
        <v>235</v>
      </c>
      <c r="I36" s="3924" t="s">
        <v>257</v>
      </c>
    </row>
    <row r="37" spans="1:9">
      <c r="A37" s="3895">
        <v>0.5</v>
      </c>
      <c r="B37" s="3896">
        <v>1</v>
      </c>
      <c r="C37" s="3866">
        <f>(A37^2+B37^2)^(1/2)</f>
        <v>1.11803398874989</v>
      </c>
      <c r="D37" s="3866">
        <f>B37/4</f>
        <v>0.25</v>
      </c>
      <c r="E37" s="3866">
        <f>3.1415926*A37*(A37^2+B37^2)^(1/2)</f>
        <v>1.75620365280258</v>
      </c>
      <c r="F37" s="3866">
        <f>3.1415926*A37^2+E37</f>
        <v>2.54160180280258</v>
      </c>
      <c r="G37" s="3866">
        <f>(3.1415926*A37^2*B37)/3</f>
        <v>0.26179938333333302</v>
      </c>
      <c r="H37" s="3866">
        <f>C37*SIN((360-I37)*(3.1415926/180))/SIN(((I37-180)/2)*(3.1415926/180))</f>
        <v>2.2053919916081002</v>
      </c>
      <c r="I37" s="3927">
        <f>360-(360*A37)/C37</f>
        <v>199.00310562001499</v>
      </c>
    </row>
    <row r="38" spans="1:9">
      <c r="A38" s="3898"/>
      <c r="B38" s="3864"/>
      <c r="C38" s="3864"/>
      <c r="D38" s="3864"/>
      <c r="E38" s="3864"/>
      <c r="F38" s="3864"/>
      <c r="G38" s="3864"/>
      <c r="H38" s="3912"/>
      <c r="I38" s="3928"/>
    </row>
    <row r="39" spans="1:9">
      <c r="A39" s="3913"/>
      <c r="B39" s="3202"/>
      <c r="C39" s="3202"/>
      <c r="D39" s="3202"/>
      <c r="E39" s="3202"/>
      <c r="F39" s="3202"/>
      <c r="G39" s="3202"/>
      <c r="H39" s="3202"/>
      <c r="I39" s="3929"/>
    </row>
    <row r="40" spans="1:9">
      <c r="A40" s="3913"/>
      <c r="B40" s="3202"/>
      <c r="C40" s="3202"/>
      <c r="D40" s="3202"/>
      <c r="E40" s="3202"/>
      <c r="F40" s="4534" t="s">
        <v>968</v>
      </c>
      <c r="G40" s="4534"/>
      <c r="H40" s="4534"/>
      <c r="I40" s="4535"/>
    </row>
    <row r="41" spans="1:9">
      <c r="A41" s="3913"/>
      <c r="B41" s="3202"/>
      <c r="C41" s="3202"/>
      <c r="D41" s="3202"/>
      <c r="E41" s="3202"/>
      <c r="F41" s="4534" t="s">
        <v>969</v>
      </c>
      <c r="G41" s="4534"/>
      <c r="H41" s="4534"/>
      <c r="I41" s="4535"/>
    </row>
    <row r="42" spans="1:9">
      <c r="A42" s="3913"/>
      <c r="B42" s="3202"/>
      <c r="C42" s="3202"/>
      <c r="D42" s="3202"/>
      <c r="E42" s="3202"/>
      <c r="F42" s="3202"/>
      <c r="G42" s="3202"/>
      <c r="H42" s="3202"/>
      <c r="I42" s="3929"/>
    </row>
    <row r="43" spans="1:9">
      <c r="A43" s="3913"/>
      <c r="B43" s="3202"/>
      <c r="C43" s="3202"/>
      <c r="D43" s="3202"/>
      <c r="E43" s="3202"/>
      <c r="F43" s="3202"/>
      <c r="G43" s="3202"/>
      <c r="H43" s="3202"/>
      <c r="I43" s="3929"/>
    </row>
    <row r="44" spans="1:9">
      <c r="A44" s="3913"/>
      <c r="B44" s="3202"/>
      <c r="C44" s="3202"/>
      <c r="D44" s="3202"/>
      <c r="E44" s="3202"/>
      <c r="F44" s="3202"/>
      <c r="G44" s="3202"/>
      <c r="H44" s="3202"/>
      <c r="I44" s="3929"/>
    </row>
    <row r="45" spans="1:9">
      <c r="A45" s="3913"/>
      <c r="B45" s="3202"/>
      <c r="C45" s="3202"/>
      <c r="D45" s="3202"/>
      <c r="E45" s="3202"/>
      <c r="F45" s="3202"/>
      <c r="G45" s="3202"/>
      <c r="H45" s="3202"/>
      <c r="I45" s="3929"/>
    </row>
    <row r="46" spans="1:9">
      <c r="A46" s="3913"/>
      <c r="B46" s="3202"/>
      <c r="C46" s="3202"/>
      <c r="D46" s="3202"/>
      <c r="E46" s="3202"/>
      <c r="F46" s="3202"/>
      <c r="G46" s="3202"/>
      <c r="H46" s="3202"/>
      <c r="I46" s="3929"/>
    </row>
    <row r="47" spans="1:9">
      <c r="A47" s="3913"/>
      <c r="B47" s="3202"/>
      <c r="C47" s="3202"/>
      <c r="D47" s="3202"/>
      <c r="E47" s="3202"/>
      <c r="F47" s="3202"/>
      <c r="G47" s="3202"/>
      <c r="H47" s="3202"/>
      <c r="I47" s="3929"/>
    </row>
    <row r="48" spans="1:9">
      <c r="A48" s="3914"/>
      <c r="B48" s="3915"/>
      <c r="C48" s="3915"/>
      <c r="D48" s="3915"/>
      <c r="E48" s="3915"/>
      <c r="F48" s="3915"/>
      <c r="G48" s="3915"/>
      <c r="H48" s="3915"/>
      <c r="I48" s="3930"/>
    </row>
    <row r="49" spans="1:9">
      <c r="A49" s="2694"/>
      <c r="B49" s="2694"/>
      <c r="C49" s="2694"/>
      <c r="D49" s="2694"/>
      <c r="E49" s="2694"/>
      <c r="F49" s="2694"/>
      <c r="G49" s="2694"/>
      <c r="H49" s="2694"/>
      <c r="I49" s="2694"/>
    </row>
    <row r="50" spans="1:9">
      <c r="A50" s="2694"/>
      <c r="B50" s="2694"/>
      <c r="C50" s="2694"/>
      <c r="D50" s="2694"/>
      <c r="E50" s="2694"/>
      <c r="F50" s="2694"/>
      <c r="G50" s="2694"/>
      <c r="H50" s="2694"/>
      <c r="I50" s="2694"/>
    </row>
  </sheetData>
  <mergeCells count="6">
    <mergeCell ref="F41:I41"/>
    <mergeCell ref="A1:L1"/>
    <mergeCell ref="G14:L14"/>
    <mergeCell ref="G15:L15"/>
    <mergeCell ref="A27:I27"/>
    <mergeCell ref="F40:I40"/>
  </mergeCells>
  <phoneticPr fontId="214" type="noConversion"/>
  <pageMargins left="0.75" right="0.75" top="1" bottom="1" header="0.5" footer="0.5"/>
  <headerFooter alignWithMargins="0"/>
  <drawing r:id="rId1"/>
  <legacyDrawing r:id="rId2"/>
  <oleObjects>
    <mc:AlternateContent xmlns:mc="http://schemas.openxmlformats.org/markup-compatibility/2006">
      <mc:Choice Requires="x14">
        <oleObject progId="AutoCAD.Drawing.14" shapeId="1418241" r:id="rId3">
          <objectPr defaultSize="0" altText="" r:id="rId4">
            <anchor moveWithCells="1">
              <from>
                <xdr:col>0</xdr:col>
                <xdr:colOff>361950</xdr:colOff>
                <xdr:row>12</xdr:row>
                <xdr:rowOff>104775</xdr:rowOff>
              </from>
              <to>
                <xdr:col>5</xdr:col>
                <xdr:colOff>171450</xdr:colOff>
                <xdr:row>24</xdr:row>
                <xdr:rowOff>28575</xdr:rowOff>
              </to>
            </anchor>
          </objectPr>
        </oleObject>
      </mc:Choice>
      <mc:Fallback>
        <oleObject progId="AutoCAD.Drawing.14" shapeId="1418241" r:id="rId3"/>
      </mc:Fallback>
    </mc:AlternateContent>
    <mc:AlternateContent xmlns:mc="http://schemas.openxmlformats.org/markup-compatibility/2006">
      <mc:Choice Requires="x14">
        <oleObject progId="AutoCAD.Drawing.14" shapeId="1418242" r:id="rId5">
          <objectPr defaultSize="0" altText="" r:id="rId6">
            <anchor moveWithCells="1">
              <from>
                <xdr:col>0</xdr:col>
                <xdr:colOff>381000</xdr:colOff>
                <xdr:row>38</xdr:row>
                <xdr:rowOff>47625</xdr:rowOff>
              </from>
              <to>
                <xdr:col>4</xdr:col>
                <xdr:colOff>104775</xdr:colOff>
                <xdr:row>47</xdr:row>
                <xdr:rowOff>9525</xdr:rowOff>
              </to>
            </anchor>
          </objectPr>
        </oleObject>
      </mc:Choice>
      <mc:Fallback>
        <oleObject progId="AutoCAD.Drawing.14" shapeId="1418242" r:id="rId5"/>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N23"/>
  <sheetViews>
    <sheetView workbookViewId="0">
      <selection activeCell="G16" sqref="G16"/>
    </sheetView>
  </sheetViews>
  <sheetFormatPr defaultColWidth="9" defaultRowHeight="14.25"/>
  <cols>
    <col min="1" max="1" width="28.5" style="2694" customWidth="1"/>
    <col min="2" max="5" width="9" style="3301"/>
    <col min="6" max="256" width="9" style="2694"/>
    <col min="257" max="257" width="28.5" style="2694" customWidth="1"/>
    <col min="258" max="512" width="9" style="2694"/>
    <col min="513" max="513" width="28.5" style="2694" customWidth="1"/>
    <col min="514" max="768" width="9" style="2694"/>
    <col min="769" max="769" width="28.5" style="2694" customWidth="1"/>
    <col min="770" max="1024" width="9" style="2694"/>
    <col min="1025" max="1025" width="28.5" style="2694" customWidth="1"/>
    <col min="1026" max="1280" width="9" style="2694"/>
    <col min="1281" max="1281" width="28.5" style="2694" customWidth="1"/>
    <col min="1282" max="1536" width="9" style="2694"/>
    <col min="1537" max="1537" width="28.5" style="2694" customWidth="1"/>
    <col min="1538" max="1792" width="9" style="2694"/>
    <col min="1793" max="1793" width="28.5" style="2694" customWidth="1"/>
    <col min="1794" max="2048" width="9" style="2694"/>
    <col min="2049" max="2049" width="28.5" style="2694" customWidth="1"/>
    <col min="2050" max="2304" width="9" style="2694"/>
    <col min="2305" max="2305" width="28.5" style="2694" customWidth="1"/>
    <col min="2306" max="2560" width="9" style="2694"/>
    <col min="2561" max="2561" width="28.5" style="2694" customWidth="1"/>
    <col min="2562" max="2816" width="9" style="2694"/>
    <col min="2817" max="2817" width="28.5" style="2694" customWidth="1"/>
    <col min="2818" max="3072" width="9" style="2694"/>
    <col min="3073" max="3073" width="28.5" style="2694" customWidth="1"/>
    <col min="3074" max="3328" width="9" style="2694"/>
    <col min="3329" max="3329" width="28.5" style="2694" customWidth="1"/>
    <col min="3330" max="3584" width="9" style="2694"/>
    <col min="3585" max="3585" width="28.5" style="2694" customWidth="1"/>
    <col min="3586" max="3840" width="9" style="2694"/>
    <col min="3841" max="3841" width="28.5" style="2694" customWidth="1"/>
    <col min="3842" max="4096" width="9" style="2694"/>
    <col min="4097" max="4097" width="28.5" style="2694" customWidth="1"/>
    <col min="4098" max="4352" width="9" style="2694"/>
    <col min="4353" max="4353" width="28.5" style="2694" customWidth="1"/>
    <col min="4354" max="4608" width="9" style="2694"/>
    <col min="4609" max="4609" width="28.5" style="2694" customWidth="1"/>
    <col min="4610" max="4864" width="9" style="2694"/>
    <col min="4865" max="4865" width="28.5" style="2694" customWidth="1"/>
    <col min="4866" max="5120" width="9" style="2694"/>
    <col min="5121" max="5121" width="28.5" style="2694" customWidth="1"/>
    <col min="5122" max="5376" width="9" style="2694"/>
    <col min="5377" max="5377" width="28.5" style="2694" customWidth="1"/>
    <col min="5378" max="5632" width="9" style="2694"/>
    <col min="5633" max="5633" width="28.5" style="2694" customWidth="1"/>
    <col min="5634" max="5888" width="9" style="2694"/>
    <col min="5889" max="5889" width="28.5" style="2694" customWidth="1"/>
    <col min="5890" max="6144" width="9" style="2694"/>
    <col min="6145" max="6145" width="28.5" style="2694" customWidth="1"/>
    <col min="6146" max="6400" width="9" style="2694"/>
    <col min="6401" max="6401" width="28.5" style="2694" customWidth="1"/>
    <col min="6402" max="6656" width="9" style="2694"/>
    <col min="6657" max="6657" width="28.5" style="2694" customWidth="1"/>
    <col min="6658" max="6912" width="9" style="2694"/>
    <col min="6913" max="6913" width="28.5" style="2694" customWidth="1"/>
    <col min="6914" max="7168" width="9" style="2694"/>
    <col min="7169" max="7169" width="28.5" style="2694" customWidth="1"/>
    <col min="7170" max="7424" width="9" style="2694"/>
    <col min="7425" max="7425" width="28.5" style="2694" customWidth="1"/>
    <col min="7426" max="7680" width="9" style="2694"/>
    <col min="7681" max="7681" width="28.5" style="2694" customWidth="1"/>
    <col min="7682" max="7936" width="9" style="2694"/>
    <col min="7937" max="7937" width="28.5" style="2694" customWidth="1"/>
    <col min="7938" max="8192" width="9" style="2694"/>
    <col min="8193" max="8193" width="28.5" style="2694" customWidth="1"/>
    <col min="8194" max="8448" width="9" style="2694"/>
    <col min="8449" max="8449" width="28.5" style="2694" customWidth="1"/>
    <col min="8450" max="8704" width="9" style="2694"/>
    <col min="8705" max="8705" width="28.5" style="2694" customWidth="1"/>
    <col min="8706" max="8960" width="9" style="2694"/>
    <col min="8961" max="8961" width="28.5" style="2694" customWidth="1"/>
    <col min="8962" max="9216" width="9" style="2694"/>
    <col min="9217" max="9217" width="28.5" style="2694" customWidth="1"/>
    <col min="9218" max="9472" width="9" style="2694"/>
    <col min="9473" max="9473" width="28.5" style="2694" customWidth="1"/>
    <col min="9474" max="9728" width="9" style="2694"/>
    <col min="9729" max="9729" width="28.5" style="2694" customWidth="1"/>
    <col min="9730" max="9984" width="9" style="2694"/>
    <col min="9985" max="9985" width="28.5" style="2694" customWidth="1"/>
    <col min="9986" max="10240" width="9" style="2694"/>
    <col min="10241" max="10241" width="28.5" style="2694" customWidth="1"/>
    <col min="10242" max="10496" width="9" style="2694"/>
    <col min="10497" max="10497" width="28.5" style="2694" customWidth="1"/>
    <col min="10498" max="10752" width="9" style="2694"/>
    <col min="10753" max="10753" width="28.5" style="2694" customWidth="1"/>
    <col min="10754" max="11008" width="9" style="2694"/>
    <col min="11009" max="11009" width="28.5" style="2694" customWidth="1"/>
    <col min="11010" max="11264" width="9" style="2694"/>
    <col min="11265" max="11265" width="28.5" style="2694" customWidth="1"/>
    <col min="11266" max="11520" width="9" style="2694"/>
    <col min="11521" max="11521" width="28.5" style="2694" customWidth="1"/>
    <col min="11522" max="11776" width="9" style="2694"/>
    <col min="11777" max="11777" width="28.5" style="2694" customWidth="1"/>
    <col min="11778" max="12032" width="9" style="2694"/>
    <col min="12033" max="12033" width="28.5" style="2694" customWidth="1"/>
    <col min="12034" max="12288" width="9" style="2694"/>
    <col min="12289" max="12289" width="28.5" style="2694" customWidth="1"/>
    <col min="12290" max="12544" width="9" style="2694"/>
    <col min="12545" max="12545" width="28.5" style="2694" customWidth="1"/>
    <col min="12546" max="12800" width="9" style="2694"/>
    <col min="12801" max="12801" width="28.5" style="2694" customWidth="1"/>
    <col min="12802" max="13056" width="9" style="2694"/>
    <col min="13057" max="13057" width="28.5" style="2694" customWidth="1"/>
    <col min="13058" max="13312" width="9" style="2694"/>
    <col min="13313" max="13313" width="28.5" style="2694" customWidth="1"/>
    <col min="13314" max="13568" width="9" style="2694"/>
    <col min="13569" max="13569" width="28.5" style="2694" customWidth="1"/>
    <col min="13570" max="13824" width="9" style="2694"/>
    <col min="13825" max="13825" width="28.5" style="2694" customWidth="1"/>
    <col min="13826" max="14080" width="9" style="2694"/>
    <col min="14081" max="14081" width="28.5" style="2694" customWidth="1"/>
    <col min="14082" max="14336" width="9" style="2694"/>
    <col min="14337" max="14337" width="28.5" style="2694" customWidth="1"/>
    <col min="14338" max="14592" width="9" style="2694"/>
    <col min="14593" max="14593" width="28.5" style="2694" customWidth="1"/>
    <col min="14594" max="14848" width="9" style="2694"/>
    <col min="14849" max="14849" width="28.5" style="2694" customWidth="1"/>
    <col min="14850" max="15104" width="9" style="2694"/>
    <col min="15105" max="15105" width="28.5" style="2694" customWidth="1"/>
    <col min="15106" max="15360" width="9" style="2694"/>
    <col min="15361" max="15361" width="28.5" style="2694" customWidth="1"/>
    <col min="15362" max="15616" width="9" style="2694"/>
    <col min="15617" max="15617" width="28.5" style="2694" customWidth="1"/>
    <col min="15618" max="15872" width="9" style="2694"/>
    <col min="15873" max="15873" width="28.5" style="2694" customWidth="1"/>
    <col min="15874" max="16128" width="9" style="2694"/>
    <col min="16129" max="16129" width="28.5" style="2694" customWidth="1"/>
    <col min="16130" max="16384" width="9" style="2694"/>
  </cols>
  <sheetData>
    <row r="1" spans="1:5" ht="24.75" customHeight="1"/>
    <row r="2" spans="1:5">
      <c r="A2" s="2694" t="s">
        <v>972</v>
      </c>
    </row>
    <row r="3" spans="1:5">
      <c r="A3" s="2694" t="s">
        <v>973</v>
      </c>
    </row>
    <row r="4" spans="1:5">
      <c r="A4" s="2694" t="s">
        <v>974</v>
      </c>
    </row>
    <row r="5" spans="1:5">
      <c r="A5" s="2694" t="s">
        <v>975</v>
      </c>
    </row>
    <row r="6" spans="1:5">
      <c r="A6" s="2694" t="s">
        <v>976</v>
      </c>
    </row>
    <row r="7" spans="1:5">
      <c r="A7" s="2694" t="s">
        <v>977</v>
      </c>
    </row>
    <row r="8" spans="1:5">
      <c r="A8" s="2694" t="s">
        <v>978</v>
      </c>
    </row>
    <row r="10" spans="1:5" ht="15">
      <c r="A10" s="3888" t="s">
        <v>979</v>
      </c>
    </row>
    <row r="11" spans="1:5">
      <c r="A11" s="3888"/>
    </row>
    <row r="12" spans="1:5" ht="15" customHeight="1">
      <c r="A12" s="3301" t="s">
        <v>980</v>
      </c>
      <c r="B12" s="3301" t="s">
        <v>981</v>
      </c>
      <c r="C12" s="3301" t="s">
        <v>982</v>
      </c>
      <c r="D12" s="3889">
        <v>9550</v>
      </c>
      <c r="E12" s="2701" t="s">
        <v>983</v>
      </c>
    </row>
    <row r="13" spans="1:5">
      <c r="A13" s="2708" t="s">
        <v>984</v>
      </c>
      <c r="B13" s="3301">
        <v>3000</v>
      </c>
      <c r="C13" s="2701">
        <v>1.91</v>
      </c>
      <c r="D13" s="3889">
        <v>9550</v>
      </c>
      <c r="E13" s="2701">
        <f>B13*C13/D13</f>
        <v>0.6</v>
      </c>
    </row>
    <row r="14" spans="1:5" ht="15">
      <c r="A14" s="3890"/>
    </row>
    <row r="16" spans="1:5" ht="15">
      <c r="A16" s="3891" t="s">
        <v>985</v>
      </c>
      <c r="B16" s="3889">
        <v>9550</v>
      </c>
      <c r="C16" s="3301" t="s">
        <v>983</v>
      </c>
      <c r="D16" s="3301" t="s">
        <v>981</v>
      </c>
      <c r="E16" s="2701" t="s">
        <v>982</v>
      </c>
    </row>
    <row r="17" spans="1:14">
      <c r="A17" s="2708" t="s">
        <v>984</v>
      </c>
      <c r="B17" s="3889">
        <v>9550</v>
      </c>
      <c r="C17" s="3301">
        <v>0.2</v>
      </c>
      <c r="D17" s="3301">
        <v>3000</v>
      </c>
      <c r="E17" s="2701">
        <f>B17*C17/D17</f>
        <v>0.63666666666666705</v>
      </c>
    </row>
    <row r="20" spans="1:14">
      <c r="A20" s="3301" t="s">
        <v>986</v>
      </c>
      <c r="B20" s="4540" t="s">
        <v>987</v>
      </c>
      <c r="C20" s="4540"/>
      <c r="D20" s="4540"/>
      <c r="E20" s="4540"/>
      <c r="F20" s="4540"/>
      <c r="G20" s="4540"/>
      <c r="H20" s="4540"/>
      <c r="I20" s="4540"/>
    </row>
    <row r="21" spans="1:14">
      <c r="A21" s="3301" t="s">
        <v>988</v>
      </c>
      <c r="B21" s="3663" t="s">
        <v>989</v>
      </c>
      <c r="C21" s="3663"/>
      <c r="D21" s="3663"/>
      <c r="E21" s="3663"/>
      <c r="F21" s="3663"/>
      <c r="G21" s="3663"/>
      <c r="H21" s="3663"/>
      <c r="I21" s="3663"/>
      <c r="J21" s="3663"/>
      <c r="K21" s="3663"/>
      <c r="L21" s="3663"/>
      <c r="M21" s="3663"/>
      <c r="N21" s="3663"/>
    </row>
    <row r="23" spans="1:14" ht="15">
      <c r="A23" s="3686" t="s">
        <v>990</v>
      </c>
    </row>
  </sheetData>
  <mergeCells count="1">
    <mergeCell ref="B20:I20"/>
  </mergeCells>
  <phoneticPr fontId="214" type="noConversion"/>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R37"/>
  <sheetViews>
    <sheetView workbookViewId="0">
      <selection activeCell="C1" sqref="C1"/>
    </sheetView>
  </sheetViews>
  <sheetFormatPr defaultColWidth="9" defaultRowHeight="14.25"/>
  <cols>
    <col min="1" max="16384" width="9" style="2694"/>
  </cols>
  <sheetData>
    <row r="1" spans="1:10" ht="24" customHeight="1"/>
    <row r="2" spans="1:10">
      <c r="A2" s="3873" t="s">
        <v>60</v>
      </c>
      <c r="B2" s="2705"/>
    </row>
    <row r="4" spans="1:10">
      <c r="A4" s="3874" t="s">
        <v>991</v>
      </c>
      <c r="B4" s="3663"/>
      <c r="C4" s="3663"/>
      <c r="D4" s="3663"/>
      <c r="E4" s="3663"/>
      <c r="F4" s="3663"/>
      <c r="G4" s="3663"/>
    </row>
    <row r="5" spans="1:10">
      <c r="A5" s="3874" t="s">
        <v>992</v>
      </c>
      <c r="B5" s="3663"/>
      <c r="C5" s="3663"/>
      <c r="D5" s="3663"/>
      <c r="E5" s="3663"/>
      <c r="F5" s="3663"/>
      <c r="G5" s="3663"/>
    </row>
    <row r="6" spans="1:10">
      <c r="A6" s="3874" t="s">
        <v>993</v>
      </c>
      <c r="B6" s="3663"/>
      <c r="C6" s="3663"/>
      <c r="D6" s="3663"/>
      <c r="E6" s="3663"/>
      <c r="F6" s="3663"/>
      <c r="G6" s="3663"/>
    </row>
    <row r="7" spans="1:10">
      <c r="A7" s="3875" t="s">
        <v>994</v>
      </c>
    </row>
    <row r="8" spans="1:10">
      <c r="A8" s="3876" t="s">
        <v>995</v>
      </c>
    </row>
    <row r="9" spans="1:10">
      <c r="A9" s="3874" t="s">
        <v>996</v>
      </c>
    </row>
    <row r="10" spans="1:10">
      <c r="A10" s="3874" t="s">
        <v>997</v>
      </c>
      <c r="B10" s="3663"/>
      <c r="C10" s="3663"/>
      <c r="D10" s="3663"/>
      <c r="E10" s="3663"/>
      <c r="F10" s="3663"/>
      <c r="G10" s="3663"/>
      <c r="H10" s="3663"/>
      <c r="I10" s="3663"/>
      <c r="J10" s="3663"/>
    </row>
    <row r="11" spans="1:10">
      <c r="A11" s="3874" t="s">
        <v>998</v>
      </c>
      <c r="B11" s="3663"/>
      <c r="C11" s="3663"/>
      <c r="D11" s="3663"/>
      <c r="E11" s="3663"/>
      <c r="F11" s="3663"/>
      <c r="G11" s="3663"/>
      <c r="H11" s="3663"/>
      <c r="I11" s="3663"/>
      <c r="J11" s="3663"/>
    </row>
    <row r="13" spans="1:10" ht="15">
      <c r="A13" s="3877" t="s">
        <v>999</v>
      </c>
      <c r="B13" s="3878"/>
      <c r="C13" s="3878"/>
      <c r="D13" s="3878"/>
      <c r="E13" s="3878"/>
      <c r="F13" s="3878"/>
      <c r="G13" s="3878"/>
      <c r="H13" s="3878"/>
      <c r="I13" s="3886"/>
    </row>
    <row r="14" spans="1:10">
      <c r="I14" s="3887"/>
    </row>
    <row r="15" spans="1:10">
      <c r="A15" s="3879" t="s">
        <v>1000</v>
      </c>
      <c r="B15" s="3202"/>
      <c r="C15" s="3202"/>
      <c r="D15" s="3202"/>
      <c r="E15" s="3202"/>
      <c r="F15" s="3202"/>
      <c r="G15" s="3202"/>
      <c r="H15" s="3202"/>
      <c r="I15" s="3887"/>
    </row>
    <row r="16" spans="1:10">
      <c r="A16" s="3879" t="s">
        <v>1001</v>
      </c>
      <c r="B16" s="3202"/>
      <c r="C16" s="3202"/>
      <c r="D16" s="3202"/>
      <c r="E16" s="3202"/>
      <c r="F16" s="3202"/>
      <c r="G16" s="3202"/>
      <c r="H16" s="3202"/>
      <c r="I16" s="3887"/>
    </row>
    <row r="17" spans="1:18">
      <c r="A17" s="3879" t="s">
        <v>1002</v>
      </c>
      <c r="B17" s="3202"/>
      <c r="C17" s="3202"/>
      <c r="D17" s="3202"/>
      <c r="E17" s="3202"/>
      <c r="F17" s="3202"/>
      <c r="G17" s="3202"/>
      <c r="H17" s="3202"/>
      <c r="I17" s="3887"/>
    </row>
    <row r="18" spans="1:18">
      <c r="A18" s="3879" t="s">
        <v>1003</v>
      </c>
      <c r="B18" s="3202"/>
      <c r="C18" s="3202"/>
      <c r="D18" s="3202"/>
      <c r="E18" s="3202"/>
      <c r="F18" s="3202"/>
      <c r="G18" s="3202"/>
      <c r="H18" s="3202"/>
      <c r="I18" s="3887"/>
    </row>
    <row r="19" spans="1:18">
      <c r="A19" s="3879" t="s">
        <v>1004</v>
      </c>
      <c r="B19" s="3202"/>
      <c r="C19" s="3202"/>
      <c r="D19" s="3202"/>
      <c r="E19" s="3202"/>
      <c r="F19" s="3202"/>
      <c r="G19" s="3202"/>
      <c r="H19" s="3202"/>
      <c r="I19" s="3887"/>
    </row>
    <row r="20" spans="1:18">
      <c r="A20" s="3880" t="s">
        <v>1005</v>
      </c>
      <c r="B20" s="4546" t="s">
        <v>1006</v>
      </c>
      <c r="C20" s="4547"/>
      <c r="D20" s="4546" t="s">
        <v>1007</v>
      </c>
      <c r="E20" s="4548"/>
      <c r="F20" s="4548"/>
      <c r="G20" s="4547"/>
      <c r="H20" s="4546" t="s">
        <v>1008</v>
      </c>
      <c r="I20" s="4547"/>
    </row>
    <row r="21" spans="1:18">
      <c r="A21" s="3882">
        <v>30</v>
      </c>
      <c r="B21" s="4549">
        <f>A21/10</f>
        <v>3</v>
      </c>
      <c r="C21" s="4550"/>
      <c r="D21" s="4551">
        <v>4</v>
      </c>
      <c r="E21" s="4552"/>
      <c r="F21" s="4549">
        <f>B21/2*(B21/2)</f>
        <v>2.25</v>
      </c>
      <c r="G21" s="4550"/>
      <c r="H21" s="4553">
        <f>3.1415926*F21*D21</f>
        <v>28.2743334</v>
      </c>
      <c r="I21" s="4554"/>
    </row>
    <row r="23" spans="1:18">
      <c r="A23" s="3879" t="s">
        <v>1009</v>
      </c>
      <c r="B23" s="3879"/>
      <c r="C23" s="3879"/>
      <c r="D23" s="3879"/>
      <c r="E23" s="3202"/>
      <c r="F23" s="3202"/>
      <c r="G23" s="3202"/>
      <c r="H23" s="3202"/>
      <c r="I23" s="3887"/>
    </row>
    <row r="25" spans="1:18">
      <c r="A25" s="4541" t="s">
        <v>1010</v>
      </c>
      <c r="B25" s="4542"/>
      <c r="C25" s="4541" t="s">
        <v>1011</v>
      </c>
      <c r="D25" s="4543"/>
      <c r="E25" s="4542"/>
      <c r="F25" s="4541" t="s">
        <v>1012</v>
      </c>
      <c r="G25" s="4542"/>
      <c r="H25" s="4541" t="s">
        <v>1013</v>
      </c>
      <c r="I25" s="4543"/>
      <c r="J25" s="4542"/>
      <c r="K25" s="4541" t="s">
        <v>1014</v>
      </c>
      <c r="L25" s="4543"/>
      <c r="M25" s="4542"/>
      <c r="N25" s="4541" t="s">
        <v>1015</v>
      </c>
      <c r="O25" s="4542"/>
      <c r="P25" s="4541" t="s">
        <v>1016</v>
      </c>
      <c r="Q25" s="4543"/>
      <c r="R25" s="4542"/>
    </row>
    <row r="26" spans="1:18">
      <c r="A26" s="4544">
        <v>250</v>
      </c>
      <c r="B26" s="4545"/>
      <c r="C26" s="4541">
        <v>0.25</v>
      </c>
      <c r="D26" s="4543"/>
      <c r="E26" s="4542"/>
      <c r="F26" s="4541">
        <v>400</v>
      </c>
      <c r="G26" s="4542"/>
      <c r="H26" s="4541">
        <v>1.5</v>
      </c>
      <c r="I26" s="4543"/>
      <c r="J26" s="4542"/>
      <c r="K26" s="4541">
        <v>0.4</v>
      </c>
      <c r="L26" s="4543"/>
      <c r="M26" s="4542"/>
      <c r="N26" s="4546">
        <f>P26/10</f>
        <v>61.3125</v>
      </c>
      <c r="O26" s="4547"/>
      <c r="P26" s="4546">
        <f>C26*A26*9.81</f>
        <v>613.125</v>
      </c>
      <c r="Q26" s="4548"/>
      <c r="R26" s="4547"/>
    </row>
    <row r="35" spans="1:1">
      <c r="A35" s="3883"/>
    </row>
    <row r="36" spans="1:1">
      <c r="A36" s="3884"/>
    </row>
    <row r="37" spans="1:1">
      <c r="A37" s="3885"/>
    </row>
  </sheetData>
  <mergeCells count="21">
    <mergeCell ref="B20:C20"/>
    <mergeCell ref="D20:G20"/>
    <mergeCell ref="H20:I20"/>
    <mergeCell ref="B21:C21"/>
    <mergeCell ref="D21:E21"/>
    <mergeCell ref="F21:G21"/>
    <mergeCell ref="H21:I21"/>
    <mergeCell ref="N25:O25"/>
    <mergeCell ref="P25:R25"/>
    <mergeCell ref="A26:B26"/>
    <mergeCell ref="C26:E26"/>
    <mergeCell ref="F26:G26"/>
    <mergeCell ref="H26:J26"/>
    <mergeCell ref="K26:M26"/>
    <mergeCell ref="N26:O26"/>
    <mergeCell ref="P26:R26"/>
    <mergeCell ref="A25:B25"/>
    <mergeCell ref="C25:E25"/>
    <mergeCell ref="F25:G25"/>
    <mergeCell ref="H25:J25"/>
    <mergeCell ref="K25:M25"/>
  </mergeCells>
  <phoneticPr fontId="214" type="noConversion"/>
  <pageMargins left="0.75" right="0.75" top="1" bottom="1"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D35"/>
  <sheetViews>
    <sheetView workbookViewId="0">
      <selection activeCell="L5" sqref="L5"/>
    </sheetView>
  </sheetViews>
  <sheetFormatPr defaultColWidth="9" defaultRowHeight="14.25"/>
  <cols>
    <col min="1" max="16384" width="9" style="2694"/>
  </cols>
  <sheetData>
    <row r="1" spans="1:4">
      <c r="A1" s="3857" t="s">
        <v>55</v>
      </c>
      <c r="B1" s="3857"/>
      <c r="C1" s="3857"/>
      <c r="D1" s="3857"/>
    </row>
    <row r="2" spans="1:4" ht="15">
      <c r="A2" s="3867" t="s">
        <v>1017</v>
      </c>
      <c r="B2" s="3857"/>
    </row>
    <row r="3" spans="1:4" ht="15">
      <c r="A3" s="3868" t="s">
        <v>1018</v>
      </c>
    </row>
    <row r="4" spans="1:4" ht="15">
      <c r="A4" s="3868" t="s">
        <v>1019</v>
      </c>
    </row>
    <row r="6" spans="1:4">
      <c r="A6" s="3869" t="s">
        <v>1020</v>
      </c>
    </row>
    <row r="7" spans="1:4" ht="15">
      <c r="A7" s="3870" t="s">
        <v>1021</v>
      </c>
    </row>
    <row r="9" spans="1:4">
      <c r="A9" s="3867" t="s">
        <v>1022</v>
      </c>
      <c r="B9" s="3857"/>
    </row>
    <row r="10" spans="1:4">
      <c r="A10" s="3871" t="s">
        <v>1023</v>
      </c>
    </row>
    <row r="11" spans="1:4">
      <c r="A11" s="3868" t="s">
        <v>1024</v>
      </c>
    </row>
    <row r="12" spans="1:4" ht="15">
      <c r="A12" s="3870" t="s">
        <v>1025</v>
      </c>
    </row>
    <row r="14" spans="1:4">
      <c r="A14" s="3869" t="s">
        <v>1026</v>
      </c>
    </row>
    <row r="15" spans="1:4" ht="15">
      <c r="A15" s="3870" t="s">
        <v>1027</v>
      </c>
    </row>
    <row r="17" spans="1:2" ht="15">
      <c r="A17" s="3867" t="s">
        <v>1028</v>
      </c>
      <c r="B17" s="3857"/>
    </row>
    <row r="18" spans="1:2" ht="15">
      <c r="A18" s="3869" t="s">
        <v>1029</v>
      </c>
    </row>
    <row r="19" spans="1:2" ht="15">
      <c r="A19" s="3869" t="s">
        <v>1030</v>
      </c>
    </row>
    <row r="21" spans="1:2" ht="15">
      <c r="A21" s="3867" t="s">
        <v>1031</v>
      </c>
      <c r="B21" s="3857"/>
    </row>
    <row r="22" spans="1:2">
      <c r="A22" s="3869" t="s">
        <v>1032</v>
      </c>
    </row>
    <row r="23" spans="1:2">
      <c r="A23" s="3869" t="s">
        <v>1033</v>
      </c>
    </row>
    <row r="25" spans="1:2">
      <c r="A25" s="3867" t="s">
        <v>1034</v>
      </c>
      <c r="B25" s="3857"/>
    </row>
    <row r="26" spans="1:2">
      <c r="A26" s="3869" t="s">
        <v>1035</v>
      </c>
    </row>
    <row r="27" spans="1:2">
      <c r="A27" s="3868" t="s">
        <v>1036</v>
      </c>
    </row>
    <row r="28" spans="1:2" ht="15">
      <c r="A28" s="3871" t="s">
        <v>1037</v>
      </c>
    </row>
    <row r="30" spans="1:2" ht="15">
      <c r="A30" s="3867" t="s">
        <v>1038</v>
      </c>
      <c r="B30" s="3857"/>
    </row>
    <row r="31" spans="1:2" ht="15">
      <c r="A31" s="3869" t="s">
        <v>1039</v>
      </c>
    </row>
    <row r="32" spans="1:2" ht="15">
      <c r="A32" s="3871" t="s">
        <v>1040</v>
      </c>
    </row>
    <row r="34" spans="1:1" ht="15">
      <c r="A34" s="3872" t="s">
        <v>1041</v>
      </c>
    </row>
    <row r="35" spans="1:1" ht="15">
      <c r="A35" s="3872" t="s">
        <v>1042</v>
      </c>
    </row>
  </sheetData>
  <phoneticPr fontId="214" type="noConversion"/>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F20"/>
  <sheetViews>
    <sheetView workbookViewId="0">
      <selection activeCell="I5" sqref="I5"/>
    </sheetView>
  </sheetViews>
  <sheetFormatPr defaultColWidth="9" defaultRowHeight="14.25"/>
  <cols>
    <col min="1" max="1" width="10.875" style="3777" customWidth="1"/>
    <col min="2" max="4" width="10.625" style="3777" customWidth="1"/>
    <col min="5" max="5" width="13.625" style="3858" customWidth="1"/>
    <col min="6" max="7" width="10.625" style="3777" customWidth="1"/>
    <col min="8" max="256" width="9" style="3777"/>
    <col min="257" max="257" width="10.875" style="3777" customWidth="1"/>
    <col min="258" max="260" width="10.625" style="3777" customWidth="1"/>
    <col min="261" max="261" width="13.625" style="3777" customWidth="1"/>
    <col min="262" max="263" width="10.625" style="3777" customWidth="1"/>
    <col min="264" max="512" width="9" style="3777"/>
    <col min="513" max="513" width="10.875" style="3777" customWidth="1"/>
    <col min="514" max="516" width="10.625" style="3777" customWidth="1"/>
    <col min="517" max="517" width="13.625" style="3777" customWidth="1"/>
    <col min="518" max="519" width="10.625" style="3777" customWidth="1"/>
    <col min="520" max="768" width="9" style="3777"/>
    <col min="769" max="769" width="10.875" style="3777" customWidth="1"/>
    <col min="770" max="772" width="10.625" style="3777" customWidth="1"/>
    <col min="773" max="773" width="13.625" style="3777" customWidth="1"/>
    <col min="774" max="775" width="10.625" style="3777" customWidth="1"/>
    <col min="776" max="1024" width="9" style="3777"/>
    <col min="1025" max="1025" width="10.875" style="3777" customWidth="1"/>
    <col min="1026" max="1028" width="10.625" style="3777" customWidth="1"/>
    <col min="1029" max="1029" width="13.625" style="3777" customWidth="1"/>
    <col min="1030" max="1031" width="10.625" style="3777" customWidth="1"/>
    <col min="1032" max="1280" width="9" style="3777"/>
    <col min="1281" max="1281" width="10.875" style="3777" customWidth="1"/>
    <col min="1282" max="1284" width="10.625" style="3777" customWidth="1"/>
    <col min="1285" max="1285" width="13.625" style="3777" customWidth="1"/>
    <col min="1286" max="1287" width="10.625" style="3777" customWidth="1"/>
    <col min="1288" max="1536" width="9" style="3777"/>
    <col min="1537" max="1537" width="10.875" style="3777" customWidth="1"/>
    <col min="1538" max="1540" width="10.625" style="3777" customWidth="1"/>
    <col min="1541" max="1541" width="13.625" style="3777" customWidth="1"/>
    <col min="1542" max="1543" width="10.625" style="3777" customWidth="1"/>
    <col min="1544" max="1792" width="9" style="3777"/>
    <col min="1793" max="1793" width="10.875" style="3777" customWidth="1"/>
    <col min="1794" max="1796" width="10.625" style="3777" customWidth="1"/>
    <col min="1797" max="1797" width="13.625" style="3777" customWidth="1"/>
    <col min="1798" max="1799" width="10.625" style="3777" customWidth="1"/>
    <col min="1800" max="2048" width="9" style="3777"/>
    <col min="2049" max="2049" width="10.875" style="3777" customWidth="1"/>
    <col min="2050" max="2052" width="10.625" style="3777" customWidth="1"/>
    <col min="2053" max="2053" width="13.625" style="3777" customWidth="1"/>
    <col min="2054" max="2055" width="10.625" style="3777" customWidth="1"/>
    <col min="2056" max="2304" width="9" style="3777"/>
    <col min="2305" max="2305" width="10.875" style="3777" customWidth="1"/>
    <col min="2306" max="2308" width="10.625" style="3777" customWidth="1"/>
    <col min="2309" max="2309" width="13.625" style="3777" customWidth="1"/>
    <col min="2310" max="2311" width="10.625" style="3777" customWidth="1"/>
    <col min="2312" max="2560" width="9" style="3777"/>
    <col min="2561" max="2561" width="10.875" style="3777" customWidth="1"/>
    <col min="2562" max="2564" width="10.625" style="3777" customWidth="1"/>
    <col min="2565" max="2565" width="13.625" style="3777" customWidth="1"/>
    <col min="2566" max="2567" width="10.625" style="3777" customWidth="1"/>
    <col min="2568" max="2816" width="9" style="3777"/>
    <col min="2817" max="2817" width="10.875" style="3777" customWidth="1"/>
    <col min="2818" max="2820" width="10.625" style="3777" customWidth="1"/>
    <col min="2821" max="2821" width="13.625" style="3777" customWidth="1"/>
    <col min="2822" max="2823" width="10.625" style="3777" customWidth="1"/>
    <col min="2824" max="3072" width="9" style="3777"/>
    <col min="3073" max="3073" width="10.875" style="3777" customWidth="1"/>
    <col min="3074" max="3076" width="10.625" style="3777" customWidth="1"/>
    <col min="3077" max="3077" width="13.625" style="3777" customWidth="1"/>
    <col min="3078" max="3079" width="10.625" style="3777" customWidth="1"/>
    <col min="3080" max="3328" width="9" style="3777"/>
    <col min="3329" max="3329" width="10.875" style="3777" customWidth="1"/>
    <col min="3330" max="3332" width="10.625" style="3777" customWidth="1"/>
    <col min="3333" max="3333" width="13.625" style="3777" customWidth="1"/>
    <col min="3334" max="3335" width="10.625" style="3777" customWidth="1"/>
    <col min="3336" max="3584" width="9" style="3777"/>
    <col min="3585" max="3585" width="10.875" style="3777" customWidth="1"/>
    <col min="3586" max="3588" width="10.625" style="3777" customWidth="1"/>
    <col min="3589" max="3589" width="13.625" style="3777" customWidth="1"/>
    <col min="3590" max="3591" width="10.625" style="3777" customWidth="1"/>
    <col min="3592" max="3840" width="9" style="3777"/>
    <col min="3841" max="3841" width="10.875" style="3777" customWidth="1"/>
    <col min="3842" max="3844" width="10.625" style="3777" customWidth="1"/>
    <col min="3845" max="3845" width="13.625" style="3777" customWidth="1"/>
    <col min="3846" max="3847" width="10.625" style="3777" customWidth="1"/>
    <col min="3848" max="4096" width="9" style="3777"/>
    <col min="4097" max="4097" width="10.875" style="3777" customWidth="1"/>
    <col min="4098" max="4100" width="10.625" style="3777" customWidth="1"/>
    <col min="4101" max="4101" width="13.625" style="3777" customWidth="1"/>
    <col min="4102" max="4103" width="10.625" style="3777" customWidth="1"/>
    <col min="4104" max="4352" width="9" style="3777"/>
    <col min="4353" max="4353" width="10.875" style="3777" customWidth="1"/>
    <col min="4354" max="4356" width="10.625" style="3777" customWidth="1"/>
    <col min="4357" max="4357" width="13.625" style="3777" customWidth="1"/>
    <col min="4358" max="4359" width="10.625" style="3777" customWidth="1"/>
    <col min="4360" max="4608" width="9" style="3777"/>
    <col min="4609" max="4609" width="10.875" style="3777" customWidth="1"/>
    <col min="4610" max="4612" width="10.625" style="3777" customWidth="1"/>
    <col min="4613" max="4613" width="13.625" style="3777" customWidth="1"/>
    <col min="4614" max="4615" width="10.625" style="3777" customWidth="1"/>
    <col min="4616" max="4864" width="9" style="3777"/>
    <col min="4865" max="4865" width="10.875" style="3777" customWidth="1"/>
    <col min="4866" max="4868" width="10.625" style="3777" customWidth="1"/>
    <col min="4869" max="4869" width="13.625" style="3777" customWidth="1"/>
    <col min="4870" max="4871" width="10.625" style="3777" customWidth="1"/>
    <col min="4872" max="5120" width="9" style="3777"/>
    <col min="5121" max="5121" width="10.875" style="3777" customWidth="1"/>
    <col min="5122" max="5124" width="10.625" style="3777" customWidth="1"/>
    <col min="5125" max="5125" width="13.625" style="3777" customWidth="1"/>
    <col min="5126" max="5127" width="10.625" style="3777" customWidth="1"/>
    <col min="5128" max="5376" width="9" style="3777"/>
    <col min="5377" max="5377" width="10.875" style="3777" customWidth="1"/>
    <col min="5378" max="5380" width="10.625" style="3777" customWidth="1"/>
    <col min="5381" max="5381" width="13.625" style="3777" customWidth="1"/>
    <col min="5382" max="5383" width="10.625" style="3777" customWidth="1"/>
    <col min="5384" max="5632" width="9" style="3777"/>
    <col min="5633" max="5633" width="10.875" style="3777" customWidth="1"/>
    <col min="5634" max="5636" width="10.625" style="3777" customWidth="1"/>
    <col min="5637" max="5637" width="13.625" style="3777" customWidth="1"/>
    <col min="5638" max="5639" width="10.625" style="3777" customWidth="1"/>
    <col min="5640" max="5888" width="9" style="3777"/>
    <col min="5889" max="5889" width="10.875" style="3777" customWidth="1"/>
    <col min="5890" max="5892" width="10.625" style="3777" customWidth="1"/>
    <col min="5893" max="5893" width="13.625" style="3777" customWidth="1"/>
    <col min="5894" max="5895" width="10.625" style="3777" customWidth="1"/>
    <col min="5896" max="6144" width="9" style="3777"/>
    <col min="6145" max="6145" width="10.875" style="3777" customWidth="1"/>
    <col min="6146" max="6148" width="10.625" style="3777" customWidth="1"/>
    <col min="6149" max="6149" width="13.625" style="3777" customWidth="1"/>
    <col min="6150" max="6151" width="10.625" style="3777" customWidth="1"/>
    <col min="6152" max="6400" width="9" style="3777"/>
    <col min="6401" max="6401" width="10.875" style="3777" customWidth="1"/>
    <col min="6402" max="6404" width="10.625" style="3777" customWidth="1"/>
    <col min="6405" max="6405" width="13.625" style="3777" customWidth="1"/>
    <col min="6406" max="6407" width="10.625" style="3777" customWidth="1"/>
    <col min="6408" max="6656" width="9" style="3777"/>
    <col min="6657" max="6657" width="10.875" style="3777" customWidth="1"/>
    <col min="6658" max="6660" width="10.625" style="3777" customWidth="1"/>
    <col min="6661" max="6661" width="13.625" style="3777" customWidth="1"/>
    <col min="6662" max="6663" width="10.625" style="3777" customWidth="1"/>
    <col min="6664" max="6912" width="9" style="3777"/>
    <col min="6913" max="6913" width="10.875" style="3777" customWidth="1"/>
    <col min="6914" max="6916" width="10.625" style="3777" customWidth="1"/>
    <col min="6917" max="6917" width="13.625" style="3777" customWidth="1"/>
    <col min="6918" max="6919" width="10.625" style="3777" customWidth="1"/>
    <col min="6920" max="7168" width="9" style="3777"/>
    <col min="7169" max="7169" width="10.875" style="3777" customWidth="1"/>
    <col min="7170" max="7172" width="10.625" style="3777" customWidth="1"/>
    <col min="7173" max="7173" width="13.625" style="3777" customWidth="1"/>
    <col min="7174" max="7175" width="10.625" style="3777" customWidth="1"/>
    <col min="7176" max="7424" width="9" style="3777"/>
    <col min="7425" max="7425" width="10.875" style="3777" customWidth="1"/>
    <col min="7426" max="7428" width="10.625" style="3777" customWidth="1"/>
    <col min="7429" max="7429" width="13.625" style="3777" customWidth="1"/>
    <col min="7430" max="7431" width="10.625" style="3777" customWidth="1"/>
    <col min="7432" max="7680" width="9" style="3777"/>
    <col min="7681" max="7681" width="10.875" style="3777" customWidth="1"/>
    <col min="7682" max="7684" width="10.625" style="3777" customWidth="1"/>
    <col min="7685" max="7685" width="13.625" style="3777" customWidth="1"/>
    <col min="7686" max="7687" width="10.625" style="3777" customWidth="1"/>
    <col min="7688" max="7936" width="9" style="3777"/>
    <col min="7937" max="7937" width="10.875" style="3777" customWidth="1"/>
    <col min="7938" max="7940" width="10.625" style="3777" customWidth="1"/>
    <col min="7941" max="7941" width="13.625" style="3777" customWidth="1"/>
    <col min="7942" max="7943" width="10.625" style="3777" customWidth="1"/>
    <col min="7944" max="8192" width="9" style="3777"/>
    <col min="8193" max="8193" width="10.875" style="3777" customWidth="1"/>
    <col min="8194" max="8196" width="10.625" style="3777" customWidth="1"/>
    <col min="8197" max="8197" width="13.625" style="3777" customWidth="1"/>
    <col min="8198" max="8199" width="10.625" style="3777" customWidth="1"/>
    <col min="8200" max="8448" width="9" style="3777"/>
    <col min="8449" max="8449" width="10.875" style="3777" customWidth="1"/>
    <col min="8450" max="8452" width="10.625" style="3777" customWidth="1"/>
    <col min="8453" max="8453" width="13.625" style="3777" customWidth="1"/>
    <col min="8454" max="8455" width="10.625" style="3777" customWidth="1"/>
    <col min="8456" max="8704" width="9" style="3777"/>
    <col min="8705" max="8705" width="10.875" style="3777" customWidth="1"/>
    <col min="8706" max="8708" width="10.625" style="3777" customWidth="1"/>
    <col min="8709" max="8709" width="13.625" style="3777" customWidth="1"/>
    <col min="8710" max="8711" width="10.625" style="3777" customWidth="1"/>
    <col min="8712" max="8960" width="9" style="3777"/>
    <col min="8961" max="8961" width="10.875" style="3777" customWidth="1"/>
    <col min="8962" max="8964" width="10.625" style="3777" customWidth="1"/>
    <col min="8965" max="8965" width="13.625" style="3777" customWidth="1"/>
    <col min="8966" max="8967" width="10.625" style="3777" customWidth="1"/>
    <col min="8968" max="9216" width="9" style="3777"/>
    <col min="9217" max="9217" width="10.875" style="3777" customWidth="1"/>
    <col min="9218" max="9220" width="10.625" style="3777" customWidth="1"/>
    <col min="9221" max="9221" width="13.625" style="3777" customWidth="1"/>
    <col min="9222" max="9223" width="10.625" style="3777" customWidth="1"/>
    <col min="9224" max="9472" width="9" style="3777"/>
    <col min="9473" max="9473" width="10.875" style="3777" customWidth="1"/>
    <col min="9474" max="9476" width="10.625" style="3777" customWidth="1"/>
    <col min="9477" max="9477" width="13.625" style="3777" customWidth="1"/>
    <col min="9478" max="9479" width="10.625" style="3777" customWidth="1"/>
    <col min="9480" max="9728" width="9" style="3777"/>
    <col min="9729" max="9729" width="10.875" style="3777" customWidth="1"/>
    <col min="9730" max="9732" width="10.625" style="3777" customWidth="1"/>
    <col min="9733" max="9733" width="13.625" style="3777" customWidth="1"/>
    <col min="9734" max="9735" width="10.625" style="3777" customWidth="1"/>
    <col min="9736" max="9984" width="9" style="3777"/>
    <col min="9985" max="9985" width="10.875" style="3777" customWidth="1"/>
    <col min="9986" max="9988" width="10.625" style="3777" customWidth="1"/>
    <col min="9989" max="9989" width="13.625" style="3777" customWidth="1"/>
    <col min="9990" max="9991" width="10.625" style="3777" customWidth="1"/>
    <col min="9992" max="10240" width="9" style="3777"/>
    <col min="10241" max="10241" width="10.875" style="3777" customWidth="1"/>
    <col min="10242" max="10244" width="10.625" style="3777" customWidth="1"/>
    <col min="10245" max="10245" width="13.625" style="3777" customWidth="1"/>
    <col min="10246" max="10247" width="10.625" style="3777" customWidth="1"/>
    <col min="10248" max="10496" width="9" style="3777"/>
    <col min="10497" max="10497" width="10.875" style="3777" customWidth="1"/>
    <col min="10498" max="10500" width="10.625" style="3777" customWidth="1"/>
    <col min="10501" max="10501" width="13.625" style="3777" customWidth="1"/>
    <col min="10502" max="10503" width="10.625" style="3777" customWidth="1"/>
    <col min="10504" max="10752" width="9" style="3777"/>
    <col min="10753" max="10753" width="10.875" style="3777" customWidth="1"/>
    <col min="10754" max="10756" width="10.625" style="3777" customWidth="1"/>
    <col min="10757" max="10757" width="13.625" style="3777" customWidth="1"/>
    <col min="10758" max="10759" width="10.625" style="3777" customWidth="1"/>
    <col min="10760" max="11008" width="9" style="3777"/>
    <col min="11009" max="11009" width="10.875" style="3777" customWidth="1"/>
    <col min="11010" max="11012" width="10.625" style="3777" customWidth="1"/>
    <col min="11013" max="11013" width="13.625" style="3777" customWidth="1"/>
    <col min="11014" max="11015" width="10.625" style="3777" customWidth="1"/>
    <col min="11016" max="11264" width="9" style="3777"/>
    <col min="11265" max="11265" width="10.875" style="3777" customWidth="1"/>
    <col min="11266" max="11268" width="10.625" style="3777" customWidth="1"/>
    <col min="11269" max="11269" width="13.625" style="3777" customWidth="1"/>
    <col min="11270" max="11271" width="10.625" style="3777" customWidth="1"/>
    <col min="11272" max="11520" width="9" style="3777"/>
    <col min="11521" max="11521" width="10.875" style="3777" customWidth="1"/>
    <col min="11522" max="11524" width="10.625" style="3777" customWidth="1"/>
    <col min="11525" max="11525" width="13.625" style="3777" customWidth="1"/>
    <col min="11526" max="11527" width="10.625" style="3777" customWidth="1"/>
    <col min="11528" max="11776" width="9" style="3777"/>
    <col min="11777" max="11777" width="10.875" style="3777" customWidth="1"/>
    <col min="11778" max="11780" width="10.625" style="3777" customWidth="1"/>
    <col min="11781" max="11781" width="13.625" style="3777" customWidth="1"/>
    <col min="11782" max="11783" width="10.625" style="3777" customWidth="1"/>
    <col min="11784" max="12032" width="9" style="3777"/>
    <col min="12033" max="12033" width="10.875" style="3777" customWidth="1"/>
    <col min="12034" max="12036" width="10.625" style="3777" customWidth="1"/>
    <col min="12037" max="12037" width="13.625" style="3777" customWidth="1"/>
    <col min="12038" max="12039" width="10.625" style="3777" customWidth="1"/>
    <col min="12040" max="12288" width="9" style="3777"/>
    <col min="12289" max="12289" width="10.875" style="3777" customWidth="1"/>
    <col min="12290" max="12292" width="10.625" style="3777" customWidth="1"/>
    <col min="12293" max="12293" width="13.625" style="3777" customWidth="1"/>
    <col min="12294" max="12295" width="10.625" style="3777" customWidth="1"/>
    <col min="12296" max="12544" width="9" style="3777"/>
    <col min="12545" max="12545" width="10.875" style="3777" customWidth="1"/>
    <col min="12546" max="12548" width="10.625" style="3777" customWidth="1"/>
    <col min="12549" max="12549" width="13.625" style="3777" customWidth="1"/>
    <col min="12550" max="12551" width="10.625" style="3777" customWidth="1"/>
    <col min="12552" max="12800" width="9" style="3777"/>
    <col min="12801" max="12801" width="10.875" style="3777" customWidth="1"/>
    <col min="12802" max="12804" width="10.625" style="3777" customWidth="1"/>
    <col min="12805" max="12805" width="13.625" style="3777" customWidth="1"/>
    <col min="12806" max="12807" width="10.625" style="3777" customWidth="1"/>
    <col min="12808" max="13056" width="9" style="3777"/>
    <col min="13057" max="13057" width="10.875" style="3777" customWidth="1"/>
    <col min="13058" max="13060" width="10.625" style="3777" customWidth="1"/>
    <col min="13061" max="13061" width="13.625" style="3777" customWidth="1"/>
    <col min="13062" max="13063" width="10.625" style="3777" customWidth="1"/>
    <col min="13064" max="13312" width="9" style="3777"/>
    <col min="13313" max="13313" width="10.875" style="3777" customWidth="1"/>
    <col min="13314" max="13316" width="10.625" style="3777" customWidth="1"/>
    <col min="13317" max="13317" width="13.625" style="3777" customWidth="1"/>
    <col min="13318" max="13319" width="10.625" style="3777" customWidth="1"/>
    <col min="13320" max="13568" width="9" style="3777"/>
    <col min="13569" max="13569" width="10.875" style="3777" customWidth="1"/>
    <col min="13570" max="13572" width="10.625" style="3777" customWidth="1"/>
    <col min="13573" max="13573" width="13.625" style="3777" customWidth="1"/>
    <col min="13574" max="13575" width="10.625" style="3777" customWidth="1"/>
    <col min="13576" max="13824" width="9" style="3777"/>
    <col min="13825" max="13825" width="10.875" style="3777" customWidth="1"/>
    <col min="13826" max="13828" width="10.625" style="3777" customWidth="1"/>
    <col min="13829" max="13829" width="13.625" style="3777" customWidth="1"/>
    <col min="13830" max="13831" width="10.625" style="3777" customWidth="1"/>
    <col min="13832" max="14080" width="9" style="3777"/>
    <col min="14081" max="14081" width="10.875" style="3777" customWidth="1"/>
    <col min="14082" max="14084" width="10.625" style="3777" customWidth="1"/>
    <col min="14085" max="14085" width="13.625" style="3777" customWidth="1"/>
    <col min="14086" max="14087" width="10.625" style="3777" customWidth="1"/>
    <col min="14088" max="14336" width="9" style="3777"/>
    <col min="14337" max="14337" width="10.875" style="3777" customWidth="1"/>
    <col min="14338" max="14340" width="10.625" style="3777" customWidth="1"/>
    <col min="14341" max="14341" width="13.625" style="3777" customWidth="1"/>
    <col min="14342" max="14343" width="10.625" style="3777" customWidth="1"/>
    <col min="14344" max="14592" width="9" style="3777"/>
    <col min="14593" max="14593" width="10.875" style="3777" customWidth="1"/>
    <col min="14594" max="14596" width="10.625" style="3777" customWidth="1"/>
    <col min="14597" max="14597" width="13.625" style="3777" customWidth="1"/>
    <col min="14598" max="14599" width="10.625" style="3777" customWidth="1"/>
    <col min="14600" max="14848" width="9" style="3777"/>
    <col min="14849" max="14849" width="10.875" style="3777" customWidth="1"/>
    <col min="14850" max="14852" width="10.625" style="3777" customWidth="1"/>
    <col min="14853" max="14853" width="13.625" style="3777" customWidth="1"/>
    <col min="14854" max="14855" width="10.625" style="3777" customWidth="1"/>
    <col min="14856" max="15104" width="9" style="3777"/>
    <col min="15105" max="15105" width="10.875" style="3777" customWidth="1"/>
    <col min="15106" max="15108" width="10.625" style="3777" customWidth="1"/>
    <col min="15109" max="15109" width="13.625" style="3777" customWidth="1"/>
    <col min="15110" max="15111" width="10.625" style="3777" customWidth="1"/>
    <col min="15112" max="15360" width="9" style="3777"/>
    <col min="15361" max="15361" width="10.875" style="3777" customWidth="1"/>
    <col min="15362" max="15364" width="10.625" style="3777" customWidth="1"/>
    <col min="15365" max="15365" width="13.625" style="3777" customWidth="1"/>
    <col min="15366" max="15367" width="10.625" style="3777" customWidth="1"/>
    <col min="15368" max="15616" width="9" style="3777"/>
    <col min="15617" max="15617" width="10.875" style="3777" customWidth="1"/>
    <col min="15618" max="15620" width="10.625" style="3777" customWidth="1"/>
    <col min="15621" max="15621" width="13.625" style="3777" customWidth="1"/>
    <col min="15622" max="15623" width="10.625" style="3777" customWidth="1"/>
    <col min="15624" max="15872" width="9" style="3777"/>
    <col min="15873" max="15873" width="10.875" style="3777" customWidth="1"/>
    <col min="15874" max="15876" width="10.625" style="3777" customWidth="1"/>
    <col min="15877" max="15877" width="13.625" style="3777" customWidth="1"/>
    <col min="15878" max="15879" width="10.625" style="3777" customWidth="1"/>
    <col min="15880" max="16128" width="9" style="3777"/>
    <col min="16129" max="16129" width="10.875" style="3777" customWidth="1"/>
    <col min="16130" max="16132" width="10.625" style="3777" customWidth="1"/>
    <col min="16133" max="16133" width="13.625" style="3777" customWidth="1"/>
    <col min="16134" max="16135" width="10.625" style="3777" customWidth="1"/>
    <col min="16136" max="16384" width="9" style="3777"/>
  </cols>
  <sheetData>
    <row r="1" spans="1:6" ht="22.5">
      <c r="A1" s="4539" t="s">
        <v>153</v>
      </c>
      <c r="B1" s="4539"/>
      <c r="C1" s="4539"/>
      <c r="D1" s="4539"/>
      <c r="E1" s="4539"/>
      <c r="F1" s="4539"/>
    </row>
    <row r="2" spans="1:6" ht="14.25" customHeight="1">
      <c r="A2" s="3859"/>
      <c r="B2" s="3859"/>
      <c r="C2" s="3859"/>
      <c r="D2" s="3859"/>
      <c r="E2" s="3859"/>
      <c r="F2" s="3859"/>
    </row>
    <row r="3" spans="1:6" ht="32.1" customHeight="1">
      <c r="A3" s="3860" t="s">
        <v>1043</v>
      </c>
      <c r="B3" s="3861" t="s">
        <v>1044</v>
      </c>
      <c r="C3" s="3861" t="s">
        <v>1045</v>
      </c>
      <c r="D3" s="3861" t="s">
        <v>1046</v>
      </c>
      <c r="E3" s="3862" t="s">
        <v>1047</v>
      </c>
      <c r="F3" s="3861" t="s">
        <v>1048</v>
      </c>
    </row>
    <row r="4" spans="1:6" ht="15.95" customHeight="1">
      <c r="A4" s="3863" t="s">
        <v>1049</v>
      </c>
      <c r="B4" s="3861" t="s">
        <v>1050</v>
      </c>
      <c r="C4" s="3861" t="s">
        <v>1051</v>
      </c>
      <c r="D4" s="3863" t="s">
        <v>1052</v>
      </c>
      <c r="E4" s="3864" t="s">
        <v>1053</v>
      </c>
      <c r="F4" s="3861" t="s">
        <v>1054</v>
      </c>
    </row>
    <row r="5" spans="1:6" ht="15.95" customHeight="1">
      <c r="A5" s="3861">
        <f>C5*8</f>
        <v>40</v>
      </c>
      <c r="B5" s="3865">
        <v>3</v>
      </c>
      <c r="C5" s="3865">
        <v>5</v>
      </c>
      <c r="D5" s="3861">
        <v>7</v>
      </c>
      <c r="E5" s="3866">
        <f>((A5-C5)*COS((3.1415926/180)*D5)-C5)/2</f>
        <v>14.8695576581678</v>
      </c>
      <c r="F5" s="3865">
        <f>1.5*C5</f>
        <v>7.5</v>
      </c>
    </row>
    <row r="6" spans="1:6" ht="15.95" customHeight="1"/>
    <row r="7" spans="1:6" ht="15.95" customHeight="1"/>
    <row r="8" spans="1:6" ht="15.95" customHeight="1"/>
    <row r="9" spans="1:6" ht="15.95" customHeight="1"/>
    <row r="10" spans="1:6" ht="15.95" customHeight="1"/>
    <row r="11" spans="1:6" ht="15.95" customHeight="1"/>
    <row r="12" spans="1:6" ht="15.95" customHeight="1"/>
    <row r="13" spans="1:6" ht="15.95" customHeight="1"/>
    <row r="14" spans="1:6" ht="15.95" customHeight="1"/>
    <row r="15" spans="1:6" ht="15.95" customHeight="1"/>
    <row r="16" spans="1:6" ht="15.95" customHeight="1"/>
    <row r="17" spans="1:1" ht="15.95" customHeight="1"/>
    <row r="18" spans="1:1" ht="15.95" customHeight="1"/>
    <row r="19" spans="1:1" ht="15.95" customHeight="1">
      <c r="A19" s="3777" t="s">
        <v>1055</v>
      </c>
    </row>
    <row r="20" spans="1:1" ht="15.95" customHeight="1">
      <c r="A20" s="3777" t="s">
        <v>1056</v>
      </c>
    </row>
  </sheetData>
  <mergeCells count="1">
    <mergeCell ref="A1:F1"/>
  </mergeCells>
  <phoneticPr fontId="214" type="noConversion"/>
  <pageMargins left="0.75" right="0.75" top="1" bottom="1" header="0.5" footer="0.5"/>
  <headerFooter alignWithMargins="0"/>
  <drawing r:id="rId1"/>
  <legacyDrawing r:id="rId2"/>
  <oleObjects>
    <mc:AlternateContent xmlns:mc="http://schemas.openxmlformats.org/markup-compatibility/2006">
      <mc:Choice Requires="x14">
        <oleObject progId="AutoCAD.Drawing.14" shapeId="1417217" r:id="rId3">
          <objectPr defaultSize="0" altText="" r:id="rId4">
            <anchor moveWithCells="1">
              <from>
                <xdr:col>0</xdr:col>
                <xdr:colOff>609600</xdr:colOff>
                <xdr:row>5</xdr:row>
                <xdr:rowOff>76200</xdr:rowOff>
              </from>
              <to>
                <xdr:col>5</xdr:col>
                <xdr:colOff>9525</xdr:colOff>
                <xdr:row>17</xdr:row>
                <xdr:rowOff>47625</xdr:rowOff>
              </to>
            </anchor>
          </objectPr>
        </oleObject>
      </mc:Choice>
      <mc:Fallback>
        <oleObject progId="AutoCAD.Drawing.14" shapeId="1417217" r:id="rId3"/>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IR611"/>
  <sheetViews>
    <sheetView workbookViewId="0">
      <selection activeCell="N6" sqref="N6"/>
    </sheetView>
  </sheetViews>
  <sheetFormatPr defaultColWidth="9" defaultRowHeight="14.25"/>
  <cols>
    <col min="1" max="9" width="8.625" style="2694" customWidth="1"/>
    <col min="10" max="10" width="4.625" style="2694" customWidth="1"/>
    <col min="11" max="256" width="9" style="2694"/>
    <col min="257" max="265" width="8.625" style="2694" customWidth="1"/>
    <col min="266" max="266" width="4.625" style="2694" customWidth="1"/>
    <col min="267" max="512" width="9" style="2694"/>
    <col min="513" max="521" width="8.625" style="2694" customWidth="1"/>
    <col min="522" max="522" width="4.625" style="2694" customWidth="1"/>
    <col min="523" max="768" width="9" style="2694"/>
    <col min="769" max="777" width="8.625" style="2694" customWidth="1"/>
    <col min="778" max="778" width="4.625" style="2694" customWidth="1"/>
    <col min="779" max="1024" width="9" style="2694"/>
    <col min="1025" max="1033" width="8.625" style="2694" customWidth="1"/>
    <col min="1034" max="1034" width="4.625" style="2694" customWidth="1"/>
    <col min="1035" max="1280" width="9" style="2694"/>
    <col min="1281" max="1289" width="8.625" style="2694" customWidth="1"/>
    <col min="1290" max="1290" width="4.625" style="2694" customWidth="1"/>
    <col min="1291" max="1536" width="9" style="2694"/>
    <col min="1537" max="1545" width="8.625" style="2694" customWidth="1"/>
    <col min="1546" max="1546" width="4.625" style="2694" customWidth="1"/>
    <col min="1547" max="1792" width="9" style="2694"/>
    <col min="1793" max="1801" width="8.625" style="2694" customWidth="1"/>
    <col min="1802" max="1802" width="4.625" style="2694" customWidth="1"/>
    <col min="1803" max="2048" width="9" style="2694"/>
    <col min="2049" max="2057" width="8.625" style="2694" customWidth="1"/>
    <col min="2058" max="2058" width="4.625" style="2694" customWidth="1"/>
    <col min="2059" max="2304" width="9" style="2694"/>
    <col min="2305" max="2313" width="8.625" style="2694" customWidth="1"/>
    <col min="2314" max="2314" width="4.625" style="2694" customWidth="1"/>
    <col min="2315" max="2560" width="9" style="2694"/>
    <col min="2561" max="2569" width="8.625" style="2694" customWidth="1"/>
    <col min="2570" max="2570" width="4.625" style="2694" customWidth="1"/>
    <col min="2571" max="2816" width="9" style="2694"/>
    <col min="2817" max="2825" width="8.625" style="2694" customWidth="1"/>
    <col min="2826" max="2826" width="4.625" style="2694" customWidth="1"/>
    <col min="2827" max="3072" width="9" style="2694"/>
    <col min="3073" max="3081" width="8.625" style="2694" customWidth="1"/>
    <col min="3082" max="3082" width="4.625" style="2694" customWidth="1"/>
    <col min="3083" max="3328" width="9" style="2694"/>
    <col min="3329" max="3337" width="8.625" style="2694" customWidth="1"/>
    <col min="3338" max="3338" width="4.625" style="2694" customWidth="1"/>
    <col min="3339" max="3584" width="9" style="2694"/>
    <col min="3585" max="3593" width="8.625" style="2694" customWidth="1"/>
    <col min="3594" max="3594" width="4.625" style="2694" customWidth="1"/>
    <col min="3595" max="3840" width="9" style="2694"/>
    <col min="3841" max="3849" width="8.625" style="2694" customWidth="1"/>
    <col min="3850" max="3850" width="4.625" style="2694" customWidth="1"/>
    <col min="3851" max="4096" width="9" style="2694"/>
    <col min="4097" max="4105" width="8.625" style="2694" customWidth="1"/>
    <col min="4106" max="4106" width="4.625" style="2694" customWidth="1"/>
    <col min="4107" max="4352" width="9" style="2694"/>
    <col min="4353" max="4361" width="8.625" style="2694" customWidth="1"/>
    <col min="4362" max="4362" width="4.625" style="2694" customWidth="1"/>
    <col min="4363" max="4608" width="9" style="2694"/>
    <col min="4609" max="4617" width="8.625" style="2694" customWidth="1"/>
    <col min="4618" max="4618" width="4.625" style="2694" customWidth="1"/>
    <col min="4619" max="4864" width="9" style="2694"/>
    <col min="4865" max="4873" width="8.625" style="2694" customWidth="1"/>
    <col min="4874" max="4874" width="4.625" style="2694" customWidth="1"/>
    <col min="4875" max="5120" width="9" style="2694"/>
    <col min="5121" max="5129" width="8.625" style="2694" customWidth="1"/>
    <col min="5130" max="5130" width="4.625" style="2694" customWidth="1"/>
    <col min="5131" max="5376" width="9" style="2694"/>
    <col min="5377" max="5385" width="8.625" style="2694" customWidth="1"/>
    <col min="5386" max="5386" width="4.625" style="2694" customWidth="1"/>
    <col min="5387" max="5632" width="9" style="2694"/>
    <col min="5633" max="5641" width="8.625" style="2694" customWidth="1"/>
    <col min="5642" max="5642" width="4.625" style="2694" customWidth="1"/>
    <col min="5643" max="5888" width="9" style="2694"/>
    <col min="5889" max="5897" width="8.625" style="2694" customWidth="1"/>
    <col min="5898" max="5898" width="4.625" style="2694" customWidth="1"/>
    <col min="5899" max="6144" width="9" style="2694"/>
    <col min="6145" max="6153" width="8.625" style="2694" customWidth="1"/>
    <col min="6154" max="6154" width="4.625" style="2694" customWidth="1"/>
    <col min="6155" max="6400" width="9" style="2694"/>
    <col min="6401" max="6409" width="8.625" style="2694" customWidth="1"/>
    <col min="6410" max="6410" width="4.625" style="2694" customWidth="1"/>
    <col min="6411" max="6656" width="9" style="2694"/>
    <col min="6657" max="6665" width="8.625" style="2694" customWidth="1"/>
    <col min="6666" max="6666" width="4.625" style="2694" customWidth="1"/>
    <col min="6667" max="6912" width="9" style="2694"/>
    <col min="6913" max="6921" width="8.625" style="2694" customWidth="1"/>
    <col min="6922" max="6922" width="4.625" style="2694" customWidth="1"/>
    <col min="6923" max="7168" width="9" style="2694"/>
    <col min="7169" max="7177" width="8.625" style="2694" customWidth="1"/>
    <col min="7178" max="7178" width="4.625" style="2694" customWidth="1"/>
    <col min="7179" max="7424" width="9" style="2694"/>
    <col min="7425" max="7433" width="8.625" style="2694" customWidth="1"/>
    <col min="7434" max="7434" width="4.625" style="2694" customWidth="1"/>
    <col min="7435" max="7680" width="9" style="2694"/>
    <col min="7681" max="7689" width="8.625" style="2694" customWidth="1"/>
    <col min="7690" max="7690" width="4.625" style="2694" customWidth="1"/>
    <col min="7691" max="7936" width="9" style="2694"/>
    <col min="7937" max="7945" width="8.625" style="2694" customWidth="1"/>
    <col min="7946" max="7946" width="4.625" style="2694" customWidth="1"/>
    <col min="7947" max="8192" width="9" style="2694"/>
    <col min="8193" max="8201" width="8.625" style="2694" customWidth="1"/>
    <col min="8202" max="8202" width="4.625" style="2694" customWidth="1"/>
    <col min="8203" max="8448" width="9" style="2694"/>
    <col min="8449" max="8457" width="8.625" style="2694" customWidth="1"/>
    <col min="8458" max="8458" width="4.625" style="2694" customWidth="1"/>
    <col min="8459" max="8704" width="9" style="2694"/>
    <col min="8705" max="8713" width="8.625" style="2694" customWidth="1"/>
    <col min="8714" max="8714" width="4.625" style="2694" customWidth="1"/>
    <col min="8715" max="8960" width="9" style="2694"/>
    <col min="8961" max="8969" width="8.625" style="2694" customWidth="1"/>
    <col min="8970" max="8970" width="4.625" style="2694" customWidth="1"/>
    <col min="8971" max="9216" width="9" style="2694"/>
    <col min="9217" max="9225" width="8.625" style="2694" customWidth="1"/>
    <col min="9226" max="9226" width="4.625" style="2694" customWidth="1"/>
    <col min="9227" max="9472" width="9" style="2694"/>
    <col min="9473" max="9481" width="8.625" style="2694" customWidth="1"/>
    <col min="9482" max="9482" width="4.625" style="2694" customWidth="1"/>
    <col min="9483" max="9728" width="9" style="2694"/>
    <col min="9729" max="9737" width="8.625" style="2694" customWidth="1"/>
    <col min="9738" max="9738" width="4.625" style="2694" customWidth="1"/>
    <col min="9739" max="9984" width="9" style="2694"/>
    <col min="9985" max="9993" width="8.625" style="2694" customWidth="1"/>
    <col min="9994" max="9994" width="4.625" style="2694" customWidth="1"/>
    <col min="9995" max="10240" width="9" style="2694"/>
    <col min="10241" max="10249" width="8.625" style="2694" customWidth="1"/>
    <col min="10250" max="10250" width="4.625" style="2694" customWidth="1"/>
    <col min="10251" max="10496" width="9" style="2694"/>
    <col min="10497" max="10505" width="8.625" style="2694" customWidth="1"/>
    <col min="10506" max="10506" width="4.625" style="2694" customWidth="1"/>
    <col min="10507" max="10752" width="9" style="2694"/>
    <col min="10753" max="10761" width="8.625" style="2694" customWidth="1"/>
    <col min="10762" max="10762" width="4.625" style="2694" customWidth="1"/>
    <col min="10763" max="11008" width="9" style="2694"/>
    <col min="11009" max="11017" width="8.625" style="2694" customWidth="1"/>
    <col min="11018" max="11018" width="4.625" style="2694" customWidth="1"/>
    <col min="11019" max="11264" width="9" style="2694"/>
    <col min="11265" max="11273" width="8.625" style="2694" customWidth="1"/>
    <col min="11274" max="11274" width="4.625" style="2694" customWidth="1"/>
    <col min="11275" max="11520" width="9" style="2694"/>
    <col min="11521" max="11529" width="8.625" style="2694" customWidth="1"/>
    <col min="11530" max="11530" width="4.625" style="2694" customWidth="1"/>
    <col min="11531" max="11776" width="9" style="2694"/>
    <col min="11777" max="11785" width="8.625" style="2694" customWidth="1"/>
    <col min="11786" max="11786" width="4.625" style="2694" customWidth="1"/>
    <col min="11787" max="12032" width="9" style="2694"/>
    <col min="12033" max="12041" width="8.625" style="2694" customWidth="1"/>
    <col min="12042" max="12042" width="4.625" style="2694" customWidth="1"/>
    <col min="12043" max="12288" width="9" style="2694"/>
    <col min="12289" max="12297" width="8.625" style="2694" customWidth="1"/>
    <col min="12298" max="12298" width="4.625" style="2694" customWidth="1"/>
    <col min="12299" max="12544" width="9" style="2694"/>
    <col min="12545" max="12553" width="8.625" style="2694" customWidth="1"/>
    <col min="12554" max="12554" width="4.625" style="2694" customWidth="1"/>
    <col min="12555" max="12800" width="9" style="2694"/>
    <col min="12801" max="12809" width="8.625" style="2694" customWidth="1"/>
    <col min="12810" max="12810" width="4.625" style="2694" customWidth="1"/>
    <col min="12811" max="13056" width="9" style="2694"/>
    <col min="13057" max="13065" width="8.625" style="2694" customWidth="1"/>
    <col min="13066" max="13066" width="4.625" style="2694" customWidth="1"/>
    <col min="13067" max="13312" width="9" style="2694"/>
    <col min="13313" max="13321" width="8.625" style="2694" customWidth="1"/>
    <col min="13322" max="13322" width="4.625" style="2694" customWidth="1"/>
    <col min="13323" max="13568" width="9" style="2694"/>
    <col min="13569" max="13577" width="8.625" style="2694" customWidth="1"/>
    <col min="13578" max="13578" width="4.625" style="2694" customWidth="1"/>
    <col min="13579" max="13824" width="9" style="2694"/>
    <col min="13825" max="13833" width="8.625" style="2694" customWidth="1"/>
    <col min="13834" max="13834" width="4.625" style="2694" customWidth="1"/>
    <col min="13835" max="14080" width="9" style="2694"/>
    <col min="14081" max="14089" width="8.625" style="2694" customWidth="1"/>
    <col min="14090" max="14090" width="4.625" style="2694" customWidth="1"/>
    <col min="14091" max="14336" width="9" style="2694"/>
    <col min="14337" max="14345" width="8.625" style="2694" customWidth="1"/>
    <col min="14346" max="14346" width="4.625" style="2694" customWidth="1"/>
    <col min="14347" max="14592" width="9" style="2694"/>
    <col min="14593" max="14601" width="8.625" style="2694" customWidth="1"/>
    <col min="14602" max="14602" width="4.625" style="2694" customWidth="1"/>
    <col min="14603" max="14848" width="9" style="2694"/>
    <col min="14849" max="14857" width="8.625" style="2694" customWidth="1"/>
    <col min="14858" max="14858" width="4.625" style="2694" customWidth="1"/>
    <col min="14859" max="15104" width="9" style="2694"/>
    <col min="15105" max="15113" width="8.625" style="2694" customWidth="1"/>
    <col min="15114" max="15114" width="4.625" style="2694" customWidth="1"/>
    <col min="15115" max="15360" width="9" style="2694"/>
    <col min="15361" max="15369" width="8.625" style="2694" customWidth="1"/>
    <col min="15370" max="15370" width="4.625" style="2694" customWidth="1"/>
    <col min="15371" max="15616" width="9" style="2694"/>
    <col min="15617" max="15625" width="8.625" style="2694" customWidth="1"/>
    <col min="15626" max="15626" width="4.625" style="2694" customWidth="1"/>
    <col min="15627" max="15872" width="9" style="2694"/>
    <col min="15873" max="15881" width="8.625" style="2694" customWidth="1"/>
    <col min="15882" max="15882" width="4.625" style="2694" customWidth="1"/>
    <col min="15883" max="16128" width="9" style="2694"/>
    <col min="16129" max="16137" width="8.625" style="2694" customWidth="1"/>
    <col min="16138" max="16138" width="4.625" style="2694" customWidth="1"/>
    <col min="16139" max="16384" width="9" style="2694"/>
  </cols>
  <sheetData>
    <row r="1" spans="1:252" ht="26.25" customHeight="1">
      <c r="A1" s="4571" t="s">
        <v>148</v>
      </c>
      <c r="B1" s="4571"/>
      <c r="C1" s="4571"/>
      <c r="D1" s="4571"/>
      <c r="E1" s="4571"/>
      <c r="F1" s="4571"/>
      <c r="G1" s="4571"/>
      <c r="H1" s="4571"/>
      <c r="I1" s="4571"/>
      <c r="J1" s="4571"/>
    </row>
    <row r="2" spans="1:252" ht="21.95" customHeight="1">
      <c r="A2" s="4572" t="s">
        <v>1057</v>
      </c>
      <c r="B2" s="4572"/>
      <c r="C2" s="4572"/>
      <c r="D2" s="4572"/>
      <c r="E2" s="4572"/>
      <c r="F2" s="4572"/>
      <c r="G2" s="4572"/>
      <c r="H2" s="4572"/>
      <c r="I2" s="4572"/>
      <c r="J2" s="4572"/>
      <c r="K2" s="4572"/>
      <c r="L2" s="4572"/>
      <c r="M2" s="4572"/>
      <c r="N2" s="4572"/>
      <c r="O2" s="4572"/>
    </row>
    <row r="3" spans="1:252" ht="21.95" customHeight="1">
      <c r="A3" s="4573" t="s">
        <v>1058</v>
      </c>
      <c r="B3" s="4574"/>
      <c r="C3" s="4575"/>
      <c r="D3" s="4575"/>
      <c r="E3" s="4575"/>
      <c r="F3" s="4575"/>
      <c r="G3" s="4575"/>
      <c r="H3" s="4575"/>
      <c r="I3" s="4575"/>
      <c r="J3" s="4576"/>
      <c r="M3" s="3202"/>
      <c r="O3" s="3202"/>
    </row>
    <row r="4" spans="1:252" ht="21.95" customHeight="1">
      <c r="A4" s="3811" t="s">
        <v>1059</v>
      </c>
      <c r="B4" s="3812" t="s">
        <v>1060</v>
      </c>
      <c r="C4" s="3813" t="s">
        <v>1061</v>
      </c>
      <c r="D4" s="3812" t="s">
        <v>1062</v>
      </c>
      <c r="E4" s="3814" t="s">
        <v>1063</v>
      </c>
      <c r="F4" s="3815" t="s">
        <v>1064</v>
      </c>
      <c r="G4" s="3816" t="s">
        <v>1065</v>
      </c>
      <c r="H4" s="3816" t="s">
        <v>1066</v>
      </c>
      <c r="I4" s="3846" t="s">
        <v>1067</v>
      </c>
      <c r="J4" s="3847" t="s">
        <v>1068</v>
      </c>
      <c r="M4" s="3202"/>
      <c r="O4" s="3202"/>
    </row>
    <row r="5" spans="1:252" ht="21.95" customHeight="1">
      <c r="A5" s="3817" t="s">
        <v>300</v>
      </c>
      <c r="B5" s="3818" t="s">
        <v>1069</v>
      </c>
      <c r="C5" s="3819" t="s">
        <v>1070</v>
      </c>
      <c r="D5" s="3820" t="s">
        <v>1071</v>
      </c>
      <c r="E5" s="3821" t="s">
        <v>300</v>
      </c>
      <c r="F5" s="3822" t="s">
        <v>1072</v>
      </c>
      <c r="G5" s="3823" t="s">
        <v>1073</v>
      </c>
      <c r="H5" s="3823" t="s">
        <v>1074</v>
      </c>
      <c r="I5" s="3848" t="s">
        <v>445</v>
      </c>
      <c r="J5" s="3849" t="s">
        <v>1075</v>
      </c>
      <c r="M5" s="3202"/>
      <c r="IP5" s="3202"/>
      <c r="IQ5" s="3202"/>
      <c r="IR5" s="3202"/>
    </row>
    <row r="6" spans="1:252" ht="21.95" customHeight="1">
      <c r="A6" s="3824">
        <v>30</v>
      </c>
      <c r="B6" s="3825">
        <v>104.87</v>
      </c>
      <c r="C6" s="3826">
        <v>14</v>
      </c>
      <c r="D6" s="3825">
        <v>19286</v>
      </c>
      <c r="E6" s="3827">
        <v>28.273</v>
      </c>
      <c r="F6" s="3826">
        <v>0.85</v>
      </c>
      <c r="G6" s="3828">
        <v>114000</v>
      </c>
      <c r="H6" s="3829"/>
      <c r="I6" s="3850"/>
      <c r="J6" s="3851"/>
      <c r="M6" s="3202"/>
    </row>
    <row r="7" spans="1:252" ht="21.95" customHeight="1">
      <c r="A7" s="3830"/>
      <c r="B7" s="3831">
        <v>93.17</v>
      </c>
      <c r="C7" s="3832">
        <v>16</v>
      </c>
      <c r="D7" s="3831">
        <v>17134</v>
      </c>
      <c r="E7" s="3833">
        <v>28.706</v>
      </c>
      <c r="F7" s="3832">
        <v>1</v>
      </c>
      <c r="G7" s="3834">
        <v>114000</v>
      </c>
      <c r="H7" s="3835"/>
      <c r="I7" s="3852"/>
      <c r="J7" s="3853"/>
      <c r="M7" s="3202"/>
      <c r="N7" s="3202"/>
    </row>
    <row r="8" spans="1:252" ht="21.95" customHeight="1">
      <c r="A8" s="3830"/>
      <c r="B8" s="3831">
        <v>83.28</v>
      </c>
      <c r="C8" s="3832">
        <v>18</v>
      </c>
      <c r="D8" s="3831">
        <v>15315</v>
      </c>
      <c r="E8" s="3833">
        <v>28.866</v>
      </c>
      <c r="F8" s="3832">
        <v>1.1000000000000001</v>
      </c>
      <c r="G8" s="3834">
        <v>114000</v>
      </c>
      <c r="H8" s="3835"/>
      <c r="I8" s="3852"/>
      <c r="J8" s="3853"/>
      <c r="M8" s="3202"/>
    </row>
    <row r="9" spans="1:252" ht="21.95" customHeight="1">
      <c r="A9" s="3830"/>
      <c r="B9" s="3831">
        <v>73.31</v>
      </c>
      <c r="C9" s="3832">
        <v>20</v>
      </c>
      <c r="D9" s="3831">
        <v>13482</v>
      </c>
      <c r="E9" s="3833">
        <v>28.234999999999999</v>
      </c>
      <c r="F9" s="3832">
        <v>1.25</v>
      </c>
      <c r="G9" s="3834">
        <v>114000</v>
      </c>
      <c r="H9" s="3835"/>
      <c r="I9" s="3852"/>
      <c r="J9" s="3853"/>
      <c r="M9" s="3202"/>
    </row>
    <row r="10" spans="1:252" ht="21.95" customHeight="1">
      <c r="A10" s="3830"/>
      <c r="B10" s="3831">
        <v>67.78</v>
      </c>
      <c r="C10" s="3832">
        <v>22</v>
      </c>
      <c r="D10" s="3831">
        <v>12465</v>
      </c>
      <c r="E10" s="3833">
        <v>28.715</v>
      </c>
      <c r="F10" s="3832">
        <v>1.35</v>
      </c>
      <c r="G10" s="3834">
        <v>114000</v>
      </c>
      <c r="H10" s="3836" t="s">
        <v>1076</v>
      </c>
      <c r="I10" s="4556" t="s">
        <v>1077</v>
      </c>
      <c r="J10" s="3853">
        <v>862</v>
      </c>
      <c r="M10" s="3202"/>
    </row>
    <row r="11" spans="1:252" ht="21.95" customHeight="1">
      <c r="A11" s="3830"/>
      <c r="B11" s="3831">
        <v>59.27</v>
      </c>
      <c r="C11" s="3832">
        <v>25</v>
      </c>
      <c r="D11" s="3831">
        <v>10900</v>
      </c>
      <c r="E11" s="3833">
        <v>28.533999999999999</v>
      </c>
      <c r="F11" s="3832">
        <v>1.55</v>
      </c>
      <c r="G11" s="3834">
        <v>114000</v>
      </c>
      <c r="H11" s="3836" t="s">
        <v>1078</v>
      </c>
      <c r="I11" s="4556"/>
      <c r="J11" s="3853">
        <v>872</v>
      </c>
      <c r="M11" s="3202"/>
    </row>
    <row r="12" spans="1:252" ht="21.95" customHeight="1">
      <c r="A12" s="3830"/>
      <c r="B12" s="3831">
        <v>50.69</v>
      </c>
      <c r="C12" s="3832">
        <v>29</v>
      </c>
      <c r="D12" s="3831">
        <v>9322</v>
      </c>
      <c r="E12" s="3833">
        <v>28.308</v>
      </c>
      <c r="F12" s="3832">
        <v>1.8</v>
      </c>
      <c r="G12" s="3834">
        <v>114000</v>
      </c>
      <c r="H12" s="3835"/>
      <c r="I12" s="3852"/>
      <c r="J12" s="3853"/>
      <c r="M12" s="3202"/>
    </row>
    <row r="13" spans="1:252" ht="21.95" customHeight="1">
      <c r="A13" s="3830"/>
      <c r="B13" s="3831">
        <v>45.04</v>
      </c>
      <c r="C13" s="3832">
        <v>33</v>
      </c>
      <c r="D13" s="3831">
        <v>8283</v>
      </c>
      <c r="E13" s="3833">
        <v>28.622</v>
      </c>
      <c r="F13" s="3832">
        <v>2.1</v>
      </c>
      <c r="G13" s="3834">
        <v>114000</v>
      </c>
      <c r="H13" s="3835"/>
      <c r="I13" s="3852"/>
      <c r="J13" s="3853"/>
      <c r="M13" s="3202"/>
    </row>
    <row r="14" spans="1:252" ht="21.95" customHeight="1">
      <c r="A14" s="3830"/>
      <c r="B14" s="3831">
        <v>40.26</v>
      </c>
      <c r="C14" s="3832">
        <v>37</v>
      </c>
      <c r="D14" s="3831">
        <v>7404</v>
      </c>
      <c r="E14" s="3833">
        <v>28.686</v>
      </c>
      <c r="F14" s="3832">
        <v>2.2999999999999998</v>
      </c>
      <c r="G14" s="3834">
        <v>114000</v>
      </c>
      <c r="H14" s="3835"/>
      <c r="I14" s="3852"/>
      <c r="J14" s="3853"/>
      <c r="M14" s="3202"/>
    </row>
    <row r="15" spans="1:252" ht="21.95" customHeight="1">
      <c r="A15" s="3830"/>
      <c r="B15" s="3837">
        <v>35</v>
      </c>
      <c r="C15" s="3838">
        <v>42</v>
      </c>
      <c r="D15" s="3837">
        <v>6437</v>
      </c>
      <c r="E15" s="3833">
        <v>28.309000000000001</v>
      </c>
      <c r="F15" s="3838">
        <v>2.7</v>
      </c>
      <c r="G15" s="3834">
        <v>114000</v>
      </c>
      <c r="H15" s="3835"/>
      <c r="I15" s="3852"/>
      <c r="J15" s="3853"/>
      <c r="M15" s="3202"/>
    </row>
    <row r="16" spans="1:252" ht="21.95" customHeight="1">
      <c r="A16" s="3830"/>
      <c r="B16" s="3837">
        <v>28.4</v>
      </c>
      <c r="C16" s="3838">
        <v>52</v>
      </c>
      <c r="D16" s="3837">
        <v>5223</v>
      </c>
      <c r="E16" s="3833">
        <v>28.439</v>
      </c>
      <c r="F16" s="3838">
        <v>3.3</v>
      </c>
      <c r="G16" s="3834">
        <v>114000</v>
      </c>
      <c r="H16" s="3835"/>
      <c r="I16" s="3852"/>
      <c r="J16" s="3853"/>
      <c r="M16" s="3202"/>
    </row>
    <row r="17" spans="1:13" ht="21.95" customHeight="1">
      <c r="A17" s="3839"/>
      <c r="B17" s="3840">
        <v>24.51</v>
      </c>
      <c r="C17" s="3841">
        <v>60</v>
      </c>
      <c r="D17" s="3840">
        <v>4507</v>
      </c>
      <c r="E17" s="3833">
        <v>28.315999999999999</v>
      </c>
      <c r="F17" s="3841">
        <v>3.9</v>
      </c>
      <c r="G17" s="3842">
        <v>114000</v>
      </c>
      <c r="H17" s="3843"/>
      <c r="I17" s="3854"/>
      <c r="J17" s="3855"/>
      <c r="M17" s="3202"/>
    </row>
    <row r="18" spans="1:13" ht="21.95" customHeight="1">
      <c r="A18" s="4577" t="s">
        <v>1079</v>
      </c>
      <c r="B18" s="4577"/>
      <c r="C18" s="4577"/>
      <c r="D18" s="4577"/>
      <c r="E18" s="4577"/>
      <c r="F18" s="4577"/>
      <c r="G18" s="4577"/>
      <c r="H18" s="4577"/>
      <c r="I18" s="4577"/>
      <c r="J18" s="4577"/>
      <c r="M18" s="3202"/>
    </row>
    <row r="19" spans="1:13" ht="21.95" customHeight="1">
      <c r="A19" s="4557" t="s">
        <v>1080</v>
      </c>
      <c r="B19" s="4557"/>
      <c r="C19" s="4557"/>
      <c r="D19" s="4557"/>
      <c r="E19" s="4557"/>
      <c r="F19" s="4557"/>
      <c r="G19" s="4557"/>
      <c r="H19" s="4557"/>
      <c r="I19" s="4557"/>
      <c r="J19" s="4557"/>
      <c r="M19" s="3202"/>
    </row>
    <row r="20" spans="1:13" ht="21.95" customHeight="1">
      <c r="A20" s="4557"/>
      <c r="B20" s="4557"/>
      <c r="C20" s="4557"/>
      <c r="D20" s="4557"/>
      <c r="E20" s="4557"/>
      <c r="F20" s="4557"/>
      <c r="G20" s="4557"/>
      <c r="H20" s="4557"/>
      <c r="I20" s="4557"/>
      <c r="J20" s="4557"/>
      <c r="M20" s="3202"/>
    </row>
    <row r="21" spans="1:13" ht="21.95" customHeight="1">
      <c r="A21" s="4557" t="s">
        <v>1081</v>
      </c>
      <c r="B21" s="4557"/>
      <c r="C21" s="4557"/>
      <c r="D21" s="4557"/>
      <c r="E21" s="4557"/>
      <c r="F21" s="4557"/>
      <c r="G21" s="4557"/>
      <c r="H21" s="4557"/>
      <c r="I21" s="4557"/>
      <c r="J21" s="4557"/>
      <c r="M21" s="3202"/>
    </row>
    <row r="22" spans="1:13" ht="21.95" customHeight="1">
      <c r="A22" s="4568" t="s">
        <v>1082</v>
      </c>
      <c r="B22" s="4568"/>
      <c r="C22" s="4568"/>
      <c r="D22" s="4568"/>
      <c r="E22" s="4568"/>
      <c r="F22" s="4568"/>
      <c r="G22" s="4568"/>
      <c r="H22" s="4568"/>
      <c r="I22" s="4568"/>
      <c r="J22" s="4568"/>
      <c r="M22" s="3202"/>
    </row>
    <row r="23" spans="1:13" ht="21.95" customHeight="1">
      <c r="A23" s="4559" t="s">
        <v>1083</v>
      </c>
      <c r="B23" s="4559"/>
      <c r="C23" s="4559"/>
      <c r="D23" s="4559"/>
      <c r="E23" s="4559"/>
      <c r="F23" s="4559"/>
      <c r="G23" s="4559"/>
      <c r="H23" s="4559"/>
      <c r="I23" s="4559"/>
      <c r="J23" s="4559"/>
      <c r="M23" s="3202"/>
    </row>
    <row r="24" spans="1:13" ht="21.95" customHeight="1">
      <c r="A24" s="4557" t="s">
        <v>1084</v>
      </c>
      <c r="B24" s="4557"/>
      <c r="C24" s="4557"/>
      <c r="D24" s="4557"/>
      <c r="E24" s="4557"/>
      <c r="F24" s="4557"/>
      <c r="G24" s="4557"/>
      <c r="H24" s="4557"/>
      <c r="I24" s="4557"/>
      <c r="J24" s="4557"/>
      <c r="M24" s="3202"/>
    </row>
    <row r="25" spans="1:13" ht="21.95" customHeight="1">
      <c r="A25" s="4557"/>
      <c r="B25" s="4557"/>
      <c r="C25" s="4557"/>
      <c r="D25" s="4557"/>
      <c r="E25" s="4557"/>
      <c r="F25" s="4557"/>
      <c r="G25" s="4557"/>
      <c r="H25" s="4557"/>
      <c r="I25" s="4557"/>
      <c r="J25" s="4557"/>
      <c r="M25" s="3202"/>
    </row>
    <row r="26" spans="1:13" ht="21.95" customHeight="1">
      <c r="A26" s="4558" t="s">
        <v>1085</v>
      </c>
      <c r="B26" s="4558"/>
      <c r="C26" s="4558"/>
      <c r="D26" s="4558"/>
      <c r="E26" s="4558"/>
      <c r="F26" s="4558"/>
      <c r="G26" s="4558"/>
      <c r="H26" s="4558"/>
      <c r="I26" s="4558"/>
      <c r="J26" s="4558"/>
      <c r="M26" s="3202"/>
    </row>
    <row r="27" spans="1:13" ht="21.95" customHeight="1">
      <c r="A27" s="4558"/>
      <c r="B27" s="4558"/>
      <c r="C27" s="4558"/>
      <c r="D27" s="4558"/>
      <c r="E27" s="4558"/>
      <c r="F27" s="4558"/>
      <c r="G27" s="4558"/>
      <c r="H27" s="4558"/>
      <c r="I27" s="4558"/>
      <c r="J27" s="4558"/>
      <c r="M27" s="3202"/>
    </row>
    <row r="28" spans="1:13" ht="21.95" customHeight="1">
      <c r="A28" s="4569" t="s">
        <v>1086</v>
      </c>
      <c r="B28" s="4569"/>
      <c r="C28" s="4569"/>
      <c r="D28" s="4569"/>
      <c r="E28" s="4569"/>
      <c r="F28" s="4569"/>
      <c r="G28" s="4569"/>
      <c r="H28" s="4569"/>
      <c r="I28" s="4569"/>
      <c r="J28" s="4569"/>
      <c r="M28" s="3202"/>
    </row>
    <row r="29" spans="1:13" ht="21.95" customHeight="1">
      <c r="A29" s="4557" t="s">
        <v>1087</v>
      </c>
      <c r="B29" s="4557"/>
      <c r="C29" s="4557"/>
      <c r="D29" s="4557"/>
      <c r="E29" s="4557"/>
      <c r="F29" s="4557"/>
      <c r="G29" s="4557"/>
      <c r="H29" s="4557"/>
      <c r="I29" s="4557"/>
      <c r="J29" s="4557"/>
      <c r="M29" s="3202"/>
    </row>
    <row r="30" spans="1:13" ht="21.95" customHeight="1">
      <c r="A30" s="4557"/>
      <c r="B30" s="4557"/>
      <c r="C30" s="4557"/>
      <c r="D30" s="4557"/>
      <c r="E30" s="4557"/>
      <c r="F30" s="4557"/>
      <c r="G30" s="4557"/>
      <c r="H30" s="4557"/>
      <c r="I30" s="4557"/>
      <c r="J30" s="4557"/>
      <c r="M30" s="3202"/>
    </row>
    <row r="31" spans="1:13" ht="21.95" customHeight="1">
      <c r="A31" s="4570" t="s">
        <v>1088</v>
      </c>
      <c r="B31" s="4570"/>
      <c r="C31" s="4570"/>
      <c r="D31" s="4570"/>
      <c r="E31" s="4570"/>
      <c r="F31" s="4570"/>
      <c r="G31" s="4570"/>
      <c r="H31" s="4570"/>
      <c r="I31" s="4570"/>
      <c r="J31" s="4570"/>
      <c r="M31" s="3202"/>
    </row>
    <row r="32" spans="1:13" ht="21.95" customHeight="1">
      <c r="A32" s="4557" t="s">
        <v>1089</v>
      </c>
      <c r="B32" s="4557"/>
      <c r="C32" s="4557"/>
      <c r="D32" s="4557"/>
      <c r="E32" s="4557"/>
      <c r="F32" s="4557"/>
      <c r="G32" s="4557"/>
      <c r="H32" s="4557"/>
      <c r="I32" s="4557"/>
      <c r="J32" s="4557"/>
      <c r="M32" s="3202"/>
    </row>
    <row r="33" spans="1:13" ht="21.95" customHeight="1">
      <c r="A33" s="4563" t="s">
        <v>1090</v>
      </c>
      <c r="B33" s="4563"/>
      <c r="C33" s="4563"/>
      <c r="D33" s="4563"/>
      <c r="E33" s="4563"/>
      <c r="F33" s="4563"/>
      <c r="G33" s="4563"/>
      <c r="H33" s="4563"/>
      <c r="I33" s="4563"/>
      <c r="J33" s="4563"/>
      <c r="M33" s="3202"/>
    </row>
    <row r="34" spans="1:13" ht="21.95" customHeight="1">
      <c r="A34" s="4564" t="s">
        <v>1091</v>
      </c>
      <c r="B34" s="4564"/>
      <c r="C34" s="4564"/>
      <c r="D34" s="4564"/>
      <c r="E34" s="4564"/>
      <c r="F34" s="4564"/>
      <c r="G34" s="4564"/>
      <c r="H34" s="4564"/>
      <c r="I34" s="4564"/>
      <c r="J34" s="4564"/>
      <c r="M34" s="3202"/>
    </row>
    <row r="35" spans="1:13" ht="21.95" customHeight="1">
      <c r="A35" s="4565" t="s">
        <v>1092</v>
      </c>
      <c r="B35" s="4565"/>
      <c r="C35" s="4565"/>
      <c r="D35" s="4565"/>
      <c r="E35" s="4565"/>
      <c r="F35" s="4565"/>
      <c r="G35" s="4565"/>
      <c r="H35" s="4565"/>
      <c r="I35" s="4565"/>
      <c r="J35" s="4565"/>
      <c r="M35" s="3202"/>
    </row>
    <row r="36" spans="1:13" ht="21.95" customHeight="1">
      <c r="A36" s="4559" t="s">
        <v>1093</v>
      </c>
      <c r="B36" s="4559"/>
      <c r="C36" s="4559"/>
      <c r="D36" s="4559"/>
      <c r="E36" s="4559"/>
      <c r="F36" s="4559"/>
      <c r="G36" s="4559"/>
      <c r="H36" s="4559"/>
      <c r="I36" s="4559"/>
      <c r="J36" s="4559"/>
      <c r="M36" s="3202"/>
    </row>
    <row r="37" spans="1:13" ht="21.95" customHeight="1">
      <c r="A37" s="4559"/>
      <c r="B37" s="4559"/>
      <c r="C37" s="4559"/>
      <c r="D37" s="4559"/>
      <c r="E37" s="4559"/>
      <c r="F37" s="4559"/>
      <c r="G37" s="4559"/>
      <c r="H37" s="4559"/>
      <c r="I37" s="4559"/>
      <c r="J37" s="4559"/>
      <c r="M37" s="3202"/>
    </row>
    <row r="38" spans="1:13" ht="21.95" customHeight="1">
      <c r="M38" s="3202"/>
    </row>
    <row r="39" spans="1:13" ht="21.95" customHeight="1">
      <c r="A39" s="4566" t="s">
        <v>1094</v>
      </c>
      <c r="B39" s="4567"/>
      <c r="C39" s="4567"/>
      <c r="D39" s="4567"/>
      <c r="E39" s="4567"/>
      <c r="F39" s="4567"/>
      <c r="G39" s="4567"/>
      <c r="H39" s="4567"/>
      <c r="I39" s="4567"/>
      <c r="J39" s="4567"/>
      <c r="M39" s="3202"/>
    </row>
    <row r="40" spans="1:13" ht="21.95" customHeight="1">
      <c r="A40" s="4562" t="s">
        <v>1095</v>
      </c>
      <c r="B40" s="4562"/>
      <c r="C40" s="4562"/>
      <c r="D40" s="4562"/>
      <c r="E40" s="4562"/>
      <c r="F40" s="4562"/>
      <c r="G40" s="4562"/>
      <c r="H40" s="4562"/>
      <c r="I40" s="4562"/>
      <c r="J40" s="4562"/>
      <c r="M40" s="3202"/>
    </row>
    <row r="41" spans="1:13" ht="21.95" customHeight="1">
      <c r="A41" s="4562" t="s">
        <v>1096</v>
      </c>
      <c r="B41" s="4562"/>
      <c r="C41" s="4562"/>
      <c r="D41" s="4562"/>
      <c r="E41" s="4562"/>
      <c r="F41" s="4562"/>
      <c r="G41" s="4562"/>
      <c r="H41" s="4562"/>
      <c r="I41" s="4562"/>
      <c r="J41" s="4562"/>
      <c r="M41" s="3202"/>
    </row>
    <row r="42" spans="1:13" ht="21.95" customHeight="1">
      <c r="A42" s="4562" t="s">
        <v>1097</v>
      </c>
      <c r="B42" s="4562"/>
      <c r="C42" s="4562"/>
      <c r="D42" s="4562"/>
      <c r="E42" s="4562"/>
      <c r="F42" s="4562"/>
      <c r="G42" s="4562"/>
      <c r="H42" s="4562"/>
      <c r="I42" s="4562"/>
      <c r="J42" s="4562"/>
      <c r="M42" s="3202"/>
    </row>
    <row r="43" spans="1:13" ht="21.95" customHeight="1">
      <c r="A43" s="4562" t="s">
        <v>1098</v>
      </c>
      <c r="B43" s="4562"/>
      <c r="C43" s="4562"/>
      <c r="D43" s="4562"/>
      <c r="E43" s="4562"/>
      <c r="F43" s="4562"/>
      <c r="G43" s="4562"/>
      <c r="H43" s="4562"/>
      <c r="I43" s="4562"/>
      <c r="J43" s="4562"/>
      <c r="M43" s="3202"/>
    </row>
    <row r="44" spans="1:13" ht="21.95" customHeight="1">
      <c r="A44" s="4562" t="s">
        <v>1099</v>
      </c>
      <c r="B44" s="4562"/>
      <c r="C44" s="4562"/>
      <c r="D44" s="4562"/>
      <c r="E44" s="4562"/>
      <c r="F44" s="4562"/>
      <c r="G44" s="4562"/>
      <c r="H44" s="4562"/>
      <c r="I44" s="4562"/>
      <c r="J44" s="4562"/>
      <c r="M44" s="3202"/>
    </row>
    <row r="45" spans="1:13" ht="21.95" customHeight="1">
      <c r="A45" s="4562" t="s">
        <v>1100</v>
      </c>
      <c r="B45" s="4562"/>
      <c r="C45" s="4562"/>
      <c r="D45" s="4562"/>
      <c r="E45" s="4562"/>
      <c r="F45" s="4562"/>
      <c r="G45" s="4562"/>
      <c r="H45" s="4562"/>
      <c r="I45" s="4562"/>
      <c r="J45" s="4562"/>
      <c r="M45" s="3202"/>
    </row>
    <row r="46" spans="1:13" ht="21.95" customHeight="1">
      <c r="A46" s="4562" t="s">
        <v>1101</v>
      </c>
      <c r="B46" s="4562"/>
      <c r="C46" s="4562"/>
      <c r="D46" s="4562"/>
      <c r="E46" s="4562"/>
      <c r="F46" s="4562"/>
      <c r="G46" s="4562"/>
      <c r="H46" s="4562"/>
      <c r="I46" s="4562"/>
      <c r="J46" s="4562"/>
      <c r="M46" s="3202"/>
    </row>
    <row r="47" spans="1:13" ht="21.95" customHeight="1">
      <c r="A47" s="4561" t="s">
        <v>1102</v>
      </c>
      <c r="B47" s="4561"/>
      <c r="C47" s="4561"/>
      <c r="D47" s="4561"/>
      <c r="E47" s="4561"/>
      <c r="F47" s="4561"/>
      <c r="G47" s="4561"/>
      <c r="H47" s="4561"/>
      <c r="I47" s="4561"/>
      <c r="J47" s="4561"/>
      <c r="M47" s="3202"/>
    </row>
    <row r="48" spans="1:13" ht="21.95" customHeight="1">
      <c r="A48" s="4561" t="s">
        <v>1103</v>
      </c>
      <c r="B48" s="4561"/>
      <c r="C48" s="4561"/>
      <c r="D48" s="4561"/>
      <c r="E48" s="4561"/>
      <c r="F48" s="4561"/>
      <c r="G48" s="4561"/>
      <c r="H48" s="4561"/>
      <c r="I48" s="4561"/>
      <c r="J48" s="4561"/>
      <c r="M48" s="3202"/>
    </row>
    <row r="49" spans="1:22" ht="21.95" customHeight="1">
      <c r="A49" s="4561" t="s">
        <v>1104</v>
      </c>
      <c r="B49" s="4561"/>
      <c r="C49" s="4561"/>
      <c r="D49" s="4561"/>
      <c r="E49" s="4561"/>
      <c r="F49" s="4561"/>
      <c r="G49" s="4561"/>
      <c r="H49" s="4561"/>
      <c r="I49" s="4561"/>
      <c r="J49" s="4561"/>
      <c r="M49" s="3202"/>
    </row>
    <row r="50" spans="1:22" ht="21.95" customHeight="1">
      <c r="A50" s="4561" t="s">
        <v>1105</v>
      </c>
      <c r="B50" s="4561"/>
      <c r="C50" s="4561"/>
      <c r="D50" s="4561"/>
      <c r="E50" s="4561"/>
      <c r="F50" s="4561"/>
      <c r="G50" s="4561"/>
      <c r="H50" s="4561"/>
      <c r="I50" s="4561"/>
      <c r="J50" s="4561"/>
      <c r="M50" s="3202"/>
    </row>
    <row r="51" spans="1:22" ht="21.95" customHeight="1">
      <c r="A51" s="4561" t="s">
        <v>1106</v>
      </c>
      <c r="B51" s="4561"/>
      <c r="C51" s="4561"/>
      <c r="D51" s="4561"/>
      <c r="E51" s="4561"/>
      <c r="F51" s="4561"/>
      <c r="G51" s="4561"/>
      <c r="H51" s="4561"/>
      <c r="I51" s="4561"/>
      <c r="J51" s="4561"/>
      <c r="M51" s="3202"/>
    </row>
    <row r="52" spans="1:22" ht="21.95" customHeight="1">
      <c r="A52" s="4561" t="s">
        <v>1107</v>
      </c>
      <c r="B52" s="4561"/>
      <c r="C52" s="4561"/>
      <c r="D52" s="4561"/>
      <c r="E52" s="4561"/>
      <c r="F52" s="4561"/>
      <c r="G52" s="4561"/>
      <c r="H52" s="4561"/>
      <c r="I52" s="4561"/>
      <c r="J52" s="4561"/>
      <c r="M52" s="3202"/>
    </row>
    <row r="53" spans="1:22" ht="21.95" customHeight="1">
      <c r="A53" s="4561" t="s">
        <v>1108</v>
      </c>
      <c r="B53" s="4561"/>
      <c r="C53" s="4561"/>
      <c r="D53" s="4561"/>
      <c r="E53" s="4561"/>
      <c r="F53" s="4561"/>
      <c r="G53" s="4561"/>
      <c r="H53" s="4561"/>
      <c r="I53" s="4561"/>
      <c r="J53" s="4561"/>
      <c r="M53" s="3202"/>
    </row>
    <row r="54" spans="1:22" ht="21.95" customHeight="1">
      <c r="A54" s="4561" t="s">
        <v>1109</v>
      </c>
      <c r="B54" s="4561"/>
      <c r="C54" s="4561"/>
      <c r="D54" s="4561"/>
      <c r="E54" s="4561"/>
      <c r="F54" s="4561"/>
      <c r="G54" s="4561"/>
      <c r="H54" s="4561"/>
      <c r="I54" s="4561"/>
      <c r="J54" s="4561"/>
      <c r="M54" s="3202"/>
    </row>
    <row r="55" spans="1:22" ht="21.95" customHeight="1">
      <c r="A55" s="4561" t="s">
        <v>1110</v>
      </c>
      <c r="B55" s="4561"/>
      <c r="C55" s="4561"/>
      <c r="D55" s="4561"/>
      <c r="E55" s="4561"/>
      <c r="F55" s="4561"/>
      <c r="G55" s="4561"/>
      <c r="H55" s="4561"/>
      <c r="I55" s="4561"/>
      <c r="J55" s="4561"/>
      <c r="M55" s="3202"/>
    </row>
    <row r="56" spans="1:22" ht="21.95" customHeight="1">
      <c r="A56" s="4560" t="s">
        <v>1111</v>
      </c>
      <c r="B56" s="4560"/>
      <c r="C56" s="4560"/>
      <c r="D56" s="4560"/>
      <c r="E56" s="4560"/>
      <c r="F56" s="4560"/>
      <c r="G56" s="4560"/>
      <c r="H56" s="4560"/>
      <c r="I56" s="4560"/>
      <c r="J56" s="4560"/>
      <c r="K56" s="4560"/>
      <c r="L56" s="4560"/>
      <c r="M56" s="4560"/>
      <c r="N56" s="4560"/>
      <c r="O56" s="4560"/>
      <c r="P56" s="4560"/>
      <c r="Q56" s="4560"/>
      <c r="R56" s="4560"/>
      <c r="S56" s="4560"/>
      <c r="T56" s="3857"/>
      <c r="U56" s="3857"/>
    </row>
    <row r="57" spans="1:22" ht="21.95" customHeight="1">
      <c r="A57" s="3844" t="s">
        <v>1112</v>
      </c>
      <c r="B57" s="3844"/>
      <c r="C57" s="3844"/>
      <c r="D57" s="3844"/>
      <c r="E57" s="3844"/>
      <c r="F57" s="3844"/>
      <c r="G57" s="3844"/>
      <c r="H57" s="3844"/>
      <c r="I57" s="3844"/>
      <c r="J57" s="3844"/>
      <c r="K57" s="3844"/>
      <c r="L57" s="3844"/>
      <c r="M57" s="3844"/>
      <c r="N57" s="3844"/>
      <c r="O57" s="3844"/>
      <c r="P57" s="3844"/>
      <c r="Q57" s="3844"/>
      <c r="R57" s="3844"/>
      <c r="S57" s="3844"/>
      <c r="T57" s="3844"/>
      <c r="U57" s="3844"/>
      <c r="V57" s="3856"/>
    </row>
    <row r="58" spans="1:22" ht="21.95" customHeight="1">
      <c r="A58" s="3845" t="s">
        <v>1113</v>
      </c>
      <c r="B58" s="3845"/>
      <c r="C58" s="3845"/>
      <c r="D58" s="3845"/>
      <c r="E58" s="3845"/>
      <c r="F58" s="3845"/>
      <c r="G58" s="3845"/>
      <c r="H58" s="3845"/>
      <c r="I58" s="3845"/>
      <c r="J58" s="3845"/>
      <c r="K58" s="3845"/>
      <c r="L58" s="3845"/>
      <c r="M58" s="3845"/>
      <c r="N58" s="3845"/>
      <c r="O58" s="3845"/>
      <c r="P58" s="3845"/>
      <c r="Q58" s="3845"/>
      <c r="R58" s="3845"/>
      <c r="S58" s="3845"/>
      <c r="T58" s="3845"/>
      <c r="U58" s="3845"/>
      <c r="V58" s="3856"/>
    </row>
    <row r="59" spans="1:22" ht="21.95" customHeight="1">
      <c r="A59" s="3845" t="s">
        <v>1114</v>
      </c>
      <c r="B59" s="3845"/>
      <c r="C59" s="3845"/>
      <c r="D59" s="3845"/>
      <c r="E59" s="3845"/>
      <c r="F59" s="3845"/>
      <c r="G59" s="3845"/>
      <c r="H59" s="3845"/>
      <c r="I59" s="3845"/>
      <c r="J59" s="3845"/>
      <c r="K59" s="3845"/>
      <c r="L59" s="3845"/>
      <c r="M59" s="3845"/>
      <c r="N59" s="3845"/>
      <c r="O59" s="3845"/>
      <c r="P59" s="3845"/>
      <c r="Q59" s="3845"/>
      <c r="R59" s="3845"/>
      <c r="S59" s="3845"/>
      <c r="T59" s="3845"/>
      <c r="U59" s="3845"/>
      <c r="V59" s="3856"/>
    </row>
    <row r="60" spans="1:22" ht="22.5" customHeight="1">
      <c r="A60" s="3845" t="s">
        <v>1115</v>
      </c>
      <c r="B60" s="3845"/>
      <c r="C60" s="3845"/>
      <c r="D60" s="3845"/>
      <c r="E60" s="3845"/>
      <c r="F60" s="3845"/>
      <c r="G60" s="3845"/>
      <c r="H60" s="3845"/>
      <c r="I60" s="3845"/>
      <c r="J60" s="3845"/>
      <c r="K60" s="3845"/>
      <c r="L60" s="3845"/>
      <c r="M60" s="3845"/>
      <c r="N60" s="3845"/>
      <c r="O60" s="3845"/>
      <c r="P60" s="3845"/>
      <c r="Q60" s="3845"/>
      <c r="R60" s="3845"/>
      <c r="S60" s="3845"/>
      <c r="T60" s="3845"/>
      <c r="U60" s="3845"/>
      <c r="V60" s="3856"/>
    </row>
    <row r="61" spans="1:22" ht="21.95" customHeight="1">
      <c r="A61" s="3845" t="s">
        <v>1116</v>
      </c>
      <c r="B61" s="3845"/>
      <c r="C61" s="3845"/>
      <c r="D61" s="3845"/>
      <c r="E61" s="3845"/>
      <c r="F61" s="3845"/>
      <c r="G61" s="3845"/>
      <c r="H61" s="3845"/>
      <c r="I61" s="3845"/>
      <c r="J61" s="3845"/>
      <c r="K61" s="3845"/>
      <c r="L61" s="3845"/>
      <c r="M61" s="3845"/>
      <c r="N61" s="3845"/>
      <c r="O61" s="3845"/>
      <c r="P61" s="3845"/>
      <c r="Q61" s="3845"/>
      <c r="R61" s="3845"/>
      <c r="S61" s="3845"/>
      <c r="T61" s="3845"/>
      <c r="U61" s="3845"/>
      <c r="V61" s="3856"/>
    </row>
    <row r="62" spans="1:22" ht="21.95" customHeight="1">
      <c r="A62" s="4555" t="s">
        <v>1117</v>
      </c>
      <c r="B62" s="4555"/>
      <c r="C62" s="4555"/>
      <c r="D62" s="4555"/>
      <c r="E62" s="4555"/>
      <c r="F62" s="4555"/>
      <c r="G62" s="4555"/>
      <c r="H62" s="4555"/>
      <c r="I62" s="4555"/>
      <c r="J62" s="4555"/>
      <c r="K62" s="4555"/>
      <c r="L62" s="4555"/>
      <c r="M62" s="4555"/>
      <c r="N62" s="4555"/>
      <c r="O62" s="4555"/>
      <c r="P62" s="4555"/>
      <c r="Q62" s="4555"/>
      <c r="R62" s="4555"/>
      <c r="S62" s="4555"/>
      <c r="T62" s="4555"/>
      <c r="U62" s="3845"/>
      <c r="V62" s="3856"/>
    </row>
    <row r="63" spans="1:22" ht="21.95" customHeight="1">
      <c r="A63" s="4555" t="s">
        <v>1118</v>
      </c>
      <c r="B63" s="4555"/>
      <c r="C63" s="4555"/>
      <c r="D63" s="4555"/>
      <c r="E63" s="4555"/>
      <c r="F63" s="4555"/>
      <c r="G63" s="4555"/>
      <c r="H63" s="4555"/>
      <c r="I63" s="4555"/>
      <c r="J63" s="4555"/>
      <c r="K63" s="4555"/>
      <c r="L63" s="4555"/>
      <c r="M63" s="4555"/>
      <c r="N63" s="4555"/>
      <c r="O63" s="4555"/>
      <c r="P63" s="4555"/>
      <c r="Q63" s="4555"/>
      <c r="R63" s="3856"/>
      <c r="S63" s="3856"/>
      <c r="T63" s="3856"/>
      <c r="U63" s="3856"/>
      <c r="V63" s="3856"/>
    </row>
    <row r="64" spans="1:22" ht="21.95" customHeight="1">
      <c r="A64" s="3845" t="s">
        <v>1119</v>
      </c>
      <c r="B64" s="3845"/>
      <c r="C64" s="3845"/>
      <c r="D64" s="3845"/>
      <c r="E64" s="3845"/>
      <c r="F64" s="3845"/>
      <c r="G64" s="3845"/>
      <c r="H64" s="3845"/>
      <c r="I64" s="3845"/>
      <c r="J64" s="3845"/>
      <c r="K64" s="3845"/>
      <c r="L64" s="3845"/>
      <c r="M64" s="3845"/>
      <c r="N64" s="3856"/>
      <c r="O64" s="3856"/>
      <c r="P64" s="3856"/>
      <c r="Q64" s="3856"/>
      <c r="R64" s="3856"/>
      <c r="S64" s="3856"/>
      <c r="T64" s="3856"/>
      <c r="U64" s="3856"/>
      <c r="V64" s="3856"/>
    </row>
    <row r="65" spans="1:22" ht="21.95" customHeight="1">
      <c r="A65" s="3845" t="s">
        <v>1120</v>
      </c>
      <c r="B65" s="3845"/>
      <c r="C65" s="3845"/>
      <c r="D65" s="3845"/>
      <c r="E65" s="3845"/>
      <c r="F65" s="3845"/>
      <c r="G65" s="3845"/>
      <c r="H65" s="3845"/>
      <c r="I65" s="3845"/>
      <c r="J65" s="3845"/>
      <c r="K65" s="3845"/>
      <c r="L65" s="3845"/>
      <c r="M65" s="3845"/>
      <c r="N65" s="3856"/>
      <c r="O65" s="3856"/>
      <c r="P65" s="3856"/>
      <c r="Q65" s="3856"/>
      <c r="R65" s="3856"/>
      <c r="S65" s="3856"/>
      <c r="T65" s="3856"/>
      <c r="U65" s="3856"/>
      <c r="V65" s="3856"/>
    </row>
    <row r="66" spans="1:22" ht="21.95" customHeight="1">
      <c r="A66" s="3845" t="s">
        <v>1121</v>
      </c>
      <c r="B66" s="3845"/>
      <c r="C66" s="3845"/>
      <c r="D66" s="3845"/>
      <c r="E66" s="3845"/>
      <c r="F66" s="3845"/>
      <c r="G66" s="3845"/>
      <c r="H66" s="3845"/>
      <c r="I66" s="3845"/>
      <c r="J66" s="3845"/>
      <c r="K66" s="3845"/>
      <c r="L66" s="3845"/>
      <c r="M66" s="3845"/>
      <c r="N66" s="3856"/>
      <c r="O66" s="3856"/>
      <c r="P66" s="3856"/>
      <c r="Q66" s="3856"/>
      <c r="R66" s="3856"/>
      <c r="S66" s="3856"/>
      <c r="T66" s="3856"/>
      <c r="U66" s="3856"/>
      <c r="V66" s="3856"/>
    </row>
    <row r="67" spans="1:22" ht="21.95" customHeight="1">
      <c r="A67" s="3845" t="s">
        <v>1122</v>
      </c>
      <c r="B67" s="3845"/>
      <c r="C67" s="3845"/>
      <c r="D67" s="3845"/>
      <c r="E67" s="3845"/>
      <c r="F67" s="3845"/>
      <c r="G67" s="3845"/>
      <c r="H67" s="3845"/>
      <c r="I67" s="3845"/>
      <c r="J67" s="3845"/>
      <c r="K67" s="3845"/>
      <c r="L67" s="3845"/>
      <c r="M67" s="3845"/>
      <c r="N67" s="3856"/>
      <c r="O67" s="3856"/>
      <c r="P67" s="3856"/>
      <c r="Q67" s="3856"/>
      <c r="R67" s="3856"/>
      <c r="S67" s="3856"/>
      <c r="T67" s="3856"/>
      <c r="U67" s="3856"/>
      <c r="V67" s="3856"/>
    </row>
    <row r="68" spans="1:22" ht="21.95" customHeight="1">
      <c r="A68" s="3845" t="s">
        <v>1123</v>
      </c>
      <c r="B68" s="3845"/>
      <c r="C68" s="3845"/>
      <c r="D68" s="3845"/>
      <c r="E68" s="3845"/>
      <c r="F68" s="3845"/>
      <c r="G68" s="3845"/>
      <c r="H68" s="3845"/>
      <c r="I68" s="3845"/>
      <c r="J68" s="3845"/>
      <c r="K68" s="3845"/>
      <c r="L68" s="3845"/>
      <c r="M68" s="3845"/>
      <c r="N68" s="3856"/>
      <c r="O68" s="3856"/>
      <c r="P68" s="3856"/>
      <c r="Q68" s="3856"/>
      <c r="R68" s="3856"/>
      <c r="S68" s="3856"/>
      <c r="T68" s="3856"/>
      <c r="U68" s="3856"/>
      <c r="V68" s="3856"/>
    </row>
    <row r="69" spans="1:22" ht="21.95" customHeight="1">
      <c r="A69" s="4555" t="s">
        <v>1124</v>
      </c>
      <c r="B69" s="4555"/>
      <c r="C69" s="4555"/>
      <c r="D69" s="4555"/>
      <c r="E69" s="4555"/>
      <c r="F69" s="4555"/>
      <c r="G69" s="4555"/>
      <c r="H69" s="4555"/>
      <c r="I69" s="4555"/>
      <c r="J69" s="4555"/>
      <c r="K69" s="4555"/>
      <c r="L69" s="4555"/>
      <c r="M69" s="4555"/>
      <c r="N69" s="4555"/>
      <c r="O69" s="4555"/>
      <c r="P69" s="4555"/>
      <c r="Q69" s="3856"/>
      <c r="R69" s="3856"/>
      <c r="S69" s="3856"/>
      <c r="T69" s="3856"/>
      <c r="U69" s="3856"/>
      <c r="V69" s="3856"/>
    </row>
    <row r="70" spans="1:22" ht="21.95" customHeight="1">
      <c r="A70" s="4555" t="s">
        <v>1125</v>
      </c>
      <c r="B70" s="4555"/>
      <c r="C70" s="4555"/>
      <c r="D70" s="4555"/>
      <c r="E70" s="4555"/>
      <c r="F70" s="4555"/>
      <c r="G70" s="4555"/>
      <c r="H70" s="4555"/>
      <c r="I70" s="4555"/>
      <c r="J70" s="4555"/>
      <c r="K70" s="4555"/>
      <c r="L70" s="4555"/>
      <c r="M70" s="4555"/>
      <c r="N70" s="4555"/>
      <c r="O70" s="4555"/>
      <c r="P70" s="4555"/>
      <c r="Q70" s="3856"/>
      <c r="R70" s="3856"/>
      <c r="S70" s="3856"/>
      <c r="T70" s="3856"/>
      <c r="U70" s="3856"/>
      <c r="V70" s="3856"/>
    </row>
    <row r="71" spans="1:22" ht="21.95" customHeight="1">
      <c r="A71" s="4555" t="s">
        <v>1126</v>
      </c>
      <c r="B71" s="4555"/>
      <c r="C71" s="4555"/>
      <c r="D71" s="4555"/>
      <c r="E71" s="4555"/>
      <c r="F71" s="4555"/>
      <c r="G71" s="4555"/>
      <c r="H71" s="4555"/>
      <c r="I71" s="4555"/>
      <c r="J71" s="4555"/>
      <c r="K71" s="3845"/>
      <c r="L71" s="3845"/>
      <c r="M71" s="3845"/>
    </row>
    <row r="72" spans="1:22" ht="21.95" customHeight="1">
      <c r="A72" s="3845"/>
      <c r="B72" s="3845"/>
      <c r="C72" s="3845"/>
      <c r="D72" s="3845"/>
      <c r="E72" s="3845"/>
      <c r="F72" s="3845"/>
      <c r="G72" s="3845"/>
      <c r="H72" s="3845"/>
      <c r="I72" s="3845"/>
      <c r="J72" s="3845"/>
      <c r="K72" s="3845"/>
      <c r="L72" s="3845"/>
      <c r="M72" s="3845"/>
    </row>
    <row r="73" spans="1:22" ht="21.95" customHeight="1">
      <c r="A73" s="3845"/>
      <c r="B73" s="3845"/>
      <c r="C73" s="3845"/>
      <c r="D73" s="3845"/>
      <c r="E73" s="3845"/>
      <c r="F73" s="3845"/>
      <c r="G73" s="3845"/>
      <c r="H73" s="3845"/>
      <c r="I73" s="3845"/>
      <c r="J73" s="3845"/>
      <c r="K73" s="3845"/>
      <c r="L73" s="3845"/>
      <c r="M73" s="3845"/>
    </row>
    <row r="74" spans="1:22" ht="21.95" customHeight="1">
      <c r="A74" s="3845"/>
      <c r="B74" s="3845"/>
      <c r="C74" s="3845"/>
      <c r="D74" s="3845"/>
      <c r="E74" s="3845"/>
      <c r="F74" s="3845"/>
      <c r="G74" s="3845"/>
      <c r="H74" s="3845"/>
      <c r="I74" s="3845"/>
      <c r="J74" s="3845"/>
      <c r="K74" s="3845"/>
      <c r="L74" s="3845"/>
      <c r="M74" s="3845"/>
    </row>
    <row r="75" spans="1:22" ht="21.95" customHeight="1">
      <c r="M75" s="3202"/>
    </row>
    <row r="76" spans="1:22" ht="21.95" customHeight="1">
      <c r="M76" s="3202"/>
    </row>
    <row r="77" spans="1:22" ht="21.95" customHeight="1">
      <c r="M77" s="3202"/>
    </row>
    <row r="78" spans="1:22" ht="21.95" customHeight="1">
      <c r="M78" s="3202"/>
    </row>
    <row r="79" spans="1:22" ht="21.95" customHeight="1">
      <c r="M79" s="3202"/>
    </row>
    <row r="80" spans="1:22" ht="21.95" customHeight="1">
      <c r="M80" s="3202"/>
    </row>
    <row r="81" spans="13:13" ht="21.95" customHeight="1">
      <c r="M81" s="3202"/>
    </row>
    <row r="82" spans="13:13" ht="21.95" customHeight="1">
      <c r="M82" s="3202"/>
    </row>
    <row r="83" spans="13:13" ht="21.95" customHeight="1">
      <c r="M83" s="3202"/>
    </row>
    <row r="84" spans="13:13" ht="21.95" customHeight="1">
      <c r="M84" s="3202"/>
    </row>
    <row r="85" spans="13:13" ht="21.95" customHeight="1">
      <c r="M85" s="3202"/>
    </row>
    <row r="86" spans="13:13" ht="21.95" customHeight="1">
      <c r="M86" s="3202"/>
    </row>
    <row r="87" spans="13:13" ht="21.95" customHeight="1">
      <c r="M87" s="3202"/>
    </row>
    <row r="88" spans="13:13" ht="21.95" customHeight="1">
      <c r="M88" s="3202"/>
    </row>
    <row r="89" spans="13:13" ht="21.95" customHeight="1">
      <c r="M89" s="3202"/>
    </row>
    <row r="90" spans="13:13" ht="21.95" customHeight="1">
      <c r="M90" s="3202"/>
    </row>
    <row r="91" spans="13:13" ht="21.95" customHeight="1">
      <c r="M91" s="3202"/>
    </row>
    <row r="92" spans="13:13" ht="21.95" customHeight="1">
      <c r="M92" s="3202"/>
    </row>
    <row r="93" spans="13:13" ht="21.95" customHeight="1">
      <c r="M93" s="3202"/>
    </row>
    <row r="94" spans="13:13" ht="21.95" customHeight="1">
      <c r="M94" s="3202"/>
    </row>
    <row r="95" spans="13:13" ht="21.95" customHeight="1">
      <c r="M95" s="3202"/>
    </row>
    <row r="96" spans="13:13" ht="21.95" customHeight="1">
      <c r="M96" s="3202"/>
    </row>
    <row r="97" spans="13:13" ht="21.95" customHeight="1">
      <c r="M97" s="3202"/>
    </row>
    <row r="98" spans="13:13" ht="21.95" customHeight="1">
      <c r="M98" s="3202"/>
    </row>
    <row r="99" spans="13:13" ht="21.95" customHeight="1">
      <c r="M99" s="3202"/>
    </row>
    <row r="100" spans="13:13" ht="21.95" customHeight="1">
      <c r="M100" s="3202"/>
    </row>
    <row r="101" spans="13:13" ht="21.95" customHeight="1">
      <c r="M101" s="3202"/>
    </row>
    <row r="102" spans="13:13" ht="21.95" customHeight="1">
      <c r="M102" s="3202"/>
    </row>
    <row r="103" spans="13:13" ht="21.95" customHeight="1">
      <c r="M103" s="3202"/>
    </row>
    <row r="104" spans="13:13" ht="21.95" customHeight="1">
      <c r="M104" s="3202"/>
    </row>
    <row r="105" spans="13:13" ht="21.95" customHeight="1">
      <c r="M105" s="3202"/>
    </row>
    <row r="106" spans="13:13" ht="21.95" customHeight="1">
      <c r="M106" s="3202"/>
    </row>
    <row r="107" spans="13:13" ht="21.95" customHeight="1">
      <c r="M107" s="3202"/>
    </row>
    <row r="108" spans="13:13" ht="21.95" customHeight="1">
      <c r="M108" s="3202"/>
    </row>
    <row r="109" spans="13:13" ht="21.95" customHeight="1">
      <c r="M109" s="3202"/>
    </row>
    <row r="110" spans="13:13" ht="21.95" customHeight="1">
      <c r="M110" s="3202"/>
    </row>
    <row r="111" spans="13:13" ht="21.95" customHeight="1">
      <c r="M111" s="3202"/>
    </row>
    <row r="112" spans="13:13" ht="21.95" customHeight="1">
      <c r="M112" s="3202"/>
    </row>
    <row r="113" spans="13:13" ht="21.95" customHeight="1">
      <c r="M113" s="3202"/>
    </row>
    <row r="114" spans="13:13" ht="21.95" customHeight="1">
      <c r="M114" s="3202"/>
    </row>
    <row r="115" spans="13:13" ht="21.95" customHeight="1">
      <c r="M115" s="3202"/>
    </row>
    <row r="116" spans="13:13" ht="21.95" customHeight="1">
      <c r="M116" s="3202"/>
    </row>
    <row r="117" spans="13:13" ht="21.95" customHeight="1">
      <c r="M117" s="3202"/>
    </row>
    <row r="118" spans="13:13" ht="21.95" customHeight="1">
      <c r="M118" s="3202"/>
    </row>
    <row r="119" spans="13:13" ht="21.95" customHeight="1">
      <c r="M119" s="3202"/>
    </row>
    <row r="120" spans="13:13" ht="21.95" customHeight="1">
      <c r="M120" s="3202"/>
    </row>
    <row r="121" spans="13:13" ht="21.95" customHeight="1">
      <c r="M121" s="3202"/>
    </row>
    <row r="122" spans="13:13" ht="21.95" customHeight="1">
      <c r="M122" s="3202"/>
    </row>
    <row r="123" spans="13:13" ht="21.95" customHeight="1">
      <c r="M123" s="3202"/>
    </row>
    <row r="124" spans="13:13" ht="21.95" customHeight="1">
      <c r="M124" s="3202"/>
    </row>
    <row r="125" spans="13:13" ht="21.95" customHeight="1">
      <c r="M125" s="3202"/>
    </row>
    <row r="126" spans="13:13" ht="21.95" customHeight="1">
      <c r="M126" s="3202"/>
    </row>
    <row r="127" spans="13:13" ht="21.95" customHeight="1">
      <c r="M127" s="3202"/>
    </row>
    <row r="128" spans="13:13" ht="21.95" customHeight="1">
      <c r="M128" s="3202"/>
    </row>
    <row r="129" spans="13:13" ht="21.95" customHeight="1">
      <c r="M129" s="3202"/>
    </row>
    <row r="130" spans="13:13" ht="21.95" customHeight="1">
      <c r="M130" s="3202"/>
    </row>
    <row r="131" spans="13:13" ht="21.95" customHeight="1">
      <c r="M131" s="3202"/>
    </row>
    <row r="132" spans="13:13" ht="21.95" customHeight="1">
      <c r="M132" s="3202"/>
    </row>
    <row r="133" spans="13:13" ht="21.95" customHeight="1">
      <c r="M133" s="3202"/>
    </row>
    <row r="134" spans="13:13" ht="21.95" customHeight="1">
      <c r="M134" s="3202"/>
    </row>
    <row r="135" spans="13:13" ht="21.95" customHeight="1">
      <c r="M135" s="3202"/>
    </row>
    <row r="136" spans="13:13" ht="21.95" customHeight="1">
      <c r="M136" s="3202"/>
    </row>
    <row r="137" spans="13:13" ht="21.95" customHeight="1">
      <c r="M137" s="3202"/>
    </row>
    <row r="138" spans="13:13" ht="21.95" customHeight="1">
      <c r="M138" s="3202"/>
    </row>
    <row r="139" spans="13:13" ht="21.95" customHeight="1">
      <c r="M139" s="3202"/>
    </row>
    <row r="140" spans="13:13" ht="21.95" customHeight="1">
      <c r="M140" s="3202"/>
    </row>
    <row r="141" spans="13:13" ht="21.95" customHeight="1">
      <c r="M141" s="3202"/>
    </row>
    <row r="142" spans="13:13" ht="21.95" customHeight="1">
      <c r="M142" s="3202"/>
    </row>
    <row r="143" spans="13:13" ht="21.95" customHeight="1">
      <c r="M143" s="3202"/>
    </row>
    <row r="144" spans="13:13" ht="21.95" customHeight="1">
      <c r="M144" s="3202"/>
    </row>
    <row r="145" spans="13:13" ht="21.95" customHeight="1">
      <c r="M145" s="3202"/>
    </row>
    <row r="146" spans="13:13" ht="21.95" customHeight="1">
      <c r="M146" s="3202"/>
    </row>
    <row r="147" spans="13:13" ht="21.95" customHeight="1">
      <c r="M147" s="3202"/>
    </row>
    <row r="148" spans="13:13" ht="21.95" customHeight="1">
      <c r="M148" s="3202"/>
    </row>
    <row r="149" spans="13:13" ht="21.95" customHeight="1">
      <c r="M149" s="3202"/>
    </row>
    <row r="150" spans="13:13" ht="21.95" customHeight="1">
      <c r="M150" s="3202"/>
    </row>
    <row r="151" spans="13:13" ht="21.95" customHeight="1">
      <c r="M151" s="3202"/>
    </row>
    <row r="152" spans="13:13" ht="21.95" customHeight="1">
      <c r="M152" s="3202"/>
    </row>
    <row r="153" spans="13:13" ht="21.95" customHeight="1">
      <c r="M153" s="3202"/>
    </row>
    <row r="154" spans="13:13" ht="21.95" customHeight="1">
      <c r="M154" s="3202"/>
    </row>
    <row r="155" spans="13:13" ht="21.95" customHeight="1">
      <c r="M155" s="3202"/>
    </row>
    <row r="156" spans="13:13" ht="21.95" customHeight="1">
      <c r="M156" s="3202"/>
    </row>
    <row r="157" spans="13:13" ht="21.95" customHeight="1">
      <c r="M157" s="3202"/>
    </row>
    <row r="158" spans="13:13" ht="21.95" customHeight="1">
      <c r="M158" s="3202"/>
    </row>
    <row r="159" spans="13:13" ht="21.95" customHeight="1">
      <c r="M159" s="3202"/>
    </row>
    <row r="160" spans="13:13" ht="21.95" customHeight="1">
      <c r="M160" s="3202"/>
    </row>
    <row r="161" spans="13:13" ht="21.95" customHeight="1">
      <c r="M161" s="3202"/>
    </row>
    <row r="162" spans="13:13" ht="21.95" customHeight="1">
      <c r="M162" s="3202"/>
    </row>
    <row r="163" spans="13:13" ht="21.95" customHeight="1">
      <c r="M163" s="3202"/>
    </row>
    <row r="164" spans="13:13" ht="21.95" customHeight="1">
      <c r="M164" s="3202"/>
    </row>
    <row r="165" spans="13:13" ht="21.95" customHeight="1">
      <c r="M165" s="3202"/>
    </row>
    <row r="166" spans="13:13" ht="21.95" customHeight="1">
      <c r="M166" s="3202"/>
    </row>
    <row r="167" spans="13:13" ht="21.95" customHeight="1">
      <c r="M167" s="3202"/>
    </row>
    <row r="168" spans="13:13" ht="21.95" customHeight="1">
      <c r="M168" s="3202"/>
    </row>
    <row r="169" spans="13:13" ht="21.95" customHeight="1">
      <c r="M169" s="3202"/>
    </row>
    <row r="170" spans="13:13" ht="21.95" customHeight="1">
      <c r="M170" s="3202"/>
    </row>
    <row r="171" spans="13:13" ht="21.95" customHeight="1">
      <c r="M171" s="3202"/>
    </row>
    <row r="172" spans="13:13" ht="21.95" customHeight="1">
      <c r="M172" s="3202"/>
    </row>
    <row r="173" spans="13:13" ht="21.95" customHeight="1">
      <c r="M173" s="3202"/>
    </row>
    <row r="174" spans="13:13" ht="21.95" customHeight="1">
      <c r="M174" s="3202"/>
    </row>
    <row r="175" spans="13:13" ht="21.95" customHeight="1">
      <c r="M175" s="3202"/>
    </row>
    <row r="176" spans="13:13" ht="21.95" customHeight="1">
      <c r="M176" s="3202"/>
    </row>
    <row r="177" spans="13:13" ht="21.95" customHeight="1">
      <c r="M177" s="3202"/>
    </row>
    <row r="178" spans="13:13" ht="21.95" customHeight="1">
      <c r="M178" s="3202"/>
    </row>
    <row r="179" spans="13:13" ht="21.95" customHeight="1">
      <c r="M179" s="3202"/>
    </row>
    <row r="180" spans="13:13" ht="21.95" customHeight="1">
      <c r="M180" s="3202"/>
    </row>
    <row r="181" spans="13:13" ht="21.95" customHeight="1">
      <c r="M181" s="3202"/>
    </row>
    <row r="182" spans="13:13" ht="21.95" customHeight="1">
      <c r="M182" s="3202"/>
    </row>
    <row r="183" spans="13:13" ht="21.95" customHeight="1">
      <c r="M183" s="3202"/>
    </row>
    <row r="184" spans="13:13" ht="21.95" customHeight="1">
      <c r="M184" s="3202"/>
    </row>
    <row r="185" spans="13:13" ht="21.95" customHeight="1">
      <c r="M185" s="3202"/>
    </row>
    <row r="186" spans="13:13" ht="21.95" customHeight="1">
      <c r="M186" s="3202"/>
    </row>
    <row r="187" spans="13:13" ht="21.95" customHeight="1">
      <c r="M187" s="3202"/>
    </row>
    <row r="188" spans="13:13" ht="21.95" customHeight="1">
      <c r="M188" s="3202"/>
    </row>
    <row r="189" spans="13:13" ht="21.95" customHeight="1">
      <c r="M189" s="3202"/>
    </row>
    <row r="190" spans="13:13" ht="21.95" customHeight="1">
      <c r="M190" s="3202"/>
    </row>
    <row r="191" spans="13:13" ht="21.95" customHeight="1">
      <c r="M191" s="3202"/>
    </row>
    <row r="192" spans="13:13" ht="21.95" customHeight="1">
      <c r="M192" s="3202"/>
    </row>
    <row r="193" spans="13:13" ht="21.95" customHeight="1">
      <c r="M193" s="3202"/>
    </row>
    <row r="194" spans="13:13" ht="21.95" customHeight="1">
      <c r="M194" s="3202"/>
    </row>
    <row r="195" spans="13:13" ht="21.95" customHeight="1">
      <c r="M195" s="3202"/>
    </row>
    <row r="196" spans="13:13" ht="21.95" customHeight="1">
      <c r="M196" s="3202"/>
    </row>
    <row r="197" spans="13:13" ht="21.95" customHeight="1">
      <c r="M197" s="3202"/>
    </row>
    <row r="198" spans="13:13" ht="21.95" customHeight="1">
      <c r="M198" s="3202"/>
    </row>
    <row r="199" spans="13:13" ht="21.95" customHeight="1">
      <c r="M199" s="3202"/>
    </row>
    <row r="200" spans="13:13" ht="21.95" customHeight="1">
      <c r="M200" s="3202"/>
    </row>
    <row r="201" spans="13:13" ht="21.95" customHeight="1">
      <c r="M201" s="3202"/>
    </row>
    <row r="202" spans="13:13" ht="21.95" customHeight="1">
      <c r="M202" s="3202"/>
    </row>
    <row r="203" spans="13:13" ht="21.95" customHeight="1">
      <c r="M203" s="3202"/>
    </row>
    <row r="204" spans="13:13" ht="21.95" customHeight="1">
      <c r="M204" s="3202"/>
    </row>
    <row r="205" spans="13:13" ht="21.95" customHeight="1">
      <c r="M205" s="3202"/>
    </row>
    <row r="206" spans="13:13" ht="21.95" customHeight="1">
      <c r="M206" s="3202"/>
    </row>
    <row r="207" spans="13:13" ht="21.95" customHeight="1">
      <c r="M207" s="3202"/>
    </row>
    <row r="208" spans="13:13" ht="21.95" customHeight="1">
      <c r="M208" s="3202"/>
    </row>
    <row r="209" spans="13:13" ht="21.95" customHeight="1">
      <c r="M209" s="3202"/>
    </row>
    <row r="210" spans="13:13" ht="21.95" customHeight="1">
      <c r="M210" s="3202"/>
    </row>
    <row r="211" spans="13:13" ht="21.95" customHeight="1">
      <c r="M211" s="3202"/>
    </row>
    <row r="212" spans="13:13" ht="21.95" customHeight="1">
      <c r="M212" s="3202"/>
    </row>
    <row r="213" spans="13:13" ht="21.95" customHeight="1">
      <c r="M213" s="3202"/>
    </row>
    <row r="214" spans="13:13" ht="21.95" customHeight="1">
      <c r="M214" s="3202"/>
    </row>
    <row r="215" spans="13:13" ht="21.95" customHeight="1">
      <c r="M215" s="3202"/>
    </row>
    <row r="216" spans="13:13" ht="21.95" customHeight="1">
      <c r="M216" s="3202"/>
    </row>
    <row r="217" spans="13:13" ht="21.95" customHeight="1">
      <c r="M217" s="3202"/>
    </row>
    <row r="218" spans="13:13" ht="21.95" customHeight="1">
      <c r="M218" s="3202"/>
    </row>
    <row r="219" spans="13:13" ht="21.95" customHeight="1">
      <c r="M219" s="3202"/>
    </row>
    <row r="220" spans="13:13" ht="21.95" customHeight="1">
      <c r="M220" s="3202"/>
    </row>
    <row r="221" spans="13:13" ht="21.95" customHeight="1">
      <c r="M221" s="3202"/>
    </row>
    <row r="222" spans="13:13" ht="21.95" customHeight="1">
      <c r="M222" s="3202"/>
    </row>
    <row r="223" spans="13:13" ht="21.95" customHeight="1">
      <c r="M223" s="3202"/>
    </row>
    <row r="224" spans="13:13" ht="21.95" customHeight="1">
      <c r="M224" s="3202"/>
    </row>
    <row r="225" spans="13:13" ht="21.95" customHeight="1">
      <c r="M225" s="3202"/>
    </row>
    <row r="226" spans="13:13" ht="21.95" customHeight="1">
      <c r="M226" s="3202"/>
    </row>
    <row r="227" spans="13:13" ht="21.95" customHeight="1">
      <c r="M227" s="3202"/>
    </row>
    <row r="228" spans="13:13" ht="21.95" customHeight="1">
      <c r="M228" s="3202"/>
    </row>
    <row r="229" spans="13:13" ht="21.95" customHeight="1">
      <c r="M229" s="3202"/>
    </row>
    <row r="230" spans="13:13" ht="21.95" customHeight="1">
      <c r="M230" s="3202"/>
    </row>
    <row r="231" spans="13:13" ht="21.95" customHeight="1">
      <c r="M231" s="3202"/>
    </row>
    <row r="232" spans="13:13" ht="21.95" customHeight="1">
      <c r="M232" s="3202"/>
    </row>
    <row r="233" spans="13:13" ht="21.95" customHeight="1">
      <c r="M233" s="3202"/>
    </row>
    <row r="234" spans="13:13" ht="21.95" customHeight="1">
      <c r="M234" s="3202"/>
    </row>
    <row r="235" spans="13:13" ht="21.95" customHeight="1">
      <c r="M235" s="3202"/>
    </row>
    <row r="236" spans="13:13" ht="21.95" customHeight="1">
      <c r="M236" s="3202"/>
    </row>
    <row r="237" spans="13:13" ht="21.95" customHeight="1">
      <c r="M237" s="3202"/>
    </row>
    <row r="238" spans="13:13" ht="21.95" customHeight="1">
      <c r="M238" s="3202"/>
    </row>
    <row r="239" spans="13:13" ht="21.95" customHeight="1">
      <c r="M239" s="3202"/>
    </row>
    <row r="240" spans="13:13" ht="21.95" customHeight="1">
      <c r="M240" s="3202"/>
    </row>
    <row r="241" spans="13:13" ht="21.95" customHeight="1">
      <c r="M241" s="3202"/>
    </row>
    <row r="242" spans="13:13" ht="21.95" customHeight="1">
      <c r="M242" s="3202"/>
    </row>
    <row r="243" spans="13:13" ht="21.95" customHeight="1">
      <c r="M243" s="3202"/>
    </row>
    <row r="244" spans="13:13" ht="21.95" customHeight="1">
      <c r="M244" s="3202"/>
    </row>
    <row r="245" spans="13:13" ht="21.95" customHeight="1">
      <c r="M245" s="3202"/>
    </row>
    <row r="246" spans="13:13" ht="21.95" customHeight="1">
      <c r="M246" s="3202"/>
    </row>
    <row r="247" spans="13:13" ht="21.95" customHeight="1">
      <c r="M247" s="3202"/>
    </row>
    <row r="248" spans="13:13" ht="21.95" customHeight="1">
      <c r="M248" s="3202"/>
    </row>
    <row r="249" spans="13:13" ht="21.95" customHeight="1">
      <c r="M249" s="3202"/>
    </row>
    <row r="250" spans="13:13" ht="21.95" customHeight="1">
      <c r="M250" s="3202"/>
    </row>
    <row r="251" spans="13:13" ht="21.95" customHeight="1">
      <c r="M251" s="3202"/>
    </row>
    <row r="252" spans="13:13" ht="21.95" customHeight="1">
      <c r="M252" s="3202"/>
    </row>
    <row r="253" spans="13:13" ht="21.95" customHeight="1">
      <c r="M253" s="3202"/>
    </row>
    <row r="254" spans="13:13" ht="21.95" customHeight="1">
      <c r="M254" s="3202"/>
    </row>
    <row r="255" spans="13:13" ht="21.95" customHeight="1">
      <c r="M255" s="3202"/>
    </row>
    <row r="256" spans="13:13" ht="21.95" customHeight="1">
      <c r="M256" s="3202"/>
    </row>
    <row r="257" spans="13:13" ht="21.95" customHeight="1">
      <c r="M257" s="3202"/>
    </row>
    <row r="258" spans="13:13" ht="21.95" customHeight="1">
      <c r="M258" s="3202"/>
    </row>
    <row r="259" spans="13:13" ht="21.95" customHeight="1">
      <c r="M259" s="3202"/>
    </row>
    <row r="260" spans="13:13" ht="21.95" customHeight="1">
      <c r="M260" s="3202"/>
    </row>
    <row r="261" spans="13:13" ht="21.95" customHeight="1">
      <c r="M261" s="3202"/>
    </row>
    <row r="262" spans="13:13" ht="21.95" customHeight="1">
      <c r="M262" s="3202"/>
    </row>
    <row r="263" spans="13:13" ht="21.95" customHeight="1">
      <c r="M263" s="3202"/>
    </row>
    <row r="264" spans="13:13" ht="21.95" customHeight="1">
      <c r="M264" s="3202"/>
    </row>
    <row r="265" spans="13:13" ht="21.95" customHeight="1">
      <c r="M265" s="3202"/>
    </row>
    <row r="266" spans="13:13" ht="21.95" customHeight="1">
      <c r="M266" s="3202"/>
    </row>
    <row r="267" spans="13:13" ht="21.95" customHeight="1">
      <c r="M267" s="3202"/>
    </row>
    <row r="268" spans="13:13" ht="21.95" customHeight="1">
      <c r="M268" s="3202"/>
    </row>
    <row r="269" spans="13:13" ht="21.95" customHeight="1">
      <c r="M269" s="3202"/>
    </row>
    <row r="270" spans="13:13" ht="21.95" customHeight="1">
      <c r="M270" s="3202"/>
    </row>
    <row r="271" spans="13:13" ht="21.95" customHeight="1">
      <c r="M271" s="3202"/>
    </row>
    <row r="272" spans="13:13">
      <c r="M272" s="3202"/>
    </row>
    <row r="273" spans="13:13">
      <c r="M273" s="3202"/>
    </row>
    <row r="274" spans="13:13">
      <c r="M274" s="3202"/>
    </row>
    <row r="275" spans="13:13">
      <c r="M275" s="3202"/>
    </row>
    <row r="276" spans="13:13">
      <c r="M276" s="3202"/>
    </row>
    <row r="277" spans="13:13">
      <c r="M277" s="3202"/>
    </row>
    <row r="278" spans="13:13">
      <c r="M278" s="3202"/>
    </row>
    <row r="279" spans="13:13">
      <c r="M279" s="3202"/>
    </row>
    <row r="280" spans="13:13">
      <c r="M280" s="3202"/>
    </row>
    <row r="281" spans="13:13">
      <c r="M281" s="3202"/>
    </row>
    <row r="282" spans="13:13">
      <c r="M282" s="3202"/>
    </row>
    <row r="283" spans="13:13">
      <c r="M283" s="3202"/>
    </row>
    <row r="284" spans="13:13">
      <c r="M284" s="3202"/>
    </row>
    <row r="285" spans="13:13">
      <c r="M285" s="3202"/>
    </row>
    <row r="286" spans="13:13">
      <c r="M286" s="3202"/>
    </row>
    <row r="287" spans="13:13">
      <c r="M287" s="3202"/>
    </row>
    <row r="288" spans="13:13">
      <c r="M288" s="3202"/>
    </row>
    <row r="289" spans="13:13">
      <c r="M289" s="3202"/>
    </row>
    <row r="290" spans="13:13">
      <c r="M290" s="3202"/>
    </row>
    <row r="291" spans="13:13">
      <c r="M291" s="3202"/>
    </row>
    <row r="292" spans="13:13">
      <c r="M292" s="3202"/>
    </row>
    <row r="293" spans="13:13">
      <c r="M293" s="3202"/>
    </row>
    <row r="294" spans="13:13">
      <c r="M294" s="3202"/>
    </row>
    <row r="295" spans="13:13">
      <c r="M295" s="3202"/>
    </row>
    <row r="296" spans="13:13">
      <c r="M296" s="3202"/>
    </row>
    <row r="297" spans="13:13">
      <c r="M297" s="3202"/>
    </row>
    <row r="298" spans="13:13">
      <c r="M298" s="3202"/>
    </row>
    <row r="299" spans="13:13">
      <c r="M299" s="3202"/>
    </row>
    <row r="300" spans="13:13">
      <c r="M300" s="3202"/>
    </row>
    <row r="301" spans="13:13">
      <c r="M301" s="3202"/>
    </row>
    <row r="302" spans="13:13">
      <c r="M302" s="3202"/>
    </row>
    <row r="303" spans="13:13">
      <c r="M303" s="3202"/>
    </row>
    <row r="304" spans="13:13">
      <c r="M304" s="3202"/>
    </row>
    <row r="305" spans="13:13">
      <c r="M305" s="3202"/>
    </row>
    <row r="306" spans="13:13">
      <c r="M306" s="3202"/>
    </row>
    <row r="307" spans="13:13">
      <c r="M307" s="3202"/>
    </row>
    <row r="308" spans="13:13">
      <c r="M308" s="3202"/>
    </row>
    <row r="309" spans="13:13">
      <c r="M309" s="3202"/>
    </row>
    <row r="310" spans="13:13">
      <c r="M310" s="3202"/>
    </row>
    <row r="311" spans="13:13">
      <c r="M311" s="3202"/>
    </row>
    <row r="312" spans="13:13">
      <c r="M312" s="3202"/>
    </row>
    <row r="313" spans="13:13">
      <c r="M313" s="3202"/>
    </row>
    <row r="314" spans="13:13">
      <c r="M314" s="3202"/>
    </row>
    <row r="315" spans="13:13">
      <c r="M315" s="3202"/>
    </row>
    <row r="316" spans="13:13">
      <c r="M316" s="3202"/>
    </row>
    <row r="317" spans="13:13">
      <c r="M317" s="3202"/>
    </row>
    <row r="318" spans="13:13">
      <c r="M318" s="3202"/>
    </row>
    <row r="319" spans="13:13">
      <c r="M319" s="3202"/>
    </row>
    <row r="320" spans="13:13">
      <c r="M320" s="3202"/>
    </row>
    <row r="321" spans="13:13">
      <c r="M321" s="3202"/>
    </row>
    <row r="322" spans="13:13">
      <c r="M322" s="3202"/>
    </row>
    <row r="323" spans="13:13">
      <c r="M323" s="3202"/>
    </row>
    <row r="324" spans="13:13">
      <c r="M324" s="3202"/>
    </row>
    <row r="325" spans="13:13">
      <c r="M325" s="3202"/>
    </row>
    <row r="326" spans="13:13">
      <c r="M326" s="3202"/>
    </row>
    <row r="327" spans="13:13">
      <c r="M327" s="3202"/>
    </row>
    <row r="328" spans="13:13">
      <c r="M328" s="3202"/>
    </row>
    <row r="329" spans="13:13">
      <c r="M329" s="3202"/>
    </row>
    <row r="330" spans="13:13">
      <c r="M330" s="3202"/>
    </row>
    <row r="331" spans="13:13">
      <c r="M331" s="3202"/>
    </row>
    <row r="332" spans="13:13">
      <c r="M332" s="3202"/>
    </row>
    <row r="333" spans="13:13">
      <c r="M333" s="3202"/>
    </row>
    <row r="334" spans="13:13">
      <c r="M334" s="3202"/>
    </row>
    <row r="335" spans="13:13">
      <c r="M335" s="3202"/>
    </row>
    <row r="336" spans="13:13">
      <c r="M336" s="3202"/>
    </row>
    <row r="337" spans="13:13">
      <c r="M337" s="3202"/>
    </row>
    <row r="338" spans="13:13">
      <c r="M338" s="3202"/>
    </row>
    <row r="339" spans="13:13">
      <c r="M339" s="3202"/>
    </row>
    <row r="340" spans="13:13">
      <c r="M340" s="3202"/>
    </row>
    <row r="341" spans="13:13">
      <c r="M341" s="3202"/>
    </row>
    <row r="342" spans="13:13">
      <c r="M342" s="3202"/>
    </row>
    <row r="343" spans="13:13">
      <c r="M343" s="3202"/>
    </row>
    <row r="344" spans="13:13">
      <c r="M344" s="3202"/>
    </row>
    <row r="345" spans="13:13">
      <c r="M345" s="3202"/>
    </row>
    <row r="346" spans="13:13">
      <c r="M346" s="3202"/>
    </row>
    <row r="347" spans="13:13">
      <c r="M347" s="3202"/>
    </row>
    <row r="348" spans="13:13">
      <c r="M348" s="3202"/>
    </row>
    <row r="349" spans="13:13">
      <c r="M349" s="3202"/>
    </row>
    <row r="350" spans="13:13">
      <c r="M350" s="3202"/>
    </row>
    <row r="351" spans="13:13">
      <c r="M351" s="3202"/>
    </row>
    <row r="352" spans="13:13">
      <c r="M352" s="3202"/>
    </row>
    <row r="353" spans="13:13">
      <c r="M353" s="3202"/>
    </row>
    <row r="354" spans="13:13">
      <c r="M354" s="3202"/>
    </row>
    <row r="355" spans="13:13">
      <c r="M355" s="3202"/>
    </row>
    <row r="356" spans="13:13">
      <c r="M356" s="3202"/>
    </row>
    <row r="357" spans="13:13">
      <c r="M357" s="3202"/>
    </row>
    <row r="358" spans="13:13">
      <c r="M358" s="3202"/>
    </row>
    <row r="359" spans="13:13">
      <c r="M359" s="3202"/>
    </row>
    <row r="360" spans="13:13">
      <c r="M360" s="3202"/>
    </row>
    <row r="361" spans="13:13">
      <c r="M361" s="3202"/>
    </row>
    <row r="362" spans="13:13">
      <c r="M362" s="3202"/>
    </row>
    <row r="363" spans="13:13">
      <c r="M363" s="3202"/>
    </row>
    <row r="364" spans="13:13">
      <c r="M364" s="3202"/>
    </row>
    <row r="365" spans="13:13">
      <c r="M365" s="3202"/>
    </row>
    <row r="366" spans="13:13">
      <c r="M366" s="3202"/>
    </row>
    <row r="367" spans="13:13">
      <c r="M367" s="3202"/>
    </row>
    <row r="368" spans="13:13">
      <c r="M368" s="3202"/>
    </row>
    <row r="369" spans="13:13">
      <c r="M369" s="3202"/>
    </row>
    <row r="370" spans="13:13">
      <c r="M370" s="3202"/>
    </row>
    <row r="371" spans="13:13">
      <c r="M371" s="3202"/>
    </row>
    <row r="372" spans="13:13">
      <c r="M372" s="3202"/>
    </row>
    <row r="373" spans="13:13">
      <c r="M373" s="3202"/>
    </row>
    <row r="374" spans="13:13">
      <c r="M374" s="3202"/>
    </row>
    <row r="375" spans="13:13">
      <c r="M375" s="3202"/>
    </row>
    <row r="376" spans="13:13">
      <c r="M376" s="3202"/>
    </row>
    <row r="377" spans="13:13">
      <c r="M377" s="3202"/>
    </row>
    <row r="378" spans="13:13">
      <c r="M378" s="3202"/>
    </row>
    <row r="379" spans="13:13">
      <c r="M379" s="3202"/>
    </row>
    <row r="380" spans="13:13">
      <c r="M380" s="3202"/>
    </row>
    <row r="381" spans="13:13">
      <c r="M381" s="3202"/>
    </row>
    <row r="382" spans="13:13">
      <c r="M382" s="3202"/>
    </row>
    <row r="383" spans="13:13">
      <c r="M383" s="3202"/>
    </row>
    <row r="384" spans="13:13">
      <c r="M384" s="3202"/>
    </row>
    <row r="385" spans="13:13">
      <c r="M385" s="3202"/>
    </row>
    <row r="386" spans="13:13">
      <c r="M386" s="3202"/>
    </row>
    <row r="387" spans="13:13">
      <c r="M387" s="3202"/>
    </row>
    <row r="388" spans="13:13">
      <c r="M388" s="3202"/>
    </row>
    <row r="389" spans="13:13">
      <c r="M389" s="3202"/>
    </row>
    <row r="390" spans="13:13">
      <c r="M390" s="3202"/>
    </row>
    <row r="391" spans="13:13">
      <c r="M391" s="3202"/>
    </row>
    <row r="392" spans="13:13">
      <c r="M392" s="3202"/>
    </row>
    <row r="393" spans="13:13">
      <c r="M393" s="3202"/>
    </row>
    <row r="394" spans="13:13">
      <c r="M394" s="3202"/>
    </row>
    <row r="395" spans="13:13">
      <c r="M395" s="3202"/>
    </row>
    <row r="396" spans="13:13">
      <c r="M396" s="3202"/>
    </row>
    <row r="397" spans="13:13">
      <c r="M397" s="3202"/>
    </row>
    <row r="398" spans="13:13">
      <c r="M398" s="3202"/>
    </row>
    <row r="399" spans="13:13">
      <c r="M399" s="3202"/>
    </row>
    <row r="400" spans="13:13">
      <c r="M400" s="3202"/>
    </row>
    <row r="401" spans="13:13">
      <c r="M401" s="3202"/>
    </row>
    <row r="402" spans="13:13">
      <c r="M402" s="3202"/>
    </row>
    <row r="403" spans="13:13">
      <c r="M403" s="3202"/>
    </row>
    <row r="404" spans="13:13">
      <c r="M404" s="3202"/>
    </row>
    <row r="405" spans="13:13">
      <c r="M405" s="3202"/>
    </row>
    <row r="406" spans="13:13">
      <c r="M406" s="3202"/>
    </row>
    <row r="407" spans="13:13">
      <c r="M407" s="3202"/>
    </row>
    <row r="408" spans="13:13">
      <c r="M408" s="3202"/>
    </row>
    <row r="409" spans="13:13">
      <c r="M409" s="3202"/>
    </row>
    <row r="410" spans="13:13">
      <c r="M410" s="3202"/>
    </row>
    <row r="411" spans="13:13">
      <c r="M411" s="3202"/>
    </row>
    <row r="412" spans="13:13">
      <c r="M412" s="3202"/>
    </row>
    <row r="413" spans="13:13">
      <c r="M413" s="3202"/>
    </row>
    <row r="414" spans="13:13">
      <c r="M414" s="3202"/>
    </row>
    <row r="415" spans="13:13">
      <c r="M415" s="3202"/>
    </row>
    <row r="416" spans="13:13">
      <c r="M416" s="3202"/>
    </row>
    <row r="417" spans="13:13">
      <c r="M417" s="3202"/>
    </row>
    <row r="418" spans="13:13">
      <c r="M418" s="3202"/>
    </row>
    <row r="419" spans="13:13">
      <c r="M419" s="3202"/>
    </row>
    <row r="420" spans="13:13">
      <c r="M420" s="3202"/>
    </row>
    <row r="421" spans="13:13">
      <c r="M421" s="3202"/>
    </row>
    <row r="422" spans="13:13">
      <c r="M422" s="3202"/>
    </row>
    <row r="423" spans="13:13">
      <c r="M423" s="3202"/>
    </row>
    <row r="424" spans="13:13">
      <c r="M424" s="3202"/>
    </row>
    <row r="425" spans="13:13">
      <c r="M425" s="3202"/>
    </row>
    <row r="426" spans="13:13">
      <c r="M426" s="3202"/>
    </row>
    <row r="427" spans="13:13">
      <c r="M427" s="3202"/>
    </row>
    <row r="428" spans="13:13">
      <c r="M428" s="3202"/>
    </row>
    <row r="429" spans="13:13">
      <c r="M429" s="3202"/>
    </row>
    <row r="430" spans="13:13">
      <c r="M430" s="3202"/>
    </row>
    <row r="431" spans="13:13">
      <c r="M431" s="3202"/>
    </row>
    <row r="432" spans="13:13">
      <c r="M432" s="3202"/>
    </row>
    <row r="433" spans="13:13">
      <c r="M433" s="3202"/>
    </row>
    <row r="434" spans="13:13">
      <c r="M434" s="3202"/>
    </row>
    <row r="435" spans="13:13">
      <c r="M435" s="3202"/>
    </row>
    <row r="436" spans="13:13">
      <c r="M436" s="3202"/>
    </row>
    <row r="437" spans="13:13">
      <c r="M437" s="3202"/>
    </row>
    <row r="438" spans="13:13">
      <c r="M438" s="3202"/>
    </row>
    <row r="439" spans="13:13">
      <c r="M439" s="3202"/>
    </row>
    <row r="440" spans="13:13">
      <c r="M440" s="3202"/>
    </row>
    <row r="441" spans="13:13">
      <c r="M441" s="3202"/>
    </row>
    <row r="442" spans="13:13">
      <c r="M442" s="3202"/>
    </row>
    <row r="443" spans="13:13">
      <c r="M443" s="3202"/>
    </row>
    <row r="444" spans="13:13">
      <c r="M444" s="3202"/>
    </row>
    <row r="445" spans="13:13">
      <c r="M445" s="3202"/>
    </row>
    <row r="446" spans="13:13">
      <c r="M446" s="3202"/>
    </row>
    <row r="447" spans="13:13">
      <c r="M447" s="3202"/>
    </row>
    <row r="448" spans="13:13">
      <c r="M448" s="3202"/>
    </row>
    <row r="449" spans="13:13">
      <c r="M449" s="3202"/>
    </row>
    <row r="450" spans="13:13">
      <c r="M450" s="3202"/>
    </row>
    <row r="451" spans="13:13">
      <c r="M451" s="3202"/>
    </row>
    <row r="452" spans="13:13">
      <c r="M452" s="3202"/>
    </row>
    <row r="453" spans="13:13">
      <c r="M453" s="3202"/>
    </row>
    <row r="454" spans="13:13">
      <c r="M454" s="3202"/>
    </row>
    <row r="455" spans="13:13">
      <c r="M455" s="3202"/>
    </row>
    <row r="456" spans="13:13">
      <c r="M456" s="3202"/>
    </row>
    <row r="457" spans="13:13">
      <c r="M457" s="3202"/>
    </row>
    <row r="458" spans="13:13">
      <c r="M458" s="3202"/>
    </row>
    <row r="459" spans="13:13">
      <c r="M459" s="3202"/>
    </row>
    <row r="460" spans="13:13">
      <c r="M460" s="3202"/>
    </row>
    <row r="461" spans="13:13">
      <c r="M461" s="3202"/>
    </row>
    <row r="462" spans="13:13">
      <c r="M462" s="3202"/>
    </row>
    <row r="463" spans="13:13">
      <c r="M463" s="3202"/>
    </row>
    <row r="464" spans="13:13">
      <c r="M464" s="3202"/>
    </row>
    <row r="465" spans="13:13">
      <c r="M465" s="3202"/>
    </row>
    <row r="466" spans="13:13">
      <c r="M466" s="3202"/>
    </row>
    <row r="467" spans="13:13">
      <c r="M467" s="3202"/>
    </row>
    <row r="468" spans="13:13">
      <c r="M468" s="3202"/>
    </row>
    <row r="469" spans="13:13">
      <c r="M469" s="3202"/>
    </row>
    <row r="470" spans="13:13">
      <c r="M470" s="3202"/>
    </row>
    <row r="471" spans="13:13">
      <c r="M471" s="3202"/>
    </row>
    <row r="472" spans="13:13">
      <c r="M472" s="3202"/>
    </row>
    <row r="473" spans="13:13">
      <c r="M473" s="3202"/>
    </row>
    <row r="474" spans="13:13">
      <c r="M474" s="3202"/>
    </row>
    <row r="475" spans="13:13">
      <c r="M475" s="3202"/>
    </row>
    <row r="476" spans="13:13">
      <c r="M476" s="3202"/>
    </row>
    <row r="477" spans="13:13">
      <c r="M477" s="3202"/>
    </row>
    <row r="478" spans="13:13">
      <c r="M478" s="3202"/>
    </row>
    <row r="479" spans="13:13">
      <c r="M479" s="3202"/>
    </row>
    <row r="480" spans="13:13">
      <c r="M480" s="3202"/>
    </row>
    <row r="481" spans="13:13">
      <c r="M481" s="3202"/>
    </row>
    <row r="482" spans="13:13">
      <c r="M482" s="3202"/>
    </row>
    <row r="483" spans="13:13">
      <c r="M483" s="3202"/>
    </row>
    <row r="484" spans="13:13">
      <c r="M484" s="3202"/>
    </row>
    <row r="485" spans="13:13">
      <c r="M485" s="3202"/>
    </row>
    <row r="486" spans="13:13">
      <c r="M486" s="3202"/>
    </row>
    <row r="487" spans="13:13">
      <c r="M487" s="3202"/>
    </row>
    <row r="488" spans="13:13">
      <c r="M488" s="3202"/>
    </row>
    <row r="489" spans="13:13">
      <c r="M489" s="3202"/>
    </row>
    <row r="490" spans="13:13">
      <c r="M490" s="3202"/>
    </row>
    <row r="491" spans="13:13">
      <c r="M491" s="3202"/>
    </row>
    <row r="492" spans="13:13">
      <c r="M492" s="3202"/>
    </row>
    <row r="493" spans="13:13">
      <c r="M493" s="3202"/>
    </row>
    <row r="494" spans="13:13">
      <c r="M494" s="3202"/>
    </row>
    <row r="495" spans="13:13">
      <c r="M495" s="3202"/>
    </row>
    <row r="496" spans="13:13">
      <c r="M496" s="3202"/>
    </row>
    <row r="497" spans="13:13">
      <c r="M497" s="3202"/>
    </row>
    <row r="498" spans="13:13">
      <c r="M498" s="3202"/>
    </row>
    <row r="499" spans="13:13">
      <c r="M499" s="3202"/>
    </row>
    <row r="500" spans="13:13">
      <c r="M500" s="3202"/>
    </row>
    <row r="501" spans="13:13">
      <c r="M501" s="3202"/>
    </row>
    <row r="502" spans="13:13">
      <c r="M502" s="3202"/>
    </row>
    <row r="503" spans="13:13">
      <c r="M503" s="3202"/>
    </row>
    <row r="504" spans="13:13">
      <c r="M504" s="3202"/>
    </row>
    <row r="505" spans="13:13">
      <c r="M505" s="3202"/>
    </row>
    <row r="506" spans="13:13">
      <c r="M506" s="3202"/>
    </row>
    <row r="507" spans="13:13">
      <c r="M507" s="3202"/>
    </row>
    <row r="508" spans="13:13">
      <c r="M508" s="3202"/>
    </row>
    <row r="509" spans="13:13">
      <c r="M509" s="3202"/>
    </row>
    <row r="510" spans="13:13">
      <c r="M510" s="3202"/>
    </row>
    <row r="511" spans="13:13">
      <c r="M511" s="3202"/>
    </row>
    <row r="512" spans="13:13">
      <c r="M512" s="3202"/>
    </row>
    <row r="513" spans="13:13">
      <c r="M513" s="3202"/>
    </row>
    <row r="514" spans="13:13">
      <c r="M514" s="3202"/>
    </row>
    <row r="515" spans="13:13">
      <c r="M515" s="3202"/>
    </row>
    <row r="516" spans="13:13">
      <c r="M516" s="3202"/>
    </row>
    <row r="517" spans="13:13">
      <c r="M517" s="3202"/>
    </row>
    <row r="518" spans="13:13">
      <c r="M518" s="3202"/>
    </row>
    <row r="519" spans="13:13">
      <c r="M519" s="3202"/>
    </row>
    <row r="520" spans="13:13">
      <c r="M520" s="3202"/>
    </row>
    <row r="521" spans="13:13">
      <c r="M521" s="3202"/>
    </row>
    <row r="522" spans="13:13">
      <c r="M522" s="3202"/>
    </row>
    <row r="523" spans="13:13">
      <c r="M523" s="3202"/>
    </row>
    <row r="524" spans="13:13">
      <c r="M524" s="3202"/>
    </row>
    <row r="525" spans="13:13">
      <c r="M525" s="3202"/>
    </row>
    <row r="526" spans="13:13">
      <c r="M526" s="3202"/>
    </row>
    <row r="527" spans="13:13">
      <c r="M527" s="3202"/>
    </row>
    <row r="528" spans="13:13">
      <c r="M528" s="3202"/>
    </row>
    <row r="529" spans="13:13">
      <c r="M529" s="3202"/>
    </row>
    <row r="530" spans="13:13">
      <c r="M530" s="3202"/>
    </row>
    <row r="531" spans="13:13">
      <c r="M531" s="3202"/>
    </row>
    <row r="532" spans="13:13">
      <c r="M532" s="3202"/>
    </row>
    <row r="533" spans="13:13">
      <c r="M533" s="3202"/>
    </row>
    <row r="534" spans="13:13">
      <c r="M534" s="3202"/>
    </row>
    <row r="535" spans="13:13">
      <c r="M535" s="3202"/>
    </row>
    <row r="536" spans="13:13">
      <c r="M536" s="3202"/>
    </row>
    <row r="537" spans="13:13">
      <c r="M537" s="3202"/>
    </row>
    <row r="538" spans="13:13">
      <c r="M538" s="3202"/>
    </row>
    <row r="539" spans="13:13">
      <c r="M539" s="3202"/>
    </row>
    <row r="540" spans="13:13">
      <c r="M540" s="3202"/>
    </row>
    <row r="541" spans="13:13">
      <c r="M541" s="3202"/>
    </row>
    <row r="542" spans="13:13">
      <c r="M542" s="3202"/>
    </row>
    <row r="543" spans="13:13">
      <c r="M543" s="3202"/>
    </row>
    <row r="544" spans="13:13">
      <c r="M544" s="3202"/>
    </row>
    <row r="545" spans="13:13">
      <c r="M545" s="3202"/>
    </row>
    <row r="546" spans="13:13">
      <c r="M546" s="3202"/>
    </row>
    <row r="547" spans="13:13">
      <c r="M547" s="3202"/>
    </row>
    <row r="548" spans="13:13">
      <c r="M548" s="3202"/>
    </row>
    <row r="549" spans="13:13">
      <c r="M549" s="3202"/>
    </row>
    <row r="550" spans="13:13">
      <c r="M550" s="3202"/>
    </row>
    <row r="551" spans="13:13">
      <c r="M551" s="3202"/>
    </row>
    <row r="552" spans="13:13">
      <c r="M552" s="3202"/>
    </row>
    <row r="553" spans="13:13">
      <c r="M553" s="3202"/>
    </row>
    <row r="554" spans="13:13">
      <c r="M554" s="3202"/>
    </row>
    <row r="555" spans="13:13">
      <c r="M555" s="3202"/>
    </row>
    <row r="556" spans="13:13">
      <c r="M556" s="3202"/>
    </row>
    <row r="557" spans="13:13">
      <c r="M557" s="3202"/>
    </row>
    <row r="558" spans="13:13">
      <c r="M558" s="3202"/>
    </row>
    <row r="559" spans="13:13">
      <c r="M559" s="3202"/>
    </row>
    <row r="560" spans="13:13">
      <c r="M560" s="3202"/>
    </row>
    <row r="561" spans="13:13">
      <c r="M561" s="3202"/>
    </row>
    <row r="562" spans="13:13">
      <c r="M562" s="3202"/>
    </row>
    <row r="563" spans="13:13">
      <c r="M563" s="3202"/>
    </row>
    <row r="564" spans="13:13">
      <c r="M564" s="3202"/>
    </row>
    <row r="565" spans="13:13">
      <c r="M565" s="3202"/>
    </row>
    <row r="566" spans="13:13">
      <c r="M566" s="3202"/>
    </row>
    <row r="567" spans="13:13">
      <c r="M567" s="3202"/>
    </row>
    <row r="568" spans="13:13">
      <c r="M568" s="3202"/>
    </row>
    <row r="569" spans="13:13">
      <c r="M569" s="3202"/>
    </row>
    <row r="570" spans="13:13">
      <c r="M570" s="3202"/>
    </row>
    <row r="571" spans="13:13">
      <c r="M571" s="3202"/>
    </row>
    <row r="572" spans="13:13">
      <c r="M572" s="3202"/>
    </row>
    <row r="573" spans="13:13">
      <c r="M573" s="3202"/>
    </row>
    <row r="574" spans="13:13">
      <c r="M574" s="3202"/>
    </row>
    <row r="575" spans="13:13">
      <c r="M575" s="3202"/>
    </row>
    <row r="576" spans="13:13">
      <c r="M576" s="3202"/>
    </row>
    <row r="577" spans="13:13">
      <c r="M577" s="3202"/>
    </row>
    <row r="578" spans="13:13">
      <c r="M578" s="3202"/>
    </row>
    <row r="579" spans="13:13">
      <c r="M579" s="3202"/>
    </row>
    <row r="580" spans="13:13">
      <c r="M580" s="3202"/>
    </row>
    <row r="581" spans="13:13">
      <c r="M581" s="3202"/>
    </row>
    <row r="582" spans="13:13">
      <c r="M582" s="3202"/>
    </row>
    <row r="583" spans="13:13">
      <c r="M583" s="3202"/>
    </row>
    <row r="584" spans="13:13">
      <c r="M584" s="3202"/>
    </row>
    <row r="585" spans="13:13">
      <c r="M585" s="3202"/>
    </row>
    <row r="586" spans="13:13">
      <c r="M586" s="3202"/>
    </row>
    <row r="587" spans="13:13">
      <c r="M587" s="3202"/>
    </row>
    <row r="588" spans="13:13">
      <c r="M588" s="3202"/>
    </row>
    <row r="589" spans="13:13">
      <c r="M589" s="3202"/>
    </row>
    <row r="590" spans="13:13">
      <c r="M590" s="3202"/>
    </row>
    <row r="591" spans="13:13">
      <c r="M591" s="3202"/>
    </row>
    <row r="592" spans="13:13">
      <c r="M592" s="3202"/>
    </row>
    <row r="593" spans="13:13">
      <c r="M593" s="3202"/>
    </row>
    <row r="594" spans="13:13">
      <c r="M594" s="3202"/>
    </row>
    <row r="595" spans="13:13">
      <c r="M595" s="3202"/>
    </row>
    <row r="596" spans="13:13">
      <c r="M596" s="3202"/>
    </row>
    <row r="597" spans="13:13">
      <c r="M597" s="3202"/>
    </row>
    <row r="598" spans="13:13">
      <c r="M598" s="3202"/>
    </row>
    <row r="599" spans="13:13">
      <c r="M599" s="3202"/>
    </row>
    <row r="600" spans="13:13">
      <c r="M600" s="3202"/>
    </row>
    <row r="601" spans="13:13">
      <c r="M601" s="3202"/>
    </row>
    <row r="602" spans="13:13">
      <c r="M602" s="3202"/>
    </row>
    <row r="603" spans="13:13">
      <c r="M603" s="3202"/>
    </row>
    <row r="604" spans="13:13">
      <c r="M604" s="3202"/>
    </row>
    <row r="605" spans="13:13">
      <c r="M605" s="3202"/>
    </row>
    <row r="606" spans="13:13">
      <c r="M606" s="3202"/>
    </row>
    <row r="607" spans="13:13">
      <c r="M607" s="3202"/>
    </row>
    <row r="608" spans="13:13">
      <c r="M608" s="3202"/>
    </row>
    <row r="609" spans="13:13">
      <c r="M609" s="3202"/>
    </row>
    <row r="610" spans="13:13">
      <c r="M610" s="3202"/>
    </row>
    <row r="611" spans="13:13">
      <c r="M611" s="3202"/>
    </row>
  </sheetData>
  <mergeCells count="42">
    <mergeCell ref="A1:J1"/>
    <mergeCell ref="A2:O2"/>
    <mergeCell ref="A3:J3"/>
    <mergeCell ref="A18:J18"/>
    <mergeCell ref="A21:J21"/>
    <mergeCell ref="A22:J22"/>
    <mergeCell ref="A23:J23"/>
    <mergeCell ref="A28:J28"/>
    <mergeCell ref="A31:J31"/>
    <mergeCell ref="A32:J32"/>
    <mergeCell ref="A33:J33"/>
    <mergeCell ref="A34:J34"/>
    <mergeCell ref="A35:J35"/>
    <mergeCell ref="A39:J39"/>
    <mergeCell ref="A40:J40"/>
    <mergeCell ref="A41:J41"/>
    <mergeCell ref="A42:J42"/>
    <mergeCell ref="A43:J43"/>
    <mergeCell ref="A44:J44"/>
    <mergeCell ref="A45:J45"/>
    <mergeCell ref="A55:J55"/>
    <mergeCell ref="A46:J46"/>
    <mergeCell ref="A47:J47"/>
    <mergeCell ref="A48:J48"/>
    <mergeCell ref="A49:J49"/>
    <mergeCell ref="A50:J50"/>
    <mergeCell ref="A71:J71"/>
    <mergeCell ref="I10:I11"/>
    <mergeCell ref="A19:J20"/>
    <mergeCell ref="A24:J25"/>
    <mergeCell ref="A26:J27"/>
    <mergeCell ref="A29:J30"/>
    <mergeCell ref="A36:J37"/>
    <mergeCell ref="A56:S56"/>
    <mergeCell ref="A62:T62"/>
    <mergeCell ref="A63:Q63"/>
    <mergeCell ref="A69:P69"/>
    <mergeCell ref="A70:P70"/>
    <mergeCell ref="A51:J51"/>
    <mergeCell ref="A52:J52"/>
    <mergeCell ref="A53:J53"/>
    <mergeCell ref="A54:J54"/>
  </mergeCells>
  <phoneticPr fontId="214" type="noConversion"/>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L30"/>
  <sheetViews>
    <sheetView workbookViewId="0">
      <selection activeCell="E18" sqref="E18"/>
    </sheetView>
  </sheetViews>
  <sheetFormatPr defaultColWidth="9" defaultRowHeight="14.25"/>
  <cols>
    <col min="1" max="2" width="8.5" style="3777" customWidth="1"/>
    <col min="3" max="3" width="10.25" style="3777" customWidth="1"/>
    <col min="4" max="4" width="12.875" style="3777" customWidth="1"/>
    <col min="5" max="5" width="13" style="3777" customWidth="1"/>
    <col min="6" max="7" width="12.875" style="3777" customWidth="1"/>
    <col min="8" max="8" width="15.625" style="3777" customWidth="1"/>
    <col min="9" max="256" width="9" style="3777"/>
    <col min="257" max="258" width="8.5" style="3777" customWidth="1"/>
    <col min="259" max="259" width="10.25" style="3777" customWidth="1"/>
    <col min="260" max="260" width="12.875" style="3777" customWidth="1"/>
    <col min="261" max="261" width="13" style="3777" customWidth="1"/>
    <col min="262" max="263" width="12.875" style="3777" customWidth="1"/>
    <col min="264" max="264" width="15.625" style="3777" customWidth="1"/>
    <col min="265" max="512" width="9" style="3777"/>
    <col min="513" max="514" width="8.5" style="3777" customWidth="1"/>
    <col min="515" max="515" width="10.25" style="3777" customWidth="1"/>
    <col min="516" max="516" width="12.875" style="3777" customWidth="1"/>
    <col min="517" max="517" width="13" style="3777" customWidth="1"/>
    <col min="518" max="519" width="12.875" style="3777" customWidth="1"/>
    <col min="520" max="520" width="15.625" style="3777" customWidth="1"/>
    <col min="521" max="768" width="9" style="3777"/>
    <col min="769" max="770" width="8.5" style="3777" customWidth="1"/>
    <col min="771" max="771" width="10.25" style="3777" customWidth="1"/>
    <col min="772" max="772" width="12.875" style="3777" customWidth="1"/>
    <col min="773" max="773" width="13" style="3777" customWidth="1"/>
    <col min="774" max="775" width="12.875" style="3777" customWidth="1"/>
    <col min="776" max="776" width="15.625" style="3777" customWidth="1"/>
    <col min="777" max="1024" width="9" style="3777"/>
    <col min="1025" max="1026" width="8.5" style="3777" customWidth="1"/>
    <col min="1027" max="1027" width="10.25" style="3777" customWidth="1"/>
    <col min="1028" max="1028" width="12.875" style="3777" customWidth="1"/>
    <col min="1029" max="1029" width="13" style="3777" customWidth="1"/>
    <col min="1030" max="1031" width="12.875" style="3777" customWidth="1"/>
    <col min="1032" max="1032" width="15.625" style="3777" customWidth="1"/>
    <col min="1033" max="1280" width="9" style="3777"/>
    <col min="1281" max="1282" width="8.5" style="3777" customWidth="1"/>
    <col min="1283" max="1283" width="10.25" style="3777" customWidth="1"/>
    <col min="1284" max="1284" width="12.875" style="3777" customWidth="1"/>
    <col min="1285" max="1285" width="13" style="3777" customWidth="1"/>
    <col min="1286" max="1287" width="12.875" style="3777" customWidth="1"/>
    <col min="1288" max="1288" width="15.625" style="3777" customWidth="1"/>
    <col min="1289" max="1536" width="9" style="3777"/>
    <col min="1537" max="1538" width="8.5" style="3777" customWidth="1"/>
    <col min="1539" max="1539" width="10.25" style="3777" customWidth="1"/>
    <col min="1540" max="1540" width="12.875" style="3777" customWidth="1"/>
    <col min="1541" max="1541" width="13" style="3777" customWidth="1"/>
    <col min="1542" max="1543" width="12.875" style="3777" customWidth="1"/>
    <col min="1544" max="1544" width="15.625" style="3777" customWidth="1"/>
    <col min="1545" max="1792" width="9" style="3777"/>
    <col min="1793" max="1794" width="8.5" style="3777" customWidth="1"/>
    <col min="1795" max="1795" width="10.25" style="3777" customWidth="1"/>
    <col min="1796" max="1796" width="12.875" style="3777" customWidth="1"/>
    <col min="1797" max="1797" width="13" style="3777" customWidth="1"/>
    <col min="1798" max="1799" width="12.875" style="3777" customWidth="1"/>
    <col min="1800" max="1800" width="15.625" style="3777" customWidth="1"/>
    <col min="1801" max="2048" width="9" style="3777"/>
    <col min="2049" max="2050" width="8.5" style="3777" customWidth="1"/>
    <col min="2051" max="2051" width="10.25" style="3777" customWidth="1"/>
    <col min="2052" max="2052" width="12.875" style="3777" customWidth="1"/>
    <col min="2053" max="2053" width="13" style="3777" customWidth="1"/>
    <col min="2054" max="2055" width="12.875" style="3777" customWidth="1"/>
    <col min="2056" max="2056" width="15.625" style="3777" customWidth="1"/>
    <col min="2057" max="2304" width="9" style="3777"/>
    <col min="2305" max="2306" width="8.5" style="3777" customWidth="1"/>
    <col min="2307" max="2307" width="10.25" style="3777" customWidth="1"/>
    <col min="2308" max="2308" width="12.875" style="3777" customWidth="1"/>
    <col min="2309" max="2309" width="13" style="3777" customWidth="1"/>
    <col min="2310" max="2311" width="12.875" style="3777" customWidth="1"/>
    <col min="2312" max="2312" width="15.625" style="3777" customWidth="1"/>
    <col min="2313" max="2560" width="9" style="3777"/>
    <col min="2561" max="2562" width="8.5" style="3777" customWidth="1"/>
    <col min="2563" max="2563" width="10.25" style="3777" customWidth="1"/>
    <col min="2564" max="2564" width="12.875" style="3777" customWidth="1"/>
    <col min="2565" max="2565" width="13" style="3777" customWidth="1"/>
    <col min="2566" max="2567" width="12.875" style="3777" customWidth="1"/>
    <col min="2568" max="2568" width="15.625" style="3777" customWidth="1"/>
    <col min="2569" max="2816" width="9" style="3777"/>
    <col min="2817" max="2818" width="8.5" style="3777" customWidth="1"/>
    <col min="2819" max="2819" width="10.25" style="3777" customWidth="1"/>
    <col min="2820" max="2820" width="12.875" style="3777" customWidth="1"/>
    <col min="2821" max="2821" width="13" style="3777" customWidth="1"/>
    <col min="2822" max="2823" width="12.875" style="3777" customWidth="1"/>
    <col min="2824" max="2824" width="15.625" style="3777" customWidth="1"/>
    <col min="2825" max="3072" width="9" style="3777"/>
    <col min="3073" max="3074" width="8.5" style="3777" customWidth="1"/>
    <col min="3075" max="3075" width="10.25" style="3777" customWidth="1"/>
    <col min="3076" max="3076" width="12.875" style="3777" customWidth="1"/>
    <col min="3077" max="3077" width="13" style="3777" customWidth="1"/>
    <col min="3078" max="3079" width="12.875" style="3777" customWidth="1"/>
    <col min="3080" max="3080" width="15.625" style="3777" customWidth="1"/>
    <col min="3081" max="3328" width="9" style="3777"/>
    <col min="3329" max="3330" width="8.5" style="3777" customWidth="1"/>
    <col min="3331" max="3331" width="10.25" style="3777" customWidth="1"/>
    <col min="3332" max="3332" width="12.875" style="3777" customWidth="1"/>
    <col min="3333" max="3333" width="13" style="3777" customWidth="1"/>
    <col min="3334" max="3335" width="12.875" style="3777" customWidth="1"/>
    <col min="3336" max="3336" width="15.625" style="3777" customWidth="1"/>
    <col min="3337" max="3584" width="9" style="3777"/>
    <col min="3585" max="3586" width="8.5" style="3777" customWidth="1"/>
    <col min="3587" max="3587" width="10.25" style="3777" customWidth="1"/>
    <col min="3588" max="3588" width="12.875" style="3777" customWidth="1"/>
    <col min="3589" max="3589" width="13" style="3777" customWidth="1"/>
    <col min="3590" max="3591" width="12.875" style="3777" customWidth="1"/>
    <col min="3592" max="3592" width="15.625" style="3777" customWidth="1"/>
    <col min="3593" max="3840" width="9" style="3777"/>
    <col min="3841" max="3842" width="8.5" style="3777" customWidth="1"/>
    <col min="3843" max="3843" width="10.25" style="3777" customWidth="1"/>
    <col min="3844" max="3844" width="12.875" style="3777" customWidth="1"/>
    <col min="3845" max="3845" width="13" style="3777" customWidth="1"/>
    <col min="3846" max="3847" width="12.875" style="3777" customWidth="1"/>
    <col min="3848" max="3848" width="15.625" style="3777" customWidth="1"/>
    <col min="3849" max="4096" width="9" style="3777"/>
    <col min="4097" max="4098" width="8.5" style="3777" customWidth="1"/>
    <col min="4099" max="4099" width="10.25" style="3777" customWidth="1"/>
    <col min="4100" max="4100" width="12.875" style="3777" customWidth="1"/>
    <col min="4101" max="4101" width="13" style="3777" customWidth="1"/>
    <col min="4102" max="4103" width="12.875" style="3777" customWidth="1"/>
    <col min="4104" max="4104" width="15.625" style="3777" customWidth="1"/>
    <col min="4105" max="4352" width="9" style="3777"/>
    <col min="4353" max="4354" width="8.5" style="3777" customWidth="1"/>
    <col min="4355" max="4355" width="10.25" style="3777" customWidth="1"/>
    <col min="4356" max="4356" width="12.875" style="3777" customWidth="1"/>
    <col min="4357" max="4357" width="13" style="3777" customWidth="1"/>
    <col min="4358" max="4359" width="12.875" style="3777" customWidth="1"/>
    <col min="4360" max="4360" width="15.625" style="3777" customWidth="1"/>
    <col min="4361" max="4608" width="9" style="3777"/>
    <col min="4609" max="4610" width="8.5" style="3777" customWidth="1"/>
    <col min="4611" max="4611" width="10.25" style="3777" customWidth="1"/>
    <col min="4612" max="4612" width="12.875" style="3777" customWidth="1"/>
    <col min="4613" max="4613" width="13" style="3777" customWidth="1"/>
    <col min="4614" max="4615" width="12.875" style="3777" customWidth="1"/>
    <col min="4616" max="4616" width="15.625" style="3777" customWidth="1"/>
    <col min="4617" max="4864" width="9" style="3777"/>
    <col min="4865" max="4866" width="8.5" style="3777" customWidth="1"/>
    <col min="4867" max="4867" width="10.25" style="3777" customWidth="1"/>
    <col min="4868" max="4868" width="12.875" style="3777" customWidth="1"/>
    <col min="4869" max="4869" width="13" style="3777" customWidth="1"/>
    <col min="4870" max="4871" width="12.875" style="3777" customWidth="1"/>
    <col min="4872" max="4872" width="15.625" style="3777" customWidth="1"/>
    <col min="4873" max="5120" width="9" style="3777"/>
    <col min="5121" max="5122" width="8.5" style="3777" customWidth="1"/>
    <col min="5123" max="5123" width="10.25" style="3777" customWidth="1"/>
    <col min="5124" max="5124" width="12.875" style="3777" customWidth="1"/>
    <col min="5125" max="5125" width="13" style="3777" customWidth="1"/>
    <col min="5126" max="5127" width="12.875" style="3777" customWidth="1"/>
    <col min="5128" max="5128" width="15.625" style="3777" customWidth="1"/>
    <col min="5129" max="5376" width="9" style="3777"/>
    <col min="5377" max="5378" width="8.5" style="3777" customWidth="1"/>
    <col min="5379" max="5379" width="10.25" style="3777" customWidth="1"/>
    <col min="5380" max="5380" width="12.875" style="3777" customWidth="1"/>
    <col min="5381" max="5381" width="13" style="3777" customWidth="1"/>
    <col min="5382" max="5383" width="12.875" style="3777" customWidth="1"/>
    <col min="5384" max="5384" width="15.625" style="3777" customWidth="1"/>
    <col min="5385" max="5632" width="9" style="3777"/>
    <col min="5633" max="5634" width="8.5" style="3777" customWidth="1"/>
    <col min="5635" max="5635" width="10.25" style="3777" customWidth="1"/>
    <col min="5636" max="5636" width="12.875" style="3777" customWidth="1"/>
    <col min="5637" max="5637" width="13" style="3777" customWidth="1"/>
    <col min="5638" max="5639" width="12.875" style="3777" customWidth="1"/>
    <col min="5640" max="5640" width="15.625" style="3777" customWidth="1"/>
    <col min="5641" max="5888" width="9" style="3777"/>
    <col min="5889" max="5890" width="8.5" style="3777" customWidth="1"/>
    <col min="5891" max="5891" width="10.25" style="3777" customWidth="1"/>
    <col min="5892" max="5892" width="12.875" style="3777" customWidth="1"/>
    <col min="5893" max="5893" width="13" style="3777" customWidth="1"/>
    <col min="5894" max="5895" width="12.875" style="3777" customWidth="1"/>
    <col min="5896" max="5896" width="15.625" style="3777" customWidth="1"/>
    <col min="5897" max="6144" width="9" style="3777"/>
    <col min="6145" max="6146" width="8.5" style="3777" customWidth="1"/>
    <col min="6147" max="6147" width="10.25" style="3777" customWidth="1"/>
    <col min="6148" max="6148" width="12.875" style="3777" customWidth="1"/>
    <col min="6149" max="6149" width="13" style="3777" customWidth="1"/>
    <col min="6150" max="6151" width="12.875" style="3777" customWidth="1"/>
    <col min="6152" max="6152" width="15.625" style="3777" customWidth="1"/>
    <col min="6153" max="6400" width="9" style="3777"/>
    <col min="6401" max="6402" width="8.5" style="3777" customWidth="1"/>
    <col min="6403" max="6403" width="10.25" style="3777" customWidth="1"/>
    <col min="6404" max="6404" width="12.875" style="3777" customWidth="1"/>
    <col min="6405" max="6405" width="13" style="3777" customWidth="1"/>
    <col min="6406" max="6407" width="12.875" style="3777" customWidth="1"/>
    <col min="6408" max="6408" width="15.625" style="3777" customWidth="1"/>
    <col min="6409" max="6656" width="9" style="3777"/>
    <col min="6657" max="6658" width="8.5" style="3777" customWidth="1"/>
    <col min="6659" max="6659" width="10.25" style="3777" customWidth="1"/>
    <col min="6660" max="6660" width="12.875" style="3777" customWidth="1"/>
    <col min="6661" max="6661" width="13" style="3777" customWidth="1"/>
    <col min="6662" max="6663" width="12.875" style="3777" customWidth="1"/>
    <col min="6664" max="6664" width="15.625" style="3777" customWidth="1"/>
    <col min="6665" max="6912" width="9" style="3777"/>
    <col min="6913" max="6914" width="8.5" style="3777" customWidth="1"/>
    <col min="6915" max="6915" width="10.25" style="3777" customWidth="1"/>
    <col min="6916" max="6916" width="12.875" style="3777" customWidth="1"/>
    <col min="6917" max="6917" width="13" style="3777" customWidth="1"/>
    <col min="6918" max="6919" width="12.875" style="3777" customWidth="1"/>
    <col min="6920" max="6920" width="15.625" style="3777" customWidth="1"/>
    <col min="6921" max="7168" width="9" style="3777"/>
    <col min="7169" max="7170" width="8.5" style="3777" customWidth="1"/>
    <col min="7171" max="7171" width="10.25" style="3777" customWidth="1"/>
    <col min="7172" max="7172" width="12.875" style="3777" customWidth="1"/>
    <col min="7173" max="7173" width="13" style="3777" customWidth="1"/>
    <col min="7174" max="7175" width="12.875" style="3777" customWidth="1"/>
    <col min="7176" max="7176" width="15.625" style="3777" customWidth="1"/>
    <col min="7177" max="7424" width="9" style="3777"/>
    <col min="7425" max="7426" width="8.5" style="3777" customWidth="1"/>
    <col min="7427" max="7427" width="10.25" style="3777" customWidth="1"/>
    <col min="7428" max="7428" width="12.875" style="3777" customWidth="1"/>
    <col min="7429" max="7429" width="13" style="3777" customWidth="1"/>
    <col min="7430" max="7431" width="12.875" style="3777" customWidth="1"/>
    <col min="7432" max="7432" width="15.625" style="3777" customWidth="1"/>
    <col min="7433" max="7680" width="9" style="3777"/>
    <col min="7681" max="7682" width="8.5" style="3777" customWidth="1"/>
    <col min="7683" max="7683" width="10.25" style="3777" customWidth="1"/>
    <col min="7684" max="7684" width="12.875" style="3777" customWidth="1"/>
    <col min="7685" max="7685" width="13" style="3777" customWidth="1"/>
    <col min="7686" max="7687" width="12.875" style="3777" customWidth="1"/>
    <col min="7688" max="7688" width="15.625" style="3777" customWidth="1"/>
    <col min="7689" max="7936" width="9" style="3777"/>
    <col min="7937" max="7938" width="8.5" style="3777" customWidth="1"/>
    <col min="7939" max="7939" width="10.25" style="3777" customWidth="1"/>
    <col min="7940" max="7940" width="12.875" style="3777" customWidth="1"/>
    <col min="7941" max="7941" width="13" style="3777" customWidth="1"/>
    <col min="7942" max="7943" width="12.875" style="3777" customWidth="1"/>
    <col min="7944" max="7944" width="15.625" style="3777" customWidth="1"/>
    <col min="7945" max="8192" width="9" style="3777"/>
    <col min="8193" max="8194" width="8.5" style="3777" customWidth="1"/>
    <col min="8195" max="8195" width="10.25" style="3777" customWidth="1"/>
    <col min="8196" max="8196" width="12.875" style="3777" customWidth="1"/>
    <col min="8197" max="8197" width="13" style="3777" customWidth="1"/>
    <col min="8198" max="8199" width="12.875" style="3777" customWidth="1"/>
    <col min="8200" max="8200" width="15.625" style="3777" customWidth="1"/>
    <col min="8201" max="8448" width="9" style="3777"/>
    <col min="8449" max="8450" width="8.5" style="3777" customWidth="1"/>
    <col min="8451" max="8451" width="10.25" style="3777" customWidth="1"/>
    <col min="8452" max="8452" width="12.875" style="3777" customWidth="1"/>
    <col min="8453" max="8453" width="13" style="3777" customWidth="1"/>
    <col min="8454" max="8455" width="12.875" style="3777" customWidth="1"/>
    <col min="8456" max="8456" width="15.625" style="3777" customWidth="1"/>
    <col min="8457" max="8704" width="9" style="3777"/>
    <col min="8705" max="8706" width="8.5" style="3777" customWidth="1"/>
    <col min="8707" max="8707" width="10.25" style="3777" customWidth="1"/>
    <col min="8708" max="8708" width="12.875" style="3777" customWidth="1"/>
    <col min="8709" max="8709" width="13" style="3777" customWidth="1"/>
    <col min="8710" max="8711" width="12.875" style="3777" customWidth="1"/>
    <col min="8712" max="8712" width="15.625" style="3777" customWidth="1"/>
    <col min="8713" max="8960" width="9" style="3777"/>
    <col min="8961" max="8962" width="8.5" style="3777" customWidth="1"/>
    <col min="8963" max="8963" width="10.25" style="3777" customWidth="1"/>
    <col min="8964" max="8964" width="12.875" style="3777" customWidth="1"/>
    <col min="8965" max="8965" width="13" style="3777" customWidth="1"/>
    <col min="8966" max="8967" width="12.875" style="3777" customWidth="1"/>
    <col min="8968" max="8968" width="15.625" style="3777" customWidth="1"/>
    <col min="8969" max="9216" width="9" style="3777"/>
    <col min="9217" max="9218" width="8.5" style="3777" customWidth="1"/>
    <col min="9219" max="9219" width="10.25" style="3777" customWidth="1"/>
    <col min="9220" max="9220" width="12.875" style="3777" customWidth="1"/>
    <col min="9221" max="9221" width="13" style="3777" customWidth="1"/>
    <col min="9222" max="9223" width="12.875" style="3777" customWidth="1"/>
    <col min="9224" max="9224" width="15.625" style="3777" customWidth="1"/>
    <col min="9225" max="9472" width="9" style="3777"/>
    <col min="9473" max="9474" width="8.5" style="3777" customWidth="1"/>
    <col min="9475" max="9475" width="10.25" style="3777" customWidth="1"/>
    <col min="9476" max="9476" width="12.875" style="3777" customWidth="1"/>
    <col min="9477" max="9477" width="13" style="3777" customWidth="1"/>
    <col min="9478" max="9479" width="12.875" style="3777" customWidth="1"/>
    <col min="9480" max="9480" width="15.625" style="3777" customWidth="1"/>
    <col min="9481" max="9728" width="9" style="3777"/>
    <col min="9729" max="9730" width="8.5" style="3777" customWidth="1"/>
    <col min="9731" max="9731" width="10.25" style="3777" customWidth="1"/>
    <col min="9732" max="9732" width="12.875" style="3777" customWidth="1"/>
    <col min="9733" max="9733" width="13" style="3777" customWidth="1"/>
    <col min="9734" max="9735" width="12.875" style="3777" customWidth="1"/>
    <col min="9736" max="9736" width="15.625" style="3777" customWidth="1"/>
    <col min="9737" max="9984" width="9" style="3777"/>
    <col min="9985" max="9986" width="8.5" style="3777" customWidth="1"/>
    <col min="9987" max="9987" width="10.25" style="3777" customWidth="1"/>
    <col min="9988" max="9988" width="12.875" style="3777" customWidth="1"/>
    <col min="9989" max="9989" width="13" style="3777" customWidth="1"/>
    <col min="9990" max="9991" width="12.875" style="3777" customWidth="1"/>
    <col min="9992" max="9992" width="15.625" style="3777" customWidth="1"/>
    <col min="9993" max="10240" width="9" style="3777"/>
    <col min="10241" max="10242" width="8.5" style="3777" customWidth="1"/>
    <col min="10243" max="10243" width="10.25" style="3777" customWidth="1"/>
    <col min="10244" max="10244" width="12.875" style="3777" customWidth="1"/>
    <col min="10245" max="10245" width="13" style="3777" customWidth="1"/>
    <col min="10246" max="10247" width="12.875" style="3777" customWidth="1"/>
    <col min="10248" max="10248" width="15.625" style="3777" customWidth="1"/>
    <col min="10249" max="10496" width="9" style="3777"/>
    <col min="10497" max="10498" width="8.5" style="3777" customWidth="1"/>
    <col min="10499" max="10499" width="10.25" style="3777" customWidth="1"/>
    <col min="10500" max="10500" width="12.875" style="3777" customWidth="1"/>
    <col min="10501" max="10501" width="13" style="3777" customWidth="1"/>
    <col min="10502" max="10503" width="12.875" style="3777" customWidth="1"/>
    <col min="10504" max="10504" width="15.625" style="3777" customWidth="1"/>
    <col min="10505" max="10752" width="9" style="3777"/>
    <col min="10753" max="10754" width="8.5" style="3777" customWidth="1"/>
    <col min="10755" max="10755" width="10.25" style="3777" customWidth="1"/>
    <col min="10756" max="10756" width="12.875" style="3777" customWidth="1"/>
    <col min="10757" max="10757" width="13" style="3777" customWidth="1"/>
    <col min="10758" max="10759" width="12.875" style="3777" customWidth="1"/>
    <col min="10760" max="10760" width="15.625" style="3777" customWidth="1"/>
    <col min="10761" max="11008" width="9" style="3777"/>
    <col min="11009" max="11010" width="8.5" style="3777" customWidth="1"/>
    <col min="11011" max="11011" width="10.25" style="3777" customWidth="1"/>
    <col min="11012" max="11012" width="12.875" style="3777" customWidth="1"/>
    <col min="11013" max="11013" width="13" style="3777" customWidth="1"/>
    <col min="11014" max="11015" width="12.875" style="3777" customWidth="1"/>
    <col min="11016" max="11016" width="15.625" style="3777" customWidth="1"/>
    <col min="11017" max="11264" width="9" style="3777"/>
    <col min="11265" max="11266" width="8.5" style="3777" customWidth="1"/>
    <col min="11267" max="11267" width="10.25" style="3777" customWidth="1"/>
    <col min="11268" max="11268" width="12.875" style="3777" customWidth="1"/>
    <col min="11269" max="11269" width="13" style="3777" customWidth="1"/>
    <col min="11270" max="11271" width="12.875" style="3777" customWidth="1"/>
    <col min="11272" max="11272" width="15.625" style="3777" customWidth="1"/>
    <col min="11273" max="11520" width="9" style="3777"/>
    <col min="11521" max="11522" width="8.5" style="3777" customWidth="1"/>
    <col min="11523" max="11523" width="10.25" style="3777" customWidth="1"/>
    <col min="11524" max="11524" width="12.875" style="3777" customWidth="1"/>
    <col min="11525" max="11525" width="13" style="3777" customWidth="1"/>
    <col min="11526" max="11527" width="12.875" style="3777" customWidth="1"/>
    <col min="11528" max="11528" width="15.625" style="3777" customWidth="1"/>
    <col min="11529" max="11776" width="9" style="3777"/>
    <col min="11777" max="11778" width="8.5" style="3777" customWidth="1"/>
    <col min="11779" max="11779" width="10.25" style="3777" customWidth="1"/>
    <col min="11780" max="11780" width="12.875" style="3777" customWidth="1"/>
    <col min="11781" max="11781" width="13" style="3777" customWidth="1"/>
    <col min="11782" max="11783" width="12.875" style="3777" customWidth="1"/>
    <col min="11784" max="11784" width="15.625" style="3777" customWidth="1"/>
    <col min="11785" max="12032" width="9" style="3777"/>
    <col min="12033" max="12034" width="8.5" style="3777" customWidth="1"/>
    <col min="12035" max="12035" width="10.25" style="3777" customWidth="1"/>
    <col min="12036" max="12036" width="12.875" style="3777" customWidth="1"/>
    <col min="12037" max="12037" width="13" style="3777" customWidth="1"/>
    <col min="12038" max="12039" width="12.875" style="3777" customWidth="1"/>
    <col min="12040" max="12040" width="15.625" style="3777" customWidth="1"/>
    <col min="12041" max="12288" width="9" style="3777"/>
    <col min="12289" max="12290" width="8.5" style="3777" customWidth="1"/>
    <col min="12291" max="12291" width="10.25" style="3777" customWidth="1"/>
    <col min="12292" max="12292" width="12.875" style="3777" customWidth="1"/>
    <col min="12293" max="12293" width="13" style="3777" customWidth="1"/>
    <col min="12294" max="12295" width="12.875" style="3777" customWidth="1"/>
    <col min="12296" max="12296" width="15.625" style="3777" customWidth="1"/>
    <col min="12297" max="12544" width="9" style="3777"/>
    <col min="12545" max="12546" width="8.5" style="3777" customWidth="1"/>
    <col min="12547" max="12547" width="10.25" style="3777" customWidth="1"/>
    <col min="12548" max="12548" width="12.875" style="3777" customWidth="1"/>
    <col min="12549" max="12549" width="13" style="3777" customWidth="1"/>
    <col min="12550" max="12551" width="12.875" style="3777" customWidth="1"/>
    <col min="12552" max="12552" width="15.625" style="3777" customWidth="1"/>
    <col min="12553" max="12800" width="9" style="3777"/>
    <col min="12801" max="12802" width="8.5" style="3777" customWidth="1"/>
    <col min="12803" max="12803" width="10.25" style="3777" customWidth="1"/>
    <col min="12804" max="12804" width="12.875" style="3777" customWidth="1"/>
    <col min="12805" max="12805" width="13" style="3777" customWidth="1"/>
    <col min="12806" max="12807" width="12.875" style="3777" customWidth="1"/>
    <col min="12808" max="12808" width="15.625" style="3777" customWidth="1"/>
    <col min="12809" max="13056" width="9" style="3777"/>
    <col min="13057" max="13058" width="8.5" style="3777" customWidth="1"/>
    <col min="13059" max="13059" width="10.25" style="3777" customWidth="1"/>
    <col min="13060" max="13060" width="12.875" style="3777" customWidth="1"/>
    <col min="13061" max="13061" width="13" style="3777" customWidth="1"/>
    <col min="13062" max="13063" width="12.875" style="3777" customWidth="1"/>
    <col min="13064" max="13064" width="15.625" style="3777" customWidth="1"/>
    <col min="13065" max="13312" width="9" style="3777"/>
    <col min="13313" max="13314" width="8.5" style="3777" customWidth="1"/>
    <col min="13315" max="13315" width="10.25" style="3777" customWidth="1"/>
    <col min="13316" max="13316" width="12.875" style="3777" customWidth="1"/>
    <col min="13317" max="13317" width="13" style="3777" customWidth="1"/>
    <col min="13318" max="13319" width="12.875" style="3777" customWidth="1"/>
    <col min="13320" max="13320" width="15.625" style="3777" customWidth="1"/>
    <col min="13321" max="13568" width="9" style="3777"/>
    <col min="13569" max="13570" width="8.5" style="3777" customWidth="1"/>
    <col min="13571" max="13571" width="10.25" style="3777" customWidth="1"/>
    <col min="13572" max="13572" width="12.875" style="3777" customWidth="1"/>
    <col min="13573" max="13573" width="13" style="3777" customWidth="1"/>
    <col min="13574" max="13575" width="12.875" style="3777" customWidth="1"/>
    <col min="13576" max="13576" width="15.625" style="3777" customWidth="1"/>
    <col min="13577" max="13824" width="9" style="3777"/>
    <col min="13825" max="13826" width="8.5" style="3777" customWidth="1"/>
    <col min="13827" max="13827" width="10.25" style="3777" customWidth="1"/>
    <col min="13828" max="13828" width="12.875" style="3777" customWidth="1"/>
    <col min="13829" max="13829" width="13" style="3777" customWidth="1"/>
    <col min="13830" max="13831" width="12.875" style="3777" customWidth="1"/>
    <col min="13832" max="13832" width="15.625" style="3777" customWidth="1"/>
    <col min="13833" max="14080" width="9" style="3777"/>
    <col min="14081" max="14082" width="8.5" style="3777" customWidth="1"/>
    <col min="14083" max="14083" width="10.25" style="3777" customWidth="1"/>
    <col min="14084" max="14084" width="12.875" style="3777" customWidth="1"/>
    <col min="14085" max="14085" width="13" style="3777" customWidth="1"/>
    <col min="14086" max="14087" width="12.875" style="3777" customWidth="1"/>
    <col min="14088" max="14088" width="15.625" style="3777" customWidth="1"/>
    <col min="14089" max="14336" width="9" style="3777"/>
    <col min="14337" max="14338" width="8.5" style="3777" customWidth="1"/>
    <col min="14339" max="14339" width="10.25" style="3777" customWidth="1"/>
    <col min="14340" max="14340" width="12.875" style="3777" customWidth="1"/>
    <col min="14341" max="14341" width="13" style="3777" customWidth="1"/>
    <col min="14342" max="14343" width="12.875" style="3777" customWidth="1"/>
    <col min="14344" max="14344" width="15.625" style="3777" customWidth="1"/>
    <col min="14345" max="14592" width="9" style="3777"/>
    <col min="14593" max="14594" width="8.5" style="3777" customWidth="1"/>
    <col min="14595" max="14595" width="10.25" style="3777" customWidth="1"/>
    <col min="14596" max="14596" width="12.875" style="3777" customWidth="1"/>
    <col min="14597" max="14597" width="13" style="3777" customWidth="1"/>
    <col min="14598" max="14599" width="12.875" style="3777" customWidth="1"/>
    <col min="14600" max="14600" width="15.625" style="3777" customWidth="1"/>
    <col min="14601" max="14848" width="9" style="3777"/>
    <col min="14849" max="14850" width="8.5" style="3777" customWidth="1"/>
    <col min="14851" max="14851" width="10.25" style="3777" customWidth="1"/>
    <col min="14852" max="14852" width="12.875" style="3777" customWidth="1"/>
    <col min="14853" max="14853" width="13" style="3777" customWidth="1"/>
    <col min="14854" max="14855" width="12.875" style="3777" customWidth="1"/>
    <col min="14856" max="14856" width="15.625" style="3777" customWidth="1"/>
    <col min="14857" max="15104" width="9" style="3777"/>
    <col min="15105" max="15106" width="8.5" style="3777" customWidth="1"/>
    <col min="15107" max="15107" width="10.25" style="3777" customWidth="1"/>
    <col min="15108" max="15108" width="12.875" style="3777" customWidth="1"/>
    <col min="15109" max="15109" width="13" style="3777" customWidth="1"/>
    <col min="15110" max="15111" width="12.875" style="3777" customWidth="1"/>
    <col min="15112" max="15112" width="15.625" style="3777" customWidth="1"/>
    <col min="15113" max="15360" width="9" style="3777"/>
    <col min="15361" max="15362" width="8.5" style="3777" customWidth="1"/>
    <col min="15363" max="15363" width="10.25" style="3777" customWidth="1"/>
    <col min="15364" max="15364" width="12.875" style="3777" customWidth="1"/>
    <col min="15365" max="15365" width="13" style="3777" customWidth="1"/>
    <col min="15366" max="15367" width="12.875" style="3777" customWidth="1"/>
    <col min="15368" max="15368" width="15.625" style="3777" customWidth="1"/>
    <col min="15369" max="15616" width="9" style="3777"/>
    <col min="15617" max="15618" width="8.5" style="3777" customWidth="1"/>
    <col min="15619" max="15619" width="10.25" style="3777" customWidth="1"/>
    <col min="15620" max="15620" width="12.875" style="3777" customWidth="1"/>
    <col min="15621" max="15621" width="13" style="3777" customWidth="1"/>
    <col min="15622" max="15623" width="12.875" style="3777" customWidth="1"/>
    <col min="15624" max="15624" width="15.625" style="3777" customWidth="1"/>
    <col min="15625" max="15872" width="9" style="3777"/>
    <col min="15873" max="15874" width="8.5" style="3777" customWidth="1"/>
    <col min="15875" max="15875" width="10.25" style="3777" customWidth="1"/>
    <col min="15876" max="15876" width="12.875" style="3777" customWidth="1"/>
    <col min="15877" max="15877" width="13" style="3777" customWidth="1"/>
    <col min="15878" max="15879" width="12.875" style="3777" customWidth="1"/>
    <col min="15880" max="15880" width="15.625" style="3777" customWidth="1"/>
    <col min="15881" max="16128" width="9" style="3777"/>
    <col min="16129" max="16130" width="8.5" style="3777" customWidth="1"/>
    <col min="16131" max="16131" width="10.25" style="3777" customWidth="1"/>
    <col min="16132" max="16132" width="12.875" style="3777" customWidth="1"/>
    <col min="16133" max="16133" width="13" style="3777" customWidth="1"/>
    <col min="16134" max="16135" width="12.875" style="3777" customWidth="1"/>
    <col min="16136" max="16136" width="15.625" style="3777" customWidth="1"/>
    <col min="16137" max="16384" width="9" style="3777"/>
  </cols>
  <sheetData>
    <row r="1" spans="1:12" ht="25.5">
      <c r="A1" s="4584" t="s">
        <v>110</v>
      </c>
      <c r="B1" s="4584"/>
      <c r="C1" s="4584"/>
      <c r="D1" s="4584"/>
      <c r="E1" s="4584"/>
      <c r="F1" s="4584"/>
      <c r="G1" s="4584"/>
      <c r="H1" s="4584"/>
      <c r="I1" s="4584"/>
      <c r="J1" s="4584"/>
      <c r="K1" s="4584"/>
      <c r="L1" s="4584"/>
    </row>
    <row r="2" spans="1:12" ht="14.25" customHeight="1">
      <c r="A2" s="3778"/>
      <c r="B2" s="3778"/>
      <c r="C2" s="3778"/>
      <c r="D2" s="3778"/>
      <c r="E2" s="3778"/>
      <c r="F2" s="3778"/>
      <c r="G2" s="3778"/>
      <c r="H2" s="3778"/>
    </row>
    <row r="3" spans="1:12" ht="17.25" customHeight="1">
      <c r="A3" s="4585" t="s">
        <v>1127</v>
      </c>
      <c r="B3" s="4585"/>
      <c r="C3" s="4585"/>
      <c r="D3" s="4585"/>
      <c r="E3" s="4585"/>
      <c r="F3" s="4585"/>
      <c r="G3" s="4585"/>
      <c r="H3" s="4585"/>
      <c r="I3" s="4585"/>
      <c r="J3" s="4585"/>
      <c r="K3" s="4585"/>
      <c r="L3" s="4585"/>
    </row>
    <row r="4" spans="1:12" s="3776" customFormat="1" ht="18.75">
      <c r="A4" s="4578" t="s">
        <v>1128</v>
      </c>
      <c r="B4" s="3780" t="s">
        <v>1129</v>
      </c>
      <c r="C4" s="3780" t="s">
        <v>1130</v>
      </c>
      <c r="D4" s="3780" t="s">
        <v>1131</v>
      </c>
      <c r="E4" s="3780" t="s">
        <v>1132</v>
      </c>
      <c r="F4" s="3780" t="s">
        <v>1133</v>
      </c>
      <c r="G4" s="3781" t="s">
        <v>1134</v>
      </c>
      <c r="H4" s="3782" t="s">
        <v>1135</v>
      </c>
      <c r="I4" s="4578" t="s">
        <v>1136</v>
      </c>
      <c r="J4" s="4578"/>
      <c r="K4" s="4578"/>
      <c r="L4" s="4578" t="s">
        <v>1137</v>
      </c>
    </row>
    <row r="5" spans="1:12" s="3776" customFormat="1" ht="21.75">
      <c r="A5" s="4579"/>
      <c r="B5" s="3784" t="s">
        <v>445</v>
      </c>
      <c r="C5" s="3784" t="s">
        <v>1138</v>
      </c>
      <c r="D5" s="3785" t="s">
        <v>1139</v>
      </c>
      <c r="E5" s="3784" t="s">
        <v>1140</v>
      </c>
      <c r="F5" s="3784" t="s">
        <v>1141</v>
      </c>
      <c r="G5" s="3786" t="s">
        <v>1142</v>
      </c>
      <c r="H5" s="3787" t="s">
        <v>1143</v>
      </c>
      <c r="I5" s="3783" t="s">
        <v>1144</v>
      </c>
      <c r="J5" s="3783" t="s">
        <v>1145</v>
      </c>
      <c r="K5" s="3783" t="s">
        <v>1146</v>
      </c>
      <c r="L5" s="4579"/>
    </row>
    <row r="6" spans="1:12" s="3776" customFormat="1" ht="18.75">
      <c r="A6" s="4581" t="s">
        <v>1147</v>
      </c>
      <c r="B6" s="3788">
        <v>9.5250000000000004</v>
      </c>
      <c r="C6" s="3789">
        <v>6.35</v>
      </c>
      <c r="D6" s="3790">
        <v>31</v>
      </c>
      <c r="E6" s="3791">
        <f t="shared" ref="E6:E13" si="0">B6/SIN((180/D6)*(3.1415/180))</f>
        <v>94.152791855976005</v>
      </c>
      <c r="F6" s="3791">
        <f>E6-C6</f>
        <v>87.802791855975997</v>
      </c>
      <c r="G6" s="3792">
        <f>B6*(0.54+(1/TAN((180/D6)*(3.1415/180))))</f>
        <v>98.813252798193801</v>
      </c>
      <c r="H6" s="3793">
        <f>F6-8</f>
        <v>79.802791855975997</v>
      </c>
      <c r="I6" s="4583">
        <v>5.2</v>
      </c>
      <c r="J6" s="4583">
        <v>5</v>
      </c>
      <c r="K6" s="4583">
        <v>4.5999999999999996</v>
      </c>
      <c r="L6" s="4580">
        <v>10.24</v>
      </c>
    </row>
    <row r="7" spans="1:12" s="3776" customFormat="1" ht="18.75">
      <c r="A7" s="4582"/>
      <c r="B7" s="3783">
        <v>9.5250000000000004</v>
      </c>
      <c r="C7" s="3783">
        <v>6.35</v>
      </c>
      <c r="D7" s="3794">
        <v>18</v>
      </c>
      <c r="E7" s="3795">
        <f t="shared" si="0"/>
        <v>54.853890173698602</v>
      </c>
      <c r="F7" s="3795">
        <f>E7-C7</f>
        <v>48.503890173698601</v>
      </c>
      <c r="G7" s="3796">
        <f t="shared" ref="G7:G13" si="1">B7*(0.54+(1/TAN((180/D7)*(3.1415/180))))</f>
        <v>59.164085355845501</v>
      </c>
      <c r="H7" s="3797">
        <f>F7-8</f>
        <v>40.503890173698601</v>
      </c>
      <c r="I7" s="4582"/>
      <c r="J7" s="4582"/>
      <c r="K7" s="4582"/>
      <c r="L7" s="4579"/>
    </row>
    <row r="8" spans="1:12" s="3776" customFormat="1" ht="18.75">
      <c r="A8" s="4590" t="s">
        <v>1148</v>
      </c>
      <c r="B8" s="3788">
        <v>12.7</v>
      </c>
      <c r="C8" s="3789">
        <v>8.51</v>
      </c>
      <c r="D8" s="3798">
        <v>38</v>
      </c>
      <c r="E8" s="3791">
        <f t="shared" si="0"/>
        <v>153.79600843386501</v>
      </c>
      <c r="F8" s="3791">
        <f t="shared" ref="F8:F13" si="2">E8-C8</f>
        <v>145.28600843386499</v>
      </c>
      <c r="G8" s="3792">
        <f t="shared" si="1"/>
        <v>160.12874805777301</v>
      </c>
      <c r="H8" s="3793">
        <f>F8-10</f>
        <v>135.28600843386499</v>
      </c>
      <c r="I8" s="4581">
        <v>7.1</v>
      </c>
      <c r="J8" s="4581">
        <v>6.8</v>
      </c>
      <c r="K8" s="4581">
        <v>6.4</v>
      </c>
      <c r="L8" s="4580">
        <v>14.38</v>
      </c>
    </row>
    <row r="9" spans="1:12" s="3776" customFormat="1" ht="18.75">
      <c r="A9" s="4591"/>
      <c r="B9" s="3783">
        <v>12.7</v>
      </c>
      <c r="C9" s="3783">
        <v>8.51</v>
      </c>
      <c r="D9" s="3799">
        <v>16</v>
      </c>
      <c r="E9" s="3800">
        <f t="shared" si="0"/>
        <v>65.099947600226798</v>
      </c>
      <c r="F9" s="3800">
        <f t="shared" si="2"/>
        <v>56.5899476002268</v>
      </c>
      <c r="G9" s="3801">
        <f t="shared" si="1"/>
        <v>70.7071439061815</v>
      </c>
      <c r="H9" s="3797">
        <f>F9-10</f>
        <v>46.5899476002268</v>
      </c>
      <c r="I9" s="4582"/>
      <c r="J9" s="4582"/>
      <c r="K9" s="4582"/>
      <c r="L9" s="4579"/>
    </row>
    <row r="10" spans="1:12" s="3776" customFormat="1" ht="18.75">
      <c r="A10" s="4581" t="s">
        <v>1149</v>
      </c>
      <c r="B10" s="3788">
        <v>15.875</v>
      </c>
      <c r="C10" s="3789">
        <v>10.16</v>
      </c>
      <c r="D10" s="3798">
        <v>25</v>
      </c>
      <c r="E10" s="3791">
        <f t="shared" si="0"/>
        <v>126.666050890977</v>
      </c>
      <c r="F10" s="3791">
        <f t="shared" si="2"/>
        <v>116.50605089097699</v>
      </c>
      <c r="G10" s="3792">
        <f t="shared" si="1"/>
        <v>134.23981008227901</v>
      </c>
      <c r="H10" s="3793">
        <f>F10-12</f>
        <v>104.50605089097699</v>
      </c>
      <c r="I10" s="4581">
        <v>8.6999999999999993</v>
      </c>
      <c r="J10" s="4581">
        <v>8.4</v>
      </c>
      <c r="K10" s="4581">
        <v>7.9</v>
      </c>
      <c r="L10" s="4580">
        <v>18.11</v>
      </c>
    </row>
    <row r="11" spans="1:12" s="3776" customFormat="1" ht="18.75">
      <c r="A11" s="4582"/>
      <c r="B11" s="3783">
        <v>15.875</v>
      </c>
      <c r="C11" s="3783">
        <v>10.16</v>
      </c>
      <c r="D11" s="3799">
        <v>20</v>
      </c>
      <c r="E11" s="3800">
        <f t="shared" si="0"/>
        <v>101.48316323302301</v>
      </c>
      <c r="F11" s="3800">
        <f t="shared" si="2"/>
        <v>91.323163233022797</v>
      </c>
      <c r="G11" s="3801">
        <f t="shared" si="1"/>
        <v>108.80631063683199</v>
      </c>
      <c r="H11" s="3797">
        <f>F11-12</f>
        <v>79.323163233022797</v>
      </c>
      <c r="I11" s="4582"/>
      <c r="J11" s="4582"/>
      <c r="K11" s="4582"/>
      <c r="L11" s="4579"/>
    </row>
    <row r="12" spans="1:12" s="3776" customFormat="1" ht="18" customHeight="1">
      <c r="A12" s="4580" t="s">
        <v>1150</v>
      </c>
      <c r="B12" s="3788">
        <v>19.05</v>
      </c>
      <c r="C12" s="3788">
        <v>11.91</v>
      </c>
      <c r="D12" s="3798">
        <v>25</v>
      </c>
      <c r="E12" s="3791">
        <f t="shared" si="0"/>
        <v>151.999261069173</v>
      </c>
      <c r="F12" s="3791">
        <f t="shared" si="2"/>
        <v>140.08926106917301</v>
      </c>
      <c r="G12" s="3792">
        <f t="shared" si="1"/>
        <v>161.087772098735</v>
      </c>
      <c r="H12" s="3793">
        <f>F12-14</f>
        <v>126.08926106917301</v>
      </c>
      <c r="I12" s="4581">
        <v>11.7</v>
      </c>
      <c r="J12" s="4581">
        <v>11.3</v>
      </c>
      <c r="K12" s="4581">
        <v>10.6</v>
      </c>
      <c r="L12" s="4580">
        <v>22.78</v>
      </c>
    </row>
    <row r="13" spans="1:12" s="3776" customFormat="1" ht="18.75">
      <c r="A13" s="4578"/>
      <c r="B13" s="3779">
        <v>19.05</v>
      </c>
      <c r="C13" s="3779">
        <v>11.91</v>
      </c>
      <c r="D13" s="3802">
        <v>17</v>
      </c>
      <c r="E13" s="3791">
        <f t="shared" si="0"/>
        <v>103.676764247804</v>
      </c>
      <c r="F13" s="3791">
        <f t="shared" si="2"/>
        <v>91.766764247804105</v>
      </c>
      <c r="G13" s="3792">
        <f t="shared" si="1"/>
        <v>112.198574145897</v>
      </c>
      <c r="H13" s="3803">
        <f>F13-14</f>
        <v>77.766764247804105</v>
      </c>
      <c r="I13" s="4580"/>
      <c r="J13" s="4580"/>
      <c r="K13" s="4580"/>
      <c r="L13" s="4578"/>
    </row>
    <row r="14" spans="1:12" s="3776" customFormat="1" ht="18.75">
      <c r="A14" s="3804"/>
      <c r="B14" s="3804"/>
      <c r="C14" s="3804"/>
      <c r="D14" s="3805"/>
      <c r="E14" s="3806"/>
      <c r="F14" s="3806"/>
      <c r="G14" s="3806"/>
      <c r="H14" s="3807"/>
    </row>
    <row r="15" spans="1:12" s="3776" customFormat="1" ht="18.75">
      <c r="A15" s="4586" t="s">
        <v>1151</v>
      </c>
      <c r="B15" s="4587"/>
      <c r="C15" s="4588"/>
      <c r="D15" s="3808" t="s">
        <v>1152</v>
      </c>
      <c r="E15" s="4589" t="s">
        <v>1153</v>
      </c>
      <c r="F15" s="4589"/>
      <c r="G15" s="4589"/>
      <c r="H15" s="4589"/>
      <c r="I15" s="4586" t="s">
        <v>1154</v>
      </c>
      <c r="J15" s="4587"/>
      <c r="K15" s="4587"/>
      <c r="L15" s="4588"/>
    </row>
    <row r="16" spans="1:12" s="3776" customFormat="1" ht="18.75">
      <c r="A16" s="3804"/>
      <c r="B16" s="3804"/>
      <c r="C16" s="3804"/>
      <c r="D16" s="3805"/>
      <c r="E16" s="3806"/>
      <c r="F16" s="3806"/>
      <c r="G16" s="3806"/>
      <c r="H16" s="3807"/>
    </row>
    <row r="17" spans="4:8">
      <c r="D17" s="3809"/>
      <c r="E17" s="3810"/>
      <c r="F17" s="3810"/>
      <c r="G17" s="3810"/>
      <c r="H17" s="3809"/>
    </row>
    <row r="18" spans="4:8">
      <c r="D18" s="3809"/>
      <c r="E18" s="3810"/>
      <c r="F18" s="3810"/>
      <c r="G18" s="3810"/>
      <c r="H18" s="3809"/>
    </row>
    <row r="19" spans="4:8">
      <c r="D19" s="3809"/>
      <c r="E19" s="3810"/>
      <c r="F19" s="3810"/>
      <c r="G19" s="3810"/>
      <c r="H19" s="3809"/>
    </row>
    <row r="20" spans="4:8">
      <c r="D20" s="3809"/>
      <c r="E20" s="3810"/>
      <c r="F20" s="3810"/>
      <c r="G20" s="3810"/>
      <c r="H20" s="3809"/>
    </row>
    <row r="21" spans="4:8">
      <c r="D21" s="3809"/>
      <c r="E21" s="3810"/>
      <c r="F21" s="3810"/>
      <c r="G21" s="3810"/>
      <c r="H21" s="3809"/>
    </row>
    <row r="22" spans="4:8">
      <c r="D22" s="3809"/>
      <c r="E22" s="3810"/>
      <c r="F22" s="3810"/>
      <c r="G22" s="3810"/>
      <c r="H22" s="3809"/>
    </row>
    <row r="23" spans="4:8">
      <c r="D23" s="3809"/>
      <c r="E23" s="3810"/>
      <c r="F23" s="3810"/>
      <c r="G23" s="3810"/>
      <c r="H23" s="3809"/>
    </row>
    <row r="24" spans="4:8">
      <c r="D24" s="3809"/>
      <c r="E24" s="3810"/>
      <c r="F24" s="3810"/>
      <c r="G24" s="3810"/>
      <c r="H24" s="3809"/>
    </row>
    <row r="25" spans="4:8">
      <c r="D25" s="3809"/>
      <c r="E25" s="3810"/>
      <c r="F25" s="3810"/>
      <c r="G25" s="3810"/>
      <c r="H25" s="3809"/>
    </row>
    <row r="26" spans="4:8">
      <c r="D26" s="3809"/>
      <c r="E26" s="3810"/>
      <c r="F26" s="3810"/>
      <c r="G26" s="3810"/>
      <c r="H26" s="3809"/>
    </row>
    <row r="27" spans="4:8">
      <c r="D27" s="3809"/>
      <c r="E27" s="3810"/>
      <c r="F27" s="3810"/>
      <c r="G27" s="3810"/>
      <c r="H27" s="3809"/>
    </row>
    <row r="28" spans="4:8">
      <c r="D28" s="3809"/>
      <c r="E28" s="3810"/>
      <c r="F28" s="3810"/>
      <c r="G28" s="3810"/>
      <c r="H28" s="3809"/>
    </row>
    <row r="29" spans="4:8">
      <c r="D29" s="3809"/>
      <c r="E29" s="3809"/>
      <c r="F29" s="3809"/>
      <c r="G29" s="3809"/>
      <c r="H29" s="3809"/>
    </row>
    <row r="30" spans="4:8">
      <c r="H30" s="3777" t="s">
        <v>1155</v>
      </c>
    </row>
  </sheetData>
  <mergeCells count="28">
    <mergeCell ref="A1:L1"/>
    <mergeCell ref="A3:L3"/>
    <mergeCell ref="I4:K4"/>
    <mergeCell ref="A15:C15"/>
    <mergeCell ref="E15:H15"/>
    <mergeCell ref="I15:L15"/>
    <mergeCell ref="A4:A5"/>
    <mergeCell ref="A6:A7"/>
    <mergeCell ref="A8:A9"/>
    <mergeCell ref="A10:A11"/>
    <mergeCell ref="A12:A13"/>
    <mergeCell ref="I6:I7"/>
    <mergeCell ref="I8:I9"/>
    <mergeCell ref="I10:I11"/>
    <mergeCell ref="I12:I13"/>
    <mergeCell ref="J6:J7"/>
    <mergeCell ref="J8:J9"/>
    <mergeCell ref="J10:J11"/>
    <mergeCell ref="J12:J13"/>
    <mergeCell ref="K6:K7"/>
    <mergeCell ref="K8:K9"/>
    <mergeCell ref="K10:K11"/>
    <mergeCell ref="K12:K13"/>
    <mergeCell ref="L4:L5"/>
    <mergeCell ref="L6:L7"/>
    <mergeCell ref="L8:L9"/>
    <mergeCell ref="L10:L11"/>
    <mergeCell ref="L12:L13"/>
  </mergeCells>
  <phoneticPr fontId="214" type="noConversion"/>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dimension ref="A1:AU76"/>
  <sheetViews>
    <sheetView topLeftCell="Y1" workbookViewId="0">
      <selection activeCell="AA3" sqref="AA3"/>
    </sheetView>
  </sheetViews>
  <sheetFormatPr defaultColWidth="9" defaultRowHeight="14.25"/>
  <cols>
    <col min="1" max="2" width="9" style="2694"/>
    <col min="3" max="3" width="17.375" style="2694" customWidth="1"/>
    <col min="4" max="258" width="9" style="2694"/>
    <col min="259" max="259" width="17.375" style="2694" customWidth="1"/>
    <col min="260" max="514" width="9" style="2694"/>
    <col min="515" max="515" width="17.375" style="2694" customWidth="1"/>
    <col min="516" max="770" width="9" style="2694"/>
    <col min="771" max="771" width="17.375" style="2694" customWidth="1"/>
    <col min="772" max="1026" width="9" style="2694"/>
    <col min="1027" max="1027" width="17.375" style="2694" customWidth="1"/>
    <col min="1028" max="1282" width="9" style="2694"/>
    <col min="1283" max="1283" width="17.375" style="2694" customWidth="1"/>
    <col min="1284" max="1538" width="9" style="2694"/>
    <col min="1539" max="1539" width="17.375" style="2694" customWidth="1"/>
    <col min="1540" max="1794" width="9" style="2694"/>
    <col min="1795" max="1795" width="17.375" style="2694" customWidth="1"/>
    <col min="1796" max="2050" width="9" style="2694"/>
    <col min="2051" max="2051" width="17.375" style="2694" customWidth="1"/>
    <col min="2052" max="2306" width="9" style="2694"/>
    <col min="2307" max="2307" width="17.375" style="2694" customWidth="1"/>
    <col min="2308" max="2562" width="9" style="2694"/>
    <col min="2563" max="2563" width="17.375" style="2694" customWidth="1"/>
    <col min="2564" max="2818" width="9" style="2694"/>
    <col min="2819" max="2819" width="17.375" style="2694" customWidth="1"/>
    <col min="2820" max="3074" width="9" style="2694"/>
    <col min="3075" max="3075" width="17.375" style="2694" customWidth="1"/>
    <col min="3076" max="3330" width="9" style="2694"/>
    <col min="3331" max="3331" width="17.375" style="2694" customWidth="1"/>
    <col min="3332" max="3586" width="9" style="2694"/>
    <col min="3587" max="3587" width="17.375" style="2694" customWidth="1"/>
    <col min="3588" max="3842" width="9" style="2694"/>
    <col min="3843" max="3843" width="17.375" style="2694" customWidth="1"/>
    <col min="3844" max="4098" width="9" style="2694"/>
    <col min="4099" max="4099" width="17.375" style="2694" customWidth="1"/>
    <col min="4100" max="4354" width="9" style="2694"/>
    <col min="4355" max="4355" width="17.375" style="2694" customWidth="1"/>
    <col min="4356" max="4610" width="9" style="2694"/>
    <col min="4611" max="4611" width="17.375" style="2694" customWidth="1"/>
    <col min="4612" max="4866" width="9" style="2694"/>
    <col min="4867" max="4867" width="17.375" style="2694" customWidth="1"/>
    <col min="4868" max="5122" width="9" style="2694"/>
    <col min="5123" max="5123" width="17.375" style="2694" customWidth="1"/>
    <col min="5124" max="5378" width="9" style="2694"/>
    <col min="5379" max="5379" width="17.375" style="2694" customWidth="1"/>
    <col min="5380" max="5634" width="9" style="2694"/>
    <col min="5635" max="5635" width="17.375" style="2694" customWidth="1"/>
    <col min="5636" max="5890" width="9" style="2694"/>
    <col min="5891" max="5891" width="17.375" style="2694" customWidth="1"/>
    <col min="5892" max="6146" width="9" style="2694"/>
    <col min="6147" max="6147" width="17.375" style="2694" customWidth="1"/>
    <col min="6148" max="6402" width="9" style="2694"/>
    <col min="6403" max="6403" width="17.375" style="2694" customWidth="1"/>
    <col min="6404" max="6658" width="9" style="2694"/>
    <col min="6659" max="6659" width="17.375" style="2694" customWidth="1"/>
    <col min="6660" max="6914" width="9" style="2694"/>
    <col min="6915" max="6915" width="17.375" style="2694" customWidth="1"/>
    <col min="6916" max="7170" width="9" style="2694"/>
    <col min="7171" max="7171" width="17.375" style="2694" customWidth="1"/>
    <col min="7172" max="7426" width="9" style="2694"/>
    <col min="7427" max="7427" width="17.375" style="2694" customWidth="1"/>
    <col min="7428" max="7682" width="9" style="2694"/>
    <col min="7683" max="7683" width="17.375" style="2694" customWidth="1"/>
    <col min="7684" max="7938" width="9" style="2694"/>
    <col min="7939" max="7939" width="17.375" style="2694" customWidth="1"/>
    <col min="7940" max="8194" width="9" style="2694"/>
    <col min="8195" max="8195" width="17.375" style="2694" customWidth="1"/>
    <col min="8196" max="8450" width="9" style="2694"/>
    <col min="8451" max="8451" width="17.375" style="2694" customWidth="1"/>
    <col min="8452" max="8706" width="9" style="2694"/>
    <col min="8707" max="8707" width="17.375" style="2694" customWidth="1"/>
    <col min="8708" max="8962" width="9" style="2694"/>
    <col min="8963" max="8963" width="17.375" style="2694" customWidth="1"/>
    <col min="8964" max="9218" width="9" style="2694"/>
    <col min="9219" max="9219" width="17.375" style="2694" customWidth="1"/>
    <col min="9220" max="9474" width="9" style="2694"/>
    <col min="9475" max="9475" width="17.375" style="2694" customWidth="1"/>
    <col min="9476" max="9730" width="9" style="2694"/>
    <col min="9731" max="9731" width="17.375" style="2694" customWidth="1"/>
    <col min="9732" max="9986" width="9" style="2694"/>
    <col min="9987" max="9987" width="17.375" style="2694" customWidth="1"/>
    <col min="9988" max="10242" width="9" style="2694"/>
    <col min="10243" max="10243" width="17.375" style="2694" customWidth="1"/>
    <col min="10244" max="10498" width="9" style="2694"/>
    <col min="10499" max="10499" width="17.375" style="2694" customWidth="1"/>
    <col min="10500" max="10754" width="9" style="2694"/>
    <col min="10755" max="10755" width="17.375" style="2694" customWidth="1"/>
    <col min="10756" max="11010" width="9" style="2694"/>
    <col min="11011" max="11011" width="17.375" style="2694" customWidth="1"/>
    <col min="11012" max="11266" width="9" style="2694"/>
    <col min="11267" max="11267" width="17.375" style="2694" customWidth="1"/>
    <col min="11268" max="11522" width="9" style="2694"/>
    <col min="11523" max="11523" width="17.375" style="2694" customWidth="1"/>
    <col min="11524" max="11778" width="9" style="2694"/>
    <col min="11779" max="11779" width="17.375" style="2694" customWidth="1"/>
    <col min="11780" max="12034" width="9" style="2694"/>
    <col min="12035" max="12035" width="17.375" style="2694" customWidth="1"/>
    <col min="12036" max="12290" width="9" style="2694"/>
    <col min="12291" max="12291" width="17.375" style="2694" customWidth="1"/>
    <col min="12292" max="12546" width="9" style="2694"/>
    <col min="12547" max="12547" width="17.375" style="2694" customWidth="1"/>
    <col min="12548" max="12802" width="9" style="2694"/>
    <col min="12803" max="12803" width="17.375" style="2694" customWidth="1"/>
    <col min="12804" max="13058" width="9" style="2694"/>
    <col min="13059" max="13059" width="17.375" style="2694" customWidth="1"/>
    <col min="13060" max="13314" width="9" style="2694"/>
    <col min="13315" max="13315" width="17.375" style="2694" customWidth="1"/>
    <col min="13316" max="13570" width="9" style="2694"/>
    <col min="13571" max="13571" width="17.375" style="2694" customWidth="1"/>
    <col min="13572" max="13826" width="9" style="2694"/>
    <col min="13827" max="13827" width="17.375" style="2694" customWidth="1"/>
    <col min="13828" max="14082" width="9" style="2694"/>
    <col min="14083" max="14083" width="17.375" style="2694" customWidth="1"/>
    <col min="14084" max="14338" width="9" style="2694"/>
    <col min="14339" max="14339" width="17.375" style="2694" customWidth="1"/>
    <col min="14340" max="14594" width="9" style="2694"/>
    <col min="14595" max="14595" width="17.375" style="2694" customWidth="1"/>
    <col min="14596" max="14850" width="9" style="2694"/>
    <col min="14851" max="14851" width="17.375" style="2694" customWidth="1"/>
    <col min="14852" max="15106" width="9" style="2694"/>
    <col min="15107" max="15107" width="17.375" style="2694" customWidth="1"/>
    <col min="15108" max="15362" width="9" style="2694"/>
    <col min="15363" max="15363" width="17.375" style="2694" customWidth="1"/>
    <col min="15364" max="15618" width="9" style="2694"/>
    <col min="15619" max="15619" width="17.375" style="2694" customWidth="1"/>
    <col min="15620" max="15874" width="9" style="2694"/>
    <col min="15875" max="15875" width="17.375" style="2694" customWidth="1"/>
    <col min="15876" max="16130" width="9" style="2694"/>
    <col min="16131" max="16131" width="17.375" style="2694" customWidth="1"/>
    <col min="16132" max="16384" width="9" style="2694"/>
  </cols>
  <sheetData>
    <row r="1" spans="1:47" ht="27.75">
      <c r="A1" s="3759" t="s">
        <v>437</v>
      </c>
      <c r="B1" s="3759" t="s">
        <v>1156</v>
      </c>
      <c r="C1" s="3759" t="s">
        <v>1157</v>
      </c>
      <c r="D1" s="3759" t="s">
        <v>1158</v>
      </c>
      <c r="E1" s="3759" t="s">
        <v>1159</v>
      </c>
      <c r="F1" s="3759" t="s">
        <v>1160</v>
      </c>
      <c r="G1" s="3759" t="s">
        <v>1161</v>
      </c>
      <c r="H1" s="3760" t="s">
        <v>1162</v>
      </c>
    </row>
    <row r="2" spans="1:47" ht="19.5" customHeight="1">
      <c r="A2" s="3759" t="s">
        <v>1169</v>
      </c>
      <c r="B2" s="3759" t="s">
        <v>1170</v>
      </c>
      <c r="C2" s="3759" t="s">
        <v>1171</v>
      </c>
      <c r="D2" s="3759" t="s">
        <v>1172</v>
      </c>
      <c r="E2" s="3759" t="s">
        <v>1164</v>
      </c>
      <c r="F2" s="3759" t="s">
        <v>1173</v>
      </c>
      <c r="G2" s="3759" t="s">
        <v>1174</v>
      </c>
      <c r="H2" s="3760" t="s">
        <v>1175</v>
      </c>
    </row>
    <row r="3" spans="1:47" ht="23.25" customHeight="1">
      <c r="A3" s="3759" t="s">
        <v>1176</v>
      </c>
      <c r="B3" s="3759" t="s">
        <v>1177</v>
      </c>
      <c r="C3" s="3759" t="s">
        <v>1178</v>
      </c>
      <c r="D3" s="3759" t="s">
        <v>1179</v>
      </c>
      <c r="E3" s="3759" t="s">
        <v>1164</v>
      </c>
      <c r="F3" s="3759" t="s">
        <v>1180</v>
      </c>
      <c r="G3" s="3759" t="s">
        <v>1181</v>
      </c>
      <c r="H3" s="3760" t="s">
        <v>1182</v>
      </c>
    </row>
    <row r="5" spans="1:47" ht="22.5">
      <c r="A5" s="3761" t="s">
        <v>1183</v>
      </c>
      <c r="B5" s="3761" t="s">
        <v>1131</v>
      </c>
      <c r="C5" s="3761" t="s">
        <v>1184</v>
      </c>
      <c r="D5" s="3761" t="s">
        <v>1185</v>
      </c>
      <c r="E5" s="3761" t="s">
        <v>1186</v>
      </c>
      <c r="F5" s="3761" t="s">
        <v>1187</v>
      </c>
      <c r="G5" s="3761" t="s">
        <v>1188</v>
      </c>
      <c r="I5" s="3761" t="s">
        <v>1183</v>
      </c>
      <c r="J5" s="3761" t="s">
        <v>1131</v>
      </c>
      <c r="K5" s="3761" t="s">
        <v>1184</v>
      </c>
      <c r="L5" s="3761" t="s">
        <v>1185</v>
      </c>
      <c r="M5" s="3761" t="s">
        <v>1186</v>
      </c>
      <c r="N5" s="3761" t="s">
        <v>1187</v>
      </c>
      <c r="O5" s="3761" t="s">
        <v>1188</v>
      </c>
      <c r="Q5" s="3761" t="s">
        <v>1183</v>
      </c>
      <c r="R5" s="3761" t="s">
        <v>1131</v>
      </c>
      <c r="S5" s="3761" t="s">
        <v>1189</v>
      </c>
      <c r="T5" s="3761" t="s">
        <v>1190</v>
      </c>
      <c r="U5" s="3761" t="s">
        <v>1191</v>
      </c>
      <c r="V5" s="3761" t="s">
        <v>1192</v>
      </c>
      <c r="W5" s="3761" t="s">
        <v>1188</v>
      </c>
      <c r="Y5" s="3761" t="s">
        <v>1183</v>
      </c>
      <c r="Z5" s="3761" t="s">
        <v>1131</v>
      </c>
      <c r="AA5" s="3761" t="s">
        <v>1184</v>
      </c>
      <c r="AB5" s="3761" t="s">
        <v>1185</v>
      </c>
      <c r="AC5" s="3761" t="s">
        <v>1186</v>
      </c>
      <c r="AD5" s="3761" t="s">
        <v>1187</v>
      </c>
      <c r="AE5" s="3761" t="s">
        <v>1188</v>
      </c>
      <c r="AF5" s="4592"/>
      <c r="AG5" s="3761" t="s">
        <v>1183</v>
      </c>
      <c r="AH5" s="3761" t="s">
        <v>1131</v>
      </c>
      <c r="AI5" s="3761" t="s">
        <v>1193</v>
      </c>
      <c r="AJ5" s="3761" t="s">
        <v>1185</v>
      </c>
      <c r="AK5" s="3761" t="s">
        <v>1194</v>
      </c>
      <c r="AL5" s="3761" t="s">
        <v>1187</v>
      </c>
      <c r="AM5" s="3761" t="s">
        <v>1188</v>
      </c>
      <c r="AN5" s="4592"/>
      <c r="AO5" s="3761" t="s">
        <v>1183</v>
      </c>
      <c r="AP5" s="3761" t="s">
        <v>1131</v>
      </c>
      <c r="AQ5" s="3761" t="s">
        <v>1193</v>
      </c>
      <c r="AR5" s="3761" t="s">
        <v>1185</v>
      </c>
      <c r="AS5" s="3761" t="s">
        <v>1186</v>
      </c>
      <c r="AT5" s="3761" t="s">
        <v>1187</v>
      </c>
      <c r="AU5" s="3761" t="s">
        <v>1188</v>
      </c>
    </row>
    <row r="6" spans="1:47">
      <c r="A6" s="3762" t="s">
        <v>1195</v>
      </c>
      <c r="B6" s="3762">
        <v>22</v>
      </c>
      <c r="C6" s="3762">
        <v>14.23</v>
      </c>
      <c r="D6" s="3762">
        <v>13.72</v>
      </c>
      <c r="E6" s="3762">
        <v>18</v>
      </c>
      <c r="F6" s="3762">
        <v>11</v>
      </c>
      <c r="G6" s="3762">
        <v>1</v>
      </c>
      <c r="I6" s="3762" t="s">
        <v>1196</v>
      </c>
      <c r="J6" s="3762">
        <v>10</v>
      </c>
      <c r="K6" s="3762">
        <v>16.170000000000002</v>
      </c>
      <c r="L6" s="3762">
        <v>15.66</v>
      </c>
      <c r="M6" s="3762">
        <v>22</v>
      </c>
      <c r="N6" s="3762">
        <v>11</v>
      </c>
      <c r="O6" s="3762">
        <v>1</v>
      </c>
      <c r="Q6" s="3762" t="s">
        <v>1197</v>
      </c>
      <c r="R6" s="3762">
        <v>12</v>
      </c>
      <c r="S6" s="3762">
        <v>36.380000000000003</v>
      </c>
      <c r="T6" s="3762">
        <v>35.619999999999997</v>
      </c>
      <c r="U6" s="3762">
        <v>40</v>
      </c>
      <c r="V6" s="3762">
        <v>27</v>
      </c>
      <c r="W6" s="3762">
        <v>1</v>
      </c>
      <c r="Y6" s="3762" t="s">
        <v>1198</v>
      </c>
      <c r="Z6" s="3762">
        <v>14</v>
      </c>
      <c r="AA6" s="3762">
        <v>56.6</v>
      </c>
      <c r="AB6" s="3762">
        <v>55.22</v>
      </c>
      <c r="AC6" s="3762">
        <v>64</v>
      </c>
      <c r="AD6" s="3762">
        <v>48</v>
      </c>
      <c r="AE6" s="3762">
        <v>1.2</v>
      </c>
      <c r="AF6" s="4592"/>
      <c r="AG6" s="3762" t="s">
        <v>1199</v>
      </c>
      <c r="AH6" s="3762">
        <v>18</v>
      </c>
      <c r="AI6" s="3762">
        <v>127.34</v>
      </c>
      <c r="AJ6" s="3762">
        <v>124.55</v>
      </c>
      <c r="AK6" s="3762">
        <v>139</v>
      </c>
      <c r="AL6" s="3762">
        <v>110</v>
      </c>
      <c r="AM6" s="3762">
        <v>1.5</v>
      </c>
      <c r="AN6" s="4592"/>
      <c r="AO6" s="3762" t="s">
        <v>1200</v>
      </c>
      <c r="AP6" s="3762">
        <v>18</v>
      </c>
      <c r="AQ6" s="3762">
        <v>181.91</v>
      </c>
      <c r="AR6" s="3762">
        <v>178.87</v>
      </c>
      <c r="AS6" s="3762">
        <v>199</v>
      </c>
      <c r="AT6" s="3762">
        <v>157</v>
      </c>
      <c r="AU6" s="3762">
        <v>5.5</v>
      </c>
    </row>
    <row r="7" spans="1:47">
      <c r="A7" s="3762" t="s">
        <v>1201</v>
      </c>
      <c r="B7" s="3762">
        <v>23</v>
      </c>
      <c r="C7" s="3762">
        <v>14.88</v>
      </c>
      <c r="D7" s="3762">
        <v>14.37</v>
      </c>
      <c r="E7" s="3762">
        <v>18</v>
      </c>
      <c r="F7" s="3762">
        <v>12.5</v>
      </c>
      <c r="G7" s="3762">
        <v>1</v>
      </c>
      <c r="I7" s="3762" t="s">
        <v>1202</v>
      </c>
      <c r="J7" s="3762">
        <v>11</v>
      </c>
      <c r="K7" s="3762">
        <v>17.79</v>
      </c>
      <c r="L7" s="3762">
        <v>17.28</v>
      </c>
      <c r="M7" s="3762">
        <v>22</v>
      </c>
      <c r="N7" s="3762">
        <v>11</v>
      </c>
      <c r="O7" s="3762">
        <v>1</v>
      </c>
      <c r="Q7" s="3762" t="s">
        <v>1203</v>
      </c>
      <c r="R7" s="3762">
        <v>13</v>
      </c>
      <c r="S7" s="3762">
        <v>39.409999999999997</v>
      </c>
      <c r="T7" s="3762">
        <v>38.65</v>
      </c>
      <c r="U7" s="3762">
        <v>44</v>
      </c>
      <c r="V7" s="3762">
        <v>32</v>
      </c>
      <c r="W7" s="3762">
        <v>1</v>
      </c>
      <c r="Y7" s="3762" t="s">
        <v>1204</v>
      </c>
      <c r="Z7" s="3762">
        <v>15</v>
      </c>
      <c r="AA7" s="3762">
        <v>60.64</v>
      </c>
      <c r="AB7" s="3762">
        <v>59.27</v>
      </c>
      <c r="AC7" s="3762">
        <v>68</v>
      </c>
      <c r="AD7" s="3762">
        <v>52</v>
      </c>
      <c r="AE7" s="3762">
        <v>1.2</v>
      </c>
      <c r="AF7" s="4592"/>
      <c r="AG7" s="3762" t="s">
        <v>1205</v>
      </c>
      <c r="AH7" s="3762">
        <v>19</v>
      </c>
      <c r="AI7" s="3762">
        <v>134.41</v>
      </c>
      <c r="AJ7" s="3762">
        <v>131.62</v>
      </c>
      <c r="AK7" s="3762">
        <v>146</v>
      </c>
      <c r="AL7" s="3762">
        <v>117</v>
      </c>
      <c r="AM7" s="3762">
        <v>4.5</v>
      </c>
      <c r="AN7" s="4592"/>
      <c r="AO7" s="3762" t="s">
        <v>1206</v>
      </c>
      <c r="AP7" s="3762">
        <v>19</v>
      </c>
      <c r="AQ7" s="3762">
        <v>192.02</v>
      </c>
      <c r="AR7" s="3762">
        <v>188.97</v>
      </c>
      <c r="AS7" s="3762">
        <v>209</v>
      </c>
      <c r="AT7" s="3762">
        <v>167</v>
      </c>
      <c r="AU7" s="3762">
        <v>5.5</v>
      </c>
    </row>
    <row r="8" spans="1:47">
      <c r="A8" s="3762" t="s">
        <v>1207</v>
      </c>
      <c r="B8" s="3762">
        <v>24</v>
      </c>
      <c r="C8" s="3762">
        <v>15.52</v>
      </c>
      <c r="D8" s="3762">
        <v>15.02</v>
      </c>
      <c r="E8" s="3762">
        <v>18</v>
      </c>
      <c r="F8" s="3762">
        <v>12.5</v>
      </c>
      <c r="G8" s="3762">
        <v>1</v>
      </c>
      <c r="I8" s="3762" t="s">
        <v>1208</v>
      </c>
      <c r="J8" s="3762">
        <v>12</v>
      </c>
      <c r="K8" s="3762">
        <v>19.399999999999999</v>
      </c>
      <c r="L8" s="3762">
        <v>18.899999999999999</v>
      </c>
      <c r="M8" s="3762">
        <v>25</v>
      </c>
      <c r="N8" s="3762">
        <v>15</v>
      </c>
      <c r="O8" s="3762">
        <v>1</v>
      </c>
      <c r="Q8" s="3762" t="s">
        <v>1209</v>
      </c>
      <c r="R8" s="3762">
        <v>14</v>
      </c>
      <c r="S8" s="3762">
        <v>42.45</v>
      </c>
      <c r="T8" s="3762">
        <v>41.68</v>
      </c>
      <c r="U8" s="3762">
        <v>49</v>
      </c>
      <c r="V8" s="3762">
        <v>29</v>
      </c>
      <c r="W8" s="3762">
        <v>1</v>
      </c>
      <c r="Y8" s="3762" t="s">
        <v>1210</v>
      </c>
      <c r="Z8" s="3762">
        <v>16</v>
      </c>
      <c r="AA8" s="3762">
        <v>64.680000000000007</v>
      </c>
      <c r="AB8" s="3762">
        <v>63.31</v>
      </c>
      <c r="AC8" s="3762">
        <v>73</v>
      </c>
      <c r="AD8" s="3762">
        <v>55</v>
      </c>
      <c r="AE8" s="3762">
        <v>1.2</v>
      </c>
      <c r="AF8" s="4592"/>
      <c r="AG8" s="3762" t="s">
        <v>1211</v>
      </c>
      <c r="AH8" s="3762">
        <v>20</v>
      </c>
      <c r="AI8" s="3762">
        <v>141.49</v>
      </c>
      <c r="AJ8" s="3762">
        <v>138.69</v>
      </c>
      <c r="AK8" s="3762">
        <v>153</v>
      </c>
      <c r="AL8" s="3762">
        <v>124</v>
      </c>
      <c r="AM8" s="3762">
        <v>4.5</v>
      </c>
      <c r="AN8" s="4592"/>
      <c r="AO8" s="3762" t="s">
        <v>1212</v>
      </c>
      <c r="AP8" s="3762">
        <v>20</v>
      </c>
      <c r="AQ8" s="3762">
        <v>202.13</v>
      </c>
      <c r="AR8" s="3762">
        <v>199.08</v>
      </c>
      <c r="AS8" s="3762">
        <v>219</v>
      </c>
      <c r="AT8" s="3762">
        <v>177</v>
      </c>
      <c r="AU8" s="3762">
        <v>5.5</v>
      </c>
    </row>
    <row r="9" spans="1:47">
      <c r="A9" s="3762" t="s">
        <v>1213</v>
      </c>
      <c r="B9" s="3762">
        <v>25</v>
      </c>
      <c r="C9" s="3762">
        <v>16.170000000000002</v>
      </c>
      <c r="D9" s="3762">
        <v>15.66</v>
      </c>
      <c r="E9" s="3762">
        <v>18</v>
      </c>
      <c r="F9" s="3762">
        <v>12.5</v>
      </c>
      <c r="G9" s="3762">
        <v>1</v>
      </c>
      <c r="I9" s="3762" t="s">
        <v>1214</v>
      </c>
      <c r="J9" s="3762">
        <v>13</v>
      </c>
      <c r="K9" s="3762">
        <v>21.02</v>
      </c>
      <c r="L9" s="3762">
        <v>20.51</v>
      </c>
      <c r="M9" s="3762">
        <v>25</v>
      </c>
      <c r="N9" s="3762">
        <v>15</v>
      </c>
      <c r="O9" s="3762">
        <v>1</v>
      </c>
      <c r="Q9" s="3762" t="s">
        <v>1215</v>
      </c>
      <c r="R9" s="3762">
        <v>15</v>
      </c>
      <c r="S9" s="3762">
        <v>45.48</v>
      </c>
      <c r="T9" s="3762">
        <v>44.72</v>
      </c>
      <c r="U9" s="3762">
        <v>51</v>
      </c>
      <c r="V9" s="3762">
        <v>36</v>
      </c>
      <c r="W9" s="3762">
        <v>1.2</v>
      </c>
      <c r="Y9" s="3762" t="s">
        <v>1216</v>
      </c>
      <c r="Z9" s="3762">
        <v>17</v>
      </c>
      <c r="AA9" s="3762">
        <v>68.72</v>
      </c>
      <c r="AB9" s="3762">
        <v>67.349999999999994</v>
      </c>
      <c r="AC9" s="3762">
        <v>73</v>
      </c>
      <c r="AD9" s="3762">
        <v>55</v>
      </c>
      <c r="AE9" s="3762">
        <v>1.2</v>
      </c>
      <c r="AF9" s="4592"/>
      <c r="AG9" s="3762" t="s">
        <v>1217</v>
      </c>
      <c r="AH9" s="3762">
        <v>21</v>
      </c>
      <c r="AI9" s="3762">
        <v>148.56</v>
      </c>
      <c r="AJ9" s="3762">
        <v>145.77000000000001</v>
      </c>
      <c r="AK9" s="3762">
        <v>160</v>
      </c>
      <c r="AL9" s="3762">
        <v>131</v>
      </c>
      <c r="AM9" s="3762">
        <v>4.5</v>
      </c>
      <c r="AN9" s="4592"/>
      <c r="AO9" s="3762" t="s">
        <v>1218</v>
      </c>
      <c r="AP9" s="3762">
        <v>21</v>
      </c>
      <c r="AQ9" s="3762">
        <v>212.23</v>
      </c>
      <c r="AR9" s="3762">
        <v>209.19</v>
      </c>
      <c r="AS9" s="3762">
        <v>229</v>
      </c>
      <c r="AT9" s="3762">
        <v>187</v>
      </c>
      <c r="AU9" s="3762">
        <v>5.5</v>
      </c>
    </row>
    <row r="10" spans="1:47">
      <c r="A10" s="3762" t="s">
        <v>1219</v>
      </c>
      <c r="B10" s="3762">
        <v>26</v>
      </c>
      <c r="C10" s="3762">
        <v>16.82</v>
      </c>
      <c r="D10" s="3762">
        <v>16.309999999999999</v>
      </c>
      <c r="E10" s="3762">
        <v>22</v>
      </c>
      <c r="F10" s="3762">
        <v>13</v>
      </c>
      <c r="G10" s="3762">
        <v>1</v>
      </c>
      <c r="I10" s="3762" t="s">
        <v>1220</v>
      </c>
      <c r="J10" s="3762">
        <v>14</v>
      </c>
      <c r="K10" s="3762">
        <v>22.64</v>
      </c>
      <c r="L10" s="3762">
        <v>22.13</v>
      </c>
      <c r="M10" s="3762">
        <v>26</v>
      </c>
      <c r="N10" s="3762">
        <v>17</v>
      </c>
      <c r="O10" s="3762">
        <v>1</v>
      </c>
      <c r="Q10" s="3762" t="s">
        <v>1221</v>
      </c>
      <c r="R10" s="3762">
        <v>16</v>
      </c>
      <c r="S10" s="3762">
        <v>48.51</v>
      </c>
      <c r="T10" s="3762">
        <v>47.75</v>
      </c>
      <c r="U10" s="3762">
        <v>54</v>
      </c>
      <c r="V10" s="3762">
        <v>39</v>
      </c>
      <c r="W10" s="3762">
        <v>1.2</v>
      </c>
      <c r="Y10" s="3762" t="s">
        <v>1222</v>
      </c>
      <c r="Z10" s="3762">
        <v>18</v>
      </c>
      <c r="AA10" s="3762">
        <v>72.77</v>
      </c>
      <c r="AB10" s="3762">
        <v>71.39</v>
      </c>
      <c r="AC10" s="3762">
        <v>80</v>
      </c>
      <c r="AD10" s="3762">
        <v>60</v>
      </c>
      <c r="AE10" s="3762">
        <v>1.2</v>
      </c>
      <c r="AF10" s="4592"/>
      <c r="AG10" s="3762" t="s">
        <v>1223</v>
      </c>
      <c r="AH10" s="3762">
        <v>22</v>
      </c>
      <c r="AI10" s="3762">
        <v>155.63999999999999</v>
      </c>
      <c r="AJ10" s="3762">
        <v>152.84</v>
      </c>
      <c r="AK10" s="3762">
        <v>164</v>
      </c>
      <c r="AL10" s="3762">
        <v>134</v>
      </c>
      <c r="AM10" s="3762">
        <v>1.5</v>
      </c>
      <c r="AN10" s="4592"/>
      <c r="AO10" s="3762" t="s">
        <v>1224</v>
      </c>
      <c r="AP10" s="3762">
        <v>22</v>
      </c>
      <c r="AQ10" s="3762">
        <v>222.34</v>
      </c>
      <c r="AR10" s="3762">
        <v>219.29</v>
      </c>
      <c r="AS10" s="3762">
        <v>239</v>
      </c>
      <c r="AT10" s="3762">
        <v>197</v>
      </c>
      <c r="AU10" s="3762">
        <v>5.5</v>
      </c>
    </row>
    <row r="11" spans="1:47">
      <c r="A11" s="3762" t="s">
        <v>1225</v>
      </c>
      <c r="B11" s="3762">
        <v>27</v>
      </c>
      <c r="C11" s="3762">
        <v>17.46</v>
      </c>
      <c r="D11" s="3762">
        <v>16.96</v>
      </c>
      <c r="E11" s="3762">
        <v>22</v>
      </c>
      <c r="F11" s="3762">
        <v>13</v>
      </c>
      <c r="G11" s="3762">
        <v>1</v>
      </c>
      <c r="I11" s="3762" t="s">
        <v>1226</v>
      </c>
      <c r="J11" s="3762">
        <v>15</v>
      </c>
      <c r="K11" s="3762">
        <v>24.26</v>
      </c>
      <c r="L11" s="3762">
        <v>23.75</v>
      </c>
      <c r="M11" s="3762">
        <v>29</v>
      </c>
      <c r="N11" s="3762">
        <v>19</v>
      </c>
      <c r="O11" s="3762">
        <v>1</v>
      </c>
      <c r="Q11" s="3762" t="s">
        <v>1227</v>
      </c>
      <c r="R11" s="3762">
        <v>17</v>
      </c>
      <c r="S11" s="3762">
        <v>51.54</v>
      </c>
      <c r="T11" s="3762">
        <v>50.78</v>
      </c>
      <c r="U11" s="3762">
        <v>61</v>
      </c>
      <c r="V11" s="3762">
        <v>45</v>
      </c>
      <c r="W11" s="3762">
        <v>1.2</v>
      </c>
      <c r="Y11" s="3762" t="s">
        <v>1228</v>
      </c>
      <c r="Z11" s="3762">
        <v>19</v>
      </c>
      <c r="AA11" s="3762">
        <v>76.81</v>
      </c>
      <c r="AB11" s="3762">
        <v>75.44</v>
      </c>
      <c r="AC11" s="3762">
        <v>84</v>
      </c>
      <c r="AD11" s="3762">
        <v>64</v>
      </c>
      <c r="AE11" s="3762">
        <v>1.2</v>
      </c>
      <c r="AF11" s="4592"/>
      <c r="AG11" s="3762" t="s">
        <v>1229</v>
      </c>
      <c r="AH11" s="3762">
        <v>23</v>
      </c>
      <c r="AI11" s="3762">
        <v>162.71</v>
      </c>
      <c r="AJ11" s="3762">
        <v>159.91999999999999</v>
      </c>
      <c r="AK11" s="3762">
        <v>175</v>
      </c>
      <c r="AL11" s="3762">
        <v>143</v>
      </c>
      <c r="AM11" s="3762">
        <v>1.5</v>
      </c>
      <c r="AN11" s="4592"/>
      <c r="AO11" s="3762" t="s">
        <v>1230</v>
      </c>
      <c r="AP11" s="3762">
        <v>24</v>
      </c>
      <c r="AQ11" s="3762">
        <v>242.55</v>
      </c>
      <c r="AR11" s="3762">
        <v>239.5</v>
      </c>
      <c r="AS11" s="3762" t="s">
        <v>1231</v>
      </c>
      <c r="AT11" s="3762" t="s">
        <v>1231</v>
      </c>
      <c r="AU11" s="3762" t="s">
        <v>1231</v>
      </c>
    </row>
    <row r="12" spans="1:47">
      <c r="A12" s="3762" t="s">
        <v>1232</v>
      </c>
      <c r="B12" s="3762">
        <v>28</v>
      </c>
      <c r="C12" s="3762">
        <v>18.11</v>
      </c>
      <c r="D12" s="3762">
        <v>17.600000000000001</v>
      </c>
      <c r="E12" s="3762">
        <v>22</v>
      </c>
      <c r="F12" s="3762">
        <v>13</v>
      </c>
      <c r="G12" s="3762">
        <v>1</v>
      </c>
      <c r="I12" s="3762" t="s">
        <v>1233</v>
      </c>
      <c r="J12" s="3762">
        <v>16</v>
      </c>
      <c r="K12" s="3762">
        <v>25.87</v>
      </c>
      <c r="L12" s="3762">
        <v>25.36</v>
      </c>
      <c r="M12" s="3762">
        <v>29</v>
      </c>
      <c r="N12" s="3762">
        <v>21</v>
      </c>
      <c r="O12" s="3762">
        <v>1</v>
      </c>
      <c r="Q12" s="3762" t="s">
        <v>1234</v>
      </c>
      <c r="R12" s="3762">
        <v>18</v>
      </c>
      <c r="S12" s="3762">
        <v>54.57</v>
      </c>
      <c r="T12" s="3762">
        <v>53.81</v>
      </c>
      <c r="U12" s="3762">
        <v>61</v>
      </c>
      <c r="V12" s="3762">
        <v>45</v>
      </c>
      <c r="W12" s="3762">
        <v>1.2</v>
      </c>
      <c r="Y12" s="3762" t="s">
        <v>1235</v>
      </c>
      <c r="Z12" s="3762">
        <v>20</v>
      </c>
      <c r="AA12" s="3762">
        <v>80.849999999999994</v>
      </c>
      <c r="AB12" s="3762">
        <v>79.48</v>
      </c>
      <c r="AC12" s="3762">
        <v>84</v>
      </c>
      <c r="AD12" s="3762">
        <v>64</v>
      </c>
      <c r="AE12" s="3762">
        <v>1.2</v>
      </c>
      <c r="AF12" s="4592"/>
      <c r="AG12" s="3762" t="s">
        <v>1236</v>
      </c>
      <c r="AH12" s="3762">
        <v>24</v>
      </c>
      <c r="AI12" s="3762">
        <v>169.79</v>
      </c>
      <c r="AJ12" s="3762">
        <v>166.99</v>
      </c>
      <c r="AK12" s="3762">
        <v>181</v>
      </c>
      <c r="AL12" s="3762">
        <v>152</v>
      </c>
      <c r="AM12" s="3762">
        <v>4.5</v>
      </c>
      <c r="AN12" s="4592"/>
      <c r="AO12" s="3762" t="s">
        <v>1237</v>
      </c>
      <c r="AP12" s="3762">
        <v>25</v>
      </c>
      <c r="AQ12" s="3762">
        <v>252.66</v>
      </c>
      <c r="AR12" s="3762">
        <v>249.61</v>
      </c>
      <c r="AS12" s="3762" t="s">
        <v>1231</v>
      </c>
      <c r="AT12" s="3762" t="s">
        <v>1231</v>
      </c>
      <c r="AU12" s="3762" t="s">
        <v>1231</v>
      </c>
    </row>
    <row r="13" spans="1:47">
      <c r="A13" s="3762" t="s">
        <v>1238</v>
      </c>
      <c r="B13" s="3762">
        <v>29</v>
      </c>
      <c r="C13" s="3762">
        <v>18.760000000000002</v>
      </c>
      <c r="D13" s="3762">
        <v>18.25</v>
      </c>
      <c r="E13" s="3762">
        <v>22</v>
      </c>
      <c r="F13" s="3762">
        <v>13</v>
      </c>
      <c r="G13" s="3762">
        <v>1</v>
      </c>
      <c r="I13" s="3762" t="s">
        <v>1239</v>
      </c>
      <c r="J13" s="3762">
        <v>17</v>
      </c>
      <c r="K13" s="3762">
        <v>27.49</v>
      </c>
      <c r="L13" s="3762">
        <v>26.98</v>
      </c>
      <c r="M13" s="3762">
        <v>32</v>
      </c>
      <c r="N13" s="3762">
        <v>21</v>
      </c>
      <c r="O13" s="3762">
        <v>1</v>
      </c>
      <c r="Q13" s="3762" t="s">
        <v>1240</v>
      </c>
      <c r="R13" s="3762">
        <v>19</v>
      </c>
      <c r="S13" s="3762">
        <v>57.61</v>
      </c>
      <c r="T13" s="3762">
        <v>56.84</v>
      </c>
      <c r="U13" s="3762">
        <v>61</v>
      </c>
      <c r="V13" s="3762">
        <v>45</v>
      </c>
      <c r="W13" s="3762">
        <v>1.2</v>
      </c>
      <c r="Y13" s="3762" t="s">
        <v>1241</v>
      </c>
      <c r="Z13" s="3762">
        <v>21</v>
      </c>
      <c r="AA13" s="3762">
        <v>84.89</v>
      </c>
      <c r="AB13" s="3762">
        <v>83.52</v>
      </c>
      <c r="AC13" s="3762">
        <v>90</v>
      </c>
      <c r="AD13" s="3762">
        <v>70</v>
      </c>
      <c r="AE13" s="3762">
        <v>1.2</v>
      </c>
      <c r="AF13" s="4592"/>
      <c r="AG13" s="3762" t="s">
        <v>1242</v>
      </c>
      <c r="AH13" s="3762">
        <v>25</v>
      </c>
      <c r="AI13" s="3762">
        <v>176.86</v>
      </c>
      <c r="AJ13" s="3762">
        <v>174.07</v>
      </c>
      <c r="AK13" s="3762">
        <v>188</v>
      </c>
      <c r="AL13" s="3762">
        <v>159</v>
      </c>
      <c r="AM13" s="3762">
        <v>4.5</v>
      </c>
      <c r="AN13" s="4592"/>
      <c r="AO13" s="3762" t="s">
        <v>1243</v>
      </c>
      <c r="AP13" s="3762">
        <v>26</v>
      </c>
      <c r="AQ13" s="3762">
        <v>262.76</v>
      </c>
      <c r="AR13" s="3762">
        <v>259.72000000000003</v>
      </c>
      <c r="AS13" s="3762" t="s">
        <v>1231</v>
      </c>
      <c r="AT13" s="3762" t="s">
        <v>1231</v>
      </c>
      <c r="AU13" s="3762" t="s">
        <v>1231</v>
      </c>
    </row>
    <row r="14" spans="1:47">
      <c r="A14" s="3762" t="s">
        <v>1244</v>
      </c>
      <c r="B14" s="3762">
        <v>30</v>
      </c>
      <c r="C14" s="3762">
        <v>19.399999999999999</v>
      </c>
      <c r="D14" s="3762">
        <v>18.899999999999999</v>
      </c>
      <c r="E14" s="3762">
        <v>22</v>
      </c>
      <c r="F14" s="3762">
        <v>13</v>
      </c>
      <c r="G14" s="3762">
        <v>1</v>
      </c>
      <c r="I14" s="3762" t="s">
        <v>1245</v>
      </c>
      <c r="J14" s="3762">
        <v>18</v>
      </c>
      <c r="K14" s="3762">
        <v>29.11</v>
      </c>
      <c r="L14" s="3762">
        <v>28.6</v>
      </c>
      <c r="M14" s="3762">
        <v>32</v>
      </c>
      <c r="N14" s="3762">
        <v>21</v>
      </c>
      <c r="O14" s="3762">
        <v>1</v>
      </c>
      <c r="Q14" s="3762" t="s">
        <v>1246</v>
      </c>
      <c r="R14" s="3762">
        <v>20</v>
      </c>
      <c r="S14" s="3762">
        <v>60.64</v>
      </c>
      <c r="T14" s="3762">
        <v>59.88</v>
      </c>
      <c r="U14" s="3762">
        <v>64</v>
      </c>
      <c r="V14" s="3762">
        <v>48</v>
      </c>
      <c r="W14" s="3762">
        <v>1.2</v>
      </c>
      <c r="Y14" s="3762" t="s">
        <v>1247</v>
      </c>
      <c r="Z14" s="3762">
        <v>22</v>
      </c>
      <c r="AA14" s="3762">
        <v>88.94</v>
      </c>
      <c r="AB14" s="3762">
        <v>87.56</v>
      </c>
      <c r="AC14" s="3762">
        <v>98</v>
      </c>
      <c r="AD14" s="3762">
        <v>78</v>
      </c>
      <c r="AE14" s="3762">
        <v>1.2</v>
      </c>
      <c r="AF14" s="4592"/>
      <c r="AG14" s="3762" t="s">
        <v>1248</v>
      </c>
      <c r="AH14" s="3762">
        <v>26</v>
      </c>
      <c r="AI14" s="3762">
        <v>183.94</v>
      </c>
      <c r="AJ14" s="3762">
        <v>181.14</v>
      </c>
      <c r="AK14" s="3762">
        <v>195</v>
      </c>
      <c r="AL14" s="3762">
        <v>166</v>
      </c>
      <c r="AM14" s="3762">
        <v>4.5</v>
      </c>
      <c r="AN14" s="4592"/>
      <c r="AO14" s="3762" t="s">
        <v>1249</v>
      </c>
      <c r="AP14" s="3762">
        <v>27</v>
      </c>
      <c r="AQ14" s="3762">
        <v>272.87</v>
      </c>
      <c r="AR14" s="3762">
        <v>269.82</v>
      </c>
      <c r="AS14" s="3762" t="s">
        <v>1231</v>
      </c>
      <c r="AT14" s="3762" t="s">
        <v>1250</v>
      </c>
      <c r="AU14" s="3762" t="s">
        <v>1231</v>
      </c>
    </row>
    <row r="15" spans="1:47">
      <c r="A15" s="3762" t="s">
        <v>1251</v>
      </c>
      <c r="B15" s="3762">
        <v>32</v>
      </c>
      <c r="C15" s="3762">
        <v>20.7</v>
      </c>
      <c r="D15" s="3762">
        <v>20.190000000000001</v>
      </c>
      <c r="E15" s="3762">
        <v>25</v>
      </c>
      <c r="F15" s="3762">
        <v>15</v>
      </c>
      <c r="G15" s="3762">
        <v>1</v>
      </c>
      <c r="I15" s="3762" t="s">
        <v>1252</v>
      </c>
      <c r="J15" s="3762">
        <v>19</v>
      </c>
      <c r="K15" s="3762">
        <v>30.72</v>
      </c>
      <c r="L15" s="3762">
        <v>30.22</v>
      </c>
      <c r="M15" s="3762">
        <v>34.5</v>
      </c>
      <c r="N15" s="3762">
        <v>24.5</v>
      </c>
      <c r="O15" s="3762">
        <v>1</v>
      </c>
      <c r="Q15" s="3762" t="s">
        <v>1253</v>
      </c>
      <c r="R15" s="3762">
        <v>21</v>
      </c>
      <c r="S15" s="3762">
        <v>63.67</v>
      </c>
      <c r="T15" s="3762">
        <v>62.91</v>
      </c>
      <c r="U15" s="3762">
        <v>69</v>
      </c>
      <c r="V15" s="3762">
        <v>54</v>
      </c>
      <c r="W15" s="3762">
        <v>1.2</v>
      </c>
      <c r="Y15" s="3762" t="s">
        <v>1254</v>
      </c>
      <c r="Z15" s="3762">
        <v>23</v>
      </c>
      <c r="AA15" s="3762">
        <v>92.98</v>
      </c>
      <c r="AB15" s="3762">
        <v>91.61</v>
      </c>
      <c r="AC15" s="3762">
        <v>98</v>
      </c>
      <c r="AD15" s="3762">
        <v>78</v>
      </c>
      <c r="AE15" s="3762">
        <v>1.2</v>
      </c>
      <c r="AF15" s="4592"/>
      <c r="AG15" s="3762" t="s">
        <v>1255</v>
      </c>
      <c r="AH15" s="3762">
        <v>27</v>
      </c>
      <c r="AI15" s="3762">
        <v>191.01</v>
      </c>
      <c r="AJ15" s="3762">
        <v>188.22</v>
      </c>
      <c r="AK15" s="3762">
        <v>202</v>
      </c>
      <c r="AL15" s="3762">
        <v>173</v>
      </c>
      <c r="AM15" s="3762">
        <v>4.5</v>
      </c>
      <c r="AN15" s="4592"/>
      <c r="AO15" s="3762" t="s">
        <v>1256</v>
      </c>
      <c r="AP15" s="3762">
        <v>30</v>
      </c>
      <c r="AQ15" s="3762">
        <v>303.19</v>
      </c>
      <c r="AR15" s="3762">
        <v>300.14</v>
      </c>
      <c r="AS15" s="3762" t="s">
        <v>1231</v>
      </c>
      <c r="AT15" s="3762" t="s">
        <v>1231</v>
      </c>
      <c r="AU15" s="3762" t="s">
        <v>1257</v>
      </c>
    </row>
    <row r="16" spans="1:47">
      <c r="A16" s="3762" t="s">
        <v>1258</v>
      </c>
      <c r="B16" s="3762">
        <v>34</v>
      </c>
      <c r="C16" s="3762">
        <v>21.99</v>
      </c>
      <c r="D16" s="3762">
        <v>21.48</v>
      </c>
      <c r="E16" s="3762">
        <v>25</v>
      </c>
      <c r="F16" s="3762">
        <v>15</v>
      </c>
      <c r="G16" s="3762">
        <v>1</v>
      </c>
      <c r="I16" s="3762" t="s">
        <v>1259</v>
      </c>
      <c r="J16" s="3762">
        <v>20</v>
      </c>
      <c r="K16" s="3762">
        <v>32.340000000000003</v>
      </c>
      <c r="L16" s="3762">
        <v>31.83</v>
      </c>
      <c r="M16" s="3762">
        <v>37.799999999999997</v>
      </c>
      <c r="N16" s="3762">
        <v>28</v>
      </c>
      <c r="O16" s="3762">
        <v>1</v>
      </c>
      <c r="Q16" s="3762" t="s">
        <v>1260</v>
      </c>
      <c r="R16" s="3762">
        <v>22</v>
      </c>
      <c r="S16" s="3762">
        <v>66.7</v>
      </c>
      <c r="T16" s="3762">
        <v>65.94</v>
      </c>
      <c r="U16" s="3762">
        <v>73</v>
      </c>
      <c r="V16" s="3762">
        <v>55</v>
      </c>
      <c r="W16" s="3762">
        <v>1.2</v>
      </c>
      <c r="Y16" s="3762" t="s">
        <v>1261</v>
      </c>
      <c r="Z16" s="3762">
        <v>24</v>
      </c>
      <c r="AA16" s="3762">
        <v>97.02</v>
      </c>
      <c r="AB16" s="3762">
        <v>95.65</v>
      </c>
      <c r="AC16" s="3762">
        <v>102</v>
      </c>
      <c r="AD16" s="3762">
        <v>83</v>
      </c>
      <c r="AE16" s="3762">
        <v>1.2</v>
      </c>
      <c r="AF16" s="4592"/>
      <c r="AG16" s="3762" t="s">
        <v>1262</v>
      </c>
      <c r="AH16" s="3762">
        <v>28</v>
      </c>
      <c r="AI16" s="3762">
        <v>198.08</v>
      </c>
      <c r="AJ16" s="3762">
        <v>195.29</v>
      </c>
      <c r="AK16" s="3762">
        <v>209</v>
      </c>
      <c r="AL16" s="3762">
        <v>180</v>
      </c>
      <c r="AM16" s="3762">
        <v>4.5</v>
      </c>
      <c r="AN16" s="4592"/>
      <c r="AO16" s="3762" t="s">
        <v>1263</v>
      </c>
      <c r="AP16" s="3762">
        <v>40</v>
      </c>
      <c r="AQ16" s="3762">
        <v>404.25</v>
      </c>
      <c r="AR16" s="3762">
        <v>401.21</v>
      </c>
      <c r="AS16" s="3762" t="s">
        <v>1231</v>
      </c>
      <c r="AT16" s="3762" t="s">
        <v>1231</v>
      </c>
      <c r="AU16" s="3762" t="s">
        <v>1257</v>
      </c>
    </row>
    <row r="17" spans="1:47">
      <c r="A17" s="3762" t="s">
        <v>1264</v>
      </c>
      <c r="B17" s="3762">
        <v>36</v>
      </c>
      <c r="C17" s="3762">
        <v>23.29</v>
      </c>
      <c r="D17" s="3762">
        <v>22.78</v>
      </c>
      <c r="E17" s="3762">
        <v>26</v>
      </c>
      <c r="F17" s="3762">
        <v>17</v>
      </c>
      <c r="G17" s="3762">
        <v>1</v>
      </c>
      <c r="I17" s="3762" t="s">
        <v>1265</v>
      </c>
      <c r="J17" s="3762">
        <v>21</v>
      </c>
      <c r="K17" s="3762">
        <v>33.96</v>
      </c>
      <c r="L17" s="3762">
        <v>33.450000000000003</v>
      </c>
      <c r="M17" s="3762">
        <v>37.799999999999997</v>
      </c>
      <c r="N17" s="3762">
        <v>28</v>
      </c>
      <c r="O17" s="3762">
        <v>1</v>
      </c>
      <c r="Q17" s="3762" t="s">
        <v>1266</v>
      </c>
      <c r="R17" s="3762">
        <v>23</v>
      </c>
      <c r="S17" s="3762">
        <v>69.73</v>
      </c>
      <c r="T17" s="3762">
        <v>68.97</v>
      </c>
      <c r="U17" s="3762">
        <v>73</v>
      </c>
      <c r="V17" s="3762">
        <v>55</v>
      </c>
      <c r="W17" s="3762">
        <v>1.2</v>
      </c>
      <c r="Y17" s="3762" t="s">
        <v>1267</v>
      </c>
      <c r="Z17" s="3762">
        <v>25</v>
      </c>
      <c r="AA17" s="3762">
        <v>101.06</v>
      </c>
      <c r="AB17" s="3762">
        <v>99.69</v>
      </c>
      <c r="AC17" s="3762">
        <v>109</v>
      </c>
      <c r="AD17" s="3762">
        <v>90</v>
      </c>
      <c r="AE17" s="3762">
        <v>1.2</v>
      </c>
      <c r="AF17" s="4592"/>
      <c r="AG17" s="3762" t="s">
        <v>1268</v>
      </c>
      <c r="AH17" s="3762">
        <v>30</v>
      </c>
      <c r="AI17" s="3762">
        <v>212.23</v>
      </c>
      <c r="AJ17" s="3762">
        <v>209.44</v>
      </c>
      <c r="AK17" s="3762" t="s">
        <v>1231</v>
      </c>
      <c r="AL17" s="3762" t="s">
        <v>1231</v>
      </c>
      <c r="AM17" s="3762" t="s">
        <v>1231</v>
      </c>
      <c r="AN17" s="4592"/>
      <c r="AO17" s="3762" t="s">
        <v>1269</v>
      </c>
      <c r="AP17" s="3762">
        <v>48</v>
      </c>
      <c r="AQ17" s="3762">
        <v>485.1</v>
      </c>
      <c r="AR17" s="3762">
        <v>482.06</v>
      </c>
      <c r="AS17" s="3762" t="s">
        <v>1231</v>
      </c>
      <c r="AT17" s="3762" t="s">
        <v>1231</v>
      </c>
      <c r="AU17" s="3762" t="s">
        <v>1257</v>
      </c>
    </row>
    <row r="18" spans="1:47">
      <c r="A18" s="3762" t="s">
        <v>1270</v>
      </c>
      <c r="B18" s="3762">
        <v>38</v>
      </c>
      <c r="C18" s="3762">
        <v>24.58</v>
      </c>
      <c r="D18" s="3762">
        <v>24.07</v>
      </c>
      <c r="E18" s="3762">
        <v>29</v>
      </c>
      <c r="F18" s="3762">
        <v>21</v>
      </c>
      <c r="G18" s="3762">
        <v>1</v>
      </c>
      <c r="I18" s="3762" t="s">
        <v>1271</v>
      </c>
      <c r="J18" s="3762">
        <v>22</v>
      </c>
      <c r="K18" s="3762">
        <v>35.57</v>
      </c>
      <c r="L18" s="3762">
        <v>35.07</v>
      </c>
      <c r="M18" s="3762">
        <v>40</v>
      </c>
      <c r="N18" s="3762">
        <v>27</v>
      </c>
      <c r="O18" s="3762">
        <v>1</v>
      </c>
      <c r="Q18" s="3762" t="s">
        <v>1272</v>
      </c>
      <c r="R18" s="3762">
        <v>24</v>
      </c>
      <c r="S18" s="3762">
        <v>72.77</v>
      </c>
      <c r="T18" s="3762">
        <v>72</v>
      </c>
      <c r="U18" s="3762">
        <v>80</v>
      </c>
      <c r="V18" s="3762">
        <v>60</v>
      </c>
      <c r="W18" s="3762">
        <v>1.2</v>
      </c>
      <c r="Y18" s="3762" t="s">
        <v>1273</v>
      </c>
      <c r="Z18" s="3762">
        <v>26</v>
      </c>
      <c r="AA18" s="3762">
        <v>105.11</v>
      </c>
      <c r="AB18" s="3762">
        <v>103.73</v>
      </c>
      <c r="AC18" s="3762">
        <v>109</v>
      </c>
      <c r="AD18" s="3762">
        <v>90</v>
      </c>
      <c r="AE18" s="3762">
        <v>1.2</v>
      </c>
      <c r="AF18" s="4592"/>
      <c r="AG18" s="3762" t="s">
        <v>1274</v>
      </c>
      <c r="AH18" s="3762">
        <v>32</v>
      </c>
      <c r="AI18" s="3762">
        <v>226.38</v>
      </c>
      <c r="AJ18" s="3762">
        <v>223.59</v>
      </c>
      <c r="AK18" s="3762" t="s">
        <v>1231</v>
      </c>
      <c r="AL18" s="3762" t="s">
        <v>1231</v>
      </c>
      <c r="AM18" s="3762" t="s">
        <v>1231</v>
      </c>
      <c r="AN18" s="4592"/>
      <c r="AO18" s="3762" t="s">
        <v>1275</v>
      </c>
      <c r="AP18" s="3762">
        <v>60</v>
      </c>
      <c r="AQ18" s="3762">
        <v>606.38</v>
      </c>
      <c r="AR18" s="3762">
        <v>603.33000000000004</v>
      </c>
      <c r="AS18" s="3762" t="s">
        <v>1231</v>
      </c>
      <c r="AT18" s="3762" t="s">
        <v>1231</v>
      </c>
      <c r="AU18" s="3762" t="s">
        <v>1257</v>
      </c>
    </row>
    <row r="19" spans="1:47">
      <c r="A19" s="3762" t="s">
        <v>1276</v>
      </c>
      <c r="B19" s="3762">
        <v>40</v>
      </c>
      <c r="C19" s="3762">
        <v>25.87</v>
      </c>
      <c r="D19" s="3762">
        <v>25.36</v>
      </c>
      <c r="E19" s="3762">
        <v>29</v>
      </c>
      <c r="F19" s="3762">
        <v>21</v>
      </c>
      <c r="G19" s="3762">
        <v>1</v>
      </c>
      <c r="I19" s="3762" t="s">
        <v>1277</v>
      </c>
      <c r="J19" s="3762">
        <v>23</v>
      </c>
      <c r="K19" s="3762">
        <v>37.19</v>
      </c>
      <c r="L19" s="3762">
        <v>36.68</v>
      </c>
      <c r="M19" s="3762">
        <v>40</v>
      </c>
      <c r="N19" s="3762">
        <v>27</v>
      </c>
      <c r="O19" s="3762">
        <v>1</v>
      </c>
      <c r="Q19" s="3762" t="s">
        <v>1278</v>
      </c>
      <c r="R19" s="3762">
        <v>25</v>
      </c>
      <c r="S19" s="3762">
        <v>75.8</v>
      </c>
      <c r="T19" s="3762">
        <v>75.040000000000006</v>
      </c>
      <c r="U19" s="3762">
        <v>84</v>
      </c>
      <c r="V19" s="3762">
        <v>64</v>
      </c>
      <c r="W19" s="3762">
        <v>1.2</v>
      </c>
      <c r="Y19" s="3762" t="s">
        <v>1279</v>
      </c>
      <c r="Z19" s="3762">
        <v>27</v>
      </c>
      <c r="AA19" s="3762">
        <v>109.15</v>
      </c>
      <c r="AB19" s="3762">
        <v>107.78</v>
      </c>
      <c r="AC19" s="3762">
        <v>115</v>
      </c>
      <c r="AD19" s="3762">
        <v>95</v>
      </c>
      <c r="AE19" s="3762">
        <v>1.2</v>
      </c>
      <c r="AF19" s="4592"/>
      <c r="AG19" s="3762" t="s">
        <v>1280</v>
      </c>
      <c r="AH19" s="3762">
        <v>40</v>
      </c>
      <c r="AI19" s="3762">
        <v>282.98</v>
      </c>
      <c r="AJ19" s="3762">
        <v>280.18</v>
      </c>
      <c r="AK19" s="3762" t="s">
        <v>1231</v>
      </c>
      <c r="AL19" s="3762" t="s">
        <v>1231</v>
      </c>
      <c r="AM19" s="3762" t="s">
        <v>1231</v>
      </c>
      <c r="AN19" s="4592"/>
      <c r="AO19" s="3762" t="s">
        <v>1281</v>
      </c>
      <c r="AP19" s="3762">
        <v>72</v>
      </c>
      <c r="AQ19" s="3762">
        <v>727.66</v>
      </c>
      <c r="AR19" s="3762">
        <v>724.61</v>
      </c>
      <c r="AS19" s="3762" t="s">
        <v>1231</v>
      </c>
      <c r="AT19" s="3762"/>
      <c r="AU19" s="3775"/>
    </row>
    <row r="20" spans="1:47">
      <c r="A20" s="3762" t="s">
        <v>1282</v>
      </c>
      <c r="B20" s="3762">
        <v>42</v>
      </c>
      <c r="C20" s="3762">
        <v>27.17</v>
      </c>
      <c r="D20" s="3762">
        <v>26.66</v>
      </c>
      <c r="E20" s="3762">
        <v>29</v>
      </c>
      <c r="F20" s="3762">
        <v>21</v>
      </c>
      <c r="G20" s="3762">
        <v>1</v>
      </c>
      <c r="I20" s="3762" t="s">
        <v>1283</v>
      </c>
      <c r="J20" s="3762">
        <v>24</v>
      </c>
      <c r="K20" s="3762">
        <v>38.81</v>
      </c>
      <c r="L20" s="3762">
        <v>38.299999999999997</v>
      </c>
      <c r="M20" s="3762">
        <v>44</v>
      </c>
      <c r="N20" s="3762">
        <v>32</v>
      </c>
      <c r="O20" s="3762">
        <v>1</v>
      </c>
      <c r="Q20" s="3762" t="s">
        <v>1284</v>
      </c>
      <c r="R20" s="3762">
        <v>26</v>
      </c>
      <c r="S20" s="3762">
        <v>78.83</v>
      </c>
      <c r="T20" s="3762">
        <v>78.069999999999993</v>
      </c>
      <c r="U20" s="3762">
        <v>86</v>
      </c>
      <c r="V20" s="3762">
        <v>70</v>
      </c>
      <c r="W20" s="3762">
        <v>1.2</v>
      </c>
      <c r="Y20" s="3762" t="s">
        <v>1285</v>
      </c>
      <c r="Z20" s="3762">
        <v>28</v>
      </c>
      <c r="AA20" s="3762">
        <v>113.19</v>
      </c>
      <c r="AB20" s="3762">
        <v>111.82</v>
      </c>
      <c r="AC20" s="3762">
        <v>123</v>
      </c>
      <c r="AD20" s="3762">
        <v>103</v>
      </c>
      <c r="AE20" s="3762">
        <v>1.2</v>
      </c>
      <c r="AF20" s="4592"/>
      <c r="AG20" s="3762" t="s">
        <v>1286</v>
      </c>
      <c r="AH20" s="3762">
        <v>48</v>
      </c>
      <c r="AI20" s="3762">
        <v>339.57</v>
      </c>
      <c r="AJ20" s="3762">
        <v>336.78</v>
      </c>
      <c r="AK20" s="3762" t="s">
        <v>1231</v>
      </c>
      <c r="AL20" s="3762" t="s">
        <v>1287</v>
      </c>
      <c r="AM20" s="3762" t="s">
        <v>1231</v>
      </c>
      <c r="AN20" s="4592"/>
    </row>
    <row r="21" spans="1:47">
      <c r="A21" s="3762" t="s">
        <v>1288</v>
      </c>
      <c r="B21" s="3762">
        <v>44</v>
      </c>
      <c r="C21" s="3762">
        <v>28.46</v>
      </c>
      <c r="D21" s="3762">
        <v>27.95</v>
      </c>
      <c r="E21" s="3762">
        <v>32</v>
      </c>
      <c r="F21" s="3762">
        <v>21</v>
      </c>
      <c r="G21" s="3762">
        <v>1</v>
      </c>
      <c r="I21" s="3762" t="s">
        <v>1289</v>
      </c>
      <c r="J21" s="3762">
        <v>25</v>
      </c>
      <c r="K21" s="3762">
        <v>40.43</v>
      </c>
      <c r="L21" s="3762">
        <v>39.92</v>
      </c>
      <c r="M21" s="3762">
        <v>44</v>
      </c>
      <c r="N21" s="3762">
        <v>32</v>
      </c>
      <c r="O21" s="3762">
        <v>1</v>
      </c>
      <c r="Q21" s="3762" t="s">
        <v>1290</v>
      </c>
      <c r="R21" s="3762">
        <v>27</v>
      </c>
      <c r="S21" s="3762">
        <v>81.86</v>
      </c>
      <c r="T21" s="3762">
        <v>81.099999999999994</v>
      </c>
      <c r="U21" s="3762">
        <v>90</v>
      </c>
      <c r="V21" s="3762">
        <v>70</v>
      </c>
      <c r="W21" s="3762">
        <v>1.2</v>
      </c>
      <c r="Y21" s="3762" t="s">
        <v>1291</v>
      </c>
      <c r="Z21" s="3762">
        <v>30</v>
      </c>
      <c r="AA21" s="3762">
        <v>121.28</v>
      </c>
      <c r="AB21" s="3762">
        <v>119.9</v>
      </c>
      <c r="AC21" s="3762">
        <v>131</v>
      </c>
      <c r="AD21" s="3762">
        <v>111</v>
      </c>
      <c r="AE21" s="3762">
        <v>1.5</v>
      </c>
      <c r="AF21" s="4592"/>
      <c r="AG21" s="3762" t="s">
        <v>1292</v>
      </c>
      <c r="AH21" s="3762">
        <v>60</v>
      </c>
      <c r="AI21" s="3762">
        <v>424.47</v>
      </c>
      <c r="AJ21" s="3762">
        <v>421.67</v>
      </c>
      <c r="AK21" s="3762" t="s">
        <v>1231</v>
      </c>
      <c r="AL21" s="3762" t="s">
        <v>1231</v>
      </c>
      <c r="AM21" s="3762" t="s">
        <v>1231</v>
      </c>
      <c r="AN21" s="4592"/>
    </row>
    <row r="22" spans="1:47">
      <c r="A22" s="3762" t="s">
        <v>1293</v>
      </c>
      <c r="B22" s="3762">
        <v>46</v>
      </c>
      <c r="C22" s="3762">
        <v>29.75</v>
      </c>
      <c r="D22" s="3762">
        <v>29.25</v>
      </c>
      <c r="E22" s="3762">
        <v>32</v>
      </c>
      <c r="F22" s="3762">
        <v>21</v>
      </c>
      <c r="G22" s="3762">
        <v>1</v>
      </c>
      <c r="I22" s="3762" t="s">
        <v>1294</v>
      </c>
      <c r="J22" s="3762">
        <v>26</v>
      </c>
      <c r="K22" s="3762">
        <v>42.04</v>
      </c>
      <c r="L22" s="3762">
        <v>41.43</v>
      </c>
      <c r="M22" s="3762">
        <v>49</v>
      </c>
      <c r="N22" s="3762">
        <v>29</v>
      </c>
      <c r="O22" s="3762">
        <v>1</v>
      </c>
      <c r="Q22" s="3762" t="s">
        <v>1295</v>
      </c>
      <c r="R22" s="3762">
        <v>28</v>
      </c>
      <c r="S22" s="3762">
        <v>84.89</v>
      </c>
      <c r="T22" s="3762">
        <v>84.13</v>
      </c>
      <c r="U22" s="3762">
        <v>90</v>
      </c>
      <c r="V22" s="3762">
        <v>70</v>
      </c>
      <c r="W22" s="3762">
        <v>1.2</v>
      </c>
      <c r="Y22" s="3762" t="s">
        <v>1296</v>
      </c>
      <c r="Z22" s="3762">
        <v>32</v>
      </c>
      <c r="AA22" s="3762">
        <v>129.36000000000001</v>
      </c>
      <c r="AB22" s="3762">
        <v>127.99</v>
      </c>
      <c r="AC22" s="3762">
        <v>139</v>
      </c>
      <c r="AD22" s="3762">
        <v>110</v>
      </c>
      <c r="AE22" s="3762">
        <v>1.5</v>
      </c>
      <c r="AF22" s="4592"/>
      <c r="AG22" s="3762" t="s">
        <v>1297</v>
      </c>
      <c r="AH22" s="3762">
        <v>72</v>
      </c>
      <c r="AI22" s="3762">
        <v>509.36</v>
      </c>
      <c r="AJ22" s="3762">
        <v>506.57</v>
      </c>
      <c r="AK22" s="3762" t="s">
        <v>1231</v>
      </c>
      <c r="AL22" s="3762" t="s">
        <v>1231</v>
      </c>
      <c r="AM22" s="3762" t="s">
        <v>1231</v>
      </c>
      <c r="AN22" s="4592"/>
    </row>
    <row r="23" spans="1:47">
      <c r="A23" s="3762" t="s">
        <v>1298</v>
      </c>
      <c r="B23" s="3762">
        <v>48</v>
      </c>
      <c r="C23" s="3762">
        <v>31.05</v>
      </c>
      <c r="D23" s="3762">
        <v>30.54</v>
      </c>
      <c r="E23" s="3762">
        <v>34.5</v>
      </c>
      <c r="F23" s="3762">
        <v>24.5</v>
      </c>
      <c r="G23" s="3762">
        <v>1</v>
      </c>
      <c r="I23" s="3762" t="s">
        <v>1299</v>
      </c>
      <c r="J23" s="3762">
        <v>27</v>
      </c>
      <c r="K23" s="3762">
        <v>43.66</v>
      </c>
      <c r="L23" s="3762">
        <v>43.15</v>
      </c>
      <c r="M23" s="3762">
        <v>48</v>
      </c>
      <c r="N23" s="3762">
        <v>38</v>
      </c>
      <c r="O23" s="3762">
        <v>1</v>
      </c>
      <c r="Q23" s="3762" t="s">
        <v>1300</v>
      </c>
      <c r="R23" s="3762">
        <v>30</v>
      </c>
      <c r="S23" s="3762">
        <v>90.96</v>
      </c>
      <c r="T23" s="3762">
        <v>90.2</v>
      </c>
      <c r="U23" s="3762">
        <v>98</v>
      </c>
      <c r="V23" s="3762">
        <v>78</v>
      </c>
      <c r="W23" s="3762">
        <v>1.2</v>
      </c>
      <c r="Y23" s="3762" t="s">
        <v>1301</v>
      </c>
      <c r="Z23" s="3762">
        <v>34</v>
      </c>
      <c r="AA23" s="3762">
        <v>137.44999999999999</v>
      </c>
      <c r="AB23" s="3762">
        <v>136.07</v>
      </c>
      <c r="AC23" s="3762">
        <v>152</v>
      </c>
      <c r="AD23" s="3762">
        <v>125</v>
      </c>
      <c r="AE23" s="3762">
        <v>1.5</v>
      </c>
      <c r="AF23" s="4592"/>
      <c r="AG23" s="3762" t="s">
        <v>1302</v>
      </c>
      <c r="AH23" s="3762">
        <v>84</v>
      </c>
      <c r="AI23" s="3762">
        <v>594.25</v>
      </c>
      <c r="AJ23" s="3762">
        <v>591.46</v>
      </c>
      <c r="AK23" s="3762" t="s">
        <v>1231</v>
      </c>
      <c r="AL23" s="3762" t="s">
        <v>1231</v>
      </c>
      <c r="AM23" s="3762" t="s">
        <v>1231</v>
      </c>
      <c r="AN23" s="4592"/>
    </row>
    <row r="24" spans="1:47">
      <c r="A24" s="3762" t="s">
        <v>1303</v>
      </c>
      <c r="B24" s="3762">
        <v>50</v>
      </c>
      <c r="C24" s="3762">
        <v>32.340000000000003</v>
      </c>
      <c r="D24" s="3762">
        <v>31.83</v>
      </c>
      <c r="E24" s="3762">
        <v>34.5</v>
      </c>
      <c r="F24" s="3762">
        <v>24.5</v>
      </c>
      <c r="G24" s="3762">
        <v>1</v>
      </c>
      <c r="I24" s="3762" t="s">
        <v>1304</v>
      </c>
      <c r="J24" s="3762">
        <v>28</v>
      </c>
      <c r="K24" s="3762">
        <v>45.28</v>
      </c>
      <c r="L24" s="3762">
        <v>44.77</v>
      </c>
      <c r="M24" s="3762">
        <v>48</v>
      </c>
      <c r="N24" s="3762">
        <v>38</v>
      </c>
      <c r="O24" s="3762">
        <v>1</v>
      </c>
      <c r="Q24" s="3762" t="s">
        <v>1305</v>
      </c>
      <c r="R24" s="3762">
        <v>32</v>
      </c>
      <c r="S24" s="3762">
        <v>97.02</v>
      </c>
      <c r="T24" s="3762">
        <v>96.26</v>
      </c>
      <c r="U24" s="3762">
        <v>102</v>
      </c>
      <c r="V24" s="3762">
        <v>83</v>
      </c>
      <c r="W24" s="3762">
        <v>1.2</v>
      </c>
      <c r="Y24" s="3762" t="s">
        <v>1306</v>
      </c>
      <c r="Z24" s="3762">
        <v>36</v>
      </c>
      <c r="AA24" s="3762">
        <v>145.53</v>
      </c>
      <c r="AB24" s="3762">
        <v>144.16</v>
      </c>
      <c r="AC24" s="3762">
        <v>153</v>
      </c>
      <c r="AD24" s="3762">
        <v>133</v>
      </c>
      <c r="AE24" s="3762">
        <v>1.5</v>
      </c>
      <c r="AF24" s="4592"/>
      <c r="AG24" s="3762" t="s">
        <v>1307</v>
      </c>
      <c r="AH24" s="3762">
        <v>96</v>
      </c>
      <c r="AI24" s="3762">
        <v>679.15</v>
      </c>
      <c r="AJ24" s="3762">
        <v>676.35</v>
      </c>
      <c r="AK24" s="3762" t="s">
        <v>1231</v>
      </c>
      <c r="AL24" s="3762" t="s">
        <v>1231</v>
      </c>
      <c r="AM24" s="3762" t="s">
        <v>1231</v>
      </c>
      <c r="AN24" s="4592"/>
    </row>
    <row r="25" spans="1:47">
      <c r="A25" s="3762" t="s">
        <v>1308</v>
      </c>
      <c r="B25" s="3762">
        <v>52</v>
      </c>
      <c r="C25" s="3762">
        <v>33.630000000000003</v>
      </c>
      <c r="D25" s="3762">
        <v>33.130000000000003</v>
      </c>
      <c r="E25" s="3762">
        <v>37.799999999999997</v>
      </c>
      <c r="F25" s="3762">
        <v>28</v>
      </c>
      <c r="G25" s="3762">
        <v>1</v>
      </c>
      <c r="I25" s="3762" t="s">
        <v>1309</v>
      </c>
      <c r="J25" s="3762">
        <v>30</v>
      </c>
      <c r="K25" s="3762">
        <v>48.51</v>
      </c>
      <c r="L25" s="3762">
        <v>48</v>
      </c>
      <c r="M25" s="3762">
        <v>51</v>
      </c>
      <c r="N25" s="3762">
        <v>36</v>
      </c>
      <c r="O25" s="3762">
        <v>1.2</v>
      </c>
      <c r="Q25" s="3762" t="s">
        <v>1310</v>
      </c>
      <c r="R25" s="3762">
        <v>34</v>
      </c>
      <c r="S25" s="3762">
        <v>103.08</v>
      </c>
      <c r="T25" s="3762">
        <v>102.32</v>
      </c>
      <c r="U25" s="3762">
        <v>109</v>
      </c>
      <c r="V25" s="3762">
        <v>90</v>
      </c>
      <c r="W25" s="3762">
        <v>1.2</v>
      </c>
      <c r="Y25" s="3762" t="s">
        <v>1311</v>
      </c>
      <c r="Z25" s="3762">
        <v>38</v>
      </c>
      <c r="AA25" s="3762">
        <v>153.62</v>
      </c>
      <c r="AB25" s="3762">
        <v>152.24</v>
      </c>
      <c r="AC25" s="3762">
        <v>164</v>
      </c>
      <c r="AD25" s="3762">
        <v>134</v>
      </c>
      <c r="AE25" s="3762">
        <v>1.5</v>
      </c>
      <c r="AF25" s="4592"/>
      <c r="AG25" s="3762" t="s">
        <v>1312</v>
      </c>
      <c r="AH25" s="3762">
        <v>120</v>
      </c>
      <c r="AI25" s="3762">
        <v>848.93</v>
      </c>
      <c r="AJ25" s="3762">
        <v>846.14</v>
      </c>
      <c r="AK25" s="3762" t="s">
        <v>1231</v>
      </c>
      <c r="AL25" s="3762" t="s">
        <v>1231</v>
      </c>
      <c r="AM25" s="3762" t="s">
        <v>1231</v>
      </c>
      <c r="AN25" s="4592"/>
    </row>
    <row r="26" spans="1:47">
      <c r="A26" s="3762" t="s">
        <v>1313</v>
      </c>
      <c r="B26" s="3762">
        <v>60</v>
      </c>
      <c r="C26" s="3762">
        <v>38.81</v>
      </c>
      <c r="D26" s="3762">
        <v>38.299999999999997</v>
      </c>
      <c r="E26" s="3762">
        <v>44</v>
      </c>
      <c r="F26" s="3762">
        <v>32</v>
      </c>
      <c r="G26" s="3762">
        <v>1</v>
      </c>
      <c r="I26" s="3762" t="s">
        <v>1314</v>
      </c>
      <c r="J26" s="3762">
        <v>32</v>
      </c>
      <c r="K26" s="3762">
        <v>51.74</v>
      </c>
      <c r="L26" s="3762">
        <v>51.24</v>
      </c>
      <c r="M26" s="3762">
        <v>61</v>
      </c>
      <c r="N26" s="3762">
        <v>45</v>
      </c>
      <c r="O26" s="3762">
        <v>1.2</v>
      </c>
      <c r="Q26" s="3762" t="s">
        <v>1315</v>
      </c>
      <c r="R26" s="3762">
        <v>36</v>
      </c>
      <c r="S26" s="3762">
        <v>109.15</v>
      </c>
      <c r="T26" s="3762">
        <v>108.39</v>
      </c>
      <c r="U26" s="3762">
        <v>115</v>
      </c>
      <c r="V26" s="3762">
        <v>95</v>
      </c>
      <c r="W26" s="3762">
        <v>1.2</v>
      </c>
      <c r="Y26" s="3762" t="s">
        <v>1316</v>
      </c>
      <c r="Z26" s="3762">
        <v>40</v>
      </c>
      <c r="AA26" s="3762">
        <v>161.69999999999999</v>
      </c>
      <c r="AB26" s="3762">
        <v>160.33000000000001</v>
      </c>
      <c r="AC26" s="3762">
        <v>169</v>
      </c>
      <c r="AD26" s="3762">
        <v>135</v>
      </c>
      <c r="AE26" s="3762">
        <v>1.5</v>
      </c>
      <c r="AF26" s="4592"/>
    </row>
    <row r="27" spans="1:47">
      <c r="A27" s="3762" t="s">
        <v>1317</v>
      </c>
      <c r="B27" s="3762">
        <v>72</v>
      </c>
      <c r="C27" s="3762">
        <v>46.57</v>
      </c>
      <c r="D27" s="3762">
        <v>46.06</v>
      </c>
      <c r="E27" s="3762">
        <v>51</v>
      </c>
      <c r="F27" s="3762">
        <v>36</v>
      </c>
      <c r="G27" s="3762">
        <v>1.2</v>
      </c>
      <c r="I27" s="3762" t="s">
        <v>1318</v>
      </c>
      <c r="J27" s="3762">
        <v>34</v>
      </c>
      <c r="K27" s="3762">
        <v>54.97</v>
      </c>
      <c r="L27" s="3762">
        <v>54.47</v>
      </c>
      <c r="M27" s="3762">
        <v>61</v>
      </c>
      <c r="N27" s="3762">
        <v>45</v>
      </c>
      <c r="O27" s="3762">
        <v>1.2</v>
      </c>
      <c r="Q27" s="3762" t="s">
        <v>1319</v>
      </c>
      <c r="R27" s="3762">
        <v>38</v>
      </c>
      <c r="S27" s="3762">
        <v>115.21</v>
      </c>
      <c r="T27" s="3762">
        <v>114.45</v>
      </c>
      <c r="U27" s="3762">
        <v>123</v>
      </c>
      <c r="V27" s="3762">
        <v>103</v>
      </c>
      <c r="W27" s="3762">
        <v>1.2</v>
      </c>
      <c r="Y27" s="3762" t="s">
        <v>1320</v>
      </c>
      <c r="Z27" s="3762">
        <v>42</v>
      </c>
      <c r="AA27" s="3762">
        <v>169.79</v>
      </c>
      <c r="AB27" s="3762">
        <v>168.41</v>
      </c>
      <c r="AC27" s="3762" t="s">
        <v>1231</v>
      </c>
      <c r="AD27" s="3762" t="s">
        <v>1231</v>
      </c>
      <c r="AE27" s="3762" t="s">
        <v>1231</v>
      </c>
      <c r="AF27" s="4592"/>
    </row>
    <row r="28" spans="1:47">
      <c r="I28" s="3762" t="s">
        <v>1321</v>
      </c>
      <c r="J28" s="3762">
        <v>36</v>
      </c>
      <c r="K28" s="3762">
        <v>58.21</v>
      </c>
      <c r="L28" s="3762">
        <v>57.7</v>
      </c>
      <c r="M28" s="3762">
        <v>61</v>
      </c>
      <c r="N28" s="3762">
        <v>45</v>
      </c>
      <c r="O28" s="3762">
        <v>1.2</v>
      </c>
      <c r="Q28" s="3762" t="s">
        <v>1322</v>
      </c>
      <c r="R28" s="3762">
        <v>40</v>
      </c>
      <c r="S28" s="3762">
        <v>121.28</v>
      </c>
      <c r="T28" s="3762">
        <v>120.51</v>
      </c>
      <c r="U28" s="3762">
        <v>131</v>
      </c>
      <c r="V28" s="3762">
        <v>111</v>
      </c>
      <c r="W28" s="3762">
        <v>1.5</v>
      </c>
      <c r="Y28" s="3762" t="s">
        <v>1323</v>
      </c>
      <c r="Z28" s="3762">
        <v>44</v>
      </c>
      <c r="AA28" s="3762">
        <v>177.87</v>
      </c>
      <c r="AB28" s="3762">
        <v>176.5</v>
      </c>
      <c r="AC28" s="3762" t="s">
        <v>1231</v>
      </c>
      <c r="AD28" s="3762" t="s">
        <v>1231</v>
      </c>
      <c r="AE28" s="3762" t="s">
        <v>1231</v>
      </c>
      <c r="AF28" s="4592"/>
    </row>
    <row r="29" spans="1:47">
      <c r="I29" s="3762" t="s">
        <v>1324</v>
      </c>
      <c r="J29" s="3762">
        <v>38</v>
      </c>
      <c r="K29" s="3762">
        <v>61.45</v>
      </c>
      <c r="L29" s="3762">
        <v>60.94</v>
      </c>
      <c r="M29" s="3762">
        <v>64</v>
      </c>
      <c r="N29" s="3762">
        <v>48</v>
      </c>
      <c r="O29" s="3762">
        <v>1.2</v>
      </c>
      <c r="Q29" s="3762" t="s">
        <v>1325</v>
      </c>
      <c r="R29" s="3762">
        <v>42</v>
      </c>
      <c r="S29" s="3762">
        <v>127.34</v>
      </c>
      <c r="T29" s="3762">
        <v>126.58</v>
      </c>
      <c r="U29" s="3762">
        <v>138</v>
      </c>
      <c r="V29" s="3762">
        <v>118</v>
      </c>
      <c r="W29" s="3762">
        <v>1.5</v>
      </c>
      <c r="Y29" s="3762" t="s">
        <v>1326</v>
      </c>
      <c r="Z29" s="3762">
        <v>46</v>
      </c>
      <c r="AA29" s="3762">
        <v>185.96</v>
      </c>
      <c r="AB29" s="3762">
        <v>184.58</v>
      </c>
      <c r="AC29" s="3762" t="s">
        <v>1231</v>
      </c>
      <c r="AD29" s="3762" t="s">
        <v>1231</v>
      </c>
      <c r="AE29" s="3762" t="s">
        <v>1231</v>
      </c>
      <c r="AF29" s="4592"/>
    </row>
    <row r="30" spans="1:47" ht="15">
      <c r="I30" s="3762" t="s">
        <v>1327</v>
      </c>
      <c r="J30" s="3762">
        <v>40</v>
      </c>
      <c r="K30" s="3762">
        <v>64.680000000000007</v>
      </c>
      <c r="L30" s="3762">
        <v>64.17</v>
      </c>
      <c r="M30" s="3762">
        <v>69</v>
      </c>
      <c r="N30" s="3762">
        <v>54</v>
      </c>
      <c r="O30" s="3762">
        <v>1.2</v>
      </c>
      <c r="Q30" s="3762" t="s">
        <v>1328</v>
      </c>
      <c r="R30" s="3762">
        <v>44</v>
      </c>
      <c r="S30" s="3762">
        <v>133.4</v>
      </c>
      <c r="T30" s="3762">
        <v>132.63999999999999</v>
      </c>
      <c r="U30" s="3762">
        <v>139</v>
      </c>
      <c r="V30" s="3762">
        <v>110</v>
      </c>
      <c r="W30" s="3762">
        <v>1.5</v>
      </c>
      <c r="Y30" s="3762" t="s">
        <v>1329</v>
      </c>
      <c r="Z30" s="3762">
        <v>48</v>
      </c>
      <c r="AA30" s="3762">
        <v>194.04</v>
      </c>
      <c r="AB30" s="3762">
        <v>192.67</v>
      </c>
      <c r="AC30" s="3762" t="s">
        <v>1231</v>
      </c>
      <c r="AD30" s="3762" t="s">
        <v>1231</v>
      </c>
      <c r="AE30" s="3762" t="s">
        <v>1231</v>
      </c>
      <c r="AF30" s="4592"/>
      <c r="AG30" s="3771"/>
    </row>
    <row r="31" spans="1:47" ht="15">
      <c r="I31" s="3762" t="s">
        <v>1330</v>
      </c>
      <c r="J31" s="3762">
        <v>42</v>
      </c>
      <c r="K31" s="3762">
        <v>67.91</v>
      </c>
      <c r="L31" s="3762">
        <v>67.41</v>
      </c>
      <c r="M31" s="3762">
        <v>73</v>
      </c>
      <c r="N31" s="3762">
        <v>55</v>
      </c>
      <c r="O31" s="3762">
        <v>1.2</v>
      </c>
      <c r="Q31" s="3762" t="s">
        <v>1331</v>
      </c>
      <c r="R31" s="3762">
        <v>46</v>
      </c>
      <c r="S31" s="3762">
        <v>139.47</v>
      </c>
      <c r="T31" s="3762">
        <v>138.71</v>
      </c>
      <c r="U31" s="3762">
        <v>153</v>
      </c>
      <c r="V31" s="3762">
        <v>133</v>
      </c>
      <c r="W31" s="3762">
        <v>1.5</v>
      </c>
      <c r="Y31" s="3762" t="s">
        <v>1332</v>
      </c>
      <c r="Z31" s="3762">
        <v>50</v>
      </c>
      <c r="AA31" s="3762">
        <v>202.13</v>
      </c>
      <c r="AB31" s="3762">
        <v>200.75</v>
      </c>
      <c r="AC31" s="3762" t="s">
        <v>1231</v>
      </c>
      <c r="AD31" s="3762" t="s">
        <v>1231</v>
      </c>
      <c r="AE31" s="3762" t="s">
        <v>1231</v>
      </c>
      <c r="AF31" s="4592"/>
      <c r="AG31" s="3771"/>
    </row>
    <row r="32" spans="1:47" ht="15">
      <c r="I32" s="3762" t="s">
        <v>1333</v>
      </c>
      <c r="J32" s="3762">
        <v>44</v>
      </c>
      <c r="K32" s="3762">
        <v>71.150000000000006</v>
      </c>
      <c r="L32" s="3762">
        <v>70.64</v>
      </c>
      <c r="M32" s="3762">
        <v>78</v>
      </c>
      <c r="N32" s="3762">
        <v>58</v>
      </c>
      <c r="O32" s="3762">
        <v>1.2</v>
      </c>
      <c r="Q32" s="3762" t="s">
        <v>1334</v>
      </c>
      <c r="R32" s="3762">
        <v>48</v>
      </c>
      <c r="S32" s="3762">
        <v>145.53</v>
      </c>
      <c r="T32" s="3762">
        <v>144.77000000000001</v>
      </c>
      <c r="U32" s="3762">
        <v>153</v>
      </c>
      <c r="V32" s="3762">
        <v>133</v>
      </c>
      <c r="W32" s="3762">
        <v>1.5</v>
      </c>
      <c r="Y32" s="3762" t="s">
        <v>1335</v>
      </c>
      <c r="Z32" s="3762">
        <v>60</v>
      </c>
      <c r="AA32" s="3762">
        <v>242.55</v>
      </c>
      <c r="AB32" s="3762">
        <v>241.18</v>
      </c>
      <c r="AC32" s="3762" t="s">
        <v>1231</v>
      </c>
      <c r="AD32" s="3762" t="s">
        <v>1231</v>
      </c>
      <c r="AE32" s="3762" t="s">
        <v>1231</v>
      </c>
      <c r="AF32" s="4592"/>
      <c r="AG32" s="3768" t="s">
        <v>1336</v>
      </c>
    </row>
    <row r="33" spans="1:33" ht="15">
      <c r="I33" s="3762" t="s">
        <v>1337</v>
      </c>
      <c r="J33" s="3762">
        <v>46</v>
      </c>
      <c r="K33" s="3762">
        <v>74.38</v>
      </c>
      <c r="L33" s="3762">
        <v>73.87</v>
      </c>
      <c r="M33" s="3762">
        <v>78</v>
      </c>
      <c r="N33" s="3762">
        <v>58</v>
      </c>
      <c r="O33" s="3762">
        <v>1.2</v>
      </c>
      <c r="Q33" s="3762" t="s">
        <v>1338</v>
      </c>
      <c r="R33" s="3762">
        <v>50</v>
      </c>
      <c r="S33" s="3762">
        <v>151.6</v>
      </c>
      <c r="T33" s="3762">
        <v>150.83000000000001</v>
      </c>
      <c r="U33" s="3762" t="s">
        <v>1339</v>
      </c>
      <c r="V33" s="3762" t="s">
        <v>1231</v>
      </c>
      <c r="W33" s="3762" t="s">
        <v>1231</v>
      </c>
      <c r="Y33" s="3762" t="s">
        <v>1340</v>
      </c>
      <c r="Z33" s="3762">
        <v>72</v>
      </c>
      <c r="AA33" s="3762">
        <v>291.06</v>
      </c>
      <c r="AB33" s="3762">
        <v>289.69</v>
      </c>
      <c r="AC33" s="3762" t="s">
        <v>1231</v>
      </c>
      <c r="AD33" s="3762" t="s">
        <v>1231</v>
      </c>
      <c r="AE33" s="3762" t="s">
        <v>1231</v>
      </c>
      <c r="AF33" s="4592"/>
      <c r="AG33" s="3772"/>
    </row>
    <row r="34" spans="1:33" ht="15">
      <c r="I34" s="3762" t="s">
        <v>1341</v>
      </c>
      <c r="J34" s="3762">
        <v>48</v>
      </c>
      <c r="K34" s="3762">
        <v>77.62</v>
      </c>
      <c r="L34" s="3762">
        <v>77.11</v>
      </c>
      <c r="M34" s="3762">
        <v>84</v>
      </c>
      <c r="N34" s="3762">
        <v>64</v>
      </c>
      <c r="O34" s="3762">
        <v>1.2</v>
      </c>
      <c r="Q34" s="3762" t="s">
        <v>1342</v>
      </c>
      <c r="R34" s="3762">
        <v>60</v>
      </c>
      <c r="S34" s="3762">
        <v>181.91</v>
      </c>
      <c r="T34" s="3762">
        <v>181.15</v>
      </c>
      <c r="U34" s="3762" t="s">
        <v>1339</v>
      </c>
      <c r="V34" s="3762" t="s">
        <v>1231</v>
      </c>
      <c r="W34" s="3762" t="s">
        <v>1231</v>
      </c>
      <c r="Y34" s="3762" t="s">
        <v>1343</v>
      </c>
      <c r="Z34" s="3762">
        <v>84</v>
      </c>
      <c r="AA34" s="3762">
        <v>339.57</v>
      </c>
      <c r="AB34" s="3762">
        <v>338.2</v>
      </c>
      <c r="AC34" s="3762" t="s">
        <v>1231</v>
      </c>
      <c r="AD34" s="3762" t="s">
        <v>1231</v>
      </c>
      <c r="AE34" s="3762" t="s">
        <v>1231</v>
      </c>
      <c r="AF34" s="4592"/>
      <c r="AG34" s="3769" t="s">
        <v>1344</v>
      </c>
    </row>
    <row r="35" spans="1:33">
      <c r="I35" s="3762" t="s">
        <v>1345</v>
      </c>
      <c r="J35" s="3762">
        <v>50</v>
      </c>
      <c r="K35" s="3762">
        <v>80.849999999999994</v>
      </c>
      <c r="L35" s="3762">
        <v>80.34</v>
      </c>
      <c r="M35" s="3762">
        <v>90</v>
      </c>
      <c r="N35" s="3762">
        <v>70</v>
      </c>
      <c r="O35" s="3762">
        <v>1.2</v>
      </c>
      <c r="Q35" s="3762" t="s">
        <v>1346</v>
      </c>
      <c r="R35" s="3762">
        <v>72</v>
      </c>
      <c r="S35" s="3762">
        <v>218.3</v>
      </c>
      <c r="T35" s="3762">
        <v>217.53</v>
      </c>
      <c r="U35" s="3762" t="s">
        <v>1339</v>
      </c>
      <c r="V35" s="3762" t="s">
        <v>1231</v>
      </c>
      <c r="W35" s="3762" t="s">
        <v>1231</v>
      </c>
      <c r="Y35" s="3762" t="s">
        <v>1347</v>
      </c>
      <c r="Z35" s="3762">
        <v>96</v>
      </c>
      <c r="AA35" s="3762">
        <v>388.08</v>
      </c>
      <c r="AB35" s="3762">
        <v>386.71</v>
      </c>
      <c r="AC35" s="3762" t="s">
        <v>1231</v>
      </c>
      <c r="AD35" s="3762" t="s">
        <v>1231</v>
      </c>
      <c r="AE35" s="3762" t="s">
        <v>1231</v>
      </c>
      <c r="AF35" s="4592"/>
      <c r="AG35" s="3731"/>
    </row>
    <row r="36" spans="1:33" ht="15">
      <c r="I36" s="3762" t="s">
        <v>1348</v>
      </c>
      <c r="J36" s="3762">
        <v>60</v>
      </c>
      <c r="K36" s="3762">
        <v>97.02</v>
      </c>
      <c r="L36" s="3762">
        <v>96.51</v>
      </c>
      <c r="M36" s="3762">
        <v>102</v>
      </c>
      <c r="N36" s="3762">
        <v>83</v>
      </c>
      <c r="O36" s="3762">
        <v>1.2</v>
      </c>
      <c r="Q36" s="3762" t="s">
        <v>1349</v>
      </c>
      <c r="R36" s="3762">
        <v>84</v>
      </c>
      <c r="S36" s="3762">
        <v>254.68</v>
      </c>
      <c r="T36" s="3762">
        <v>253.92</v>
      </c>
      <c r="U36" s="3762" t="s">
        <v>1339</v>
      </c>
      <c r="V36" s="3762" t="s">
        <v>1231</v>
      </c>
      <c r="W36" s="3762" t="s">
        <v>1231</v>
      </c>
      <c r="AG36" s="3770" t="s">
        <v>1350</v>
      </c>
    </row>
    <row r="37" spans="1:33" ht="15">
      <c r="I37" s="3762" t="s">
        <v>1351</v>
      </c>
      <c r="J37" s="3762">
        <v>72</v>
      </c>
      <c r="K37" s="3762">
        <v>116.43</v>
      </c>
      <c r="L37" s="3762">
        <v>115.92</v>
      </c>
      <c r="M37" s="3762">
        <v>123</v>
      </c>
      <c r="N37" s="3762">
        <v>103</v>
      </c>
      <c r="O37" s="3762">
        <v>1.2</v>
      </c>
      <c r="Q37" s="3762" t="s">
        <v>1352</v>
      </c>
      <c r="R37" s="3762">
        <v>96</v>
      </c>
      <c r="S37" s="3762">
        <v>291.06</v>
      </c>
      <c r="T37" s="3762">
        <v>290.3</v>
      </c>
      <c r="U37" s="3762" t="s">
        <v>1339</v>
      </c>
      <c r="V37" s="3762" t="s">
        <v>1231</v>
      </c>
      <c r="W37" s="3762" t="s">
        <v>1231</v>
      </c>
      <c r="X37" s="3768"/>
      <c r="Y37" s="3768"/>
      <c r="Z37" s="3768"/>
      <c r="AA37" s="3768"/>
      <c r="AB37" s="3768"/>
      <c r="AG37" s="3769" t="s">
        <v>1353</v>
      </c>
    </row>
    <row r="38" spans="1:33" ht="15">
      <c r="X38" s="3768"/>
      <c r="Y38" s="3768"/>
      <c r="Z38" s="3768"/>
      <c r="AA38" s="3768"/>
      <c r="AB38" s="3768"/>
      <c r="AG38" s="3770" t="s">
        <v>1350</v>
      </c>
    </row>
    <row r="39" spans="1:33" ht="15">
      <c r="X39" s="3768"/>
      <c r="Y39" s="3768"/>
      <c r="Z39" s="3768"/>
      <c r="AA39" s="3768"/>
      <c r="AB39" s="3768"/>
      <c r="AG39" s="3769" t="s">
        <v>1354</v>
      </c>
    </row>
    <row r="40" spans="1:33" ht="15">
      <c r="X40" s="3768"/>
      <c r="Y40" s="3768"/>
      <c r="Z40" s="3768"/>
      <c r="AA40" s="3768"/>
      <c r="AB40" s="3768"/>
      <c r="AG40" s="3770" t="s">
        <v>1350</v>
      </c>
    </row>
    <row r="41" spans="1:33" ht="15">
      <c r="X41" s="3768"/>
      <c r="Y41" s="3768"/>
      <c r="Z41" s="3768"/>
      <c r="AA41" s="3768"/>
      <c r="AB41" s="3768"/>
      <c r="AG41" s="3769" t="s">
        <v>1355</v>
      </c>
    </row>
    <row r="42" spans="1:33" ht="24.75">
      <c r="A42" s="3763" t="s">
        <v>437</v>
      </c>
      <c r="B42" s="3763" t="s">
        <v>1156</v>
      </c>
      <c r="C42" s="3763" t="s">
        <v>1356</v>
      </c>
      <c r="D42" s="3763" t="s">
        <v>1357</v>
      </c>
      <c r="E42" s="3763" t="s">
        <v>1358</v>
      </c>
      <c r="F42" s="3763" t="s">
        <v>1359</v>
      </c>
      <c r="G42" s="3763" t="s">
        <v>1360</v>
      </c>
      <c r="H42" s="3763"/>
      <c r="X42" s="3768"/>
      <c r="Y42" s="3768"/>
      <c r="Z42" s="3768"/>
      <c r="AA42" s="3768"/>
      <c r="AB42" s="3768"/>
      <c r="AG42" s="3770" t="s">
        <v>1350</v>
      </c>
    </row>
    <row r="43" spans="1:33" ht="15">
      <c r="A43" s="3764" t="s">
        <v>1361</v>
      </c>
      <c r="B43" s="3765">
        <v>3</v>
      </c>
      <c r="C43" s="3765">
        <v>1.28</v>
      </c>
      <c r="D43" s="3765">
        <v>0.91</v>
      </c>
      <c r="E43" s="3765">
        <v>1.9</v>
      </c>
      <c r="F43" s="3765">
        <v>0.3</v>
      </c>
      <c r="G43" s="3765" t="s">
        <v>1362</v>
      </c>
      <c r="H43" s="3766"/>
      <c r="X43" s="3768"/>
      <c r="Y43" s="3768"/>
      <c r="Z43" s="3768"/>
      <c r="AA43" s="3768"/>
      <c r="AB43" s="3768"/>
      <c r="AG43" s="3769" t="s">
        <v>1363</v>
      </c>
    </row>
    <row r="44" spans="1:33" ht="15">
      <c r="A44" s="3764" t="s">
        <v>1364</v>
      </c>
      <c r="B44" s="3765">
        <v>5</v>
      </c>
      <c r="C44" s="3765">
        <v>2.16</v>
      </c>
      <c r="D44" s="3765">
        <v>0.56000000000000005</v>
      </c>
      <c r="E44" s="3765">
        <v>3.25</v>
      </c>
      <c r="F44" s="3765">
        <v>0.48</v>
      </c>
      <c r="G44" s="3765" t="s">
        <v>1362</v>
      </c>
      <c r="H44" s="3766"/>
      <c r="Y44" s="3769"/>
      <c r="AG44" s="3770" t="s">
        <v>1350</v>
      </c>
    </row>
    <row r="45" spans="1:33">
      <c r="A45" s="3764" t="s">
        <v>1365</v>
      </c>
      <c r="B45" s="3765">
        <v>8</v>
      </c>
      <c r="C45" s="3765">
        <v>3.54</v>
      </c>
      <c r="D45" s="3765">
        <v>2.57</v>
      </c>
      <c r="E45" s="3765">
        <v>5.35</v>
      </c>
      <c r="F45" s="3765">
        <v>0.8</v>
      </c>
      <c r="G45" s="3765" t="s">
        <v>1362</v>
      </c>
      <c r="H45" s="3766"/>
      <c r="Y45" s="3731"/>
      <c r="AG45" s="3773" t="s">
        <v>1366</v>
      </c>
    </row>
    <row r="46" spans="1:33" ht="15">
      <c r="A46" s="3764" t="s">
        <v>1367</v>
      </c>
      <c r="B46" s="3765">
        <v>14</v>
      </c>
      <c r="C46" s="3765">
        <v>6.2</v>
      </c>
      <c r="D46" s="3765">
        <v>4.6500000000000004</v>
      </c>
      <c r="E46" s="3765">
        <v>9.8000000000000007</v>
      </c>
      <c r="F46" s="3765">
        <v>1.4</v>
      </c>
      <c r="G46" s="3765" t="s">
        <v>1362</v>
      </c>
      <c r="H46" s="3767"/>
      <c r="Y46" s="3770"/>
      <c r="AG46" s="3774" t="s">
        <v>1368</v>
      </c>
    </row>
    <row r="47" spans="1:33" ht="15">
      <c r="Y47" s="3769"/>
    </row>
    <row r="48" spans="1:33" ht="22.5">
      <c r="A48" s="3761" t="s">
        <v>1183</v>
      </c>
      <c r="B48" s="3761" t="s">
        <v>1131</v>
      </c>
      <c r="C48" s="3761" t="s">
        <v>1369</v>
      </c>
      <c r="D48" s="3761" t="s">
        <v>1185</v>
      </c>
      <c r="E48" s="3761" t="s">
        <v>1186</v>
      </c>
      <c r="F48" s="3761" t="s">
        <v>1187</v>
      </c>
      <c r="G48" s="3761" t="s">
        <v>1188</v>
      </c>
      <c r="I48" s="3761" t="s">
        <v>1183</v>
      </c>
      <c r="J48" s="3761" t="s">
        <v>1131</v>
      </c>
      <c r="K48" s="3761" t="s">
        <v>1369</v>
      </c>
      <c r="L48" s="3761" t="s">
        <v>1185</v>
      </c>
      <c r="M48" s="3761" t="s">
        <v>1186</v>
      </c>
      <c r="N48" s="3761" t="s">
        <v>1187</v>
      </c>
      <c r="O48" s="3761" t="s">
        <v>1188</v>
      </c>
      <c r="Q48" s="3761" t="s">
        <v>1183</v>
      </c>
      <c r="R48" s="3761" t="s">
        <v>1131</v>
      </c>
      <c r="S48" s="3761" t="s">
        <v>1369</v>
      </c>
      <c r="T48" s="3761" t="s">
        <v>1370</v>
      </c>
      <c r="U48" s="3761" t="s">
        <v>1186</v>
      </c>
      <c r="V48" s="3761" t="s">
        <v>1187</v>
      </c>
      <c r="W48" s="3761" t="s">
        <v>1188</v>
      </c>
      <c r="Y48" s="3761" t="s">
        <v>1183</v>
      </c>
      <c r="Z48" s="3761" t="s">
        <v>1131</v>
      </c>
      <c r="AA48" s="3761" t="s">
        <v>1369</v>
      </c>
      <c r="AB48" s="3761" t="s">
        <v>1185</v>
      </c>
      <c r="AC48" s="3761" t="s">
        <v>1194</v>
      </c>
      <c r="AD48" s="3761" t="s">
        <v>1187</v>
      </c>
      <c r="AE48" s="3761" t="s">
        <v>1188</v>
      </c>
    </row>
    <row r="49" spans="1:31">
      <c r="A49" s="3762" t="s">
        <v>1371</v>
      </c>
      <c r="B49" s="3762">
        <v>15</v>
      </c>
      <c r="C49" s="3762">
        <v>14.32</v>
      </c>
      <c r="D49" s="3762">
        <v>13.56</v>
      </c>
      <c r="E49" s="3762">
        <v>18</v>
      </c>
      <c r="F49" s="3762">
        <v>11</v>
      </c>
      <c r="G49" s="3762">
        <v>1</v>
      </c>
      <c r="I49" s="3762" t="s">
        <v>1372</v>
      </c>
      <c r="J49" s="3762">
        <v>14</v>
      </c>
      <c r="K49" s="3762">
        <v>22.28</v>
      </c>
      <c r="L49" s="3762">
        <v>21.14</v>
      </c>
      <c r="M49" s="3762">
        <v>25</v>
      </c>
      <c r="N49" s="3762">
        <v>15</v>
      </c>
      <c r="O49" s="3762">
        <v>1</v>
      </c>
      <c r="Q49" s="3762" t="s">
        <v>1373</v>
      </c>
      <c r="R49" s="3762">
        <v>22</v>
      </c>
      <c r="S49" s="3762">
        <v>56.02</v>
      </c>
      <c r="T49" s="3762">
        <v>54.65</v>
      </c>
      <c r="U49" s="3762">
        <v>61</v>
      </c>
      <c r="V49" s="3762">
        <v>45</v>
      </c>
      <c r="W49" s="3762">
        <v>1.2</v>
      </c>
      <c r="Y49" s="3762" t="s">
        <v>1374</v>
      </c>
      <c r="Z49" s="3762">
        <v>28</v>
      </c>
      <c r="AA49" s="3762">
        <v>124.78</v>
      </c>
      <c r="AB49" s="3762">
        <v>121.98</v>
      </c>
      <c r="AC49" s="3762">
        <v>134</v>
      </c>
      <c r="AD49" s="3762">
        <v>108</v>
      </c>
      <c r="AE49" s="3762">
        <v>3.5</v>
      </c>
    </row>
    <row r="50" spans="1:31">
      <c r="A50" s="3762" t="s">
        <v>1375</v>
      </c>
      <c r="B50" s="3762">
        <v>16</v>
      </c>
      <c r="C50" s="3762">
        <v>15.28</v>
      </c>
      <c r="D50" s="3762">
        <v>14.52</v>
      </c>
      <c r="E50" s="3762">
        <v>18</v>
      </c>
      <c r="F50" s="3762">
        <v>11</v>
      </c>
      <c r="G50" s="3762">
        <v>1</v>
      </c>
      <c r="I50" s="3762" t="s">
        <v>1376</v>
      </c>
      <c r="J50" s="3762">
        <v>15</v>
      </c>
      <c r="K50" s="3762">
        <v>23.87</v>
      </c>
      <c r="L50" s="3762">
        <v>22.73</v>
      </c>
      <c r="M50" s="3762">
        <v>29</v>
      </c>
      <c r="N50" s="3762">
        <v>18</v>
      </c>
      <c r="O50" s="3762">
        <v>1</v>
      </c>
      <c r="Q50" s="3762" t="s">
        <v>1377</v>
      </c>
      <c r="R50" s="3762">
        <v>23</v>
      </c>
      <c r="S50" s="3762">
        <v>58.57</v>
      </c>
      <c r="T50" s="3762">
        <v>57.2</v>
      </c>
      <c r="U50" s="3762">
        <v>64</v>
      </c>
      <c r="V50" s="3762">
        <v>48</v>
      </c>
      <c r="W50" s="3762">
        <v>1.2</v>
      </c>
      <c r="Y50" s="3762" t="s">
        <v>1378</v>
      </c>
      <c r="Z50" s="3762">
        <v>29</v>
      </c>
      <c r="AA50" s="3762">
        <v>129.22999999999999</v>
      </c>
      <c r="AB50" s="3762">
        <v>126.43</v>
      </c>
      <c r="AC50" s="3762">
        <v>139</v>
      </c>
      <c r="AD50" s="3762">
        <v>110</v>
      </c>
      <c r="AE50" s="3762">
        <v>1.5</v>
      </c>
    </row>
    <row r="51" spans="1:31">
      <c r="A51" s="3762" t="s">
        <v>1379</v>
      </c>
      <c r="B51" s="3762">
        <v>17</v>
      </c>
      <c r="C51" s="3762">
        <v>16.23</v>
      </c>
      <c r="D51" s="3762">
        <v>15.47</v>
      </c>
      <c r="E51" s="3762">
        <v>18</v>
      </c>
      <c r="F51" s="3762">
        <v>11</v>
      </c>
      <c r="G51" s="3762">
        <v>1</v>
      </c>
      <c r="I51" s="3762" t="s">
        <v>1380</v>
      </c>
      <c r="J51" s="3762">
        <v>16</v>
      </c>
      <c r="K51" s="3762">
        <v>25.46</v>
      </c>
      <c r="L51" s="3762">
        <v>24.32</v>
      </c>
      <c r="M51" s="3762">
        <v>29</v>
      </c>
      <c r="N51" s="3762">
        <v>18</v>
      </c>
      <c r="O51" s="3762">
        <v>1</v>
      </c>
      <c r="Q51" s="3762" t="s">
        <v>1381</v>
      </c>
      <c r="R51" s="3762">
        <v>24</v>
      </c>
      <c r="S51" s="3762">
        <v>61.12</v>
      </c>
      <c r="T51" s="3762">
        <v>59.75</v>
      </c>
      <c r="U51" s="3762">
        <v>68</v>
      </c>
      <c r="V51" s="3762">
        <v>52</v>
      </c>
      <c r="W51" s="3762">
        <v>1.2</v>
      </c>
      <c r="Y51" s="3762" t="s">
        <v>1382</v>
      </c>
      <c r="Z51" s="3762">
        <v>30</v>
      </c>
      <c r="AA51" s="3762">
        <v>133.69</v>
      </c>
      <c r="AB51" s="3762">
        <v>130.88999999999999</v>
      </c>
      <c r="AC51" s="3762">
        <v>139</v>
      </c>
      <c r="AD51" s="3762">
        <v>110</v>
      </c>
      <c r="AE51" s="3762">
        <v>1.5</v>
      </c>
    </row>
    <row r="52" spans="1:31">
      <c r="A52" s="3762" t="s">
        <v>1383</v>
      </c>
      <c r="B52" s="3762">
        <v>18</v>
      </c>
      <c r="C52" s="3762">
        <v>17.190000000000001</v>
      </c>
      <c r="D52" s="3762">
        <v>16.43</v>
      </c>
      <c r="E52" s="3762">
        <v>22</v>
      </c>
      <c r="F52" s="3762">
        <v>13</v>
      </c>
      <c r="G52" s="3762">
        <v>1</v>
      </c>
      <c r="I52" s="3762" t="s">
        <v>1384</v>
      </c>
      <c r="J52" s="3762">
        <v>17</v>
      </c>
      <c r="K52" s="3762">
        <v>27.06</v>
      </c>
      <c r="L52" s="3762">
        <v>25.92</v>
      </c>
      <c r="M52" s="3762">
        <v>32</v>
      </c>
      <c r="N52" s="3762">
        <v>21</v>
      </c>
      <c r="O52" s="3762">
        <v>1</v>
      </c>
      <c r="Q52" s="3762" t="s">
        <v>1385</v>
      </c>
      <c r="R52" s="3762">
        <v>25</v>
      </c>
      <c r="S52" s="3762">
        <v>63.66</v>
      </c>
      <c r="T52" s="3762">
        <v>62.29</v>
      </c>
      <c r="U52" s="3762">
        <v>73</v>
      </c>
      <c r="V52" s="3762">
        <v>55</v>
      </c>
      <c r="W52" s="3762">
        <v>1.2</v>
      </c>
      <c r="Y52" s="3762" t="s">
        <v>1386</v>
      </c>
      <c r="Z52" s="3762">
        <v>32</v>
      </c>
      <c r="AA52" s="3762">
        <v>142.6</v>
      </c>
      <c r="AB52" s="3762">
        <v>139.80000000000001</v>
      </c>
      <c r="AC52" s="3762">
        <v>152</v>
      </c>
      <c r="AD52" s="3762">
        <v>125</v>
      </c>
      <c r="AE52" s="3762">
        <v>1.5</v>
      </c>
    </row>
    <row r="53" spans="1:31">
      <c r="A53" s="3762" t="s">
        <v>1387</v>
      </c>
      <c r="B53" s="3762">
        <v>19</v>
      </c>
      <c r="C53" s="3762">
        <v>18.14</v>
      </c>
      <c r="D53" s="3762">
        <v>17.38</v>
      </c>
      <c r="E53" s="3762">
        <v>22</v>
      </c>
      <c r="F53" s="3762">
        <v>13</v>
      </c>
      <c r="G53" s="3762">
        <v>1</v>
      </c>
      <c r="I53" s="3762" t="s">
        <v>1388</v>
      </c>
      <c r="J53" s="3762">
        <v>18</v>
      </c>
      <c r="K53" s="3762">
        <v>28.65</v>
      </c>
      <c r="L53" s="3762">
        <v>27.51</v>
      </c>
      <c r="M53" s="3762">
        <v>32</v>
      </c>
      <c r="N53" s="3762">
        <v>21</v>
      </c>
      <c r="O53" s="3762">
        <v>1</v>
      </c>
      <c r="Q53" s="3762" t="s">
        <v>1389</v>
      </c>
      <c r="R53" s="3762">
        <v>26</v>
      </c>
      <c r="S53" s="3762">
        <v>66.209999999999994</v>
      </c>
      <c r="T53" s="3762">
        <v>64.84</v>
      </c>
      <c r="U53" s="3762">
        <v>73</v>
      </c>
      <c r="V53" s="3762">
        <v>55</v>
      </c>
      <c r="W53" s="3762">
        <v>1.2</v>
      </c>
      <c r="Y53" s="3762" t="s">
        <v>1390</v>
      </c>
      <c r="Z53" s="3762">
        <v>34</v>
      </c>
      <c r="AA53" s="3762">
        <v>151.52000000000001</v>
      </c>
      <c r="AB53" s="3762">
        <v>148.72</v>
      </c>
      <c r="AC53" s="3762">
        <v>164</v>
      </c>
      <c r="AD53" s="3762">
        <v>134</v>
      </c>
      <c r="AE53" s="3762">
        <v>1.5</v>
      </c>
    </row>
    <row r="54" spans="1:31">
      <c r="A54" s="3762" t="s">
        <v>1391</v>
      </c>
      <c r="B54" s="3762">
        <v>20</v>
      </c>
      <c r="C54" s="3762">
        <v>19.100000000000001</v>
      </c>
      <c r="D54" s="3762">
        <v>18.34</v>
      </c>
      <c r="E54" s="3762">
        <v>22</v>
      </c>
      <c r="F54" s="3762">
        <v>13</v>
      </c>
      <c r="G54" s="3762">
        <v>1</v>
      </c>
      <c r="I54" s="3762" t="s">
        <v>1392</v>
      </c>
      <c r="J54" s="3762">
        <v>19</v>
      </c>
      <c r="K54" s="3762">
        <v>30.24</v>
      </c>
      <c r="L54" s="3762">
        <v>29.1</v>
      </c>
      <c r="M54" s="3762">
        <v>34.5</v>
      </c>
      <c r="N54" s="3762">
        <v>24.5</v>
      </c>
      <c r="O54" s="3762">
        <v>1</v>
      </c>
      <c r="Q54" s="3762" t="s">
        <v>1393</v>
      </c>
      <c r="R54" s="3762">
        <v>27</v>
      </c>
      <c r="S54" s="3762">
        <v>68.75</v>
      </c>
      <c r="T54" s="3762">
        <v>67.38</v>
      </c>
      <c r="U54" s="3762">
        <v>73</v>
      </c>
      <c r="V54" s="3762">
        <v>55</v>
      </c>
      <c r="W54" s="3762">
        <v>1.2</v>
      </c>
      <c r="Y54" s="3762" t="s">
        <v>1394</v>
      </c>
      <c r="Z54" s="3762">
        <v>36</v>
      </c>
      <c r="AA54" s="3762">
        <v>160.43</v>
      </c>
      <c r="AB54" s="3762">
        <v>157.63</v>
      </c>
      <c r="AC54" s="3762">
        <v>169</v>
      </c>
      <c r="AD54" s="3762">
        <v>135</v>
      </c>
      <c r="AE54" s="3762">
        <v>1.5</v>
      </c>
    </row>
    <row r="55" spans="1:31">
      <c r="A55" s="3762" t="s">
        <v>1395</v>
      </c>
      <c r="B55" s="3762">
        <v>21</v>
      </c>
      <c r="C55" s="3762">
        <v>20.05</v>
      </c>
      <c r="D55" s="3762">
        <v>19.29</v>
      </c>
      <c r="E55" s="3762">
        <v>22</v>
      </c>
      <c r="F55" s="3762">
        <v>11</v>
      </c>
      <c r="G55" s="3762">
        <v>1</v>
      </c>
      <c r="I55" s="3762" t="s">
        <v>1396</v>
      </c>
      <c r="J55" s="3762">
        <v>20</v>
      </c>
      <c r="K55" s="3762">
        <v>31.83</v>
      </c>
      <c r="L55" s="3762">
        <v>30.69</v>
      </c>
      <c r="M55" s="3762">
        <v>34.5</v>
      </c>
      <c r="N55" s="3762">
        <v>24.5</v>
      </c>
      <c r="O55" s="3762">
        <v>1</v>
      </c>
      <c r="Q55" s="3762" t="s">
        <v>1397</v>
      </c>
      <c r="R55" s="3762">
        <v>28</v>
      </c>
      <c r="S55" s="3762">
        <v>71.3</v>
      </c>
      <c r="T55" s="3762">
        <v>69.930000000000007</v>
      </c>
      <c r="U55" s="3762">
        <v>80</v>
      </c>
      <c r="V55" s="3762">
        <v>60</v>
      </c>
      <c r="W55" s="3762">
        <v>1.2</v>
      </c>
      <c r="Y55" s="3762" t="s">
        <v>1398</v>
      </c>
      <c r="Z55" s="3762">
        <v>38</v>
      </c>
      <c r="AA55" s="3762">
        <v>169.34</v>
      </c>
      <c r="AB55" s="3762">
        <v>166.54</v>
      </c>
      <c r="AC55" s="3762">
        <v>175</v>
      </c>
      <c r="AD55" s="3762">
        <v>143</v>
      </c>
      <c r="AE55" s="3762">
        <v>1.5</v>
      </c>
    </row>
    <row r="56" spans="1:31">
      <c r="A56" s="3762" t="s">
        <v>1399</v>
      </c>
      <c r="B56" s="3762">
        <v>22</v>
      </c>
      <c r="C56" s="3762">
        <v>21.01</v>
      </c>
      <c r="D56" s="3762">
        <v>20.25</v>
      </c>
      <c r="E56" s="3762">
        <v>25</v>
      </c>
      <c r="F56" s="3762">
        <v>15</v>
      </c>
      <c r="G56" s="3762">
        <v>1</v>
      </c>
      <c r="I56" s="3762" t="s">
        <v>1400</v>
      </c>
      <c r="J56" s="3762">
        <v>21</v>
      </c>
      <c r="K56" s="3762">
        <v>33.42</v>
      </c>
      <c r="L56" s="3762">
        <v>32.28</v>
      </c>
      <c r="M56" s="3762">
        <v>40</v>
      </c>
      <c r="N56" s="3762">
        <v>27</v>
      </c>
      <c r="O56" s="3762">
        <v>1</v>
      </c>
      <c r="Q56" s="3762" t="s">
        <v>1401</v>
      </c>
      <c r="R56" s="3762">
        <v>30</v>
      </c>
      <c r="S56" s="3762">
        <v>76.39</v>
      </c>
      <c r="T56" s="3762">
        <v>75.02</v>
      </c>
      <c r="U56" s="3762">
        <v>82</v>
      </c>
      <c r="V56" s="3762">
        <v>64</v>
      </c>
      <c r="W56" s="3762">
        <v>1.2</v>
      </c>
      <c r="Y56" s="3762" t="s">
        <v>1402</v>
      </c>
      <c r="Z56" s="3762">
        <v>40</v>
      </c>
      <c r="AA56" s="3762">
        <v>178.25</v>
      </c>
      <c r="AB56" s="3762">
        <v>175.45</v>
      </c>
      <c r="AC56" s="3762">
        <v>187</v>
      </c>
      <c r="AD56" s="3762">
        <v>161</v>
      </c>
      <c r="AE56" s="3762">
        <v>3.5</v>
      </c>
    </row>
    <row r="57" spans="1:31">
      <c r="A57" s="3762" t="s">
        <v>1403</v>
      </c>
      <c r="B57" s="3762">
        <v>23</v>
      </c>
      <c r="C57" s="3762">
        <v>21.96</v>
      </c>
      <c r="D57" s="3762">
        <v>21.2</v>
      </c>
      <c r="E57" s="3762">
        <v>25</v>
      </c>
      <c r="F57" s="3762">
        <v>15</v>
      </c>
      <c r="G57" s="3762">
        <v>1</v>
      </c>
      <c r="I57" s="3762" t="s">
        <v>1404</v>
      </c>
      <c r="J57" s="3762">
        <v>22</v>
      </c>
      <c r="K57" s="3762">
        <v>35.01</v>
      </c>
      <c r="L57" s="3762">
        <v>33.869999999999997</v>
      </c>
      <c r="M57" s="3762">
        <v>40</v>
      </c>
      <c r="N57" s="3762">
        <v>27</v>
      </c>
      <c r="O57" s="3762">
        <v>1</v>
      </c>
      <c r="Q57" s="3762" t="s">
        <v>1405</v>
      </c>
      <c r="R57" s="3762">
        <v>32</v>
      </c>
      <c r="S57" s="3762">
        <v>81.489999999999995</v>
      </c>
      <c r="T57" s="3762">
        <v>80.12</v>
      </c>
      <c r="U57" s="3762">
        <v>90</v>
      </c>
      <c r="V57" s="3762">
        <v>70</v>
      </c>
      <c r="W57" s="3762">
        <v>1.2</v>
      </c>
      <c r="Y57" s="3762" t="s">
        <v>1406</v>
      </c>
      <c r="Z57" s="3762">
        <v>42</v>
      </c>
      <c r="AA57" s="3762">
        <v>187.17</v>
      </c>
      <c r="AB57" s="3762">
        <v>184.37</v>
      </c>
      <c r="AC57" s="3762">
        <v>196</v>
      </c>
      <c r="AD57" s="3762">
        <v>170</v>
      </c>
      <c r="AE57" s="3762">
        <v>3.5</v>
      </c>
    </row>
    <row r="58" spans="1:31">
      <c r="A58" s="3762" t="s">
        <v>1407</v>
      </c>
      <c r="B58" s="3762">
        <v>24</v>
      </c>
      <c r="C58" s="3762">
        <v>22.92</v>
      </c>
      <c r="D58" s="3762">
        <v>22.16</v>
      </c>
      <c r="E58" s="3762">
        <v>26</v>
      </c>
      <c r="F58" s="3762">
        <v>17</v>
      </c>
      <c r="G58" s="3762">
        <v>1</v>
      </c>
      <c r="I58" s="3762" t="s">
        <v>1408</v>
      </c>
      <c r="J58" s="3762">
        <v>23</v>
      </c>
      <c r="K58" s="3762">
        <v>36.61</v>
      </c>
      <c r="L58" s="3762">
        <v>35.47</v>
      </c>
      <c r="M58" s="3762">
        <v>40</v>
      </c>
      <c r="N58" s="3762">
        <v>27</v>
      </c>
      <c r="O58" s="3762">
        <v>1</v>
      </c>
      <c r="Q58" s="3762" t="s">
        <v>1409</v>
      </c>
      <c r="R58" s="3762">
        <v>34</v>
      </c>
      <c r="S58" s="3762">
        <v>86.58</v>
      </c>
      <c r="T58" s="3762">
        <v>85.21</v>
      </c>
      <c r="U58" s="3762">
        <v>98</v>
      </c>
      <c r="V58" s="3762">
        <v>78</v>
      </c>
      <c r="W58" s="3762">
        <v>1.2</v>
      </c>
      <c r="Y58" s="3762" t="s">
        <v>1410</v>
      </c>
      <c r="Z58" s="3762">
        <v>44</v>
      </c>
      <c r="AA58" s="3762">
        <v>196.08</v>
      </c>
      <c r="AB58" s="3762">
        <v>193.28</v>
      </c>
      <c r="AC58" s="3762">
        <v>205</v>
      </c>
      <c r="AD58" s="3762">
        <v>179</v>
      </c>
      <c r="AE58" s="3762">
        <v>3.5</v>
      </c>
    </row>
    <row r="59" spans="1:31">
      <c r="A59" s="3762" t="s">
        <v>1411</v>
      </c>
      <c r="B59" s="3762">
        <v>25</v>
      </c>
      <c r="C59" s="3762">
        <v>23.87</v>
      </c>
      <c r="D59" s="3762">
        <v>23.11</v>
      </c>
      <c r="E59" s="3762">
        <v>26</v>
      </c>
      <c r="F59" s="3762">
        <v>17</v>
      </c>
      <c r="G59" s="3762">
        <v>1</v>
      </c>
      <c r="I59" s="3762" t="s">
        <v>1412</v>
      </c>
      <c r="J59" s="3762">
        <v>24</v>
      </c>
      <c r="K59" s="3762">
        <v>38.200000000000003</v>
      </c>
      <c r="L59" s="3762">
        <v>37.06</v>
      </c>
      <c r="M59" s="3762">
        <v>44</v>
      </c>
      <c r="N59" s="3762">
        <v>32</v>
      </c>
      <c r="O59" s="3762">
        <v>1</v>
      </c>
      <c r="Q59" s="3762" t="s">
        <v>1413</v>
      </c>
      <c r="R59" s="3762">
        <v>36</v>
      </c>
      <c r="S59" s="3762">
        <v>91.67</v>
      </c>
      <c r="T59" s="3762">
        <v>90.3</v>
      </c>
      <c r="U59" s="3762">
        <v>98</v>
      </c>
      <c r="V59" s="3762">
        <v>78</v>
      </c>
      <c r="W59" s="3762">
        <v>1.2</v>
      </c>
      <c r="Y59" s="3762" t="s">
        <v>1414</v>
      </c>
      <c r="Z59" s="3762">
        <v>46</v>
      </c>
      <c r="AA59" s="3762">
        <v>204.99</v>
      </c>
      <c r="AB59" s="3762">
        <v>202.19</v>
      </c>
      <c r="AC59" s="3762" t="s">
        <v>1231</v>
      </c>
      <c r="AD59" s="3762" t="s">
        <v>1231</v>
      </c>
      <c r="AE59" s="3762" t="s">
        <v>1231</v>
      </c>
    </row>
    <row r="60" spans="1:31">
      <c r="A60" s="3762" t="s">
        <v>1415</v>
      </c>
      <c r="B60" s="3762">
        <v>26</v>
      </c>
      <c r="C60" s="3762">
        <v>24.83</v>
      </c>
      <c r="D60" s="3762">
        <v>24.07</v>
      </c>
      <c r="E60" s="3762">
        <v>29</v>
      </c>
      <c r="F60" s="3762">
        <v>21</v>
      </c>
      <c r="G60" s="3762">
        <v>1</v>
      </c>
      <c r="I60" s="3762" t="s">
        <v>1416</v>
      </c>
      <c r="J60" s="3762">
        <v>25</v>
      </c>
      <c r="K60" s="3762">
        <v>39.79</v>
      </c>
      <c r="L60" s="3762">
        <v>38.65</v>
      </c>
      <c r="M60" s="3762">
        <v>44</v>
      </c>
      <c r="N60" s="3762">
        <v>32</v>
      </c>
      <c r="O60" s="3762">
        <v>1</v>
      </c>
      <c r="Q60" s="3762" t="s">
        <v>1417</v>
      </c>
      <c r="R60" s="3762">
        <v>38</v>
      </c>
      <c r="S60" s="3762">
        <v>96.77</v>
      </c>
      <c r="T60" s="3762">
        <v>95.4</v>
      </c>
      <c r="U60" s="3762">
        <v>102</v>
      </c>
      <c r="V60" s="3762">
        <v>83</v>
      </c>
      <c r="W60" s="3762">
        <v>1.2</v>
      </c>
      <c r="Y60" s="3762" t="s">
        <v>1418</v>
      </c>
      <c r="Z60" s="3762">
        <v>48</v>
      </c>
      <c r="AA60" s="3762">
        <v>213.9</v>
      </c>
      <c r="AB60" s="3762">
        <v>211.1</v>
      </c>
      <c r="AC60" s="3762" t="s">
        <v>1287</v>
      </c>
      <c r="AD60" s="3762" t="s">
        <v>1231</v>
      </c>
      <c r="AE60" s="3762" t="s">
        <v>1231</v>
      </c>
    </row>
    <row r="61" spans="1:31">
      <c r="A61" s="3762" t="s">
        <v>1419</v>
      </c>
      <c r="B61" s="3762">
        <v>27</v>
      </c>
      <c r="C61" s="3762">
        <v>25.78</v>
      </c>
      <c r="D61" s="3762">
        <v>25.02</v>
      </c>
      <c r="E61" s="3762">
        <v>29</v>
      </c>
      <c r="F61" s="3762">
        <v>21</v>
      </c>
      <c r="G61" s="3762">
        <v>1</v>
      </c>
      <c r="I61" s="3762" t="s">
        <v>1420</v>
      </c>
      <c r="J61" s="3762">
        <v>26</v>
      </c>
      <c r="K61" s="3762">
        <v>41.38</v>
      </c>
      <c r="L61" s="3762">
        <v>40.24</v>
      </c>
      <c r="M61" s="3762">
        <v>44</v>
      </c>
      <c r="N61" s="3762">
        <v>32</v>
      </c>
      <c r="O61" s="3762">
        <v>1</v>
      </c>
      <c r="Q61" s="3762" t="s">
        <v>1421</v>
      </c>
      <c r="R61" s="3762">
        <v>40</v>
      </c>
      <c r="S61" s="3762">
        <v>101.86</v>
      </c>
      <c r="T61" s="3762">
        <v>100.49</v>
      </c>
      <c r="U61" s="3762">
        <v>109</v>
      </c>
      <c r="V61" s="3762">
        <v>90</v>
      </c>
      <c r="W61" s="3762">
        <v>1.2</v>
      </c>
      <c r="Y61" s="3762" t="s">
        <v>1422</v>
      </c>
      <c r="Z61" s="3762">
        <v>50</v>
      </c>
      <c r="AA61" s="3762">
        <v>222.82</v>
      </c>
      <c r="AB61" s="3762">
        <v>220.02</v>
      </c>
      <c r="AC61" s="3762" t="s">
        <v>1287</v>
      </c>
      <c r="AD61" s="3762" t="s">
        <v>1231</v>
      </c>
      <c r="AE61" s="3762" t="s">
        <v>1231</v>
      </c>
    </row>
    <row r="62" spans="1:31">
      <c r="A62" s="3762" t="s">
        <v>1423</v>
      </c>
      <c r="B62" s="3762">
        <v>28</v>
      </c>
      <c r="C62" s="3762">
        <v>26.74</v>
      </c>
      <c r="D62" s="3762">
        <v>25.98</v>
      </c>
      <c r="E62" s="3762">
        <v>129</v>
      </c>
      <c r="F62" s="3762">
        <v>21</v>
      </c>
      <c r="G62" s="3762">
        <v>1</v>
      </c>
      <c r="I62" s="3762" t="s">
        <v>1424</v>
      </c>
      <c r="J62" s="3762">
        <v>27</v>
      </c>
      <c r="K62" s="3762">
        <v>42.97</v>
      </c>
      <c r="L62" s="3762">
        <v>41.83</v>
      </c>
      <c r="M62" s="3762">
        <v>49</v>
      </c>
      <c r="N62" s="3762">
        <v>29</v>
      </c>
      <c r="O62" s="3762">
        <v>1</v>
      </c>
      <c r="Q62" s="3762" t="s">
        <v>1425</v>
      </c>
      <c r="R62" s="3762">
        <v>42</v>
      </c>
      <c r="S62" s="3762">
        <v>106.95</v>
      </c>
      <c r="T62" s="3762">
        <v>105.58</v>
      </c>
      <c r="U62" s="3762">
        <v>115</v>
      </c>
      <c r="V62" s="3762">
        <v>95</v>
      </c>
      <c r="W62" s="3762">
        <v>1.2</v>
      </c>
      <c r="Y62" s="3762" t="s">
        <v>1426</v>
      </c>
      <c r="Z62" s="3762">
        <v>56</v>
      </c>
      <c r="AA62" s="3762">
        <v>249.55</v>
      </c>
      <c r="AB62" s="3762">
        <v>246.75</v>
      </c>
      <c r="AC62" s="3762" t="s">
        <v>1287</v>
      </c>
      <c r="AD62" s="3762" t="s">
        <v>1231</v>
      </c>
      <c r="AE62" s="3762" t="s">
        <v>1231</v>
      </c>
    </row>
    <row r="63" spans="1:31">
      <c r="A63" s="3762" t="s">
        <v>1427</v>
      </c>
      <c r="B63" s="3762">
        <v>30</v>
      </c>
      <c r="C63" s="3762">
        <v>28.65</v>
      </c>
      <c r="D63" s="3762">
        <v>27.89</v>
      </c>
      <c r="E63" s="3762">
        <v>32</v>
      </c>
      <c r="F63" s="3762">
        <v>21</v>
      </c>
      <c r="G63" s="3762">
        <v>1</v>
      </c>
      <c r="I63" s="3762" t="s">
        <v>1428</v>
      </c>
      <c r="J63" s="3762">
        <v>28</v>
      </c>
      <c r="K63" s="3762">
        <v>44.56</v>
      </c>
      <c r="L63" s="3762">
        <v>43.42</v>
      </c>
      <c r="M63" s="3762">
        <v>48</v>
      </c>
      <c r="N63" s="3762">
        <v>38</v>
      </c>
      <c r="O63" s="3762">
        <v>1</v>
      </c>
      <c r="Q63" s="3762" t="s">
        <v>1429</v>
      </c>
      <c r="R63" s="3762">
        <v>44</v>
      </c>
      <c r="S63" s="3762">
        <v>112.05</v>
      </c>
      <c r="T63" s="3762">
        <v>110.68</v>
      </c>
      <c r="U63" s="3762">
        <v>123</v>
      </c>
      <c r="V63" s="3762">
        <v>103</v>
      </c>
      <c r="W63" s="3762">
        <v>1.2</v>
      </c>
      <c r="Y63" s="3762" t="s">
        <v>1430</v>
      </c>
      <c r="Z63" s="3762">
        <v>64</v>
      </c>
      <c r="AA63" s="3762">
        <v>285.20999999999998</v>
      </c>
      <c r="AB63" s="3762">
        <v>282.41000000000003</v>
      </c>
      <c r="AC63" s="3762" t="s">
        <v>1287</v>
      </c>
      <c r="AD63" s="3762" t="s">
        <v>1231</v>
      </c>
      <c r="AE63" s="3762" t="s">
        <v>1231</v>
      </c>
    </row>
    <row r="64" spans="1:31">
      <c r="A64" s="3762" t="s">
        <v>1431</v>
      </c>
      <c r="B64" s="3762">
        <v>32</v>
      </c>
      <c r="C64" s="3762">
        <v>30.56</v>
      </c>
      <c r="D64" s="3762">
        <v>29.8</v>
      </c>
      <c r="E64" s="3762">
        <v>34.5</v>
      </c>
      <c r="F64" s="3762">
        <v>24.5</v>
      </c>
      <c r="G64" s="3762">
        <v>1</v>
      </c>
      <c r="I64" s="3762" t="s">
        <v>1432</v>
      </c>
      <c r="J64" s="3762">
        <v>30</v>
      </c>
      <c r="K64" s="3762">
        <v>47.75</v>
      </c>
      <c r="L64" s="3762">
        <v>46.61</v>
      </c>
      <c r="M64" s="3762">
        <v>51</v>
      </c>
      <c r="N64" s="3762">
        <v>36</v>
      </c>
      <c r="O64" s="3762">
        <v>1.2</v>
      </c>
      <c r="Q64" s="3762" t="s">
        <v>1433</v>
      </c>
      <c r="R64" s="3762">
        <v>46</v>
      </c>
      <c r="S64" s="3762">
        <v>117.14</v>
      </c>
      <c r="T64" s="3762">
        <v>115.77</v>
      </c>
      <c r="U64" s="3762">
        <v>123</v>
      </c>
      <c r="V64" s="3762">
        <v>103</v>
      </c>
      <c r="W64" s="3762">
        <v>1.2</v>
      </c>
      <c r="Y64" s="3762" t="s">
        <v>1434</v>
      </c>
      <c r="Z64" s="3762">
        <v>72</v>
      </c>
      <c r="AA64" s="3762">
        <v>320.86</v>
      </c>
      <c r="AB64" s="3762">
        <v>318.06</v>
      </c>
      <c r="AC64" s="3762" t="s">
        <v>1287</v>
      </c>
      <c r="AD64" s="3762" t="s">
        <v>1231</v>
      </c>
      <c r="AE64" s="3762" t="s">
        <v>1231</v>
      </c>
    </row>
    <row r="65" spans="1:31">
      <c r="A65" s="3762" t="s">
        <v>1435</v>
      </c>
      <c r="B65" s="3762">
        <v>34</v>
      </c>
      <c r="C65" s="3762">
        <v>32.47</v>
      </c>
      <c r="D65" s="3762">
        <v>31.71</v>
      </c>
      <c r="E65" s="3762">
        <v>37.799999999999997</v>
      </c>
      <c r="F65" s="3762">
        <v>28</v>
      </c>
      <c r="G65" s="3762">
        <v>1</v>
      </c>
      <c r="I65" s="3762" t="s">
        <v>1436</v>
      </c>
      <c r="J65" s="3762">
        <v>32</v>
      </c>
      <c r="K65" s="3762">
        <v>50.93</v>
      </c>
      <c r="L65" s="3762">
        <v>49.79</v>
      </c>
      <c r="M65" s="3762">
        <v>54</v>
      </c>
      <c r="N65" s="3762">
        <v>39</v>
      </c>
      <c r="O65" s="3762">
        <v>1.2</v>
      </c>
      <c r="Q65" s="3762" t="s">
        <v>1437</v>
      </c>
      <c r="R65" s="3762">
        <v>48</v>
      </c>
      <c r="S65" s="3762">
        <v>122.23</v>
      </c>
      <c r="T65" s="3762">
        <v>120.86</v>
      </c>
      <c r="U65" s="3762">
        <v>131</v>
      </c>
      <c r="V65" s="3762">
        <v>111</v>
      </c>
      <c r="W65" s="3762">
        <v>1.5</v>
      </c>
      <c r="Y65" s="3762" t="s">
        <v>1438</v>
      </c>
      <c r="Z65" s="3762">
        <v>80</v>
      </c>
      <c r="AA65" s="3762">
        <v>356.51</v>
      </c>
      <c r="AB65" s="3762">
        <v>353.71</v>
      </c>
      <c r="AC65" s="3762" t="s">
        <v>1287</v>
      </c>
      <c r="AD65" s="3762" t="s">
        <v>1231</v>
      </c>
      <c r="AE65" s="3762" t="s">
        <v>1231</v>
      </c>
    </row>
    <row r="66" spans="1:31">
      <c r="A66" s="3762" t="s">
        <v>1439</v>
      </c>
      <c r="B66" s="3762">
        <v>36</v>
      </c>
      <c r="C66" s="3762">
        <v>34.380000000000003</v>
      </c>
      <c r="D66" s="3762">
        <v>33.619999999999997</v>
      </c>
      <c r="E66" s="3762">
        <v>40</v>
      </c>
      <c r="F66" s="3762">
        <v>27</v>
      </c>
      <c r="G66" s="3762">
        <v>1</v>
      </c>
      <c r="I66" s="3762" t="s">
        <v>1440</v>
      </c>
      <c r="J66" s="3762">
        <v>34</v>
      </c>
      <c r="K66" s="3762">
        <v>54.11</v>
      </c>
      <c r="L66" s="3762">
        <v>52.97</v>
      </c>
      <c r="M66" s="3762">
        <v>58</v>
      </c>
      <c r="N66" s="3762">
        <v>47</v>
      </c>
      <c r="O66" s="3762">
        <v>1.5</v>
      </c>
      <c r="Q66" s="3762" t="s">
        <v>1441</v>
      </c>
      <c r="R66" s="3762">
        <v>50</v>
      </c>
      <c r="S66" s="3762">
        <v>127.32</v>
      </c>
      <c r="T66" s="3762">
        <v>125.95</v>
      </c>
      <c r="U66" s="3762">
        <v>139</v>
      </c>
      <c r="V66" s="3762">
        <v>110</v>
      </c>
      <c r="W66" s="3762">
        <v>1.5</v>
      </c>
      <c r="Y66" s="3762" t="s">
        <v>1442</v>
      </c>
      <c r="Z66" s="3762">
        <v>90</v>
      </c>
      <c r="AA66" s="3762">
        <v>401.07</v>
      </c>
      <c r="AB66" s="3762">
        <v>398.27</v>
      </c>
      <c r="AC66" s="3762" t="s">
        <v>1231</v>
      </c>
      <c r="AD66" s="3762" t="s">
        <v>1231</v>
      </c>
      <c r="AE66" s="3762" t="s">
        <v>1231</v>
      </c>
    </row>
    <row r="67" spans="1:31">
      <c r="A67" s="3762" t="s">
        <v>1443</v>
      </c>
      <c r="B67" s="3762">
        <v>38</v>
      </c>
      <c r="C67" s="3762">
        <v>36.29</v>
      </c>
      <c r="D67" s="3762">
        <v>35.53</v>
      </c>
      <c r="E67" s="3762">
        <v>40</v>
      </c>
      <c r="F67" s="3762">
        <v>27</v>
      </c>
      <c r="G67" s="3762">
        <v>1</v>
      </c>
      <c r="I67" s="3762" t="s">
        <v>1444</v>
      </c>
      <c r="J67" s="3762">
        <v>36</v>
      </c>
      <c r="K67" s="3762">
        <v>57.3</v>
      </c>
      <c r="L67" s="3762">
        <v>56.16</v>
      </c>
      <c r="M67" s="3762">
        <v>61</v>
      </c>
      <c r="N67" s="3762">
        <v>45</v>
      </c>
      <c r="O67" s="3762">
        <v>1.2</v>
      </c>
      <c r="Q67" s="3762" t="s">
        <v>1445</v>
      </c>
      <c r="R67" s="3762">
        <v>64</v>
      </c>
      <c r="S67" s="3762">
        <v>162.97</v>
      </c>
      <c r="T67" s="3762">
        <v>161.6</v>
      </c>
      <c r="U67" s="3762" t="s">
        <v>1231</v>
      </c>
      <c r="V67" s="3762" t="s">
        <v>1231</v>
      </c>
      <c r="W67" s="3762" t="s">
        <v>1231</v>
      </c>
    </row>
    <row r="68" spans="1:31">
      <c r="A68" s="3762" t="s">
        <v>1446</v>
      </c>
      <c r="B68" s="3762">
        <v>40</v>
      </c>
      <c r="C68" s="3762">
        <v>38.200000000000003</v>
      </c>
      <c r="D68" s="3762">
        <v>37.44</v>
      </c>
      <c r="E68" s="3762">
        <v>44</v>
      </c>
      <c r="F68" s="3762">
        <v>32</v>
      </c>
      <c r="G68" s="3762">
        <v>1</v>
      </c>
      <c r="I68" s="3762" t="s">
        <v>1447</v>
      </c>
      <c r="J68" s="3762">
        <v>38</v>
      </c>
      <c r="K68" s="3762">
        <v>60.48</v>
      </c>
      <c r="L68" s="3762">
        <v>59.34</v>
      </c>
      <c r="M68" s="3762">
        <v>64</v>
      </c>
      <c r="N68" s="3762">
        <v>48</v>
      </c>
      <c r="O68" s="3762">
        <v>1.2</v>
      </c>
      <c r="Q68" s="3762" t="s">
        <v>1448</v>
      </c>
      <c r="R68" s="3762">
        <v>72</v>
      </c>
      <c r="S68" s="3762">
        <v>183.35</v>
      </c>
      <c r="T68" s="3762">
        <v>181.98</v>
      </c>
      <c r="U68" s="3762" t="s">
        <v>1231</v>
      </c>
      <c r="V68" s="3762" t="s">
        <v>1231</v>
      </c>
      <c r="W68" s="3762" t="s">
        <v>1231</v>
      </c>
    </row>
    <row r="69" spans="1:31">
      <c r="A69" s="3762" t="s">
        <v>1449</v>
      </c>
      <c r="B69" s="3762">
        <v>42</v>
      </c>
      <c r="C69" s="3762">
        <v>40.11</v>
      </c>
      <c r="D69" s="3762">
        <v>39.35</v>
      </c>
      <c r="E69" s="3762">
        <v>44</v>
      </c>
      <c r="F69" s="3762">
        <v>32</v>
      </c>
      <c r="G69" s="3762">
        <v>1</v>
      </c>
      <c r="I69" s="3762" t="s">
        <v>1450</v>
      </c>
      <c r="J69" s="3762">
        <v>40</v>
      </c>
      <c r="K69" s="3762">
        <v>63.66</v>
      </c>
      <c r="L69" s="3762">
        <v>62.52</v>
      </c>
      <c r="M69" s="3762">
        <v>69</v>
      </c>
      <c r="N69" s="3762">
        <v>54</v>
      </c>
      <c r="O69" s="3762">
        <v>1.2</v>
      </c>
      <c r="Q69" s="3762" t="s">
        <v>1451</v>
      </c>
      <c r="R69" s="3762">
        <v>80</v>
      </c>
      <c r="S69" s="3762">
        <v>203.72</v>
      </c>
      <c r="T69" s="3762">
        <v>202.35</v>
      </c>
      <c r="U69" s="3762" t="s">
        <v>1231</v>
      </c>
      <c r="V69" s="3762" t="s">
        <v>1231</v>
      </c>
      <c r="W69" s="3762" t="s">
        <v>1231</v>
      </c>
    </row>
    <row r="70" spans="1:31">
      <c r="A70" s="3762" t="s">
        <v>1452</v>
      </c>
      <c r="B70" s="3762">
        <v>44</v>
      </c>
      <c r="C70" s="3762">
        <v>42.02</v>
      </c>
      <c r="D70" s="3762">
        <v>41.26</v>
      </c>
      <c r="E70" s="3762">
        <v>48</v>
      </c>
      <c r="F70" s="3762">
        <v>38</v>
      </c>
      <c r="G70" s="3762">
        <v>1</v>
      </c>
      <c r="I70" s="3762" t="s">
        <v>1453</v>
      </c>
      <c r="J70" s="3762">
        <v>42</v>
      </c>
      <c r="K70" s="3762">
        <v>66.849999999999994</v>
      </c>
      <c r="L70" s="3762">
        <v>65.709999999999994</v>
      </c>
      <c r="M70" s="3762">
        <v>73</v>
      </c>
      <c r="N70" s="3762">
        <v>55</v>
      </c>
      <c r="O70" s="3762">
        <v>1.2</v>
      </c>
      <c r="Q70" s="3762" t="s">
        <v>1454</v>
      </c>
      <c r="R70" s="3762">
        <v>90</v>
      </c>
      <c r="S70" s="3762">
        <v>229.18</v>
      </c>
      <c r="T70" s="3762">
        <v>227.81</v>
      </c>
      <c r="U70" s="3762" t="s">
        <v>1231</v>
      </c>
      <c r="V70" s="3762" t="s">
        <v>1231</v>
      </c>
      <c r="W70" s="3762" t="s">
        <v>1231</v>
      </c>
    </row>
    <row r="71" spans="1:31">
      <c r="A71" s="3762" t="s">
        <v>1455</v>
      </c>
      <c r="B71" s="3762">
        <v>46</v>
      </c>
      <c r="C71" s="3762">
        <v>43.93</v>
      </c>
      <c r="D71" s="3762">
        <v>43.17</v>
      </c>
      <c r="E71" s="3762">
        <v>48</v>
      </c>
      <c r="F71" s="3762">
        <v>38</v>
      </c>
      <c r="G71" s="3762">
        <v>1</v>
      </c>
      <c r="I71" s="3762" t="s">
        <v>1456</v>
      </c>
      <c r="J71" s="3762">
        <v>44</v>
      </c>
      <c r="K71" s="3762">
        <v>70.03</v>
      </c>
      <c r="L71" s="3762">
        <v>68.89</v>
      </c>
      <c r="M71" s="3762">
        <v>73</v>
      </c>
      <c r="N71" s="3762">
        <v>55</v>
      </c>
      <c r="O71" s="3762">
        <v>1.2</v>
      </c>
      <c r="Q71" s="3762" t="s">
        <v>1457</v>
      </c>
      <c r="R71" s="3762">
        <v>112</v>
      </c>
      <c r="S71" s="3762">
        <v>285.20999999999998</v>
      </c>
      <c r="T71" s="3762">
        <v>283.83999999999997</v>
      </c>
      <c r="U71" s="3762" t="s">
        <v>1231</v>
      </c>
      <c r="V71" s="3762" t="s">
        <v>1231</v>
      </c>
      <c r="W71" s="3762" t="s">
        <v>1231</v>
      </c>
    </row>
    <row r="72" spans="1:31">
      <c r="A72" s="3762" t="s">
        <v>1458</v>
      </c>
      <c r="B72" s="3762">
        <v>48</v>
      </c>
      <c r="C72" s="3762">
        <v>45.84</v>
      </c>
      <c r="D72" s="3762">
        <v>45.08</v>
      </c>
      <c r="E72" s="3762">
        <v>48</v>
      </c>
      <c r="F72" s="3762">
        <v>38</v>
      </c>
      <c r="G72" s="3762">
        <v>1</v>
      </c>
      <c r="I72" s="3762" t="s">
        <v>1459</v>
      </c>
      <c r="J72" s="3762">
        <v>46</v>
      </c>
      <c r="K72" s="3762">
        <v>73.209999999999994</v>
      </c>
      <c r="L72" s="3762">
        <v>72.069999999999993</v>
      </c>
      <c r="M72" s="3762">
        <v>78</v>
      </c>
      <c r="N72" s="3762">
        <v>66</v>
      </c>
      <c r="O72" s="3762">
        <v>1.2</v>
      </c>
    </row>
    <row r="73" spans="1:31">
      <c r="A73" s="3762" t="s">
        <v>1460</v>
      </c>
      <c r="B73" s="3762">
        <v>50</v>
      </c>
      <c r="C73" s="3762">
        <v>47.75</v>
      </c>
      <c r="D73" s="3762">
        <v>46.99</v>
      </c>
      <c r="E73" s="3762">
        <v>51</v>
      </c>
      <c r="F73" s="3762">
        <v>36</v>
      </c>
      <c r="G73" s="3762">
        <v>1.2</v>
      </c>
      <c r="I73" s="3762" t="s">
        <v>1461</v>
      </c>
      <c r="J73" s="3762">
        <v>48</v>
      </c>
      <c r="K73" s="3762">
        <v>76.39</v>
      </c>
      <c r="L73" s="3762">
        <v>75.25</v>
      </c>
      <c r="M73" s="3762">
        <v>84</v>
      </c>
      <c r="N73" s="3762">
        <v>64</v>
      </c>
      <c r="O73" s="3762">
        <v>1.2</v>
      </c>
    </row>
    <row r="74" spans="1:31">
      <c r="A74" s="3762" t="s">
        <v>1462</v>
      </c>
      <c r="B74" s="3762">
        <v>60</v>
      </c>
      <c r="C74" s="3762">
        <v>57.3</v>
      </c>
      <c r="D74" s="3762">
        <v>56.54</v>
      </c>
      <c r="E74" s="3762">
        <v>61</v>
      </c>
      <c r="F74" s="3762">
        <v>45</v>
      </c>
      <c r="G74" s="3762">
        <v>1.2</v>
      </c>
      <c r="I74" s="3762" t="s">
        <v>1463</v>
      </c>
      <c r="J74" s="3762">
        <v>50</v>
      </c>
      <c r="K74" s="3762">
        <v>79.58</v>
      </c>
      <c r="L74" s="3762">
        <v>78.44</v>
      </c>
      <c r="M74" s="3762">
        <v>86</v>
      </c>
      <c r="N74" s="3762">
        <v>70</v>
      </c>
      <c r="O74" s="3762">
        <v>1.2</v>
      </c>
    </row>
    <row r="75" spans="1:31">
      <c r="A75" s="3762" t="s">
        <v>1464</v>
      </c>
      <c r="B75" s="3762">
        <v>72</v>
      </c>
      <c r="C75" s="3762">
        <v>68.75</v>
      </c>
      <c r="D75" s="3762">
        <v>67.989999999999995</v>
      </c>
      <c r="E75" s="3762">
        <v>73</v>
      </c>
      <c r="F75" s="3762">
        <v>55</v>
      </c>
      <c r="G75" s="3762">
        <v>1.2</v>
      </c>
      <c r="I75" s="3762" t="s">
        <v>1465</v>
      </c>
      <c r="J75" s="3762">
        <v>60</v>
      </c>
      <c r="K75" s="3762">
        <v>95.49</v>
      </c>
      <c r="L75" s="3762">
        <v>94.35</v>
      </c>
      <c r="M75" s="3762">
        <v>102</v>
      </c>
      <c r="N75" s="3762">
        <v>83</v>
      </c>
      <c r="O75" s="3762">
        <v>1.2</v>
      </c>
    </row>
    <row r="76" spans="1:31">
      <c r="I76" s="3762" t="s">
        <v>1466</v>
      </c>
      <c r="J76" s="3762">
        <v>27</v>
      </c>
      <c r="K76" s="3762">
        <v>114.59</v>
      </c>
      <c r="L76" s="3762">
        <v>113.45</v>
      </c>
      <c r="M76" s="3762">
        <v>123</v>
      </c>
      <c r="N76" s="3762">
        <v>103</v>
      </c>
      <c r="O76" s="3762">
        <v>1.2</v>
      </c>
    </row>
  </sheetData>
  <mergeCells count="2">
    <mergeCell ref="AF5:AF35"/>
    <mergeCell ref="AN5:AN25"/>
  </mergeCells>
  <phoneticPr fontId="214" type="noConversion"/>
  <hyperlinks>
    <hyperlink ref="AG45" r:id="rId1" tooltip="前往百度商桥" xr:uid="{00000000-0004-0000-1500-000000000000}"/>
    <hyperlink ref="AG46" display="发送" xr:uid="{00000000-0004-0000-1500-000001000000}"/>
  </hyperlinks>
  <pageMargins left="0.75" right="0.75" top="1" bottom="1" header="0.5" footer="0.5"/>
  <headerFooter alignWithMargins="0"/>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N61"/>
  <sheetViews>
    <sheetView workbookViewId="0">
      <selection activeCell="K8" sqref="K8"/>
    </sheetView>
  </sheetViews>
  <sheetFormatPr defaultColWidth="9" defaultRowHeight="14.25"/>
  <cols>
    <col min="1" max="13" width="9" style="2694"/>
    <col min="14" max="14" width="12.625" style="2694" customWidth="1"/>
    <col min="15" max="269" width="9" style="2694"/>
    <col min="270" max="270" width="12.625" style="2694" customWidth="1"/>
    <col min="271" max="525" width="9" style="2694"/>
    <col min="526" max="526" width="12.625" style="2694" customWidth="1"/>
    <col min="527" max="781" width="9" style="2694"/>
    <col min="782" max="782" width="12.625" style="2694" customWidth="1"/>
    <col min="783" max="1037" width="9" style="2694"/>
    <col min="1038" max="1038" width="12.625" style="2694" customWidth="1"/>
    <col min="1039" max="1293" width="9" style="2694"/>
    <col min="1294" max="1294" width="12.625" style="2694" customWidth="1"/>
    <col min="1295" max="1549" width="9" style="2694"/>
    <col min="1550" max="1550" width="12.625" style="2694" customWidth="1"/>
    <col min="1551" max="1805" width="9" style="2694"/>
    <col min="1806" max="1806" width="12.625" style="2694" customWidth="1"/>
    <col min="1807" max="2061" width="9" style="2694"/>
    <col min="2062" max="2062" width="12.625" style="2694" customWidth="1"/>
    <col min="2063" max="2317" width="9" style="2694"/>
    <col min="2318" max="2318" width="12.625" style="2694" customWidth="1"/>
    <col min="2319" max="2573" width="9" style="2694"/>
    <col min="2574" max="2574" width="12.625" style="2694" customWidth="1"/>
    <col min="2575" max="2829" width="9" style="2694"/>
    <col min="2830" max="2830" width="12.625" style="2694" customWidth="1"/>
    <col min="2831" max="3085" width="9" style="2694"/>
    <col min="3086" max="3086" width="12.625" style="2694" customWidth="1"/>
    <col min="3087" max="3341" width="9" style="2694"/>
    <col min="3342" max="3342" width="12.625" style="2694" customWidth="1"/>
    <col min="3343" max="3597" width="9" style="2694"/>
    <col min="3598" max="3598" width="12.625" style="2694" customWidth="1"/>
    <col min="3599" max="3853" width="9" style="2694"/>
    <col min="3854" max="3854" width="12.625" style="2694" customWidth="1"/>
    <col min="3855" max="4109" width="9" style="2694"/>
    <col min="4110" max="4110" width="12.625" style="2694" customWidth="1"/>
    <col min="4111" max="4365" width="9" style="2694"/>
    <col min="4366" max="4366" width="12.625" style="2694" customWidth="1"/>
    <col min="4367" max="4621" width="9" style="2694"/>
    <col min="4622" max="4622" width="12.625" style="2694" customWidth="1"/>
    <col min="4623" max="4877" width="9" style="2694"/>
    <col min="4878" max="4878" width="12.625" style="2694" customWidth="1"/>
    <col min="4879" max="5133" width="9" style="2694"/>
    <col min="5134" max="5134" width="12.625" style="2694" customWidth="1"/>
    <col min="5135" max="5389" width="9" style="2694"/>
    <col min="5390" max="5390" width="12.625" style="2694" customWidth="1"/>
    <col min="5391" max="5645" width="9" style="2694"/>
    <col min="5646" max="5646" width="12.625" style="2694" customWidth="1"/>
    <col min="5647" max="5901" width="9" style="2694"/>
    <col min="5902" max="5902" width="12.625" style="2694" customWidth="1"/>
    <col min="5903" max="6157" width="9" style="2694"/>
    <col min="6158" max="6158" width="12.625" style="2694" customWidth="1"/>
    <col min="6159" max="6413" width="9" style="2694"/>
    <col min="6414" max="6414" width="12.625" style="2694" customWidth="1"/>
    <col min="6415" max="6669" width="9" style="2694"/>
    <col min="6670" max="6670" width="12.625" style="2694" customWidth="1"/>
    <col min="6671" max="6925" width="9" style="2694"/>
    <col min="6926" max="6926" width="12.625" style="2694" customWidth="1"/>
    <col min="6927" max="7181" width="9" style="2694"/>
    <col min="7182" max="7182" width="12.625" style="2694" customWidth="1"/>
    <col min="7183" max="7437" width="9" style="2694"/>
    <col min="7438" max="7438" width="12.625" style="2694" customWidth="1"/>
    <col min="7439" max="7693" width="9" style="2694"/>
    <col min="7694" max="7694" width="12.625" style="2694" customWidth="1"/>
    <col min="7695" max="7949" width="9" style="2694"/>
    <col min="7950" max="7950" width="12.625" style="2694" customWidth="1"/>
    <col min="7951" max="8205" width="9" style="2694"/>
    <col min="8206" max="8206" width="12.625" style="2694" customWidth="1"/>
    <col min="8207" max="8461" width="9" style="2694"/>
    <col min="8462" max="8462" width="12.625" style="2694" customWidth="1"/>
    <col min="8463" max="8717" width="9" style="2694"/>
    <col min="8718" max="8718" width="12.625" style="2694" customWidth="1"/>
    <col min="8719" max="8973" width="9" style="2694"/>
    <col min="8974" max="8974" width="12.625" style="2694" customWidth="1"/>
    <col min="8975" max="9229" width="9" style="2694"/>
    <col min="9230" max="9230" width="12.625" style="2694" customWidth="1"/>
    <col min="9231" max="9485" width="9" style="2694"/>
    <col min="9486" max="9486" width="12.625" style="2694" customWidth="1"/>
    <col min="9487" max="9741" width="9" style="2694"/>
    <col min="9742" max="9742" width="12.625" style="2694" customWidth="1"/>
    <col min="9743" max="9997" width="9" style="2694"/>
    <col min="9998" max="9998" width="12.625" style="2694" customWidth="1"/>
    <col min="9999" max="10253" width="9" style="2694"/>
    <col min="10254" max="10254" width="12.625" style="2694" customWidth="1"/>
    <col min="10255" max="10509" width="9" style="2694"/>
    <col min="10510" max="10510" width="12.625" style="2694" customWidth="1"/>
    <col min="10511" max="10765" width="9" style="2694"/>
    <col min="10766" max="10766" width="12.625" style="2694" customWidth="1"/>
    <col min="10767" max="11021" width="9" style="2694"/>
    <col min="11022" max="11022" width="12.625" style="2694" customWidth="1"/>
    <col min="11023" max="11277" width="9" style="2694"/>
    <col min="11278" max="11278" width="12.625" style="2694" customWidth="1"/>
    <col min="11279" max="11533" width="9" style="2694"/>
    <col min="11534" max="11534" width="12.625" style="2694" customWidth="1"/>
    <col min="11535" max="11789" width="9" style="2694"/>
    <col min="11790" max="11790" width="12.625" style="2694" customWidth="1"/>
    <col min="11791" max="12045" width="9" style="2694"/>
    <col min="12046" max="12046" width="12.625" style="2694" customWidth="1"/>
    <col min="12047" max="12301" width="9" style="2694"/>
    <col min="12302" max="12302" width="12.625" style="2694" customWidth="1"/>
    <col min="12303" max="12557" width="9" style="2694"/>
    <col min="12558" max="12558" width="12.625" style="2694" customWidth="1"/>
    <col min="12559" max="12813" width="9" style="2694"/>
    <col min="12814" max="12814" width="12.625" style="2694" customWidth="1"/>
    <col min="12815" max="13069" width="9" style="2694"/>
    <col min="13070" max="13070" width="12.625" style="2694" customWidth="1"/>
    <col min="13071" max="13325" width="9" style="2694"/>
    <col min="13326" max="13326" width="12.625" style="2694" customWidth="1"/>
    <col min="13327" max="13581" width="9" style="2694"/>
    <col min="13582" max="13582" width="12.625" style="2694" customWidth="1"/>
    <col min="13583" max="13837" width="9" style="2694"/>
    <col min="13838" max="13838" width="12.625" style="2694" customWidth="1"/>
    <col min="13839" max="14093" width="9" style="2694"/>
    <col min="14094" max="14094" width="12.625" style="2694" customWidth="1"/>
    <col min="14095" max="14349" width="9" style="2694"/>
    <col min="14350" max="14350" width="12.625" style="2694" customWidth="1"/>
    <col min="14351" max="14605" width="9" style="2694"/>
    <col min="14606" max="14606" width="12.625" style="2694" customWidth="1"/>
    <col min="14607" max="14861" width="9" style="2694"/>
    <col min="14862" max="14862" width="12.625" style="2694" customWidth="1"/>
    <col min="14863" max="15117" width="9" style="2694"/>
    <col min="15118" max="15118" width="12.625" style="2694" customWidth="1"/>
    <col min="15119" max="15373" width="9" style="2694"/>
    <col min="15374" max="15374" width="12.625" style="2694" customWidth="1"/>
    <col min="15375" max="15629" width="9" style="2694"/>
    <col min="15630" max="15630" width="12.625" style="2694" customWidth="1"/>
    <col min="15631" max="15885" width="9" style="2694"/>
    <col min="15886" max="15886" width="12.625" style="2694" customWidth="1"/>
    <col min="15887" max="16141" width="9" style="2694"/>
    <col min="16142" max="16142" width="12.625" style="2694" customWidth="1"/>
    <col min="16143" max="16384" width="9" style="2694"/>
  </cols>
  <sheetData>
    <row r="1" spans="1:14" ht="48" customHeight="1">
      <c r="A1" s="4621" t="s">
        <v>1467</v>
      </c>
      <c r="B1" s="4622"/>
      <c r="C1" s="4622"/>
      <c r="D1" s="4622"/>
      <c r="E1" s="4622"/>
      <c r="F1" s="4622"/>
      <c r="G1" s="4622"/>
      <c r="H1" s="4622"/>
      <c r="I1" s="4622"/>
      <c r="J1" s="4622"/>
      <c r="K1" s="4622"/>
    </row>
    <row r="2" spans="1:14" ht="20.100000000000001" customHeight="1">
      <c r="A2" s="4600" t="s">
        <v>1468</v>
      </c>
      <c r="B2" s="4600" t="s">
        <v>1469</v>
      </c>
      <c r="C2" s="4600" t="s">
        <v>1470</v>
      </c>
      <c r="D2" s="4600" t="s">
        <v>1471</v>
      </c>
      <c r="E2" s="4600" t="s">
        <v>1472</v>
      </c>
      <c r="F2" s="4600" t="s">
        <v>1473</v>
      </c>
      <c r="G2" s="4623" t="s">
        <v>1474</v>
      </c>
      <c r="H2" s="4624"/>
      <c r="I2" s="4600" t="s">
        <v>1475</v>
      </c>
      <c r="J2" s="4600" t="s">
        <v>1476</v>
      </c>
      <c r="K2" s="4600" t="s">
        <v>1477</v>
      </c>
      <c r="L2" s="4600" t="s">
        <v>1478</v>
      </c>
      <c r="M2" s="4600" t="s">
        <v>1479</v>
      </c>
      <c r="N2" s="4600" t="s">
        <v>1480</v>
      </c>
    </row>
    <row r="3" spans="1:14" ht="20.100000000000001" customHeight="1">
      <c r="A3" s="4601"/>
      <c r="B3" s="4601"/>
      <c r="C3" s="4601"/>
      <c r="D3" s="4601"/>
      <c r="E3" s="4601"/>
      <c r="F3" s="4601"/>
      <c r="G3" s="3754" t="s">
        <v>1481</v>
      </c>
      <c r="H3" s="3754" t="s">
        <v>1482</v>
      </c>
      <c r="I3" s="4601"/>
      <c r="J3" s="4601"/>
      <c r="K3" s="4601"/>
      <c r="L3" s="4601"/>
      <c r="M3" s="4601"/>
      <c r="N3" s="4601"/>
    </row>
    <row r="4" spans="1:14" ht="20.100000000000001" customHeight="1">
      <c r="A4" s="4611" t="s">
        <v>1483</v>
      </c>
      <c r="B4" s="4602">
        <v>39</v>
      </c>
      <c r="C4" s="3755" t="s">
        <v>1484</v>
      </c>
      <c r="D4" s="3755">
        <v>6.5000000000000002E-2</v>
      </c>
      <c r="E4" s="3755">
        <v>1.8</v>
      </c>
      <c r="F4" s="3755">
        <v>4</v>
      </c>
      <c r="G4" s="4625">
        <v>0.4</v>
      </c>
      <c r="H4" s="4626"/>
      <c r="I4" s="3755">
        <v>6.6</v>
      </c>
      <c r="J4" s="3755">
        <v>7.5</v>
      </c>
      <c r="K4" s="3755">
        <v>20</v>
      </c>
      <c r="L4" s="3755">
        <v>11</v>
      </c>
      <c r="M4" s="3755">
        <v>0.12</v>
      </c>
      <c r="N4" s="4602" t="s">
        <v>1485</v>
      </c>
    </row>
    <row r="5" spans="1:14" ht="20.100000000000001" customHeight="1">
      <c r="A5" s="4612"/>
      <c r="B5" s="4602"/>
      <c r="C5" s="3755" t="s">
        <v>1486</v>
      </c>
      <c r="D5" s="3755">
        <v>0.12</v>
      </c>
      <c r="E5" s="3755">
        <v>1.8</v>
      </c>
      <c r="F5" s="3755">
        <v>4</v>
      </c>
      <c r="G5" s="4625">
        <v>0.6</v>
      </c>
      <c r="H5" s="4626"/>
      <c r="I5" s="3755">
        <v>7.5</v>
      </c>
      <c r="J5" s="3755">
        <v>6</v>
      </c>
      <c r="K5" s="3755">
        <v>34</v>
      </c>
      <c r="L5" s="3755">
        <v>20</v>
      </c>
      <c r="M5" s="3755">
        <v>0.2</v>
      </c>
      <c r="N5" s="4602"/>
    </row>
    <row r="6" spans="1:14" ht="20.100000000000001" customHeight="1">
      <c r="A6" s="4612"/>
      <c r="B6" s="4602">
        <v>42</v>
      </c>
      <c r="C6" s="3755" t="s">
        <v>1487</v>
      </c>
      <c r="D6" s="3755">
        <v>0.22</v>
      </c>
      <c r="E6" s="3755">
        <v>1.8</v>
      </c>
      <c r="F6" s="3755">
        <v>4</v>
      </c>
      <c r="G6" s="4625">
        <v>0.8</v>
      </c>
      <c r="H6" s="4626"/>
      <c r="I6" s="3755">
        <v>6.7</v>
      </c>
      <c r="J6" s="3755">
        <v>7.5</v>
      </c>
      <c r="K6" s="3755">
        <v>40</v>
      </c>
      <c r="L6" s="3755">
        <v>54</v>
      </c>
      <c r="M6" s="3755">
        <v>0.28000000000000003</v>
      </c>
      <c r="N6" s="4602"/>
    </row>
    <row r="7" spans="1:14" ht="20.100000000000001" customHeight="1">
      <c r="A7" s="4612"/>
      <c r="B7" s="4602"/>
      <c r="C7" s="3755" t="s">
        <v>1488</v>
      </c>
      <c r="D7" s="3755">
        <v>0.3</v>
      </c>
      <c r="E7" s="3755">
        <v>1.8</v>
      </c>
      <c r="F7" s="3755">
        <v>4</v>
      </c>
      <c r="G7" s="4625">
        <v>0.7</v>
      </c>
      <c r="H7" s="4626"/>
      <c r="I7" s="3755">
        <v>8.6999999999999993</v>
      </c>
      <c r="J7" s="3755">
        <v>20.8</v>
      </c>
      <c r="K7" s="3755">
        <v>48</v>
      </c>
      <c r="L7" s="3755">
        <v>77</v>
      </c>
      <c r="M7" s="3755">
        <v>0.34</v>
      </c>
      <c r="N7" s="4602"/>
    </row>
    <row r="8" spans="1:14" ht="20.100000000000001" customHeight="1">
      <c r="A8" s="4612"/>
      <c r="B8" s="4602">
        <v>57</v>
      </c>
      <c r="C8" s="3755" t="s">
        <v>1489</v>
      </c>
      <c r="D8" s="3755">
        <v>0.4</v>
      </c>
      <c r="E8" s="3755">
        <v>1.8</v>
      </c>
      <c r="F8" s="3755">
        <v>6</v>
      </c>
      <c r="G8" s="3755">
        <v>2</v>
      </c>
      <c r="H8" s="3755">
        <v>4</v>
      </c>
      <c r="I8" s="3755">
        <v>1.4</v>
      </c>
      <c r="J8" s="3755">
        <v>1.4</v>
      </c>
      <c r="K8" s="3755">
        <v>41</v>
      </c>
      <c r="L8" s="3755">
        <v>120</v>
      </c>
      <c r="M8" s="3755">
        <v>0.45</v>
      </c>
      <c r="N8" s="4602" t="s">
        <v>1490</v>
      </c>
    </row>
    <row r="9" spans="1:14" ht="20.100000000000001" customHeight="1">
      <c r="A9" s="4612"/>
      <c r="B9" s="4602"/>
      <c r="C9" s="3755" t="s">
        <v>1491</v>
      </c>
      <c r="D9" s="3755">
        <v>0.6</v>
      </c>
      <c r="E9" s="3755">
        <v>1.8</v>
      </c>
      <c r="F9" s="3755">
        <v>8</v>
      </c>
      <c r="G9" s="3755">
        <v>2</v>
      </c>
      <c r="H9" s="3755">
        <v>4</v>
      </c>
      <c r="I9" s="3755">
        <v>1.65</v>
      </c>
      <c r="J9" s="3755">
        <v>2.2000000000000002</v>
      </c>
      <c r="K9" s="3755">
        <v>51</v>
      </c>
      <c r="L9" s="3755">
        <v>275</v>
      </c>
      <c r="M9" s="3755">
        <v>0.65</v>
      </c>
      <c r="N9" s="4602"/>
    </row>
    <row r="10" spans="1:14" ht="20.100000000000001" customHeight="1">
      <c r="A10" s="4612"/>
      <c r="B10" s="4602"/>
      <c r="C10" s="3755" t="s">
        <v>1492</v>
      </c>
      <c r="D10" s="3755">
        <v>0.9</v>
      </c>
      <c r="E10" s="3755">
        <v>1.8</v>
      </c>
      <c r="F10" s="3755">
        <v>8</v>
      </c>
      <c r="G10" s="3755">
        <v>2</v>
      </c>
      <c r="H10" s="3755">
        <v>4</v>
      </c>
      <c r="I10" s="3755">
        <v>1.8</v>
      </c>
      <c r="J10" s="3755">
        <v>2.5</v>
      </c>
      <c r="K10" s="3755">
        <v>56</v>
      </c>
      <c r="L10" s="3755">
        <v>300</v>
      </c>
      <c r="M10" s="3755">
        <v>0.7</v>
      </c>
      <c r="N10" s="4602"/>
    </row>
    <row r="11" spans="1:14" ht="20.100000000000001" customHeight="1">
      <c r="A11" s="4612"/>
      <c r="B11" s="4602"/>
      <c r="C11" s="3755" t="s">
        <v>1493</v>
      </c>
      <c r="D11" s="3755">
        <v>1.3</v>
      </c>
      <c r="E11" s="3755">
        <v>1.8</v>
      </c>
      <c r="F11" s="3755">
        <v>8</v>
      </c>
      <c r="G11" s="3755">
        <v>2.5</v>
      </c>
      <c r="H11" s="3755">
        <v>5</v>
      </c>
      <c r="I11" s="3755">
        <v>1</v>
      </c>
      <c r="J11" s="3755">
        <v>2.4</v>
      </c>
      <c r="K11" s="3755">
        <v>76</v>
      </c>
      <c r="L11" s="3755">
        <v>480</v>
      </c>
      <c r="M11" s="3755">
        <v>1</v>
      </c>
      <c r="N11" s="4602"/>
    </row>
    <row r="12" spans="1:14" ht="20.100000000000001" customHeight="1">
      <c r="A12" s="4612"/>
      <c r="B12" s="4602">
        <v>86</v>
      </c>
      <c r="C12" s="3755" t="s">
        <v>1494</v>
      </c>
      <c r="D12" s="3755">
        <v>3.5</v>
      </c>
      <c r="E12" s="3755">
        <v>1.8</v>
      </c>
      <c r="F12" s="3755">
        <v>8</v>
      </c>
      <c r="G12" s="3755">
        <v>3.5</v>
      </c>
      <c r="H12" s="3755">
        <v>6</v>
      </c>
      <c r="I12" s="3755">
        <v>1.4</v>
      </c>
      <c r="J12" s="3755">
        <v>3.9</v>
      </c>
      <c r="K12" s="3755">
        <v>65</v>
      </c>
      <c r="L12" s="3755">
        <v>1000</v>
      </c>
      <c r="M12" s="3755">
        <v>1.7</v>
      </c>
      <c r="N12" s="4602" t="s">
        <v>1495</v>
      </c>
    </row>
    <row r="13" spans="1:14" ht="20.100000000000001" customHeight="1">
      <c r="A13" s="4612"/>
      <c r="B13" s="4602"/>
      <c r="C13" s="3755" t="s">
        <v>1496</v>
      </c>
      <c r="D13" s="3755">
        <v>4.5</v>
      </c>
      <c r="E13" s="3755">
        <v>1.8</v>
      </c>
      <c r="F13" s="3755">
        <v>8</v>
      </c>
      <c r="G13" s="3755">
        <v>4.2</v>
      </c>
      <c r="H13" s="3755">
        <v>6</v>
      </c>
      <c r="I13" s="3755">
        <v>0.75</v>
      </c>
      <c r="J13" s="3755">
        <v>3.4</v>
      </c>
      <c r="K13" s="3755">
        <v>80</v>
      </c>
      <c r="L13" s="3755">
        <v>1400</v>
      </c>
      <c r="M13" s="3755">
        <v>2.2999999999999998</v>
      </c>
      <c r="N13" s="4602"/>
    </row>
    <row r="14" spans="1:14" ht="20.100000000000001" customHeight="1">
      <c r="A14" s="4612"/>
      <c r="B14" s="4602"/>
      <c r="C14" s="3755" t="s">
        <v>1497</v>
      </c>
      <c r="D14" s="3755">
        <v>8.5</v>
      </c>
      <c r="E14" s="3755">
        <v>1.8</v>
      </c>
      <c r="F14" s="3755">
        <v>8</v>
      </c>
      <c r="G14" s="3755">
        <v>4.2</v>
      </c>
      <c r="H14" s="3755">
        <v>7</v>
      </c>
      <c r="I14" s="3755">
        <v>0.9</v>
      </c>
      <c r="J14" s="3755">
        <v>6</v>
      </c>
      <c r="K14" s="3755">
        <v>118</v>
      </c>
      <c r="L14" s="3755">
        <v>2700</v>
      </c>
      <c r="M14" s="3755">
        <v>3.8</v>
      </c>
      <c r="N14" s="4602"/>
    </row>
    <row r="15" spans="1:14" ht="20.100000000000001" customHeight="1">
      <c r="A15" s="4612"/>
      <c r="B15" s="4602">
        <v>110</v>
      </c>
      <c r="C15" s="3755" t="s">
        <v>1498</v>
      </c>
      <c r="D15" s="3755">
        <v>11</v>
      </c>
      <c r="E15" s="3755">
        <v>1.8</v>
      </c>
      <c r="F15" s="3755">
        <v>4</v>
      </c>
      <c r="G15" s="4625">
        <v>5.5</v>
      </c>
      <c r="H15" s="4626"/>
      <c r="I15" s="3755">
        <v>0.9</v>
      </c>
      <c r="J15" s="3755">
        <v>12</v>
      </c>
      <c r="K15" s="3755">
        <v>99</v>
      </c>
      <c r="L15" s="3755">
        <v>5500</v>
      </c>
      <c r="M15" s="3755">
        <v>5</v>
      </c>
      <c r="N15" s="4602" t="s">
        <v>1499</v>
      </c>
    </row>
    <row r="16" spans="1:14" ht="20.100000000000001" customHeight="1">
      <c r="A16" s="4613"/>
      <c r="B16" s="4603"/>
      <c r="C16" s="3756" t="s">
        <v>1500</v>
      </c>
      <c r="D16" s="3756">
        <v>20</v>
      </c>
      <c r="E16" s="3756">
        <v>1.8</v>
      </c>
      <c r="F16" s="3756">
        <v>4</v>
      </c>
      <c r="G16" s="4627">
        <v>6.5</v>
      </c>
      <c r="H16" s="4628"/>
      <c r="I16" s="3756">
        <v>0.8</v>
      </c>
      <c r="J16" s="3756">
        <v>15</v>
      </c>
      <c r="K16" s="3756">
        <v>150</v>
      </c>
      <c r="L16" s="3756">
        <v>11000</v>
      </c>
      <c r="M16" s="3756">
        <v>8.4</v>
      </c>
      <c r="N16" s="4603"/>
    </row>
    <row r="17" spans="1:14" ht="39.950000000000003" customHeight="1">
      <c r="A17" s="3757" t="s">
        <v>1468</v>
      </c>
      <c r="B17" s="3757" t="s">
        <v>1469</v>
      </c>
      <c r="C17" s="3757" t="s">
        <v>1470</v>
      </c>
      <c r="D17" s="3757" t="s">
        <v>1471</v>
      </c>
      <c r="E17" s="3757" t="s">
        <v>1472</v>
      </c>
      <c r="F17" s="3757" t="s">
        <v>1473</v>
      </c>
      <c r="G17" s="4629" t="s">
        <v>1474</v>
      </c>
      <c r="H17" s="4630"/>
      <c r="I17" s="3757" t="s">
        <v>1475</v>
      </c>
      <c r="J17" s="3757" t="s">
        <v>1476</v>
      </c>
      <c r="K17" s="3757" t="s">
        <v>1477</v>
      </c>
      <c r="L17" s="3757" t="s">
        <v>1478</v>
      </c>
      <c r="M17" s="3757" t="s">
        <v>1479</v>
      </c>
      <c r="N17" s="3757" t="s">
        <v>1480</v>
      </c>
    </row>
    <row r="18" spans="1:14" ht="20.100000000000001" customHeight="1">
      <c r="A18" s="4611" t="s">
        <v>1501</v>
      </c>
      <c r="B18" s="4602">
        <v>57</v>
      </c>
      <c r="C18" s="3755" t="s">
        <v>1502</v>
      </c>
      <c r="D18" s="3755">
        <v>0.6</v>
      </c>
      <c r="E18" s="3755">
        <v>1.2</v>
      </c>
      <c r="F18" s="3755">
        <v>6</v>
      </c>
      <c r="G18" s="4602">
        <v>5.2</v>
      </c>
      <c r="H18" s="4615"/>
      <c r="I18" s="3755">
        <v>1.3</v>
      </c>
      <c r="J18" s="3755">
        <v>1.4</v>
      </c>
      <c r="K18" s="3755">
        <v>42</v>
      </c>
      <c r="L18" s="3755">
        <v>110</v>
      </c>
      <c r="M18" s="3755">
        <v>0.4</v>
      </c>
      <c r="N18" s="3755" t="s">
        <v>1503</v>
      </c>
    </row>
    <row r="19" spans="1:14" ht="20.100000000000001" customHeight="1">
      <c r="A19" s="4611"/>
      <c r="B19" s="4602"/>
      <c r="C19" s="3755" t="s">
        <v>1504</v>
      </c>
      <c r="D19" s="3755">
        <v>0.9</v>
      </c>
      <c r="E19" s="3755">
        <v>1.2</v>
      </c>
      <c r="F19" s="3755">
        <v>6</v>
      </c>
      <c r="G19" s="4602">
        <v>5.6</v>
      </c>
      <c r="H19" s="4615"/>
      <c r="I19" s="3755">
        <v>0.7</v>
      </c>
      <c r="J19" s="3755">
        <v>1.7</v>
      </c>
      <c r="K19" s="3755">
        <v>56</v>
      </c>
      <c r="L19" s="3755">
        <v>300</v>
      </c>
      <c r="M19" s="3755">
        <v>0.75</v>
      </c>
      <c r="N19" s="3755"/>
    </row>
    <row r="20" spans="1:14" ht="20.100000000000001" customHeight="1">
      <c r="A20" s="4611"/>
      <c r="B20" s="4602"/>
      <c r="C20" s="3755" t="s">
        <v>1505</v>
      </c>
      <c r="D20" s="3755">
        <v>1.5</v>
      </c>
      <c r="E20" s="3755">
        <v>1.2</v>
      </c>
      <c r="F20" s="3755">
        <v>6</v>
      </c>
      <c r="G20" s="4602">
        <v>5.8</v>
      </c>
      <c r="H20" s="4615"/>
      <c r="I20" s="3755">
        <v>1.05</v>
      </c>
      <c r="J20" s="3755">
        <v>2.4</v>
      </c>
      <c r="K20" s="3755">
        <v>76</v>
      </c>
      <c r="L20" s="3755">
        <v>480</v>
      </c>
      <c r="M20" s="3755">
        <v>1.1000000000000001</v>
      </c>
      <c r="N20" s="3755"/>
    </row>
    <row r="21" spans="1:14" ht="20.100000000000001" customHeight="1">
      <c r="A21" s="4611"/>
      <c r="B21" s="4602">
        <v>86</v>
      </c>
      <c r="C21" s="3755" t="s">
        <v>1506</v>
      </c>
      <c r="D21" s="3755">
        <v>2.2599999999999998</v>
      </c>
      <c r="E21" s="3755">
        <v>1.2</v>
      </c>
      <c r="F21" s="3755">
        <v>6</v>
      </c>
      <c r="G21" s="4602">
        <v>5</v>
      </c>
      <c r="H21" s="4615"/>
      <c r="I21" s="3755">
        <v>0.96</v>
      </c>
      <c r="J21" s="3755">
        <v>2.4</v>
      </c>
      <c r="K21" s="3755">
        <v>57</v>
      </c>
      <c r="L21" s="3755">
        <v>1100</v>
      </c>
      <c r="M21" s="3755">
        <v>1.65</v>
      </c>
      <c r="N21" s="3755" t="s">
        <v>1507</v>
      </c>
    </row>
    <row r="22" spans="1:14" ht="20.100000000000001" customHeight="1">
      <c r="A22" s="4611"/>
      <c r="B22" s="4602"/>
      <c r="C22" s="3755" t="s">
        <v>1508</v>
      </c>
      <c r="D22" s="3755">
        <v>4.26</v>
      </c>
      <c r="E22" s="3755">
        <v>1.2</v>
      </c>
      <c r="F22" s="3755">
        <v>6</v>
      </c>
      <c r="G22" s="4602">
        <v>5.2</v>
      </c>
      <c r="H22" s="4615"/>
      <c r="I22" s="3755">
        <v>1.2</v>
      </c>
      <c r="J22" s="3755">
        <v>4.2</v>
      </c>
      <c r="K22" s="3755">
        <v>97</v>
      </c>
      <c r="L22" s="3755">
        <v>2320</v>
      </c>
      <c r="M22" s="3755">
        <v>2.7</v>
      </c>
      <c r="N22" s="3755"/>
    </row>
    <row r="23" spans="1:14" ht="20.100000000000001" customHeight="1">
      <c r="A23" s="4601"/>
      <c r="B23" s="4603"/>
      <c r="C23" s="3756" t="s">
        <v>1509</v>
      </c>
      <c r="D23" s="3756">
        <v>6.78</v>
      </c>
      <c r="E23" s="3756">
        <v>1.2</v>
      </c>
      <c r="F23" s="3756">
        <v>6</v>
      </c>
      <c r="G23" s="4603">
        <v>5.8</v>
      </c>
      <c r="H23" s="4616"/>
      <c r="I23" s="3756">
        <v>6</v>
      </c>
      <c r="J23" s="3756">
        <v>25</v>
      </c>
      <c r="K23" s="3756">
        <v>127</v>
      </c>
      <c r="L23" s="3756">
        <v>3300</v>
      </c>
      <c r="M23" s="3756">
        <v>3.8</v>
      </c>
      <c r="N23" s="3756"/>
    </row>
    <row r="24" spans="1:14" ht="107.25" customHeight="1">
      <c r="A24" s="4617" t="s">
        <v>1510</v>
      </c>
      <c r="B24" s="4618"/>
      <c r="C24" s="4618"/>
      <c r="D24" s="4618"/>
      <c r="E24" s="4618"/>
      <c r="F24" s="4618"/>
      <c r="G24" s="4618"/>
      <c r="H24" s="4618"/>
      <c r="I24" s="4618"/>
      <c r="J24" s="4618"/>
      <c r="K24" s="4618"/>
      <c r="L24" s="4618"/>
      <c r="M24" s="4618"/>
      <c r="N24" s="4618"/>
    </row>
    <row r="25" spans="1:14" ht="20.100000000000001" customHeight="1">
      <c r="A25" s="4619" t="s">
        <v>437</v>
      </c>
      <c r="B25" s="4619"/>
      <c r="C25" s="4620" t="s">
        <v>1511</v>
      </c>
      <c r="D25" s="4619"/>
      <c r="E25" s="4619" t="s">
        <v>1512</v>
      </c>
      <c r="F25" s="4619"/>
      <c r="G25" s="4619" t="s">
        <v>1513</v>
      </c>
      <c r="H25" s="4619"/>
      <c r="I25" s="4619" t="s">
        <v>1514</v>
      </c>
      <c r="J25" s="4619"/>
      <c r="K25" s="4619" t="s">
        <v>1515</v>
      </c>
      <c r="L25" s="4619"/>
      <c r="M25" s="4619"/>
      <c r="N25" s="4619"/>
    </row>
    <row r="26" spans="1:14" ht="20.100000000000001" customHeight="1">
      <c r="A26" s="4614" t="s">
        <v>1485</v>
      </c>
      <c r="B26" s="4614"/>
      <c r="C26" s="4614" t="s">
        <v>1516</v>
      </c>
      <c r="D26" s="4614"/>
      <c r="E26" s="4614" t="s">
        <v>1517</v>
      </c>
      <c r="F26" s="4614"/>
      <c r="G26" s="4614" t="s">
        <v>1518</v>
      </c>
      <c r="H26" s="4614"/>
      <c r="I26" s="4614" t="s">
        <v>1519</v>
      </c>
      <c r="J26" s="4614"/>
      <c r="K26" s="4604" t="s">
        <v>1520</v>
      </c>
      <c r="L26" s="4605"/>
      <c r="M26" s="4605"/>
      <c r="N26" s="4606"/>
    </row>
    <row r="27" spans="1:14" ht="20.100000000000001" customHeight="1">
      <c r="A27" s="4614" t="s">
        <v>1521</v>
      </c>
      <c r="B27" s="4614"/>
      <c r="C27" s="4614" t="s">
        <v>1522</v>
      </c>
      <c r="D27" s="4614"/>
      <c r="E27" s="4614" t="s">
        <v>1523</v>
      </c>
      <c r="F27" s="4614"/>
      <c r="G27" s="4614" t="s">
        <v>1524</v>
      </c>
      <c r="H27" s="4614"/>
      <c r="I27" s="4614" t="s">
        <v>1525</v>
      </c>
      <c r="J27" s="4614"/>
      <c r="K27" s="4607"/>
      <c r="L27" s="4608"/>
      <c r="M27" s="4608"/>
      <c r="N27" s="4609"/>
    </row>
    <row r="28" spans="1:14" ht="20.100000000000001" customHeight="1">
      <c r="A28" s="4614" t="s">
        <v>1495</v>
      </c>
      <c r="B28" s="4614"/>
      <c r="C28" s="4614" t="s">
        <v>1526</v>
      </c>
      <c r="D28" s="4614"/>
      <c r="E28" s="4614" t="s">
        <v>1527</v>
      </c>
      <c r="F28" s="4614"/>
      <c r="G28" s="4614" t="s">
        <v>1528</v>
      </c>
      <c r="H28" s="4614"/>
      <c r="I28" s="4614" t="s">
        <v>1529</v>
      </c>
      <c r="J28" s="4614"/>
      <c r="K28" s="4607"/>
      <c r="L28" s="4608"/>
      <c r="M28" s="4608"/>
      <c r="N28" s="4609"/>
    </row>
    <row r="29" spans="1:14" ht="20.100000000000001" customHeight="1">
      <c r="A29" s="4614" t="s">
        <v>1530</v>
      </c>
      <c r="B29" s="4614"/>
      <c r="C29" s="4614" t="s">
        <v>1531</v>
      </c>
      <c r="D29" s="4614"/>
      <c r="E29" s="4614" t="s">
        <v>1532</v>
      </c>
      <c r="F29" s="4614"/>
      <c r="G29" s="4614" t="s">
        <v>1528</v>
      </c>
      <c r="H29" s="4614"/>
      <c r="I29" s="4614" t="s">
        <v>1529</v>
      </c>
      <c r="J29" s="4614"/>
      <c r="K29" s="4607"/>
      <c r="L29" s="4608"/>
      <c r="M29" s="4608"/>
      <c r="N29" s="4609"/>
    </row>
    <row r="30" spans="1:14" ht="20.100000000000001" customHeight="1">
      <c r="A30" s="4614" t="s">
        <v>1533</v>
      </c>
      <c r="B30" s="4614"/>
      <c r="C30" s="4614" t="s">
        <v>1534</v>
      </c>
      <c r="D30" s="4614"/>
      <c r="E30" s="4614" t="s">
        <v>1535</v>
      </c>
      <c r="F30" s="4614"/>
      <c r="G30" s="4614" t="s">
        <v>1528</v>
      </c>
      <c r="H30" s="4614"/>
      <c r="I30" s="4614" t="s">
        <v>1536</v>
      </c>
      <c r="J30" s="4614"/>
      <c r="K30" s="4607"/>
      <c r="L30" s="4608"/>
      <c r="M30" s="4608"/>
      <c r="N30" s="4609"/>
    </row>
    <row r="31" spans="1:14" ht="20.100000000000001" customHeight="1">
      <c r="A31" s="4614" t="s">
        <v>1537</v>
      </c>
      <c r="B31" s="4614"/>
      <c r="C31" s="4614" t="s">
        <v>1538</v>
      </c>
      <c r="D31" s="4614"/>
      <c r="E31" s="4614" t="s">
        <v>1539</v>
      </c>
      <c r="F31" s="4614"/>
      <c r="G31" s="4614" t="s">
        <v>1528</v>
      </c>
      <c r="H31" s="4614"/>
      <c r="I31" s="4614" t="s">
        <v>1540</v>
      </c>
      <c r="J31" s="4614"/>
      <c r="K31" s="4607"/>
      <c r="L31" s="4608"/>
      <c r="M31" s="4608"/>
      <c r="N31" s="4609"/>
    </row>
    <row r="32" spans="1:14" ht="20.100000000000001" customHeight="1">
      <c r="A32" s="4614" t="s">
        <v>1537</v>
      </c>
      <c r="B32" s="4614"/>
      <c r="C32" s="4614" t="s">
        <v>1541</v>
      </c>
      <c r="D32" s="4614"/>
      <c r="E32" s="4614" t="s">
        <v>1542</v>
      </c>
      <c r="F32" s="4614"/>
      <c r="G32" s="4614" t="s">
        <v>1528</v>
      </c>
      <c r="H32" s="4614"/>
      <c r="I32" s="4614" t="s">
        <v>1540</v>
      </c>
      <c r="J32" s="4614"/>
      <c r="K32" s="4607"/>
      <c r="L32" s="4608"/>
      <c r="M32" s="4608"/>
      <c r="N32" s="4609"/>
    </row>
    <row r="33" spans="1:14" ht="20.100000000000001" customHeight="1">
      <c r="A33" s="4614" t="s">
        <v>1503</v>
      </c>
      <c r="B33" s="4614"/>
      <c r="C33" s="4614" t="s">
        <v>1522</v>
      </c>
      <c r="D33" s="4614"/>
      <c r="E33" s="4614" t="s">
        <v>1523</v>
      </c>
      <c r="F33" s="4614"/>
      <c r="G33" s="4614" t="s">
        <v>1543</v>
      </c>
      <c r="H33" s="4614"/>
      <c r="I33" s="4614" t="s">
        <v>1529</v>
      </c>
      <c r="J33" s="4614"/>
      <c r="K33" s="4607"/>
      <c r="L33" s="4608"/>
      <c r="M33" s="4608"/>
      <c r="N33" s="4609"/>
    </row>
    <row r="34" spans="1:14" ht="20.100000000000001" customHeight="1">
      <c r="A34" s="4614" t="s">
        <v>1507</v>
      </c>
      <c r="B34" s="4614"/>
      <c r="C34" s="4614" t="s">
        <v>1526</v>
      </c>
      <c r="D34" s="4614"/>
      <c r="E34" s="4614" t="s">
        <v>1527</v>
      </c>
      <c r="F34" s="4614"/>
      <c r="G34" s="4614" t="s">
        <v>1543</v>
      </c>
      <c r="H34" s="4614"/>
      <c r="I34" s="4614" t="s">
        <v>1529</v>
      </c>
      <c r="J34" s="4614"/>
      <c r="K34" s="4607"/>
      <c r="L34" s="4608"/>
      <c r="M34" s="4608"/>
      <c r="N34" s="4609"/>
    </row>
    <row r="35" spans="1:14" ht="20.100000000000001" customHeight="1">
      <c r="A35" s="4614" t="s">
        <v>1544</v>
      </c>
      <c r="B35" s="4614"/>
      <c r="C35" s="4614" t="s">
        <v>1531</v>
      </c>
      <c r="D35" s="4614"/>
      <c r="E35" s="4614" t="s">
        <v>1532</v>
      </c>
      <c r="F35" s="4614"/>
      <c r="G35" s="4614" t="s">
        <v>1543</v>
      </c>
      <c r="H35" s="4614"/>
      <c r="I35" s="4614" t="s">
        <v>1529</v>
      </c>
      <c r="J35" s="4614"/>
      <c r="K35" s="4607"/>
      <c r="L35" s="4608"/>
      <c r="M35" s="4608"/>
      <c r="N35" s="4609"/>
    </row>
    <row r="36" spans="1:14" ht="20.100000000000001" customHeight="1">
      <c r="A36" s="4614" t="s">
        <v>1545</v>
      </c>
      <c r="B36" s="4614"/>
      <c r="C36" s="4614" t="s">
        <v>1534</v>
      </c>
      <c r="D36" s="4614"/>
      <c r="E36" s="4614" t="s">
        <v>1535</v>
      </c>
      <c r="F36" s="4614"/>
      <c r="G36" s="4614" t="s">
        <v>1543</v>
      </c>
      <c r="H36" s="4614"/>
      <c r="I36" s="4614" t="s">
        <v>1536</v>
      </c>
      <c r="J36" s="4614"/>
      <c r="K36" s="4607"/>
      <c r="L36" s="4608"/>
      <c r="M36" s="4608"/>
      <c r="N36" s="4609"/>
    </row>
    <row r="37" spans="1:14" ht="20.100000000000001" customHeight="1">
      <c r="A37" s="4614" t="s">
        <v>1546</v>
      </c>
      <c r="B37" s="4614"/>
      <c r="C37" s="4614" t="s">
        <v>1538</v>
      </c>
      <c r="D37" s="4614"/>
      <c r="E37" s="4614" t="s">
        <v>1539</v>
      </c>
      <c r="F37" s="4614"/>
      <c r="G37" s="4614" t="s">
        <v>1543</v>
      </c>
      <c r="H37" s="4614"/>
      <c r="I37" s="4614" t="s">
        <v>1540</v>
      </c>
      <c r="J37" s="4614"/>
      <c r="K37" s="4607"/>
      <c r="L37" s="4608"/>
      <c r="M37" s="4608"/>
      <c r="N37" s="4609"/>
    </row>
    <row r="38" spans="1:14" ht="20.100000000000001" customHeight="1">
      <c r="A38" s="4614" t="s">
        <v>1547</v>
      </c>
      <c r="B38" s="4614"/>
      <c r="C38" s="4614" t="s">
        <v>1541</v>
      </c>
      <c r="D38" s="4614"/>
      <c r="E38" s="4614" t="s">
        <v>1542</v>
      </c>
      <c r="F38" s="4614"/>
      <c r="G38" s="4614" t="s">
        <v>1543</v>
      </c>
      <c r="H38" s="4614"/>
      <c r="I38" s="4614" t="s">
        <v>1540</v>
      </c>
      <c r="J38" s="4614"/>
      <c r="K38" s="4607"/>
      <c r="L38" s="4608"/>
      <c r="M38" s="4608"/>
      <c r="N38" s="4609"/>
    </row>
    <row r="39" spans="1:14" ht="20.100000000000001" customHeight="1">
      <c r="A39" s="4614" t="s">
        <v>1548</v>
      </c>
      <c r="B39" s="4614"/>
      <c r="C39" s="4614" t="s">
        <v>1522</v>
      </c>
      <c r="D39" s="4614"/>
      <c r="E39" s="4614" t="s">
        <v>1523</v>
      </c>
      <c r="F39" s="4614"/>
      <c r="G39" s="4614" t="s">
        <v>1549</v>
      </c>
      <c r="H39" s="4614"/>
      <c r="I39" s="4614" t="s">
        <v>1525</v>
      </c>
      <c r="J39" s="4614"/>
      <c r="K39" s="4593" t="s">
        <v>1550</v>
      </c>
      <c r="L39" s="4594"/>
      <c r="M39" s="4594"/>
      <c r="N39" s="4595"/>
    </row>
    <row r="40" spans="1:14" ht="20.100000000000001" customHeight="1">
      <c r="A40" s="4614" t="s">
        <v>1551</v>
      </c>
      <c r="B40" s="4614"/>
      <c r="C40" s="4614" t="s">
        <v>1526</v>
      </c>
      <c r="D40" s="4614"/>
      <c r="E40" s="4614" t="s">
        <v>1552</v>
      </c>
      <c r="F40" s="4614"/>
      <c r="G40" s="4614" t="s">
        <v>1528</v>
      </c>
      <c r="H40" s="4614"/>
      <c r="I40" s="4614" t="s">
        <v>1529</v>
      </c>
      <c r="J40" s="4614"/>
      <c r="K40" s="4596"/>
      <c r="L40" s="4594"/>
      <c r="M40" s="4594"/>
      <c r="N40" s="4595"/>
    </row>
    <row r="41" spans="1:14" ht="20.100000000000001" customHeight="1">
      <c r="A41" s="4614" t="s">
        <v>1553</v>
      </c>
      <c r="B41" s="4614"/>
      <c r="C41" s="4614" t="s">
        <v>1531</v>
      </c>
      <c r="D41" s="4614"/>
      <c r="E41" s="4614" t="s">
        <v>1532</v>
      </c>
      <c r="F41" s="4614"/>
      <c r="G41" s="4614" t="s">
        <v>1528</v>
      </c>
      <c r="H41" s="4614"/>
      <c r="I41" s="4614" t="s">
        <v>1529</v>
      </c>
      <c r="J41" s="4614"/>
      <c r="K41" s="4596"/>
      <c r="L41" s="4594"/>
      <c r="M41" s="4594"/>
      <c r="N41" s="4595"/>
    </row>
    <row r="42" spans="1:14" ht="20.100000000000001" customHeight="1">
      <c r="A42" s="4614" t="s">
        <v>1554</v>
      </c>
      <c r="B42" s="4614"/>
      <c r="C42" s="4614" t="s">
        <v>1534</v>
      </c>
      <c r="D42" s="4614"/>
      <c r="E42" s="4614" t="s">
        <v>1535</v>
      </c>
      <c r="F42" s="4614"/>
      <c r="G42" s="4614" t="s">
        <v>1528</v>
      </c>
      <c r="H42" s="4614"/>
      <c r="I42" s="4614" t="s">
        <v>1536</v>
      </c>
      <c r="J42" s="4614"/>
      <c r="K42" s="4596"/>
      <c r="L42" s="4594"/>
      <c r="M42" s="4594"/>
      <c r="N42" s="4595"/>
    </row>
    <row r="43" spans="1:14" ht="20.100000000000001" customHeight="1">
      <c r="A43" s="4614" t="s">
        <v>1555</v>
      </c>
      <c r="B43" s="4614"/>
      <c r="C43" s="4614" t="s">
        <v>1522</v>
      </c>
      <c r="D43" s="4614"/>
      <c r="E43" s="4614" t="s">
        <v>1523</v>
      </c>
      <c r="F43" s="4614"/>
      <c r="G43" s="4614" t="s">
        <v>1549</v>
      </c>
      <c r="H43" s="4614"/>
      <c r="I43" s="4614" t="s">
        <v>1525</v>
      </c>
      <c r="J43" s="4614"/>
      <c r="K43" s="4593" t="s">
        <v>1556</v>
      </c>
      <c r="L43" s="4594"/>
      <c r="M43" s="4594"/>
      <c r="N43" s="4595"/>
    </row>
    <row r="44" spans="1:14" ht="20.100000000000001" customHeight="1">
      <c r="A44" s="4614" t="s">
        <v>1557</v>
      </c>
      <c r="B44" s="4614"/>
      <c r="C44" s="4614" t="s">
        <v>1526</v>
      </c>
      <c r="D44" s="4614"/>
      <c r="E44" s="4614" t="s">
        <v>1552</v>
      </c>
      <c r="F44" s="4614"/>
      <c r="G44" s="4614" t="s">
        <v>1528</v>
      </c>
      <c r="H44" s="4614"/>
      <c r="I44" s="4614" t="s">
        <v>1529</v>
      </c>
      <c r="J44" s="4614"/>
      <c r="K44" s="4596"/>
      <c r="L44" s="4594"/>
      <c r="M44" s="4594"/>
      <c r="N44" s="4595"/>
    </row>
    <row r="45" spans="1:14" ht="20.100000000000001" customHeight="1">
      <c r="A45" s="4614" t="s">
        <v>1558</v>
      </c>
      <c r="B45" s="4614"/>
      <c r="C45" s="4614" t="s">
        <v>1531</v>
      </c>
      <c r="D45" s="4614"/>
      <c r="E45" s="4614" t="s">
        <v>1532</v>
      </c>
      <c r="F45" s="4614"/>
      <c r="G45" s="4614" t="s">
        <v>1528</v>
      </c>
      <c r="H45" s="4614"/>
      <c r="I45" s="4614" t="s">
        <v>1529</v>
      </c>
      <c r="J45" s="4614"/>
      <c r="K45" s="4596"/>
      <c r="L45" s="4594"/>
      <c r="M45" s="4594"/>
      <c r="N45" s="4595"/>
    </row>
    <row r="46" spans="1:14" ht="20.100000000000001" customHeight="1">
      <c r="A46" s="4610" t="s">
        <v>1559</v>
      </c>
      <c r="B46" s="4610"/>
      <c r="C46" s="4610" t="s">
        <v>1534</v>
      </c>
      <c r="D46" s="4610"/>
      <c r="E46" s="4610" t="s">
        <v>1535</v>
      </c>
      <c r="F46" s="4610"/>
      <c r="G46" s="4610" t="s">
        <v>1528</v>
      </c>
      <c r="H46" s="4610"/>
      <c r="I46" s="4610" t="s">
        <v>1536</v>
      </c>
      <c r="J46" s="4610"/>
      <c r="K46" s="4597"/>
      <c r="L46" s="4598"/>
      <c r="M46" s="4598"/>
      <c r="N46" s="4599"/>
    </row>
    <row r="47" spans="1:14" ht="20.100000000000001" customHeight="1">
      <c r="A47" s="3758"/>
      <c r="B47" s="3758"/>
      <c r="C47" s="3758"/>
      <c r="D47" s="3758"/>
      <c r="E47" s="3758"/>
      <c r="F47" s="3758"/>
      <c r="G47" s="3758"/>
      <c r="H47" s="3758"/>
      <c r="I47" s="3758"/>
      <c r="J47" s="3758"/>
      <c r="K47" s="3758"/>
      <c r="L47" s="3758"/>
      <c r="M47" s="3758"/>
      <c r="N47" s="3758"/>
    </row>
    <row r="48" spans="1:14" ht="20.100000000000001" customHeight="1">
      <c r="A48" s="3758"/>
      <c r="B48" s="3758"/>
      <c r="C48" s="3758"/>
      <c r="D48" s="3758"/>
      <c r="E48" s="3758"/>
      <c r="F48" s="3758"/>
      <c r="G48" s="3758"/>
      <c r="H48" s="3758"/>
      <c r="I48" s="3758"/>
      <c r="J48" s="3758"/>
      <c r="K48" s="3758"/>
      <c r="L48" s="3758"/>
      <c r="M48" s="3758"/>
      <c r="N48" s="3758"/>
    </row>
    <row r="49" spans="1:14" ht="20.100000000000001" customHeight="1">
      <c r="A49" s="3758"/>
      <c r="B49" s="3758"/>
      <c r="C49" s="3758"/>
      <c r="D49" s="3758"/>
      <c r="E49" s="3758"/>
      <c r="F49" s="3758"/>
      <c r="G49" s="3758"/>
      <c r="H49" s="3758"/>
      <c r="I49" s="3758"/>
      <c r="J49" s="3758"/>
      <c r="K49" s="3758"/>
      <c r="L49" s="3758"/>
      <c r="M49" s="3758"/>
      <c r="N49" s="3758"/>
    </row>
    <row r="50" spans="1:14" ht="20.100000000000001" customHeight="1">
      <c r="A50" s="3758"/>
      <c r="B50" s="3758"/>
      <c r="C50" s="3758"/>
      <c r="D50" s="3758"/>
      <c r="E50" s="3758"/>
      <c r="F50" s="3758"/>
      <c r="G50" s="3758"/>
      <c r="H50" s="3758"/>
      <c r="I50" s="3758"/>
      <c r="J50" s="3758"/>
      <c r="K50" s="3758"/>
      <c r="L50" s="3758"/>
      <c r="M50" s="3758"/>
      <c r="N50" s="3758"/>
    </row>
    <row r="51" spans="1:14" ht="20.100000000000001" customHeight="1">
      <c r="A51" s="3758"/>
      <c r="B51" s="3758"/>
      <c r="C51" s="3758"/>
      <c r="D51" s="3758"/>
      <c r="E51" s="3758"/>
      <c r="F51" s="3758"/>
      <c r="G51" s="3758"/>
      <c r="H51" s="3758"/>
      <c r="I51" s="3758"/>
      <c r="J51" s="3758"/>
      <c r="K51" s="3758"/>
      <c r="L51" s="3758"/>
      <c r="M51" s="3758"/>
      <c r="N51" s="3758"/>
    </row>
    <row r="52" spans="1:14" ht="20.100000000000001" customHeight="1">
      <c r="A52" s="3758"/>
      <c r="B52" s="3758"/>
      <c r="C52" s="3758"/>
      <c r="D52" s="3758"/>
      <c r="E52" s="3758"/>
      <c r="F52" s="3758"/>
      <c r="G52" s="3758"/>
      <c r="H52" s="3758"/>
      <c r="I52" s="3758"/>
      <c r="J52" s="3758"/>
      <c r="K52" s="3758"/>
      <c r="L52" s="3758"/>
      <c r="M52" s="3758"/>
      <c r="N52" s="3758"/>
    </row>
    <row r="53" spans="1:14" ht="20.100000000000001" customHeight="1">
      <c r="A53" s="3758"/>
      <c r="B53" s="3758"/>
      <c r="C53" s="3758"/>
      <c r="D53" s="3758"/>
      <c r="E53" s="3758"/>
      <c r="F53" s="3758"/>
      <c r="G53" s="3758"/>
      <c r="H53" s="3758"/>
      <c r="I53" s="3758"/>
      <c r="J53" s="3758"/>
      <c r="K53" s="3758"/>
      <c r="L53" s="3758"/>
      <c r="M53" s="3758"/>
      <c r="N53" s="3758"/>
    </row>
    <row r="54" spans="1:14" ht="20.100000000000001" customHeight="1">
      <c r="A54" s="3758"/>
      <c r="B54" s="3758"/>
      <c r="C54" s="3758"/>
      <c r="D54" s="3758"/>
      <c r="E54" s="3758"/>
      <c r="F54" s="3758"/>
      <c r="G54" s="3758"/>
      <c r="H54" s="3758"/>
      <c r="I54" s="3758"/>
      <c r="J54" s="3758"/>
      <c r="K54" s="3758"/>
      <c r="L54" s="3758"/>
      <c r="M54" s="3758"/>
      <c r="N54" s="3758"/>
    </row>
    <row r="55" spans="1:14" ht="20.100000000000001" customHeight="1">
      <c r="A55" s="3758"/>
      <c r="B55" s="3758"/>
      <c r="C55" s="3758"/>
      <c r="D55" s="3758"/>
      <c r="E55" s="3758"/>
      <c r="F55" s="3758"/>
      <c r="G55" s="3758"/>
      <c r="H55" s="3758"/>
      <c r="I55" s="3758"/>
      <c r="J55" s="3758"/>
      <c r="K55" s="3758"/>
      <c r="L55" s="3758"/>
      <c r="M55" s="3758"/>
      <c r="N55" s="3758"/>
    </row>
    <row r="56" spans="1:14" ht="20.100000000000001" customHeight="1">
      <c r="A56" s="3758"/>
      <c r="B56" s="3758"/>
      <c r="C56" s="3758"/>
      <c r="D56" s="3758"/>
      <c r="E56" s="3758"/>
      <c r="F56" s="3758"/>
      <c r="G56" s="3758"/>
      <c r="H56" s="3758"/>
      <c r="I56" s="3758"/>
      <c r="J56" s="3758"/>
      <c r="K56" s="3758"/>
      <c r="L56" s="3758"/>
      <c r="M56" s="3758"/>
      <c r="N56" s="3758"/>
    </row>
    <row r="57" spans="1:14" ht="20.100000000000001" customHeight="1">
      <c r="A57" s="3758"/>
      <c r="B57" s="3758"/>
      <c r="C57" s="3758"/>
      <c r="D57" s="3758"/>
      <c r="E57" s="3758"/>
      <c r="F57" s="3758"/>
      <c r="G57" s="3758"/>
      <c r="H57" s="3758"/>
      <c r="I57" s="3758"/>
      <c r="J57" s="3758"/>
      <c r="K57" s="3758"/>
      <c r="L57" s="3758"/>
      <c r="M57" s="3758"/>
      <c r="N57" s="3758"/>
    </row>
    <row r="58" spans="1:14" ht="20.100000000000001" customHeight="1">
      <c r="A58" s="3758"/>
      <c r="B58" s="3758"/>
      <c r="C58" s="3758"/>
      <c r="D58" s="3758"/>
      <c r="E58" s="3758"/>
      <c r="F58" s="3758"/>
      <c r="G58" s="3758"/>
      <c r="H58" s="3758"/>
      <c r="I58" s="3758"/>
      <c r="J58" s="3758"/>
      <c r="K58" s="3758"/>
      <c r="L58" s="3758"/>
      <c r="M58" s="3758"/>
      <c r="N58" s="3758"/>
    </row>
    <row r="59" spans="1:14" ht="20.100000000000001" customHeight="1">
      <c r="A59" s="3758"/>
      <c r="B59" s="3758"/>
      <c r="C59" s="3758"/>
      <c r="D59" s="3758"/>
      <c r="E59" s="3758"/>
      <c r="F59" s="3758"/>
      <c r="G59" s="3758"/>
      <c r="H59" s="3758"/>
      <c r="I59" s="3758"/>
      <c r="J59" s="3758"/>
      <c r="K59" s="3758"/>
      <c r="L59" s="3758"/>
      <c r="M59" s="3758"/>
      <c r="N59" s="3758"/>
    </row>
    <row r="60" spans="1:14" ht="20.100000000000001" customHeight="1">
      <c r="A60" s="3758"/>
      <c r="B60" s="3758"/>
      <c r="C60" s="3758"/>
      <c r="D60" s="3758"/>
      <c r="E60" s="3758"/>
      <c r="F60" s="3758"/>
      <c r="G60" s="3758"/>
      <c r="H60" s="3758"/>
      <c r="I60" s="3758"/>
      <c r="J60" s="3758"/>
      <c r="K60" s="3758"/>
      <c r="L60" s="3758"/>
      <c r="M60" s="3758"/>
      <c r="N60" s="3758"/>
    </row>
    <row r="61" spans="1:14" ht="20.100000000000001" customHeight="1">
      <c r="A61" s="3758"/>
      <c r="B61" s="3758"/>
      <c r="C61" s="3758"/>
      <c r="D61" s="3758"/>
      <c r="E61" s="3758"/>
      <c r="F61" s="3758"/>
      <c r="G61" s="3758"/>
      <c r="H61" s="3758"/>
      <c r="I61" s="3758"/>
      <c r="J61" s="3758"/>
      <c r="K61" s="3758"/>
      <c r="L61" s="3758"/>
      <c r="M61" s="3758"/>
      <c r="N61" s="3758"/>
    </row>
  </sheetData>
  <mergeCells count="155">
    <mergeCell ref="A1:K1"/>
    <mergeCell ref="G2:H2"/>
    <mergeCell ref="G4:H4"/>
    <mergeCell ref="G5:H5"/>
    <mergeCell ref="G6:H6"/>
    <mergeCell ref="G7:H7"/>
    <mergeCell ref="G15:H15"/>
    <mergeCell ref="G16:H16"/>
    <mergeCell ref="G17:H17"/>
    <mergeCell ref="K2:K3"/>
    <mergeCell ref="G18:H18"/>
    <mergeCell ref="G19:H19"/>
    <mergeCell ref="G20:H20"/>
    <mergeCell ref="G21:H21"/>
    <mergeCell ref="G22:H22"/>
    <mergeCell ref="G23:H23"/>
    <mergeCell ref="A24:N24"/>
    <mergeCell ref="A25:B25"/>
    <mergeCell ref="C25:D25"/>
    <mergeCell ref="E25:F25"/>
    <mergeCell ref="G25:H25"/>
    <mergeCell ref="I25:J25"/>
    <mergeCell ref="K25:N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D30"/>
    <mergeCell ref="E30:F30"/>
    <mergeCell ref="G30:H30"/>
    <mergeCell ref="I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B36"/>
    <mergeCell ref="C36:D36"/>
    <mergeCell ref="E36:F36"/>
    <mergeCell ref="G36:H36"/>
    <mergeCell ref="I36:J36"/>
    <mergeCell ref="A37:B37"/>
    <mergeCell ref="C37:D37"/>
    <mergeCell ref="E37:F37"/>
    <mergeCell ref="G37:H37"/>
    <mergeCell ref="I37:J37"/>
    <mergeCell ref="A38:B38"/>
    <mergeCell ref="C38:D38"/>
    <mergeCell ref="E38:F38"/>
    <mergeCell ref="G38:H38"/>
    <mergeCell ref="I38:J38"/>
    <mergeCell ref="A39:B39"/>
    <mergeCell ref="C39:D39"/>
    <mergeCell ref="E39:F39"/>
    <mergeCell ref="G39:H39"/>
    <mergeCell ref="I39:J39"/>
    <mergeCell ref="A40:B40"/>
    <mergeCell ref="C40:D40"/>
    <mergeCell ref="E40:F40"/>
    <mergeCell ref="G40:H40"/>
    <mergeCell ref="I40:J40"/>
    <mergeCell ref="A41:B41"/>
    <mergeCell ref="C41:D41"/>
    <mergeCell ref="E41:F41"/>
    <mergeCell ref="G41:H41"/>
    <mergeCell ref="I41:J41"/>
    <mergeCell ref="E44:F44"/>
    <mergeCell ref="G44:H44"/>
    <mergeCell ref="I44:J44"/>
    <mergeCell ref="A45:B45"/>
    <mergeCell ref="C45:D45"/>
    <mergeCell ref="E45:F45"/>
    <mergeCell ref="G45:H45"/>
    <mergeCell ref="I45:J45"/>
    <mergeCell ref="A42:B42"/>
    <mergeCell ref="C42:D42"/>
    <mergeCell ref="E42:F42"/>
    <mergeCell ref="G42:H42"/>
    <mergeCell ref="I42:J42"/>
    <mergeCell ref="A43:B43"/>
    <mergeCell ref="C43:D43"/>
    <mergeCell ref="E43:F43"/>
    <mergeCell ref="G43:H43"/>
    <mergeCell ref="I43:J43"/>
    <mergeCell ref="A46:B46"/>
    <mergeCell ref="C46:D46"/>
    <mergeCell ref="E46:F46"/>
    <mergeCell ref="G46:H46"/>
    <mergeCell ref="I46:J46"/>
    <mergeCell ref="A2:A3"/>
    <mergeCell ref="A4:A16"/>
    <mergeCell ref="A18:A23"/>
    <mergeCell ref="B2:B3"/>
    <mergeCell ref="B4:B5"/>
    <mergeCell ref="B6:B7"/>
    <mergeCell ref="B8:B11"/>
    <mergeCell ref="B12:B14"/>
    <mergeCell ref="B15:B16"/>
    <mergeCell ref="B18:B20"/>
    <mergeCell ref="B21:B23"/>
    <mergeCell ref="C2:C3"/>
    <mergeCell ref="D2:D3"/>
    <mergeCell ref="E2:E3"/>
    <mergeCell ref="F2:F3"/>
    <mergeCell ref="I2:I3"/>
    <mergeCell ref="J2:J3"/>
    <mergeCell ref="A44:B44"/>
    <mergeCell ref="C44:D44"/>
    <mergeCell ref="K43:N46"/>
    <mergeCell ref="L2:L3"/>
    <mergeCell ref="M2:M3"/>
    <mergeCell ref="N2:N3"/>
    <mergeCell ref="N4:N7"/>
    <mergeCell ref="N8:N11"/>
    <mergeCell ref="N12:N14"/>
    <mergeCell ref="N15:N16"/>
    <mergeCell ref="K26:N38"/>
    <mergeCell ref="K39:N42"/>
  </mergeCells>
  <phoneticPr fontId="214" type="noConversion"/>
  <pageMargins left="0.75" right="0.75" top="1" bottom="1" header="0.5" footer="0.5"/>
  <pageSetup paperSize="9" scale="94" orientation="landscape"/>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F80"/>
  <sheetViews>
    <sheetView workbookViewId="0">
      <selection activeCell="I10" sqref="I10"/>
    </sheetView>
  </sheetViews>
  <sheetFormatPr defaultColWidth="9" defaultRowHeight="14.25"/>
  <cols>
    <col min="1" max="1" width="4" style="2694" customWidth="1"/>
    <col min="2" max="2" width="22.5" style="2694" customWidth="1"/>
    <col min="3" max="3" width="9" style="3746"/>
    <col min="4" max="4" width="9" style="2694"/>
    <col min="5" max="5" width="17.875" style="2694" customWidth="1"/>
    <col min="6" max="6" width="9" style="3746"/>
    <col min="7" max="256" width="9" style="2694"/>
    <col min="257" max="257" width="4" style="2694" customWidth="1"/>
    <col min="258" max="258" width="22.5" style="2694" customWidth="1"/>
    <col min="259" max="260" width="9" style="2694"/>
    <col min="261" max="261" width="17.875" style="2694" customWidth="1"/>
    <col min="262" max="512" width="9" style="2694"/>
    <col min="513" max="513" width="4" style="2694" customWidth="1"/>
    <col min="514" max="514" width="22.5" style="2694" customWidth="1"/>
    <col min="515" max="516" width="9" style="2694"/>
    <col min="517" max="517" width="17.875" style="2694" customWidth="1"/>
    <col min="518" max="768" width="9" style="2694"/>
    <col min="769" max="769" width="4" style="2694" customWidth="1"/>
    <col min="770" max="770" width="22.5" style="2694" customWidth="1"/>
    <col min="771" max="772" width="9" style="2694"/>
    <col min="773" max="773" width="17.875" style="2694" customWidth="1"/>
    <col min="774" max="1024" width="9" style="2694"/>
    <col min="1025" max="1025" width="4" style="2694" customWidth="1"/>
    <col min="1026" max="1026" width="22.5" style="2694" customWidth="1"/>
    <col min="1027" max="1028" width="9" style="2694"/>
    <col min="1029" max="1029" width="17.875" style="2694" customWidth="1"/>
    <col min="1030" max="1280" width="9" style="2694"/>
    <col min="1281" max="1281" width="4" style="2694" customWidth="1"/>
    <col min="1282" max="1282" width="22.5" style="2694" customWidth="1"/>
    <col min="1283" max="1284" width="9" style="2694"/>
    <col min="1285" max="1285" width="17.875" style="2694" customWidth="1"/>
    <col min="1286" max="1536" width="9" style="2694"/>
    <col min="1537" max="1537" width="4" style="2694" customWidth="1"/>
    <col min="1538" max="1538" width="22.5" style="2694" customWidth="1"/>
    <col min="1539" max="1540" width="9" style="2694"/>
    <col min="1541" max="1541" width="17.875" style="2694" customWidth="1"/>
    <col min="1542" max="1792" width="9" style="2694"/>
    <col min="1793" max="1793" width="4" style="2694" customWidth="1"/>
    <col min="1794" max="1794" width="22.5" style="2694" customWidth="1"/>
    <col min="1795" max="1796" width="9" style="2694"/>
    <col min="1797" max="1797" width="17.875" style="2694" customWidth="1"/>
    <col min="1798" max="2048" width="9" style="2694"/>
    <col min="2049" max="2049" width="4" style="2694" customWidth="1"/>
    <col min="2050" max="2050" width="22.5" style="2694" customWidth="1"/>
    <col min="2051" max="2052" width="9" style="2694"/>
    <col min="2053" max="2053" width="17.875" style="2694" customWidth="1"/>
    <col min="2054" max="2304" width="9" style="2694"/>
    <col min="2305" max="2305" width="4" style="2694" customWidth="1"/>
    <col min="2306" max="2306" width="22.5" style="2694" customWidth="1"/>
    <col min="2307" max="2308" width="9" style="2694"/>
    <col min="2309" max="2309" width="17.875" style="2694" customWidth="1"/>
    <col min="2310" max="2560" width="9" style="2694"/>
    <col min="2561" max="2561" width="4" style="2694" customWidth="1"/>
    <col min="2562" max="2562" width="22.5" style="2694" customWidth="1"/>
    <col min="2563" max="2564" width="9" style="2694"/>
    <col min="2565" max="2565" width="17.875" style="2694" customWidth="1"/>
    <col min="2566" max="2816" width="9" style="2694"/>
    <col min="2817" max="2817" width="4" style="2694" customWidth="1"/>
    <col min="2818" max="2818" width="22.5" style="2694" customWidth="1"/>
    <col min="2819" max="2820" width="9" style="2694"/>
    <col min="2821" max="2821" width="17.875" style="2694" customWidth="1"/>
    <col min="2822" max="3072" width="9" style="2694"/>
    <col min="3073" max="3073" width="4" style="2694" customWidth="1"/>
    <col min="3074" max="3074" width="22.5" style="2694" customWidth="1"/>
    <col min="3075" max="3076" width="9" style="2694"/>
    <col min="3077" max="3077" width="17.875" style="2694" customWidth="1"/>
    <col min="3078" max="3328" width="9" style="2694"/>
    <col min="3329" max="3329" width="4" style="2694" customWidth="1"/>
    <col min="3330" max="3330" width="22.5" style="2694" customWidth="1"/>
    <col min="3331" max="3332" width="9" style="2694"/>
    <col min="3333" max="3333" width="17.875" style="2694" customWidth="1"/>
    <col min="3334" max="3584" width="9" style="2694"/>
    <col min="3585" max="3585" width="4" style="2694" customWidth="1"/>
    <col min="3586" max="3586" width="22.5" style="2694" customWidth="1"/>
    <col min="3587" max="3588" width="9" style="2694"/>
    <col min="3589" max="3589" width="17.875" style="2694" customWidth="1"/>
    <col min="3590" max="3840" width="9" style="2694"/>
    <col min="3841" max="3841" width="4" style="2694" customWidth="1"/>
    <col min="3842" max="3842" width="22.5" style="2694" customWidth="1"/>
    <col min="3843" max="3844" width="9" style="2694"/>
    <col min="3845" max="3845" width="17.875" style="2694" customWidth="1"/>
    <col min="3846" max="4096" width="9" style="2694"/>
    <col min="4097" max="4097" width="4" style="2694" customWidth="1"/>
    <col min="4098" max="4098" width="22.5" style="2694" customWidth="1"/>
    <col min="4099" max="4100" width="9" style="2694"/>
    <col min="4101" max="4101" width="17.875" style="2694" customWidth="1"/>
    <col min="4102" max="4352" width="9" style="2694"/>
    <col min="4353" max="4353" width="4" style="2694" customWidth="1"/>
    <col min="4354" max="4354" width="22.5" style="2694" customWidth="1"/>
    <col min="4355" max="4356" width="9" style="2694"/>
    <col min="4357" max="4357" width="17.875" style="2694" customWidth="1"/>
    <col min="4358" max="4608" width="9" style="2694"/>
    <col min="4609" max="4609" width="4" style="2694" customWidth="1"/>
    <col min="4610" max="4610" width="22.5" style="2694" customWidth="1"/>
    <col min="4611" max="4612" width="9" style="2694"/>
    <col min="4613" max="4613" width="17.875" style="2694" customWidth="1"/>
    <col min="4614" max="4864" width="9" style="2694"/>
    <col min="4865" max="4865" width="4" style="2694" customWidth="1"/>
    <col min="4866" max="4866" width="22.5" style="2694" customWidth="1"/>
    <col min="4867" max="4868" width="9" style="2694"/>
    <col min="4869" max="4869" width="17.875" style="2694" customWidth="1"/>
    <col min="4870" max="5120" width="9" style="2694"/>
    <col min="5121" max="5121" width="4" style="2694" customWidth="1"/>
    <col min="5122" max="5122" width="22.5" style="2694" customWidth="1"/>
    <col min="5123" max="5124" width="9" style="2694"/>
    <col min="5125" max="5125" width="17.875" style="2694" customWidth="1"/>
    <col min="5126" max="5376" width="9" style="2694"/>
    <col min="5377" max="5377" width="4" style="2694" customWidth="1"/>
    <col min="5378" max="5378" width="22.5" style="2694" customWidth="1"/>
    <col min="5379" max="5380" width="9" style="2694"/>
    <col min="5381" max="5381" width="17.875" style="2694" customWidth="1"/>
    <col min="5382" max="5632" width="9" style="2694"/>
    <col min="5633" max="5633" width="4" style="2694" customWidth="1"/>
    <col min="5634" max="5634" width="22.5" style="2694" customWidth="1"/>
    <col min="5635" max="5636" width="9" style="2694"/>
    <col min="5637" max="5637" width="17.875" style="2694" customWidth="1"/>
    <col min="5638" max="5888" width="9" style="2694"/>
    <col min="5889" max="5889" width="4" style="2694" customWidth="1"/>
    <col min="5890" max="5890" width="22.5" style="2694" customWidth="1"/>
    <col min="5891" max="5892" width="9" style="2694"/>
    <col min="5893" max="5893" width="17.875" style="2694" customWidth="1"/>
    <col min="5894" max="6144" width="9" style="2694"/>
    <col min="6145" max="6145" width="4" style="2694" customWidth="1"/>
    <col min="6146" max="6146" width="22.5" style="2694" customWidth="1"/>
    <col min="6147" max="6148" width="9" style="2694"/>
    <col min="6149" max="6149" width="17.875" style="2694" customWidth="1"/>
    <col min="6150" max="6400" width="9" style="2694"/>
    <col min="6401" max="6401" width="4" style="2694" customWidth="1"/>
    <col min="6402" max="6402" width="22.5" style="2694" customWidth="1"/>
    <col min="6403" max="6404" width="9" style="2694"/>
    <col min="6405" max="6405" width="17.875" style="2694" customWidth="1"/>
    <col min="6406" max="6656" width="9" style="2694"/>
    <col min="6657" max="6657" width="4" style="2694" customWidth="1"/>
    <col min="6658" max="6658" width="22.5" style="2694" customWidth="1"/>
    <col min="6659" max="6660" width="9" style="2694"/>
    <col min="6661" max="6661" width="17.875" style="2694" customWidth="1"/>
    <col min="6662" max="6912" width="9" style="2694"/>
    <col min="6913" max="6913" width="4" style="2694" customWidth="1"/>
    <col min="6914" max="6914" width="22.5" style="2694" customWidth="1"/>
    <col min="6915" max="6916" width="9" style="2694"/>
    <col min="6917" max="6917" width="17.875" style="2694" customWidth="1"/>
    <col min="6918" max="7168" width="9" style="2694"/>
    <col min="7169" max="7169" width="4" style="2694" customWidth="1"/>
    <col min="7170" max="7170" width="22.5" style="2694" customWidth="1"/>
    <col min="7171" max="7172" width="9" style="2694"/>
    <col min="7173" max="7173" width="17.875" style="2694" customWidth="1"/>
    <col min="7174" max="7424" width="9" style="2694"/>
    <col min="7425" max="7425" width="4" style="2694" customWidth="1"/>
    <col min="7426" max="7426" width="22.5" style="2694" customWidth="1"/>
    <col min="7427" max="7428" width="9" style="2694"/>
    <col min="7429" max="7429" width="17.875" style="2694" customWidth="1"/>
    <col min="7430" max="7680" width="9" style="2694"/>
    <col min="7681" max="7681" width="4" style="2694" customWidth="1"/>
    <col min="7682" max="7682" width="22.5" style="2694" customWidth="1"/>
    <col min="7683" max="7684" width="9" style="2694"/>
    <col min="7685" max="7685" width="17.875" style="2694" customWidth="1"/>
    <col min="7686" max="7936" width="9" style="2694"/>
    <col min="7937" max="7937" width="4" style="2694" customWidth="1"/>
    <col min="7938" max="7938" width="22.5" style="2694" customWidth="1"/>
    <col min="7939" max="7940" width="9" style="2694"/>
    <col min="7941" max="7941" width="17.875" style="2694" customWidth="1"/>
    <col min="7942" max="8192" width="9" style="2694"/>
    <col min="8193" max="8193" width="4" style="2694" customWidth="1"/>
    <col min="8194" max="8194" width="22.5" style="2694" customWidth="1"/>
    <col min="8195" max="8196" width="9" style="2694"/>
    <col min="8197" max="8197" width="17.875" style="2694" customWidth="1"/>
    <col min="8198" max="8448" width="9" style="2694"/>
    <col min="8449" max="8449" width="4" style="2694" customWidth="1"/>
    <col min="8450" max="8450" width="22.5" style="2694" customWidth="1"/>
    <col min="8451" max="8452" width="9" style="2694"/>
    <col min="8453" max="8453" width="17.875" style="2694" customWidth="1"/>
    <col min="8454" max="8704" width="9" style="2694"/>
    <col min="8705" max="8705" width="4" style="2694" customWidth="1"/>
    <col min="8706" max="8706" width="22.5" style="2694" customWidth="1"/>
    <col min="8707" max="8708" width="9" style="2694"/>
    <col min="8709" max="8709" width="17.875" style="2694" customWidth="1"/>
    <col min="8710" max="8960" width="9" style="2694"/>
    <col min="8961" max="8961" width="4" style="2694" customWidth="1"/>
    <col min="8962" max="8962" width="22.5" style="2694" customWidth="1"/>
    <col min="8963" max="8964" width="9" style="2694"/>
    <col min="8965" max="8965" width="17.875" style="2694" customWidth="1"/>
    <col min="8966" max="9216" width="9" style="2694"/>
    <col min="9217" max="9217" width="4" style="2694" customWidth="1"/>
    <col min="9218" max="9218" width="22.5" style="2694" customWidth="1"/>
    <col min="9219" max="9220" width="9" style="2694"/>
    <col min="9221" max="9221" width="17.875" style="2694" customWidth="1"/>
    <col min="9222" max="9472" width="9" style="2694"/>
    <col min="9473" max="9473" width="4" style="2694" customWidth="1"/>
    <col min="9474" max="9474" width="22.5" style="2694" customWidth="1"/>
    <col min="9475" max="9476" width="9" style="2694"/>
    <col min="9477" max="9477" width="17.875" style="2694" customWidth="1"/>
    <col min="9478" max="9728" width="9" style="2694"/>
    <col min="9729" max="9729" width="4" style="2694" customWidth="1"/>
    <col min="9730" max="9730" width="22.5" style="2694" customWidth="1"/>
    <col min="9731" max="9732" width="9" style="2694"/>
    <col min="9733" max="9733" width="17.875" style="2694" customWidth="1"/>
    <col min="9734" max="9984" width="9" style="2694"/>
    <col min="9985" max="9985" width="4" style="2694" customWidth="1"/>
    <col min="9986" max="9986" width="22.5" style="2694" customWidth="1"/>
    <col min="9987" max="9988" width="9" style="2694"/>
    <col min="9989" max="9989" width="17.875" style="2694" customWidth="1"/>
    <col min="9990" max="10240" width="9" style="2694"/>
    <col min="10241" max="10241" width="4" style="2694" customWidth="1"/>
    <col min="10242" max="10242" width="22.5" style="2694" customWidth="1"/>
    <col min="10243" max="10244" width="9" style="2694"/>
    <col min="10245" max="10245" width="17.875" style="2694" customWidth="1"/>
    <col min="10246" max="10496" width="9" style="2694"/>
    <col min="10497" max="10497" width="4" style="2694" customWidth="1"/>
    <col min="10498" max="10498" width="22.5" style="2694" customWidth="1"/>
    <col min="10499" max="10500" width="9" style="2694"/>
    <col min="10501" max="10501" width="17.875" style="2694" customWidth="1"/>
    <col min="10502" max="10752" width="9" style="2694"/>
    <col min="10753" max="10753" width="4" style="2694" customWidth="1"/>
    <col min="10754" max="10754" width="22.5" style="2694" customWidth="1"/>
    <col min="10755" max="10756" width="9" style="2694"/>
    <col min="10757" max="10757" width="17.875" style="2694" customWidth="1"/>
    <col min="10758" max="11008" width="9" style="2694"/>
    <col min="11009" max="11009" width="4" style="2694" customWidth="1"/>
    <col min="11010" max="11010" width="22.5" style="2694" customWidth="1"/>
    <col min="11011" max="11012" width="9" style="2694"/>
    <col min="11013" max="11013" width="17.875" style="2694" customWidth="1"/>
    <col min="11014" max="11264" width="9" style="2694"/>
    <col min="11265" max="11265" width="4" style="2694" customWidth="1"/>
    <col min="11266" max="11266" width="22.5" style="2694" customWidth="1"/>
    <col min="11267" max="11268" width="9" style="2694"/>
    <col min="11269" max="11269" width="17.875" style="2694" customWidth="1"/>
    <col min="11270" max="11520" width="9" style="2694"/>
    <col min="11521" max="11521" width="4" style="2694" customWidth="1"/>
    <col min="11522" max="11522" width="22.5" style="2694" customWidth="1"/>
    <col min="11523" max="11524" width="9" style="2694"/>
    <col min="11525" max="11525" width="17.875" style="2694" customWidth="1"/>
    <col min="11526" max="11776" width="9" style="2694"/>
    <col min="11777" max="11777" width="4" style="2694" customWidth="1"/>
    <col min="11778" max="11778" width="22.5" style="2694" customWidth="1"/>
    <col min="11779" max="11780" width="9" style="2694"/>
    <col min="11781" max="11781" width="17.875" style="2694" customWidth="1"/>
    <col min="11782" max="12032" width="9" style="2694"/>
    <col min="12033" max="12033" width="4" style="2694" customWidth="1"/>
    <col min="12034" max="12034" width="22.5" style="2694" customWidth="1"/>
    <col min="12035" max="12036" width="9" style="2694"/>
    <col min="12037" max="12037" width="17.875" style="2694" customWidth="1"/>
    <col min="12038" max="12288" width="9" style="2694"/>
    <col min="12289" max="12289" width="4" style="2694" customWidth="1"/>
    <col min="12290" max="12290" width="22.5" style="2694" customWidth="1"/>
    <col min="12291" max="12292" width="9" style="2694"/>
    <col min="12293" max="12293" width="17.875" style="2694" customWidth="1"/>
    <col min="12294" max="12544" width="9" style="2694"/>
    <col min="12545" max="12545" width="4" style="2694" customWidth="1"/>
    <col min="12546" max="12546" width="22.5" style="2694" customWidth="1"/>
    <col min="12547" max="12548" width="9" style="2694"/>
    <col min="12549" max="12549" width="17.875" style="2694" customWidth="1"/>
    <col min="12550" max="12800" width="9" style="2694"/>
    <col min="12801" max="12801" width="4" style="2694" customWidth="1"/>
    <col min="12802" max="12802" width="22.5" style="2694" customWidth="1"/>
    <col min="12803" max="12804" width="9" style="2694"/>
    <col min="12805" max="12805" width="17.875" style="2694" customWidth="1"/>
    <col min="12806" max="13056" width="9" style="2694"/>
    <col min="13057" max="13057" width="4" style="2694" customWidth="1"/>
    <col min="13058" max="13058" width="22.5" style="2694" customWidth="1"/>
    <col min="13059" max="13060" width="9" style="2694"/>
    <col min="13061" max="13061" width="17.875" style="2694" customWidth="1"/>
    <col min="13062" max="13312" width="9" style="2694"/>
    <col min="13313" max="13313" width="4" style="2694" customWidth="1"/>
    <col min="13314" max="13314" width="22.5" style="2694" customWidth="1"/>
    <col min="13315" max="13316" width="9" style="2694"/>
    <col min="13317" max="13317" width="17.875" style="2694" customWidth="1"/>
    <col min="13318" max="13568" width="9" style="2694"/>
    <col min="13569" max="13569" width="4" style="2694" customWidth="1"/>
    <col min="13570" max="13570" width="22.5" style="2694" customWidth="1"/>
    <col min="13571" max="13572" width="9" style="2694"/>
    <col min="13573" max="13573" width="17.875" style="2694" customWidth="1"/>
    <col min="13574" max="13824" width="9" style="2694"/>
    <col min="13825" max="13825" width="4" style="2694" customWidth="1"/>
    <col min="13826" max="13826" width="22.5" style="2694" customWidth="1"/>
    <col min="13827" max="13828" width="9" style="2694"/>
    <col min="13829" max="13829" width="17.875" style="2694" customWidth="1"/>
    <col min="13830" max="14080" width="9" style="2694"/>
    <col min="14081" max="14081" width="4" style="2694" customWidth="1"/>
    <col min="14082" max="14082" width="22.5" style="2694" customWidth="1"/>
    <col min="14083" max="14084" width="9" style="2694"/>
    <col min="14085" max="14085" width="17.875" style="2694" customWidth="1"/>
    <col min="14086" max="14336" width="9" style="2694"/>
    <col min="14337" max="14337" width="4" style="2694" customWidth="1"/>
    <col min="14338" max="14338" width="22.5" style="2694" customWidth="1"/>
    <col min="14339" max="14340" width="9" style="2694"/>
    <col min="14341" max="14341" width="17.875" style="2694" customWidth="1"/>
    <col min="14342" max="14592" width="9" style="2694"/>
    <col min="14593" max="14593" width="4" style="2694" customWidth="1"/>
    <col min="14594" max="14594" width="22.5" style="2694" customWidth="1"/>
    <col min="14595" max="14596" width="9" style="2694"/>
    <col min="14597" max="14597" width="17.875" style="2694" customWidth="1"/>
    <col min="14598" max="14848" width="9" style="2694"/>
    <col min="14849" max="14849" width="4" style="2694" customWidth="1"/>
    <col min="14850" max="14850" width="22.5" style="2694" customWidth="1"/>
    <col min="14851" max="14852" width="9" style="2694"/>
    <col min="14853" max="14853" width="17.875" style="2694" customWidth="1"/>
    <col min="14854" max="15104" width="9" style="2694"/>
    <col min="15105" max="15105" width="4" style="2694" customWidth="1"/>
    <col min="15106" max="15106" width="22.5" style="2694" customWidth="1"/>
    <col min="15107" max="15108" width="9" style="2694"/>
    <col min="15109" max="15109" width="17.875" style="2694" customWidth="1"/>
    <col min="15110" max="15360" width="9" style="2694"/>
    <col min="15361" max="15361" width="4" style="2694" customWidth="1"/>
    <col min="15362" max="15362" width="22.5" style="2694" customWidth="1"/>
    <col min="15363" max="15364" width="9" style="2694"/>
    <col min="15365" max="15365" width="17.875" style="2694" customWidth="1"/>
    <col min="15366" max="15616" width="9" style="2694"/>
    <col min="15617" max="15617" width="4" style="2694" customWidth="1"/>
    <col min="15618" max="15618" width="22.5" style="2694" customWidth="1"/>
    <col min="15619" max="15620" width="9" style="2694"/>
    <col min="15621" max="15621" width="17.875" style="2694" customWidth="1"/>
    <col min="15622" max="15872" width="9" style="2694"/>
    <col min="15873" max="15873" width="4" style="2694" customWidth="1"/>
    <col min="15874" max="15874" width="22.5" style="2694" customWidth="1"/>
    <col min="15875" max="15876" width="9" style="2694"/>
    <col min="15877" max="15877" width="17.875" style="2694" customWidth="1"/>
    <col min="15878" max="16128" width="9" style="2694"/>
    <col min="16129" max="16129" width="4" style="2694" customWidth="1"/>
    <col min="16130" max="16130" width="22.5" style="2694" customWidth="1"/>
    <col min="16131" max="16132" width="9" style="2694"/>
    <col min="16133" max="16133" width="17.875" style="2694" customWidth="1"/>
    <col min="16134" max="16384" width="9" style="2694"/>
  </cols>
  <sheetData>
    <row r="1" spans="1:6" s="3744" customFormat="1" ht="17.25" customHeight="1">
      <c r="A1" s="4643" t="s">
        <v>1560</v>
      </c>
      <c r="B1" s="4643"/>
      <c r="C1" s="4643"/>
      <c r="D1" s="4643"/>
      <c r="E1" s="4643"/>
      <c r="F1" s="4643"/>
    </row>
    <row r="2" spans="1:6" s="3744" customFormat="1" ht="14.25" customHeight="1">
      <c r="A2" s="4644" t="s">
        <v>1561</v>
      </c>
      <c r="B2" s="4644"/>
      <c r="C2" s="4644"/>
      <c r="D2" s="4644"/>
      <c r="E2" s="4644"/>
      <c r="F2" s="4644"/>
    </row>
    <row r="3" spans="1:6" s="3745" customFormat="1">
      <c r="A3" s="4645" t="s">
        <v>1562</v>
      </c>
      <c r="B3" s="4645"/>
      <c r="C3" s="3747" t="s">
        <v>1563</v>
      </c>
      <c r="D3" s="4645" t="s">
        <v>1562</v>
      </c>
      <c r="E3" s="4645"/>
      <c r="F3" s="3747" t="s">
        <v>1563</v>
      </c>
    </row>
    <row r="4" spans="1:6" s="3745" customFormat="1">
      <c r="A4" s="4645"/>
      <c r="B4" s="4645"/>
      <c r="C4" s="3747" t="s">
        <v>1564</v>
      </c>
      <c r="D4" s="4645"/>
      <c r="E4" s="4645"/>
      <c r="F4" s="3747" t="s">
        <v>1564</v>
      </c>
    </row>
    <row r="5" spans="1:6" ht="15.95" customHeight="1">
      <c r="A5" s="4640" t="s">
        <v>1565</v>
      </c>
      <c r="B5" s="4640"/>
      <c r="C5" s="3749" t="s">
        <v>1566</v>
      </c>
      <c r="D5" s="4631" t="s">
        <v>461</v>
      </c>
      <c r="E5" s="3748" t="s">
        <v>1567</v>
      </c>
      <c r="F5" s="3749">
        <v>7.9</v>
      </c>
    </row>
    <row r="6" spans="1:6" ht="15.95" customHeight="1">
      <c r="A6" s="4640" t="s">
        <v>1568</v>
      </c>
      <c r="B6" s="4640"/>
      <c r="C6" s="3749" t="s">
        <v>1569</v>
      </c>
      <c r="D6" s="4632"/>
      <c r="E6" s="3748" t="s">
        <v>1570</v>
      </c>
      <c r="F6" s="3749">
        <v>8.5</v>
      </c>
    </row>
    <row r="7" spans="1:6" ht="15.95" customHeight="1">
      <c r="A7" s="4640" t="s">
        <v>1571</v>
      </c>
      <c r="B7" s="4640"/>
      <c r="C7" s="3749" t="s">
        <v>1572</v>
      </c>
      <c r="D7" s="4633"/>
      <c r="E7" s="3748" t="s">
        <v>1573</v>
      </c>
      <c r="F7" s="3749">
        <v>8</v>
      </c>
    </row>
    <row r="8" spans="1:6" ht="15.95" customHeight="1">
      <c r="A8" s="4640" t="s">
        <v>1574</v>
      </c>
      <c r="B8" s="4640"/>
      <c r="C8" s="3749">
        <v>7.8</v>
      </c>
      <c r="D8" s="4640" t="s">
        <v>1575</v>
      </c>
      <c r="E8" s="4640"/>
      <c r="F8" s="3749">
        <v>8.9</v>
      </c>
    </row>
    <row r="9" spans="1:6" ht="15.95" customHeight="1">
      <c r="A9" s="4640" t="s">
        <v>1576</v>
      </c>
      <c r="B9" s="4640"/>
      <c r="C9" s="3749">
        <v>7.87</v>
      </c>
      <c r="D9" s="4640" t="s">
        <v>1577</v>
      </c>
      <c r="E9" s="4640"/>
      <c r="F9" s="3749">
        <v>8.5</v>
      </c>
    </row>
    <row r="10" spans="1:6" ht="15.95" customHeight="1">
      <c r="A10" s="4640" t="s">
        <v>1578</v>
      </c>
      <c r="B10" s="4640"/>
      <c r="C10" s="3749">
        <v>7.85</v>
      </c>
      <c r="D10" s="4640" t="s">
        <v>1579</v>
      </c>
      <c r="E10" s="4640"/>
      <c r="F10" s="3749">
        <v>8.6999999999999993</v>
      </c>
    </row>
    <row r="11" spans="1:6" ht="15.95" customHeight="1">
      <c r="A11" s="4640" t="s">
        <v>1580</v>
      </c>
      <c r="B11" s="4640"/>
      <c r="C11" s="3749">
        <v>7.85</v>
      </c>
      <c r="D11" s="4640" t="s">
        <v>1581</v>
      </c>
      <c r="E11" s="4640"/>
      <c r="F11" s="3749">
        <v>8.8000000000000007</v>
      </c>
    </row>
    <row r="12" spans="1:6" ht="15.95" customHeight="1">
      <c r="A12" s="4640" t="s">
        <v>1582</v>
      </c>
      <c r="B12" s="4640"/>
      <c r="C12" s="3749">
        <v>7.85</v>
      </c>
      <c r="D12" s="4640" t="s">
        <v>1583</v>
      </c>
      <c r="E12" s="4640"/>
      <c r="F12" s="3749">
        <v>8.5</v>
      </c>
    </row>
    <row r="13" spans="1:6" ht="15.95" customHeight="1">
      <c r="A13" s="4640" t="s">
        <v>1584</v>
      </c>
      <c r="B13" s="4640"/>
      <c r="C13" s="3749">
        <v>7.85</v>
      </c>
      <c r="D13" s="4640" t="s">
        <v>1585</v>
      </c>
      <c r="E13" s="4640"/>
      <c r="F13" s="3749">
        <v>8.6999999999999993</v>
      </c>
    </row>
    <row r="14" spans="1:6" ht="15.95" customHeight="1">
      <c r="A14" s="4640" t="s">
        <v>1586</v>
      </c>
      <c r="B14" s="4640"/>
      <c r="C14" s="3749">
        <v>7.81</v>
      </c>
      <c r="D14" s="4640" t="s">
        <v>1587</v>
      </c>
      <c r="E14" s="4640"/>
      <c r="F14" s="3749">
        <v>8.8000000000000007</v>
      </c>
    </row>
    <row r="15" spans="1:6" ht="15.95" customHeight="1">
      <c r="A15" s="4640" t="s">
        <v>1588</v>
      </c>
      <c r="B15" s="4640"/>
      <c r="C15" s="3749">
        <v>7.74</v>
      </c>
      <c r="D15" s="4640" t="s">
        <v>1589</v>
      </c>
      <c r="E15" s="4640"/>
      <c r="F15" s="3749">
        <v>8.5399999999999991</v>
      </c>
    </row>
    <row r="16" spans="1:6" ht="15.95" customHeight="1">
      <c r="A16" s="4640" t="s">
        <v>1590</v>
      </c>
      <c r="B16" s="4640"/>
      <c r="C16" s="3749">
        <v>7.82</v>
      </c>
      <c r="D16" s="4640" t="s">
        <v>1591</v>
      </c>
      <c r="E16" s="4640"/>
      <c r="F16" s="3749">
        <v>8.5</v>
      </c>
    </row>
    <row r="17" spans="1:6" ht="15.95" customHeight="1">
      <c r="A17" s="4640" t="s">
        <v>1592</v>
      </c>
      <c r="B17" s="4640"/>
      <c r="C17" s="3749">
        <v>7.8</v>
      </c>
      <c r="D17" s="4640" t="s">
        <v>1593</v>
      </c>
      <c r="E17" s="4640"/>
      <c r="F17" s="3749">
        <v>8.6</v>
      </c>
    </row>
    <row r="18" spans="1:6" ht="15.95" customHeight="1">
      <c r="A18" s="4636" t="s">
        <v>1594</v>
      </c>
      <c r="B18" s="4637"/>
      <c r="C18" s="4634">
        <v>7.85</v>
      </c>
      <c r="D18" s="4640" t="s">
        <v>1595</v>
      </c>
      <c r="E18" s="4640"/>
      <c r="F18" s="3749">
        <v>8.5</v>
      </c>
    </row>
    <row r="19" spans="1:6" ht="15.95" customHeight="1">
      <c r="A19" s="4638"/>
      <c r="B19" s="4639"/>
      <c r="C19" s="4634"/>
      <c r="D19" s="4640" t="s">
        <v>1596</v>
      </c>
      <c r="E19" s="4640"/>
      <c r="F19" s="3749">
        <v>8.5</v>
      </c>
    </row>
    <row r="20" spans="1:6" ht="15.95" customHeight="1">
      <c r="A20" s="4640" t="s">
        <v>1597</v>
      </c>
      <c r="B20" s="4640"/>
      <c r="C20" s="3749">
        <v>7.8</v>
      </c>
      <c r="D20" s="4640" t="s">
        <v>1598</v>
      </c>
      <c r="E20" s="4640"/>
      <c r="F20" s="3749">
        <v>8.5</v>
      </c>
    </row>
    <row r="21" spans="1:6" ht="15.95" customHeight="1">
      <c r="A21" s="4640" t="s">
        <v>1599</v>
      </c>
      <c r="B21" s="4640"/>
      <c r="C21" s="3749">
        <v>7.65</v>
      </c>
      <c r="D21" s="4640" t="s">
        <v>1600</v>
      </c>
      <c r="E21" s="4640"/>
      <c r="F21" s="3749">
        <v>8.5</v>
      </c>
    </row>
    <row r="22" spans="1:6" ht="15.95" customHeight="1">
      <c r="A22" s="4640" t="s">
        <v>1601</v>
      </c>
      <c r="B22" s="4640"/>
      <c r="C22" s="3749">
        <v>8.3000000000000007</v>
      </c>
      <c r="D22" s="4640" t="s">
        <v>1602</v>
      </c>
      <c r="E22" s="4640"/>
      <c r="F22" s="3749">
        <v>8.8000000000000007</v>
      </c>
    </row>
    <row r="23" spans="1:6" ht="15.95" customHeight="1">
      <c r="A23" s="4640" t="s">
        <v>1603</v>
      </c>
      <c r="B23" s="4640"/>
      <c r="C23" s="3749">
        <v>8.6999999999999993</v>
      </c>
      <c r="D23" s="4640" t="s">
        <v>1604</v>
      </c>
      <c r="E23" s="4640"/>
      <c r="F23" s="3749">
        <v>8.69</v>
      </c>
    </row>
    <row r="24" spans="1:6" ht="15.95" customHeight="1">
      <c r="A24" s="4640" t="s">
        <v>1605</v>
      </c>
      <c r="B24" s="4640"/>
      <c r="C24" s="3749">
        <v>7.82</v>
      </c>
      <c r="D24" s="4640" t="s">
        <v>1606</v>
      </c>
      <c r="E24" s="4640"/>
      <c r="F24" s="3749">
        <v>8.82</v>
      </c>
    </row>
    <row r="25" spans="1:6" ht="15.95" customHeight="1">
      <c r="A25" s="4640" t="s">
        <v>1607</v>
      </c>
      <c r="B25" s="4640"/>
      <c r="C25" s="3749">
        <v>7.81</v>
      </c>
      <c r="D25" s="4640" t="s">
        <v>1608</v>
      </c>
      <c r="E25" s="4640"/>
      <c r="F25" s="3749">
        <v>8.8000000000000007</v>
      </c>
    </row>
    <row r="26" spans="1:6" ht="35.1" customHeight="1">
      <c r="A26" s="4631" t="s">
        <v>461</v>
      </c>
      <c r="B26" s="3748" t="s">
        <v>1609</v>
      </c>
      <c r="C26" s="3750">
        <v>7.75</v>
      </c>
      <c r="D26" s="4641" t="s">
        <v>1610</v>
      </c>
      <c r="E26" s="4642"/>
      <c r="F26" s="3750">
        <v>8.9</v>
      </c>
    </row>
    <row r="27" spans="1:6" ht="15.95" customHeight="1">
      <c r="A27" s="4632"/>
      <c r="B27" s="3748" t="s">
        <v>1611</v>
      </c>
      <c r="C27" s="3749">
        <v>7.7</v>
      </c>
      <c r="D27" s="4640" t="s">
        <v>1612</v>
      </c>
      <c r="E27" s="4640"/>
      <c r="F27" s="3749">
        <v>8.75</v>
      </c>
    </row>
    <row r="28" spans="1:6" ht="32.1" customHeight="1">
      <c r="A28" s="4632"/>
      <c r="B28" s="3748" t="s">
        <v>1613</v>
      </c>
      <c r="C28" s="3749">
        <v>7.85</v>
      </c>
      <c r="D28" s="4640" t="s">
        <v>1614</v>
      </c>
      <c r="E28" s="4640"/>
      <c r="F28" s="3749">
        <v>8.1999999999999993</v>
      </c>
    </row>
    <row r="29" spans="1:6" ht="15.95" customHeight="1">
      <c r="A29" s="4633"/>
      <c r="B29" s="3748" t="s">
        <v>1615</v>
      </c>
      <c r="C29" s="3749">
        <v>7.52</v>
      </c>
      <c r="D29" s="4631" t="s">
        <v>1616</v>
      </c>
      <c r="E29" s="3748" t="s">
        <v>1617</v>
      </c>
      <c r="F29" s="3749">
        <v>2.77</v>
      </c>
    </row>
    <row r="30" spans="1:6" ht="15.95" customHeight="1">
      <c r="A30" s="4640" t="s">
        <v>1618</v>
      </c>
      <c r="B30" s="4640"/>
      <c r="C30" s="3749">
        <v>7.8</v>
      </c>
      <c r="D30" s="4633"/>
      <c r="E30" s="3748" t="s">
        <v>1619</v>
      </c>
      <c r="F30" s="3749">
        <v>2.8</v>
      </c>
    </row>
    <row r="31" spans="1:6" ht="15.95" customHeight="1">
      <c r="A31" s="4640" t="s">
        <v>1620</v>
      </c>
      <c r="B31" s="4640"/>
      <c r="C31" s="3749">
        <v>7.6</v>
      </c>
      <c r="D31" s="4640" t="s">
        <v>1621</v>
      </c>
      <c r="E31" s="4640"/>
      <c r="F31" s="3749">
        <v>2.85</v>
      </c>
    </row>
    <row r="32" spans="1:6" ht="15.95" customHeight="1">
      <c r="A32" s="4640" t="s">
        <v>1622</v>
      </c>
      <c r="B32" s="4640"/>
      <c r="C32" s="3749">
        <v>7.5</v>
      </c>
      <c r="D32" s="4640" t="s">
        <v>1623</v>
      </c>
      <c r="E32" s="4640"/>
      <c r="F32" s="3749">
        <v>2.75</v>
      </c>
    </row>
    <row r="33" spans="1:6" ht="15.95" customHeight="1">
      <c r="A33" s="4640" t="s">
        <v>1624</v>
      </c>
      <c r="B33" s="4640"/>
      <c r="C33" s="3749">
        <v>7.46</v>
      </c>
      <c r="D33" s="4640" t="s">
        <v>1625</v>
      </c>
      <c r="E33" s="4640"/>
      <c r="F33" s="3749">
        <v>1.74</v>
      </c>
    </row>
    <row r="34" spans="1:6" ht="15.95" customHeight="1">
      <c r="A34" s="4640" t="s">
        <v>1626</v>
      </c>
      <c r="B34" s="4640"/>
      <c r="C34" s="3749">
        <v>8.3000000000000007</v>
      </c>
      <c r="D34" s="4631" t="s">
        <v>1627</v>
      </c>
      <c r="E34" s="3748" t="s">
        <v>1628</v>
      </c>
      <c r="F34" s="3749">
        <v>1.76</v>
      </c>
    </row>
    <row r="35" spans="1:6" ht="15.95" customHeight="1">
      <c r="A35" s="4640" t="s">
        <v>1629</v>
      </c>
      <c r="B35" s="4640"/>
      <c r="C35" s="3749">
        <v>8.4700000000000006</v>
      </c>
      <c r="D35" s="4632"/>
      <c r="E35" s="3748" t="s">
        <v>1630</v>
      </c>
      <c r="F35" s="3749">
        <v>1.78</v>
      </c>
    </row>
    <row r="36" spans="1:6" ht="15.95" customHeight="1">
      <c r="A36" s="4640" t="s">
        <v>1631</v>
      </c>
      <c r="B36" s="4640"/>
      <c r="C36" s="3749">
        <v>8.6</v>
      </c>
      <c r="D36" s="4632"/>
      <c r="E36" s="3748" t="s">
        <v>1632</v>
      </c>
      <c r="F36" s="3749">
        <v>1.79</v>
      </c>
    </row>
    <row r="37" spans="1:6" ht="15.95" customHeight="1">
      <c r="A37" s="4640" t="s">
        <v>1633</v>
      </c>
      <c r="B37" s="4640"/>
      <c r="C37" s="3749">
        <v>8.8000000000000007</v>
      </c>
      <c r="D37" s="4633"/>
      <c r="E37" s="3748" t="s">
        <v>1634</v>
      </c>
      <c r="F37" s="3749">
        <v>1.8</v>
      </c>
    </row>
    <row r="38" spans="1:6" ht="15.95" customHeight="1">
      <c r="A38" s="4640" t="s">
        <v>1635</v>
      </c>
      <c r="B38" s="4640"/>
      <c r="C38" s="3749">
        <v>8.9</v>
      </c>
      <c r="D38" s="4640" t="s">
        <v>1636</v>
      </c>
      <c r="E38" s="4640"/>
      <c r="F38" s="3749">
        <v>1.8</v>
      </c>
    </row>
    <row r="39" spans="1:6" ht="15.95" customHeight="1">
      <c r="A39" s="4640" t="s">
        <v>1637</v>
      </c>
      <c r="B39" s="4640"/>
      <c r="C39" s="3749">
        <v>8.9</v>
      </c>
      <c r="D39" s="4640" t="s">
        <v>1638</v>
      </c>
      <c r="E39" s="4640"/>
      <c r="F39" s="3749">
        <v>4.5</v>
      </c>
    </row>
    <row r="40" spans="1:6" ht="15.95" customHeight="1">
      <c r="A40" s="4640" t="s">
        <v>1639</v>
      </c>
      <c r="B40" s="4640"/>
      <c r="C40" s="3749">
        <v>8.8000000000000007</v>
      </c>
      <c r="D40" s="4635" t="s">
        <v>1640</v>
      </c>
      <c r="E40" s="3748" t="s">
        <v>1641</v>
      </c>
      <c r="F40" s="3749">
        <v>4.45</v>
      </c>
    </row>
    <row r="41" spans="1:6" ht="15.95" customHeight="1">
      <c r="A41" s="4640" t="s">
        <v>1642</v>
      </c>
      <c r="B41" s="4640"/>
      <c r="C41" s="3749">
        <v>8.6</v>
      </c>
      <c r="D41" s="4635"/>
      <c r="E41" s="3748" t="s">
        <v>1643</v>
      </c>
      <c r="F41" s="3749">
        <v>4.4000000000000004</v>
      </c>
    </row>
    <row r="42" spans="1:6" ht="15.95" customHeight="1">
      <c r="A42" s="4631" t="s">
        <v>1644</v>
      </c>
      <c r="B42" s="3748" t="s">
        <v>1645</v>
      </c>
      <c r="C42" s="3749">
        <v>8.9</v>
      </c>
      <c r="D42" s="4635"/>
      <c r="E42" s="3748" t="s">
        <v>1646</v>
      </c>
      <c r="F42" s="3749">
        <v>4.46</v>
      </c>
    </row>
    <row r="43" spans="1:6" ht="15.95" customHeight="1">
      <c r="A43" s="4632"/>
      <c r="B43" s="3748" t="s">
        <v>1647</v>
      </c>
      <c r="C43" s="3749">
        <v>8.4</v>
      </c>
      <c r="D43" s="4635"/>
      <c r="E43" s="3748" t="s">
        <v>1648</v>
      </c>
      <c r="F43" s="3749">
        <v>4.5599999999999996</v>
      </c>
    </row>
    <row r="44" spans="1:6" ht="15.95" customHeight="1">
      <c r="A44" s="4632"/>
      <c r="B44" s="3748" t="s">
        <v>1649</v>
      </c>
      <c r="C44" s="3749">
        <v>8.6</v>
      </c>
      <c r="D44" s="4635"/>
      <c r="E44" s="3748" t="s">
        <v>1650</v>
      </c>
      <c r="F44" s="3749">
        <v>4.8899999999999997</v>
      </c>
    </row>
    <row r="45" spans="1:6" ht="15.95" customHeight="1">
      <c r="A45" s="4632"/>
      <c r="B45" s="3748" t="s">
        <v>1651</v>
      </c>
      <c r="C45" s="3749">
        <v>8.6999999999999993</v>
      </c>
      <c r="D45" s="4635"/>
      <c r="E45" s="3748" t="s">
        <v>1652</v>
      </c>
      <c r="F45" s="3749">
        <v>4.55</v>
      </c>
    </row>
    <row r="46" spans="1:6" ht="15.95" customHeight="1">
      <c r="A46" s="4633"/>
      <c r="B46" s="3748" t="s">
        <v>1653</v>
      </c>
      <c r="C46" s="3749">
        <v>8.5</v>
      </c>
      <c r="D46" s="4635"/>
      <c r="E46" s="3748" t="s">
        <v>1654</v>
      </c>
      <c r="F46" s="3749">
        <v>4.43</v>
      </c>
    </row>
    <row r="47" spans="1:6" ht="15.95" customHeight="1">
      <c r="A47" s="4640" t="s">
        <v>1655</v>
      </c>
      <c r="B47" s="4640"/>
      <c r="C47" s="3749">
        <v>2.7</v>
      </c>
      <c r="D47" s="4635" t="s">
        <v>1640</v>
      </c>
      <c r="E47" s="3748" t="s">
        <v>1656</v>
      </c>
      <c r="F47" s="3749">
        <v>4.4000000000000004</v>
      </c>
    </row>
    <row r="48" spans="1:6" ht="15.95" customHeight="1">
      <c r="A48" s="4631" t="s">
        <v>1657</v>
      </c>
      <c r="B48" s="3748" t="s">
        <v>1658</v>
      </c>
      <c r="C48" s="3749">
        <v>2.68</v>
      </c>
      <c r="D48" s="4635"/>
      <c r="E48" s="3748" t="s">
        <v>1659</v>
      </c>
      <c r="F48" s="3749">
        <v>4.4800000000000004</v>
      </c>
    </row>
    <row r="49" spans="1:6" ht="15.95" customHeight="1">
      <c r="A49" s="4632"/>
      <c r="B49" s="3748" t="s">
        <v>1660</v>
      </c>
      <c r="C49" s="3749">
        <v>2.67</v>
      </c>
      <c r="D49" s="4635"/>
      <c r="E49" s="3748" t="s">
        <v>1661</v>
      </c>
      <c r="F49" s="3749">
        <v>4.5199999999999996</v>
      </c>
    </row>
    <row r="50" spans="1:6" ht="15.95" customHeight="1">
      <c r="A50" s="4632"/>
      <c r="B50" s="3748" t="s">
        <v>1662</v>
      </c>
      <c r="C50" s="3749">
        <v>2.65</v>
      </c>
      <c r="D50" s="4635"/>
      <c r="E50" s="3748" t="s">
        <v>1663</v>
      </c>
      <c r="F50" s="3749">
        <v>4.53</v>
      </c>
    </row>
    <row r="51" spans="1:6" ht="15.95" customHeight="1">
      <c r="A51" s="4632"/>
      <c r="B51" s="3748" t="s">
        <v>1664</v>
      </c>
      <c r="C51" s="3749">
        <v>2.64</v>
      </c>
      <c r="D51" s="4640" t="s">
        <v>1665</v>
      </c>
      <c r="E51" s="4640"/>
      <c r="F51" s="3749">
        <v>8.85</v>
      </c>
    </row>
    <row r="52" spans="1:6" ht="15.95" customHeight="1">
      <c r="A52" s="4633"/>
      <c r="B52" s="3748" t="s">
        <v>1666</v>
      </c>
      <c r="C52" s="3749">
        <v>2.73</v>
      </c>
      <c r="D52" s="4640" t="s">
        <v>1667</v>
      </c>
      <c r="E52" s="4640"/>
      <c r="F52" s="3749">
        <v>8.85</v>
      </c>
    </row>
    <row r="53" spans="1:6" ht="15.95" customHeight="1">
      <c r="A53" s="4631" t="s">
        <v>1668</v>
      </c>
      <c r="B53" s="3748" t="s">
        <v>1669</v>
      </c>
      <c r="C53" s="3749">
        <v>2.76</v>
      </c>
      <c r="D53" s="4640" t="s">
        <v>1670</v>
      </c>
      <c r="E53" s="4640"/>
      <c r="F53" s="3749">
        <v>8.7200000000000006</v>
      </c>
    </row>
    <row r="54" spans="1:6" ht="15.95" customHeight="1">
      <c r="A54" s="4632"/>
      <c r="B54" s="3748" t="s">
        <v>1671</v>
      </c>
      <c r="C54" s="3749">
        <v>2.73</v>
      </c>
      <c r="D54" s="4640" t="s">
        <v>1672</v>
      </c>
      <c r="E54" s="4640"/>
      <c r="F54" s="3749">
        <v>7.15</v>
      </c>
    </row>
    <row r="55" spans="1:6" ht="15.95" customHeight="1">
      <c r="A55" s="4632"/>
      <c r="B55" s="3748" t="s">
        <v>1673</v>
      </c>
      <c r="C55" s="3749">
        <v>2.8</v>
      </c>
      <c r="D55" s="4641" t="s">
        <v>1674</v>
      </c>
      <c r="E55" s="4642"/>
      <c r="F55" s="3749">
        <v>6.86</v>
      </c>
    </row>
    <row r="56" spans="1:6" ht="15.95" customHeight="1">
      <c r="A56" s="4632"/>
      <c r="B56" s="3748" t="s">
        <v>1675</v>
      </c>
      <c r="C56" s="3749">
        <v>2.78</v>
      </c>
      <c r="D56" s="4640" t="s">
        <v>1676</v>
      </c>
      <c r="E56" s="4640"/>
      <c r="F56" s="3749">
        <v>6.9</v>
      </c>
    </row>
    <row r="57" spans="1:6" ht="15.95" customHeight="1">
      <c r="A57" s="4633"/>
      <c r="B57" s="3748" t="s">
        <v>1677</v>
      </c>
      <c r="C57" s="3749">
        <v>2.84</v>
      </c>
      <c r="D57" s="4640" t="s">
        <v>1678</v>
      </c>
      <c r="E57" s="4640"/>
      <c r="F57" s="3749">
        <v>6.75</v>
      </c>
    </row>
    <row r="58" spans="1:6" ht="15.95" customHeight="1">
      <c r="A58" s="4631" t="s">
        <v>1616</v>
      </c>
      <c r="B58" s="3748" t="s">
        <v>1679</v>
      </c>
      <c r="C58" s="3749">
        <v>2.7</v>
      </c>
      <c r="D58" s="4640" t="s">
        <v>1680</v>
      </c>
      <c r="E58" s="4640"/>
      <c r="F58" s="3749">
        <v>11.37</v>
      </c>
    </row>
    <row r="59" spans="1:6" ht="15.95" customHeight="1">
      <c r="A59" s="4632"/>
      <c r="B59" s="3748" t="s">
        <v>1681</v>
      </c>
      <c r="C59" s="3749">
        <v>2.65</v>
      </c>
      <c r="D59" s="4640" t="s">
        <v>1682</v>
      </c>
      <c r="E59" s="4640"/>
      <c r="F59" s="3749">
        <v>11.33</v>
      </c>
    </row>
    <row r="60" spans="1:6" ht="15.95" customHeight="1">
      <c r="A60" s="4633"/>
      <c r="B60" s="3748" t="s">
        <v>1683</v>
      </c>
      <c r="C60" s="3749">
        <v>2.75</v>
      </c>
      <c r="D60" s="4640"/>
      <c r="E60" s="4640"/>
      <c r="F60" s="3751"/>
    </row>
    <row r="61" spans="1:6">
      <c r="A61" s="3752"/>
      <c r="B61" s="3752"/>
      <c r="C61" s="3753"/>
      <c r="D61" s="3752"/>
      <c r="E61" s="3752"/>
      <c r="F61" s="3753"/>
    </row>
    <row r="62" spans="1:6">
      <c r="C62" s="3753"/>
      <c r="D62" s="3752"/>
      <c r="E62" s="3752"/>
    </row>
    <row r="63" spans="1:6">
      <c r="C63" s="3753"/>
      <c r="D63" s="3752"/>
      <c r="E63" s="3752"/>
    </row>
    <row r="64" spans="1:6">
      <c r="C64" s="3753"/>
      <c r="D64" s="3752"/>
      <c r="E64" s="3752"/>
    </row>
    <row r="65" spans="3:5">
      <c r="C65" s="3753"/>
      <c r="D65" s="3752"/>
      <c r="E65" s="3752"/>
    </row>
    <row r="66" spans="3:5">
      <c r="C66" s="3753"/>
    </row>
    <row r="67" spans="3:5">
      <c r="C67" s="3753"/>
    </row>
    <row r="68" spans="3:5">
      <c r="C68" s="3753"/>
    </row>
    <row r="69" spans="3:5">
      <c r="C69" s="3753"/>
    </row>
    <row r="70" spans="3:5">
      <c r="C70" s="3753"/>
    </row>
    <row r="71" spans="3:5">
      <c r="C71" s="3753"/>
    </row>
    <row r="72" spans="3:5">
      <c r="C72" s="3753"/>
    </row>
    <row r="73" spans="3:5">
      <c r="C73" s="3753"/>
    </row>
    <row r="74" spans="3:5">
      <c r="C74" s="3753"/>
    </row>
    <row r="75" spans="3:5">
      <c r="C75" s="3753"/>
    </row>
    <row r="76" spans="3:5">
      <c r="C76" s="3753"/>
    </row>
    <row r="77" spans="3:5">
      <c r="C77" s="3753"/>
    </row>
    <row r="78" spans="3:5">
      <c r="C78" s="3753"/>
    </row>
    <row r="79" spans="3:5">
      <c r="C79" s="3753"/>
    </row>
    <row r="80" spans="3:5">
      <c r="C80" s="3753"/>
    </row>
  </sheetData>
  <mergeCells count="84">
    <mergeCell ref="A1:F1"/>
    <mergeCell ref="A2:F2"/>
    <mergeCell ref="A5:B5"/>
    <mergeCell ref="A6:B6"/>
    <mergeCell ref="A7:B7"/>
    <mergeCell ref="A3:B4"/>
    <mergeCell ref="D3:E4"/>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D18:E18"/>
    <mergeCell ref="D19:E19"/>
    <mergeCell ref="A20:B20"/>
    <mergeCell ref="D20:E20"/>
    <mergeCell ref="A21:B21"/>
    <mergeCell ref="D21:E21"/>
    <mergeCell ref="A22:B22"/>
    <mergeCell ref="D22:E22"/>
    <mergeCell ref="A23:B23"/>
    <mergeCell ref="D23:E23"/>
    <mergeCell ref="A24:B24"/>
    <mergeCell ref="D24:E24"/>
    <mergeCell ref="A25:B25"/>
    <mergeCell ref="D25:E25"/>
    <mergeCell ref="D26:E26"/>
    <mergeCell ref="D27:E27"/>
    <mergeCell ref="D28:E28"/>
    <mergeCell ref="A30:B30"/>
    <mergeCell ref="A31:B31"/>
    <mergeCell ref="D31:E31"/>
    <mergeCell ref="A26:A29"/>
    <mergeCell ref="A32:B32"/>
    <mergeCell ref="D32:E32"/>
    <mergeCell ref="A33:B33"/>
    <mergeCell ref="D33:E33"/>
    <mergeCell ref="A34:B34"/>
    <mergeCell ref="A35:B35"/>
    <mergeCell ref="A36:B36"/>
    <mergeCell ref="A37:B37"/>
    <mergeCell ref="A38:B38"/>
    <mergeCell ref="D38:E38"/>
    <mergeCell ref="D52:E52"/>
    <mergeCell ref="D53:E53"/>
    <mergeCell ref="D54:E54"/>
    <mergeCell ref="D55:E55"/>
    <mergeCell ref="A39:B39"/>
    <mergeCell ref="D39:E39"/>
    <mergeCell ref="A40:B40"/>
    <mergeCell ref="A41:B41"/>
    <mergeCell ref="A47:B47"/>
    <mergeCell ref="A42:A46"/>
    <mergeCell ref="A48:A52"/>
    <mergeCell ref="A53:A57"/>
    <mergeCell ref="A58:A60"/>
    <mergeCell ref="C18:C19"/>
    <mergeCell ref="D5:D7"/>
    <mergeCell ref="D29:D30"/>
    <mergeCell ref="D34:D37"/>
    <mergeCell ref="D40:D46"/>
    <mergeCell ref="D47:D50"/>
    <mergeCell ref="A18:B19"/>
    <mergeCell ref="D56:E56"/>
    <mergeCell ref="D57:E57"/>
    <mergeCell ref="D58:E58"/>
    <mergeCell ref="D59:E59"/>
    <mergeCell ref="D60:E60"/>
    <mergeCell ref="D51:E51"/>
  </mergeCells>
  <phoneticPr fontId="214" type="noConversion"/>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27:D47"/>
  <sheetViews>
    <sheetView workbookViewId="0">
      <selection activeCell="N10" sqref="N10"/>
    </sheetView>
  </sheetViews>
  <sheetFormatPr defaultColWidth="9" defaultRowHeight="14.25"/>
  <cols>
    <col min="1" max="2" width="11.625" style="2694" customWidth="1"/>
    <col min="3" max="3" width="5.5" style="2694" customWidth="1"/>
    <col min="4" max="256" width="9" style="2694"/>
    <col min="257" max="258" width="11.625" style="2694" customWidth="1"/>
    <col min="259" max="259" width="5.5" style="2694" customWidth="1"/>
    <col min="260" max="512" width="9" style="2694"/>
    <col min="513" max="514" width="11.625" style="2694" customWidth="1"/>
    <col min="515" max="515" width="5.5" style="2694" customWidth="1"/>
    <col min="516" max="768" width="9" style="2694"/>
    <col min="769" max="770" width="11.625" style="2694" customWidth="1"/>
    <col min="771" max="771" width="5.5" style="2694" customWidth="1"/>
    <col min="772" max="1024" width="9" style="2694"/>
    <col min="1025" max="1026" width="11.625" style="2694" customWidth="1"/>
    <col min="1027" max="1027" width="5.5" style="2694" customWidth="1"/>
    <col min="1028" max="1280" width="9" style="2694"/>
    <col min="1281" max="1282" width="11.625" style="2694" customWidth="1"/>
    <col min="1283" max="1283" width="5.5" style="2694" customWidth="1"/>
    <col min="1284" max="1536" width="9" style="2694"/>
    <col min="1537" max="1538" width="11.625" style="2694" customWidth="1"/>
    <col min="1539" max="1539" width="5.5" style="2694" customWidth="1"/>
    <col min="1540" max="1792" width="9" style="2694"/>
    <col min="1793" max="1794" width="11.625" style="2694" customWidth="1"/>
    <col min="1795" max="1795" width="5.5" style="2694" customWidth="1"/>
    <col min="1796" max="2048" width="9" style="2694"/>
    <col min="2049" max="2050" width="11.625" style="2694" customWidth="1"/>
    <col min="2051" max="2051" width="5.5" style="2694" customWidth="1"/>
    <col min="2052" max="2304" width="9" style="2694"/>
    <col min="2305" max="2306" width="11.625" style="2694" customWidth="1"/>
    <col min="2307" max="2307" width="5.5" style="2694" customWidth="1"/>
    <col min="2308" max="2560" width="9" style="2694"/>
    <col min="2561" max="2562" width="11.625" style="2694" customWidth="1"/>
    <col min="2563" max="2563" width="5.5" style="2694" customWidth="1"/>
    <col min="2564" max="2816" width="9" style="2694"/>
    <col min="2817" max="2818" width="11.625" style="2694" customWidth="1"/>
    <col min="2819" max="2819" width="5.5" style="2694" customWidth="1"/>
    <col min="2820" max="3072" width="9" style="2694"/>
    <col min="3073" max="3074" width="11.625" style="2694" customWidth="1"/>
    <col min="3075" max="3075" width="5.5" style="2694" customWidth="1"/>
    <col min="3076" max="3328" width="9" style="2694"/>
    <col min="3329" max="3330" width="11.625" style="2694" customWidth="1"/>
    <col min="3331" max="3331" width="5.5" style="2694" customWidth="1"/>
    <col min="3332" max="3584" width="9" style="2694"/>
    <col min="3585" max="3586" width="11.625" style="2694" customWidth="1"/>
    <col min="3587" max="3587" width="5.5" style="2694" customWidth="1"/>
    <col min="3588" max="3840" width="9" style="2694"/>
    <col min="3841" max="3842" width="11.625" style="2694" customWidth="1"/>
    <col min="3843" max="3843" width="5.5" style="2694" customWidth="1"/>
    <col min="3844" max="4096" width="9" style="2694"/>
    <col min="4097" max="4098" width="11.625" style="2694" customWidth="1"/>
    <col min="4099" max="4099" width="5.5" style="2694" customWidth="1"/>
    <col min="4100" max="4352" width="9" style="2694"/>
    <col min="4353" max="4354" width="11.625" style="2694" customWidth="1"/>
    <col min="4355" max="4355" width="5.5" style="2694" customWidth="1"/>
    <col min="4356" max="4608" width="9" style="2694"/>
    <col min="4609" max="4610" width="11.625" style="2694" customWidth="1"/>
    <col min="4611" max="4611" width="5.5" style="2694" customWidth="1"/>
    <col min="4612" max="4864" width="9" style="2694"/>
    <col min="4865" max="4866" width="11.625" style="2694" customWidth="1"/>
    <col min="4867" max="4867" width="5.5" style="2694" customWidth="1"/>
    <col min="4868" max="5120" width="9" style="2694"/>
    <col min="5121" max="5122" width="11.625" style="2694" customWidth="1"/>
    <col min="5123" max="5123" width="5.5" style="2694" customWidth="1"/>
    <col min="5124" max="5376" width="9" style="2694"/>
    <col min="5377" max="5378" width="11.625" style="2694" customWidth="1"/>
    <col min="5379" max="5379" width="5.5" style="2694" customWidth="1"/>
    <col min="5380" max="5632" width="9" style="2694"/>
    <col min="5633" max="5634" width="11.625" style="2694" customWidth="1"/>
    <col min="5635" max="5635" width="5.5" style="2694" customWidth="1"/>
    <col min="5636" max="5888" width="9" style="2694"/>
    <col min="5889" max="5890" width="11.625" style="2694" customWidth="1"/>
    <col min="5891" max="5891" width="5.5" style="2694" customWidth="1"/>
    <col min="5892" max="6144" width="9" style="2694"/>
    <col min="6145" max="6146" width="11.625" style="2694" customWidth="1"/>
    <col min="6147" max="6147" width="5.5" style="2694" customWidth="1"/>
    <col min="6148" max="6400" width="9" style="2694"/>
    <col min="6401" max="6402" width="11.625" style="2694" customWidth="1"/>
    <col min="6403" max="6403" width="5.5" style="2694" customWidth="1"/>
    <col min="6404" max="6656" width="9" style="2694"/>
    <col min="6657" max="6658" width="11.625" style="2694" customWidth="1"/>
    <col min="6659" max="6659" width="5.5" style="2694" customWidth="1"/>
    <col min="6660" max="6912" width="9" style="2694"/>
    <col min="6913" max="6914" width="11.625" style="2694" customWidth="1"/>
    <col min="6915" max="6915" width="5.5" style="2694" customWidth="1"/>
    <col min="6916" max="7168" width="9" style="2694"/>
    <col min="7169" max="7170" width="11.625" style="2694" customWidth="1"/>
    <col min="7171" max="7171" width="5.5" style="2694" customWidth="1"/>
    <col min="7172" max="7424" width="9" style="2694"/>
    <col min="7425" max="7426" width="11.625" style="2694" customWidth="1"/>
    <col min="7427" max="7427" width="5.5" style="2694" customWidth="1"/>
    <col min="7428" max="7680" width="9" style="2694"/>
    <col min="7681" max="7682" width="11.625" style="2694" customWidth="1"/>
    <col min="7683" max="7683" width="5.5" style="2694" customWidth="1"/>
    <col min="7684" max="7936" width="9" style="2694"/>
    <col min="7937" max="7938" width="11.625" style="2694" customWidth="1"/>
    <col min="7939" max="7939" width="5.5" style="2694" customWidth="1"/>
    <col min="7940" max="8192" width="9" style="2694"/>
    <col min="8193" max="8194" width="11.625" style="2694" customWidth="1"/>
    <col min="8195" max="8195" width="5.5" style="2694" customWidth="1"/>
    <col min="8196" max="8448" width="9" style="2694"/>
    <col min="8449" max="8450" width="11.625" style="2694" customWidth="1"/>
    <col min="8451" max="8451" width="5.5" style="2694" customWidth="1"/>
    <col min="8452" max="8704" width="9" style="2694"/>
    <col min="8705" max="8706" width="11.625" style="2694" customWidth="1"/>
    <col min="8707" max="8707" width="5.5" style="2694" customWidth="1"/>
    <col min="8708" max="8960" width="9" style="2694"/>
    <col min="8961" max="8962" width="11.625" style="2694" customWidth="1"/>
    <col min="8963" max="8963" width="5.5" style="2694" customWidth="1"/>
    <col min="8964" max="9216" width="9" style="2694"/>
    <col min="9217" max="9218" width="11.625" style="2694" customWidth="1"/>
    <col min="9219" max="9219" width="5.5" style="2694" customWidth="1"/>
    <col min="9220" max="9472" width="9" style="2694"/>
    <col min="9473" max="9474" width="11.625" style="2694" customWidth="1"/>
    <col min="9475" max="9475" width="5.5" style="2694" customWidth="1"/>
    <col min="9476" max="9728" width="9" style="2694"/>
    <col min="9729" max="9730" width="11.625" style="2694" customWidth="1"/>
    <col min="9731" max="9731" width="5.5" style="2694" customWidth="1"/>
    <col min="9732" max="9984" width="9" style="2694"/>
    <col min="9985" max="9986" width="11.625" style="2694" customWidth="1"/>
    <col min="9987" max="9987" width="5.5" style="2694" customWidth="1"/>
    <col min="9988" max="10240" width="9" style="2694"/>
    <col min="10241" max="10242" width="11.625" style="2694" customWidth="1"/>
    <col min="10243" max="10243" width="5.5" style="2694" customWidth="1"/>
    <col min="10244" max="10496" width="9" style="2694"/>
    <col min="10497" max="10498" width="11.625" style="2694" customWidth="1"/>
    <col min="10499" max="10499" width="5.5" style="2694" customWidth="1"/>
    <col min="10500" max="10752" width="9" style="2694"/>
    <col min="10753" max="10754" width="11.625" style="2694" customWidth="1"/>
    <col min="10755" max="10755" width="5.5" style="2694" customWidth="1"/>
    <col min="10756" max="11008" width="9" style="2694"/>
    <col min="11009" max="11010" width="11.625" style="2694" customWidth="1"/>
    <col min="11011" max="11011" width="5.5" style="2694" customWidth="1"/>
    <col min="11012" max="11264" width="9" style="2694"/>
    <col min="11265" max="11266" width="11.625" style="2694" customWidth="1"/>
    <col min="11267" max="11267" width="5.5" style="2694" customWidth="1"/>
    <col min="11268" max="11520" width="9" style="2694"/>
    <col min="11521" max="11522" width="11.625" style="2694" customWidth="1"/>
    <col min="11523" max="11523" width="5.5" style="2694" customWidth="1"/>
    <col min="11524" max="11776" width="9" style="2694"/>
    <col min="11777" max="11778" width="11.625" style="2694" customWidth="1"/>
    <col min="11779" max="11779" width="5.5" style="2694" customWidth="1"/>
    <col min="11780" max="12032" width="9" style="2694"/>
    <col min="12033" max="12034" width="11.625" style="2694" customWidth="1"/>
    <col min="12035" max="12035" width="5.5" style="2694" customWidth="1"/>
    <col min="12036" max="12288" width="9" style="2694"/>
    <col min="12289" max="12290" width="11.625" style="2694" customWidth="1"/>
    <col min="12291" max="12291" width="5.5" style="2694" customWidth="1"/>
    <col min="12292" max="12544" width="9" style="2694"/>
    <col min="12545" max="12546" width="11.625" style="2694" customWidth="1"/>
    <col min="12547" max="12547" width="5.5" style="2694" customWidth="1"/>
    <col min="12548" max="12800" width="9" style="2694"/>
    <col min="12801" max="12802" width="11.625" style="2694" customWidth="1"/>
    <col min="12803" max="12803" width="5.5" style="2694" customWidth="1"/>
    <col min="12804" max="13056" width="9" style="2694"/>
    <col min="13057" max="13058" width="11.625" style="2694" customWidth="1"/>
    <col min="13059" max="13059" width="5.5" style="2694" customWidth="1"/>
    <col min="13060" max="13312" width="9" style="2694"/>
    <col min="13313" max="13314" width="11.625" style="2694" customWidth="1"/>
    <col min="13315" max="13315" width="5.5" style="2694" customWidth="1"/>
    <col min="13316" max="13568" width="9" style="2694"/>
    <col min="13569" max="13570" width="11.625" style="2694" customWidth="1"/>
    <col min="13571" max="13571" width="5.5" style="2694" customWidth="1"/>
    <col min="13572" max="13824" width="9" style="2694"/>
    <col min="13825" max="13826" width="11.625" style="2694" customWidth="1"/>
    <col min="13827" max="13827" width="5.5" style="2694" customWidth="1"/>
    <col min="13828" max="14080" width="9" style="2694"/>
    <col min="14081" max="14082" width="11.625" style="2694" customWidth="1"/>
    <col min="14083" max="14083" width="5.5" style="2694" customWidth="1"/>
    <col min="14084" max="14336" width="9" style="2694"/>
    <col min="14337" max="14338" width="11.625" style="2694" customWidth="1"/>
    <col min="14339" max="14339" width="5.5" style="2694" customWidth="1"/>
    <col min="14340" max="14592" width="9" style="2694"/>
    <col min="14593" max="14594" width="11.625" style="2694" customWidth="1"/>
    <col min="14595" max="14595" width="5.5" style="2694" customWidth="1"/>
    <col min="14596" max="14848" width="9" style="2694"/>
    <col min="14849" max="14850" width="11.625" style="2694" customWidth="1"/>
    <col min="14851" max="14851" width="5.5" style="2694" customWidth="1"/>
    <col min="14852" max="15104" width="9" style="2694"/>
    <col min="15105" max="15106" width="11.625" style="2694" customWidth="1"/>
    <col min="15107" max="15107" width="5.5" style="2694" customWidth="1"/>
    <col min="15108" max="15360" width="9" style="2694"/>
    <col min="15361" max="15362" width="11.625" style="2694" customWidth="1"/>
    <col min="15363" max="15363" width="5.5" style="2694" customWidth="1"/>
    <col min="15364" max="15616" width="9" style="2694"/>
    <col min="15617" max="15618" width="11.625" style="2694" customWidth="1"/>
    <col min="15619" max="15619" width="5.5" style="2694" customWidth="1"/>
    <col min="15620" max="15872" width="9" style="2694"/>
    <col min="15873" max="15874" width="11.625" style="2694" customWidth="1"/>
    <col min="15875" max="15875" width="5.5" style="2694" customWidth="1"/>
    <col min="15876" max="16128" width="9" style="2694"/>
    <col min="16129" max="16130" width="11.625" style="2694" customWidth="1"/>
    <col min="16131" max="16131" width="5.5" style="2694" customWidth="1"/>
    <col min="16132" max="16384" width="9" style="2694"/>
  </cols>
  <sheetData>
    <row r="27" spans="1:4" ht="21.75">
      <c r="A27" s="4646" t="s">
        <v>1684</v>
      </c>
      <c r="B27" s="4646"/>
      <c r="C27" s="4646"/>
      <c r="D27" s="4646"/>
    </row>
    <row r="28" spans="1:4">
      <c r="A28" s="3734"/>
      <c r="B28" s="3735"/>
      <c r="C28" s="3734"/>
      <c r="D28" s="3734"/>
    </row>
    <row r="29" spans="1:4">
      <c r="A29" s="3734" t="s">
        <v>1685</v>
      </c>
      <c r="B29" s="3736" t="s">
        <v>1686</v>
      </c>
      <c r="C29" s="3734"/>
      <c r="D29" s="3734"/>
    </row>
    <row r="30" spans="1:4">
      <c r="A30" s="3734" t="s">
        <v>1687</v>
      </c>
      <c r="B30" s="3736" t="s">
        <v>1688</v>
      </c>
      <c r="C30" s="3734"/>
      <c r="D30" s="3734"/>
    </row>
    <row r="31" spans="1:4">
      <c r="A31" s="3734" t="s">
        <v>1689</v>
      </c>
      <c r="B31" s="3736">
        <v>0</v>
      </c>
      <c r="C31" s="3734"/>
      <c r="D31" s="3734"/>
    </row>
    <row r="32" spans="1:4">
      <c r="A32" s="3737" t="s">
        <v>1690</v>
      </c>
      <c r="B32" s="3736">
        <v>1</v>
      </c>
      <c r="C32" s="3734"/>
      <c r="D32" s="3734"/>
    </row>
    <row r="33" spans="1:4">
      <c r="A33" s="3734"/>
      <c r="B33" s="3735"/>
      <c r="C33" s="3734"/>
      <c r="D33" s="3734"/>
    </row>
    <row r="34" spans="1:4">
      <c r="A34" s="3734"/>
      <c r="B34" s="3735"/>
      <c r="C34" s="3734"/>
      <c r="D34" s="3734"/>
    </row>
    <row r="35" spans="1:4">
      <c r="A35" s="3735" t="s">
        <v>1691</v>
      </c>
      <c r="B35" s="3735" t="s">
        <v>212</v>
      </c>
      <c r="C35" s="3735" t="s">
        <v>213</v>
      </c>
      <c r="D35" s="3734"/>
    </row>
    <row r="36" spans="1:4">
      <c r="A36" s="3738" t="s">
        <v>1685</v>
      </c>
      <c r="B36" s="3735" t="s">
        <v>1686</v>
      </c>
      <c r="C36" s="3735"/>
      <c r="D36" s="3734"/>
    </row>
    <row r="37" spans="1:4">
      <c r="A37" s="3738" t="s">
        <v>1687</v>
      </c>
      <c r="B37" s="3735" t="s">
        <v>1688</v>
      </c>
      <c r="C37" s="3735"/>
      <c r="D37" s="3734"/>
    </row>
    <row r="38" spans="1:4">
      <c r="A38" s="3738" t="s">
        <v>1689</v>
      </c>
      <c r="B38" s="3735">
        <v>0</v>
      </c>
      <c r="C38" s="3735" t="s">
        <v>234</v>
      </c>
      <c r="D38" s="3734"/>
    </row>
    <row r="39" spans="1:4">
      <c r="A39" s="3738" t="s">
        <v>1692</v>
      </c>
      <c r="B39" s="3739">
        <v>6</v>
      </c>
      <c r="C39" s="3735" t="s">
        <v>234</v>
      </c>
      <c r="D39" s="3734"/>
    </row>
    <row r="40" spans="1:4">
      <c r="A40" s="3738" t="s">
        <v>1693</v>
      </c>
      <c r="B40" s="3740">
        <v>4250</v>
      </c>
      <c r="C40" s="3735" t="s">
        <v>464</v>
      </c>
      <c r="D40" s="3734"/>
    </row>
    <row r="41" spans="1:4">
      <c r="A41" s="3738" t="s">
        <v>1694</v>
      </c>
      <c r="B41" s="3735">
        <v>7000</v>
      </c>
      <c r="C41" s="3735" t="s">
        <v>464</v>
      </c>
      <c r="D41" s="3734"/>
    </row>
    <row r="42" spans="1:4">
      <c r="A42" s="3738" t="s">
        <v>1690</v>
      </c>
      <c r="B42" s="3735">
        <v>1</v>
      </c>
      <c r="C42" s="3735"/>
      <c r="D42" s="3734"/>
    </row>
    <row r="43" spans="1:4">
      <c r="A43" s="3738"/>
      <c r="B43" s="3735"/>
      <c r="C43" s="3734"/>
      <c r="D43" s="3734"/>
    </row>
    <row r="44" spans="1:4">
      <c r="A44" s="3738"/>
      <c r="B44" s="3735"/>
      <c r="C44" s="3734"/>
      <c r="D44" s="3734"/>
    </row>
    <row r="45" spans="1:4">
      <c r="A45" s="3741" t="s">
        <v>1695</v>
      </c>
      <c r="B45" s="3742"/>
      <c r="C45" s="3743"/>
      <c r="D45" s="3743"/>
    </row>
    <row r="46" spans="1:4">
      <c r="A46" s="4647" t="s">
        <v>1696</v>
      </c>
      <c r="B46" s="4647"/>
      <c r="C46" s="4647"/>
      <c r="D46" s="4647"/>
    </row>
    <row r="47" spans="1:4">
      <c r="A47" s="4648">
        <v>4250</v>
      </c>
      <c r="B47" s="4648"/>
      <c r="C47" s="4648"/>
      <c r="D47" s="4648"/>
    </row>
  </sheetData>
  <mergeCells count="3">
    <mergeCell ref="A27:D27"/>
    <mergeCell ref="A46:D46"/>
    <mergeCell ref="A47:D47"/>
  </mergeCells>
  <phoneticPr fontId="214" type="noConversion"/>
  <dataValidations count="4">
    <dataValidation type="list" allowBlank="1" showInputMessage="1" showErrorMessage="1" sqref="B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B65565 IX65565 ST65565 ACP65565 AML65565 AWH65565 BGD65565 BPZ65565 BZV65565 CJR65565 CTN65565 DDJ65565 DNF65565 DXB65565 EGX65565 EQT65565 FAP65565 FKL65565 FUH65565 GED65565 GNZ65565 GXV65565 HHR65565 HRN65565 IBJ65565 ILF65565 IVB65565 JEX65565 JOT65565 JYP65565 KIL65565 KSH65565 LCD65565 LLZ65565 LVV65565 MFR65565 MPN65565 MZJ65565 NJF65565 NTB65565 OCX65565 OMT65565 OWP65565 PGL65565 PQH65565 QAD65565 QJZ65565 QTV65565 RDR65565 RNN65565 RXJ65565 SHF65565 SRB65565 TAX65565 TKT65565 TUP65565 UEL65565 UOH65565 UYD65565 VHZ65565 VRV65565 WBR65565 WLN65565 WVJ65565 B131101 IX131101 ST131101 ACP131101 AML131101 AWH131101 BGD131101 BPZ131101 BZV131101 CJR131101 CTN131101 DDJ131101 DNF131101 DXB131101 EGX131101 EQT131101 FAP131101 FKL131101 FUH131101 GED131101 GNZ131101 GXV131101 HHR131101 HRN131101 IBJ131101 ILF131101 IVB131101 JEX131101 JOT131101 JYP131101 KIL131101 KSH131101 LCD131101 LLZ131101 LVV131101 MFR131101 MPN131101 MZJ131101 NJF131101 NTB131101 OCX131101 OMT131101 OWP131101 PGL131101 PQH131101 QAD131101 QJZ131101 QTV131101 RDR131101 RNN131101 RXJ131101 SHF131101 SRB131101 TAX131101 TKT131101 TUP131101 UEL131101 UOH131101 UYD131101 VHZ131101 VRV131101 WBR131101 WLN131101 WVJ131101 B196637 IX196637 ST196637 ACP196637 AML196637 AWH196637 BGD196637 BPZ196637 BZV196637 CJR196637 CTN196637 DDJ196637 DNF196637 DXB196637 EGX196637 EQT196637 FAP196637 FKL196637 FUH196637 GED196637 GNZ196637 GXV196637 HHR196637 HRN196637 IBJ196637 ILF196637 IVB196637 JEX196637 JOT196637 JYP196637 KIL196637 KSH196637 LCD196637 LLZ196637 LVV196637 MFR196637 MPN196637 MZJ196637 NJF196637 NTB196637 OCX196637 OMT196637 OWP196637 PGL196637 PQH196637 QAD196637 QJZ196637 QTV196637 RDR196637 RNN196637 RXJ196637 SHF196637 SRB196637 TAX196637 TKT196637 TUP196637 UEL196637 UOH196637 UYD196637 VHZ196637 VRV196637 WBR196637 WLN196637 WVJ196637 B262173 IX262173 ST262173 ACP262173 AML262173 AWH262173 BGD262173 BPZ262173 BZV262173 CJR262173 CTN262173 DDJ262173 DNF262173 DXB262173 EGX262173 EQT262173 FAP262173 FKL262173 FUH262173 GED262173 GNZ262173 GXV262173 HHR262173 HRN262173 IBJ262173 ILF262173 IVB262173 JEX262173 JOT262173 JYP262173 KIL262173 KSH262173 LCD262173 LLZ262173 LVV262173 MFR262173 MPN262173 MZJ262173 NJF262173 NTB262173 OCX262173 OMT262173 OWP262173 PGL262173 PQH262173 QAD262173 QJZ262173 QTV262173 RDR262173 RNN262173 RXJ262173 SHF262173 SRB262173 TAX262173 TKT262173 TUP262173 UEL262173 UOH262173 UYD262173 VHZ262173 VRV262173 WBR262173 WLN262173 WVJ262173 B327709 IX327709 ST327709 ACP327709 AML327709 AWH327709 BGD327709 BPZ327709 BZV327709 CJR327709 CTN327709 DDJ327709 DNF327709 DXB327709 EGX327709 EQT327709 FAP327709 FKL327709 FUH327709 GED327709 GNZ327709 GXV327709 HHR327709 HRN327709 IBJ327709 ILF327709 IVB327709 JEX327709 JOT327709 JYP327709 KIL327709 KSH327709 LCD327709 LLZ327709 LVV327709 MFR327709 MPN327709 MZJ327709 NJF327709 NTB327709 OCX327709 OMT327709 OWP327709 PGL327709 PQH327709 QAD327709 QJZ327709 QTV327709 RDR327709 RNN327709 RXJ327709 SHF327709 SRB327709 TAX327709 TKT327709 TUP327709 UEL327709 UOH327709 UYD327709 VHZ327709 VRV327709 WBR327709 WLN327709 WVJ327709 B393245 IX393245 ST393245 ACP393245 AML393245 AWH393245 BGD393245 BPZ393245 BZV393245 CJR393245 CTN393245 DDJ393245 DNF393245 DXB393245 EGX393245 EQT393245 FAP393245 FKL393245 FUH393245 GED393245 GNZ393245 GXV393245 HHR393245 HRN393245 IBJ393245 ILF393245 IVB393245 JEX393245 JOT393245 JYP393245 KIL393245 KSH393245 LCD393245 LLZ393245 LVV393245 MFR393245 MPN393245 MZJ393245 NJF393245 NTB393245 OCX393245 OMT393245 OWP393245 PGL393245 PQH393245 QAD393245 QJZ393245 QTV393245 RDR393245 RNN393245 RXJ393245 SHF393245 SRB393245 TAX393245 TKT393245 TUP393245 UEL393245 UOH393245 UYD393245 VHZ393245 VRV393245 WBR393245 WLN393245 WVJ393245 B458781 IX458781 ST458781 ACP458781 AML458781 AWH458781 BGD458781 BPZ458781 BZV458781 CJR458781 CTN458781 DDJ458781 DNF458781 DXB458781 EGX458781 EQT458781 FAP458781 FKL458781 FUH458781 GED458781 GNZ458781 GXV458781 HHR458781 HRN458781 IBJ458781 ILF458781 IVB458781 JEX458781 JOT458781 JYP458781 KIL458781 KSH458781 LCD458781 LLZ458781 LVV458781 MFR458781 MPN458781 MZJ458781 NJF458781 NTB458781 OCX458781 OMT458781 OWP458781 PGL458781 PQH458781 QAD458781 QJZ458781 QTV458781 RDR458781 RNN458781 RXJ458781 SHF458781 SRB458781 TAX458781 TKT458781 TUP458781 UEL458781 UOH458781 UYD458781 VHZ458781 VRV458781 WBR458781 WLN458781 WVJ458781 B524317 IX524317 ST524317 ACP524317 AML524317 AWH524317 BGD524317 BPZ524317 BZV524317 CJR524317 CTN524317 DDJ524317 DNF524317 DXB524317 EGX524317 EQT524317 FAP524317 FKL524317 FUH524317 GED524317 GNZ524317 GXV524317 HHR524317 HRN524317 IBJ524317 ILF524317 IVB524317 JEX524317 JOT524317 JYP524317 KIL524317 KSH524317 LCD524317 LLZ524317 LVV524317 MFR524317 MPN524317 MZJ524317 NJF524317 NTB524317 OCX524317 OMT524317 OWP524317 PGL524317 PQH524317 QAD524317 QJZ524317 QTV524317 RDR524317 RNN524317 RXJ524317 SHF524317 SRB524317 TAX524317 TKT524317 TUP524317 UEL524317 UOH524317 UYD524317 VHZ524317 VRV524317 WBR524317 WLN524317 WVJ524317 B589853 IX589853 ST589853 ACP589853 AML589853 AWH589853 BGD589853 BPZ589853 BZV589853 CJR589853 CTN589853 DDJ589853 DNF589853 DXB589853 EGX589853 EQT589853 FAP589853 FKL589853 FUH589853 GED589853 GNZ589853 GXV589853 HHR589853 HRN589853 IBJ589853 ILF589853 IVB589853 JEX589853 JOT589853 JYP589853 KIL589853 KSH589853 LCD589853 LLZ589853 LVV589853 MFR589853 MPN589853 MZJ589853 NJF589853 NTB589853 OCX589853 OMT589853 OWP589853 PGL589853 PQH589853 QAD589853 QJZ589853 QTV589853 RDR589853 RNN589853 RXJ589853 SHF589853 SRB589853 TAX589853 TKT589853 TUP589853 UEL589853 UOH589853 UYD589853 VHZ589853 VRV589853 WBR589853 WLN589853 WVJ589853 B655389 IX655389 ST655389 ACP655389 AML655389 AWH655389 BGD655389 BPZ655389 BZV655389 CJR655389 CTN655389 DDJ655389 DNF655389 DXB655389 EGX655389 EQT655389 FAP655389 FKL655389 FUH655389 GED655389 GNZ655389 GXV655389 HHR655389 HRN655389 IBJ655389 ILF655389 IVB655389 JEX655389 JOT655389 JYP655389 KIL655389 KSH655389 LCD655389 LLZ655389 LVV655389 MFR655389 MPN655389 MZJ655389 NJF655389 NTB655389 OCX655389 OMT655389 OWP655389 PGL655389 PQH655389 QAD655389 QJZ655389 QTV655389 RDR655389 RNN655389 RXJ655389 SHF655389 SRB655389 TAX655389 TKT655389 TUP655389 UEL655389 UOH655389 UYD655389 VHZ655389 VRV655389 WBR655389 WLN655389 WVJ655389 B720925 IX720925 ST720925 ACP720925 AML720925 AWH720925 BGD720925 BPZ720925 BZV720925 CJR720925 CTN720925 DDJ720925 DNF720925 DXB720925 EGX720925 EQT720925 FAP720925 FKL720925 FUH720925 GED720925 GNZ720925 GXV720925 HHR720925 HRN720925 IBJ720925 ILF720925 IVB720925 JEX720925 JOT720925 JYP720925 KIL720925 KSH720925 LCD720925 LLZ720925 LVV720925 MFR720925 MPN720925 MZJ720925 NJF720925 NTB720925 OCX720925 OMT720925 OWP720925 PGL720925 PQH720925 QAD720925 QJZ720925 QTV720925 RDR720925 RNN720925 RXJ720925 SHF720925 SRB720925 TAX720925 TKT720925 TUP720925 UEL720925 UOH720925 UYD720925 VHZ720925 VRV720925 WBR720925 WLN720925 WVJ720925 B786461 IX786461 ST786461 ACP786461 AML786461 AWH786461 BGD786461 BPZ786461 BZV786461 CJR786461 CTN786461 DDJ786461 DNF786461 DXB786461 EGX786461 EQT786461 FAP786461 FKL786461 FUH786461 GED786461 GNZ786461 GXV786461 HHR786461 HRN786461 IBJ786461 ILF786461 IVB786461 JEX786461 JOT786461 JYP786461 KIL786461 KSH786461 LCD786461 LLZ786461 LVV786461 MFR786461 MPN786461 MZJ786461 NJF786461 NTB786461 OCX786461 OMT786461 OWP786461 PGL786461 PQH786461 QAD786461 QJZ786461 QTV786461 RDR786461 RNN786461 RXJ786461 SHF786461 SRB786461 TAX786461 TKT786461 TUP786461 UEL786461 UOH786461 UYD786461 VHZ786461 VRV786461 WBR786461 WLN786461 WVJ786461 B851997 IX851997 ST851997 ACP851997 AML851997 AWH851997 BGD851997 BPZ851997 BZV851997 CJR851997 CTN851997 DDJ851997 DNF851997 DXB851997 EGX851997 EQT851997 FAP851997 FKL851997 FUH851997 GED851997 GNZ851997 GXV851997 HHR851997 HRN851997 IBJ851997 ILF851997 IVB851997 JEX851997 JOT851997 JYP851997 KIL851997 KSH851997 LCD851997 LLZ851997 LVV851997 MFR851997 MPN851997 MZJ851997 NJF851997 NTB851997 OCX851997 OMT851997 OWP851997 PGL851997 PQH851997 QAD851997 QJZ851997 QTV851997 RDR851997 RNN851997 RXJ851997 SHF851997 SRB851997 TAX851997 TKT851997 TUP851997 UEL851997 UOH851997 UYD851997 VHZ851997 VRV851997 WBR851997 WLN851997 WVJ851997 B917533 IX917533 ST917533 ACP917533 AML917533 AWH917533 BGD917533 BPZ917533 BZV917533 CJR917533 CTN917533 DDJ917533 DNF917533 DXB917533 EGX917533 EQT917533 FAP917533 FKL917533 FUH917533 GED917533 GNZ917533 GXV917533 HHR917533 HRN917533 IBJ917533 ILF917533 IVB917533 JEX917533 JOT917533 JYP917533 KIL917533 KSH917533 LCD917533 LLZ917533 LVV917533 MFR917533 MPN917533 MZJ917533 NJF917533 NTB917533 OCX917533 OMT917533 OWP917533 PGL917533 PQH917533 QAD917533 QJZ917533 QTV917533 RDR917533 RNN917533 RXJ917533 SHF917533 SRB917533 TAX917533 TKT917533 TUP917533 UEL917533 UOH917533 UYD917533 VHZ917533 VRV917533 WBR917533 WLN917533 WVJ917533 B983069 IX983069 ST983069 ACP983069 AML983069 AWH983069 BGD983069 BPZ983069 BZV983069 CJR983069 CTN983069 DDJ983069 DNF983069 DXB983069 EGX983069 EQT983069 FAP983069 FKL983069 FUH983069 GED983069 GNZ983069 GXV983069 HHR983069 HRN983069 IBJ983069 ILF983069 IVB983069 JEX983069 JOT983069 JYP983069 KIL983069 KSH983069 LCD983069 LLZ983069 LVV983069 MFR983069 MPN983069 MZJ983069 NJF983069 NTB983069 OCX983069 OMT983069 OWP983069 PGL983069 PQH983069 QAD983069 QJZ983069 QTV983069 RDR983069 RNN983069 RXJ983069 SHF983069 SRB983069 TAX983069 TKT983069 TUP983069 UEL983069 UOH983069 UYD983069 VHZ983069 VRV983069 WBR983069 WLN983069 WVJ983069" xr:uid="{00000000-0002-0000-1800-000000000000}">
      <formula1>xinghaoList</formula1>
    </dataValidation>
    <dataValidation type="list" allowBlank="1" showInputMessage="1" showErrorMessage="1" sqref="B30 IX30 ST30 ACP30 AML30 AWH30 BGD30 BPZ30 BZV30 CJR30 CTN30 DDJ30 DNF30 DXB30 EGX30 EQT30 FAP30 FKL30 FUH30 GED30 GNZ30 GXV30 HHR30 HRN30 IBJ30 ILF30 IVB30 JEX30 JOT30 JYP30 KIL30 KSH30 LCD30 LLZ30 LVV30 MFR30 MPN30 MZJ30 NJF30 NTB30 OCX30 OMT30 OWP30 PGL30 PQH30 QAD30 QJZ30 QTV30 RDR30 RNN30 RXJ30 SHF30 SRB30 TAX30 TKT30 TUP30 UEL30 UOH30 UYD30 VHZ30 VRV30 WBR30 WLN30 WVJ30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WVJ983070" xr:uid="{00000000-0002-0000-1800-000001000000}">
      <formula1>INDIRECT(B29)</formula1>
    </dataValidation>
    <dataValidation type="decimal" allowBlank="1" showInputMessage="1" showErrorMessage="1" sqref="B31 IX31 ST31 ACP31 AML31 AWH31 BGD31 BPZ31 BZV31 CJR31 CTN31 DDJ31 DNF31 DXB31 EGX31 EQT31 FAP31 FKL31 FUH31 GED31 GNZ31 GXV31 HHR31 HRN31 IBJ31 ILF31 IVB31 JEX31 JOT31 JYP31 KIL31 KSH31 LCD31 LLZ31 LVV31 MFR31 MPN31 MZJ31 NJF31 NTB31 OCX31 OMT31 OWP31 PGL31 PQH31 QAD31 QJZ31 QTV31 RDR31 RNN31 RXJ31 SHF31 SRB31 TAX31 TKT31 TUP31 UEL31 UOH31 UYD31 VHZ31 VRV31 WBR31 WLN31 WVJ31 B65567 IX65567 ST65567 ACP65567 AML65567 AWH65567 BGD65567 BPZ65567 BZV65567 CJR65567 CTN65567 DDJ65567 DNF65567 DXB65567 EGX65567 EQT65567 FAP65567 FKL65567 FUH65567 GED65567 GNZ65567 GXV65567 HHR65567 HRN65567 IBJ65567 ILF65567 IVB65567 JEX65567 JOT65567 JYP65567 KIL65567 KSH65567 LCD65567 LLZ65567 LVV65567 MFR65567 MPN65567 MZJ65567 NJF65567 NTB65567 OCX65567 OMT65567 OWP65567 PGL65567 PQH65567 QAD65567 QJZ65567 QTV65567 RDR65567 RNN65567 RXJ65567 SHF65567 SRB65567 TAX65567 TKT65567 TUP65567 UEL65567 UOH65567 UYD65567 VHZ65567 VRV65567 WBR65567 WLN65567 WVJ65567 B131103 IX131103 ST131103 ACP131103 AML131103 AWH131103 BGD131103 BPZ131103 BZV131103 CJR131103 CTN131103 DDJ131103 DNF131103 DXB131103 EGX131103 EQT131103 FAP131103 FKL131103 FUH131103 GED131103 GNZ131103 GXV131103 HHR131103 HRN131103 IBJ131103 ILF131103 IVB131103 JEX131103 JOT131103 JYP131103 KIL131103 KSH131103 LCD131103 LLZ131103 LVV131103 MFR131103 MPN131103 MZJ131103 NJF131103 NTB131103 OCX131103 OMT131103 OWP131103 PGL131103 PQH131103 QAD131103 QJZ131103 QTV131103 RDR131103 RNN131103 RXJ131103 SHF131103 SRB131103 TAX131103 TKT131103 TUP131103 UEL131103 UOH131103 UYD131103 VHZ131103 VRV131103 WBR131103 WLN131103 WVJ131103 B196639 IX196639 ST196639 ACP196639 AML196639 AWH196639 BGD196639 BPZ196639 BZV196639 CJR196639 CTN196639 DDJ196639 DNF196639 DXB196639 EGX196639 EQT196639 FAP196639 FKL196639 FUH196639 GED196639 GNZ196639 GXV196639 HHR196639 HRN196639 IBJ196639 ILF196639 IVB196639 JEX196639 JOT196639 JYP196639 KIL196639 KSH196639 LCD196639 LLZ196639 LVV196639 MFR196639 MPN196639 MZJ196639 NJF196639 NTB196639 OCX196639 OMT196639 OWP196639 PGL196639 PQH196639 QAD196639 QJZ196639 QTV196639 RDR196639 RNN196639 RXJ196639 SHF196639 SRB196639 TAX196639 TKT196639 TUP196639 UEL196639 UOH196639 UYD196639 VHZ196639 VRV196639 WBR196639 WLN196639 WVJ196639 B262175 IX262175 ST262175 ACP262175 AML262175 AWH262175 BGD262175 BPZ262175 BZV262175 CJR262175 CTN262175 DDJ262175 DNF262175 DXB262175 EGX262175 EQT262175 FAP262175 FKL262175 FUH262175 GED262175 GNZ262175 GXV262175 HHR262175 HRN262175 IBJ262175 ILF262175 IVB262175 JEX262175 JOT262175 JYP262175 KIL262175 KSH262175 LCD262175 LLZ262175 LVV262175 MFR262175 MPN262175 MZJ262175 NJF262175 NTB262175 OCX262175 OMT262175 OWP262175 PGL262175 PQH262175 QAD262175 QJZ262175 QTV262175 RDR262175 RNN262175 RXJ262175 SHF262175 SRB262175 TAX262175 TKT262175 TUP262175 UEL262175 UOH262175 UYD262175 VHZ262175 VRV262175 WBR262175 WLN262175 WVJ262175 B327711 IX327711 ST327711 ACP327711 AML327711 AWH327711 BGD327711 BPZ327711 BZV327711 CJR327711 CTN327711 DDJ327711 DNF327711 DXB327711 EGX327711 EQT327711 FAP327711 FKL327711 FUH327711 GED327711 GNZ327711 GXV327711 HHR327711 HRN327711 IBJ327711 ILF327711 IVB327711 JEX327711 JOT327711 JYP327711 KIL327711 KSH327711 LCD327711 LLZ327711 LVV327711 MFR327711 MPN327711 MZJ327711 NJF327711 NTB327711 OCX327711 OMT327711 OWP327711 PGL327711 PQH327711 QAD327711 QJZ327711 QTV327711 RDR327711 RNN327711 RXJ327711 SHF327711 SRB327711 TAX327711 TKT327711 TUP327711 UEL327711 UOH327711 UYD327711 VHZ327711 VRV327711 WBR327711 WLN327711 WVJ327711 B393247 IX393247 ST393247 ACP393247 AML393247 AWH393247 BGD393247 BPZ393247 BZV393247 CJR393247 CTN393247 DDJ393247 DNF393247 DXB393247 EGX393247 EQT393247 FAP393247 FKL393247 FUH393247 GED393247 GNZ393247 GXV393247 HHR393247 HRN393247 IBJ393247 ILF393247 IVB393247 JEX393247 JOT393247 JYP393247 KIL393247 KSH393247 LCD393247 LLZ393247 LVV393247 MFR393247 MPN393247 MZJ393247 NJF393247 NTB393247 OCX393247 OMT393247 OWP393247 PGL393247 PQH393247 QAD393247 QJZ393247 QTV393247 RDR393247 RNN393247 RXJ393247 SHF393247 SRB393247 TAX393247 TKT393247 TUP393247 UEL393247 UOH393247 UYD393247 VHZ393247 VRV393247 WBR393247 WLN393247 WVJ393247 B458783 IX458783 ST458783 ACP458783 AML458783 AWH458783 BGD458783 BPZ458783 BZV458783 CJR458783 CTN458783 DDJ458783 DNF458783 DXB458783 EGX458783 EQT458783 FAP458783 FKL458783 FUH458783 GED458783 GNZ458783 GXV458783 HHR458783 HRN458783 IBJ458783 ILF458783 IVB458783 JEX458783 JOT458783 JYP458783 KIL458783 KSH458783 LCD458783 LLZ458783 LVV458783 MFR458783 MPN458783 MZJ458783 NJF458783 NTB458783 OCX458783 OMT458783 OWP458783 PGL458783 PQH458783 QAD458783 QJZ458783 QTV458783 RDR458783 RNN458783 RXJ458783 SHF458783 SRB458783 TAX458783 TKT458783 TUP458783 UEL458783 UOH458783 UYD458783 VHZ458783 VRV458783 WBR458783 WLN458783 WVJ458783 B524319 IX524319 ST524319 ACP524319 AML524319 AWH524319 BGD524319 BPZ524319 BZV524319 CJR524319 CTN524319 DDJ524319 DNF524319 DXB524319 EGX524319 EQT524319 FAP524319 FKL524319 FUH524319 GED524319 GNZ524319 GXV524319 HHR524319 HRN524319 IBJ524319 ILF524319 IVB524319 JEX524319 JOT524319 JYP524319 KIL524319 KSH524319 LCD524319 LLZ524319 LVV524319 MFR524319 MPN524319 MZJ524319 NJF524319 NTB524319 OCX524319 OMT524319 OWP524319 PGL524319 PQH524319 QAD524319 QJZ524319 QTV524319 RDR524319 RNN524319 RXJ524319 SHF524319 SRB524319 TAX524319 TKT524319 TUP524319 UEL524319 UOH524319 UYD524319 VHZ524319 VRV524319 WBR524319 WLN524319 WVJ524319 B589855 IX589855 ST589855 ACP589855 AML589855 AWH589855 BGD589855 BPZ589855 BZV589855 CJR589855 CTN589855 DDJ589855 DNF589855 DXB589855 EGX589855 EQT589855 FAP589855 FKL589855 FUH589855 GED589855 GNZ589855 GXV589855 HHR589855 HRN589855 IBJ589855 ILF589855 IVB589855 JEX589855 JOT589855 JYP589855 KIL589855 KSH589855 LCD589855 LLZ589855 LVV589855 MFR589855 MPN589855 MZJ589855 NJF589855 NTB589855 OCX589855 OMT589855 OWP589855 PGL589855 PQH589855 QAD589855 QJZ589855 QTV589855 RDR589855 RNN589855 RXJ589855 SHF589855 SRB589855 TAX589855 TKT589855 TUP589855 UEL589855 UOH589855 UYD589855 VHZ589855 VRV589855 WBR589855 WLN589855 WVJ589855 B655391 IX655391 ST655391 ACP655391 AML655391 AWH655391 BGD655391 BPZ655391 BZV655391 CJR655391 CTN655391 DDJ655391 DNF655391 DXB655391 EGX655391 EQT655391 FAP655391 FKL655391 FUH655391 GED655391 GNZ655391 GXV655391 HHR655391 HRN655391 IBJ655391 ILF655391 IVB655391 JEX655391 JOT655391 JYP655391 KIL655391 KSH655391 LCD655391 LLZ655391 LVV655391 MFR655391 MPN655391 MZJ655391 NJF655391 NTB655391 OCX655391 OMT655391 OWP655391 PGL655391 PQH655391 QAD655391 QJZ655391 QTV655391 RDR655391 RNN655391 RXJ655391 SHF655391 SRB655391 TAX655391 TKT655391 TUP655391 UEL655391 UOH655391 UYD655391 VHZ655391 VRV655391 WBR655391 WLN655391 WVJ655391 B720927 IX720927 ST720927 ACP720927 AML720927 AWH720927 BGD720927 BPZ720927 BZV720927 CJR720927 CTN720927 DDJ720927 DNF720927 DXB720927 EGX720927 EQT720927 FAP720927 FKL720927 FUH720927 GED720927 GNZ720927 GXV720927 HHR720927 HRN720927 IBJ720927 ILF720927 IVB720927 JEX720927 JOT720927 JYP720927 KIL720927 KSH720927 LCD720927 LLZ720927 LVV720927 MFR720927 MPN720927 MZJ720927 NJF720927 NTB720927 OCX720927 OMT720927 OWP720927 PGL720927 PQH720927 QAD720927 QJZ720927 QTV720927 RDR720927 RNN720927 RXJ720927 SHF720927 SRB720927 TAX720927 TKT720927 TUP720927 UEL720927 UOH720927 UYD720927 VHZ720927 VRV720927 WBR720927 WLN720927 WVJ720927 B786463 IX786463 ST786463 ACP786463 AML786463 AWH786463 BGD786463 BPZ786463 BZV786463 CJR786463 CTN786463 DDJ786463 DNF786463 DXB786463 EGX786463 EQT786463 FAP786463 FKL786463 FUH786463 GED786463 GNZ786463 GXV786463 HHR786463 HRN786463 IBJ786463 ILF786463 IVB786463 JEX786463 JOT786463 JYP786463 KIL786463 KSH786463 LCD786463 LLZ786463 LVV786463 MFR786463 MPN786463 MZJ786463 NJF786463 NTB786463 OCX786463 OMT786463 OWP786463 PGL786463 PQH786463 QAD786463 QJZ786463 QTV786463 RDR786463 RNN786463 RXJ786463 SHF786463 SRB786463 TAX786463 TKT786463 TUP786463 UEL786463 UOH786463 UYD786463 VHZ786463 VRV786463 WBR786463 WLN786463 WVJ786463 B851999 IX851999 ST851999 ACP851999 AML851999 AWH851999 BGD851999 BPZ851999 BZV851999 CJR851999 CTN851999 DDJ851999 DNF851999 DXB851999 EGX851999 EQT851999 FAP851999 FKL851999 FUH851999 GED851999 GNZ851999 GXV851999 HHR851999 HRN851999 IBJ851999 ILF851999 IVB851999 JEX851999 JOT851999 JYP851999 KIL851999 KSH851999 LCD851999 LLZ851999 LVV851999 MFR851999 MPN851999 MZJ851999 NJF851999 NTB851999 OCX851999 OMT851999 OWP851999 PGL851999 PQH851999 QAD851999 QJZ851999 QTV851999 RDR851999 RNN851999 RXJ851999 SHF851999 SRB851999 TAX851999 TKT851999 TUP851999 UEL851999 UOH851999 UYD851999 VHZ851999 VRV851999 WBR851999 WLN851999 WVJ851999 B917535 IX917535 ST917535 ACP917535 AML917535 AWH917535 BGD917535 BPZ917535 BZV917535 CJR917535 CTN917535 DDJ917535 DNF917535 DXB917535 EGX917535 EQT917535 FAP917535 FKL917535 FUH917535 GED917535 GNZ917535 GXV917535 HHR917535 HRN917535 IBJ917535 ILF917535 IVB917535 JEX917535 JOT917535 JYP917535 KIL917535 KSH917535 LCD917535 LLZ917535 LVV917535 MFR917535 MPN917535 MZJ917535 NJF917535 NTB917535 OCX917535 OMT917535 OWP917535 PGL917535 PQH917535 QAD917535 QJZ917535 QTV917535 RDR917535 RNN917535 RXJ917535 SHF917535 SRB917535 TAX917535 TKT917535 TUP917535 UEL917535 UOH917535 UYD917535 VHZ917535 VRV917535 WBR917535 WLN917535 WVJ917535 B983071 IX983071 ST983071 ACP983071 AML983071 AWH983071 BGD983071 BPZ983071 BZV983071 CJR983071 CTN983071 DDJ983071 DNF983071 DXB983071 EGX983071 EQT983071 FAP983071 FKL983071 FUH983071 GED983071 GNZ983071 GXV983071 HHR983071 HRN983071 IBJ983071 ILF983071 IVB983071 JEX983071 JOT983071 JYP983071 KIL983071 KSH983071 LCD983071 LLZ983071 LVV983071 MFR983071 MPN983071 MZJ983071 NJF983071 NTB983071 OCX983071 OMT983071 OWP983071 PGL983071 PQH983071 QAD983071 QJZ983071 QTV983071 RDR983071 RNN983071 RXJ983071 SHF983071 SRB983071 TAX983071 TKT983071 TUP983071 UEL983071 UOH983071 UYD983071 VHZ983071 VRV983071 WBR983071 WLN983071 WVJ983071" xr:uid="{00000000-0002-0000-1800-000002000000}">
      <formula1>0</formula1>
      <formula2>B39</formula2>
    </dataValidation>
    <dataValidation type="decimal" allowBlank="1" showInputMessage="1" showErrorMessage="1" errorTitle="多变指数" error="取值范围：1～1.55" promptTitle="多变指数" prompt="1～1.55_x000a_一般取1.4" sqref="B32 IX32 ST32 ACP32 AML32 AWH32 BGD32 BPZ32 BZV32 CJR32 CTN32 DDJ32 DNF32 DXB32 EGX32 EQT32 FAP32 FKL32 FUH32 GED32 GNZ32 GXV32 HHR32 HRN32 IBJ32 ILF32 IVB32 JEX32 JOT32 JYP32 KIL32 KSH32 LCD32 LLZ32 LVV32 MFR32 MPN32 MZJ32 NJF32 NTB32 OCX32 OMT32 OWP32 PGL32 PQH32 QAD32 QJZ32 QTV32 RDR32 RNN32 RXJ32 SHF32 SRB32 TAX32 TKT32 TUP32 UEL32 UOH32 UYD32 VHZ32 VRV32 WBR32 WLN32 WVJ32 B65568 IX65568 ST65568 ACP65568 AML65568 AWH65568 BGD65568 BPZ65568 BZV65568 CJR65568 CTN65568 DDJ65568 DNF65568 DXB65568 EGX65568 EQT65568 FAP65568 FKL65568 FUH65568 GED65568 GNZ65568 GXV65568 HHR65568 HRN65568 IBJ65568 ILF65568 IVB65568 JEX65568 JOT65568 JYP65568 KIL65568 KSH65568 LCD65568 LLZ65568 LVV65568 MFR65568 MPN65568 MZJ65568 NJF65568 NTB65568 OCX65568 OMT65568 OWP65568 PGL65568 PQH65568 QAD65568 QJZ65568 QTV65568 RDR65568 RNN65568 RXJ65568 SHF65568 SRB65568 TAX65568 TKT65568 TUP65568 UEL65568 UOH65568 UYD65568 VHZ65568 VRV65568 WBR65568 WLN65568 WVJ65568 B131104 IX131104 ST131104 ACP131104 AML131104 AWH131104 BGD131104 BPZ131104 BZV131104 CJR131104 CTN131104 DDJ131104 DNF131104 DXB131104 EGX131104 EQT131104 FAP131104 FKL131104 FUH131104 GED131104 GNZ131104 GXV131104 HHR131104 HRN131104 IBJ131104 ILF131104 IVB131104 JEX131104 JOT131104 JYP131104 KIL131104 KSH131104 LCD131104 LLZ131104 LVV131104 MFR131104 MPN131104 MZJ131104 NJF131104 NTB131104 OCX131104 OMT131104 OWP131104 PGL131104 PQH131104 QAD131104 QJZ131104 QTV131104 RDR131104 RNN131104 RXJ131104 SHF131104 SRB131104 TAX131104 TKT131104 TUP131104 UEL131104 UOH131104 UYD131104 VHZ131104 VRV131104 WBR131104 WLN131104 WVJ131104 B196640 IX196640 ST196640 ACP196640 AML196640 AWH196640 BGD196640 BPZ196640 BZV196640 CJR196640 CTN196640 DDJ196640 DNF196640 DXB196640 EGX196640 EQT196640 FAP196640 FKL196640 FUH196640 GED196640 GNZ196640 GXV196640 HHR196640 HRN196640 IBJ196640 ILF196640 IVB196640 JEX196640 JOT196640 JYP196640 KIL196640 KSH196640 LCD196640 LLZ196640 LVV196640 MFR196640 MPN196640 MZJ196640 NJF196640 NTB196640 OCX196640 OMT196640 OWP196640 PGL196640 PQH196640 QAD196640 QJZ196640 QTV196640 RDR196640 RNN196640 RXJ196640 SHF196640 SRB196640 TAX196640 TKT196640 TUP196640 UEL196640 UOH196640 UYD196640 VHZ196640 VRV196640 WBR196640 WLN196640 WVJ196640 B262176 IX262176 ST262176 ACP262176 AML262176 AWH262176 BGD262176 BPZ262176 BZV262176 CJR262176 CTN262176 DDJ262176 DNF262176 DXB262176 EGX262176 EQT262176 FAP262176 FKL262176 FUH262176 GED262176 GNZ262176 GXV262176 HHR262176 HRN262176 IBJ262176 ILF262176 IVB262176 JEX262176 JOT262176 JYP262176 KIL262176 KSH262176 LCD262176 LLZ262176 LVV262176 MFR262176 MPN262176 MZJ262176 NJF262176 NTB262176 OCX262176 OMT262176 OWP262176 PGL262176 PQH262176 QAD262176 QJZ262176 QTV262176 RDR262176 RNN262176 RXJ262176 SHF262176 SRB262176 TAX262176 TKT262176 TUP262176 UEL262176 UOH262176 UYD262176 VHZ262176 VRV262176 WBR262176 WLN262176 WVJ262176 B327712 IX327712 ST327712 ACP327712 AML327712 AWH327712 BGD327712 BPZ327712 BZV327712 CJR327712 CTN327712 DDJ327712 DNF327712 DXB327712 EGX327712 EQT327712 FAP327712 FKL327712 FUH327712 GED327712 GNZ327712 GXV327712 HHR327712 HRN327712 IBJ327712 ILF327712 IVB327712 JEX327712 JOT327712 JYP327712 KIL327712 KSH327712 LCD327712 LLZ327712 LVV327712 MFR327712 MPN327712 MZJ327712 NJF327712 NTB327712 OCX327712 OMT327712 OWP327712 PGL327712 PQH327712 QAD327712 QJZ327712 QTV327712 RDR327712 RNN327712 RXJ327712 SHF327712 SRB327712 TAX327712 TKT327712 TUP327712 UEL327712 UOH327712 UYD327712 VHZ327712 VRV327712 WBR327712 WLN327712 WVJ327712 B393248 IX393248 ST393248 ACP393248 AML393248 AWH393248 BGD393248 BPZ393248 BZV393248 CJR393248 CTN393248 DDJ393248 DNF393248 DXB393248 EGX393248 EQT393248 FAP393248 FKL393248 FUH393248 GED393248 GNZ393248 GXV393248 HHR393248 HRN393248 IBJ393248 ILF393248 IVB393248 JEX393248 JOT393248 JYP393248 KIL393248 KSH393248 LCD393248 LLZ393248 LVV393248 MFR393248 MPN393248 MZJ393248 NJF393248 NTB393248 OCX393248 OMT393248 OWP393248 PGL393248 PQH393248 QAD393248 QJZ393248 QTV393248 RDR393248 RNN393248 RXJ393248 SHF393248 SRB393248 TAX393248 TKT393248 TUP393248 UEL393248 UOH393248 UYD393248 VHZ393248 VRV393248 WBR393248 WLN393248 WVJ393248 B458784 IX458784 ST458784 ACP458784 AML458784 AWH458784 BGD458784 BPZ458784 BZV458784 CJR458784 CTN458784 DDJ458784 DNF458784 DXB458784 EGX458784 EQT458784 FAP458784 FKL458784 FUH458784 GED458784 GNZ458784 GXV458784 HHR458784 HRN458784 IBJ458784 ILF458784 IVB458784 JEX458784 JOT458784 JYP458784 KIL458784 KSH458784 LCD458784 LLZ458784 LVV458784 MFR458784 MPN458784 MZJ458784 NJF458784 NTB458784 OCX458784 OMT458784 OWP458784 PGL458784 PQH458784 QAD458784 QJZ458784 QTV458784 RDR458784 RNN458784 RXJ458784 SHF458784 SRB458784 TAX458784 TKT458784 TUP458784 UEL458784 UOH458784 UYD458784 VHZ458784 VRV458784 WBR458784 WLN458784 WVJ458784 B524320 IX524320 ST524320 ACP524320 AML524320 AWH524320 BGD524320 BPZ524320 BZV524320 CJR524320 CTN524320 DDJ524320 DNF524320 DXB524320 EGX524320 EQT524320 FAP524320 FKL524320 FUH524320 GED524320 GNZ524320 GXV524320 HHR524320 HRN524320 IBJ524320 ILF524320 IVB524320 JEX524320 JOT524320 JYP524320 KIL524320 KSH524320 LCD524320 LLZ524320 LVV524320 MFR524320 MPN524320 MZJ524320 NJF524320 NTB524320 OCX524320 OMT524320 OWP524320 PGL524320 PQH524320 QAD524320 QJZ524320 QTV524320 RDR524320 RNN524320 RXJ524320 SHF524320 SRB524320 TAX524320 TKT524320 TUP524320 UEL524320 UOH524320 UYD524320 VHZ524320 VRV524320 WBR524320 WLN524320 WVJ524320 B589856 IX589856 ST589856 ACP589856 AML589856 AWH589856 BGD589856 BPZ589856 BZV589856 CJR589856 CTN589856 DDJ589856 DNF589856 DXB589856 EGX589856 EQT589856 FAP589856 FKL589856 FUH589856 GED589856 GNZ589856 GXV589856 HHR589856 HRN589856 IBJ589856 ILF589856 IVB589856 JEX589856 JOT589856 JYP589856 KIL589856 KSH589856 LCD589856 LLZ589856 LVV589856 MFR589856 MPN589856 MZJ589856 NJF589856 NTB589856 OCX589856 OMT589856 OWP589856 PGL589856 PQH589856 QAD589856 QJZ589856 QTV589856 RDR589856 RNN589856 RXJ589856 SHF589856 SRB589856 TAX589856 TKT589856 TUP589856 UEL589856 UOH589856 UYD589856 VHZ589856 VRV589856 WBR589856 WLN589856 WVJ589856 B655392 IX655392 ST655392 ACP655392 AML655392 AWH655392 BGD655392 BPZ655392 BZV655392 CJR655392 CTN655392 DDJ655392 DNF655392 DXB655392 EGX655392 EQT655392 FAP655392 FKL655392 FUH655392 GED655392 GNZ655392 GXV655392 HHR655392 HRN655392 IBJ655392 ILF655392 IVB655392 JEX655392 JOT655392 JYP655392 KIL655392 KSH655392 LCD655392 LLZ655392 LVV655392 MFR655392 MPN655392 MZJ655392 NJF655392 NTB655392 OCX655392 OMT655392 OWP655392 PGL655392 PQH655392 QAD655392 QJZ655392 QTV655392 RDR655392 RNN655392 RXJ655392 SHF655392 SRB655392 TAX655392 TKT655392 TUP655392 UEL655392 UOH655392 UYD655392 VHZ655392 VRV655392 WBR655392 WLN655392 WVJ655392 B720928 IX720928 ST720928 ACP720928 AML720928 AWH720928 BGD720928 BPZ720928 BZV720928 CJR720928 CTN720928 DDJ720928 DNF720928 DXB720928 EGX720928 EQT720928 FAP720928 FKL720928 FUH720928 GED720928 GNZ720928 GXV720928 HHR720928 HRN720928 IBJ720928 ILF720928 IVB720928 JEX720928 JOT720928 JYP720928 KIL720928 KSH720928 LCD720928 LLZ720928 LVV720928 MFR720928 MPN720928 MZJ720928 NJF720928 NTB720928 OCX720928 OMT720928 OWP720928 PGL720928 PQH720928 QAD720928 QJZ720928 QTV720928 RDR720928 RNN720928 RXJ720928 SHF720928 SRB720928 TAX720928 TKT720928 TUP720928 UEL720928 UOH720928 UYD720928 VHZ720928 VRV720928 WBR720928 WLN720928 WVJ720928 B786464 IX786464 ST786464 ACP786464 AML786464 AWH786464 BGD786464 BPZ786464 BZV786464 CJR786464 CTN786464 DDJ786464 DNF786464 DXB786464 EGX786464 EQT786464 FAP786464 FKL786464 FUH786464 GED786464 GNZ786464 GXV786464 HHR786464 HRN786464 IBJ786464 ILF786464 IVB786464 JEX786464 JOT786464 JYP786464 KIL786464 KSH786464 LCD786464 LLZ786464 LVV786464 MFR786464 MPN786464 MZJ786464 NJF786464 NTB786464 OCX786464 OMT786464 OWP786464 PGL786464 PQH786464 QAD786464 QJZ786464 QTV786464 RDR786464 RNN786464 RXJ786464 SHF786464 SRB786464 TAX786464 TKT786464 TUP786464 UEL786464 UOH786464 UYD786464 VHZ786464 VRV786464 WBR786464 WLN786464 WVJ786464 B852000 IX852000 ST852000 ACP852000 AML852000 AWH852000 BGD852000 BPZ852000 BZV852000 CJR852000 CTN852000 DDJ852000 DNF852000 DXB852000 EGX852000 EQT852000 FAP852000 FKL852000 FUH852000 GED852000 GNZ852000 GXV852000 HHR852000 HRN852000 IBJ852000 ILF852000 IVB852000 JEX852000 JOT852000 JYP852000 KIL852000 KSH852000 LCD852000 LLZ852000 LVV852000 MFR852000 MPN852000 MZJ852000 NJF852000 NTB852000 OCX852000 OMT852000 OWP852000 PGL852000 PQH852000 QAD852000 QJZ852000 QTV852000 RDR852000 RNN852000 RXJ852000 SHF852000 SRB852000 TAX852000 TKT852000 TUP852000 UEL852000 UOH852000 UYD852000 VHZ852000 VRV852000 WBR852000 WLN852000 WVJ852000 B917536 IX917536 ST917536 ACP917536 AML917536 AWH917536 BGD917536 BPZ917536 BZV917536 CJR917536 CTN917536 DDJ917536 DNF917536 DXB917536 EGX917536 EQT917536 FAP917536 FKL917536 FUH917536 GED917536 GNZ917536 GXV917536 HHR917536 HRN917536 IBJ917536 ILF917536 IVB917536 JEX917536 JOT917536 JYP917536 KIL917536 KSH917536 LCD917536 LLZ917536 LVV917536 MFR917536 MPN917536 MZJ917536 NJF917536 NTB917536 OCX917536 OMT917536 OWP917536 PGL917536 PQH917536 QAD917536 QJZ917536 QTV917536 RDR917536 RNN917536 RXJ917536 SHF917536 SRB917536 TAX917536 TKT917536 TUP917536 UEL917536 UOH917536 UYD917536 VHZ917536 VRV917536 WBR917536 WLN917536 WVJ917536 B983072 IX983072 ST983072 ACP983072 AML983072 AWH983072 BGD983072 BPZ983072 BZV983072 CJR983072 CTN983072 DDJ983072 DNF983072 DXB983072 EGX983072 EQT983072 FAP983072 FKL983072 FUH983072 GED983072 GNZ983072 GXV983072 HHR983072 HRN983072 IBJ983072 ILF983072 IVB983072 JEX983072 JOT983072 JYP983072 KIL983072 KSH983072 LCD983072 LLZ983072 LVV983072 MFR983072 MPN983072 MZJ983072 NJF983072 NTB983072 OCX983072 OMT983072 OWP983072 PGL983072 PQH983072 QAD983072 QJZ983072 QTV983072 RDR983072 RNN983072 RXJ983072 SHF983072 SRB983072 TAX983072 TKT983072 TUP983072 UEL983072 UOH983072 UYD983072 VHZ983072 VRV983072 WBR983072 WLN983072 WVJ983072" xr:uid="{00000000-0002-0000-1800-000003000000}">
      <formula1>1</formula1>
      <formula2>1.55</formula2>
    </dataValidation>
  </dataValidations>
  <pageMargins left="0.75" right="0.75" top="1" bottom="1" header="0.5" footer="0.5"/>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J34"/>
  <sheetViews>
    <sheetView workbookViewId="0">
      <selection activeCell="J20" sqref="J20"/>
    </sheetView>
  </sheetViews>
  <sheetFormatPr defaultColWidth="9" defaultRowHeight="14.25"/>
  <cols>
    <col min="1" max="1" width="9" style="2694"/>
    <col min="2" max="2" width="22.5" style="2694" customWidth="1"/>
    <col min="3" max="3" width="12.75" style="2694" customWidth="1"/>
    <col min="4" max="4" width="5.75" style="2694" customWidth="1"/>
    <col min="5" max="5" width="20.75" style="2694" customWidth="1"/>
    <col min="6" max="6" width="13.875" style="2694" customWidth="1"/>
    <col min="7" max="7" width="8.5" style="2694" customWidth="1"/>
    <col min="8" max="8" width="18" style="2694" customWidth="1"/>
    <col min="9" max="257" width="9" style="2694"/>
    <col min="258" max="258" width="22.5" style="2694" customWidth="1"/>
    <col min="259" max="259" width="12.75" style="2694" customWidth="1"/>
    <col min="260" max="260" width="5.75" style="2694" customWidth="1"/>
    <col min="261" max="261" width="20.75" style="2694" customWidth="1"/>
    <col min="262" max="262" width="13.875" style="2694" customWidth="1"/>
    <col min="263" max="263" width="8.5" style="2694" customWidth="1"/>
    <col min="264" max="264" width="18" style="2694" customWidth="1"/>
    <col min="265" max="513" width="9" style="2694"/>
    <col min="514" max="514" width="22.5" style="2694" customWidth="1"/>
    <col min="515" max="515" width="12.75" style="2694" customWidth="1"/>
    <col min="516" max="516" width="5.75" style="2694" customWidth="1"/>
    <col min="517" max="517" width="20.75" style="2694" customWidth="1"/>
    <col min="518" max="518" width="13.875" style="2694" customWidth="1"/>
    <col min="519" max="519" width="8.5" style="2694" customWidth="1"/>
    <col min="520" max="520" width="18" style="2694" customWidth="1"/>
    <col min="521" max="769" width="9" style="2694"/>
    <col min="770" max="770" width="22.5" style="2694" customWidth="1"/>
    <col min="771" max="771" width="12.75" style="2694" customWidth="1"/>
    <col min="772" max="772" width="5.75" style="2694" customWidth="1"/>
    <col min="773" max="773" width="20.75" style="2694" customWidth="1"/>
    <col min="774" max="774" width="13.875" style="2694" customWidth="1"/>
    <col min="775" max="775" width="8.5" style="2694" customWidth="1"/>
    <col min="776" max="776" width="18" style="2694" customWidth="1"/>
    <col min="777" max="1025" width="9" style="2694"/>
    <col min="1026" max="1026" width="22.5" style="2694" customWidth="1"/>
    <col min="1027" max="1027" width="12.75" style="2694" customWidth="1"/>
    <col min="1028" max="1028" width="5.75" style="2694" customWidth="1"/>
    <col min="1029" max="1029" width="20.75" style="2694" customWidth="1"/>
    <col min="1030" max="1030" width="13.875" style="2694" customWidth="1"/>
    <col min="1031" max="1031" width="8.5" style="2694" customWidth="1"/>
    <col min="1032" max="1032" width="18" style="2694" customWidth="1"/>
    <col min="1033" max="1281" width="9" style="2694"/>
    <col min="1282" max="1282" width="22.5" style="2694" customWidth="1"/>
    <col min="1283" max="1283" width="12.75" style="2694" customWidth="1"/>
    <col min="1284" max="1284" width="5.75" style="2694" customWidth="1"/>
    <col min="1285" max="1285" width="20.75" style="2694" customWidth="1"/>
    <col min="1286" max="1286" width="13.875" style="2694" customWidth="1"/>
    <col min="1287" max="1287" width="8.5" style="2694" customWidth="1"/>
    <col min="1288" max="1288" width="18" style="2694" customWidth="1"/>
    <col min="1289" max="1537" width="9" style="2694"/>
    <col min="1538" max="1538" width="22.5" style="2694" customWidth="1"/>
    <col min="1539" max="1539" width="12.75" style="2694" customWidth="1"/>
    <col min="1540" max="1540" width="5.75" style="2694" customWidth="1"/>
    <col min="1541" max="1541" width="20.75" style="2694" customWidth="1"/>
    <col min="1542" max="1542" width="13.875" style="2694" customWidth="1"/>
    <col min="1543" max="1543" width="8.5" style="2694" customWidth="1"/>
    <col min="1544" max="1544" width="18" style="2694" customWidth="1"/>
    <col min="1545" max="1793" width="9" style="2694"/>
    <col min="1794" max="1794" width="22.5" style="2694" customWidth="1"/>
    <col min="1795" max="1795" width="12.75" style="2694" customWidth="1"/>
    <col min="1796" max="1796" width="5.75" style="2694" customWidth="1"/>
    <col min="1797" max="1797" width="20.75" style="2694" customWidth="1"/>
    <col min="1798" max="1798" width="13.875" style="2694" customWidth="1"/>
    <col min="1799" max="1799" width="8.5" style="2694" customWidth="1"/>
    <col min="1800" max="1800" width="18" style="2694" customWidth="1"/>
    <col min="1801" max="2049" width="9" style="2694"/>
    <col min="2050" max="2050" width="22.5" style="2694" customWidth="1"/>
    <col min="2051" max="2051" width="12.75" style="2694" customWidth="1"/>
    <col min="2052" max="2052" width="5.75" style="2694" customWidth="1"/>
    <col min="2053" max="2053" width="20.75" style="2694" customWidth="1"/>
    <col min="2054" max="2054" width="13.875" style="2694" customWidth="1"/>
    <col min="2055" max="2055" width="8.5" style="2694" customWidth="1"/>
    <col min="2056" max="2056" width="18" style="2694" customWidth="1"/>
    <col min="2057" max="2305" width="9" style="2694"/>
    <col min="2306" max="2306" width="22.5" style="2694" customWidth="1"/>
    <col min="2307" max="2307" width="12.75" style="2694" customWidth="1"/>
    <col min="2308" max="2308" width="5.75" style="2694" customWidth="1"/>
    <col min="2309" max="2309" width="20.75" style="2694" customWidth="1"/>
    <col min="2310" max="2310" width="13.875" style="2694" customWidth="1"/>
    <col min="2311" max="2311" width="8.5" style="2694" customWidth="1"/>
    <col min="2312" max="2312" width="18" style="2694" customWidth="1"/>
    <col min="2313" max="2561" width="9" style="2694"/>
    <col min="2562" max="2562" width="22.5" style="2694" customWidth="1"/>
    <col min="2563" max="2563" width="12.75" style="2694" customWidth="1"/>
    <col min="2564" max="2564" width="5.75" style="2694" customWidth="1"/>
    <col min="2565" max="2565" width="20.75" style="2694" customWidth="1"/>
    <col min="2566" max="2566" width="13.875" style="2694" customWidth="1"/>
    <col min="2567" max="2567" width="8.5" style="2694" customWidth="1"/>
    <col min="2568" max="2568" width="18" style="2694" customWidth="1"/>
    <col min="2569" max="2817" width="9" style="2694"/>
    <col min="2818" max="2818" width="22.5" style="2694" customWidth="1"/>
    <col min="2819" max="2819" width="12.75" style="2694" customWidth="1"/>
    <col min="2820" max="2820" width="5.75" style="2694" customWidth="1"/>
    <col min="2821" max="2821" width="20.75" style="2694" customWidth="1"/>
    <col min="2822" max="2822" width="13.875" style="2694" customWidth="1"/>
    <col min="2823" max="2823" width="8.5" style="2694" customWidth="1"/>
    <col min="2824" max="2824" width="18" style="2694" customWidth="1"/>
    <col min="2825" max="3073" width="9" style="2694"/>
    <col min="3074" max="3074" width="22.5" style="2694" customWidth="1"/>
    <col min="3075" max="3075" width="12.75" style="2694" customWidth="1"/>
    <col min="3076" max="3076" width="5.75" style="2694" customWidth="1"/>
    <col min="3077" max="3077" width="20.75" style="2694" customWidth="1"/>
    <col min="3078" max="3078" width="13.875" style="2694" customWidth="1"/>
    <col min="3079" max="3079" width="8.5" style="2694" customWidth="1"/>
    <col min="3080" max="3080" width="18" style="2694" customWidth="1"/>
    <col min="3081" max="3329" width="9" style="2694"/>
    <col min="3330" max="3330" width="22.5" style="2694" customWidth="1"/>
    <col min="3331" max="3331" width="12.75" style="2694" customWidth="1"/>
    <col min="3332" max="3332" width="5.75" style="2694" customWidth="1"/>
    <col min="3333" max="3333" width="20.75" style="2694" customWidth="1"/>
    <col min="3334" max="3334" width="13.875" style="2694" customWidth="1"/>
    <col min="3335" max="3335" width="8.5" style="2694" customWidth="1"/>
    <col min="3336" max="3336" width="18" style="2694" customWidth="1"/>
    <col min="3337" max="3585" width="9" style="2694"/>
    <col min="3586" max="3586" width="22.5" style="2694" customWidth="1"/>
    <col min="3587" max="3587" width="12.75" style="2694" customWidth="1"/>
    <col min="3588" max="3588" width="5.75" style="2694" customWidth="1"/>
    <col min="3589" max="3589" width="20.75" style="2694" customWidth="1"/>
    <col min="3590" max="3590" width="13.875" style="2694" customWidth="1"/>
    <col min="3591" max="3591" width="8.5" style="2694" customWidth="1"/>
    <col min="3592" max="3592" width="18" style="2694" customWidth="1"/>
    <col min="3593" max="3841" width="9" style="2694"/>
    <col min="3842" max="3842" width="22.5" style="2694" customWidth="1"/>
    <col min="3843" max="3843" width="12.75" style="2694" customWidth="1"/>
    <col min="3844" max="3844" width="5.75" style="2694" customWidth="1"/>
    <col min="3845" max="3845" width="20.75" style="2694" customWidth="1"/>
    <col min="3846" max="3846" width="13.875" style="2694" customWidth="1"/>
    <col min="3847" max="3847" width="8.5" style="2694" customWidth="1"/>
    <col min="3848" max="3848" width="18" style="2694" customWidth="1"/>
    <col min="3849" max="4097" width="9" style="2694"/>
    <col min="4098" max="4098" width="22.5" style="2694" customWidth="1"/>
    <col min="4099" max="4099" width="12.75" style="2694" customWidth="1"/>
    <col min="4100" max="4100" width="5.75" style="2694" customWidth="1"/>
    <col min="4101" max="4101" width="20.75" style="2694" customWidth="1"/>
    <col min="4102" max="4102" width="13.875" style="2694" customWidth="1"/>
    <col min="4103" max="4103" width="8.5" style="2694" customWidth="1"/>
    <col min="4104" max="4104" width="18" style="2694" customWidth="1"/>
    <col min="4105" max="4353" width="9" style="2694"/>
    <col min="4354" max="4354" width="22.5" style="2694" customWidth="1"/>
    <col min="4355" max="4355" width="12.75" style="2694" customWidth="1"/>
    <col min="4356" max="4356" width="5.75" style="2694" customWidth="1"/>
    <col min="4357" max="4357" width="20.75" style="2694" customWidth="1"/>
    <col min="4358" max="4358" width="13.875" style="2694" customWidth="1"/>
    <col min="4359" max="4359" width="8.5" style="2694" customWidth="1"/>
    <col min="4360" max="4360" width="18" style="2694" customWidth="1"/>
    <col min="4361" max="4609" width="9" style="2694"/>
    <col min="4610" max="4610" width="22.5" style="2694" customWidth="1"/>
    <col min="4611" max="4611" width="12.75" style="2694" customWidth="1"/>
    <col min="4612" max="4612" width="5.75" style="2694" customWidth="1"/>
    <col min="4613" max="4613" width="20.75" style="2694" customWidth="1"/>
    <col min="4614" max="4614" width="13.875" style="2694" customWidth="1"/>
    <col min="4615" max="4615" width="8.5" style="2694" customWidth="1"/>
    <col min="4616" max="4616" width="18" style="2694" customWidth="1"/>
    <col min="4617" max="4865" width="9" style="2694"/>
    <col min="4866" max="4866" width="22.5" style="2694" customWidth="1"/>
    <col min="4867" max="4867" width="12.75" style="2694" customWidth="1"/>
    <col min="4868" max="4868" width="5.75" style="2694" customWidth="1"/>
    <col min="4869" max="4869" width="20.75" style="2694" customWidth="1"/>
    <col min="4870" max="4870" width="13.875" style="2694" customWidth="1"/>
    <col min="4871" max="4871" width="8.5" style="2694" customWidth="1"/>
    <col min="4872" max="4872" width="18" style="2694" customWidth="1"/>
    <col min="4873" max="5121" width="9" style="2694"/>
    <col min="5122" max="5122" width="22.5" style="2694" customWidth="1"/>
    <col min="5123" max="5123" width="12.75" style="2694" customWidth="1"/>
    <col min="5124" max="5124" width="5.75" style="2694" customWidth="1"/>
    <col min="5125" max="5125" width="20.75" style="2694" customWidth="1"/>
    <col min="5126" max="5126" width="13.875" style="2694" customWidth="1"/>
    <col min="5127" max="5127" width="8.5" style="2694" customWidth="1"/>
    <col min="5128" max="5128" width="18" style="2694" customWidth="1"/>
    <col min="5129" max="5377" width="9" style="2694"/>
    <col min="5378" max="5378" width="22.5" style="2694" customWidth="1"/>
    <col min="5379" max="5379" width="12.75" style="2694" customWidth="1"/>
    <col min="5380" max="5380" width="5.75" style="2694" customWidth="1"/>
    <col min="5381" max="5381" width="20.75" style="2694" customWidth="1"/>
    <col min="5382" max="5382" width="13.875" style="2694" customWidth="1"/>
    <col min="5383" max="5383" width="8.5" style="2694" customWidth="1"/>
    <col min="5384" max="5384" width="18" style="2694" customWidth="1"/>
    <col min="5385" max="5633" width="9" style="2694"/>
    <col min="5634" max="5634" width="22.5" style="2694" customWidth="1"/>
    <col min="5635" max="5635" width="12.75" style="2694" customWidth="1"/>
    <col min="5636" max="5636" width="5.75" style="2694" customWidth="1"/>
    <col min="5637" max="5637" width="20.75" style="2694" customWidth="1"/>
    <col min="5638" max="5638" width="13.875" style="2694" customWidth="1"/>
    <col min="5639" max="5639" width="8.5" style="2694" customWidth="1"/>
    <col min="5640" max="5640" width="18" style="2694" customWidth="1"/>
    <col min="5641" max="5889" width="9" style="2694"/>
    <col min="5890" max="5890" width="22.5" style="2694" customWidth="1"/>
    <col min="5891" max="5891" width="12.75" style="2694" customWidth="1"/>
    <col min="5892" max="5892" width="5.75" style="2694" customWidth="1"/>
    <col min="5893" max="5893" width="20.75" style="2694" customWidth="1"/>
    <col min="5894" max="5894" width="13.875" style="2694" customWidth="1"/>
    <col min="5895" max="5895" width="8.5" style="2694" customWidth="1"/>
    <col min="5896" max="5896" width="18" style="2694" customWidth="1"/>
    <col min="5897" max="6145" width="9" style="2694"/>
    <col min="6146" max="6146" width="22.5" style="2694" customWidth="1"/>
    <col min="6147" max="6147" width="12.75" style="2694" customWidth="1"/>
    <col min="6148" max="6148" width="5.75" style="2694" customWidth="1"/>
    <col min="6149" max="6149" width="20.75" style="2694" customWidth="1"/>
    <col min="6150" max="6150" width="13.875" style="2694" customWidth="1"/>
    <col min="6151" max="6151" width="8.5" style="2694" customWidth="1"/>
    <col min="6152" max="6152" width="18" style="2694" customWidth="1"/>
    <col min="6153" max="6401" width="9" style="2694"/>
    <col min="6402" max="6402" width="22.5" style="2694" customWidth="1"/>
    <col min="6403" max="6403" width="12.75" style="2694" customWidth="1"/>
    <col min="6404" max="6404" width="5.75" style="2694" customWidth="1"/>
    <col min="6405" max="6405" width="20.75" style="2694" customWidth="1"/>
    <col min="6406" max="6406" width="13.875" style="2694" customWidth="1"/>
    <col min="6407" max="6407" width="8.5" style="2694" customWidth="1"/>
    <col min="6408" max="6408" width="18" style="2694" customWidth="1"/>
    <col min="6409" max="6657" width="9" style="2694"/>
    <col min="6658" max="6658" width="22.5" style="2694" customWidth="1"/>
    <col min="6659" max="6659" width="12.75" style="2694" customWidth="1"/>
    <col min="6660" max="6660" width="5.75" style="2694" customWidth="1"/>
    <col min="6661" max="6661" width="20.75" style="2694" customWidth="1"/>
    <col min="6662" max="6662" width="13.875" style="2694" customWidth="1"/>
    <col min="6663" max="6663" width="8.5" style="2694" customWidth="1"/>
    <col min="6664" max="6664" width="18" style="2694" customWidth="1"/>
    <col min="6665" max="6913" width="9" style="2694"/>
    <col min="6914" max="6914" width="22.5" style="2694" customWidth="1"/>
    <col min="6915" max="6915" width="12.75" style="2694" customWidth="1"/>
    <col min="6916" max="6916" width="5.75" style="2694" customWidth="1"/>
    <col min="6917" max="6917" width="20.75" style="2694" customWidth="1"/>
    <col min="6918" max="6918" width="13.875" style="2694" customWidth="1"/>
    <col min="6919" max="6919" width="8.5" style="2694" customWidth="1"/>
    <col min="6920" max="6920" width="18" style="2694" customWidth="1"/>
    <col min="6921" max="7169" width="9" style="2694"/>
    <col min="7170" max="7170" width="22.5" style="2694" customWidth="1"/>
    <col min="7171" max="7171" width="12.75" style="2694" customWidth="1"/>
    <col min="7172" max="7172" width="5.75" style="2694" customWidth="1"/>
    <col min="7173" max="7173" width="20.75" style="2694" customWidth="1"/>
    <col min="7174" max="7174" width="13.875" style="2694" customWidth="1"/>
    <col min="7175" max="7175" width="8.5" style="2694" customWidth="1"/>
    <col min="7176" max="7176" width="18" style="2694" customWidth="1"/>
    <col min="7177" max="7425" width="9" style="2694"/>
    <col min="7426" max="7426" width="22.5" style="2694" customWidth="1"/>
    <col min="7427" max="7427" width="12.75" style="2694" customWidth="1"/>
    <col min="7428" max="7428" width="5.75" style="2694" customWidth="1"/>
    <col min="7429" max="7429" width="20.75" style="2694" customWidth="1"/>
    <col min="7430" max="7430" width="13.875" style="2694" customWidth="1"/>
    <col min="7431" max="7431" width="8.5" style="2694" customWidth="1"/>
    <col min="7432" max="7432" width="18" style="2694" customWidth="1"/>
    <col min="7433" max="7681" width="9" style="2694"/>
    <col min="7682" max="7682" width="22.5" style="2694" customWidth="1"/>
    <col min="7683" max="7683" width="12.75" style="2694" customWidth="1"/>
    <col min="7684" max="7684" width="5.75" style="2694" customWidth="1"/>
    <col min="7685" max="7685" width="20.75" style="2694" customWidth="1"/>
    <col min="7686" max="7686" width="13.875" style="2694" customWidth="1"/>
    <col min="7687" max="7687" width="8.5" style="2694" customWidth="1"/>
    <col min="7688" max="7688" width="18" style="2694" customWidth="1"/>
    <col min="7689" max="7937" width="9" style="2694"/>
    <col min="7938" max="7938" width="22.5" style="2694" customWidth="1"/>
    <col min="7939" max="7939" width="12.75" style="2694" customWidth="1"/>
    <col min="7940" max="7940" width="5.75" style="2694" customWidth="1"/>
    <col min="7941" max="7941" width="20.75" style="2694" customWidth="1"/>
    <col min="7942" max="7942" width="13.875" style="2694" customWidth="1"/>
    <col min="7943" max="7943" width="8.5" style="2694" customWidth="1"/>
    <col min="7944" max="7944" width="18" style="2694" customWidth="1"/>
    <col min="7945" max="8193" width="9" style="2694"/>
    <col min="8194" max="8194" width="22.5" style="2694" customWidth="1"/>
    <col min="8195" max="8195" width="12.75" style="2694" customWidth="1"/>
    <col min="8196" max="8196" width="5.75" style="2694" customWidth="1"/>
    <col min="8197" max="8197" width="20.75" style="2694" customWidth="1"/>
    <col min="8198" max="8198" width="13.875" style="2694" customWidth="1"/>
    <col min="8199" max="8199" width="8.5" style="2694" customWidth="1"/>
    <col min="8200" max="8200" width="18" style="2694" customWidth="1"/>
    <col min="8201" max="8449" width="9" style="2694"/>
    <col min="8450" max="8450" width="22.5" style="2694" customWidth="1"/>
    <col min="8451" max="8451" width="12.75" style="2694" customWidth="1"/>
    <col min="8452" max="8452" width="5.75" style="2694" customWidth="1"/>
    <col min="8453" max="8453" width="20.75" style="2694" customWidth="1"/>
    <col min="8454" max="8454" width="13.875" style="2694" customWidth="1"/>
    <col min="8455" max="8455" width="8.5" style="2694" customWidth="1"/>
    <col min="8456" max="8456" width="18" style="2694" customWidth="1"/>
    <col min="8457" max="8705" width="9" style="2694"/>
    <col min="8706" max="8706" width="22.5" style="2694" customWidth="1"/>
    <col min="8707" max="8707" width="12.75" style="2694" customWidth="1"/>
    <col min="8708" max="8708" width="5.75" style="2694" customWidth="1"/>
    <col min="8709" max="8709" width="20.75" style="2694" customWidth="1"/>
    <col min="8710" max="8710" width="13.875" style="2694" customWidth="1"/>
    <col min="8711" max="8711" width="8.5" style="2694" customWidth="1"/>
    <col min="8712" max="8712" width="18" style="2694" customWidth="1"/>
    <col min="8713" max="8961" width="9" style="2694"/>
    <col min="8962" max="8962" width="22.5" style="2694" customWidth="1"/>
    <col min="8963" max="8963" width="12.75" style="2694" customWidth="1"/>
    <col min="8964" max="8964" width="5.75" style="2694" customWidth="1"/>
    <col min="8965" max="8965" width="20.75" style="2694" customWidth="1"/>
    <col min="8966" max="8966" width="13.875" style="2694" customWidth="1"/>
    <col min="8967" max="8967" width="8.5" style="2694" customWidth="1"/>
    <col min="8968" max="8968" width="18" style="2694" customWidth="1"/>
    <col min="8969" max="9217" width="9" style="2694"/>
    <col min="9218" max="9218" width="22.5" style="2694" customWidth="1"/>
    <col min="9219" max="9219" width="12.75" style="2694" customWidth="1"/>
    <col min="9220" max="9220" width="5.75" style="2694" customWidth="1"/>
    <col min="9221" max="9221" width="20.75" style="2694" customWidth="1"/>
    <col min="9222" max="9222" width="13.875" style="2694" customWidth="1"/>
    <col min="9223" max="9223" width="8.5" style="2694" customWidth="1"/>
    <col min="9224" max="9224" width="18" style="2694" customWidth="1"/>
    <col min="9225" max="9473" width="9" style="2694"/>
    <col min="9474" max="9474" width="22.5" style="2694" customWidth="1"/>
    <col min="9475" max="9475" width="12.75" style="2694" customWidth="1"/>
    <col min="9476" max="9476" width="5.75" style="2694" customWidth="1"/>
    <col min="9477" max="9477" width="20.75" style="2694" customWidth="1"/>
    <col min="9478" max="9478" width="13.875" style="2694" customWidth="1"/>
    <col min="9479" max="9479" width="8.5" style="2694" customWidth="1"/>
    <col min="9480" max="9480" width="18" style="2694" customWidth="1"/>
    <col min="9481" max="9729" width="9" style="2694"/>
    <col min="9730" max="9730" width="22.5" style="2694" customWidth="1"/>
    <col min="9731" max="9731" width="12.75" style="2694" customWidth="1"/>
    <col min="9732" max="9732" width="5.75" style="2694" customWidth="1"/>
    <col min="9733" max="9733" width="20.75" style="2694" customWidth="1"/>
    <col min="9734" max="9734" width="13.875" style="2694" customWidth="1"/>
    <col min="9735" max="9735" width="8.5" style="2694" customWidth="1"/>
    <col min="9736" max="9736" width="18" style="2694" customWidth="1"/>
    <col min="9737" max="9985" width="9" style="2694"/>
    <col min="9986" max="9986" width="22.5" style="2694" customWidth="1"/>
    <col min="9987" max="9987" width="12.75" style="2694" customWidth="1"/>
    <col min="9988" max="9988" width="5.75" style="2694" customWidth="1"/>
    <col min="9989" max="9989" width="20.75" style="2694" customWidth="1"/>
    <col min="9990" max="9990" width="13.875" style="2694" customWidth="1"/>
    <col min="9991" max="9991" width="8.5" style="2694" customWidth="1"/>
    <col min="9992" max="9992" width="18" style="2694" customWidth="1"/>
    <col min="9993" max="10241" width="9" style="2694"/>
    <col min="10242" max="10242" width="22.5" style="2694" customWidth="1"/>
    <col min="10243" max="10243" width="12.75" style="2694" customWidth="1"/>
    <col min="10244" max="10244" width="5.75" style="2694" customWidth="1"/>
    <col min="10245" max="10245" width="20.75" style="2694" customWidth="1"/>
    <col min="10246" max="10246" width="13.875" style="2694" customWidth="1"/>
    <col min="10247" max="10247" width="8.5" style="2694" customWidth="1"/>
    <col min="10248" max="10248" width="18" style="2694" customWidth="1"/>
    <col min="10249" max="10497" width="9" style="2694"/>
    <col min="10498" max="10498" width="22.5" style="2694" customWidth="1"/>
    <col min="10499" max="10499" width="12.75" style="2694" customWidth="1"/>
    <col min="10500" max="10500" width="5.75" style="2694" customWidth="1"/>
    <col min="10501" max="10501" width="20.75" style="2694" customWidth="1"/>
    <col min="10502" max="10502" width="13.875" style="2694" customWidth="1"/>
    <col min="10503" max="10503" width="8.5" style="2694" customWidth="1"/>
    <col min="10504" max="10504" width="18" style="2694" customWidth="1"/>
    <col min="10505" max="10753" width="9" style="2694"/>
    <col min="10754" max="10754" width="22.5" style="2694" customWidth="1"/>
    <col min="10755" max="10755" width="12.75" style="2694" customWidth="1"/>
    <col min="10756" max="10756" width="5.75" style="2694" customWidth="1"/>
    <col min="10757" max="10757" width="20.75" style="2694" customWidth="1"/>
    <col min="10758" max="10758" width="13.875" style="2694" customWidth="1"/>
    <col min="10759" max="10759" width="8.5" style="2694" customWidth="1"/>
    <col min="10760" max="10760" width="18" style="2694" customWidth="1"/>
    <col min="10761" max="11009" width="9" style="2694"/>
    <col min="11010" max="11010" width="22.5" style="2694" customWidth="1"/>
    <col min="11011" max="11011" width="12.75" style="2694" customWidth="1"/>
    <col min="11012" max="11012" width="5.75" style="2694" customWidth="1"/>
    <col min="11013" max="11013" width="20.75" style="2694" customWidth="1"/>
    <col min="11014" max="11014" width="13.875" style="2694" customWidth="1"/>
    <col min="11015" max="11015" width="8.5" style="2694" customWidth="1"/>
    <col min="11016" max="11016" width="18" style="2694" customWidth="1"/>
    <col min="11017" max="11265" width="9" style="2694"/>
    <col min="11266" max="11266" width="22.5" style="2694" customWidth="1"/>
    <col min="11267" max="11267" width="12.75" style="2694" customWidth="1"/>
    <col min="11268" max="11268" width="5.75" style="2694" customWidth="1"/>
    <col min="11269" max="11269" width="20.75" style="2694" customWidth="1"/>
    <col min="11270" max="11270" width="13.875" style="2694" customWidth="1"/>
    <col min="11271" max="11271" width="8.5" style="2694" customWidth="1"/>
    <col min="11272" max="11272" width="18" style="2694" customWidth="1"/>
    <col min="11273" max="11521" width="9" style="2694"/>
    <col min="11522" max="11522" width="22.5" style="2694" customWidth="1"/>
    <col min="11523" max="11523" width="12.75" style="2694" customWidth="1"/>
    <col min="11524" max="11524" width="5.75" style="2694" customWidth="1"/>
    <col min="11525" max="11525" width="20.75" style="2694" customWidth="1"/>
    <col min="11526" max="11526" width="13.875" style="2694" customWidth="1"/>
    <col min="11527" max="11527" width="8.5" style="2694" customWidth="1"/>
    <col min="11528" max="11528" width="18" style="2694" customWidth="1"/>
    <col min="11529" max="11777" width="9" style="2694"/>
    <col min="11778" max="11778" width="22.5" style="2694" customWidth="1"/>
    <col min="11779" max="11779" width="12.75" style="2694" customWidth="1"/>
    <col min="11780" max="11780" width="5.75" style="2694" customWidth="1"/>
    <col min="11781" max="11781" width="20.75" style="2694" customWidth="1"/>
    <col min="11782" max="11782" width="13.875" style="2694" customWidth="1"/>
    <col min="11783" max="11783" width="8.5" style="2694" customWidth="1"/>
    <col min="11784" max="11784" width="18" style="2694" customWidth="1"/>
    <col min="11785" max="12033" width="9" style="2694"/>
    <col min="12034" max="12034" width="22.5" style="2694" customWidth="1"/>
    <col min="12035" max="12035" width="12.75" style="2694" customWidth="1"/>
    <col min="12036" max="12036" width="5.75" style="2694" customWidth="1"/>
    <col min="12037" max="12037" width="20.75" style="2694" customWidth="1"/>
    <col min="12038" max="12038" width="13.875" style="2694" customWidth="1"/>
    <col min="12039" max="12039" width="8.5" style="2694" customWidth="1"/>
    <col min="12040" max="12040" width="18" style="2694" customWidth="1"/>
    <col min="12041" max="12289" width="9" style="2694"/>
    <col min="12290" max="12290" width="22.5" style="2694" customWidth="1"/>
    <col min="12291" max="12291" width="12.75" style="2694" customWidth="1"/>
    <col min="12292" max="12292" width="5.75" style="2694" customWidth="1"/>
    <col min="12293" max="12293" width="20.75" style="2694" customWidth="1"/>
    <col min="12294" max="12294" width="13.875" style="2694" customWidth="1"/>
    <col min="12295" max="12295" width="8.5" style="2694" customWidth="1"/>
    <col min="12296" max="12296" width="18" style="2694" customWidth="1"/>
    <col min="12297" max="12545" width="9" style="2694"/>
    <col min="12546" max="12546" width="22.5" style="2694" customWidth="1"/>
    <col min="12547" max="12547" width="12.75" style="2694" customWidth="1"/>
    <col min="12548" max="12548" width="5.75" style="2694" customWidth="1"/>
    <col min="12549" max="12549" width="20.75" style="2694" customWidth="1"/>
    <col min="12550" max="12550" width="13.875" style="2694" customWidth="1"/>
    <col min="12551" max="12551" width="8.5" style="2694" customWidth="1"/>
    <col min="12552" max="12552" width="18" style="2694" customWidth="1"/>
    <col min="12553" max="12801" width="9" style="2694"/>
    <col min="12802" max="12802" width="22.5" style="2694" customWidth="1"/>
    <col min="12803" max="12803" width="12.75" style="2694" customWidth="1"/>
    <col min="12804" max="12804" width="5.75" style="2694" customWidth="1"/>
    <col min="12805" max="12805" width="20.75" style="2694" customWidth="1"/>
    <col min="12806" max="12806" width="13.875" style="2694" customWidth="1"/>
    <col min="12807" max="12807" width="8.5" style="2694" customWidth="1"/>
    <col min="12808" max="12808" width="18" style="2694" customWidth="1"/>
    <col min="12809" max="13057" width="9" style="2694"/>
    <col min="13058" max="13058" width="22.5" style="2694" customWidth="1"/>
    <col min="13059" max="13059" width="12.75" style="2694" customWidth="1"/>
    <col min="13060" max="13060" width="5.75" style="2694" customWidth="1"/>
    <col min="13061" max="13061" width="20.75" style="2694" customWidth="1"/>
    <col min="13062" max="13062" width="13.875" style="2694" customWidth="1"/>
    <col min="13063" max="13063" width="8.5" style="2694" customWidth="1"/>
    <col min="13064" max="13064" width="18" style="2694" customWidth="1"/>
    <col min="13065" max="13313" width="9" style="2694"/>
    <col min="13314" max="13314" width="22.5" style="2694" customWidth="1"/>
    <col min="13315" max="13315" width="12.75" style="2694" customWidth="1"/>
    <col min="13316" max="13316" width="5.75" style="2694" customWidth="1"/>
    <col min="13317" max="13317" width="20.75" style="2694" customWidth="1"/>
    <col min="13318" max="13318" width="13.875" style="2694" customWidth="1"/>
    <col min="13319" max="13319" width="8.5" style="2694" customWidth="1"/>
    <col min="13320" max="13320" width="18" style="2694" customWidth="1"/>
    <col min="13321" max="13569" width="9" style="2694"/>
    <col min="13570" max="13570" width="22.5" style="2694" customWidth="1"/>
    <col min="13571" max="13571" width="12.75" style="2694" customWidth="1"/>
    <col min="13572" max="13572" width="5.75" style="2694" customWidth="1"/>
    <col min="13573" max="13573" width="20.75" style="2694" customWidth="1"/>
    <col min="13574" max="13574" width="13.875" style="2694" customWidth="1"/>
    <col min="13575" max="13575" width="8.5" style="2694" customWidth="1"/>
    <col min="13576" max="13576" width="18" style="2694" customWidth="1"/>
    <col min="13577" max="13825" width="9" style="2694"/>
    <col min="13826" max="13826" width="22.5" style="2694" customWidth="1"/>
    <col min="13827" max="13827" width="12.75" style="2694" customWidth="1"/>
    <col min="13828" max="13828" width="5.75" style="2694" customWidth="1"/>
    <col min="13829" max="13829" width="20.75" style="2694" customWidth="1"/>
    <col min="13830" max="13830" width="13.875" style="2694" customWidth="1"/>
    <col min="13831" max="13831" width="8.5" style="2694" customWidth="1"/>
    <col min="13832" max="13832" width="18" style="2694" customWidth="1"/>
    <col min="13833" max="14081" width="9" style="2694"/>
    <col min="14082" max="14082" width="22.5" style="2694" customWidth="1"/>
    <col min="14083" max="14083" width="12.75" style="2694" customWidth="1"/>
    <col min="14084" max="14084" width="5.75" style="2694" customWidth="1"/>
    <col min="14085" max="14085" width="20.75" style="2694" customWidth="1"/>
    <col min="14086" max="14086" width="13.875" style="2694" customWidth="1"/>
    <col min="14087" max="14087" width="8.5" style="2694" customWidth="1"/>
    <col min="14088" max="14088" width="18" style="2694" customWidth="1"/>
    <col min="14089" max="14337" width="9" style="2694"/>
    <col min="14338" max="14338" width="22.5" style="2694" customWidth="1"/>
    <col min="14339" max="14339" width="12.75" style="2694" customWidth="1"/>
    <col min="14340" max="14340" width="5.75" style="2694" customWidth="1"/>
    <col min="14341" max="14341" width="20.75" style="2694" customWidth="1"/>
    <col min="14342" max="14342" width="13.875" style="2694" customWidth="1"/>
    <col min="14343" max="14343" width="8.5" style="2694" customWidth="1"/>
    <col min="14344" max="14344" width="18" style="2694" customWidth="1"/>
    <col min="14345" max="14593" width="9" style="2694"/>
    <col min="14594" max="14594" width="22.5" style="2694" customWidth="1"/>
    <col min="14595" max="14595" width="12.75" style="2694" customWidth="1"/>
    <col min="14596" max="14596" width="5.75" style="2694" customWidth="1"/>
    <col min="14597" max="14597" width="20.75" style="2694" customWidth="1"/>
    <col min="14598" max="14598" width="13.875" style="2694" customWidth="1"/>
    <col min="14599" max="14599" width="8.5" style="2694" customWidth="1"/>
    <col min="14600" max="14600" width="18" style="2694" customWidth="1"/>
    <col min="14601" max="14849" width="9" style="2694"/>
    <col min="14850" max="14850" width="22.5" style="2694" customWidth="1"/>
    <col min="14851" max="14851" width="12.75" style="2694" customWidth="1"/>
    <col min="14852" max="14852" width="5.75" style="2694" customWidth="1"/>
    <col min="14853" max="14853" width="20.75" style="2694" customWidth="1"/>
    <col min="14854" max="14854" width="13.875" style="2694" customWidth="1"/>
    <col min="14855" max="14855" width="8.5" style="2694" customWidth="1"/>
    <col min="14856" max="14856" width="18" style="2694" customWidth="1"/>
    <col min="14857" max="15105" width="9" style="2694"/>
    <col min="15106" max="15106" width="22.5" style="2694" customWidth="1"/>
    <col min="15107" max="15107" width="12.75" style="2694" customWidth="1"/>
    <col min="15108" max="15108" width="5.75" style="2694" customWidth="1"/>
    <col min="15109" max="15109" width="20.75" style="2694" customWidth="1"/>
    <col min="15110" max="15110" width="13.875" style="2694" customWidth="1"/>
    <col min="15111" max="15111" width="8.5" style="2694" customWidth="1"/>
    <col min="15112" max="15112" width="18" style="2694" customWidth="1"/>
    <col min="15113" max="15361" width="9" style="2694"/>
    <col min="15362" max="15362" width="22.5" style="2694" customWidth="1"/>
    <col min="15363" max="15363" width="12.75" style="2694" customWidth="1"/>
    <col min="15364" max="15364" width="5.75" style="2694" customWidth="1"/>
    <col min="15365" max="15365" width="20.75" style="2694" customWidth="1"/>
    <col min="15366" max="15366" width="13.875" style="2694" customWidth="1"/>
    <col min="15367" max="15367" width="8.5" style="2694" customWidth="1"/>
    <col min="15368" max="15368" width="18" style="2694" customWidth="1"/>
    <col min="15369" max="15617" width="9" style="2694"/>
    <col min="15618" max="15618" width="22.5" style="2694" customWidth="1"/>
    <col min="15619" max="15619" width="12.75" style="2694" customWidth="1"/>
    <col min="15620" max="15620" width="5.75" style="2694" customWidth="1"/>
    <col min="15621" max="15621" width="20.75" style="2694" customWidth="1"/>
    <col min="15622" max="15622" width="13.875" style="2694" customWidth="1"/>
    <col min="15623" max="15623" width="8.5" style="2694" customWidth="1"/>
    <col min="15624" max="15624" width="18" style="2694" customWidth="1"/>
    <col min="15625" max="15873" width="9" style="2694"/>
    <col min="15874" max="15874" width="22.5" style="2694" customWidth="1"/>
    <col min="15875" max="15875" width="12.75" style="2694" customWidth="1"/>
    <col min="15876" max="15876" width="5.75" style="2694" customWidth="1"/>
    <col min="15877" max="15877" width="20.75" style="2694" customWidth="1"/>
    <col min="15878" max="15878" width="13.875" style="2694" customWidth="1"/>
    <col min="15879" max="15879" width="8.5" style="2694" customWidth="1"/>
    <col min="15880" max="15880" width="18" style="2694" customWidth="1"/>
    <col min="15881" max="16129" width="9" style="2694"/>
    <col min="16130" max="16130" width="22.5" style="2694" customWidth="1"/>
    <col min="16131" max="16131" width="12.75" style="2694" customWidth="1"/>
    <col min="16132" max="16132" width="5.75" style="2694" customWidth="1"/>
    <col min="16133" max="16133" width="20.75" style="2694" customWidth="1"/>
    <col min="16134" max="16134" width="13.875" style="2694" customWidth="1"/>
    <col min="16135" max="16135" width="8.5" style="2694" customWidth="1"/>
    <col min="16136" max="16136" width="18" style="2694" customWidth="1"/>
    <col min="16137" max="16384" width="9" style="2694"/>
  </cols>
  <sheetData>
    <row r="1" spans="1:10" ht="25.5">
      <c r="A1" s="4656" t="s">
        <v>142</v>
      </c>
      <c r="B1" s="4657"/>
      <c r="C1" s="4657"/>
      <c r="D1" s="4657"/>
      <c r="E1" s="4657"/>
      <c r="F1" s="4657"/>
      <c r="G1" s="4657"/>
      <c r="H1" s="4658"/>
      <c r="I1" s="3731"/>
      <c r="J1" s="3731"/>
    </row>
    <row r="2" spans="1:10" ht="15">
      <c r="A2" s="4659" t="s">
        <v>1697</v>
      </c>
      <c r="B2" s="4659"/>
      <c r="C2" s="3689"/>
      <c r="D2" s="3689" t="s">
        <v>234</v>
      </c>
      <c r="E2" s="3690">
        <v>1.1000000000000001</v>
      </c>
      <c r="F2" s="3691"/>
      <c r="G2" s="3692"/>
      <c r="H2" s="3693"/>
      <c r="I2" s="3732"/>
      <c r="J2" s="3732"/>
    </row>
    <row r="3" spans="1:10" ht="15">
      <c r="A3" s="4649" t="s">
        <v>1698</v>
      </c>
      <c r="B3" s="4649"/>
      <c r="C3" s="3689"/>
      <c r="D3" s="3689" t="s">
        <v>234</v>
      </c>
      <c r="E3" s="3690">
        <v>5.4</v>
      </c>
      <c r="F3" s="3694"/>
      <c r="G3" s="3695"/>
      <c r="H3" s="3696"/>
      <c r="I3" s="3732"/>
      <c r="J3" s="3732"/>
    </row>
    <row r="4" spans="1:10">
      <c r="A4" s="4650" t="s">
        <v>1699</v>
      </c>
      <c r="B4" s="4650"/>
      <c r="C4" s="3286"/>
      <c r="D4" s="3286" t="s">
        <v>234</v>
      </c>
      <c r="E4" s="3697">
        <f>E3+E2</f>
        <v>6.5</v>
      </c>
      <c r="F4" s="3698"/>
      <c r="G4" s="3699"/>
      <c r="H4" s="3700"/>
      <c r="I4" s="3731"/>
      <c r="J4" s="3731"/>
    </row>
    <row r="5" spans="1:10" ht="15">
      <c r="A5" s="4650" t="s">
        <v>1700</v>
      </c>
      <c r="B5" s="4650"/>
      <c r="C5" s="3286"/>
      <c r="D5" s="3286"/>
      <c r="E5" s="3690">
        <v>5</v>
      </c>
      <c r="F5" s="3701"/>
      <c r="G5" s="3699"/>
      <c r="H5" s="3700"/>
      <c r="I5" s="3731"/>
      <c r="J5" s="3731"/>
    </row>
    <row r="6" spans="1:10">
      <c r="A6" s="4650" t="s">
        <v>1701</v>
      </c>
      <c r="B6" s="4650"/>
      <c r="C6" s="3286"/>
      <c r="D6" s="3286"/>
      <c r="E6" s="3697">
        <f>E5+2</f>
        <v>7</v>
      </c>
      <c r="F6" s="3701"/>
      <c r="G6" s="3699"/>
      <c r="H6" s="3700"/>
      <c r="I6" s="3731"/>
      <c r="J6" s="3731"/>
    </row>
    <row r="7" spans="1:10" ht="15">
      <c r="A7" s="4650" t="s">
        <v>1702</v>
      </c>
      <c r="B7" s="4650"/>
      <c r="C7" s="3286"/>
      <c r="D7" s="3286" t="s">
        <v>234</v>
      </c>
      <c r="E7" s="3702">
        <f>(E9-2*E2)/E5</f>
        <v>2.56</v>
      </c>
      <c r="F7" s="3703" t="s">
        <v>1703</v>
      </c>
      <c r="G7" s="3704"/>
      <c r="H7" s="3700"/>
      <c r="I7" s="3731"/>
      <c r="J7" s="3731">
        <f>E7*E5</f>
        <v>12.8</v>
      </c>
    </row>
    <row r="8" spans="1:10" ht="15">
      <c r="A8" s="4649" t="s">
        <v>1704</v>
      </c>
      <c r="B8" s="4649"/>
      <c r="C8" s="3286"/>
      <c r="D8" s="3286"/>
      <c r="E8" s="3705">
        <f>E7-E2</f>
        <v>1.46</v>
      </c>
      <c r="F8" s="3703"/>
      <c r="G8" s="3704"/>
      <c r="H8" s="3700"/>
      <c r="I8" s="3731"/>
      <c r="J8" s="3731"/>
    </row>
    <row r="9" spans="1:10" ht="15">
      <c r="A9" s="4649" t="s">
        <v>1705</v>
      </c>
      <c r="B9" s="4649"/>
      <c r="C9" s="3286"/>
      <c r="D9" s="3286"/>
      <c r="E9" s="3706">
        <v>15</v>
      </c>
      <c r="F9" s="3707"/>
      <c r="G9" s="3708"/>
      <c r="H9" s="3284"/>
      <c r="I9" s="3731"/>
      <c r="J9" s="3731"/>
    </row>
    <row r="10" spans="1:10" ht="15">
      <c r="A10" s="4649" t="s">
        <v>1706</v>
      </c>
      <c r="B10" s="4649"/>
      <c r="C10" s="3286"/>
      <c r="D10" s="3286"/>
      <c r="E10" s="3709">
        <f>E9/E3</f>
        <v>2.7777777777777799</v>
      </c>
      <c r="F10" s="4654" t="s">
        <v>1707</v>
      </c>
      <c r="G10" s="4654"/>
      <c r="H10" s="4654"/>
      <c r="I10" s="3731"/>
      <c r="J10" s="3731"/>
    </row>
    <row r="11" spans="1:10" ht="15">
      <c r="A11" s="4655" t="s">
        <v>1708</v>
      </c>
      <c r="B11" s="4655"/>
      <c r="C11" s="3710"/>
      <c r="D11" s="3710"/>
      <c r="E11" s="3286" t="s">
        <v>1709</v>
      </c>
      <c r="F11" s="3286" t="s">
        <v>1710</v>
      </c>
      <c r="G11" s="3286"/>
      <c r="H11" s="3286" t="s">
        <v>1711</v>
      </c>
      <c r="I11" s="3733"/>
      <c r="J11" s="3731"/>
    </row>
    <row r="12" spans="1:10" ht="15">
      <c r="A12" s="4650" t="s">
        <v>1712</v>
      </c>
      <c r="B12" s="4650"/>
      <c r="C12" s="3286"/>
      <c r="D12" s="3286" t="s">
        <v>234</v>
      </c>
      <c r="E12" s="3711">
        <f>E9-E8*E5</f>
        <v>7.7</v>
      </c>
      <c r="F12" s="3712">
        <v>13</v>
      </c>
      <c r="G12" s="3713"/>
      <c r="H12" s="3714">
        <v>12</v>
      </c>
      <c r="I12" s="3733"/>
      <c r="J12" s="3731"/>
    </row>
    <row r="13" spans="1:10">
      <c r="A13" s="4650" t="s">
        <v>1713</v>
      </c>
      <c r="B13" s="4650"/>
      <c r="C13" s="3286"/>
      <c r="D13" s="3286" t="s">
        <v>464</v>
      </c>
      <c r="E13" s="3715">
        <f>E17*(E9-E12)</f>
        <v>135.75077478026699</v>
      </c>
      <c r="F13" s="3715">
        <f>F17*(E9-F12)</f>
        <v>37.191993090484203</v>
      </c>
      <c r="G13" s="3715"/>
      <c r="H13" s="3715">
        <f>H17*(E9-H12)</f>
        <v>55.787989635726298</v>
      </c>
      <c r="I13" s="3733"/>
      <c r="J13" s="3731"/>
    </row>
    <row r="14" spans="1:10">
      <c r="A14" s="4649" t="s">
        <v>1714</v>
      </c>
      <c r="B14" s="4649"/>
      <c r="C14" s="3286"/>
      <c r="D14" s="3286"/>
      <c r="E14" s="3716"/>
      <c r="F14" s="3716"/>
      <c r="G14" s="3716"/>
      <c r="H14" s="3717" t="s">
        <v>1715</v>
      </c>
      <c r="I14" s="3733"/>
      <c r="J14" s="3731"/>
    </row>
    <row r="15" spans="1:10" ht="15">
      <c r="A15" s="4649" t="s">
        <v>1716</v>
      </c>
      <c r="B15" s="4649"/>
      <c r="C15" s="3286"/>
      <c r="D15" s="3286"/>
      <c r="E15" s="3716"/>
      <c r="F15" s="3716"/>
      <c r="G15" s="3716"/>
      <c r="H15" s="3718">
        <v>500</v>
      </c>
      <c r="I15" s="3733"/>
      <c r="J15" s="3731"/>
    </row>
    <row r="16" spans="1:10" ht="15">
      <c r="A16" s="4649" t="s">
        <v>1717</v>
      </c>
      <c r="B16" s="4649"/>
      <c r="C16" s="3286"/>
      <c r="D16" s="3286"/>
      <c r="E16" s="3716"/>
      <c r="F16" s="3716"/>
      <c r="G16" s="3716"/>
      <c r="H16" s="3718">
        <v>6</v>
      </c>
      <c r="I16" s="3733"/>
      <c r="J16" s="3731"/>
    </row>
    <row r="17" spans="1:10">
      <c r="A17" s="4650" t="s">
        <v>1718</v>
      </c>
      <c r="B17" s="4650"/>
      <c r="C17" s="3286"/>
      <c r="D17" s="3286" t="s">
        <v>1719</v>
      </c>
      <c r="E17" s="3715">
        <f>E24*E2^4/(8*E3^3*E5)</f>
        <v>18.595996545242102</v>
      </c>
      <c r="F17" s="3715">
        <f>E24*E2^4/(8*E3^3*E5)</f>
        <v>18.595996545242102</v>
      </c>
      <c r="G17" s="3715"/>
      <c r="H17" s="3715">
        <f>F17</f>
        <v>18.595996545242102</v>
      </c>
      <c r="I17" s="3733"/>
      <c r="J17" s="3731"/>
    </row>
    <row r="18" spans="1:10">
      <c r="A18" s="4650" t="s">
        <v>1720</v>
      </c>
      <c r="B18" s="4650"/>
      <c r="C18" s="3286"/>
      <c r="D18" s="3286" t="s">
        <v>1721</v>
      </c>
      <c r="E18" s="3719">
        <f>8*E13*$E$3*$C$28/(PI()*$E$2^3)</f>
        <v>1847.26624811902</v>
      </c>
      <c r="F18" s="3719">
        <f>8*F13*$E$3*$C$28/(PI()*$E$2^3)</f>
        <v>506.10034195041698</v>
      </c>
      <c r="G18" s="3719"/>
      <c r="H18" s="3719">
        <f>8*H13*$E$3*$C$28/(PI()*$E$2^3)</f>
        <v>759.150512925626</v>
      </c>
      <c r="I18" s="3733"/>
      <c r="J18" s="3731">
        <f>H18/1.2</f>
        <v>632.62542743802203</v>
      </c>
    </row>
    <row r="19" spans="1:10">
      <c r="A19" s="4650" t="s">
        <v>1722</v>
      </c>
      <c r="B19" s="4650"/>
      <c r="C19" s="3286"/>
      <c r="D19" s="3286" t="s">
        <v>1723</v>
      </c>
      <c r="E19" s="3716"/>
      <c r="F19" s="3716"/>
      <c r="G19" s="3716"/>
      <c r="H19" s="3716"/>
      <c r="I19" s="3733"/>
      <c r="J19" s="3731"/>
    </row>
    <row r="20" spans="1:10">
      <c r="A20" s="4649" t="s">
        <v>1724</v>
      </c>
      <c r="B20" s="4649"/>
      <c r="C20" s="3286"/>
      <c r="D20" s="3286"/>
      <c r="E20" s="3286">
        <f>PI()*E3*E6/COS(E21)</f>
        <v>120.09667752462001</v>
      </c>
      <c r="F20" s="3286"/>
      <c r="G20" s="3286"/>
      <c r="H20" s="3286"/>
      <c r="I20" s="3733"/>
      <c r="J20" s="3731"/>
    </row>
    <row r="21" spans="1:10">
      <c r="A21" s="4649" t="s">
        <v>1725</v>
      </c>
      <c r="B21" s="4649"/>
      <c r="C21" s="3286"/>
      <c r="D21" s="3286"/>
      <c r="E21" s="3286">
        <f>ATAN(E7/PI()/E3)</f>
        <v>0.149772436474719</v>
      </c>
      <c r="F21" s="3286">
        <f>E21*180/PI()</f>
        <v>8.5813284973926596</v>
      </c>
      <c r="G21" s="3286"/>
      <c r="H21" s="3286" t="s">
        <v>1726</v>
      </c>
      <c r="I21" s="3733"/>
      <c r="J21" s="3731"/>
    </row>
    <row r="22" spans="1:10">
      <c r="A22" s="3720" t="s">
        <v>1727</v>
      </c>
      <c r="B22" s="3721"/>
      <c r="C22" s="3722"/>
      <c r="D22" s="3286"/>
      <c r="E22" s="3286"/>
      <c r="F22" s="3286"/>
      <c r="G22" s="3286"/>
      <c r="H22" s="3286"/>
      <c r="I22" s="3733"/>
      <c r="J22" s="3731"/>
    </row>
    <row r="23" spans="1:10">
      <c r="A23" s="4650"/>
      <c r="B23" s="4650"/>
      <c r="C23" s="3286"/>
      <c r="D23" s="3286"/>
      <c r="E23" s="3286" t="s">
        <v>1728</v>
      </c>
      <c r="F23" s="3286" t="s">
        <v>1729</v>
      </c>
      <c r="G23" s="3286" t="s">
        <v>1730</v>
      </c>
      <c r="H23" s="3286" t="s">
        <v>1731</v>
      </c>
      <c r="I23" s="3731"/>
      <c r="J23" s="3731"/>
    </row>
    <row r="24" spans="1:10">
      <c r="A24" s="4650" t="s">
        <v>1732</v>
      </c>
      <c r="B24" s="4650"/>
      <c r="C24" s="3286"/>
      <c r="D24" s="3286" t="s">
        <v>1721</v>
      </c>
      <c r="E24" s="3723">
        <v>80000</v>
      </c>
      <c r="F24" s="3723">
        <v>80000</v>
      </c>
      <c r="G24" s="3724">
        <v>80000</v>
      </c>
      <c r="H24" s="3723">
        <v>80000</v>
      </c>
      <c r="I24" s="3731"/>
      <c r="J24" s="3731"/>
    </row>
    <row r="25" spans="1:10">
      <c r="A25" s="4649" t="s">
        <v>1733</v>
      </c>
      <c r="B25" s="4649"/>
      <c r="C25" s="3725"/>
      <c r="D25" s="3286" t="s">
        <v>1721</v>
      </c>
      <c r="E25" s="3723">
        <v>196000</v>
      </c>
      <c r="F25" s="3723">
        <v>196000</v>
      </c>
      <c r="G25" s="3723">
        <v>196000</v>
      </c>
      <c r="H25" s="3723">
        <v>196000</v>
      </c>
      <c r="I25" s="3731"/>
      <c r="J25" s="3731"/>
    </row>
    <row r="26" spans="1:10">
      <c r="A26" s="4650" t="s">
        <v>1734</v>
      </c>
      <c r="B26" s="4650"/>
      <c r="C26" s="3286"/>
      <c r="D26" s="3286" t="s">
        <v>1721</v>
      </c>
      <c r="E26" s="3286">
        <v>1127.75</v>
      </c>
      <c r="F26" s="3286">
        <v>1569.05</v>
      </c>
      <c r="G26" s="3286">
        <v>1500</v>
      </c>
      <c r="H26" s="3286">
        <v>1667.11</v>
      </c>
      <c r="I26" s="3731"/>
      <c r="J26" s="3731"/>
    </row>
    <row r="27" spans="1:10">
      <c r="A27" s="4649" t="s">
        <v>1735</v>
      </c>
      <c r="B27" s="4649"/>
      <c r="C27" s="3725"/>
      <c r="D27" s="3286" t="s">
        <v>1721</v>
      </c>
      <c r="E27" s="3726">
        <f>441*1.2</f>
        <v>529.20000000000005</v>
      </c>
      <c r="F27" s="3726">
        <f>570*1.2</f>
        <v>684</v>
      </c>
      <c r="G27" s="3726">
        <f>0.3*G26*1.2</f>
        <v>540</v>
      </c>
      <c r="H27" s="3726">
        <f>559*1.2</f>
        <v>670.8</v>
      </c>
      <c r="I27" s="3731"/>
      <c r="J27" s="3731"/>
    </row>
    <row r="28" spans="1:10">
      <c r="A28" s="4653" t="s">
        <v>1736</v>
      </c>
      <c r="B28" s="4653"/>
      <c r="C28" s="3286">
        <f>(4*C29-1)/(4*C29-4)+0.615/C29</f>
        <v>1.3171382428940599</v>
      </c>
      <c r="D28" s="3286"/>
      <c r="E28" s="3286"/>
      <c r="F28" s="3673"/>
      <c r="G28" s="3673"/>
      <c r="H28" s="3673"/>
      <c r="I28" s="3731"/>
      <c r="J28" s="3731"/>
    </row>
    <row r="29" spans="1:10">
      <c r="A29" s="4653" t="s">
        <v>1737</v>
      </c>
      <c r="B29" s="4653"/>
      <c r="C29" s="3286">
        <f>E3/E2</f>
        <v>4.9090909090909101</v>
      </c>
      <c r="D29" s="3286"/>
      <c r="E29" s="3727"/>
      <c r="F29" s="3728"/>
      <c r="G29" s="3729"/>
      <c r="H29" s="3674"/>
      <c r="I29" s="3731"/>
      <c r="J29" s="3731"/>
    </row>
    <row r="30" spans="1:10">
      <c r="A30" s="4653" t="s">
        <v>1738</v>
      </c>
      <c r="B30" s="4653"/>
      <c r="C30" s="3286">
        <f>E3</f>
        <v>5.4</v>
      </c>
      <c r="D30" s="3286"/>
      <c r="E30" s="3727"/>
      <c r="F30" s="3701"/>
      <c r="G30" s="3699"/>
      <c r="H30" s="3700"/>
      <c r="I30" s="3731"/>
      <c r="J30" s="3731"/>
    </row>
    <row r="31" spans="1:10">
      <c r="A31" s="4649" t="s">
        <v>1739</v>
      </c>
      <c r="B31" s="4649"/>
      <c r="C31" s="3675">
        <v>10000</v>
      </c>
      <c r="D31" s="3725" t="s">
        <v>1740</v>
      </c>
      <c r="E31" s="3727"/>
      <c r="F31" s="3701"/>
      <c r="G31" s="3699"/>
      <c r="H31" s="3700"/>
      <c r="I31" s="3731"/>
      <c r="J31" s="3731"/>
    </row>
    <row r="32" spans="1:10">
      <c r="A32" s="4650" t="s">
        <v>1741</v>
      </c>
      <c r="B32" s="4650"/>
      <c r="C32" s="3286">
        <f>2.17*10^6*E2*0.1/(E5*(C30*0.1)^2)</f>
        <v>163717.42112482901</v>
      </c>
      <c r="D32" s="3725" t="s">
        <v>1742</v>
      </c>
      <c r="E32" s="3727"/>
      <c r="F32" s="3701"/>
      <c r="G32" s="3699"/>
      <c r="H32" s="3700"/>
      <c r="I32" s="3731"/>
      <c r="J32" s="3731"/>
    </row>
    <row r="33" spans="1:10" ht="15">
      <c r="A33" s="4649" t="s">
        <v>1743</v>
      </c>
      <c r="B33" s="4649"/>
      <c r="C33" s="3286">
        <f>C32/C31</f>
        <v>16.371742112482899</v>
      </c>
      <c r="D33" s="4651" t="s">
        <v>1744</v>
      </c>
      <c r="E33" s="4652"/>
      <c r="F33" s="3292"/>
      <c r="G33" s="3274"/>
      <c r="H33" s="3730"/>
      <c r="I33" s="3731"/>
      <c r="J33" s="3731"/>
    </row>
    <row r="34" spans="1:10">
      <c r="A34" s="3731"/>
      <c r="B34" s="3731"/>
      <c r="C34" s="3301"/>
      <c r="D34" s="3301"/>
      <c r="E34" s="3301"/>
      <c r="F34" s="3301"/>
      <c r="G34" s="3301"/>
      <c r="H34" s="3301"/>
      <c r="I34" s="3731"/>
      <c r="J34" s="3731"/>
    </row>
  </sheetData>
  <mergeCells count="34">
    <mergeCell ref="A1:H1"/>
    <mergeCell ref="A2:B2"/>
    <mergeCell ref="A3:B3"/>
    <mergeCell ref="A4:B4"/>
    <mergeCell ref="A5:B5"/>
    <mergeCell ref="A6:B6"/>
    <mergeCell ref="A7:B7"/>
    <mergeCell ref="A8:B8"/>
    <mergeCell ref="A9:B9"/>
    <mergeCell ref="A10:B10"/>
    <mergeCell ref="F10:H10"/>
    <mergeCell ref="A11:B11"/>
    <mergeCell ref="A12:B12"/>
    <mergeCell ref="A13:B13"/>
    <mergeCell ref="A14:B14"/>
    <mergeCell ref="A15:B15"/>
    <mergeCell ref="A16:B16"/>
    <mergeCell ref="A17:B17"/>
    <mergeCell ref="A18:B18"/>
    <mergeCell ref="A19:B19"/>
    <mergeCell ref="A20:B20"/>
    <mergeCell ref="A21:B21"/>
    <mergeCell ref="A23:B23"/>
    <mergeCell ref="A24:B24"/>
    <mergeCell ref="A25:B25"/>
    <mergeCell ref="A31:B31"/>
    <mergeCell ref="A32:B32"/>
    <mergeCell ref="A33:B33"/>
    <mergeCell ref="D33:E33"/>
    <mergeCell ref="A26:B26"/>
    <mergeCell ref="A27:B27"/>
    <mergeCell ref="A28:B28"/>
    <mergeCell ref="A29:B29"/>
    <mergeCell ref="A30:B30"/>
  </mergeCells>
  <phoneticPr fontId="214" type="noConversion"/>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L29"/>
  <sheetViews>
    <sheetView workbookViewId="0">
      <selection activeCell="H6" sqref="H6"/>
    </sheetView>
  </sheetViews>
  <sheetFormatPr defaultColWidth="9" defaultRowHeight="14.25"/>
  <cols>
    <col min="1" max="2" width="9" style="3301"/>
    <col min="3" max="9" width="9" style="2694"/>
    <col min="10" max="10" width="13.375" style="2694" customWidth="1"/>
    <col min="11" max="11" width="11.625" style="2694" customWidth="1"/>
    <col min="12" max="12" width="10.5" style="2694" customWidth="1"/>
    <col min="13" max="265" width="9" style="2694"/>
    <col min="266" max="266" width="13.375" style="2694" customWidth="1"/>
    <col min="267" max="267" width="11.625" style="2694" customWidth="1"/>
    <col min="268" max="268" width="10.5" style="2694" customWidth="1"/>
    <col min="269" max="521" width="9" style="2694"/>
    <col min="522" max="522" width="13.375" style="2694" customWidth="1"/>
    <col min="523" max="523" width="11.625" style="2694" customWidth="1"/>
    <col min="524" max="524" width="10.5" style="2694" customWidth="1"/>
    <col min="525" max="777" width="9" style="2694"/>
    <col min="778" max="778" width="13.375" style="2694" customWidth="1"/>
    <col min="779" max="779" width="11.625" style="2694" customWidth="1"/>
    <col min="780" max="780" width="10.5" style="2694" customWidth="1"/>
    <col min="781" max="1033" width="9" style="2694"/>
    <col min="1034" max="1034" width="13.375" style="2694" customWidth="1"/>
    <col min="1035" max="1035" width="11.625" style="2694" customWidth="1"/>
    <col min="1036" max="1036" width="10.5" style="2694" customWidth="1"/>
    <col min="1037" max="1289" width="9" style="2694"/>
    <col min="1290" max="1290" width="13.375" style="2694" customWidth="1"/>
    <col min="1291" max="1291" width="11.625" style="2694" customWidth="1"/>
    <col min="1292" max="1292" width="10.5" style="2694" customWidth="1"/>
    <col min="1293" max="1545" width="9" style="2694"/>
    <col min="1546" max="1546" width="13.375" style="2694" customWidth="1"/>
    <col min="1547" max="1547" width="11.625" style="2694" customWidth="1"/>
    <col min="1548" max="1548" width="10.5" style="2694" customWidth="1"/>
    <col min="1549" max="1801" width="9" style="2694"/>
    <col min="1802" max="1802" width="13.375" style="2694" customWidth="1"/>
    <col min="1803" max="1803" width="11.625" style="2694" customWidth="1"/>
    <col min="1804" max="1804" width="10.5" style="2694" customWidth="1"/>
    <col min="1805" max="2057" width="9" style="2694"/>
    <col min="2058" max="2058" width="13.375" style="2694" customWidth="1"/>
    <col min="2059" max="2059" width="11.625" style="2694" customWidth="1"/>
    <col min="2060" max="2060" width="10.5" style="2694" customWidth="1"/>
    <col min="2061" max="2313" width="9" style="2694"/>
    <col min="2314" max="2314" width="13.375" style="2694" customWidth="1"/>
    <col min="2315" max="2315" width="11.625" style="2694" customWidth="1"/>
    <col min="2316" max="2316" width="10.5" style="2694" customWidth="1"/>
    <col min="2317" max="2569" width="9" style="2694"/>
    <col min="2570" max="2570" width="13.375" style="2694" customWidth="1"/>
    <col min="2571" max="2571" width="11.625" style="2694" customWidth="1"/>
    <col min="2572" max="2572" width="10.5" style="2694" customWidth="1"/>
    <col min="2573" max="2825" width="9" style="2694"/>
    <col min="2826" max="2826" width="13.375" style="2694" customWidth="1"/>
    <col min="2827" max="2827" width="11.625" style="2694" customWidth="1"/>
    <col min="2828" max="2828" width="10.5" style="2694" customWidth="1"/>
    <col min="2829" max="3081" width="9" style="2694"/>
    <col min="3082" max="3082" width="13.375" style="2694" customWidth="1"/>
    <col min="3083" max="3083" width="11.625" style="2694" customWidth="1"/>
    <col min="3084" max="3084" width="10.5" style="2694" customWidth="1"/>
    <col min="3085" max="3337" width="9" style="2694"/>
    <col min="3338" max="3338" width="13.375" style="2694" customWidth="1"/>
    <col min="3339" max="3339" width="11.625" style="2694" customWidth="1"/>
    <col min="3340" max="3340" width="10.5" style="2694" customWidth="1"/>
    <col min="3341" max="3593" width="9" style="2694"/>
    <col min="3594" max="3594" width="13.375" style="2694" customWidth="1"/>
    <col min="3595" max="3595" width="11.625" style="2694" customWidth="1"/>
    <col min="3596" max="3596" width="10.5" style="2694" customWidth="1"/>
    <col min="3597" max="3849" width="9" style="2694"/>
    <col min="3850" max="3850" width="13.375" style="2694" customWidth="1"/>
    <col min="3851" max="3851" width="11.625" style="2694" customWidth="1"/>
    <col min="3852" max="3852" width="10.5" style="2694" customWidth="1"/>
    <col min="3853" max="4105" width="9" style="2694"/>
    <col min="4106" max="4106" width="13.375" style="2694" customWidth="1"/>
    <col min="4107" max="4107" width="11.625" style="2694" customWidth="1"/>
    <col min="4108" max="4108" width="10.5" style="2694" customWidth="1"/>
    <col min="4109" max="4361" width="9" style="2694"/>
    <col min="4362" max="4362" width="13.375" style="2694" customWidth="1"/>
    <col min="4363" max="4363" width="11.625" style="2694" customWidth="1"/>
    <col min="4364" max="4364" width="10.5" style="2694" customWidth="1"/>
    <col min="4365" max="4617" width="9" style="2694"/>
    <col min="4618" max="4618" width="13.375" style="2694" customWidth="1"/>
    <col min="4619" max="4619" width="11.625" style="2694" customWidth="1"/>
    <col min="4620" max="4620" width="10.5" style="2694" customWidth="1"/>
    <col min="4621" max="4873" width="9" style="2694"/>
    <col min="4874" max="4874" width="13.375" style="2694" customWidth="1"/>
    <col min="4875" max="4875" width="11.625" style="2694" customWidth="1"/>
    <col min="4876" max="4876" width="10.5" style="2694" customWidth="1"/>
    <col min="4877" max="5129" width="9" style="2694"/>
    <col min="5130" max="5130" width="13.375" style="2694" customWidth="1"/>
    <col min="5131" max="5131" width="11.625" style="2694" customWidth="1"/>
    <col min="5132" max="5132" width="10.5" style="2694" customWidth="1"/>
    <col min="5133" max="5385" width="9" style="2694"/>
    <col min="5386" max="5386" width="13.375" style="2694" customWidth="1"/>
    <col min="5387" max="5387" width="11.625" style="2694" customWidth="1"/>
    <col min="5388" max="5388" width="10.5" style="2694" customWidth="1"/>
    <col min="5389" max="5641" width="9" style="2694"/>
    <col min="5642" max="5642" width="13.375" style="2694" customWidth="1"/>
    <col min="5643" max="5643" width="11.625" style="2694" customWidth="1"/>
    <col min="5644" max="5644" width="10.5" style="2694" customWidth="1"/>
    <col min="5645" max="5897" width="9" style="2694"/>
    <col min="5898" max="5898" width="13.375" style="2694" customWidth="1"/>
    <col min="5899" max="5899" width="11.625" style="2694" customWidth="1"/>
    <col min="5900" max="5900" width="10.5" style="2694" customWidth="1"/>
    <col min="5901" max="6153" width="9" style="2694"/>
    <col min="6154" max="6154" width="13.375" style="2694" customWidth="1"/>
    <col min="6155" max="6155" width="11.625" style="2694" customWidth="1"/>
    <col min="6156" max="6156" width="10.5" style="2694" customWidth="1"/>
    <col min="6157" max="6409" width="9" style="2694"/>
    <col min="6410" max="6410" width="13.375" style="2694" customWidth="1"/>
    <col min="6411" max="6411" width="11.625" style="2694" customWidth="1"/>
    <col min="6412" max="6412" width="10.5" style="2694" customWidth="1"/>
    <col min="6413" max="6665" width="9" style="2694"/>
    <col min="6666" max="6666" width="13.375" style="2694" customWidth="1"/>
    <col min="6667" max="6667" width="11.625" style="2694" customWidth="1"/>
    <col min="6668" max="6668" width="10.5" style="2694" customWidth="1"/>
    <col min="6669" max="6921" width="9" style="2694"/>
    <col min="6922" max="6922" width="13.375" style="2694" customWidth="1"/>
    <col min="6923" max="6923" width="11.625" style="2694" customWidth="1"/>
    <col min="6924" max="6924" width="10.5" style="2694" customWidth="1"/>
    <col min="6925" max="7177" width="9" style="2694"/>
    <col min="7178" max="7178" width="13.375" style="2694" customWidth="1"/>
    <col min="7179" max="7179" width="11.625" style="2694" customWidth="1"/>
    <col min="7180" max="7180" width="10.5" style="2694" customWidth="1"/>
    <col min="7181" max="7433" width="9" style="2694"/>
    <col min="7434" max="7434" width="13.375" style="2694" customWidth="1"/>
    <col min="7435" max="7435" width="11.625" style="2694" customWidth="1"/>
    <col min="7436" max="7436" width="10.5" style="2694" customWidth="1"/>
    <col min="7437" max="7689" width="9" style="2694"/>
    <col min="7690" max="7690" width="13.375" style="2694" customWidth="1"/>
    <col min="7691" max="7691" width="11.625" style="2694" customWidth="1"/>
    <col min="7692" max="7692" width="10.5" style="2694" customWidth="1"/>
    <col min="7693" max="7945" width="9" style="2694"/>
    <col min="7946" max="7946" width="13.375" style="2694" customWidth="1"/>
    <col min="7947" max="7947" width="11.625" style="2694" customWidth="1"/>
    <col min="7948" max="7948" width="10.5" style="2694" customWidth="1"/>
    <col min="7949" max="8201" width="9" style="2694"/>
    <col min="8202" max="8202" width="13.375" style="2694" customWidth="1"/>
    <col min="8203" max="8203" width="11.625" style="2694" customWidth="1"/>
    <col min="8204" max="8204" width="10.5" style="2694" customWidth="1"/>
    <col min="8205" max="8457" width="9" style="2694"/>
    <col min="8458" max="8458" width="13.375" style="2694" customWidth="1"/>
    <col min="8459" max="8459" width="11.625" style="2694" customWidth="1"/>
    <col min="8460" max="8460" width="10.5" style="2694" customWidth="1"/>
    <col min="8461" max="8713" width="9" style="2694"/>
    <col min="8714" max="8714" width="13.375" style="2694" customWidth="1"/>
    <col min="8715" max="8715" width="11.625" style="2694" customWidth="1"/>
    <col min="8716" max="8716" width="10.5" style="2694" customWidth="1"/>
    <col min="8717" max="8969" width="9" style="2694"/>
    <col min="8970" max="8970" width="13.375" style="2694" customWidth="1"/>
    <col min="8971" max="8971" width="11.625" style="2694" customWidth="1"/>
    <col min="8972" max="8972" width="10.5" style="2694" customWidth="1"/>
    <col min="8973" max="9225" width="9" style="2694"/>
    <col min="9226" max="9226" width="13.375" style="2694" customWidth="1"/>
    <col min="9227" max="9227" width="11.625" style="2694" customWidth="1"/>
    <col min="9228" max="9228" width="10.5" style="2694" customWidth="1"/>
    <col min="9229" max="9481" width="9" style="2694"/>
    <col min="9482" max="9482" width="13.375" style="2694" customWidth="1"/>
    <col min="9483" max="9483" width="11.625" style="2694" customWidth="1"/>
    <col min="9484" max="9484" width="10.5" style="2694" customWidth="1"/>
    <col min="9485" max="9737" width="9" style="2694"/>
    <col min="9738" max="9738" width="13.375" style="2694" customWidth="1"/>
    <col min="9739" max="9739" width="11.625" style="2694" customWidth="1"/>
    <col min="9740" max="9740" width="10.5" style="2694" customWidth="1"/>
    <col min="9741" max="9993" width="9" style="2694"/>
    <col min="9994" max="9994" width="13.375" style="2694" customWidth="1"/>
    <col min="9995" max="9995" width="11.625" style="2694" customWidth="1"/>
    <col min="9996" max="9996" width="10.5" style="2694" customWidth="1"/>
    <col min="9997" max="10249" width="9" style="2694"/>
    <col min="10250" max="10250" width="13.375" style="2694" customWidth="1"/>
    <col min="10251" max="10251" width="11.625" style="2694" customWidth="1"/>
    <col min="10252" max="10252" width="10.5" style="2694" customWidth="1"/>
    <col min="10253" max="10505" width="9" style="2694"/>
    <col min="10506" max="10506" width="13.375" style="2694" customWidth="1"/>
    <col min="10507" max="10507" width="11.625" style="2694" customWidth="1"/>
    <col min="10508" max="10508" width="10.5" style="2694" customWidth="1"/>
    <col min="10509" max="10761" width="9" style="2694"/>
    <col min="10762" max="10762" width="13.375" style="2694" customWidth="1"/>
    <col min="10763" max="10763" width="11.625" style="2694" customWidth="1"/>
    <col min="10764" max="10764" width="10.5" style="2694" customWidth="1"/>
    <col min="10765" max="11017" width="9" style="2694"/>
    <col min="11018" max="11018" width="13.375" style="2694" customWidth="1"/>
    <col min="11019" max="11019" width="11.625" style="2694" customWidth="1"/>
    <col min="11020" max="11020" width="10.5" style="2694" customWidth="1"/>
    <col min="11021" max="11273" width="9" style="2694"/>
    <col min="11274" max="11274" width="13.375" style="2694" customWidth="1"/>
    <col min="11275" max="11275" width="11.625" style="2694" customWidth="1"/>
    <col min="11276" max="11276" width="10.5" style="2694" customWidth="1"/>
    <col min="11277" max="11529" width="9" style="2694"/>
    <col min="11530" max="11530" width="13.375" style="2694" customWidth="1"/>
    <col min="11531" max="11531" width="11.625" style="2694" customWidth="1"/>
    <col min="11532" max="11532" width="10.5" style="2694" customWidth="1"/>
    <col min="11533" max="11785" width="9" style="2694"/>
    <col min="11786" max="11786" width="13.375" style="2694" customWidth="1"/>
    <col min="11787" max="11787" width="11.625" style="2694" customWidth="1"/>
    <col min="11788" max="11788" width="10.5" style="2694" customWidth="1"/>
    <col min="11789" max="12041" width="9" style="2694"/>
    <col min="12042" max="12042" width="13.375" style="2694" customWidth="1"/>
    <col min="12043" max="12043" width="11.625" style="2694" customWidth="1"/>
    <col min="12044" max="12044" width="10.5" style="2694" customWidth="1"/>
    <col min="12045" max="12297" width="9" style="2694"/>
    <col min="12298" max="12298" width="13.375" style="2694" customWidth="1"/>
    <col min="12299" max="12299" width="11.625" style="2694" customWidth="1"/>
    <col min="12300" max="12300" width="10.5" style="2694" customWidth="1"/>
    <col min="12301" max="12553" width="9" style="2694"/>
    <col min="12554" max="12554" width="13.375" style="2694" customWidth="1"/>
    <col min="12555" max="12555" width="11.625" style="2694" customWidth="1"/>
    <col min="12556" max="12556" width="10.5" style="2694" customWidth="1"/>
    <col min="12557" max="12809" width="9" style="2694"/>
    <col min="12810" max="12810" width="13.375" style="2694" customWidth="1"/>
    <col min="12811" max="12811" width="11.625" style="2694" customWidth="1"/>
    <col min="12812" max="12812" width="10.5" style="2694" customWidth="1"/>
    <col min="12813" max="13065" width="9" style="2694"/>
    <col min="13066" max="13066" width="13.375" style="2694" customWidth="1"/>
    <col min="13067" max="13067" width="11.625" style="2694" customWidth="1"/>
    <col min="13068" max="13068" width="10.5" style="2694" customWidth="1"/>
    <col min="13069" max="13321" width="9" style="2694"/>
    <col min="13322" max="13322" width="13.375" style="2694" customWidth="1"/>
    <col min="13323" max="13323" width="11.625" style="2694" customWidth="1"/>
    <col min="13324" max="13324" width="10.5" style="2694" customWidth="1"/>
    <col min="13325" max="13577" width="9" style="2694"/>
    <col min="13578" max="13578" width="13.375" style="2694" customWidth="1"/>
    <col min="13579" max="13579" width="11.625" style="2694" customWidth="1"/>
    <col min="13580" max="13580" width="10.5" style="2694" customWidth="1"/>
    <col min="13581" max="13833" width="9" style="2694"/>
    <col min="13834" max="13834" width="13.375" style="2694" customWidth="1"/>
    <col min="13835" max="13835" width="11.625" style="2694" customWidth="1"/>
    <col min="13836" max="13836" width="10.5" style="2694" customWidth="1"/>
    <col min="13837" max="14089" width="9" style="2694"/>
    <col min="14090" max="14090" width="13.375" style="2694" customWidth="1"/>
    <col min="14091" max="14091" width="11.625" style="2694" customWidth="1"/>
    <col min="14092" max="14092" width="10.5" style="2694" customWidth="1"/>
    <col min="14093" max="14345" width="9" style="2694"/>
    <col min="14346" max="14346" width="13.375" style="2694" customWidth="1"/>
    <col min="14347" max="14347" width="11.625" style="2694" customWidth="1"/>
    <col min="14348" max="14348" width="10.5" style="2694" customWidth="1"/>
    <col min="14349" max="14601" width="9" style="2694"/>
    <col min="14602" max="14602" width="13.375" style="2694" customWidth="1"/>
    <col min="14603" max="14603" width="11.625" style="2694" customWidth="1"/>
    <col min="14604" max="14604" width="10.5" style="2694" customWidth="1"/>
    <col min="14605" max="14857" width="9" style="2694"/>
    <col min="14858" max="14858" width="13.375" style="2694" customWidth="1"/>
    <col min="14859" max="14859" width="11.625" style="2694" customWidth="1"/>
    <col min="14860" max="14860" width="10.5" style="2694" customWidth="1"/>
    <col min="14861" max="15113" width="9" style="2694"/>
    <col min="15114" max="15114" width="13.375" style="2694" customWidth="1"/>
    <col min="15115" max="15115" width="11.625" style="2694" customWidth="1"/>
    <col min="15116" max="15116" width="10.5" style="2694" customWidth="1"/>
    <col min="15117" max="15369" width="9" style="2694"/>
    <col min="15370" max="15370" width="13.375" style="2694" customWidth="1"/>
    <col min="15371" max="15371" width="11.625" style="2694" customWidth="1"/>
    <col min="15372" max="15372" width="10.5" style="2694" customWidth="1"/>
    <col min="15373" max="15625" width="9" style="2694"/>
    <col min="15626" max="15626" width="13.375" style="2694" customWidth="1"/>
    <col min="15627" max="15627" width="11.625" style="2694" customWidth="1"/>
    <col min="15628" max="15628" width="10.5" style="2694" customWidth="1"/>
    <col min="15629" max="15881" width="9" style="2694"/>
    <col min="15882" max="15882" width="13.375" style="2694" customWidth="1"/>
    <col min="15883" max="15883" width="11.625" style="2694" customWidth="1"/>
    <col min="15884" max="15884" width="10.5" style="2694" customWidth="1"/>
    <col min="15885" max="16137" width="9" style="2694"/>
    <col min="16138" max="16138" width="13.375" style="2694" customWidth="1"/>
    <col min="16139" max="16139" width="11.625" style="2694" customWidth="1"/>
    <col min="16140" max="16140" width="10.5" style="2694" customWidth="1"/>
    <col min="16141" max="16384" width="9" style="2694"/>
  </cols>
  <sheetData>
    <row r="1" spans="1:12" ht="26.25" customHeight="1">
      <c r="A1" s="4660" t="s">
        <v>1745</v>
      </c>
      <c r="B1" s="4661"/>
      <c r="C1" s="4661"/>
      <c r="D1" s="4661"/>
      <c r="E1" s="4661"/>
      <c r="F1" s="4662"/>
    </row>
    <row r="2" spans="1:12" ht="26.25" customHeight="1">
      <c r="A2" s="4663" t="s">
        <v>1746</v>
      </c>
      <c r="B2" s="4663"/>
      <c r="C2" s="4663"/>
      <c r="D2" s="4663"/>
      <c r="E2" s="4663"/>
      <c r="F2" s="4663"/>
    </row>
    <row r="3" spans="1:12">
      <c r="A3" s="3286" t="s">
        <v>1747</v>
      </c>
      <c r="B3" s="3673" t="s">
        <v>1748</v>
      </c>
      <c r="D3" s="3673" t="s">
        <v>1748</v>
      </c>
      <c r="E3" s="3674" t="s">
        <v>1747</v>
      </c>
    </row>
    <row r="4" spans="1:12">
      <c r="A4" s="3675">
        <v>1</v>
      </c>
      <c r="B4" s="3676">
        <f>A4*98.07</f>
        <v>98.07</v>
      </c>
      <c r="D4" s="3675">
        <v>98.07</v>
      </c>
      <c r="E4" s="3677">
        <f>D4/98.07</f>
        <v>1</v>
      </c>
    </row>
    <row r="6" spans="1:12">
      <c r="A6" s="3286" t="s">
        <v>1749</v>
      </c>
      <c r="B6" s="3286" t="s">
        <v>464</v>
      </c>
      <c r="D6" s="3286" t="s">
        <v>464</v>
      </c>
      <c r="E6" s="3286" t="s">
        <v>1749</v>
      </c>
    </row>
    <row r="7" spans="1:12">
      <c r="A7" s="3678">
        <v>3</v>
      </c>
      <c r="B7" s="3677">
        <f>9.81*A7</f>
        <v>29.43</v>
      </c>
      <c r="D7" s="3678">
        <v>9.81</v>
      </c>
      <c r="E7" s="3677">
        <f>D7/9.81</f>
        <v>1</v>
      </c>
    </row>
    <row r="10" spans="1:12">
      <c r="A10" s="3286" t="s">
        <v>269</v>
      </c>
      <c r="B10" s="3286" t="s">
        <v>1750</v>
      </c>
      <c r="D10" s="3286" t="s">
        <v>1750</v>
      </c>
      <c r="E10" s="3286" t="s">
        <v>269</v>
      </c>
      <c r="J10" s="4664" t="s">
        <v>1751</v>
      </c>
      <c r="K10" s="4664"/>
      <c r="L10" s="4664"/>
    </row>
    <row r="11" spans="1:12">
      <c r="A11" s="3675">
        <v>1</v>
      </c>
      <c r="B11" s="3677">
        <f>A11*10</f>
        <v>10</v>
      </c>
      <c r="D11" s="3679">
        <v>10</v>
      </c>
      <c r="E11" s="3677">
        <f>D11/10</f>
        <v>1</v>
      </c>
      <c r="J11" s="2694" t="s">
        <v>1752</v>
      </c>
      <c r="K11" s="2694" t="s">
        <v>1753</v>
      </c>
      <c r="L11" s="2694" t="s">
        <v>1754</v>
      </c>
    </row>
    <row r="12" spans="1:12">
      <c r="A12" s="3680"/>
      <c r="B12" s="3681"/>
      <c r="D12" s="3680"/>
      <c r="E12" s="3681"/>
      <c r="J12" s="3687">
        <v>230</v>
      </c>
      <c r="K12" s="3687">
        <v>350</v>
      </c>
    </row>
    <row r="13" spans="1:12">
      <c r="L13" s="3688">
        <f>3.14*J12*J12/4*K12/1000000</f>
        <v>14.534274999999999</v>
      </c>
    </row>
    <row r="14" spans="1:12">
      <c r="A14" s="3286" t="s">
        <v>269</v>
      </c>
      <c r="B14" s="3682" t="s">
        <v>1755</v>
      </c>
      <c r="D14" s="3673" t="s">
        <v>1755</v>
      </c>
      <c r="E14" s="3673" t="s">
        <v>269</v>
      </c>
    </row>
    <row r="15" spans="1:12">
      <c r="A15" s="3679">
        <v>1</v>
      </c>
      <c r="B15" s="3677">
        <f>A15/10</f>
        <v>0.1</v>
      </c>
      <c r="D15" s="3678">
        <v>1</v>
      </c>
      <c r="E15" s="3683">
        <f>D15*10</f>
        <v>10</v>
      </c>
    </row>
    <row r="17" spans="1:7">
      <c r="A17" s="3673" t="s">
        <v>1756</v>
      </c>
      <c r="B17" s="3673" t="s">
        <v>1757</v>
      </c>
      <c r="C17" s="3673" t="s">
        <v>1755</v>
      </c>
    </row>
    <row r="18" spans="1:7">
      <c r="A18" s="3678">
        <v>1</v>
      </c>
      <c r="B18" s="3683">
        <f>A18*98100</f>
        <v>98100</v>
      </c>
      <c r="C18" s="3684">
        <f>A18*0.0981</f>
        <v>9.8100000000000007E-2</v>
      </c>
    </row>
    <row r="20" spans="1:7">
      <c r="A20" s="3673" t="s">
        <v>1755</v>
      </c>
      <c r="B20" s="3674" t="s">
        <v>1758</v>
      </c>
      <c r="D20" s="3286" t="s">
        <v>1758</v>
      </c>
      <c r="E20" s="3286" t="s">
        <v>1755</v>
      </c>
    </row>
    <row r="21" spans="1:7">
      <c r="A21" s="3678">
        <v>1</v>
      </c>
      <c r="B21" s="3677">
        <f>A21*10</f>
        <v>10</v>
      </c>
      <c r="D21" s="3679">
        <v>10</v>
      </c>
      <c r="E21" s="3677">
        <f>D21/10</f>
        <v>1</v>
      </c>
    </row>
    <row r="23" spans="1:7">
      <c r="A23" s="3286" t="s">
        <v>1759</v>
      </c>
      <c r="B23" s="3286" t="s">
        <v>1760</v>
      </c>
      <c r="C23" s="3286" t="s">
        <v>1075</v>
      </c>
      <c r="E23" s="3286" t="s">
        <v>1760</v>
      </c>
      <c r="F23" s="3286" t="s">
        <v>1759</v>
      </c>
      <c r="G23" s="3286" t="s">
        <v>1075</v>
      </c>
    </row>
    <row r="24" spans="1:7">
      <c r="A24" s="3678">
        <v>1</v>
      </c>
      <c r="B24" s="3285">
        <f>A24*735</f>
        <v>735</v>
      </c>
      <c r="C24" s="3677">
        <f>B24/10</f>
        <v>73.5</v>
      </c>
      <c r="E24" s="3678">
        <v>1470</v>
      </c>
      <c r="F24" s="3285">
        <f>E24/735</f>
        <v>2</v>
      </c>
      <c r="G24" s="3677">
        <f>E24/10</f>
        <v>147</v>
      </c>
    </row>
    <row r="26" spans="1:7">
      <c r="A26" s="3685" t="s">
        <v>1761</v>
      </c>
    </row>
    <row r="27" spans="1:7">
      <c r="A27" s="3685" t="s">
        <v>1762</v>
      </c>
    </row>
    <row r="28" spans="1:7">
      <c r="A28" s="3685" t="s">
        <v>1763</v>
      </c>
    </row>
    <row r="29" spans="1:7" ht="15">
      <c r="A29" s="3686" t="s">
        <v>1764</v>
      </c>
    </row>
  </sheetData>
  <mergeCells count="3">
    <mergeCell ref="A1:F1"/>
    <mergeCell ref="A2:F2"/>
    <mergeCell ref="J10:L10"/>
  </mergeCells>
  <phoneticPr fontId="214" type="noConversion"/>
  <pageMargins left="0.75" right="0.75" top="1" bottom="1" header="0.5" footer="0.5"/>
  <pageSetup paperSize="9" orientation="portrait"/>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N32"/>
  <sheetViews>
    <sheetView zoomScale="85" zoomScaleNormal="85" workbookViewId="0">
      <selection activeCell="K31" sqref="K31"/>
    </sheetView>
  </sheetViews>
  <sheetFormatPr defaultColWidth="9" defaultRowHeight="14.25"/>
  <cols>
    <col min="1" max="3" width="10.75" style="3542" customWidth="1"/>
    <col min="4" max="5" width="15.5" style="3542" customWidth="1"/>
    <col min="6" max="7" width="13.75" style="3542" customWidth="1"/>
    <col min="8" max="9" width="13.125" style="3542" customWidth="1"/>
    <col min="10" max="10" width="15.625" style="3542" customWidth="1"/>
    <col min="11" max="12" width="13.125" style="3542" customWidth="1"/>
    <col min="13" max="14" width="12.375" style="3542" customWidth="1"/>
    <col min="15" max="256" width="9" style="3542"/>
    <col min="257" max="259" width="10.75" style="3542" customWidth="1"/>
    <col min="260" max="261" width="15.5" style="3542" customWidth="1"/>
    <col min="262" max="263" width="13.75" style="3542" customWidth="1"/>
    <col min="264" max="265" width="13.125" style="3542" customWidth="1"/>
    <col min="266" max="266" width="15.625" style="3542" customWidth="1"/>
    <col min="267" max="268" width="13.125" style="3542" customWidth="1"/>
    <col min="269" max="270" width="12.375" style="3542" customWidth="1"/>
    <col min="271" max="512" width="9" style="3542"/>
    <col min="513" max="515" width="10.75" style="3542" customWidth="1"/>
    <col min="516" max="517" width="15.5" style="3542" customWidth="1"/>
    <col min="518" max="519" width="13.75" style="3542" customWidth="1"/>
    <col min="520" max="521" width="13.125" style="3542" customWidth="1"/>
    <col min="522" max="522" width="15.625" style="3542" customWidth="1"/>
    <col min="523" max="524" width="13.125" style="3542" customWidth="1"/>
    <col min="525" max="526" width="12.375" style="3542" customWidth="1"/>
    <col min="527" max="768" width="9" style="3542"/>
    <col min="769" max="771" width="10.75" style="3542" customWidth="1"/>
    <col min="772" max="773" width="15.5" style="3542" customWidth="1"/>
    <col min="774" max="775" width="13.75" style="3542" customWidth="1"/>
    <col min="776" max="777" width="13.125" style="3542" customWidth="1"/>
    <col min="778" max="778" width="15.625" style="3542" customWidth="1"/>
    <col min="779" max="780" width="13.125" style="3542" customWidth="1"/>
    <col min="781" max="782" width="12.375" style="3542" customWidth="1"/>
    <col min="783" max="1024" width="9" style="3542"/>
    <col min="1025" max="1027" width="10.75" style="3542" customWidth="1"/>
    <col min="1028" max="1029" width="15.5" style="3542" customWidth="1"/>
    <col min="1030" max="1031" width="13.75" style="3542" customWidth="1"/>
    <col min="1032" max="1033" width="13.125" style="3542" customWidth="1"/>
    <col min="1034" max="1034" width="15.625" style="3542" customWidth="1"/>
    <col min="1035" max="1036" width="13.125" style="3542" customWidth="1"/>
    <col min="1037" max="1038" width="12.375" style="3542" customWidth="1"/>
    <col min="1039" max="1280" width="9" style="3542"/>
    <col min="1281" max="1283" width="10.75" style="3542" customWidth="1"/>
    <col min="1284" max="1285" width="15.5" style="3542" customWidth="1"/>
    <col min="1286" max="1287" width="13.75" style="3542" customWidth="1"/>
    <col min="1288" max="1289" width="13.125" style="3542" customWidth="1"/>
    <col min="1290" max="1290" width="15.625" style="3542" customWidth="1"/>
    <col min="1291" max="1292" width="13.125" style="3542" customWidth="1"/>
    <col min="1293" max="1294" width="12.375" style="3542" customWidth="1"/>
    <col min="1295" max="1536" width="9" style="3542"/>
    <col min="1537" max="1539" width="10.75" style="3542" customWidth="1"/>
    <col min="1540" max="1541" width="15.5" style="3542" customWidth="1"/>
    <col min="1542" max="1543" width="13.75" style="3542" customWidth="1"/>
    <col min="1544" max="1545" width="13.125" style="3542" customWidth="1"/>
    <col min="1546" max="1546" width="15.625" style="3542" customWidth="1"/>
    <col min="1547" max="1548" width="13.125" style="3542" customWidth="1"/>
    <col min="1549" max="1550" width="12.375" style="3542" customWidth="1"/>
    <col min="1551" max="1792" width="9" style="3542"/>
    <col min="1793" max="1795" width="10.75" style="3542" customWidth="1"/>
    <col min="1796" max="1797" width="15.5" style="3542" customWidth="1"/>
    <col min="1798" max="1799" width="13.75" style="3542" customWidth="1"/>
    <col min="1800" max="1801" width="13.125" style="3542" customWidth="1"/>
    <col min="1802" max="1802" width="15.625" style="3542" customWidth="1"/>
    <col min="1803" max="1804" width="13.125" style="3542" customWidth="1"/>
    <col min="1805" max="1806" width="12.375" style="3542" customWidth="1"/>
    <col min="1807" max="2048" width="9" style="3542"/>
    <col min="2049" max="2051" width="10.75" style="3542" customWidth="1"/>
    <col min="2052" max="2053" width="15.5" style="3542" customWidth="1"/>
    <col min="2054" max="2055" width="13.75" style="3542" customWidth="1"/>
    <col min="2056" max="2057" width="13.125" style="3542" customWidth="1"/>
    <col min="2058" max="2058" width="15.625" style="3542" customWidth="1"/>
    <col min="2059" max="2060" width="13.125" style="3542" customWidth="1"/>
    <col min="2061" max="2062" width="12.375" style="3542" customWidth="1"/>
    <col min="2063" max="2304" width="9" style="3542"/>
    <col min="2305" max="2307" width="10.75" style="3542" customWidth="1"/>
    <col min="2308" max="2309" width="15.5" style="3542" customWidth="1"/>
    <col min="2310" max="2311" width="13.75" style="3542" customWidth="1"/>
    <col min="2312" max="2313" width="13.125" style="3542" customWidth="1"/>
    <col min="2314" max="2314" width="15.625" style="3542" customWidth="1"/>
    <col min="2315" max="2316" width="13.125" style="3542" customWidth="1"/>
    <col min="2317" max="2318" width="12.375" style="3542" customWidth="1"/>
    <col min="2319" max="2560" width="9" style="3542"/>
    <col min="2561" max="2563" width="10.75" style="3542" customWidth="1"/>
    <col min="2564" max="2565" width="15.5" style="3542" customWidth="1"/>
    <col min="2566" max="2567" width="13.75" style="3542" customWidth="1"/>
    <col min="2568" max="2569" width="13.125" style="3542" customWidth="1"/>
    <col min="2570" max="2570" width="15.625" style="3542" customWidth="1"/>
    <col min="2571" max="2572" width="13.125" style="3542" customWidth="1"/>
    <col min="2573" max="2574" width="12.375" style="3542" customWidth="1"/>
    <col min="2575" max="2816" width="9" style="3542"/>
    <col min="2817" max="2819" width="10.75" style="3542" customWidth="1"/>
    <col min="2820" max="2821" width="15.5" style="3542" customWidth="1"/>
    <col min="2822" max="2823" width="13.75" style="3542" customWidth="1"/>
    <col min="2824" max="2825" width="13.125" style="3542" customWidth="1"/>
    <col min="2826" max="2826" width="15.625" style="3542" customWidth="1"/>
    <col min="2827" max="2828" width="13.125" style="3542" customWidth="1"/>
    <col min="2829" max="2830" width="12.375" style="3542" customWidth="1"/>
    <col min="2831" max="3072" width="9" style="3542"/>
    <col min="3073" max="3075" width="10.75" style="3542" customWidth="1"/>
    <col min="3076" max="3077" width="15.5" style="3542" customWidth="1"/>
    <col min="3078" max="3079" width="13.75" style="3542" customWidth="1"/>
    <col min="3080" max="3081" width="13.125" style="3542" customWidth="1"/>
    <col min="3082" max="3082" width="15.625" style="3542" customWidth="1"/>
    <col min="3083" max="3084" width="13.125" style="3542" customWidth="1"/>
    <col min="3085" max="3086" width="12.375" style="3542" customWidth="1"/>
    <col min="3087" max="3328" width="9" style="3542"/>
    <col min="3329" max="3331" width="10.75" style="3542" customWidth="1"/>
    <col min="3332" max="3333" width="15.5" style="3542" customWidth="1"/>
    <col min="3334" max="3335" width="13.75" style="3542" customWidth="1"/>
    <col min="3336" max="3337" width="13.125" style="3542" customWidth="1"/>
    <col min="3338" max="3338" width="15.625" style="3542" customWidth="1"/>
    <col min="3339" max="3340" width="13.125" style="3542" customWidth="1"/>
    <col min="3341" max="3342" width="12.375" style="3542" customWidth="1"/>
    <col min="3343" max="3584" width="9" style="3542"/>
    <col min="3585" max="3587" width="10.75" style="3542" customWidth="1"/>
    <col min="3588" max="3589" width="15.5" style="3542" customWidth="1"/>
    <col min="3590" max="3591" width="13.75" style="3542" customWidth="1"/>
    <col min="3592" max="3593" width="13.125" style="3542" customWidth="1"/>
    <col min="3594" max="3594" width="15.625" style="3542" customWidth="1"/>
    <col min="3595" max="3596" width="13.125" style="3542" customWidth="1"/>
    <col min="3597" max="3598" width="12.375" style="3542" customWidth="1"/>
    <col min="3599" max="3840" width="9" style="3542"/>
    <col min="3841" max="3843" width="10.75" style="3542" customWidth="1"/>
    <col min="3844" max="3845" width="15.5" style="3542" customWidth="1"/>
    <col min="3846" max="3847" width="13.75" style="3542" customWidth="1"/>
    <col min="3848" max="3849" width="13.125" style="3542" customWidth="1"/>
    <col min="3850" max="3850" width="15.625" style="3542" customWidth="1"/>
    <col min="3851" max="3852" width="13.125" style="3542" customWidth="1"/>
    <col min="3853" max="3854" width="12.375" style="3542" customWidth="1"/>
    <col min="3855" max="4096" width="9" style="3542"/>
    <col min="4097" max="4099" width="10.75" style="3542" customWidth="1"/>
    <col min="4100" max="4101" width="15.5" style="3542" customWidth="1"/>
    <col min="4102" max="4103" width="13.75" style="3542" customWidth="1"/>
    <col min="4104" max="4105" width="13.125" style="3542" customWidth="1"/>
    <col min="4106" max="4106" width="15.625" style="3542" customWidth="1"/>
    <col min="4107" max="4108" width="13.125" style="3542" customWidth="1"/>
    <col min="4109" max="4110" width="12.375" style="3542" customWidth="1"/>
    <col min="4111" max="4352" width="9" style="3542"/>
    <col min="4353" max="4355" width="10.75" style="3542" customWidth="1"/>
    <col min="4356" max="4357" width="15.5" style="3542" customWidth="1"/>
    <col min="4358" max="4359" width="13.75" style="3542" customWidth="1"/>
    <col min="4360" max="4361" width="13.125" style="3542" customWidth="1"/>
    <col min="4362" max="4362" width="15.625" style="3542" customWidth="1"/>
    <col min="4363" max="4364" width="13.125" style="3542" customWidth="1"/>
    <col min="4365" max="4366" width="12.375" style="3542" customWidth="1"/>
    <col min="4367" max="4608" width="9" style="3542"/>
    <col min="4609" max="4611" width="10.75" style="3542" customWidth="1"/>
    <col min="4612" max="4613" width="15.5" style="3542" customWidth="1"/>
    <col min="4614" max="4615" width="13.75" style="3542" customWidth="1"/>
    <col min="4616" max="4617" width="13.125" style="3542" customWidth="1"/>
    <col min="4618" max="4618" width="15.625" style="3542" customWidth="1"/>
    <col min="4619" max="4620" width="13.125" style="3542" customWidth="1"/>
    <col min="4621" max="4622" width="12.375" style="3542" customWidth="1"/>
    <col min="4623" max="4864" width="9" style="3542"/>
    <col min="4865" max="4867" width="10.75" style="3542" customWidth="1"/>
    <col min="4868" max="4869" width="15.5" style="3542" customWidth="1"/>
    <col min="4870" max="4871" width="13.75" style="3542" customWidth="1"/>
    <col min="4872" max="4873" width="13.125" style="3542" customWidth="1"/>
    <col min="4874" max="4874" width="15.625" style="3542" customWidth="1"/>
    <col min="4875" max="4876" width="13.125" style="3542" customWidth="1"/>
    <col min="4877" max="4878" width="12.375" style="3542" customWidth="1"/>
    <col min="4879" max="5120" width="9" style="3542"/>
    <col min="5121" max="5123" width="10.75" style="3542" customWidth="1"/>
    <col min="5124" max="5125" width="15.5" style="3542" customWidth="1"/>
    <col min="5126" max="5127" width="13.75" style="3542" customWidth="1"/>
    <col min="5128" max="5129" width="13.125" style="3542" customWidth="1"/>
    <col min="5130" max="5130" width="15.625" style="3542" customWidth="1"/>
    <col min="5131" max="5132" width="13.125" style="3542" customWidth="1"/>
    <col min="5133" max="5134" width="12.375" style="3542" customWidth="1"/>
    <col min="5135" max="5376" width="9" style="3542"/>
    <col min="5377" max="5379" width="10.75" style="3542" customWidth="1"/>
    <col min="5380" max="5381" width="15.5" style="3542" customWidth="1"/>
    <col min="5382" max="5383" width="13.75" style="3542" customWidth="1"/>
    <col min="5384" max="5385" width="13.125" style="3542" customWidth="1"/>
    <col min="5386" max="5386" width="15.625" style="3542" customWidth="1"/>
    <col min="5387" max="5388" width="13.125" style="3542" customWidth="1"/>
    <col min="5389" max="5390" width="12.375" style="3542" customWidth="1"/>
    <col min="5391" max="5632" width="9" style="3542"/>
    <col min="5633" max="5635" width="10.75" style="3542" customWidth="1"/>
    <col min="5636" max="5637" width="15.5" style="3542" customWidth="1"/>
    <col min="5638" max="5639" width="13.75" style="3542" customWidth="1"/>
    <col min="5640" max="5641" width="13.125" style="3542" customWidth="1"/>
    <col min="5642" max="5642" width="15.625" style="3542" customWidth="1"/>
    <col min="5643" max="5644" width="13.125" style="3542" customWidth="1"/>
    <col min="5645" max="5646" width="12.375" style="3542" customWidth="1"/>
    <col min="5647" max="5888" width="9" style="3542"/>
    <col min="5889" max="5891" width="10.75" style="3542" customWidth="1"/>
    <col min="5892" max="5893" width="15.5" style="3542" customWidth="1"/>
    <col min="5894" max="5895" width="13.75" style="3542" customWidth="1"/>
    <col min="5896" max="5897" width="13.125" style="3542" customWidth="1"/>
    <col min="5898" max="5898" width="15.625" style="3542" customWidth="1"/>
    <col min="5899" max="5900" width="13.125" style="3542" customWidth="1"/>
    <col min="5901" max="5902" width="12.375" style="3542" customWidth="1"/>
    <col min="5903" max="6144" width="9" style="3542"/>
    <col min="6145" max="6147" width="10.75" style="3542" customWidth="1"/>
    <col min="6148" max="6149" width="15.5" style="3542" customWidth="1"/>
    <col min="6150" max="6151" width="13.75" style="3542" customWidth="1"/>
    <col min="6152" max="6153" width="13.125" style="3542" customWidth="1"/>
    <col min="6154" max="6154" width="15.625" style="3542" customWidth="1"/>
    <col min="6155" max="6156" width="13.125" style="3542" customWidth="1"/>
    <col min="6157" max="6158" width="12.375" style="3542" customWidth="1"/>
    <col min="6159" max="6400" width="9" style="3542"/>
    <col min="6401" max="6403" width="10.75" style="3542" customWidth="1"/>
    <col min="6404" max="6405" width="15.5" style="3542" customWidth="1"/>
    <col min="6406" max="6407" width="13.75" style="3542" customWidth="1"/>
    <col min="6408" max="6409" width="13.125" style="3542" customWidth="1"/>
    <col min="6410" max="6410" width="15.625" style="3542" customWidth="1"/>
    <col min="6411" max="6412" width="13.125" style="3542" customWidth="1"/>
    <col min="6413" max="6414" width="12.375" style="3542" customWidth="1"/>
    <col min="6415" max="6656" width="9" style="3542"/>
    <col min="6657" max="6659" width="10.75" style="3542" customWidth="1"/>
    <col min="6660" max="6661" width="15.5" style="3542" customWidth="1"/>
    <col min="6662" max="6663" width="13.75" style="3542" customWidth="1"/>
    <col min="6664" max="6665" width="13.125" style="3542" customWidth="1"/>
    <col min="6666" max="6666" width="15.625" style="3542" customWidth="1"/>
    <col min="6667" max="6668" width="13.125" style="3542" customWidth="1"/>
    <col min="6669" max="6670" width="12.375" style="3542" customWidth="1"/>
    <col min="6671" max="6912" width="9" style="3542"/>
    <col min="6913" max="6915" width="10.75" style="3542" customWidth="1"/>
    <col min="6916" max="6917" width="15.5" style="3542" customWidth="1"/>
    <col min="6918" max="6919" width="13.75" style="3542" customWidth="1"/>
    <col min="6920" max="6921" width="13.125" style="3542" customWidth="1"/>
    <col min="6922" max="6922" width="15.625" style="3542" customWidth="1"/>
    <col min="6923" max="6924" width="13.125" style="3542" customWidth="1"/>
    <col min="6925" max="6926" width="12.375" style="3542" customWidth="1"/>
    <col min="6927" max="7168" width="9" style="3542"/>
    <col min="7169" max="7171" width="10.75" style="3542" customWidth="1"/>
    <col min="7172" max="7173" width="15.5" style="3542" customWidth="1"/>
    <col min="7174" max="7175" width="13.75" style="3542" customWidth="1"/>
    <col min="7176" max="7177" width="13.125" style="3542" customWidth="1"/>
    <col min="7178" max="7178" width="15.625" style="3542" customWidth="1"/>
    <col min="7179" max="7180" width="13.125" style="3542" customWidth="1"/>
    <col min="7181" max="7182" width="12.375" style="3542" customWidth="1"/>
    <col min="7183" max="7424" width="9" style="3542"/>
    <col min="7425" max="7427" width="10.75" style="3542" customWidth="1"/>
    <col min="7428" max="7429" width="15.5" style="3542" customWidth="1"/>
    <col min="7430" max="7431" width="13.75" style="3542" customWidth="1"/>
    <col min="7432" max="7433" width="13.125" style="3542" customWidth="1"/>
    <col min="7434" max="7434" width="15.625" style="3542" customWidth="1"/>
    <col min="7435" max="7436" width="13.125" style="3542" customWidth="1"/>
    <col min="7437" max="7438" width="12.375" style="3542" customWidth="1"/>
    <col min="7439" max="7680" width="9" style="3542"/>
    <col min="7681" max="7683" width="10.75" style="3542" customWidth="1"/>
    <col min="7684" max="7685" width="15.5" style="3542" customWidth="1"/>
    <col min="7686" max="7687" width="13.75" style="3542" customWidth="1"/>
    <col min="7688" max="7689" width="13.125" style="3542" customWidth="1"/>
    <col min="7690" max="7690" width="15.625" style="3542" customWidth="1"/>
    <col min="7691" max="7692" width="13.125" style="3542" customWidth="1"/>
    <col min="7693" max="7694" width="12.375" style="3542" customWidth="1"/>
    <col min="7695" max="7936" width="9" style="3542"/>
    <col min="7937" max="7939" width="10.75" style="3542" customWidth="1"/>
    <col min="7940" max="7941" width="15.5" style="3542" customWidth="1"/>
    <col min="7942" max="7943" width="13.75" style="3542" customWidth="1"/>
    <col min="7944" max="7945" width="13.125" style="3542" customWidth="1"/>
    <col min="7946" max="7946" width="15.625" style="3542" customWidth="1"/>
    <col min="7947" max="7948" width="13.125" style="3542" customWidth="1"/>
    <col min="7949" max="7950" width="12.375" style="3542" customWidth="1"/>
    <col min="7951" max="8192" width="9" style="3542"/>
    <col min="8193" max="8195" width="10.75" style="3542" customWidth="1"/>
    <col min="8196" max="8197" width="15.5" style="3542" customWidth="1"/>
    <col min="8198" max="8199" width="13.75" style="3542" customWidth="1"/>
    <col min="8200" max="8201" width="13.125" style="3542" customWidth="1"/>
    <col min="8202" max="8202" width="15.625" style="3542" customWidth="1"/>
    <col min="8203" max="8204" width="13.125" style="3542" customWidth="1"/>
    <col min="8205" max="8206" width="12.375" style="3542" customWidth="1"/>
    <col min="8207" max="8448" width="9" style="3542"/>
    <col min="8449" max="8451" width="10.75" style="3542" customWidth="1"/>
    <col min="8452" max="8453" width="15.5" style="3542" customWidth="1"/>
    <col min="8454" max="8455" width="13.75" style="3542" customWidth="1"/>
    <col min="8456" max="8457" width="13.125" style="3542" customWidth="1"/>
    <col min="8458" max="8458" width="15.625" style="3542" customWidth="1"/>
    <col min="8459" max="8460" width="13.125" style="3542" customWidth="1"/>
    <col min="8461" max="8462" width="12.375" style="3542" customWidth="1"/>
    <col min="8463" max="8704" width="9" style="3542"/>
    <col min="8705" max="8707" width="10.75" style="3542" customWidth="1"/>
    <col min="8708" max="8709" width="15.5" style="3542" customWidth="1"/>
    <col min="8710" max="8711" width="13.75" style="3542" customWidth="1"/>
    <col min="8712" max="8713" width="13.125" style="3542" customWidth="1"/>
    <col min="8714" max="8714" width="15.625" style="3542" customWidth="1"/>
    <col min="8715" max="8716" width="13.125" style="3542" customWidth="1"/>
    <col min="8717" max="8718" width="12.375" style="3542" customWidth="1"/>
    <col min="8719" max="8960" width="9" style="3542"/>
    <col min="8961" max="8963" width="10.75" style="3542" customWidth="1"/>
    <col min="8964" max="8965" width="15.5" style="3542" customWidth="1"/>
    <col min="8966" max="8967" width="13.75" style="3542" customWidth="1"/>
    <col min="8968" max="8969" width="13.125" style="3542" customWidth="1"/>
    <col min="8970" max="8970" width="15.625" style="3542" customWidth="1"/>
    <col min="8971" max="8972" width="13.125" style="3542" customWidth="1"/>
    <col min="8973" max="8974" width="12.375" style="3542" customWidth="1"/>
    <col min="8975" max="9216" width="9" style="3542"/>
    <col min="9217" max="9219" width="10.75" style="3542" customWidth="1"/>
    <col min="9220" max="9221" width="15.5" style="3542" customWidth="1"/>
    <col min="9222" max="9223" width="13.75" style="3542" customWidth="1"/>
    <col min="9224" max="9225" width="13.125" style="3542" customWidth="1"/>
    <col min="9226" max="9226" width="15.625" style="3542" customWidth="1"/>
    <col min="9227" max="9228" width="13.125" style="3542" customWidth="1"/>
    <col min="9229" max="9230" width="12.375" style="3542" customWidth="1"/>
    <col min="9231" max="9472" width="9" style="3542"/>
    <col min="9473" max="9475" width="10.75" style="3542" customWidth="1"/>
    <col min="9476" max="9477" width="15.5" style="3542" customWidth="1"/>
    <col min="9478" max="9479" width="13.75" style="3542" customWidth="1"/>
    <col min="9480" max="9481" width="13.125" style="3542" customWidth="1"/>
    <col min="9482" max="9482" width="15.625" style="3542" customWidth="1"/>
    <col min="9483" max="9484" width="13.125" style="3542" customWidth="1"/>
    <col min="9485" max="9486" width="12.375" style="3542" customWidth="1"/>
    <col min="9487" max="9728" width="9" style="3542"/>
    <col min="9729" max="9731" width="10.75" style="3542" customWidth="1"/>
    <col min="9732" max="9733" width="15.5" style="3542" customWidth="1"/>
    <col min="9734" max="9735" width="13.75" style="3542" customWidth="1"/>
    <col min="9736" max="9737" width="13.125" style="3542" customWidth="1"/>
    <col min="9738" max="9738" width="15.625" style="3542" customWidth="1"/>
    <col min="9739" max="9740" width="13.125" style="3542" customWidth="1"/>
    <col min="9741" max="9742" width="12.375" style="3542" customWidth="1"/>
    <col min="9743" max="9984" width="9" style="3542"/>
    <col min="9985" max="9987" width="10.75" style="3542" customWidth="1"/>
    <col min="9988" max="9989" width="15.5" style="3542" customWidth="1"/>
    <col min="9990" max="9991" width="13.75" style="3542" customWidth="1"/>
    <col min="9992" max="9993" width="13.125" style="3542" customWidth="1"/>
    <col min="9994" max="9994" width="15.625" style="3542" customWidth="1"/>
    <col min="9995" max="9996" width="13.125" style="3542" customWidth="1"/>
    <col min="9997" max="9998" width="12.375" style="3542" customWidth="1"/>
    <col min="9999" max="10240" width="9" style="3542"/>
    <col min="10241" max="10243" width="10.75" style="3542" customWidth="1"/>
    <col min="10244" max="10245" width="15.5" style="3542" customWidth="1"/>
    <col min="10246" max="10247" width="13.75" style="3542" customWidth="1"/>
    <col min="10248" max="10249" width="13.125" style="3542" customWidth="1"/>
    <col min="10250" max="10250" width="15.625" style="3542" customWidth="1"/>
    <col min="10251" max="10252" width="13.125" style="3542" customWidth="1"/>
    <col min="10253" max="10254" width="12.375" style="3542" customWidth="1"/>
    <col min="10255" max="10496" width="9" style="3542"/>
    <col min="10497" max="10499" width="10.75" style="3542" customWidth="1"/>
    <col min="10500" max="10501" width="15.5" style="3542" customWidth="1"/>
    <col min="10502" max="10503" width="13.75" style="3542" customWidth="1"/>
    <col min="10504" max="10505" width="13.125" style="3542" customWidth="1"/>
    <col min="10506" max="10506" width="15.625" style="3542" customWidth="1"/>
    <col min="10507" max="10508" width="13.125" style="3542" customWidth="1"/>
    <col min="10509" max="10510" width="12.375" style="3542" customWidth="1"/>
    <col min="10511" max="10752" width="9" style="3542"/>
    <col min="10753" max="10755" width="10.75" style="3542" customWidth="1"/>
    <col min="10756" max="10757" width="15.5" style="3542" customWidth="1"/>
    <col min="10758" max="10759" width="13.75" style="3542" customWidth="1"/>
    <col min="10760" max="10761" width="13.125" style="3542" customWidth="1"/>
    <col min="10762" max="10762" width="15.625" style="3542" customWidth="1"/>
    <col min="10763" max="10764" width="13.125" style="3542" customWidth="1"/>
    <col min="10765" max="10766" width="12.375" style="3542" customWidth="1"/>
    <col min="10767" max="11008" width="9" style="3542"/>
    <col min="11009" max="11011" width="10.75" style="3542" customWidth="1"/>
    <col min="11012" max="11013" width="15.5" style="3542" customWidth="1"/>
    <col min="11014" max="11015" width="13.75" style="3542" customWidth="1"/>
    <col min="11016" max="11017" width="13.125" style="3542" customWidth="1"/>
    <col min="11018" max="11018" width="15.625" style="3542" customWidth="1"/>
    <col min="11019" max="11020" width="13.125" style="3542" customWidth="1"/>
    <col min="11021" max="11022" width="12.375" style="3542" customWidth="1"/>
    <col min="11023" max="11264" width="9" style="3542"/>
    <col min="11265" max="11267" width="10.75" style="3542" customWidth="1"/>
    <col min="11268" max="11269" width="15.5" style="3542" customWidth="1"/>
    <col min="11270" max="11271" width="13.75" style="3542" customWidth="1"/>
    <col min="11272" max="11273" width="13.125" style="3542" customWidth="1"/>
    <col min="11274" max="11274" width="15.625" style="3542" customWidth="1"/>
    <col min="11275" max="11276" width="13.125" style="3542" customWidth="1"/>
    <col min="11277" max="11278" width="12.375" style="3542" customWidth="1"/>
    <col min="11279" max="11520" width="9" style="3542"/>
    <col min="11521" max="11523" width="10.75" style="3542" customWidth="1"/>
    <col min="11524" max="11525" width="15.5" style="3542" customWidth="1"/>
    <col min="11526" max="11527" width="13.75" style="3542" customWidth="1"/>
    <col min="11528" max="11529" width="13.125" style="3542" customWidth="1"/>
    <col min="11530" max="11530" width="15.625" style="3542" customWidth="1"/>
    <col min="11531" max="11532" width="13.125" style="3542" customWidth="1"/>
    <col min="11533" max="11534" width="12.375" style="3542" customWidth="1"/>
    <col min="11535" max="11776" width="9" style="3542"/>
    <col min="11777" max="11779" width="10.75" style="3542" customWidth="1"/>
    <col min="11780" max="11781" width="15.5" style="3542" customWidth="1"/>
    <col min="11782" max="11783" width="13.75" style="3542" customWidth="1"/>
    <col min="11784" max="11785" width="13.125" style="3542" customWidth="1"/>
    <col min="11786" max="11786" width="15.625" style="3542" customWidth="1"/>
    <col min="11787" max="11788" width="13.125" style="3542" customWidth="1"/>
    <col min="11789" max="11790" width="12.375" style="3542" customWidth="1"/>
    <col min="11791" max="12032" width="9" style="3542"/>
    <col min="12033" max="12035" width="10.75" style="3542" customWidth="1"/>
    <col min="12036" max="12037" width="15.5" style="3542" customWidth="1"/>
    <col min="12038" max="12039" width="13.75" style="3542" customWidth="1"/>
    <col min="12040" max="12041" width="13.125" style="3542" customWidth="1"/>
    <col min="12042" max="12042" width="15.625" style="3542" customWidth="1"/>
    <col min="12043" max="12044" width="13.125" style="3542" customWidth="1"/>
    <col min="12045" max="12046" width="12.375" style="3542" customWidth="1"/>
    <col min="12047" max="12288" width="9" style="3542"/>
    <col min="12289" max="12291" width="10.75" style="3542" customWidth="1"/>
    <col min="12292" max="12293" width="15.5" style="3542" customWidth="1"/>
    <col min="12294" max="12295" width="13.75" style="3542" customWidth="1"/>
    <col min="12296" max="12297" width="13.125" style="3542" customWidth="1"/>
    <col min="12298" max="12298" width="15.625" style="3542" customWidth="1"/>
    <col min="12299" max="12300" width="13.125" style="3542" customWidth="1"/>
    <col min="12301" max="12302" width="12.375" style="3542" customWidth="1"/>
    <col min="12303" max="12544" width="9" style="3542"/>
    <col min="12545" max="12547" width="10.75" style="3542" customWidth="1"/>
    <col min="12548" max="12549" width="15.5" style="3542" customWidth="1"/>
    <col min="12550" max="12551" width="13.75" style="3542" customWidth="1"/>
    <col min="12552" max="12553" width="13.125" style="3542" customWidth="1"/>
    <col min="12554" max="12554" width="15.625" style="3542" customWidth="1"/>
    <col min="12555" max="12556" width="13.125" style="3542" customWidth="1"/>
    <col min="12557" max="12558" width="12.375" style="3542" customWidth="1"/>
    <col min="12559" max="12800" width="9" style="3542"/>
    <col min="12801" max="12803" width="10.75" style="3542" customWidth="1"/>
    <col min="12804" max="12805" width="15.5" style="3542" customWidth="1"/>
    <col min="12806" max="12807" width="13.75" style="3542" customWidth="1"/>
    <col min="12808" max="12809" width="13.125" style="3542" customWidth="1"/>
    <col min="12810" max="12810" width="15.625" style="3542" customWidth="1"/>
    <col min="12811" max="12812" width="13.125" style="3542" customWidth="1"/>
    <col min="12813" max="12814" width="12.375" style="3542" customWidth="1"/>
    <col min="12815" max="13056" width="9" style="3542"/>
    <col min="13057" max="13059" width="10.75" style="3542" customWidth="1"/>
    <col min="13060" max="13061" width="15.5" style="3542" customWidth="1"/>
    <col min="13062" max="13063" width="13.75" style="3542" customWidth="1"/>
    <col min="13064" max="13065" width="13.125" style="3542" customWidth="1"/>
    <col min="13066" max="13066" width="15.625" style="3542" customWidth="1"/>
    <col min="13067" max="13068" width="13.125" style="3542" customWidth="1"/>
    <col min="13069" max="13070" width="12.375" style="3542" customWidth="1"/>
    <col min="13071" max="13312" width="9" style="3542"/>
    <col min="13313" max="13315" width="10.75" style="3542" customWidth="1"/>
    <col min="13316" max="13317" width="15.5" style="3542" customWidth="1"/>
    <col min="13318" max="13319" width="13.75" style="3542" customWidth="1"/>
    <col min="13320" max="13321" width="13.125" style="3542" customWidth="1"/>
    <col min="13322" max="13322" width="15.625" style="3542" customWidth="1"/>
    <col min="13323" max="13324" width="13.125" style="3542" customWidth="1"/>
    <col min="13325" max="13326" width="12.375" style="3542" customWidth="1"/>
    <col min="13327" max="13568" width="9" style="3542"/>
    <col min="13569" max="13571" width="10.75" style="3542" customWidth="1"/>
    <col min="13572" max="13573" width="15.5" style="3542" customWidth="1"/>
    <col min="13574" max="13575" width="13.75" style="3542" customWidth="1"/>
    <col min="13576" max="13577" width="13.125" style="3542" customWidth="1"/>
    <col min="13578" max="13578" width="15.625" style="3542" customWidth="1"/>
    <col min="13579" max="13580" width="13.125" style="3542" customWidth="1"/>
    <col min="13581" max="13582" width="12.375" style="3542" customWidth="1"/>
    <col min="13583" max="13824" width="9" style="3542"/>
    <col min="13825" max="13827" width="10.75" style="3542" customWidth="1"/>
    <col min="13828" max="13829" width="15.5" style="3542" customWidth="1"/>
    <col min="13830" max="13831" width="13.75" style="3542" customWidth="1"/>
    <col min="13832" max="13833" width="13.125" style="3542" customWidth="1"/>
    <col min="13834" max="13834" width="15.625" style="3542" customWidth="1"/>
    <col min="13835" max="13836" width="13.125" style="3542" customWidth="1"/>
    <col min="13837" max="13838" width="12.375" style="3542" customWidth="1"/>
    <col min="13839" max="14080" width="9" style="3542"/>
    <col min="14081" max="14083" width="10.75" style="3542" customWidth="1"/>
    <col min="14084" max="14085" width="15.5" style="3542" customWidth="1"/>
    <col min="14086" max="14087" width="13.75" style="3542" customWidth="1"/>
    <col min="14088" max="14089" width="13.125" style="3542" customWidth="1"/>
    <col min="14090" max="14090" width="15.625" style="3542" customWidth="1"/>
    <col min="14091" max="14092" width="13.125" style="3542" customWidth="1"/>
    <col min="14093" max="14094" width="12.375" style="3542" customWidth="1"/>
    <col min="14095" max="14336" width="9" style="3542"/>
    <col min="14337" max="14339" width="10.75" style="3542" customWidth="1"/>
    <col min="14340" max="14341" width="15.5" style="3542" customWidth="1"/>
    <col min="14342" max="14343" width="13.75" style="3542" customWidth="1"/>
    <col min="14344" max="14345" width="13.125" style="3542" customWidth="1"/>
    <col min="14346" max="14346" width="15.625" style="3542" customWidth="1"/>
    <col min="14347" max="14348" width="13.125" style="3542" customWidth="1"/>
    <col min="14349" max="14350" width="12.375" style="3542" customWidth="1"/>
    <col min="14351" max="14592" width="9" style="3542"/>
    <col min="14593" max="14595" width="10.75" style="3542" customWidth="1"/>
    <col min="14596" max="14597" width="15.5" style="3542" customWidth="1"/>
    <col min="14598" max="14599" width="13.75" style="3542" customWidth="1"/>
    <col min="14600" max="14601" width="13.125" style="3542" customWidth="1"/>
    <col min="14602" max="14602" width="15.625" style="3542" customWidth="1"/>
    <col min="14603" max="14604" width="13.125" style="3542" customWidth="1"/>
    <col min="14605" max="14606" width="12.375" style="3542" customWidth="1"/>
    <col min="14607" max="14848" width="9" style="3542"/>
    <col min="14849" max="14851" width="10.75" style="3542" customWidth="1"/>
    <col min="14852" max="14853" width="15.5" style="3542" customWidth="1"/>
    <col min="14854" max="14855" width="13.75" style="3542" customWidth="1"/>
    <col min="14856" max="14857" width="13.125" style="3542" customWidth="1"/>
    <col min="14858" max="14858" width="15.625" style="3542" customWidth="1"/>
    <col min="14859" max="14860" width="13.125" style="3542" customWidth="1"/>
    <col min="14861" max="14862" width="12.375" style="3542" customWidth="1"/>
    <col min="14863" max="15104" width="9" style="3542"/>
    <col min="15105" max="15107" width="10.75" style="3542" customWidth="1"/>
    <col min="15108" max="15109" width="15.5" style="3542" customWidth="1"/>
    <col min="15110" max="15111" width="13.75" style="3542" customWidth="1"/>
    <col min="15112" max="15113" width="13.125" style="3542" customWidth="1"/>
    <col min="15114" max="15114" width="15.625" style="3542" customWidth="1"/>
    <col min="15115" max="15116" width="13.125" style="3542" customWidth="1"/>
    <col min="15117" max="15118" width="12.375" style="3542" customWidth="1"/>
    <col min="15119" max="15360" width="9" style="3542"/>
    <col min="15361" max="15363" width="10.75" style="3542" customWidth="1"/>
    <col min="15364" max="15365" width="15.5" style="3542" customWidth="1"/>
    <col min="15366" max="15367" width="13.75" style="3542" customWidth="1"/>
    <col min="15368" max="15369" width="13.125" style="3542" customWidth="1"/>
    <col min="15370" max="15370" width="15.625" style="3542" customWidth="1"/>
    <col min="15371" max="15372" width="13.125" style="3542" customWidth="1"/>
    <col min="15373" max="15374" width="12.375" style="3542" customWidth="1"/>
    <col min="15375" max="15616" width="9" style="3542"/>
    <col min="15617" max="15619" width="10.75" style="3542" customWidth="1"/>
    <col min="15620" max="15621" width="15.5" style="3542" customWidth="1"/>
    <col min="15622" max="15623" width="13.75" style="3542" customWidth="1"/>
    <col min="15624" max="15625" width="13.125" style="3542" customWidth="1"/>
    <col min="15626" max="15626" width="15.625" style="3542" customWidth="1"/>
    <col min="15627" max="15628" width="13.125" style="3542" customWidth="1"/>
    <col min="15629" max="15630" width="12.375" style="3542" customWidth="1"/>
    <col min="15631" max="15872" width="9" style="3542"/>
    <col min="15873" max="15875" width="10.75" style="3542" customWidth="1"/>
    <col min="15876" max="15877" width="15.5" style="3542" customWidth="1"/>
    <col min="15878" max="15879" width="13.75" style="3542" customWidth="1"/>
    <col min="15880" max="15881" width="13.125" style="3542" customWidth="1"/>
    <col min="15882" max="15882" width="15.625" style="3542" customWidth="1"/>
    <col min="15883" max="15884" width="13.125" style="3542" customWidth="1"/>
    <col min="15885" max="15886" width="12.375" style="3542" customWidth="1"/>
    <col min="15887" max="16128" width="9" style="3542"/>
    <col min="16129" max="16131" width="10.75" style="3542" customWidth="1"/>
    <col min="16132" max="16133" width="15.5" style="3542" customWidth="1"/>
    <col min="16134" max="16135" width="13.75" style="3542" customWidth="1"/>
    <col min="16136" max="16137" width="13.125" style="3542" customWidth="1"/>
    <col min="16138" max="16138" width="15.625" style="3542" customWidth="1"/>
    <col min="16139" max="16140" width="13.125" style="3542" customWidth="1"/>
    <col min="16141" max="16142" width="12.375" style="3542" customWidth="1"/>
    <col min="16143" max="16384" width="9" style="3542"/>
  </cols>
  <sheetData>
    <row r="1" spans="1:14" ht="14.25" customHeight="1">
      <c r="A1" s="4666" t="s">
        <v>1765</v>
      </c>
      <c r="B1" s="4666"/>
      <c r="C1" s="4666"/>
      <c r="D1" s="4666" t="s">
        <v>1766</v>
      </c>
      <c r="E1" s="4666"/>
      <c r="F1" s="4668" t="s">
        <v>1767</v>
      </c>
      <c r="G1" s="4668"/>
      <c r="H1" s="4668"/>
      <c r="I1" s="4668"/>
      <c r="J1" s="4668"/>
      <c r="K1" s="4668"/>
      <c r="L1" s="4668"/>
      <c r="M1" s="4668"/>
      <c r="N1" s="4668"/>
    </row>
    <row r="2" spans="1:14" ht="14.25" customHeight="1">
      <c r="A2" s="4666"/>
      <c r="B2" s="4666"/>
      <c r="C2" s="4666"/>
      <c r="D2" s="4666"/>
      <c r="E2" s="4666"/>
      <c r="F2" s="4668"/>
      <c r="G2" s="4668"/>
      <c r="H2" s="4668"/>
      <c r="I2" s="4668"/>
      <c r="J2" s="4668"/>
      <c r="K2" s="4668"/>
      <c r="L2" s="4668"/>
      <c r="M2" s="4668"/>
      <c r="N2" s="4668"/>
    </row>
    <row r="3" spans="1:14" ht="14.25" customHeight="1">
      <c r="A3" s="4666"/>
      <c r="B3" s="4666"/>
      <c r="C3" s="4666"/>
      <c r="D3" s="4666"/>
      <c r="E3" s="4666"/>
      <c r="F3" s="4667" t="s">
        <v>1768</v>
      </c>
      <c r="G3" s="4667"/>
      <c r="H3" s="4667" t="s">
        <v>1769</v>
      </c>
      <c r="I3" s="4667"/>
      <c r="J3" s="3668" t="s">
        <v>1770</v>
      </c>
      <c r="K3" s="4667" t="s">
        <v>1771</v>
      </c>
      <c r="L3" s="4667"/>
      <c r="M3" s="4667" t="s">
        <v>1772</v>
      </c>
      <c r="N3" s="4667"/>
    </row>
    <row r="4" spans="1:14" ht="14.25" customHeight="1">
      <c r="A4" s="4666"/>
      <c r="B4" s="4666"/>
      <c r="C4" s="4666"/>
      <c r="D4" s="4666"/>
      <c r="E4" s="4666"/>
      <c r="F4" s="3668" t="s">
        <v>1773</v>
      </c>
      <c r="G4" s="3668">
        <v>0.3</v>
      </c>
      <c r="H4" s="3668" t="s">
        <v>1773</v>
      </c>
      <c r="I4" s="3668">
        <v>0.5</v>
      </c>
      <c r="J4" s="3668" t="s">
        <v>1774</v>
      </c>
      <c r="K4" s="4667" t="s">
        <v>1775</v>
      </c>
      <c r="L4" s="4667"/>
      <c r="M4" s="4667" t="s">
        <v>1774</v>
      </c>
      <c r="N4" s="4667"/>
    </row>
    <row r="5" spans="1:14" ht="14.25" customHeight="1">
      <c r="A5" s="4666"/>
      <c r="B5" s="4666"/>
      <c r="C5" s="4666"/>
      <c r="D5" s="4666"/>
      <c r="E5" s="4666"/>
      <c r="F5" s="4667" t="s">
        <v>1776</v>
      </c>
      <c r="G5" s="4667"/>
      <c r="H5" s="4667" t="s">
        <v>1776</v>
      </c>
      <c r="I5" s="4667"/>
      <c r="J5" s="3668" t="s">
        <v>1776</v>
      </c>
      <c r="K5" s="4667" t="s">
        <v>1776</v>
      </c>
      <c r="L5" s="4667"/>
      <c r="M5" s="4667" t="s">
        <v>1776</v>
      </c>
      <c r="N5" s="4667"/>
    </row>
    <row r="6" spans="1:14">
      <c r="A6" s="3669" t="s">
        <v>1777</v>
      </c>
      <c r="B6" s="3669" t="s">
        <v>1778</v>
      </c>
      <c r="C6" s="3669" t="s">
        <v>1779</v>
      </c>
      <c r="D6" s="3669" t="s">
        <v>1780</v>
      </c>
      <c r="E6" s="3669" t="s">
        <v>1781</v>
      </c>
      <c r="F6" s="3669" t="s">
        <v>1780</v>
      </c>
      <c r="G6" s="3669" t="s">
        <v>1781</v>
      </c>
      <c r="H6" s="3669" t="s">
        <v>1780</v>
      </c>
      <c r="I6" s="3669" t="s">
        <v>1781</v>
      </c>
      <c r="J6" s="3669" t="s">
        <v>1782</v>
      </c>
      <c r="K6" s="3669" t="s">
        <v>1780</v>
      </c>
      <c r="L6" s="3669" t="s">
        <v>1781</v>
      </c>
      <c r="M6" s="3669" t="s">
        <v>1780</v>
      </c>
      <c r="N6" s="3669" t="s">
        <v>1781</v>
      </c>
    </row>
    <row r="7" spans="1:14">
      <c r="A7" s="3670">
        <v>6</v>
      </c>
      <c r="B7" s="3668">
        <v>3</v>
      </c>
      <c r="C7" s="3668">
        <v>0.5</v>
      </c>
      <c r="D7" s="3671">
        <f>3.14159265*(A7*A7/4)*C7/10</f>
        <v>1.4137166925</v>
      </c>
      <c r="E7" s="3671">
        <f>3.14159265*(A7*A7/4-B7*B7/4)*C7/10</f>
        <v>1.0602875193750001</v>
      </c>
      <c r="F7" s="3671">
        <f>D7*0.3</f>
        <v>0.42411500774999999</v>
      </c>
      <c r="G7" s="3671">
        <f>E7*0.3</f>
        <v>0.3180862558125</v>
      </c>
      <c r="H7" s="3671">
        <f>D7*0.5</f>
        <v>0.70685834624999999</v>
      </c>
      <c r="I7" s="3671">
        <f>E7*0.5</f>
        <v>0.53014375968750005</v>
      </c>
      <c r="J7" s="3671">
        <f>D7*0.7</f>
        <v>0.98960168474999999</v>
      </c>
      <c r="K7" s="3671">
        <f>D7*0.5</f>
        <v>0.70685834624999999</v>
      </c>
      <c r="L7" s="3671">
        <f>E7*0.5</f>
        <v>0.53014375968750005</v>
      </c>
      <c r="M7" s="3671">
        <f>D7*0.7</f>
        <v>0.98960168474999999</v>
      </c>
      <c r="N7" s="3671">
        <f>E7*0.7</f>
        <v>0.74220126356250005</v>
      </c>
    </row>
    <row r="8" spans="1:14">
      <c r="A8" s="3670">
        <v>8</v>
      </c>
      <c r="B8" s="3668">
        <v>4</v>
      </c>
      <c r="C8" s="3668">
        <v>0.5</v>
      </c>
      <c r="D8" s="3671">
        <f>3.14159265*(A8*A8/4)*C8/10</f>
        <v>2.5132741200000002</v>
      </c>
      <c r="E8" s="3671">
        <f>3.14159265*(A8*A8/4-B8*B8/4)*C8/10</f>
        <v>1.8849555899999999</v>
      </c>
      <c r="F8" s="3671">
        <f t="shared" ref="F8:G24" si="0">D8*0.3</f>
        <v>0.75398223600000003</v>
      </c>
      <c r="G8" s="3671">
        <f t="shared" si="0"/>
        <v>0.56548667699999999</v>
      </c>
      <c r="H8" s="3671">
        <f t="shared" ref="H8:I24" si="1">D8*0.5</f>
        <v>1.2566370600000001</v>
      </c>
      <c r="I8" s="3671">
        <f t="shared" si="1"/>
        <v>0.94247779499999995</v>
      </c>
      <c r="J8" s="3671">
        <f t="shared" ref="J8:J24" si="2">D8*0.7</f>
        <v>1.759291884</v>
      </c>
      <c r="K8" s="3671">
        <f t="shared" ref="K8:L24" si="3">D8*0.5</f>
        <v>1.2566370600000001</v>
      </c>
      <c r="L8" s="3671">
        <f t="shared" si="3"/>
        <v>0.94247779499999995</v>
      </c>
      <c r="M8" s="3671">
        <f t="shared" ref="M8:N24" si="4">D8*0.7</f>
        <v>1.759291884</v>
      </c>
      <c r="N8" s="3671">
        <f t="shared" si="4"/>
        <v>1.3194689129999999</v>
      </c>
    </row>
    <row r="9" spans="1:14">
      <c r="A9" s="3670">
        <v>10</v>
      </c>
      <c r="B9" s="3668">
        <v>4</v>
      </c>
      <c r="C9" s="3668">
        <v>0.5</v>
      </c>
      <c r="D9" s="3671">
        <f>3.14159265*(A9*A9/4)*C9/10</f>
        <v>3.9269908125000001</v>
      </c>
      <c r="E9" s="3671">
        <f>3.14159265*(A9*A9/4-B9*B9/4)*C9/10</f>
        <v>3.2986722825000001</v>
      </c>
      <c r="F9" s="3671">
        <f t="shared" si="0"/>
        <v>1.1780972437499999</v>
      </c>
      <c r="G9" s="3671">
        <f t="shared" si="0"/>
        <v>0.98960168474999999</v>
      </c>
      <c r="H9" s="3671">
        <f t="shared" si="1"/>
        <v>1.9634954062500001</v>
      </c>
      <c r="I9" s="3671">
        <f t="shared" si="1"/>
        <v>1.6493361412500001</v>
      </c>
      <c r="J9" s="3671">
        <f t="shared" si="2"/>
        <v>2.7488935687499998</v>
      </c>
      <c r="K9" s="3671">
        <f t="shared" si="3"/>
        <v>1.9634954062500001</v>
      </c>
      <c r="L9" s="3671">
        <f t="shared" si="3"/>
        <v>1.6493361412500001</v>
      </c>
      <c r="M9" s="3671">
        <f t="shared" si="4"/>
        <v>2.7488935687499998</v>
      </c>
      <c r="N9" s="3671">
        <f t="shared" si="4"/>
        <v>2.3090705977499999</v>
      </c>
    </row>
    <row r="10" spans="1:14">
      <c r="A10" s="4665">
        <v>12</v>
      </c>
      <c r="B10" s="3668">
        <v>5</v>
      </c>
      <c r="C10" s="3668">
        <v>0.5</v>
      </c>
      <c r="D10" s="3671">
        <f>3.14159265*(A10*A10/4)*C10/10</f>
        <v>5.6548667699999999</v>
      </c>
      <c r="E10" s="3671">
        <f>3.14159265*(A10*A10/4-B10*B10/4)*C10/10</f>
        <v>4.6731190668749996</v>
      </c>
      <c r="F10" s="3671">
        <f t="shared" si="0"/>
        <v>1.696460031</v>
      </c>
      <c r="G10" s="3671">
        <f t="shared" si="0"/>
        <v>1.4019357200625</v>
      </c>
      <c r="H10" s="3671">
        <f t="shared" si="1"/>
        <v>2.827433385</v>
      </c>
      <c r="I10" s="3671">
        <f t="shared" si="1"/>
        <v>2.3365595334374998</v>
      </c>
      <c r="J10" s="3671">
        <f t="shared" si="2"/>
        <v>3.958406739</v>
      </c>
      <c r="K10" s="3671">
        <f t="shared" si="3"/>
        <v>2.827433385</v>
      </c>
      <c r="L10" s="3671">
        <f t="shared" si="3"/>
        <v>2.3365595334374998</v>
      </c>
      <c r="M10" s="3671">
        <f t="shared" si="4"/>
        <v>3.958406739</v>
      </c>
      <c r="N10" s="3671">
        <f t="shared" si="4"/>
        <v>3.2711833468124998</v>
      </c>
    </row>
    <row r="11" spans="1:14">
      <c r="A11" s="4665"/>
      <c r="B11" s="3668">
        <v>6</v>
      </c>
      <c r="C11" s="3668">
        <v>0.5</v>
      </c>
      <c r="D11" s="3671">
        <f>3.14159265*(A10*A10/4)*C11/10</f>
        <v>5.6548667699999999</v>
      </c>
      <c r="E11" s="3671">
        <f>3.14159265*(A10*A10/4-B11*B11/4)*C11/10</f>
        <v>4.2411500775000004</v>
      </c>
      <c r="F11" s="3671">
        <f t="shared" si="0"/>
        <v>1.696460031</v>
      </c>
      <c r="G11" s="3671">
        <f t="shared" si="0"/>
        <v>1.27234502325</v>
      </c>
      <c r="H11" s="3671">
        <f t="shared" si="1"/>
        <v>2.827433385</v>
      </c>
      <c r="I11" s="3671">
        <f t="shared" si="1"/>
        <v>2.1205750387500002</v>
      </c>
      <c r="J11" s="3671">
        <f t="shared" si="2"/>
        <v>3.958406739</v>
      </c>
      <c r="K11" s="3671">
        <f t="shared" si="3"/>
        <v>2.827433385</v>
      </c>
      <c r="L11" s="3671">
        <f t="shared" si="3"/>
        <v>2.1205750387500002</v>
      </c>
      <c r="M11" s="3671">
        <f t="shared" si="4"/>
        <v>3.958406739</v>
      </c>
      <c r="N11" s="3671">
        <f t="shared" si="4"/>
        <v>2.9688050542500002</v>
      </c>
    </row>
    <row r="12" spans="1:14">
      <c r="A12" s="4665">
        <v>16</v>
      </c>
      <c r="B12" s="3668">
        <v>5</v>
      </c>
      <c r="C12" s="3668">
        <v>0.5</v>
      </c>
      <c r="D12" s="3671">
        <f>3.14159265*(A12*A12/4)*C12/10</f>
        <v>10.053096480000001</v>
      </c>
      <c r="E12" s="3671">
        <f>3.14159265*(A12*A12/4-B12*B12/4)*C12/10</f>
        <v>9.0713487768750003</v>
      </c>
      <c r="F12" s="3671">
        <f t="shared" si="0"/>
        <v>3.0159289440000001</v>
      </c>
      <c r="G12" s="3671">
        <f t="shared" si="0"/>
        <v>2.7214046330624999</v>
      </c>
      <c r="H12" s="3671">
        <f t="shared" si="1"/>
        <v>5.0265482400000003</v>
      </c>
      <c r="I12" s="3671">
        <f t="shared" si="1"/>
        <v>4.5356743884375001</v>
      </c>
      <c r="J12" s="3671">
        <f t="shared" si="2"/>
        <v>7.0371675360000001</v>
      </c>
      <c r="K12" s="3671">
        <f t="shared" si="3"/>
        <v>5.0265482400000003</v>
      </c>
      <c r="L12" s="3671">
        <f t="shared" si="3"/>
        <v>4.5356743884375001</v>
      </c>
      <c r="M12" s="3671">
        <f t="shared" si="4"/>
        <v>7.0371675360000001</v>
      </c>
      <c r="N12" s="3671">
        <f t="shared" si="4"/>
        <v>6.3499441438125004</v>
      </c>
    </row>
    <row r="13" spans="1:14">
      <c r="A13" s="4665"/>
      <c r="B13" s="3668">
        <v>6</v>
      </c>
      <c r="C13" s="3668">
        <v>0.5</v>
      </c>
      <c r="D13" s="3671">
        <f>3.14159265*(A12*A12/4)*C13/10</f>
        <v>10.053096480000001</v>
      </c>
      <c r="E13" s="3671">
        <f>3.14159265*(A12*A12/4-B13*B13/4)*C13/10</f>
        <v>8.6393797874999994</v>
      </c>
      <c r="F13" s="3671">
        <f t="shared" si="0"/>
        <v>3.0159289440000001</v>
      </c>
      <c r="G13" s="3671">
        <f t="shared" si="0"/>
        <v>2.5918139362499999</v>
      </c>
      <c r="H13" s="3671">
        <f t="shared" si="1"/>
        <v>5.0265482400000003</v>
      </c>
      <c r="I13" s="3671">
        <f t="shared" si="1"/>
        <v>4.3196898937499997</v>
      </c>
      <c r="J13" s="3671">
        <f t="shared" si="2"/>
        <v>7.0371675360000001</v>
      </c>
      <c r="K13" s="3671">
        <f t="shared" si="3"/>
        <v>5.0265482400000003</v>
      </c>
      <c r="L13" s="3671">
        <f t="shared" si="3"/>
        <v>4.3196898937499997</v>
      </c>
      <c r="M13" s="3671">
        <f t="shared" si="4"/>
        <v>7.0371675360000001</v>
      </c>
      <c r="N13" s="3671">
        <f t="shared" si="4"/>
        <v>6.0475658512499999</v>
      </c>
    </row>
    <row r="14" spans="1:14">
      <c r="A14" s="4665">
        <v>20</v>
      </c>
      <c r="B14" s="3668">
        <v>8</v>
      </c>
      <c r="C14" s="3668">
        <v>0.5</v>
      </c>
      <c r="D14" s="3671">
        <f>3.14159265*(A14*A14/4)*C14/10</f>
        <v>15.707963250000001</v>
      </c>
      <c r="E14" s="3671">
        <f>3.14159265*(A14*A14/4-B14*B14/4)*C14/10</f>
        <v>13.19468913</v>
      </c>
      <c r="F14" s="3671">
        <f t="shared" si="0"/>
        <v>4.7123889749999996</v>
      </c>
      <c r="G14" s="3671">
        <f t="shared" si="0"/>
        <v>3.958406739</v>
      </c>
      <c r="H14" s="3671">
        <f t="shared" si="1"/>
        <v>7.8539816250000003</v>
      </c>
      <c r="I14" s="3671">
        <f t="shared" si="1"/>
        <v>6.5973445650000002</v>
      </c>
      <c r="J14" s="3671">
        <f t="shared" si="2"/>
        <v>10.995574274999999</v>
      </c>
      <c r="K14" s="3671">
        <f t="shared" si="3"/>
        <v>7.8539816250000003</v>
      </c>
      <c r="L14" s="3671">
        <f t="shared" si="3"/>
        <v>6.5973445650000002</v>
      </c>
      <c r="M14" s="3671">
        <f t="shared" si="4"/>
        <v>10.995574274999999</v>
      </c>
      <c r="N14" s="3671">
        <f t="shared" si="4"/>
        <v>9.2362823909999996</v>
      </c>
    </row>
    <row r="15" spans="1:14">
      <c r="A15" s="4665"/>
      <c r="B15" s="3668">
        <v>10</v>
      </c>
      <c r="C15" s="3668">
        <v>0.5</v>
      </c>
      <c r="D15" s="3671">
        <f>3.14159265*(A14*A14/4)*C15/10</f>
        <v>15.707963250000001</v>
      </c>
      <c r="E15" s="3671">
        <f>3.14159265*(A14*A14/4-B15*B15/4)*C15/10</f>
        <v>11.780972437499999</v>
      </c>
      <c r="F15" s="3671">
        <f t="shared" si="0"/>
        <v>4.7123889749999996</v>
      </c>
      <c r="G15" s="3671">
        <f t="shared" si="0"/>
        <v>3.5342917312500002</v>
      </c>
      <c r="H15" s="3671">
        <f t="shared" si="1"/>
        <v>7.8539816250000003</v>
      </c>
      <c r="I15" s="3671">
        <f t="shared" si="1"/>
        <v>5.8904862187499996</v>
      </c>
      <c r="J15" s="3671">
        <f t="shared" si="2"/>
        <v>10.995574274999999</v>
      </c>
      <c r="K15" s="3671">
        <f t="shared" si="3"/>
        <v>7.8539816250000003</v>
      </c>
      <c r="L15" s="3671">
        <f t="shared" si="3"/>
        <v>5.8904862187499996</v>
      </c>
      <c r="M15" s="3671">
        <f t="shared" si="4"/>
        <v>10.995574274999999</v>
      </c>
      <c r="N15" s="3671">
        <f t="shared" si="4"/>
        <v>8.2466807062500003</v>
      </c>
    </row>
    <row r="16" spans="1:14">
      <c r="A16" s="4665">
        <v>25</v>
      </c>
      <c r="B16" s="3668">
        <v>10</v>
      </c>
      <c r="C16" s="3668">
        <v>0.5</v>
      </c>
      <c r="D16" s="3671">
        <f>3.14159265*(A16*A16/4)*C16/10</f>
        <v>24.543692578125</v>
      </c>
      <c r="E16" s="3671">
        <f>3.14159265*(A16*A16/4-B16*B16/4)*C16/10</f>
        <v>20.616701765624999</v>
      </c>
      <c r="F16" s="3671">
        <f t="shared" si="0"/>
        <v>7.3631077734375001</v>
      </c>
      <c r="G16" s="3671">
        <f t="shared" si="0"/>
        <v>6.1850105296875002</v>
      </c>
      <c r="H16" s="3671">
        <f t="shared" si="1"/>
        <v>12.2718462890625</v>
      </c>
      <c r="I16" s="3671">
        <f t="shared" si="1"/>
        <v>10.308350882812499</v>
      </c>
      <c r="J16" s="3671">
        <f t="shared" si="2"/>
        <v>17.180584804687498</v>
      </c>
      <c r="K16" s="3671">
        <f t="shared" si="3"/>
        <v>12.2718462890625</v>
      </c>
      <c r="L16" s="3671">
        <f t="shared" si="3"/>
        <v>10.308350882812499</v>
      </c>
      <c r="M16" s="3671">
        <f t="shared" si="4"/>
        <v>17.180584804687498</v>
      </c>
      <c r="N16" s="3671">
        <f t="shared" si="4"/>
        <v>14.4316912359375</v>
      </c>
    </row>
    <row r="17" spans="1:14">
      <c r="A17" s="4665"/>
      <c r="B17" s="3668">
        <v>12</v>
      </c>
      <c r="C17" s="3668">
        <v>0.5</v>
      </c>
      <c r="D17" s="3671">
        <f>3.14159265*(A16*A16/4)*C17/10</f>
        <v>24.543692578125</v>
      </c>
      <c r="E17" s="3671">
        <f>3.14159265*(A16*A16/4-B17*B17/4)*C17/10</f>
        <v>18.888825808124999</v>
      </c>
      <c r="F17" s="3671">
        <f t="shared" si="0"/>
        <v>7.3631077734375001</v>
      </c>
      <c r="G17" s="3671">
        <f t="shared" si="0"/>
        <v>5.6666477424375001</v>
      </c>
      <c r="H17" s="3671">
        <f t="shared" si="1"/>
        <v>12.2718462890625</v>
      </c>
      <c r="I17" s="3671">
        <f t="shared" si="1"/>
        <v>9.4444129040624993</v>
      </c>
      <c r="J17" s="3671">
        <f t="shared" si="2"/>
        <v>17.180584804687498</v>
      </c>
      <c r="K17" s="3671">
        <f t="shared" si="3"/>
        <v>12.2718462890625</v>
      </c>
      <c r="L17" s="3671">
        <f t="shared" si="3"/>
        <v>9.4444129040624993</v>
      </c>
      <c r="M17" s="3671">
        <f t="shared" si="4"/>
        <v>17.180584804687498</v>
      </c>
      <c r="N17" s="3671">
        <f t="shared" si="4"/>
        <v>13.222178065687499</v>
      </c>
    </row>
    <row r="18" spans="1:14">
      <c r="A18" s="4665">
        <v>32</v>
      </c>
      <c r="B18" s="3668">
        <v>12</v>
      </c>
      <c r="C18" s="3668">
        <v>0.5</v>
      </c>
      <c r="D18" s="3671">
        <f>3.14159265*(A18*A18/4)*C18/10</f>
        <v>40.212385920000003</v>
      </c>
      <c r="E18" s="3671">
        <f>3.14159265*(A18*A18/4-B18*B18/4)*C18/10</f>
        <v>34.557519149999997</v>
      </c>
      <c r="F18" s="3671">
        <f t="shared" si="0"/>
        <v>12.063715776</v>
      </c>
      <c r="G18" s="3671">
        <f t="shared" si="0"/>
        <v>10.367255745</v>
      </c>
      <c r="H18" s="3671">
        <f t="shared" si="1"/>
        <v>20.106192960000001</v>
      </c>
      <c r="I18" s="3671">
        <f t="shared" si="1"/>
        <v>17.278759574999999</v>
      </c>
      <c r="J18" s="3671">
        <f t="shared" si="2"/>
        <v>28.148670144</v>
      </c>
      <c r="K18" s="3671">
        <f t="shared" si="3"/>
        <v>20.106192960000001</v>
      </c>
      <c r="L18" s="3671">
        <f t="shared" si="3"/>
        <v>17.278759574999999</v>
      </c>
      <c r="M18" s="3671">
        <f t="shared" si="4"/>
        <v>28.148670144</v>
      </c>
      <c r="N18" s="3671">
        <f t="shared" si="4"/>
        <v>24.190263405</v>
      </c>
    </row>
    <row r="19" spans="1:14">
      <c r="A19" s="4665"/>
      <c r="B19" s="3668">
        <v>16</v>
      </c>
      <c r="C19" s="3668">
        <v>0.5</v>
      </c>
      <c r="D19" s="3671">
        <f>3.14159265*(A18*A18/4)*C19/10</f>
        <v>40.212385920000003</v>
      </c>
      <c r="E19" s="3671">
        <f>3.14159265*(A18*A18/4-B19*B19/4)*C19/10</f>
        <v>30.159289439999998</v>
      </c>
      <c r="F19" s="3671">
        <f t="shared" si="0"/>
        <v>12.063715776</v>
      </c>
      <c r="G19" s="3671">
        <f t="shared" si="0"/>
        <v>9.0477868319999999</v>
      </c>
      <c r="H19" s="3671">
        <f t="shared" si="1"/>
        <v>20.106192960000001</v>
      </c>
      <c r="I19" s="3671">
        <f t="shared" si="1"/>
        <v>15.079644719999999</v>
      </c>
      <c r="J19" s="3671">
        <f t="shared" si="2"/>
        <v>28.148670144</v>
      </c>
      <c r="K19" s="3671">
        <f t="shared" si="3"/>
        <v>20.106192960000001</v>
      </c>
      <c r="L19" s="3671">
        <f t="shared" si="3"/>
        <v>15.079644719999999</v>
      </c>
      <c r="M19" s="3671">
        <f t="shared" si="4"/>
        <v>28.148670144</v>
      </c>
      <c r="N19" s="3671">
        <f t="shared" si="4"/>
        <v>21.111502607999999</v>
      </c>
    </row>
    <row r="20" spans="1:14">
      <c r="A20" s="3670">
        <v>40</v>
      </c>
      <c r="B20" s="3668">
        <v>16</v>
      </c>
      <c r="C20" s="3668">
        <v>0.5</v>
      </c>
      <c r="D20" s="3671">
        <f>3.14159265*(A20*A20/4)*C20/10</f>
        <v>62.831853000000002</v>
      </c>
      <c r="E20" s="3671">
        <f>3.14159265*(A20*A20/4-B20*B20/4)*C20/10</f>
        <v>52.778756520000002</v>
      </c>
      <c r="F20" s="3671">
        <f t="shared" si="0"/>
        <v>18.849555899999999</v>
      </c>
      <c r="G20" s="3671">
        <f t="shared" si="0"/>
        <v>15.833626956</v>
      </c>
      <c r="H20" s="3671">
        <f t="shared" si="1"/>
        <v>31.415926500000001</v>
      </c>
      <c r="I20" s="3671">
        <f t="shared" si="1"/>
        <v>26.389378260000001</v>
      </c>
      <c r="J20" s="3671">
        <f t="shared" si="2"/>
        <v>43.982297099999997</v>
      </c>
      <c r="K20" s="3671">
        <f t="shared" si="3"/>
        <v>31.415926500000001</v>
      </c>
      <c r="L20" s="3671">
        <f t="shared" si="3"/>
        <v>26.389378260000001</v>
      </c>
      <c r="M20" s="3671">
        <f t="shared" si="4"/>
        <v>43.982297099999997</v>
      </c>
      <c r="N20" s="3671">
        <f t="shared" si="4"/>
        <v>36.945129563999998</v>
      </c>
    </row>
    <row r="21" spans="1:14">
      <c r="A21" s="3670">
        <v>50</v>
      </c>
      <c r="B21" s="3668">
        <v>20</v>
      </c>
      <c r="C21" s="3668">
        <v>0.5</v>
      </c>
      <c r="D21" s="3671">
        <f>3.14159265*(A21*A21/4)*C21/10</f>
        <v>98.174770312500002</v>
      </c>
      <c r="E21" s="3671">
        <f>3.14159265*(A21*A21/4-B21*B21/4)*C21/10</f>
        <v>82.466807062499996</v>
      </c>
      <c r="F21" s="3671">
        <f t="shared" si="0"/>
        <v>29.45243109375</v>
      </c>
      <c r="G21" s="3671">
        <f t="shared" si="0"/>
        <v>24.740042118750001</v>
      </c>
      <c r="H21" s="3671">
        <f t="shared" si="1"/>
        <v>49.087385156250001</v>
      </c>
      <c r="I21" s="3671">
        <f t="shared" si="1"/>
        <v>41.233403531249998</v>
      </c>
      <c r="J21" s="3671">
        <f t="shared" si="2"/>
        <v>68.722339218749994</v>
      </c>
      <c r="K21" s="3671">
        <f t="shared" si="3"/>
        <v>49.087385156250001</v>
      </c>
      <c r="L21" s="3671">
        <f t="shared" si="3"/>
        <v>41.233403531249998</v>
      </c>
      <c r="M21" s="3671">
        <f t="shared" si="4"/>
        <v>68.722339218749994</v>
      </c>
      <c r="N21" s="3671">
        <f t="shared" si="4"/>
        <v>57.726764943749998</v>
      </c>
    </row>
    <row r="22" spans="1:14">
      <c r="A22" s="3670">
        <v>63</v>
      </c>
      <c r="B22" s="3668">
        <v>20</v>
      </c>
      <c r="C22" s="3668">
        <v>0.5</v>
      </c>
      <c r="D22" s="3671">
        <f>3.14159265*(A22*A22/4)*C22/10</f>
        <v>155.86226534812499</v>
      </c>
      <c r="E22" s="3671">
        <f>3.14159265*(A22*A22/4-B22*B22/4)*C22/10</f>
        <v>140.15430209812499</v>
      </c>
      <c r="F22" s="3671">
        <f t="shared" si="0"/>
        <v>46.758679604437503</v>
      </c>
      <c r="G22" s="3671">
        <f t="shared" si="0"/>
        <v>42.0462906294375</v>
      </c>
      <c r="H22" s="3671">
        <f t="shared" si="1"/>
        <v>77.931132674062496</v>
      </c>
      <c r="I22" s="3671">
        <f t="shared" si="1"/>
        <v>70.077151049062493</v>
      </c>
      <c r="J22" s="3671">
        <f t="shared" si="2"/>
        <v>109.103585743688</v>
      </c>
      <c r="K22" s="3671">
        <f t="shared" si="3"/>
        <v>77.931132674062496</v>
      </c>
      <c r="L22" s="3671">
        <f t="shared" si="3"/>
        <v>70.077151049062493</v>
      </c>
      <c r="M22" s="3671">
        <f t="shared" si="4"/>
        <v>109.103585743688</v>
      </c>
      <c r="N22" s="3671">
        <f t="shared" si="4"/>
        <v>98.108011468687494</v>
      </c>
    </row>
    <row r="23" spans="1:14">
      <c r="A23" s="3670">
        <v>80</v>
      </c>
      <c r="B23" s="3668">
        <v>25</v>
      </c>
      <c r="C23" s="3668">
        <v>0.5</v>
      </c>
      <c r="D23" s="3671">
        <f>3.14159265*(A23*A23/4)*C23/10</f>
        <v>251.32741200000001</v>
      </c>
      <c r="E23" s="3671">
        <f>3.14159265*(A23*A23/4-B23*B23/4)*C23/10</f>
        <v>226.78371942187499</v>
      </c>
      <c r="F23" s="3671">
        <f t="shared" si="0"/>
        <v>75.398223599999994</v>
      </c>
      <c r="G23" s="3671">
        <f t="shared" si="0"/>
        <v>68.035115826562503</v>
      </c>
      <c r="H23" s="3671">
        <f t="shared" si="1"/>
        <v>125.663706</v>
      </c>
      <c r="I23" s="3671">
        <f t="shared" si="1"/>
        <v>113.391859710937</v>
      </c>
      <c r="J23" s="3671">
        <f t="shared" si="2"/>
        <v>175.92918839999999</v>
      </c>
      <c r="K23" s="3671">
        <f t="shared" si="3"/>
        <v>125.663706</v>
      </c>
      <c r="L23" s="3671">
        <f t="shared" si="3"/>
        <v>113.391859710937</v>
      </c>
      <c r="M23" s="3671">
        <f t="shared" si="4"/>
        <v>175.92918839999999</v>
      </c>
      <c r="N23" s="3671">
        <f t="shared" si="4"/>
        <v>158.74860359531201</v>
      </c>
    </row>
    <row r="24" spans="1:14">
      <c r="A24" s="3670">
        <v>100</v>
      </c>
      <c r="B24" s="3668">
        <v>30</v>
      </c>
      <c r="C24" s="3668">
        <v>0.5</v>
      </c>
      <c r="D24" s="3671">
        <f>3.14159265*(A24*A24/4)*C24/10</f>
        <v>392.69908125000001</v>
      </c>
      <c r="E24" s="3671">
        <f>3.14159265*(A24*A24/4-B24*B24/4)*C24/10</f>
        <v>357.35616393750001</v>
      </c>
      <c r="F24" s="3671">
        <f t="shared" si="0"/>
        <v>117.809724375</v>
      </c>
      <c r="G24" s="3671">
        <f t="shared" si="0"/>
        <v>107.20684918125001</v>
      </c>
      <c r="H24" s="3671">
        <f t="shared" si="1"/>
        <v>196.349540625</v>
      </c>
      <c r="I24" s="3671">
        <f t="shared" si="1"/>
        <v>178.67808196875001</v>
      </c>
      <c r="J24" s="3671">
        <f t="shared" si="2"/>
        <v>274.88935687499998</v>
      </c>
      <c r="K24" s="3671">
        <f t="shared" si="3"/>
        <v>196.349540625</v>
      </c>
      <c r="L24" s="3671">
        <f t="shared" si="3"/>
        <v>178.67808196875001</v>
      </c>
      <c r="M24" s="3671">
        <f t="shared" si="4"/>
        <v>274.88935687499998</v>
      </c>
      <c r="N24" s="3671">
        <f t="shared" si="4"/>
        <v>250.14931475624999</v>
      </c>
    </row>
    <row r="25" spans="1:14">
      <c r="D25" s="3672"/>
      <c r="E25" s="3672"/>
    </row>
    <row r="26" spans="1:14">
      <c r="D26" s="3672"/>
      <c r="E26" s="3672"/>
    </row>
    <row r="27" spans="1:14">
      <c r="D27" s="3672"/>
      <c r="E27" s="3672"/>
    </row>
    <row r="28" spans="1:14">
      <c r="D28" s="3672"/>
      <c r="E28" s="3672"/>
    </row>
    <row r="29" spans="1:14">
      <c r="D29" s="3672"/>
      <c r="E29" s="3672"/>
    </row>
    <row r="30" spans="1:14">
      <c r="D30" s="3672"/>
      <c r="E30" s="3672"/>
    </row>
    <row r="31" spans="1:14">
      <c r="D31" s="3672"/>
      <c r="E31" s="3672"/>
    </row>
    <row r="32" spans="1:14">
      <c r="D32" s="3672"/>
      <c r="E32" s="3672"/>
    </row>
  </sheetData>
  <mergeCells count="18">
    <mergeCell ref="F5:G5"/>
    <mergeCell ref="H5:I5"/>
    <mergeCell ref="K5:L5"/>
    <mergeCell ref="M5:N5"/>
    <mergeCell ref="A10:A11"/>
    <mergeCell ref="D1:E5"/>
    <mergeCell ref="F1:N2"/>
    <mergeCell ref="F3:G3"/>
    <mergeCell ref="H3:I3"/>
    <mergeCell ref="K3:L3"/>
    <mergeCell ref="M3:N3"/>
    <mergeCell ref="K4:L4"/>
    <mergeCell ref="M4:N4"/>
    <mergeCell ref="A12:A13"/>
    <mergeCell ref="A14:A15"/>
    <mergeCell ref="A16:A17"/>
    <mergeCell ref="A18:A19"/>
    <mergeCell ref="A1:C5"/>
  </mergeCells>
  <phoneticPr fontId="214" type="noConversion"/>
  <pageMargins left="0.75" right="0.75" top="1" bottom="1" header="0.5" footer="0.5"/>
  <pageSetup paperSize="9" orientation="portrait" horizontalDpi="200" verticalDpi="30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WVR40"/>
  <sheetViews>
    <sheetView workbookViewId="0">
      <selection activeCell="O16" sqref="O16"/>
    </sheetView>
  </sheetViews>
  <sheetFormatPr defaultColWidth="9" defaultRowHeight="14.25"/>
  <cols>
    <col min="1" max="1" width="5.875" style="2694" customWidth="1"/>
    <col min="2" max="2" width="8.625" style="2694" customWidth="1"/>
    <col min="3" max="3" width="7.5" style="2694" customWidth="1"/>
    <col min="4" max="4" width="9" style="2694"/>
    <col min="5" max="5" width="7" style="2694" customWidth="1"/>
    <col min="6" max="6" width="13.75" style="2694" customWidth="1"/>
    <col min="7" max="7" width="12.125" style="2694" customWidth="1"/>
    <col min="8" max="8" width="11.75" style="2694" customWidth="1"/>
    <col min="9" max="9" width="13.5" style="2694" customWidth="1"/>
    <col min="10" max="10" width="9" style="2694" hidden="1" customWidth="1"/>
    <col min="11" max="256" width="9" style="2694"/>
    <col min="257" max="257" width="5.875" style="2694" customWidth="1"/>
    <col min="258" max="258" width="8.625" style="2694" customWidth="1"/>
    <col min="259" max="259" width="7.5" style="2694" customWidth="1"/>
    <col min="260" max="260" width="9" style="2694"/>
    <col min="261" max="261" width="7" style="2694" customWidth="1"/>
    <col min="262" max="262" width="13.75" style="2694" customWidth="1"/>
    <col min="263" max="263" width="12.125" style="2694" customWidth="1"/>
    <col min="264" max="264" width="11.75" style="2694" customWidth="1"/>
    <col min="265" max="265" width="13.5" style="2694" customWidth="1"/>
    <col min="266" max="266" width="9" style="2694" hidden="1" customWidth="1"/>
    <col min="267" max="512" width="9" style="2694"/>
    <col min="513" max="513" width="5.875" style="2694" customWidth="1"/>
    <col min="514" max="514" width="8.625" style="2694" customWidth="1"/>
    <col min="515" max="515" width="7.5" style="2694" customWidth="1"/>
    <col min="516" max="516" width="9" style="2694"/>
    <col min="517" max="517" width="7" style="2694" customWidth="1"/>
    <col min="518" max="518" width="13.75" style="2694" customWidth="1"/>
    <col min="519" max="519" width="12.125" style="2694" customWidth="1"/>
    <col min="520" max="520" width="11.75" style="2694" customWidth="1"/>
    <col min="521" max="521" width="13.5" style="2694" customWidth="1"/>
    <col min="522" max="522" width="9" style="2694" hidden="1" customWidth="1"/>
    <col min="523" max="768" width="9" style="2694"/>
    <col min="769" max="769" width="5.875" style="2694" customWidth="1"/>
    <col min="770" max="770" width="8.625" style="2694" customWidth="1"/>
    <col min="771" max="771" width="7.5" style="2694" customWidth="1"/>
    <col min="772" max="772" width="9" style="2694"/>
    <col min="773" max="773" width="7" style="2694" customWidth="1"/>
    <col min="774" max="774" width="13.75" style="2694" customWidth="1"/>
    <col min="775" max="775" width="12.125" style="2694" customWidth="1"/>
    <col min="776" max="776" width="11.75" style="2694" customWidth="1"/>
    <col min="777" max="777" width="13.5" style="2694" customWidth="1"/>
    <col min="778" max="778" width="9" style="2694" hidden="1" customWidth="1"/>
    <col min="779" max="1024" width="9" style="2694"/>
    <col min="1025" max="1025" width="5.875" style="2694" customWidth="1"/>
    <col min="1026" max="1026" width="8.625" style="2694" customWidth="1"/>
    <col min="1027" max="1027" width="7.5" style="2694" customWidth="1"/>
    <col min="1028" max="1028" width="9" style="2694"/>
    <col min="1029" max="1029" width="7" style="2694" customWidth="1"/>
    <col min="1030" max="1030" width="13.75" style="2694" customWidth="1"/>
    <col min="1031" max="1031" width="12.125" style="2694" customWidth="1"/>
    <col min="1032" max="1032" width="11.75" style="2694" customWidth="1"/>
    <col min="1033" max="1033" width="13.5" style="2694" customWidth="1"/>
    <col min="1034" max="1034" width="9" style="2694" hidden="1" customWidth="1"/>
    <col min="1035" max="1280" width="9" style="2694"/>
    <col min="1281" max="1281" width="5.875" style="2694" customWidth="1"/>
    <col min="1282" max="1282" width="8.625" style="2694" customWidth="1"/>
    <col min="1283" max="1283" width="7.5" style="2694" customWidth="1"/>
    <col min="1284" max="1284" width="9" style="2694"/>
    <col min="1285" max="1285" width="7" style="2694" customWidth="1"/>
    <col min="1286" max="1286" width="13.75" style="2694" customWidth="1"/>
    <col min="1287" max="1287" width="12.125" style="2694" customWidth="1"/>
    <col min="1288" max="1288" width="11.75" style="2694" customWidth="1"/>
    <col min="1289" max="1289" width="13.5" style="2694" customWidth="1"/>
    <col min="1290" max="1290" width="9" style="2694" hidden="1" customWidth="1"/>
    <col min="1291" max="1536" width="9" style="2694"/>
    <col min="1537" max="1537" width="5.875" style="2694" customWidth="1"/>
    <col min="1538" max="1538" width="8.625" style="2694" customWidth="1"/>
    <col min="1539" max="1539" width="7.5" style="2694" customWidth="1"/>
    <col min="1540" max="1540" width="9" style="2694"/>
    <col min="1541" max="1541" width="7" style="2694" customWidth="1"/>
    <col min="1542" max="1542" width="13.75" style="2694" customWidth="1"/>
    <col min="1543" max="1543" width="12.125" style="2694" customWidth="1"/>
    <col min="1544" max="1544" width="11.75" style="2694" customWidth="1"/>
    <col min="1545" max="1545" width="13.5" style="2694" customWidth="1"/>
    <col min="1546" max="1546" width="9" style="2694" hidden="1" customWidth="1"/>
    <col min="1547" max="1792" width="9" style="2694"/>
    <col min="1793" max="1793" width="5.875" style="2694" customWidth="1"/>
    <col min="1794" max="1794" width="8.625" style="2694" customWidth="1"/>
    <col min="1795" max="1795" width="7.5" style="2694" customWidth="1"/>
    <col min="1796" max="1796" width="9" style="2694"/>
    <col min="1797" max="1797" width="7" style="2694" customWidth="1"/>
    <col min="1798" max="1798" width="13.75" style="2694" customWidth="1"/>
    <col min="1799" max="1799" width="12.125" style="2694" customWidth="1"/>
    <col min="1800" max="1800" width="11.75" style="2694" customWidth="1"/>
    <col min="1801" max="1801" width="13.5" style="2694" customWidth="1"/>
    <col min="1802" max="1802" width="9" style="2694" hidden="1" customWidth="1"/>
    <col min="1803" max="2048" width="9" style="2694"/>
    <col min="2049" max="2049" width="5.875" style="2694" customWidth="1"/>
    <col min="2050" max="2050" width="8.625" style="2694" customWidth="1"/>
    <col min="2051" max="2051" width="7.5" style="2694" customWidth="1"/>
    <col min="2052" max="2052" width="9" style="2694"/>
    <col min="2053" max="2053" width="7" style="2694" customWidth="1"/>
    <col min="2054" max="2054" width="13.75" style="2694" customWidth="1"/>
    <col min="2055" max="2055" width="12.125" style="2694" customWidth="1"/>
    <col min="2056" max="2056" width="11.75" style="2694" customWidth="1"/>
    <col min="2057" max="2057" width="13.5" style="2694" customWidth="1"/>
    <col min="2058" max="2058" width="9" style="2694" hidden="1" customWidth="1"/>
    <col min="2059" max="2304" width="9" style="2694"/>
    <col min="2305" max="2305" width="5.875" style="2694" customWidth="1"/>
    <col min="2306" max="2306" width="8.625" style="2694" customWidth="1"/>
    <col min="2307" max="2307" width="7.5" style="2694" customWidth="1"/>
    <col min="2308" max="2308" width="9" style="2694"/>
    <col min="2309" max="2309" width="7" style="2694" customWidth="1"/>
    <col min="2310" max="2310" width="13.75" style="2694" customWidth="1"/>
    <col min="2311" max="2311" width="12.125" style="2694" customWidth="1"/>
    <col min="2312" max="2312" width="11.75" style="2694" customWidth="1"/>
    <col min="2313" max="2313" width="13.5" style="2694" customWidth="1"/>
    <col min="2314" max="2314" width="9" style="2694" hidden="1" customWidth="1"/>
    <col min="2315" max="2560" width="9" style="2694"/>
    <col min="2561" max="2561" width="5.875" style="2694" customWidth="1"/>
    <col min="2562" max="2562" width="8.625" style="2694" customWidth="1"/>
    <col min="2563" max="2563" width="7.5" style="2694" customWidth="1"/>
    <col min="2564" max="2564" width="9" style="2694"/>
    <col min="2565" max="2565" width="7" style="2694" customWidth="1"/>
    <col min="2566" max="2566" width="13.75" style="2694" customWidth="1"/>
    <col min="2567" max="2567" width="12.125" style="2694" customWidth="1"/>
    <col min="2568" max="2568" width="11.75" style="2694" customWidth="1"/>
    <col min="2569" max="2569" width="13.5" style="2694" customWidth="1"/>
    <col min="2570" max="2570" width="9" style="2694" hidden="1" customWidth="1"/>
    <col min="2571" max="2816" width="9" style="2694"/>
    <col min="2817" max="2817" width="5.875" style="2694" customWidth="1"/>
    <col min="2818" max="2818" width="8.625" style="2694" customWidth="1"/>
    <col min="2819" max="2819" width="7.5" style="2694" customWidth="1"/>
    <col min="2820" max="2820" width="9" style="2694"/>
    <col min="2821" max="2821" width="7" style="2694" customWidth="1"/>
    <col min="2822" max="2822" width="13.75" style="2694" customWidth="1"/>
    <col min="2823" max="2823" width="12.125" style="2694" customWidth="1"/>
    <col min="2824" max="2824" width="11.75" style="2694" customWidth="1"/>
    <col min="2825" max="2825" width="13.5" style="2694" customWidth="1"/>
    <col min="2826" max="2826" width="9" style="2694" hidden="1" customWidth="1"/>
    <col min="2827" max="3072" width="9" style="2694"/>
    <col min="3073" max="3073" width="5.875" style="2694" customWidth="1"/>
    <col min="3074" max="3074" width="8.625" style="2694" customWidth="1"/>
    <col min="3075" max="3075" width="7.5" style="2694" customWidth="1"/>
    <col min="3076" max="3076" width="9" style="2694"/>
    <col min="3077" max="3077" width="7" style="2694" customWidth="1"/>
    <col min="3078" max="3078" width="13.75" style="2694" customWidth="1"/>
    <col min="3079" max="3079" width="12.125" style="2694" customWidth="1"/>
    <col min="3080" max="3080" width="11.75" style="2694" customWidth="1"/>
    <col min="3081" max="3081" width="13.5" style="2694" customWidth="1"/>
    <col min="3082" max="3082" width="9" style="2694" hidden="1" customWidth="1"/>
    <col min="3083" max="3328" width="9" style="2694"/>
    <col min="3329" max="3329" width="5.875" style="2694" customWidth="1"/>
    <col min="3330" max="3330" width="8.625" style="2694" customWidth="1"/>
    <col min="3331" max="3331" width="7.5" style="2694" customWidth="1"/>
    <col min="3332" max="3332" width="9" style="2694"/>
    <col min="3333" max="3333" width="7" style="2694" customWidth="1"/>
    <col min="3334" max="3334" width="13.75" style="2694" customWidth="1"/>
    <col min="3335" max="3335" width="12.125" style="2694" customWidth="1"/>
    <col min="3336" max="3336" width="11.75" style="2694" customWidth="1"/>
    <col min="3337" max="3337" width="13.5" style="2694" customWidth="1"/>
    <col min="3338" max="3338" width="9" style="2694" hidden="1" customWidth="1"/>
    <col min="3339" max="3584" width="9" style="2694"/>
    <col min="3585" max="3585" width="5.875" style="2694" customWidth="1"/>
    <col min="3586" max="3586" width="8.625" style="2694" customWidth="1"/>
    <col min="3587" max="3587" width="7.5" style="2694" customWidth="1"/>
    <col min="3588" max="3588" width="9" style="2694"/>
    <col min="3589" max="3589" width="7" style="2694" customWidth="1"/>
    <col min="3590" max="3590" width="13.75" style="2694" customWidth="1"/>
    <col min="3591" max="3591" width="12.125" style="2694" customWidth="1"/>
    <col min="3592" max="3592" width="11.75" style="2694" customWidth="1"/>
    <col min="3593" max="3593" width="13.5" style="2694" customWidth="1"/>
    <col min="3594" max="3594" width="9" style="2694" hidden="1" customWidth="1"/>
    <col min="3595" max="3840" width="9" style="2694"/>
    <col min="3841" max="3841" width="5.875" style="2694" customWidth="1"/>
    <col min="3842" max="3842" width="8.625" style="2694" customWidth="1"/>
    <col min="3843" max="3843" width="7.5" style="2694" customWidth="1"/>
    <col min="3844" max="3844" width="9" style="2694"/>
    <col min="3845" max="3845" width="7" style="2694" customWidth="1"/>
    <col min="3846" max="3846" width="13.75" style="2694" customWidth="1"/>
    <col min="3847" max="3847" width="12.125" style="2694" customWidth="1"/>
    <col min="3848" max="3848" width="11.75" style="2694" customWidth="1"/>
    <col min="3849" max="3849" width="13.5" style="2694" customWidth="1"/>
    <col min="3850" max="3850" width="9" style="2694" hidden="1" customWidth="1"/>
    <col min="3851" max="4096" width="9" style="2694"/>
    <col min="4097" max="4097" width="5.875" style="2694" customWidth="1"/>
    <col min="4098" max="4098" width="8.625" style="2694" customWidth="1"/>
    <col min="4099" max="4099" width="7.5" style="2694" customWidth="1"/>
    <col min="4100" max="4100" width="9" style="2694"/>
    <col min="4101" max="4101" width="7" style="2694" customWidth="1"/>
    <col min="4102" max="4102" width="13.75" style="2694" customWidth="1"/>
    <col min="4103" max="4103" width="12.125" style="2694" customWidth="1"/>
    <col min="4104" max="4104" width="11.75" style="2694" customWidth="1"/>
    <col min="4105" max="4105" width="13.5" style="2694" customWidth="1"/>
    <col min="4106" max="4106" width="9" style="2694" hidden="1" customWidth="1"/>
    <col min="4107" max="4352" width="9" style="2694"/>
    <col min="4353" max="4353" width="5.875" style="2694" customWidth="1"/>
    <col min="4354" max="4354" width="8.625" style="2694" customWidth="1"/>
    <col min="4355" max="4355" width="7.5" style="2694" customWidth="1"/>
    <col min="4356" max="4356" width="9" style="2694"/>
    <col min="4357" max="4357" width="7" style="2694" customWidth="1"/>
    <col min="4358" max="4358" width="13.75" style="2694" customWidth="1"/>
    <col min="4359" max="4359" width="12.125" style="2694" customWidth="1"/>
    <col min="4360" max="4360" width="11.75" style="2694" customWidth="1"/>
    <col min="4361" max="4361" width="13.5" style="2694" customWidth="1"/>
    <col min="4362" max="4362" width="9" style="2694" hidden="1" customWidth="1"/>
    <col min="4363" max="4608" width="9" style="2694"/>
    <col min="4609" max="4609" width="5.875" style="2694" customWidth="1"/>
    <col min="4610" max="4610" width="8.625" style="2694" customWidth="1"/>
    <col min="4611" max="4611" width="7.5" style="2694" customWidth="1"/>
    <col min="4612" max="4612" width="9" style="2694"/>
    <col min="4613" max="4613" width="7" style="2694" customWidth="1"/>
    <col min="4614" max="4614" width="13.75" style="2694" customWidth="1"/>
    <col min="4615" max="4615" width="12.125" style="2694" customWidth="1"/>
    <col min="4616" max="4616" width="11.75" style="2694" customWidth="1"/>
    <col min="4617" max="4617" width="13.5" style="2694" customWidth="1"/>
    <col min="4618" max="4618" width="9" style="2694" hidden="1" customWidth="1"/>
    <col min="4619" max="4864" width="9" style="2694"/>
    <col min="4865" max="4865" width="5.875" style="2694" customWidth="1"/>
    <col min="4866" max="4866" width="8.625" style="2694" customWidth="1"/>
    <col min="4867" max="4867" width="7.5" style="2694" customWidth="1"/>
    <col min="4868" max="4868" width="9" style="2694"/>
    <col min="4869" max="4869" width="7" style="2694" customWidth="1"/>
    <col min="4870" max="4870" width="13.75" style="2694" customWidth="1"/>
    <col min="4871" max="4871" width="12.125" style="2694" customWidth="1"/>
    <col min="4872" max="4872" width="11.75" style="2694" customWidth="1"/>
    <col min="4873" max="4873" width="13.5" style="2694" customWidth="1"/>
    <col min="4874" max="4874" width="9" style="2694" hidden="1" customWidth="1"/>
    <col min="4875" max="5120" width="9" style="2694"/>
    <col min="5121" max="5121" width="5.875" style="2694" customWidth="1"/>
    <col min="5122" max="5122" width="8.625" style="2694" customWidth="1"/>
    <col min="5123" max="5123" width="7.5" style="2694" customWidth="1"/>
    <col min="5124" max="5124" width="9" style="2694"/>
    <col min="5125" max="5125" width="7" style="2694" customWidth="1"/>
    <col min="5126" max="5126" width="13.75" style="2694" customWidth="1"/>
    <col min="5127" max="5127" width="12.125" style="2694" customWidth="1"/>
    <col min="5128" max="5128" width="11.75" style="2694" customWidth="1"/>
    <col min="5129" max="5129" width="13.5" style="2694" customWidth="1"/>
    <col min="5130" max="5130" width="9" style="2694" hidden="1" customWidth="1"/>
    <col min="5131" max="5376" width="9" style="2694"/>
    <col min="5377" max="5377" width="5.875" style="2694" customWidth="1"/>
    <col min="5378" max="5378" width="8.625" style="2694" customWidth="1"/>
    <col min="5379" max="5379" width="7.5" style="2694" customWidth="1"/>
    <col min="5380" max="5380" width="9" style="2694"/>
    <col min="5381" max="5381" width="7" style="2694" customWidth="1"/>
    <col min="5382" max="5382" width="13.75" style="2694" customWidth="1"/>
    <col min="5383" max="5383" width="12.125" style="2694" customWidth="1"/>
    <col min="5384" max="5384" width="11.75" style="2694" customWidth="1"/>
    <col min="5385" max="5385" width="13.5" style="2694" customWidth="1"/>
    <col min="5386" max="5386" width="9" style="2694" hidden="1" customWidth="1"/>
    <col min="5387" max="5632" width="9" style="2694"/>
    <col min="5633" max="5633" width="5.875" style="2694" customWidth="1"/>
    <col min="5634" max="5634" width="8.625" style="2694" customWidth="1"/>
    <col min="5635" max="5635" width="7.5" style="2694" customWidth="1"/>
    <col min="5636" max="5636" width="9" style="2694"/>
    <col min="5637" max="5637" width="7" style="2694" customWidth="1"/>
    <col min="5638" max="5638" width="13.75" style="2694" customWidth="1"/>
    <col min="5639" max="5639" width="12.125" style="2694" customWidth="1"/>
    <col min="5640" max="5640" width="11.75" style="2694" customWidth="1"/>
    <col min="5641" max="5641" width="13.5" style="2694" customWidth="1"/>
    <col min="5642" max="5642" width="9" style="2694" hidden="1" customWidth="1"/>
    <col min="5643" max="5888" width="9" style="2694"/>
    <col min="5889" max="5889" width="5.875" style="2694" customWidth="1"/>
    <col min="5890" max="5890" width="8.625" style="2694" customWidth="1"/>
    <col min="5891" max="5891" width="7.5" style="2694" customWidth="1"/>
    <col min="5892" max="5892" width="9" style="2694"/>
    <col min="5893" max="5893" width="7" style="2694" customWidth="1"/>
    <col min="5894" max="5894" width="13.75" style="2694" customWidth="1"/>
    <col min="5895" max="5895" width="12.125" style="2694" customWidth="1"/>
    <col min="5896" max="5896" width="11.75" style="2694" customWidth="1"/>
    <col min="5897" max="5897" width="13.5" style="2694" customWidth="1"/>
    <col min="5898" max="5898" width="9" style="2694" hidden="1" customWidth="1"/>
    <col min="5899" max="6144" width="9" style="2694"/>
    <col min="6145" max="6145" width="5.875" style="2694" customWidth="1"/>
    <col min="6146" max="6146" width="8.625" style="2694" customWidth="1"/>
    <col min="6147" max="6147" width="7.5" style="2694" customWidth="1"/>
    <col min="6148" max="6148" width="9" style="2694"/>
    <col min="6149" max="6149" width="7" style="2694" customWidth="1"/>
    <col min="6150" max="6150" width="13.75" style="2694" customWidth="1"/>
    <col min="6151" max="6151" width="12.125" style="2694" customWidth="1"/>
    <col min="6152" max="6152" width="11.75" style="2694" customWidth="1"/>
    <col min="6153" max="6153" width="13.5" style="2694" customWidth="1"/>
    <col min="6154" max="6154" width="9" style="2694" hidden="1" customWidth="1"/>
    <col min="6155" max="6400" width="9" style="2694"/>
    <col min="6401" max="6401" width="5.875" style="2694" customWidth="1"/>
    <col min="6402" max="6402" width="8.625" style="2694" customWidth="1"/>
    <col min="6403" max="6403" width="7.5" style="2694" customWidth="1"/>
    <col min="6404" max="6404" width="9" style="2694"/>
    <col min="6405" max="6405" width="7" style="2694" customWidth="1"/>
    <col min="6406" max="6406" width="13.75" style="2694" customWidth="1"/>
    <col min="6407" max="6407" width="12.125" style="2694" customWidth="1"/>
    <col min="6408" max="6408" width="11.75" style="2694" customWidth="1"/>
    <col min="6409" max="6409" width="13.5" style="2694" customWidth="1"/>
    <col min="6410" max="6410" width="9" style="2694" hidden="1" customWidth="1"/>
    <col min="6411" max="6656" width="9" style="2694"/>
    <col min="6657" max="6657" width="5.875" style="2694" customWidth="1"/>
    <col min="6658" max="6658" width="8.625" style="2694" customWidth="1"/>
    <col min="6659" max="6659" width="7.5" style="2694" customWidth="1"/>
    <col min="6660" max="6660" width="9" style="2694"/>
    <col min="6661" max="6661" width="7" style="2694" customWidth="1"/>
    <col min="6662" max="6662" width="13.75" style="2694" customWidth="1"/>
    <col min="6663" max="6663" width="12.125" style="2694" customWidth="1"/>
    <col min="6664" max="6664" width="11.75" style="2694" customWidth="1"/>
    <col min="6665" max="6665" width="13.5" style="2694" customWidth="1"/>
    <col min="6666" max="6666" width="9" style="2694" hidden="1" customWidth="1"/>
    <col min="6667" max="6912" width="9" style="2694"/>
    <col min="6913" max="6913" width="5.875" style="2694" customWidth="1"/>
    <col min="6914" max="6914" width="8.625" style="2694" customWidth="1"/>
    <col min="6915" max="6915" width="7.5" style="2694" customWidth="1"/>
    <col min="6916" max="6916" width="9" style="2694"/>
    <col min="6917" max="6917" width="7" style="2694" customWidth="1"/>
    <col min="6918" max="6918" width="13.75" style="2694" customWidth="1"/>
    <col min="6919" max="6919" width="12.125" style="2694" customWidth="1"/>
    <col min="6920" max="6920" width="11.75" style="2694" customWidth="1"/>
    <col min="6921" max="6921" width="13.5" style="2694" customWidth="1"/>
    <col min="6922" max="6922" width="9" style="2694" hidden="1" customWidth="1"/>
    <col min="6923" max="7168" width="9" style="2694"/>
    <col min="7169" max="7169" width="5.875" style="2694" customWidth="1"/>
    <col min="7170" max="7170" width="8.625" style="2694" customWidth="1"/>
    <col min="7171" max="7171" width="7.5" style="2694" customWidth="1"/>
    <col min="7172" max="7172" width="9" style="2694"/>
    <col min="7173" max="7173" width="7" style="2694" customWidth="1"/>
    <col min="7174" max="7174" width="13.75" style="2694" customWidth="1"/>
    <col min="7175" max="7175" width="12.125" style="2694" customWidth="1"/>
    <col min="7176" max="7176" width="11.75" style="2694" customWidth="1"/>
    <col min="7177" max="7177" width="13.5" style="2694" customWidth="1"/>
    <col min="7178" max="7178" width="9" style="2694" hidden="1" customWidth="1"/>
    <col min="7179" max="7424" width="9" style="2694"/>
    <col min="7425" max="7425" width="5.875" style="2694" customWidth="1"/>
    <col min="7426" max="7426" width="8.625" style="2694" customWidth="1"/>
    <col min="7427" max="7427" width="7.5" style="2694" customWidth="1"/>
    <col min="7428" max="7428" width="9" style="2694"/>
    <col min="7429" max="7429" width="7" style="2694" customWidth="1"/>
    <col min="7430" max="7430" width="13.75" style="2694" customWidth="1"/>
    <col min="7431" max="7431" width="12.125" style="2694" customWidth="1"/>
    <col min="7432" max="7432" width="11.75" style="2694" customWidth="1"/>
    <col min="7433" max="7433" width="13.5" style="2694" customWidth="1"/>
    <col min="7434" max="7434" width="9" style="2694" hidden="1" customWidth="1"/>
    <col min="7435" max="7680" width="9" style="2694"/>
    <col min="7681" max="7681" width="5.875" style="2694" customWidth="1"/>
    <col min="7682" max="7682" width="8.625" style="2694" customWidth="1"/>
    <col min="7683" max="7683" width="7.5" style="2694" customWidth="1"/>
    <col min="7684" max="7684" width="9" style="2694"/>
    <col min="7685" max="7685" width="7" style="2694" customWidth="1"/>
    <col min="7686" max="7686" width="13.75" style="2694" customWidth="1"/>
    <col min="7687" max="7687" width="12.125" style="2694" customWidth="1"/>
    <col min="7688" max="7688" width="11.75" style="2694" customWidth="1"/>
    <col min="7689" max="7689" width="13.5" style="2694" customWidth="1"/>
    <col min="7690" max="7690" width="9" style="2694" hidden="1" customWidth="1"/>
    <col min="7691" max="7936" width="9" style="2694"/>
    <col min="7937" max="7937" width="5.875" style="2694" customWidth="1"/>
    <col min="7938" max="7938" width="8.625" style="2694" customWidth="1"/>
    <col min="7939" max="7939" width="7.5" style="2694" customWidth="1"/>
    <col min="7940" max="7940" width="9" style="2694"/>
    <col min="7941" max="7941" width="7" style="2694" customWidth="1"/>
    <col min="7942" max="7942" width="13.75" style="2694" customWidth="1"/>
    <col min="7943" max="7943" width="12.125" style="2694" customWidth="1"/>
    <col min="7944" max="7944" width="11.75" style="2694" customWidth="1"/>
    <col min="7945" max="7945" width="13.5" style="2694" customWidth="1"/>
    <col min="7946" max="7946" width="9" style="2694" hidden="1" customWidth="1"/>
    <col min="7947" max="8192" width="9" style="2694"/>
    <col min="8193" max="8193" width="5.875" style="2694" customWidth="1"/>
    <col min="8194" max="8194" width="8.625" style="2694" customWidth="1"/>
    <col min="8195" max="8195" width="7.5" style="2694" customWidth="1"/>
    <col min="8196" max="8196" width="9" style="2694"/>
    <col min="8197" max="8197" width="7" style="2694" customWidth="1"/>
    <col min="8198" max="8198" width="13.75" style="2694" customWidth="1"/>
    <col min="8199" max="8199" width="12.125" style="2694" customWidth="1"/>
    <col min="8200" max="8200" width="11.75" style="2694" customWidth="1"/>
    <col min="8201" max="8201" width="13.5" style="2694" customWidth="1"/>
    <col min="8202" max="8202" width="9" style="2694" hidden="1" customWidth="1"/>
    <col min="8203" max="8448" width="9" style="2694"/>
    <col min="8449" max="8449" width="5.875" style="2694" customWidth="1"/>
    <col min="8450" max="8450" width="8.625" style="2694" customWidth="1"/>
    <col min="8451" max="8451" width="7.5" style="2694" customWidth="1"/>
    <col min="8452" max="8452" width="9" style="2694"/>
    <col min="8453" max="8453" width="7" style="2694" customWidth="1"/>
    <col min="8454" max="8454" width="13.75" style="2694" customWidth="1"/>
    <col min="8455" max="8455" width="12.125" style="2694" customWidth="1"/>
    <col min="8456" max="8456" width="11.75" style="2694" customWidth="1"/>
    <col min="8457" max="8457" width="13.5" style="2694" customWidth="1"/>
    <col min="8458" max="8458" width="9" style="2694" hidden="1" customWidth="1"/>
    <col min="8459" max="8704" width="9" style="2694"/>
    <col min="8705" max="8705" width="5.875" style="2694" customWidth="1"/>
    <col min="8706" max="8706" width="8.625" style="2694" customWidth="1"/>
    <col min="8707" max="8707" width="7.5" style="2694" customWidth="1"/>
    <col min="8708" max="8708" width="9" style="2694"/>
    <col min="8709" max="8709" width="7" style="2694" customWidth="1"/>
    <col min="8710" max="8710" width="13.75" style="2694" customWidth="1"/>
    <col min="8711" max="8711" width="12.125" style="2694" customWidth="1"/>
    <col min="8712" max="8712" width="11.75" style="2694" customWidth="1"/>
    <col min="8713" max="8713" width="13.5" style="2694" customWidth="1"/>
    <col min="8714" max="8714" width="9" style="2694" hidden="1" customWidth="1"/>
    <col min="8715" max="8960" width="9" style="2694"/>
    <col min="8961" max="8961" width="5.875" style="2694" customWidth="1"/>
    <col min="8962" max="8962" width="8.625" style="2694" customWidth="1"/>
    <col min="8963" max="8963" width="7.5" style="2694" customWidth="1"/>
    <col min="8964" max="8964" width="9" style="2694"/>
    <col min="8965" max="8965" width="7" style="2694" customWidth="1"/>
    <col min="8966" max="8966" width="13.75" style="2694" customWidth="1"/>
    <col min="8967" max="8967" width="12.125" style="2694" customWidth="1"/>
    <col min="8968" max="8968" width="11.75" style="2694" customWidth="1"/>
    <col min="8969" max="8969" width="13.5" style="2694" customWidth="1"/>
    <col min="8970" max="8970" width="9" style="2694" hidden="1" customWidth="1"/>
    <col min="8971" max="9216" width="9" style="2694"/>
    <col min="9217" max="9217" width="5.875" style="2694" customWidth="1"/>
    <col min="9218" max="9218" width="8.625" style="2694" customWidth="1"/>
    <col min="9219" max="9219" width="7.5" style="2694" customWidth="1"/>
    <col min="9220" max="9220" width="9" style="2694"/>
    <col min="9221" max="9221" width="7" style="2694" customWidth="1"/>
    <col min="9222" max="9222" width="13.75" style="2694" customWidth="1"/>
    <col min="9223" max="9223" width="12.125" style="2694" customWidth="1"/>
    <col min="9224" max="9224" width="11.75" style="2694" customWidth="1"/>
    <col min="9225" max="9225" width="13.5" style="2694" customWidth="1"/>
    <col min="9226" max="9226" width="9" style="2694" hidden="1" customWidth="1"/>
    <col min="9227" max="9472" width="9" style="2694"/>
    <col min="9473" max="9473" width="5.875" style="2694" customWidth="1"/>
    <col min="9474" max="9474" width="8.625" style="2694" customWidth="1"/>
    <col min="9475" max="9475" width="7.5" style="2694" customWidth="1"/>
    <col min="9476" max="9476" width="9" style="2694"/>
    <col min="9477" max="9477" width="7" style="2694" customWidth="1"/>
    <col min="9478" max="9478" width="13.75" style="2694" customWidth="1"/>
    <col min="9479" max="9479" width="12.125" style="2694" customWidth="1"/>
    <col min="9480" max="9480" width="11.75" style="2694" customWidth="1"/>
    <col min="9481" max="9481" width="13.5" style="2694" customWidth="1"/>
    <col min="9482" max="9482" width="9" style="2694" hidden="1" customWidth="1"/>
    <col min="9483" max="9728" width="9" style="2694"/>
    <col min="9729" max="9729" width="5.875" style="2694" customWidth="1"/>
    <col min="9730" max="9730" width="8.625" style="2694" customWidth="1"/>
    <col min="9731" max="9731" width="7.5" style="2694" customWidth="1"/>
    <col min="9732" max="9732" width="9" style="2694"/>
    <col min="9733" max="9733" width="7" style="2694" customWidth="1"/>
    <col min="9734" max="9734" width="13.75" style="2694" customWidth="1"/>
    <col min="9735" max="9735" width="12.125" style="2694" customWidth="1"/>
    <col min="9736" max="9736" width="11.75" style="2694" customWidth="1"/>
    <col min="9737" max="9737" width="13.5" style="2694" customWidth="1"/>
    <col min="9738" max="9738" width="9" style="2694" hidden="1" customWidth="1"/>
    <col min="9739" max="9984" width="9" style="2694"/>
    <col min="9985" max="9985" width="5.875" style="2694" customWidth="1"/>
    <col min="9986" max="9986" width="8.625" style="2694" customWidth="1"/>
    <col min="9987" max="9987" width="7.5" style="2694" customWidth="1"/>
    <col min="9988" max="9988" width="9" style="2694"/>
    <col min="9989" max="9989" width="7" style="2694" customWidth="1"/>
    <col min="9990" max="9990" width="13.75" style="2694" customWidth="1"/>
    <col min="9991" max="9991" width="12.125" style="2694" customWidth="1"/>
    <col min="9992" max="9992" width="11.75" style="2694" customWidth="1"/>
    <col min="9993" max="9993" width="13.5" style="2694" customWidth="1"/>
    <col min="9994" max="9994" width="9" style="2694" hidden="1" customWidth="1"/>
    <col min="9995" max="10240" width="9" style="2694"/>
    <col min="10241" max="10241" width="5.875" style="2694" customWidth="1"/>
    <col min="10242" max="10242" width="8.625" style="2694" customWidth="1"/>
    <col min="10243" max="10243" width="7.5" style="2694" customWidth="1"/>
    <col min="10244" max="10244" width="9" style="2694"/>
    <col min="10245" max="10245" width="7" style="2694" customWidth="1"/>
    <col min="10246" max="10246" width="13.75" style="2694" customWidth="1"/>
    <col min="10247" max="10247" width="12.125" style="2694" customWidth="1"/>
    <col min="10248" max="10248" width="11.75" style="2694" customWidth="1"/>
    <col min="10249" max="10249" width="13.5" style="2694" customWidth="1"/>
    <col min="10250" max="10250" width="9" style="2694" hidden="1" customWidth="1"/>
    <col min="10251" max="10496" width="9" style="2694"/>
    <col min="10497" max="10497" width="5.875" style="2694" customWidth="1"/>
    <col min="10498" max="10498" width="8.625" style="2694" customWidth="1"/>
    <col min="10499" max="10499" width="7.5" style="2694" customWidth="1"/>
    <col min="10500" max="10500" width="9" style="2694"/>
    <col min="10501" max="10501" width="7" style="2694" customWidth="1"/>
    <col min="10502" max="10502" width="13.75" style="2694" customWidth="1"/>
    <col min="10503" max="10503" width="12.125" style="2694" customWidth="1"/>
    <col min="10504" max="10504" width="11.75" style="2694" customWidth="1"/>
    <col min="10505" max="10505" width="13.5" style="2694" customWidth="1"/>
    <col min="10506" max="10506" width="9" style="2694" hidden="1" customWidth="1"/>
    <col min="10507" max="10752" width="9" style="2694"/>
    <col min="10753" max="10753" width="5.875" style="2694" customWidth="1"/>
    <col min="10754" max="10754" width="8.625" style="2694" customWidth="1"/>
    <col min="10755" max="10755" width="7.5" style="2694" customWidth="1"/>
    <col min="10756" max="10756" width="9" style="2694"/>
    <col min="10757" max="10757" width="7" style="2694" customWidth="1"/>
    <col min="10758" max="10758" width="13.75" style="2694" customWidth="1"/>
    <col min="10759" max="10759" width="12.125" style="2694" customWidth="1"/>
    <col min="10760" max="10760" width="11.75" style="2694" customWidth="1"/>
    <col min="10761" max="10761" width="13.5" style="2694" customWidth="1"/>
    <col min="10762" max="10762" width="9" style="2694" hidden="1" customWidth="1"/>
    <col min="10763" max="11008" width="9" style="2694"/>
    <col min="11009" max="11009" width="5.875" style="2694" customWidth="1"/>
    <col min="11010" max="11010" width="8.625" style="2694" customWidth="1"/>
    <col min="11011" max="11011" width="7.5" style="2694" customWidth="1"/>
    <col min="11012" max="11012" width="9" style="2694"/>
    <col min="11013" max="11013" width="7" style="2694" customWidth="1"/>
    <col min="11014" max="11014" width="13.75" style="2694" customWidth="1"/>
    <col min="11015" max="11015" width="12.125" style="2694" customWidth="1"/>
    <col min="11016" max="11016" width="11.75" style="2694" customWidth="1"/>
    <col min="11017" max="11017" width="13.5" style="2694" customWidth="1"/>
    <col min="11018" max="11018" width="9" style="2694" hidden="1" customWidth="1"/>
    <col min="11019" max="11264" width="9" style="2694"/>
    <col min="11265" max="11265" width="5.875" style="2694" customWidth="1"/>
    <col min="11266" max="11266" width="8.625" style="2694" customWidth="1"/>
    <col min="11267" max="11267" width="7.5" style="2694" customWidth="1"/>
    <col min="11268" max="11268" width="9" style="2694"/>
    <col min="11269" max="11269" width="7" style="2694" customWidth="1"/>
    <col min="11270" max="11270" width="13.75" style="2694" customWidth="1"/>
    <col min="11271" max="11271" width="12.125" style="2694" customWidth="1"/>
    <col min="11272" max="11272" width="11.75" style="2694" customWidth="1"/>
    <col min="11273" max="11273" width="13.5" style="2694" customWidth="1"/>
    <col min="11274" max="11274" width="9" style="2694" hidden="1" customWidth="1"/>
    <col min="11275" max="11520" width="9" style="2694"/>
    <col min="11521" max="11521" width="5.875" style="2694" customWidth="1"/>
    <col min="11522" max="11522" width="8.625" style="2694" customWidth="1"/>
    <col min="11523" max="11523" width="7.5" style="2694" customWidth="1"/>
    <col min="11524" max="11524" width="9" style="2694"/>
    <col min="11525" max="11525" width="7" style="2694" customWidth="1"/>
    <col min="11526" max="11526" width="13.75" style="2694" customWidth="1"/>
    <col min="11527" max="11527" width="12.125" style="2694" customWidth="1"/>
    <col min="11528" max="11528" width="11.75" style="2694" customWidth="1"/>
    <col min="11529" max="11529" width="13.5" style="2694" customWidth="1"/>
    <col min="11530" max="11530" width="9" style="2694" hidden="1" customWidth="1"/>
    <col min="11531" max="11776" width="9" style="2694"/>
    <col min="11777" max="11777" width="5.875" style="2694" customWidth="1"/>
    <col min="11778" max="11778" width="8.625" style="2694" customWidth="1"/>
    <col min="11779" max="11779" width="7.5" style="2694" customWidth="1"/>
    <col min="11780" max="11780" width="9" style="2694"/>
    <col min="11781" max="11781" width="7" style="2694" customWidth="1"/>
    <col min="11782" max="11782" width="13.75" style="2694" customWidth="1"/>
    <col min="11783" max="11783" width="12.125" style="2694" customWidth="1"/>
    <col min="11784" max="11784" width="11.75" style="2694" customWidth="1"/>
    <col min="11785" max="11785" width="13.5" style="2694" customWidth="1"/>
    <col min="11786" max="11786" width="9" style="2694" hidden="1" customWidth="1"/>
    <col min="11787" max="12032" width="9" style="2694"/>
    <col min="12033" max="12033" width="5.875" style="2694" customWidth="1"/>
    <col min="12034" max="12034" width="8.625" style="2694" customWidth="1"/>
    <col min="12035" max="12035" width="7.5" style="2694" customWidth="1"/>
    <col min="12036" max="12036" width="9" style="2694"/>
    <col min="12037" max="12037" width="7" style="2694" customWidth="1"/>
    <col min="12038" max="12038" width="13.75" style="2694" customWidth="1"/>
    <col min="12039" max="12039" width="12.125" style="2694" customWidth="1"/>
    <col min="12040" max="12040" width="11.75" style="2694" customWidth="1"/>
    <col min="12041" max="12041" width="13.5" style="2694" customWidth="1"/>
    <col min="12042" max="12042" width="9" style="2694" hidden="1" customWidth="1"/>
    <col min="12043" max="12288" width="9" style="2694"/>
    <col min="12289" max="12289" width="5.875" style="2694" customWidth="1"/>
    <col min="12290" max="12290" width="8.625" style="2694" customWidth="1"/>
    <col min="12291" max="12291" width="7.5" style="2694" customWidth="1"/>
    <col min="12292" max="12292" width="9" style="2694"/>
    <col min="12293" max="12293" width="7" style="2694" customWidth="1"/>
    <col min="12294" max="12294" width="13.75" style="2694" customWidth="1"/>
    <col min="12295" max="12295" width="12.125" style="2694" customWidth="1"/>
    <col min="12296" max="12296" width="11.75" style="2694" customWidth="1"/>
    <col min="12297" max="12297" width="13.5" style="2694" customWidth="1"/>
    <col min="12298" max="12298" width="9" style="2694" hidden="1" customWidth="1"/>
    <col min="12299" max="12544" width="9" style="2694"/>
    <col min="12545" max="12545" width="5.875" style="2694" customWidth="1"/>
    <col min="12546" max="12546" width="8.625" style="2694" customWidth="1"/>
    <col min="12547" max="12547" width="7.5" style="2694" customWidth="1"/>
    <col min="12548" max="12548" width="9" style="2694"/>
    <col min="12549" max="12549" width="7" style="2694" customWidth="1"/>
    <col min="12550" max="12550" width="13.75" style="2694" customWidth="1"/>
    <col min="12551" max="12551" width="12.125" style="2694" customWidth="1"/>
    <col min="12552" max="12552" width="11.75" style="2694" customWidth="1"/>
    <col min="12553" max="12553" width="13.5" style="2694" customWidth="1"/>
    <col min="12554" max="12554" width="9" style="2694" hidden="1" customWidth="1"/>
    <col min="12555" max="12800" width="9" style="2694"/>
    <col min="12801" max="12801" width="5.875" style="2694" customWidth="1"/>
    <col min="12802" max="12802" width="8.625" style="2694" customWidth="1"/>
    <col min="12803" max="12803" width="7.5" style="2694" customWidth="1"/>
    <col min="12804" max="12804" width="9" style="2694"/>
    <col min="12805" max="12805" width="7" style="2694" customWidth="1"/>
    <col min="12806" max="12806" width="13.75" style="2694" customWidth="1"/>
    <col min="12807" max="12807" width="12.125" style="2694" customWidth="1"/>
    <col min="12808" max="12808" width="11.75" style="2694" customWidth="1"/>
    <col min="12809" max="12809" width="13.5" style="2694" customWidth="1"/>
    <col min="12810" max="12810" width="9" style="2694" hidden="1" customWidth="1"/>
    <col min="12811" max="13056" width="9" style="2694"/>
    <col min="13057" max="13057" width="5.875" style="2694" customWidth="1"/>
    <col min="13058" max="13058" width="8.625" style="2694" customWidth="1"/>
    <col min="13059" max="13059" width="7.5" style="2694" customWidth="1"/>
    <col min="13060" max="13060" width="9" style="2694"/>
    <col min="13061" max="13061" width="7" style="2694" customWidth="1"/>
    <col min="13062" max="13062" width="13.75" style="2694" customWidth="1"/>
    <col min="13063" max="13063" width="12.125" style="2694" customWidth="1"/>
    <col min="13064" max="13064" width="11.75" style="2694" customWidth="1"/>
    <col min="13065" max="13065" width="13.5" style="2694" customWidth="1"/>
    <col min="13066" max="13066" width="9" style="2694" hidden="1" customWidth="1"/>
    <col min="13067" max="13312" width="9" style="2694"/>
    <col min="13313" max="13313" width="5.875" style="2694" customWidth="1"/>
    <col min="13314" max="13314" width="8.625" style="2694" customWidth="1"/>
    <col min="13315" max="13315" width="7.5" style="2694" customWidth="1"/>
    <col min="13316" max="13316" width="9" style="2694"/>
    <col min="13317" max="13317" width="7" style="2694" customWidth="1"/>
    <col min="13318" max="13318" width="13.75" style="2694" customWidth="1"/>
    <col min="13319" max="13319" width="12.125" style="2694" customWidth="1"/>
    <col min="13320" max="13320" width="11.75" style="2694" customWidth="1"/>
    <col min="13321" max="13321" width="13.5" style="2694" customWidth="1"/>
    <col min="13322" max="13322" width="9" style="2694" hidden="1" customWidth="1"/>
    <col min="13323" max="13568" width="9" style="2694"/>
    <col min="13569" max="13569" width="5.875" style="2694" customWidth="1"/>
    <col min="13570" max="13570" width="8.625" style="2694" customWidth="1"/>
    <col min="13571" max="13571" width="7.5" style="2694" customWidth="1"/>
    <col min="13572" max="13572" width="9" style="2694"/>
    <col min="13573" max="13573" width="7" style="2694" customWidth="1"/>
    <col min="13574" max="13574" width="13.75" style="2694" customWidth="1"/>
    <col min="13575" max="13575" width="12.125" style="2694" customWidth="1"/>
    <col min="13576" max="13576" width="11.75" style="2694" customWidth="1"/>
    <col min="13577" max="13577" width="13.5" style="2694" customWidth="1"/>
    <col min="13578" max="13578" width="9" style="2694" hidden="1" customWidth="1"/>
    <col min="13579" max="13824" width="9" style="2694"/>
    <col min="13825" max="13825" width="5.875" style="2694" customWidth="1"/>
    <col min="13826" max="13826" width="8.625" style="2694" customWidth="1"/>
    <col min="13827" max="13827" width="7.5" style="2694" customWidth="1"/>
    <col min="13828" max="13828" width="9" style="2694"/>
    <col min="13829" max="13829" width="7" style="2694" customWidth="1"/>
    <col min="13830" max="13830" width="13.75" style="2694" customWidth="1"/>
    <col min="13831" max="13831" width="12.125" style="2694" customWidth="1"/>
    <col min="13832" max="13832" width="11.75" style="2694" customWidth="1"/>
    <col min="13833" max="13833" width="13.5" style="2694" customWidth="1"/>
    <col min="13834" max="13834" width="9" style="2694" hidden="1" customWidth="1"/>
    <col min="13835" max="14080" width="9" style="2694"/>
    <col min="14081" max="14081" width="5.875" style="2694" customWidth="1"/>
    <col min="14082" max="14082" width="8.625" style="2694" customWidth="1"/>
    <col min="14083" max="14083" width="7.5" style="2694" customWidth="1"/>
    <col min="14084" max="14084" width="9" style="2694"/>
    <col min="14085" max="14085" width="7" style="2694" customWidth="1"/>
    <col min="14086" max="14086" width="13.75" style="2694" customWidth="1"/>
    <col min="14087" max="14087" width="12.125" style="2694" customWidth="1"/>
    <col min="14088" max="14088" width="11.75" style="2694" customWidth="1"/>
    <col min="14089" max="14089" width="13.5" style="2694" customWidth="1"/>
    <col min="14090" max="14090" width="9" style="2694" hidden="1" customWidth="1"/>
    <col min="14091" max="14336" width="9" style="2694"/>
    <col min="14337" max="14337" width="5.875" style="2694" customWidth="1"/>
    <col min="14338" max="14338" width="8.625" style="2694" customWidth="1"/>
    <col min="14339" max="14339" width="7.5" style="2694" customWidth="1"/>
    <col min="14340" max="14340" width="9" style="2694"/>
    <col min="14341" max="14341" width="7" style="2694" customWidth="1"/>
    <col min="14342" max="14342" width="13.75" style="2694" customWidth="1"/>
    <col min="14343" max="14343" width="12.125" style="2694" customWidth="1"/>
    <col min="14344" max="14344" width="11.75" style="2694" customWidth="1"/>
    <col min="14345" max="14345" width="13.5" style="2694" customWidth="1"/>
    <col min="14346" max="14346" width="9" style="2694" hidden="1" customWidth="1"/>
    <col min="14347" max="14592" width="9" style="2694"/>
    <col min="14593" max="14593" width="5.875" style="2694" customWidth="1"/>
    <col min="14594" max="14594" width="8.625" style="2694" customWidth="1"/>
    <col min="14595" max="14595" width="7.5" style="2694" customWidth="1"/>
    <col min="14596" max="14596" width="9" style="2694"/>
    <col min="14597" max="14597" width="7" style="2694" customWidth="1"/>
    <col min="14598" max="14598" width="13.75" style="2694" customWidth="1"/>
    <col min="14599" max="14599" width="12.125" style="2694" customWidth="1"/>
    <col min="14600" max="14600" width="11.75" style="2694" customWidth="1"/>
    <col min="14601" max="14601" width="13.5" style="2694" customWidth="1"/>
    <col min="14602" max="14602" width="9" style="2694" hidden="1" customWidth="1"/>
    <col min="14603" max="14848" width="9" style="2694"/>
    <col min="14849" max="14849" width="5.875" style="2694" customWidth="1"/>
    <col min="14850" max="14850" width="8.625" style="2694" customWidth="1"/>
    <col min="14851" max="14851" width="7.5" style="2694" customWidth="1"/>
    <col min="14852" max="14852" width="9" style="2694"/>
    <col min="14853" max="14853" width="7" style="2694" customWidth="1"/>
    <col min="14854" max="14854" width="13.75" style="2694" customWidth="1"/>
    <col min="14855" max="14855" width="12.125" style="2694" customWidth="1"/>
    <col min="14856" max="14856" width="11.75" style="2694" customWidth="1"/>
    <col min="14857" max="14857" width="13.5" style="2694" customWidth="1"/>
    <col min="14858" max="14858" width="9" style="2694" hidden="1" customWidth="1"/>
    <col min="14859" max="15104" width="9" style="2694"/>
    <col min="15105" max="15105" width="5.875" style="2694" customWidth="1"/>
    <col min="15106" max="15106" width="8.625" style="2694" customWidth="1"/>
    <col min="15107" max="15107" width="7.5" style="2694" customWidth="1"/>
    <col min="15108" max="15108" width="9" style="2694"/>
    <col min="15109" max="15109" width="7" style="2694" customWidth="1"/>
    <col min="15110" max="15110" width="13.75" style="2694" customWidth="1"/>
    <col min="15111" max="15111" width="12.125" style="2694" customWidth="1"/>
    <col min="15112" max="15112" width="11.75" style="2694" customWidth="1"/>
    <col min="15113" max="15113" width="13.5" style="2694" customWidth="1"/>
    <col min="15114" max="15114" width="9" style="2694" hidden="1" customWidth="1"/>
    <col min="15115" max="15360" width="9" style="2694"/>
    <col min="15361" max="15361" width="5.875" style="2694" customWidth="1"/>
    <col min="15362" max="15362" width="8.625" style="2694" customWidth="1"/>
    <col min="15363" max="15363" width="7.5" style="2694" customWidth="1"/>
    <col min="15364" max="15364" width="9" style="2694"/>
    <col min="15365" max="15365" width="7" style="2694" customWidth="1"/>
    <col min="15366" max="15366" width="13.75" style="2694" customWidth="1"/>
    <col min="15367" max="15367" width="12.125" style="2694" customWidth="1"/>
    <col min="15368" max="15368" width="11.75" style="2694" customWidth="1"/>
    <col min="15369" max="15369" width="13.5" style="2694" customWidth="1"/>
    <col min="15370" max="15370" width="9" style="2694" hidden="1" customWidth="1"/>
    <col min="15371" max="15616" width="9" style="2694"/>
    <col min="15617" max="15617" width="5.875" style="2694" customWidth="1"/>
    <col min="15618" max="15618" width="8.625" style="2694" customWidth="1"/>
    <col min="15619" max="15619" width="7.5" style="2694" customWidth="1"/>
    <col min="15620" max="15620" width="9" style="2694"/>
    <col min="15621" max="15621" width="7" style="2694" customWidth="1"/>
    <col min="15622" max="15622" width="13.75" style="2694" customWidth="1"/>
    <col min="15623" max="15623" width="12.125" style="2694" customWidth="1"/>
    <col min="15624" max="15624" width="11.75" style="2694" customWidth="1"/>
    <col min="15625" max="15625" width="13.5" style="2694" customWidth="1"/>
    <col min="15626" max="15626" width="9" style="2694" hidden="1" customWidth="1"/>
    <col min="15627" max="15872" width="9" style="2694"/>
    <col min="15873" max="15873" width="5.875" style="2694" customWidth="1"/>
    <col min="15874" max="15874" width="8.625" style="2694" customWidth="1"/>
    <col min="15875" max="15875" width="7.5" style="2694" customWidth="1"/>
    <col min="15876" max="15876" width="9" style="2694"/>
    <col min="15877" max="15877" width="7" style="2694" customWidth="1"/>
    <col min="15878" max="15878" width="13.75" style="2694" customWidth="1"/>
    <col min="15879" max="15879" width="12.125" style="2694" customWidth="1"/>
    <col min="15880" max="15880" width="11.75" style="2694" customWidth="1"/>
    <col min="15881" max="15881" width="13.5" style="2694" customWidth="1"/>
    <col min="15882" max="15882" width="9" style="2694" hidden="1" customWidth="1"/>
    <col min="15883" max="16128" width="9" style="2694"/>
    <col min="16129" max="16129" width="5.875" style="2694" customWidth="1"/>
    <col min="16130" max="16130" width="8.625" style="2694" customWidth="1"/>
    <col min="16131" max="16131" width="7.5" style="2694" customWidth="1"/>
    <col min="16132" max="16132" width="9" style="2694"/>
    <col min="16133" max="16133" width="7" style="2694" customWidth="1"/>
    <col min="16134" max="16134" width="13.75" style="2694" customWidth="1"/>
    <col min="16135" max="16135" width="12.125" style="2694" customWidth="1"/>
    <col min="16136" max="16136" width="11.75" style="2694" customWidth="1"/>
    <col min="16137" max="16137" width="13.5" style="2694" customWidth="1"/>
    <col min="16138" max="16138" width="9" style="2694" hidden="1" customWidth="1"/>
    <col min="16139" max="16384" width="9" style="2694"/>
  </cols>
  <sheetData>
    <row r="1" spans="1:9" ht="31.5" customHeight="1">
      <c r="A1" s="4669" t="s">
        <v>169</v>
      </c>
      <c r="B1" s="4669"/>
      <c r="C1" s="4669"/>
      <c r="D1" s="4669"/>
      <c r="E1" s="4669"/>
      <c r="F1" s="4669"/>
      <c r="G1" s="4669"/>
      <c r="H1" s="4669"/>
      <c r="I1" s="4669"/>
    </row>
    <row r="2" spans="1:9" ht="22.5" customHeight="1">
      <c r="A2" s="4669"/>
      <c r="B2" s="4669"/>
      <c r="C2" s="4669"/>
      <c r="D2" s="4669"/>
      <c r="E2" s="4669"/>
      <c r="F2" s="4669"/>
      <c r="G2" s="4669"/>
      <c r="H2" s="4669"/>
      <c r="I2" s="4669"/>
    </row>
    <row r="3" spans="1:9" s="3651" customFormat="1" ht="20.25" customHeight="1">
      <c r="A3" s="3651" t="s">
        <v>1783</v>
      </c>
    </row>
    <row r="4" spans="1:9">
      <c r="A4" s="4670" t="s">
        <v>1784</v>
      </c>
      <c r="B4" s="4670" t="s">
        <v>1785</v>
      </c>
      <c r="C4" s="4670"/>
      <c r="D4" s="4671" t="s">
        <v>1786</v>
      </c>
      <c r="E4" s="4671"/>
      <c r="F4" s="4670" t="s">
        <v>434</v>
      </c>
      <c r="G4" s="4671" t="s">
        <v>1787</v>
      </c>
      <c r="H4" s="4670" t="s">
        <v>1788</v>
      </c>
      <c r="I4" s="4670" t="s">
        <v>1515</v>
      </c>
    </row>
    <row r="5" spans="1:9">
      <c r="A5" s="4670"/>
      <c r="B5" s="4670"/>
      <c r="C5" s="4670"/>
      <c r="D5" s="4671"/>
      <c r="E5" s="4671"/>
      <c r="F5" s="4670"/>
      <c r="G5" s="4671"/>
      <c r="H5" s="4670"/>
      <c r="I5" s="4670"/>
    </row>
    <row r="6" spans="1:9" s="3651" customFormat="1" ht="16.5" customHeight="1">
      <c r="A6" s="4670">
        <v>1</v>
      </c>
      <c r="B6" s="4670" t="s">
        <v>1789</v>
      </c>
      <c r="C6" s="4670"/>
      <c r="D6" s="4670" t="s">
        <v>1790</v>
      </c>
      <c r="E6" s="4670"/>
      <c r="F6" s="3652" t="s">
        <v>1791</v>
      </c>
      <c r="G6" s="4673" t="s">
        <v>1792</v>
      </c>
      <c r="H6" s="4671" t="s">
        <v>1793</v>
      </c>
      <c r="I6" s="3664"/>
    </row>
    <row r="7" spans="1:9" s="3651" customFormat="1" ht="16.5" customHeight="1">
      <c r="A7" s="4670"/>
      <c r="B7" s="4670"/>
      <c r="C7" s="4670"/>
      <c r="D7" s="4670" t="s">
        <v>1794</v>
      </c>
      <c r="E7" s="4670"/>
      <c r="F7" s="3652" t="s">
        <v>1795</v>
      </c>
      <c r="G7" s="4675"/>
      <c r="H7" s="4671"/>
      <c r="I7" s="3664"/>
    </row>
    <row r="8" spans="1:9">
      <c r="A8" s="4670"/>
      <c r="B8" s="4670"/>
      <c r="C8" s="4670"/>
      <c r="D8" s="4670" t="s">
        <v>1794</v>
      </c>
      <c r="E8" s="4670"/>
      <c r="F8" s="4671" t="s">
        <v>1796</v>
      </c>
      <c r="G8" s="4675"/>
      <c r="H8" s="4671"/>
      <c r="I8" s="4532"/>
    </row>
    <row r="9" spans="1:9">
      <c r="A9" s="4670"/>
      <c r="B9" s="4670"/>
      <c r="C9" s="4670"/>
      <c r="D9" s="4670"/>
      <c r="E9" s="4670"/>
      <c r="F9" s="4671"/>
      <c r="G9" s="4675"/>
      <c r="H9" s="4671"/>
      <c r="I9" s="4532"/>
    </row>
    <row r="10" spans="1:9">
      <c r="A10" s="4670">
        <v>2</v>
      </c>
      <c r="B10" s="4670" t="s">
        <v>1797</v>
      </c>
      <c r="C10" s="4670"/>
      <c r="D10" s="4672" t="s">
        <v>1798</v>
      </c>
      <c r="E10" s="4672"/>
      <c r="F10" s="4671" t="s">
        <v>1799</v>
      </c>
      <c r="G10" s="4675"/>
      <c r="H10" s="4671"/>
      <c r="I10" s="4532"/>
    </row>
    <row r="11" spans="1:9">
      <c r="A11" s="4670"/>
      <c r="B11" s="4670"/>
      <c r="C11" s="4670"/>
      <c r="D11" s="4672"/>
      <c r="E11" s="4672"/>
      <c r="F11" s="4671"/>
      <c r="G11" s="4675"/>
      <c r="H11" s="4671"/>
      <c r="I11" s="4532"/>
    </row>
    <row r="12" spans="1:9" s="3651" customFormat="1" ht="18.75" customHeight="1">
      <c r="A12" s="3652">
        <v>3</v>
      </c>
      <c r="B12" s="4670" t="s">
        <v>1800</v>
      </c>
      <c r="C12" s="4670"/>
      <c r="D12" s="4670" t="s">
        <v>1790</v>
      </c>
      <c r="E12" s="4670"/>
      <c r="F12" s="3652" t="s">
        <v>1791</v>
      </c>
      <c r="G12" s="4675"/>
      <c r="H12" s="3652" t="s">
        <v>1801</v>
      </c>
      <c r="I12" s="3664"/>
    </row>
    <row r="13" spans="1:9" s="3651" customFormat="1" ht="18.75" customHeight="1">
      <c r="A13" s="3652">
        <v>4</v>
      </c>
      <c r="B13" s="4670" t="s">
        <v>1802</v>
      </c>
      <c r="C13" s="4670"/>
      <c r="D13" s="4670" t="s">
        <v>1790</v>
      </c>
      <c r="E13" s="4670"/>
      <c r="F13" s="3652" t="s">
        <v>1791</v>
      </c>
      <c r="G13" s="4675"/>
      <c r="H13" s="3652" t="s">
        <v>1803</v>
      </c>
      <c r="I13" s="3664"/>
    </row>
    <row r="14" spans="1:9" s="3651" customFormat="1" ht="18.75" customHeight="1">
      <c r="A14" s="3652">
        <v>5</v>
      </c>
      <c r="B14" s="4670" t="s">
        <v>1804</v>
      </c>
      <c r="C14" s="4670"/>
      <c r="D14" s="4670" t="s">
        <v>1805</v>
      </c>
      <c r="E14" s="4670"/>
      <c r="F14" s="3652" t="s">
        <v>1791</v>
      </c>
      <c r="G14" s="4675"/>
      <c r="H14" s="3652" t="s">
        <v>1806</v>
      </c>
      <c r="I14" s="3664"/>
    </row>
    <row r="15" spans="1:9" s="3651" customFormat="1" ht="18.75" customHeight="1">
      <c r="A15" s="3655">
        <v>6</v>
      </c>
      <c r="B15" s="4672" t="s">
        <v>1807</v>
      </c>
      <c r="C15" s="4672"/>
      <c r="D15" s="4672" t="s">
        <v>1808</v>
      </c>
      <c r="E15" s="4672"/>
      <c r="F15" s="3652" t="s">
        <v>1791</v>
      </c>
      <c r="G15" s="4675"/>
      <c r="H15" s="3652" t="s">
        <v>1803</v>
      </c>
      <c r="I15" s="3664"/>
    </row>
    <row r="16" spans="1:9" s="3651" customFormat="1" ht="18.75" customHeight="1">
      <c r="A16" s="3655">
        <v>7</v>
      </c>
      <c r="B16" s="4672" t="s">
        <v>1809</v>
      </c>
      <c r="C16" s="4672"/>
      <c r="D16" s="4672" t="s">
        <v>1808</v>
      </c>
      <c r="E16" s="4672"/>
      <c r="F16" s="3652" t="s">
        <v>1791</v>
      </c>
      <c r="G16" s="4675"/>
      <c r="H16" s="3655" t="s">
        <v>1810</v>
      </c>
      <c r="I16" s="3655"/>
    </row>
    <row r="17" spans="1:11" s="3651" customFormat="1" ht="27" customHeight="1">
      <c r="A17" s="3652">
        <v>8</v>
      </c>
      <c r="B17" s="4670" t="s">
        <v>1811</v>
      </c>
      <c r="C17" s="4670"/>
      <c r="D17" s="4670" t="s">
        <v>1808</v>
      </c>
      <c r="E17" s="4670"/>
      <c r="F17" s="3652" t="s">
        <v>1812</v>
      </c>
      <c r="G17" s="4675"/>
      <c r="H17" s="3652" t="s">
        <v>1803</v>
      </c>
      <c r="I17" s="3665" t="s">
        <v>1813</v>
      </c>
    </row>
    <row r="18" spans="1:11" s="3651" customFormat="1" ht="29.25" customHeight="1">
      <c r="A18" s="3652"/>
      <c r="B18" s="4678" t="s">
        <v>1814</v>
      </c>
      <c r="C18" s="4679"/>
      <c r="D18" s="4676" t="s">
        <v>1815</v>
      </c>
      <c r="E18" s="4677"/>
      <c r="F18" s="3653" t="s">
        <v>1816</v>
      </c>
      <c r="G18" s="4675"/>
      <c r="H18" s="3652" t="s">
        <v>1803</v>
      </c>
      <c r="I18" s="3665"/>
    </row>
    <row r="19" spans="1:11" s="3651" customFormat="1" ht="32.25" customHeight="1">
      <c r="A19" s="3652">
        <v>9</v>
      </c>
      <c r="B19" s="4670" t="s">
        <v>1817</v>
      </c>
      <c r="C19" s="4670"/>
      <c r="D19" s="4670" t="s">
        <v>1790</v>
      </c>
      <c r="E19" s="4670"/>
      <c r="F19" s="3653" t="s">
        <v>1818</v>
      </c>
      <c r="G19" s="4675"/>
      <c r="H19" s="3652" t="s">
        <v>1819</v>
      </c>
      <c r="I19" s="3664"/>
    </row>
    <row r="20" spans="1:11" s="3651" customFormat="1" ht="18" customHeight="1">
      <c r="A20" s="3654">
        <v>10</v>
      </c>
      <c r="B20" s="4676" t="s">
        <v>1820</v>
      </c>
      <c r="C20" s="4677"/>
      <c r="D20" s="4670" t="s">
        <v>1821</v>
      </c>
      <c r="E20" s="4670"/>
      <c r="F20" s="3652" t="s">
        <v>1822</v>
      </c>
      <c r="G20" s="3656" t="s">
        <v>1823</v>
      </c>
      <c r="H20" s="3657" t="s">
        <v>1824</v>
      </c>
      <c r="I20" s="3666"/>
    </row>
    <row r="21" spans="1:11" ht="15.75" customHeight="1">
      <c r="A21" s="4670">
        <v>11</v>
      </c>
      <c r="B21" s="4671" t="s">
        <v>1825</v>
      </c>
      <c r="C21" s="4671"/>
      <c r="D21" s="4670" t="s">
        <v>1826</v>
      </c>
      <c r="E21" s="4670"/>
      <c r="F21" s="4673" t="s">
        <v>1827</v>
      </c>
      <c r="G21" s="4670" t="s">
        <v>1828</v>
      </c>
      <c r="H21" s="3653" t="s">
        <v>1829</v>
      </c>
      <c r="I21" s="3667"/>
    </row>
    <row r="22" spans="1:11" ht="15.75" customHeight="1">
      <c r="A22" s="4670"/>
      <c r="B22" s="4671"/>
      <c r="C22" s="4671"/>
      <c r="D22" s="4670"/>
      <c r="E22" s="4670"/>
      <c r="F22" s="4674"/>
      <c r="G22" s="4670"/>
      <c r="H22" s="3653" t="s">
        <v>1830</v>
      </c>
      <c r="I22" s="3667"/>
    </row>
    <row r="23" spans="1:11" ht="14.25" customHeight="1">
      <c r="B23" s="3658"/>
      <c r="C23" s="3658"/>
      <c r="D23" s="3658"/>
      <c r="E23" s="3658"/>
      <c r="F23" s="3658"/>
      <c r="G23" s="3658"/>
      <c r="H23" s="3658"/>
      <c r="I23" s="3658"/>
      <c r="J23" s="3658"/>
      <c r="K23" s="3658"/>
    </row>
    <row r="24" spans="1:11" ht="20.25" customHeight="1">
      <c r="A24" s="3659" t="s">
        <v>1831</v>
      </c>
      <c r="B24" s="3660" t="s">
        <v>1832</v>
      </c>
      <c r="C24" s="3658"/>
      <c r="D24" s="3658"/>
      <c r="E24" s="3658"/>
      <c r="F24" s="3658"/>
      <c r="G24" s="3658"/>
      <c r="H24" s="3658"/>
      <c r="I24" s="3658"/>
      <c r="J24" s="3658"/>
      <c r="K24" s="3658"/>
    </row>
    <row r="25" spans="1:11" ht="20.25" customHeight="1">
      <c r="A25" s="3659"/>
      <c r="B25" s="3660" t="s">
        <v>1833</v>
      </c>
      <c r="C25" s="3658"/>
      <c r="D25" s="3658"/>
      <c r="E25" s="3658"/>
      <c r="F25" s="3658"/>
      <c r="G25" s="3658"/>
      <c r="H25" s="3658"/>
      <c r="I25" s="3658"/>
      <c r="J25" s="3658"/>
      <c r="K25" s="3658"/>
    </row>
    <row r="26" spans="1:11" ht="17.25" customHeight="1">
      <c r="A26" s="3659"/>
      <c r="B26" s="3660" t="s">
        <v>1834</v>
      </c>
      <c r="C26" s="3658"/>
      <c r="D26" s="3658"/>
      <c r="E26" s="3658"/>
      <c r="F26" s="3658"/>
      <c r="G26" s="3658"/>
      <c r="H26" s="3658"/>
      <c r="I26" s="3658"/>
      <c r="J26" s="3658"/>
      <c r="K26" s="3658"/>
    </row>
    <row r="27" spans="1:11" ht="20.25" customHeight="1">
      <c r="B27" s="3660" t="s">
        <v>1835</v>
      </c>
      <c r="C27" s="3658"/>
      <c r="D27" s="3658"/>
      <c r="E27" s="3658"/>
      <c r="F27" s="3658"/>
      <c r="G27" s="3658"/>
      <c r="H27" s="3658"/>
      <c r="I27" s="3658"/>
      <c r="J27" s="3658"/>
      <c r="K27" s="3658"/>
    </row>
    <row r="28" spans="1:11" ht="20.25" customHeight="1">
      <c r="B28" s="3658" t="s">
        <v>1836</v>
      </c>
      <c r="C28" s="3658"/>
      <c r="D28" s="3658"/>
      <c r="E28" s="3658"/>
      <c r="F28" s="3658"/>
      <c r="G28" s="3658"/>
      <c r="H28" s="3658"/>
      <c r="I28" s="3658"/>
      <c r="K28" s="3658"/>
    </row>
    <row r="29" spans="1:11" ht="20.25" customHeight="1">
      <c r="B29" s="3660" t="s">
        <v>1837</v>
      </c>
    </row>
    <row r="30" spans="1:11" ht="17.25" customHeight="1">
      <c r="B30" s="3660" t="s">
        <v>1838</v>
      </c>
    </row>
    <row r="31" spans="1:11" ht="20.25" customHeight="1">
      <c r="B31" s="3658" t="s">
        <v>1839</v>
      </c>
    </row>
    <row r="32" spans="1:11" ht="20.25" customHeight="1">
      <c r="B32" s="3658" t="s">
        <v>1840</v>
      </c>
    </row>
    <row r="33" spans="1:9" ht="20.25" customHeight="1">
      <c r="B33" s="3658"/>
      <c r="C33" s="2694" t="s">
        <v>1841</v>
      </c>
    </row>
    <row r="34" spans="1:9" ht="16.5" customHeight="1">
      <c r="B34" s="3658"/>
      <c r="C34" s="2694" t="s">
        <v>1842</v>
      </c>
    </row>
    <row r="35" spans="1:9" s="3651" customFormat="1" ht="26.25" customHeight="1">
      <c r="A35" s="3661" t="s">
        <v>1843</v>
      </c>
      <c r="B35" s="3661" t="s">
        <v>1844</v>
      </c>
    </row>
    <row r="36" spans="1:9" s="3651" customFormat="1" ht="21" customHeight="1">
      <c r="C36" s="4670" t="s">
        <v>1845</v>
      </c>
      <c r="D36" s="4670"/>
      <c r="E36" s="4670" t="s">
        <v>1846</v>
      </c>
      <c r="F36" s="4670"/>
      <c r="G36" s="3652" t="s">
        <v>1847</v>
      </c>
      <c r="H36" s="4670" t="s">
        <v>1848</v>
      </c>
      <c r="I36" s="4670"/>
    </row>
    <row r="37" spans="1:9" s="3651" customFormat="1" ht="19.5" customHeight="1">
      <c r="C37" s="4670" t="s">
        <v>1849</v>
      </c>
      <c r="D37" s="4670"/>
      <c r="E37" s="4670" t="s">
        <v>1850</v>
      </c>
      <c r="F37" s="4670"/>
      <c r="G37" s="3652" t="s">
        <v>1851</v>
      </c>
      <c r="H37" s="4670" t="s">
        <v>1852</v>
      </c>
      <c r="I37" s="4670"/>
    </row>
    <row r="38" spans="1:9" s="3651" customFormat="1" ht="9" customHeight="1">
      <c r="C38" s="3662"/>
      <c r="D38" s="3662"/>
      <c r="E38" s="3662"/>
      <c r="F38" s="3662"/>
      <c r="G38" s="3662"/>
      <c r="H38" s="3662"/>
      <c r="I38" s="3662"/>
    </row>
    <row r="39" spans="1:9" s="3651" customFormat="1" ht="19.5" customHeight="1">
      <c r="C39" s="3662"/>
      <c r="D39" s="3662"/>
      <c r="E39" s="3662"/>
      <c r="F39" s="3662"/>
      <c r="G39" s="3663" t="s">
        <v>1853</v>
      </c>
      <c r="H39" s="3662" t="s">
        <v>1854</v>
      </c>
    </row>
    <row r="40" spans="1:9" s="3651" customFormat="1" ht="16.5" customHeight="1">
      <c r="C40" s="3662"/>
      <c r="D40" s="3662"/>
      <c r="E40" s="3662"/>
      <c r="F40" s="3662"/>
      <c r="G40" s="3662"/>
      <c r="H40" s="3662"/>
    </row>
  </sheetData>
  <mergeCells count="51">
    <mergeCell ref="D13:E13"/>
    <mergeCell ref="C36:D36"/>
    <mergeCell ref="E36:F36"/>
    <mergeCell ref="H36:I36"/>
    <mergeCell ref="B17:C17"/>
    <mergeCell ref="D17:E17"/>
    <mergeCell ref="B18:C18"/>
    <mergeCell ref="D18:E18"/>
    <mergeCell ref="B19:C19"/>
    <mergeCell ref="D19:E19"/>
    <mergeCell ref="C37:D37"/>
    <mergeCell ref="E37:F37"/>
    <mergeCell ref="H37:I37"/>
    <mergeCell ref="A4:A5"/>
    <mergeCell ref="A6:A9"/>
    <mergeCell ref="A10:A11"/>
    <mergeCell ref="A21:A22"/>
    <mergeCell ref="F4:F5"/>
    <mergeCell ref="F8:F9"/>
    <mergeCell ref="F10:F11"/>
    <mergeCell ref="F21:F22"/>
    <mergeCell ref="G4:G5"/>
    <mergeCell ref="G6:G19"/>
    <mergeCell ref="G21:G22"/>
    <mergeCell ref="H4:H5"/>
    <mergeCell ref="H6:H11"/>
    <mergeCell ref="I10:I11"/>
    <mergeCell ref="B21:C22"/>
    <mergeCell ref="D21:E22"/>
    <mergeCell ref="B10:C11"/>
    <mergeCell ref="D10:E11"/>
    <mergeCell ref="B20:C20"/>
    <mergeCell ref="D20:E20"/>
    <mergeCell ref="B14:C14"/>
    <mergeCell ref="D14:E14"/>
    <mergeCell ref="B15:C15"/>
    <mergeCell ref="D15:E15"/>
    <mergeCell ref="B16:C16"/>
    <mergeCell ref="D16:E16"/>
    <mergeCell ref="B12:C12"/>
    <mergeCell ref="D12:E12"/>
    <mergeCell ref="B13:C13"/>
    <mergeCell ref="A1:I2"/>
    <mergeCell ref="B4:C5"/>
    <mergeCell ref="D4:E5"/>
    <mergeCell ref="I4:I5"/>
    <mergeCell ref="I8:I9"/>
    <mergeCell ref="B6:C9"/>
    <mergeCell ref="D8:E9"/>
    <mergeCell ref="D6:E6"/>
    <mergeCell ref="D7:E7"/>
  </mergeCells>
  <phoneticPr fontId="214" type="noConversion"/>
  <pageMargins left="0.33" right="0.32" top="0.38" bottom="0.35" header="0.24" footer="0.17"/>
  <pageSetup paperSize="9" orientation="portrait"/>
  <headerFooter alignWithMargins="0"/>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J206"/>
  <sheetViews>
    <sheetView workbookViewId="0"/>
  </sheetViews>
  <sheetFormatPr defaultColWidth="9" defaultRowHeight="14.25"/>
  <cols>
    <col min="1" max="1" width="21" style="1371" customWidth="1"/>
    <col min="2" max="2" width="23.375" style="1371" customWidth="1"/>
    <col min="3" max="3" width="21.5" style="1371" customWidth="1"/>
    <col min="4" max="4" width="21.75" style="1371" customWidth="1"/>
    <col min="5" max="5" width="16.625" style="1355" customWidth="1"/>
    <col min="6" max="6" width="20.125" style="1355" customWidth="1"/>
    <col min="7" max="7" width="14.25" style="1355" customWidth="1"/>
    <col min="8" max="256" width="9" style="1355"/>
    <col min="257" max="257" width="21" style="1355" customWidth="1"/>
    <col min="258" max="258" width="23.375" style="1355" customWidth="1"/>
    <col min="259" max="259" width="21.5" style="1355" customWidth="1"/>
    <col min="260" max="260" width="21.75" style="1355" customWidth="1"/>
    <col min="261" max="261" width="16.625" style="1355" customWidth="1"/>
    <col min="262" max="262" width="20.125" style="1355" customWidth="1"/>
    <col min="263" max="263" width="14.25" style="1355" customWidth="1"/>
    <col min="264" max="512" width="9" style="1355"/>
    <col min="513" max="513" width="21" style="1355" customWidth="1"/>
    <col min="514" max="514" width="23.375" style="1355" customWidth="1"/>
    <col min="515" max="515" width="21.5" style="1355" customWidth="1"/>
    <col min="516" max="516" width="21.75" style="1355" customWidth="1"/>
    <col min="517" max="517" width="16.625" style="1355" customWidth="1"/>
    <col min="518" max="518" width="20.125" style="1355" customWidth="1"/>
    <col min="519" max="519" width="14.25" style="1355" customWidth="1"/>
    <col min="520" max="768" width="9" style="1355"/>
    <col min="769" max="769" width="21" style="1355" customWidth="1"/>
    <col min="770" max="770" width="23.375" style="1355" customWidth="1"/>
    <col min="771" max="771" width="21.5" style="1355" customWidth="1"/>
    <col min="772" max="772" width="21.75" style="1355" customWidth="1"/>
    <col min="773" max="773" width="16.625" style="1355" customWidth="1"/>
    <col min="774" max="774" width="20.125" style="1355" customWidth="1"/>
    <col min="775" max="775" width="14.25" style="1355" customWidth="1"/>
    <col min="776" max="1024" width="9" style="1355"/>
    <col min="1025" max="1025" width="21" style="1355" customWidth="1"/>
    <col min="1026" max="1026" width="23.375" style="1355" customWidth="1"/>
    <col min="1027" max="1027" width="21.5" style="1355" customWidth="1"/>
    <col min="1028" max="1028" width="21.75" style="1355" customWidth="1"/>
    <col min="1029" max="1029" width="16.625" style="1355" customWidth="1"/>
    <col min="1030" max="1030" width="20.125" style="1355" customWidth="1"/>
    <col min="1031" max="1031" width="14.25" style="1355" customWidth="1"/>
    <col min="1032" max="1280" width="9" style="1355"/>
    <col min="1281" max="1281" width="21" style="1355" customWidth="1"/>
    <col min="1282" max="1282" width="23.375" style="1355" customWidth="1"/>
    <col min="1283" max="1283" width="21.5" style="1355" customWidth="1"/>
    <col min="1284" max="1284" width="21.75" style="1355" customWidth="1"/>
    <col min="1285" max="1285" width="16.625" style="1355" customWidth="1"/>
    <col min="1286" max="1286" width="20.125" style="1355" customWidth="1"/>
    <col min="1287" max="1287" width="14.25" style="1355" customWidth="1"/>
    <col min="1288" max="1536" width="9" style="1355"/>
    <col min="1537" max="1537" width="21" style="1355" customWidth="1"/>
    <col min="1538" max="1538" width="23.375" style="1355" customWidth="1"/>
    <col min="1539" max="1539" width="21.5" style="1355" customWidth="1"/>
    <col min="1540" max="1540" width="21.75" style="1355" customWidth="1"/>
    <col min="1541" max="1541" width="16.625" style="1355" customWidth="1"/>
    <col min="1542" max="1542" width="20.125" style="1355" customWidth="1"/>
    <col min="1543" max="1543" width="14.25" style="1355" customWidth="1"/>
    <col min="1544" max="1792" width="9" style="1355"/>
    <col min="1793" max="1793" width="21" style="1355" customWidth="1"/>
    <col min="1794" max="1794" width="23.375" style="1355" customWidth="1"/>
    <col min="1795" max="1795" width="21.5" style="1355" customWidth="1"/>
    <col min="1796" max="1796" width="21.75" style="1355" customWidth="1"/>
    <col min="1797" max="1797" width="16.625" style="1355" customWidth="1"/>
    <col min="1798" max="1798" width="20.125" style="1355" customWidth="1"/>
    <col min="1799" max="1799" width="14.25" style="1355" customWidth="1"/>
    <col min="1800" max="2048" width="9" style="1355"/>
    <col min="2049" max="2049" width="21" style="1355" customWidth="1"/>
    <col min="2050" max="2050" width="23.375" style="1355" customWidth="1"/>
    <col min="2051" max="2051" width="21.5" style="1355" customWidth="1"/>
    <col min="2052" max="2052" width="21.75" style="1355" customWidth="1"/>
    <col min="2053" max="2053" width="16.625" style="1355" customWidth="1"/>
    <col min="2054" max="2054" width="20.125" style="1355" customWidth="1"/>
    <col min="2055" max="2055" width="14.25" style="1355" customWidth="1"/>
    <col min="2056" max="2304" width="9" style="1355"/>
    <col min="2305" max="2305" width="21" style="1355" customWidth="1"/>
    <col min="2306" max="2306" width="23.375" style="1355" customWidth="1"/>
    <col min="2307" max="2307" width="21.5" style="1355" customWidth="1"/>
    <col min="2308" max="2308" width="21.75" style="1355" customWidth="1"/>
    <col min="2309" max="2309" width="16.625" style="1355" customWidth="1"/>
    <col min="2310" max="2310" width="20.125" style="1355" customWidth="1"/>
    <col min="2311" max="2311" width="14.25" style="1355" customWidth="1"/>
    <col min="2312" max="2560" width="9" style="1355"/>
    <col min="2561" max="2561" width="21" style="1355" customWidth="1"/>
    <col min="2562" max="2562" width="23.375" style="1355" customWidth="1"/>
    <col min="2563" max="2563" width="21.5" style="1355" customWidth="1"/>
    <col min="2564" max="2564" width="21.75" style="1355" customWidth="1"/>
    <col min="2565" max="2565" width="16.625" style="1355" customWidth="1"/>
    <col min="2566" max="2566" width="20.125" style="1355" customWidth="1"/>
    <col min="2567" max="2567" width="14.25" style="1355" customWidth="1"/>
    <col min="2568" max="2816" width="9" style="1355"/>
    <col min="2817" max="2817" width="21" style="1355" customWidth="1"/>
    <col min="2818" max="2818" width="23.375" style="1355" customWidth="1"/>
    <col min="2819" max="2819" width="21.5" style="1355" customWidth="1"/>
    <col min="2820" max="2820" width="21.75" style="1355" customWidth="1"/>
    <col min="2821" max="2821" width="16.625" style="1355" customWidth="1"/>
    <col min="2822" max="2822" width="20.125" style="1355" customWidth="1"/>
    <col min="2823" max="2823" width="14.25" style="1355" customWidth="1"/>
    <col min="2824" max="3072" width="9" style="1355"/>
    <col min="3073" max="3073" width="21" style="1355" customWidth="1"/>
    <col min="3074" max="3074" width="23.375" style="1355" customWidth="1"/>
    <col min="3075" max="3075" width="21.5" style="1355" customWidth="1"/>
    <col min="3076" max="3076" width="21.75" style="1355" customWidth="1"/>
    <col min="3077" max="3077" width="16.625" style="1355" customWidth="1"/>
    <col min="3078" max="3078" width="20.125" style="1355" customWidth="1"/>
    <col min="3079" max="3079" width="14.25" style="1355" customWidth="1"/>
    <col min="3080" max="3328" width="9" style="1355"/>
    <col min="3329" max="3329" width="21" style="1355" customWidth="1"/>
    <col min="3330" max="3330" width="23.375" style="1355" customWidth="1"/>
    <col min="3331" max="3331" width="21.5" style="1355" customWidth="1"/>
    <col min="3332" max="3332" width="21.75" style="1355" customWidth="1"/>
    <col min="3333" max="3333" width="16.625" style="1355" customWidth="1"/>
    <col min="3334" max="3334" width="20.125" style="1355" customWidth="1"/>
    <col min="3335" max="3335" width="14.25" style="1355" customWidth="1"/>
    <col min="3336" max="3584" width="9" style="1355"/>
    <col min="3585" max="3585" width="21" style="1355" customWidth="1"/>
    <col min="3586" max="3586" width="23.375" style="1355" customWidth="1"/>
    <col min="3587" max="3587" width="21.5" style="1355" customWidth="1"/>
    <col min="3588" max="3588" width="21.75" style="1355" customWidth="1"/>
    <col min="3589" max="3589" width="16.625" style="1355" customWidth="1"/>
    <col min="3590" max="3590" width="20.125" style="1355" customWidth="1"/>
    <col min="3591" max="3591" width="14.25" style="1355" customWidth="1"/>
    <col min="3592" max="3840" width="9" style="1355"/>
    <col min="3841" max="3841" width="21" style="1355" customWidth="1"/>
    <col min="3842" max="3842" width="23.375" style="1355" customWidth="1"/>
    <col min="3843" max="3843" width="21.5" style="1355" customWidth="1"/>
    <col min="3844" max="3844" width="21.75" style="1355" customWidth="1"/>
    <col min="3845" max="3845" width="16.625" style="1355" customWidth="1"/>
    <col min="3846" max="3846" width="20.125" style="1355" customWidth="1"/>
    <col min="3847" max="3847" width="14.25" style="1355" customWidth="1"/>
    <col min="3848" max="4096" width="9" style="1355"/>
    <col min="4097" max="4097" width="21" style="1355" customWidth="1"/>
    <col min="4098" max="4098" width="23.375" style="1355" customWidth="1"/>
    <col min="4099" max="4099" width="21.5" style="1355" customWidth="1"/>
    <col min="4100" max="4100" width="21.75" style="1355" customWidth="1"/>
    <col min="4101" max="4101" width="16.625" style="1355" customWidth="1"/>
    <col min="4102" max="4102" width="20.125" style="1355" customWidth="1"/>
    <col min="4103" max="4103" width="14.25" style="1355" customWidth="1"/>
    <col min="4104" max="4352" width="9" style="1355"/>
    <col min="4353" max="4353" width="21" style="1355" customWidth="1"/>
    <col min="4354" max="4354" width="23.375" style="1355" customWidth="1"/>
    <col min="4355" max="4355" width="21.5" style="1355" customWidth="1"/>
    <col min="4356" max="4356" width="21.75" style="1355" customWidth="1"/>
    <col min="4357" max="4357" width="16.625" style="1355" customWidth="1"/>
    <col min="4358" max="4358" width="20.125" style="1355" customWidth="1"/>
    <col min="4359" max="4359" width="14.25" style="1355" customWidth="1"/>
    <col min="4360" max="4608" width="9" style="1355"/>
    <col min="4609" max="4609" width="21" style="1355" customWidth="1"/>
    <col min="4610" max="4610" width="23.375" style="1355" customWidth="1"/>
    <col min="4611" max="4611" width="21.5" style="1355" customWidth="1"/>
    <col min="4612" max="4612" width="21.75" style="1355" customWidth="1"/>
    <col min="4613" max="4613" width="16.625" style="1355" customWidth="1"/>
    <col min="4614" max="4614" width="20.125" style="1355" customWidth="1"/>
    <col min="4615" max="4615" width="14.25" style="1355" customWidth="1"/>
    <col min="4616" max="4864" width="9" style="1355"/>
    <col min="4865" max="4865" width="21" style="1355" customWidth="1"/>
    <col min="4866" max="4866" width="23.375" style="1355" customWidth="1"/>
    <col min="4867" max="4867" width="21.5" style="1355" customWidth="1"/>
    <col min="4868" max="4868" width="21.75" style="1355" customWidth="1"/>
    <col min="4869" max="4869" width="16.625" style="1355" customWidth="1"/>
    <col min="4870" max="4870" width="20.125" style="1355" customWidth="1"/>
    <col min="4871" max="4871" width="14.25" style="1355" customWidth="1"/>
    <col min="4872" max="5120" width="9" style="1355"/>
    <col min="5121" max="5121" width="21" style="1355" customWidth="1"/>
    <col min="5122" max="5122" width="23.375" style="1355" customWidth="1"/>
    <col min="5123" max="5123" width="21.5" style="1355" customWidth="1"/>
    <col min="5124" max="5124" width="21.75" style="1355" customWidth="1"/>
    <col min="5125" max="5125" width="16.625" style="1355" customWidth="1"/>
    <col min="5126" max="5126" width="20.125" style="1355" customWidth="1"/>
    <col min="5127" max="5127" width="14.25" style="1355" customWidth="1"/>
    <col min="5128" max="5376" width="9" style="1355"/>
    <col min="5377" max="5377" width="21" style="1355" customWidth="1"/>
    <col min="5378" max="5378" width="23.375" style="1355" customWidth="1"/>
    <col min="5379" max="5379" width="21.5" style="1355" customWidth="1"/>
    <col min="5380" max="5380" width="21.75" style="1355" customWidth="1"/>
    <col min="5381" max="5381" width="16.625" style="1355" customWidth="1"/>
    <col min="5382" max="5382" width="20.125" style="1355" customWidth="1"/>
    <col min="5383" max="5383" width="14.25" style="1355" customWidth="1"/>
    <col min="5384" max="5632" width="9" style="1355"/>
    <col min="5633" max="5633" width="21" style="1355" customWidth="1"/>
    <col min="5634" max="5634" width="23.375" style="1355" customWidth="1"/>
    <col min="5635" max="5635" width="21.5" style="1355" customWidth="1"/>
    <col min="5636" max="5636" width="21.75" style="1355" customWidth="1"/>
    <col min="5637" max="5637" width="16.625" style="1355" customWidth="1"/>
    <col min="5638" max="5638" width="20.125" style="1355" customWidth="1"/>
    <col min="5639" max="5639" width="14.25" style="1355" customWidth="1"/>
    <col min="5640" max="5888" width="9" style="1355"/>
    <col min="5889" max="5889" width="21" style="1355" customWidth="1"/>
    <col min="5890" max="5890" width="23.375" style="1355" customWidth="1"/>
    <col min="5891" max="5891" width="21.5" style="1355" customWidth="1"/>
    <col min="5892" max="5892" width="21.75" style="1355" customWidth="1"/>
    <col min="5893" max="5893" width="16.625" style="1355" customWidth="1"/>
    <col min="5894" max="5894" width="20.125" style="1355" customWidth="1"/>
    <col min="5895" max="5895" width="14.25" style="1355" customWidth="1"/>
    <col min="5896" max="6144" width="9" style="1355"/>
    <col min="6145" max="6145" width="21" style="1355" customWidth="1"/>
    <col min="6146" max="6146" width="23.375" style="1355" customWidth="1"/>
    <col min="6147" max="6147" width="21.5" style="1355" customWidth="1"/>
    <col min="6148" max="6148" width="21.75" style="1355" customWidth="1"/>
    <col min="6149" max="6149" width="16.625" style="1355" customWidth="1"/>
    <col min="6150" max="6150" width="20.125" style="1355" customWidth="1"/>
    <col min="6151" max="6151" width="14.25" style="1355" customWidth="1"/>
    <col min="6152" max="6400" width="9" style="1355"/>
    <col min="6401" max="6401" width="21" style="1355" customWidth="1"/>
    <col min="6402" max="6402" width="23.375" style="1355" customWidth="1"/>
    <col min="6403" max="6403" width="21.5" style="1355" customWidth="1"/>
    <col min="6404" max="6404" width="21.75" style="1355" customWidth="1"/>
    <col min="6405" max="6405" width="16.625" style="1355" customWidth="1"/>
    <col min="6406" max="6406" width="20.125" style="1355" customWidth="1"/>
    <col min="6407" max="6407" width="14.25" style="1355" customWidth="1"/>
    <col min="6408" max="6656" width="9" style="1355"/>
    <col min="6657" max="6657" width="21" style="1355" customWidth="1"/>
    <col min="6658" max="6658" width="23.375" style="1355" customWidth="1"/>
    <col min="6659" max="6659" width="21.5" style="1355" customWidth="1"/>
    <col min="6660" max="6660" width="21.75" style="1355" customWidth="1"/>
    <col min="6661" max="6661" width="16.625" style="1355" customWidth="1"/>
    <col min="6662" max="6662" width="20.125" style="1355" customWidth="1"/>
    <col min="6663" max="6663" width="14.25" style="1355" customWidth="1"/>
    <col min="6664" max="6912" width="9" style="1355"/>
    <col min="6913" max="6913" width="21" style="1355" customWidth="1"/>
    <col min="6914" max="6914" width="23.375" style="1355" customWidth="1"/>
    <col min="6915" max="6915" width="21.5" style="1355" customWidth="1"/>
    <col min="6916" max="6916" width="21.75" style="1355" customWidth="1"/>
    <col min="6917" max="6917" width="16.625" style="1355" customWidth="1"/>
    <col min="6918" max="6918" width="20.125" style="1355" customWidth="1"/>
    <col min="6919" max="6919" width="14.25" style="1355" customWidth="1"/>
    <col min="6920" max="7168" width="9" style="1355"/>
    <col min="7169" max="7169" width="21" style="1355" customWidth="1"/>
    <col min="7170" max="7170" width="23.375" style="1355" customWidth="1"/>
    <col min="7171" max="7171" width="21.5" style="1355" customWidth="1"/>
    <col min="7172" max="7172" width="21.75" style="1355" customWidth="1"/>
    <col min="7173" max="7173" width="16.625" style="1355" customWidth="1"/>
    <col min="7174" max="7174" width="20.125" style="1355" customWidth="1"/>
    <col min="7175" max="7175" width="14.25" style="1355" customWidth="1"/>
    <col min="7176" max="7424" width="9" style="1355"/>
    <col min="7425" max="7425" width="21" style="1355" customWidth="1"/>
    <col min="7426" max="7426" width="23.375" style="1355" customWidth="1"/>
    <col min="7427" max="7427" width="21.5" style="1355" customWidth="1"/>
    <col min="7428" max="7428" width="21.75" style="1355" customWidth="1"/>
    <col min="7429" max="7429" width="16.625" style="1355" customWidth="1"/>
    <col min="7430" max="7430" width="20.125" style="1355" customWidth="1"/>
    <col min="7431" max="7431" width="14.25" style="1355" customWidth="1"/>
    <col min="7432" max="7680" width="9" style="1355"/>
    <col min="7681" max="7681" width="21" style="1355" customWidth="1"/>
    <col min="7682" max="7682" width="23.375" style="1355" customWidth="1"/>
    <col min="7683" max="7683" width="21.5" style="1355" customWidth="1"/>
    <col min="7684" max="7684" width="21.75" style="1355" customWidth="1"/>
    <col min="7685" max="7685" width="16.625" style="1355" customWidth="1"/>
    <col min="7686" max="7686" width="20.125" style="1355" customWidth="1"/>
    <col min="7687" max="7687" width="14.25" style="1355" customWidth="1"/>
    <col min="7688" max="7936" width="9" style="1355"/>
    <col min="7937" max="7937" width="21" style="1355" customWidth="1"/>
    <col min="7938" max="7938" width="23.375" style="1355" customWidth="1"/>
    <col min="7939" max="7939" width="21.5" style="1355" customWidth="1"/>
    <col min="7940" max="7940" width="21.75" style="1355" customWidth="1"/>
    <col min="7941" max="7941" width="16.625" style="1355" customWidth="1"/>
    <col min="7942" max="7942" width="20.125" style="1355" customWidth="1"/>
    <col min="7943" max="7943" width="14.25" style="1355" customWidth="1"/>
    <col min="7944" max="8192" width="9" style="1355"/>
    <col min="8193" max="8193" width="21" style="1355" customWidth="1"/>
    <col min="8194" max="8194" width="23.375" style="1355" customWidth="1"/>
    <col min="8195" max="8195" width="21.5" style="1355" customWidth="1"/>
    <col min="8196" max="8196" width="21.75" style="1355" customWidth="1"/>
    <col min="8197" max="8197" width="16.625" style="1355" customWidth="1"/>
    <col min="8198" max="8198" width="20.125" style="1355" customWidth="1"/>
    <col min="8199" max="8199" width="14.25" style="1355" customWidth="1"/>
    <col min="8200" max="8448" width="9" style="1355"/>
    <col min="8449" max="8449" width="21" style="1355" customWidth="1"/>
    <col min="8450" max="8450" width="23.375" style="1355" customWidth="1"/>
    <col min="8451" max="8451" width="21.5" style="1355" customWidth="1"/>
    <col min="8452" max="8452" width="21.75" style="1355" customWidth="1"/>
    <col min="8453" max="8453" width="16.625" style="1355" customWidth="1"/>
    <col min="8454" max="8454" width="20.125" style="1355" customWidth="1"/>
    <col min="8455" max="8455" width="14.25" style="1355" customWidth="1"/>
    <col min="8456" max="8704" width="9" style="1355"/>
    <col min="8705" max="8705" width="21" style="1355" customWidth="1"/>
    <col min="8706" max="8706" width="23.375" style="1355" customWidth="1"/>
    <col min="8707" max="8707" width="21.5" style="1355" customWidth="1"/>
    <col min="8708" max="8708" width="21.75" style="1355" customWidth="1"/>
    <col min="8709" max="8709" width="16.625" style="1355" customWidth="1"/>
    <col min="8710" max="8710" width="20.125" style="1355" customWidth="1"/>
    <col min="8711" max="8711" width="14.25" style="1355" customWidth="1"/>
    <col min="8712" max="8960" width="9" style="1355"/>
    <col min="8961" max="8961" width="21" style="1355" customWidth="1"/>
    <col min="8962" max="8962" width="23.375" style="1355" customWidth="1"/>
    <col min="8963" max="8963" width="21.5" style="1355" customWidth="1"/>
    <col min="8964" max="8964" width="21.75" style="1355" customWidth="1"/>
    <col min="8965" max="8965" width="16.625" style="1355" customWidth="1"/>
    <col min="8966" max="8966" width="20.125" style="1355" customWidth="1"/>
    <col min="8967" max="8967" width="14.25" style="1355" customWidth="1"/>
    <col min="8968" max="9216" width="9" style="1355"/>
    <col min="9217" max="9217" width="21" style="1355" customWidth="1"/>
    <col min="9218" max="9218" width="23.375" style="1355" customWidth="1"/>
    <col min="9219" max="9219" width="21.5" style="1355" customWidth="1"/>
    <col min="9220" max="9220" width="21.75" style="1355" customWidth="1"/>
    <col min="9221" max="9221" width="16.625" style="1355" customWidth="1"/>
    <col min="9222" max="9222" width="20.125" style="1355" customWidth="1"/>
    <col min="9223" max="9223" width="14.25" style="1355" customWidth="1"/>
    <col min="9224" max="9472" width="9" style="1355"/>
    <col min="9473" max="9473" width="21" style="1355" customWidth="1"/>
    <col min="9474" max="9474" width="23.375" style="1355" customWidth="1"/>
    <col min="9475" max="9475" width="21.5" style="1355" customWidth="1"/>
    <col min="9476" max="9476" width="21.75" style="1355" customWidth="1"/>
    <col min="9477" max="9477" width="16.625" style="1355" customWidth="1"/>
    <col min="9478" max="9478" width="20.125" style="1355" customWidth="1"/>
    <col min="9479" max="9479" width="14.25" style="1355" customWidth="1"/>
    <col min="9480" max="9728" width="9" style="1355"/>
    <col min="9729" max="9729" width="21" style="1355" customWidth="1"/>
    <col min="9730" max="9730" width="23.375" style="1355" customWidth="1"/>
    <col min="9731" max="9731" width="21.5" style="1355" customWidth="1"/>
    <col min="9732" max="9732" width="21.75" style="1355" customWidth="1"/>
    <col min="9733" max="9733" width="16.625" style="1355" customWidth="1"/>
    <col min="9734" max="9734" width="20.125" style="1355" customWidth="1"/>
    <col min="9735" max="9735" width="14.25" style="1355" customWidth="1"/>
    <col min="9736" max="9984" width="9" style="1355"/>
    <col min="9985" max="9985" width="21" style="1355" customWidth="1"/>
    <col min="9986" max="9986" width="23.375" style="1355" customWidth="1"/>
    <col min="9987" max="9987" width="21.5" style="1355" customWidth="1"/>
    <col min="9988" max="9988" width="21.75" style="1355" customWidth="1"/>
    <col min="9989" max="9989" width="16.625" style="1355" customWidth="1"/>
    <col min="9990" max="9990" width="20.125" style="1355" customWidth="1"/>
    <col min="9991" max="9991" width="14.25" style="1355" customWidth="1"/>
    <col min="9992" max="10240" width="9" style="1355"/>
    <col min="10241" max="10241" width="21" style="1355" customWidth="1"/>
    <col min="10242" max="10242" width="23.375" style="1355" customWidth="1"/>
    <col min="10243" max="10243" width="21.5" style="1355" customWidth="1"/>
    <col min="10244" max="10244" width="21.75" style="1355" customWidth="1"/>
    <col min="10245" max="10245" width="16.625" style="1355" customWidth="1"/>
    <col min="10246" max="10246" width="20.125" style="1355" customWidth="1"/>
    <col min="10247" max="10247" width="14.25" style="1355" customWidth="1"/>
    <col min="10248" max="10496" width="9" style="1355"/>
    <col min="10497" max="10497" width="21" style="1355" customWidth="1"/>
    <col min="10498" max="10498" width="23.375" style="1355" customWidth="1"/>
    <col min="10499" max="10499" width="21.5" style="1355" customWidth="1"/>
    <col min="10500" max="10500" width="21.75" style="1355" customWidth="1"/>
    <col min="10501" max="10501" width="16.625" style="1355" customWidth="1"/>
    <col min="10502" max="10502" width="20.125" style="1355" customWidth="1"/>
    <col min="10503" max="10503" width="14.25" style="1355" customWidth="1"/>
    <col min="10504" max="10752" width="9" style="1355"/>
    <col min="10753" max="10753" width="21" style="1355" customWidth="1"/>
    <col min="10754" max="10754" width="23.375" style="1355" customWidth="1"/>
    <col min="10755" max="10755" width="21.5" style="1355" customWidth="1"/>
    <col min="10756" max="10756" width="21.75" style="1355" customWidth="1"/>
    <col min="10757" max="10757" width="16.625" style="1355" customWidth="1"/>
    <col min="10758" max="10758" width="20.125" style="1355" customWidth="1"/>
    <col min="10759" max="10759" width="14.25" style="1355" customWidth="1"/>
    <col min="10760" max="11008" width="9" style="1355"/>
    <col min="11009" max="11009" width="21" style="1355" customWidth="1"/>
    <col min="11010" max="11010" width="23.375" style="1355" customWidth="1"/>
    <col min="11011" max="11011" width="21.5" style="1355" customWidth="1"/>
    <col min="11012" max="11012" width="21.75" style="1355" customWidth="1"/>
    <col min="11013" max="11013" width="16.625" style="1355" customWidth="1"/>
    <col min="11014" max="11014" width="20.125" style="1355" customWidth="1"/>
    <col min="11015" max="11015" width="14.25" style="1355" customWidth="1"/>
    <col min="11016" max="11264" width="9" style="1355"/>
    <col min="11265" max="11265" width="21" style="1355" customWidth="1"/>
    <col min="11266" max="11266" width="23.375" style="1355" customWidth="1"/>
    <col min="11267" max="11267" width="21.5" style="1355" customWidth="1"/>
    <col min="11268" max="11268" width="21.75" style="1355" customWidth="1"/>
    <col min="11269" max="11269" width="16.625" style="1355" customWidth="1"/>
    <col min="11270" max="11270" width="20.125" style="1355" customWidth="1"/>
    <col min="11271" max="11271" width="14.25" style="1355" customWidth="1"/>
    <col min="11272" max="11520" width="9" style="1355"/>
    <col min="11521" max="11521" width="21" style="1355" customWidth="1"/>
    <col min="11522" max="11522" width="23.375" style="1355" customWidth="1"/>
    <col min="11523" max="11523" width="21.5" style="1355" customWidth="1"/>
    <col min="11524" max="11524" width="21.75" style="1355" customWidth="1"/>
    <col min="11525" max="11525" width="16.625" style="1355" customWidth="1"/>
    <col min="11526" max="11526" width="20.125" style="1355" customWidth="1"/>
    <col min="11527" max="11527" width="14.25" style="1355" customWidth="1"/>
    <col min="11528" max="11776" width="9" style="1355"/>
    <col min="11777" max="11777" width="21" style="1355" customWidth="1"/>
    <col min="11778" max="11778" width="23.375" style="1355" customWidth="1"/>
    <col min="11779" max="11779" width="21.5" style="1355" customWidth="1"/>
    <col min="11780" max="11780" width="21.75" style="1355" customWidth="1"/>
    <col min="11781" max="11781" width="16.625" style="1355" customWidth="1"/>
    <col min="11782" max="11782" width="20.125" style="1355" customWidth="1"/>
    <col min="11783" max="11783" width="14.25" style="1355" customWidth="1"/>
    <col min="11784" max="12032" width="9" style="1355"/>
    <col min="12033" max="12033" width="21" style="1355" customWidth="1"/>
    <col min="12034" max="12034" width="23.375" style="1355" customWidth="1"/>
    <col min="12035" max="12035" width="21.5" style="1355" customWidth="1"/>
    <col min="12036" max="12036" width="21.75" style="1355" customWidth="1"/>
    <col min="12037" max="12037" width="16.625" style="1355" customWidth="1"/>
    <col min="12038" max="12038" width="20.125" style="1355" customWidth="1"/>
    <col min="12039" max="12039" width="14.25" style="1355" customWidth="1"/>
    <col min="12040" max="12288" width="9" style="1355"/>
    <col min="12289" max="12289" width="21" style="1355" customWidth="1"/>
    <col min="12290" max="12290" width="23.375" style="1355" customWidth="1"/>
    <col min="12291" max="12291" width="21.5" style="1355" customWidth="1"/>
    <col min="12292" max="12292" width="21.75" style="1355" customWidth="1"/>
    <col min="12293" max="12293" width="16.625" style="1355" customWidth="1"/>
    <col min="12294" max="12294" width="20.125" style="1355" customWidth="1"/>
    <col min="12295" max="12295" width="14.25" style="1355" customWidth="1"/>
    <col min="12296" max="12544" width="9" style="1355"/>
    <col min="12545" max="12545" width="21" style="1355" customWidth="1"/>
    <col min="12546" max="12546" width="23.375" style="1355" customWidth="1"/>
    <col min="12547" max="12547" width="21.5" style="1355" customWidth="1"/>
    <col min="12548" max="12548" width="21.75" style="1355" customWidth="1"/>
    <col min="12549" max="12549" width="16.625" style="1355" customWidth="1"/>
    <col min="12550" max="12550" width="20.125" style="1355" customWidth="1"/>
    <col min="12551" max="12551" width="14.25" style="1355" customWidth="1"/>
    <col min="12552" max="12800" width="9" style="1355"/>
    <col min="12801" max="12801" width="21" style="1355" customWidth="1"/>
    <col min="12802" max="12802" width="23.375" style="1355" customWidth="1"/>
    <col min="12803" max="12803" width="21.5" style="1355" customWidth="1"/>
    <col min="12804" max="12804" width="21.75" style="1355" customWidth="1"/>
    <col min="12805" max="12805" width="16.625" style="1355" customWidth="1"/>
    <col min="12806" max="12806" width="20.125" style="1355" customWidth="1"/>
    <col min="12807" max="12807" width="14.25" style="1355" customWidth="1"/>
    <col min="12808" max="13056" width="9" style="1355"/>
    <col min="13057" max="13057" width="21" style="1355" customWidth="1"/>
    <col min="13058" max="13058" width="23.375" style="1355" customWidth="1"/>
    <col min="13059" max="13059" width="21.5" style="1355" customWidth="1"/>
    <col min="13060" max="13060" width="21.75" style="1355" customWidth="1"/>
    <col min="13061" max="13061" width="16.625" style="1355" customWidth="1"/>
    <col min="13062" max="13062" width="20.125" style="1355" customWidth="1"/>
    <col min="13063" max="13063" width="14.25" style="1355" customWidth="1"/>
    <col min="13064" max="13312" width="9" style="1355"/>
    <col min="13313" max="13313" width="21" style="1355" customWidth="1"/>
    <col min="13314" max="13314" width="23.375" style="1355" customWidth="1"/>
    <col min="13315" max="13315" width="21.5" style="1355" customWidth="1"/>
    <col min="13316" max="13316" width="21.75" style="1355" customWidth="1"/>
    <col min="13317" max="13317" width="16.625" style="1355" customWidth="1"/>
    <col min="13318" max="13318" width="20.125" style="1355" customWidth="1"/>
    <col min="13319" max="13319" width="14.25" style="1355" customWidth="1"/>
    <col min="13320" max="13568" width="9" style="1355"/>
    <col min="13569" max="13569" width="21" style="1355" customWidth="1"/>
    <col min="13570" max="13570" width="23.375" style="1355" customWidth="1"/>
    <col min="13571" max="13571" width="21.5" style="1355" customWidth="1"/>
    <col min="13572" max="13572" width="21.75" style="1355" customWidth="1"/>
    <col min="13573" max="13573" width="16.625" style="1355" customWidth="1"/>
    <col min="13574" max="13574" width="20.125" style="1355" customWidth="1"/>
    <col min="13575" max="13575" width="14.25" style="1355" customWidth="1"/>
    <col min="13576" max="13824" width="9" style="1355"/>
    <col min="13825" max="13825" width="21" style="1355" customWidth="1"/>
    <col min="13826" max="13826" width="23.375" style="1355" customWidth="1"/>
    <col min="13827" max="13827" width="21.5" style="1355" customWidth="1"/>
    <col min="13828" max="13828" width="21.75" style="1355" customWidth="1"/>
    <col min="13829" max="13829" width="16.625" style="1355" customWidth="1"/>
    <col min="13830" max="13830" width="20.125" style="1355" customWidth="1"/>
    <col min="13831" max="13831" width="14.25" style="1355" customWidth="1"/>
    <col min="13832" max="14080" width="9" style="1355"/>
    <col min="14081" max="14081" width="21" style="1355" customWidth="1"/>
    <col min="14082" max="14082" width="23.375" style="1355" customWidth="1"/>
    <col min="14083" max="14083" width="21.5" style="1355" customWidth="1"/>
    <col min="14084" max="14084" width="21.75" style="1355" customWidth="1"/>
    <col min="14085" max="14085" width="16.625" style="1355" customWidth="1"/>
    <col min="14086" max="14086" width="20.125" style="1355" customWidth="1"/>
    <col min="14087" max="14087" width="14.25" style="1355" customWidth="1"/>
    <col min="14088" max="14336" width="9" style="1355"/>
    <col min="14337" max="14337" width="21" style="1355" customWidth="1"/>
    <col min="14338" max="14338" width="23.375" style="1355" customWidth="1"/>
    <col min="14339" max="14339" width="21.5" style="1355" customWidth="1"/>
    <col min="14340" max="14340" width="21.75" style="1355" customWidth="1"/>
    <col min="14341" max="14341" width="16.625" style="1355" customWidth="1"/>
    <col min="14342" max="14342" width="20.125" style="1355" customWidth="1"/>
    <col min="14343" max="14343" width="14.25" style="1355" customWidth="1"/>
    <col min="14344" max="14592" width="9" style="1355"/>
    <col min="14593" max="14593" width="21" style="1355" customWidth="1"/>
    <col min="14594" max="14594" width="23.375" style="1355" customWidth="1"/>
    <col min="14595" max="14595" width="21.5" style="1355" customWidth="1"/>
    <col min="14596" max="14596" width="21.75" style="1355" customWidth="1"/>
    <col min="14597" max="14597" width="16.625" style="1355" customWidth="1"/>
    <col min="14598" max="14598" width="20.125" style="1355" customWidth="1"/>
    <col min="14599" max="14599" width="14.25" style="1355" customWidth="1"/>
    <col min="14600" max="14848" width="9" style="1355"/>
    <col min="14849" max="14849" width="21" style="1355" customWidth="1"/>
    <col min="14850" max="14850" width="23.375" style="1355" customWidth="1"/>
    <col min="14851" max="14851" width="21.5" style="1355" customWidth="1"/>
    <col min="14852" max="14852" width="21.75" style="1355" customWidth="1"/>
    <col min="14853" max="14853" width="16.625" style="1355" customWidth="1"/>
    <col min="14854" max="14854" width="20.125" style="1355" customWidth="1"/>
    <col min="14855" max="14855" width="14.25" style="1355" customWidth="1"/>
    <col min="14856" max="15104" width="9" style="1355"/>
    <col min="15105" max="15105" width="21" style="1355" customWidth="1"/>
    <col min="15106" max="15106" width="23.375" style="1355" customWidth="1"/>
    <col min="15107" max="15107" width="21.5" style="1355" customWidth="1"/>
    <col min="15108" max="15108" width="21.75" style="1355" customWidth="1"/>
    <col min="15109" max="15109" width="16.625" style="1355" customWidth="1"/>
    <col min="15110" max="15110" width="20.125" style="1355" customWidth="1"/>
    <col min="15111" max="15111" width="14.25" style="1355" customWidth="1"/>
    <col min="15112" max="15360" width="9" style="1355"/>
    <col min="15361" max="15361" width="21" style="1355" customWidth="1"/>
    <col min="15362" max="15362" width="23.375" style="1355" customWidth="1"/>
    <col min="15363" max="15363" width="21.5" style="1355" customWidth="1"/>
    <col min="15364" max="15364" width="21.75" style="1355" customWidth="1"/>
    <col min="15365" max="15365" width="16.625" style="1355" customWidth="1"/>
    <col min="15366" max="15366" width="20.125" style="1355" customWidth="1"/>
    <col min="15367" max="15367" width="14.25" style="1355" customWidth="1"/>
    <col min="15368" max="15616" width="9" style="1355"/>
    <col min="15617" max="15617" width="21" style="1355" customWidth="1"/>
    <col min="15618" max="15618" width="23.375" style="1355" customWidth="1"/>
    <col min="15619" max="15619" width="21.5" style="1355" customWidth="1"/>
    <col min="15620" max="15620" width="21.75" style="1355" customWidth="1"/>
    <col min="15621" max="15621" width="16.625" style="1355" customWidth="1"/>
    <col min="15622" max="15622" width="20.125" style="1355" customWidth="1"/>
    <col min="15623" max="15623" width="14.25" style="1355" customWidth="1"/>
    <col min="15624" max="15872" width="9" style="1355"/>
    <col min="15873" max="15873" width="21" style="1355" customWidth="1"/>
    <col min="15874" max="15874" width="23.375" style="1355" customWidth="1"/>
    <col min="15875" max="15875" width="21.5" style="1355" customWidth="1"/>
    <col min="15876" max="15876" width="21.75" style="1355" customWidth="1"/>
    <col min="15877" max="15877" width="16.625" style="1355" customWidth="1"/>
    <col min="15878" max="15878" width="20.125" style="1355" customWidth="1"/>
    <col min="15879" max="15879" width="14.25" style="1355" customWidth="1"/>
    <col min="15880" max="16128" width="9" style="1355"/>
    <col min="16129" max="16129" width="21" style="1355" customWidth="1"/>
    <col min="16130" max="16130" width="23.375" style="1355" customWidth="1"/>
    <col min="16131" max="16131" width="21.5" style="1355" customWidth="1"/>
    <col min="16132" max="16132" width="21.75" style="1355" customWidth="1"/>
    <col min="16133" max="16133" width="16.625" style="1355" customWidth="1"/>
    <col min="16134" max="16134" width="20.125" style="1355" customWidth="1"/>
    <col min="16135" max="16135" width="14.25" style="1355" customWidth="1"/>
    <col min="16136" max="16384" width="9" style="1355"/>
  </cols>
  <sheetData>
    <row r="1" spans="1:6" ht="24">
      <c r="F1" s="3619" t="s">
        <v>57</v>
      </c>
    </row>
    <row r="2" spans="1:6">
      <c r="A2" s="1371" t="s">
        <v>1131</v>
      </c>
      <c r="B2" s="1371" t="s">
        <v>395</v>
      </c>
    </row>
    <row r="3" spans="1:6">
      <c r="A3" s="1371" t="s">
        <v>1855</v>
      </c>
      <c r="B3" s="1371" t="s">
        <v>408</v>
      </c>
      <c r="C3" s="1371" t="s">
        <v>1856</v>
      </c>
    </row>
    <row r="4" spans="1:6">
      <c r="A4" s="1371" t="s">
        <v>1857</v>
      </c>
      <c r="B4" s="1371" t="s">
        <v>1858</v>
      </c>
      <c r="C4" s="1371" t="s">
        <v>1859</v>
      </c>
    </row>
    <row r="5" spans="1:6">
      <c r="A5" s="1371" t="s">
        <v>1860</v>
      </c>
      <c r="B5" s="1371" t="s">
        <v>1861</v>
      </c>
      <c r="C5" s="1371" t="s">
        <v>1862</v>
      </c>
    </row>
    <row r="6" spans="1:6">
      <c r="A6" s="1371" t="s">
        <v>1863</v>
      </c>
      <c r="B6" s="1371" t="s">
        <v>1864</v>
      </c>
      <c r="C6" s="1371" t="s">
        <v>1865</v>
      </c>
    </row>
    <row r="7" spans="1:6">
      <c r="A7" s="1371" t="s">
        <v>1356</v>
      </c>
      <c r="B7" s="1371" t="s">
        <v>1866</v>
      </c>
      <c r="C7" s="1371" t="s">
        <v>1867</v>
      </c>
    </row>
    <row r="8" spans="1:6">
      <c r="A8" s="1371" t="s">
        <v>1132</v>
      </c>
      <c r="B8" s="1371" t="s">
        <v>411</v>
      </c>
      <c r="C8" s="1371" t="s">
        <v>1868</v>
      </c>
    </row>
    <row r="9" spans="1:6">
      <c r="A9" s="1371" t="s">
        <v>1134</v>
      </c>
      <c r="B9" s="1371" t="s">
        <v>1869</v>
      </c>
      <c r="C9" s="1371" t="s">
        <v>1870</v>
      </c>
    </row>
    <row r="10" spans="1:6">
      <c r="A10" s="1371" t="s">
        <v>1133</v>
      </c>
      <c r="B10" s="1371" t="s">
        <v>1871</v>
      </c>
      <c r="C10" s="1371" t="s">
        <v>1872</v>
      </c>
    </row>
    <row r="11" spans="1:6">
      <c r="A11" s="1371" t="s">
        <v>1873</v>
      </c>
      <c r="B11" s="1371" t="s">
        <v>1874</v>
      </c>
      <c r="C11" s="1371" t="s">
        <v>1875</v>
      </c>
    </row>
    <row r="12" spans="1:6">
      <c r="A12" s="1371" t="s">
        <v>1131</v>
      </c>
      <c r="B12" s="1371" t="s">
        <v>395</v>
      </c>
      <c r="D12" s="3620">
        <v>12</v>
      </c>
    </row>
    <row r="13" spans="1:6">
      <c r="A13" s="1371" t="s">
        <v>1855</v>
      </c>
      <c r="B13" s="1371" t="s">
        <v>408</v>
      </c>
      <c r="C13" s="1371" t="s">
        <v>1856</v>
      </c>
      <c r="D13" s="3620">
        <v>2</v>
      </c>
    </row>
    <row r="14" spans="1:6">
      <c r="A14" s="1371" t="s">
        <v>1857</v>
      </c>
      <c r="B14" s="1371" t="s">
        <v>1858</v>
      </c>
      <c r="C14" s="1371" t="s">
        <v>1859</v>
      </c>
      <c r="D14" s="3621">
        <f>3.1415926*D13</f>
        <v>6.2831852000000001</v>
      </c>
    </row>
    <row r="15" spans="1:6">
      <c r="A15" s="1371" t="s">
        <v>1860</v>
      </c>
      <c r="B15" s="1371" t="s">
        <v>1861</v>
      </c>
      <c r="C15" s="1371" t="s">
        <v>1862</v>
      </c>
      <c r="D15" s="3621">
        <f>D13</f>
        <v>2</v>
      </c>
    </row>
    <row r="16" spans="1:6">
      <c r="A16" s="1371" t="s">
        <v>1863</v>
      </c>
      <c r="B16" s="1371" t="s">
        <v>1864</v>
      </c>
      <c r="C16" s="1371" t="s">
        <v>1865</v>
      </c>
      <c r="D16" s="3622">
        <f>1.25</f>
        <v>1.25</v>
      </c>
    </row>
    <row r="17" spans="1:4">
      <c r="A17" s="1371" t="s">
        <v>1356</v>
      </c>
      <c r="B17" s="1371" t="s">
        <v>1866</v>
      </c>
      <c r="C17" s="1371" t="s">
        <v>1867</v>
      </c>
      <c r="D17" s="3621">
        <v>2.25</v>
      </c>
    </row>
    <row r="18" spans="1:4">
      <c r="A18" s="1371" t="s">
        <v>1132</v>
      </c>
      <c r="B18" s="1371" t="s">
        <v>411</v>
      </c>
      <c r="C18" s="1371" t="s">
        <v>1868</v>
      </c>
      <c r="D18" s="3621">
        <f>D13*D12</f>
        <v>24</v>
      </c>
    </row>
    <row r="19" spans="1:4">
      <c r="A19" s="3623" t="s">
        <v>1134</v>
      </c>
      <c r="B19" s="3623" t="s">
        <v>1869</v>
      </c>
      <c r="C19" s="3623" t="s">
        <v>1870</v>
      </c>
      <c r="D19" s="3624">
        <f>D13*(D12+2)</f>
        <v>28</v>
      </c>
    </row>
    <row r="20" spans="1:4">
      <c r="A20" s="1371" t="s">
        <v>1133</v>
      </c>
      <c r="B20" s="1371" t="s">
        <v>1871</v>
      </c>
      <c r="C20" s="1371" t="s">
        <v>1872</v>
      </c>
      <c r="D20" s="3621">
        <f>D13*(D12-2.5)</f>
        <v>19</v>
      </c>
    </row>
    <row r="21" spans="1:4">
      <c r="A21" s="1371" t="s">
        <v>1873</v>
      </c>
      <c r="B21" s="1371" t="s">
        <v>1874</v>
      </c>
      <c r="C21" s="1371" t="s">
        <v>1875</v>
      </c>
    </row>
    <row r="27" spans="1:4">
      <c r="A27" s="1371" t="s">
        <v>1876</v>
      </c>
    </row>
    <row r="28" spans="1:4">
      <c r="A28" s="1371" t="s">
        <v>1877</v>
      </c>
    </row>
    <row r="29" spans="1:4">
      <c r="A29" s="1371" t="s">
        <v>1878</v>
      </c>
    </row>
    <row r="30" spans="1:4">
      <c r="A30" s="1371" t="s">
        <v>1879</v>
      </c>
    </row>
    <row r="38" spans="1:7">
      <c r="D38" s="1371" t="s">
        <v>1880</v>
      </c>
    </row>
    <row r="39" spans="1:7">
      <c r="A39" s="1371" t="s">
        <v>1881</v>
      </c>
      <c r="B39" s="1371" t="s">
        <v>1882</v>
      </c>
      <c r="C39" s="1371" t="s">
        <v>1883</v>
      </c>
      <c r="D39" s="1371" t="s">
        <v>1884</v>
      </c>
      <c r="E39" s="1371" t="s">
        <v>1885</v>
      </c>
      <c r="F39" s="1371" t="s">
        <v>1886</v>
      </c>
      <c r="G39" s="1371" t="s">
        <v>1887</v>
      </c>
    </row>
    <row r="40" spans="1:7">
      <c r="A40" s="1371" t="s">
        <v>1888</v>
      </c>
      <c r="B40" s="1371" t="s">
        <v>1889</v>
      </c>
      <c r="C40" s="1371" t="s">
        <v>1890</v>
      </c>
      <c r="D40" s="1371" t="s">
        <v>1891</v>
      </c>
      <c r="E40" s="1371" t="s">
        <v>1892</v>
      </c>
      <c r="F40" s="1371" t="s">
        <v>1893</v>
      </c>
    </row>
    <row r="41" spans="1:7">
      <c r="A41" s="1371" t="s">
        <v>1894</v>
      </c>
      <c r="B41" s="1371" t="s">
        <v>1895</v>
      </c>
    </row>
    <row r="44" spans="1:7">
      <c r="A44" s="1371" t="s">
        <v>1131</v>
      </c>
      <c r="B44" s="1371" t="s">
        <v>395</v>
      </c>
      <c r="D44" s="3620">
        <v>47</v>
      </c>
    </row>
    <row r="45" spans="1:7">
      <c r="A45" s="1371" t="s">
        <v>1193</v>
      </c>
      <c r="C45" s="1371" t="s">
        <v>1896</v>
      </c>
      <c r="D45" s="1371">
        <v>25.5</v>
      </c>
    </row>
    <row r="46" spans="1:7">
      <c r="A46" s="1371" t="s">
        <v>1855</v>
      </c>
      <c r="B46" s="1371" t="s">
        <v>408</v>
      </c>
      <c r="C46" s="1371" t="s">
        <v>1897</v>
      </c>
      <c r="D46" s="3620">
        <f>25.4/D45</f>
        <v>0.99607843137254903</v>
      </c>
    </row>
    <row r="47" spans="1:7">
      <c r="A47" s="1371" t="s">
        <v>1857</v>
      </c>
      <c r="B47" s="1371" t="s">
        <v>1858</v>
      </c>
      <c r="C47" s="1371" t="s">
        <v>1859</v>
      </c>
      <c r="D47" s="3621">
        <f>3.1415926*D46</f>
        <v>3.12927262901961</v>
      </c>
    </row>
    <row r="48" spans="1:7">
      <c r="A48" s="1371" t="s">
        <v>1860</v>
      </c>
      <c r="B48" s="1371" t="s">
        <v>1861</v>
      </c>
      <c r="C48" s="1371" t="s">
        <v>1862</v>
      </c>
      <c r="D48" s="3621">
        <f>D46</f>
        <v>0.99607843137254903</v>
      </c>
    </row>
    <row r="49" spans="1:7">
      <c r="A49" s="1371" t="s">
        <v>1863</v>
      </c>
      <c r="B49" s="1371" t="s">
        <v>1864</v>
      </c>
      <c r="C49" s="1371" t="s">
        <v>1865</v>
      </c>
      <c r="D49" s="3622">
        <f>1.25</f>
        <v>1.25</v>
      </c>
    </row>
    <row r="50" spans="1:7">
      <c r="A50" s="1371" t="s">
        <v>1356</v>
      </c>
      <c r="B50" s="1371" t="s">
        <v>1866</v>
      </c>
      <c r="C50" s="1371" t="s">
        <v>1867</v>
      </c>
      <c r="D50" s="3621">
        <v>2.25</v>
      </c>
    </row>
    <row r="51" spans="1:7">
      <c r="A51" s="1371" t="s">
        <v>1132</v>
      </c>
      <c r="B51" s="1371" t="s">
        <v>411</v>
      </c>
      <c r="C51" s="1371" t="s">
        <v>1868</v>
      </c>
      <c r="D51" s="3621">
        <f>D46*D44</f>
        <v>46.815686274509801</v>
      </c>
    </row>
    <row r="52" spans="1:7">
      <c r="A52" s="3623" t="s">
        <v>1134</v>
      </c>
      <c r="B52" s="3623" t="s">
        <v>1869</v>
      </c>
      <c r="C52" s="3623" t="s">
        <v>1870</v>
      </c>
      <c r="D52" s="3624">
        <f>D46*(D44+2)</f>
        <v>48.807843137254899</v>
      </c>
    </row>
    <row r="53" spans="1:7">
      <c r="A53" s="1371" t="s">
        <v>1133</v>
      </c>
      <c r="B53" s="1371" t="s">
        <v>1871</v>
      </c>
      <c r="C53" s="1371" t="s">
        <v>1872</v>
      </c>
      <c r="D53" s="3621">
        <f>D46*(D44-2.5)</f>
        <v>44.325490196078398</v>
      </c>
    </row>
    <row r="54" spans="1:7">
      <c r="A54" s="1371" t="s">
        <v>1873</v>
      </c>
      <c r="B54" s="1371" t="s">
        <v>1874</v>
      </c>
      <c r="C54" s="1371" t="s">
        <v>1875</v>
      </c>
    </row>
    <row r="58" spans="1:7">
      <c r="C58" s="1371" t="s">
        <v>1898</v>
      </c>
      <c r="D58" s="3556" t="s">
        <v>1899</v>
      </c>
      <c r="E58" s="1371"/>
      <c r="F58" s="1371"/>
    </row>
    <row r="59" spans="1:7">
      <c r="A59" s="1371" t="s">
        <v>1193</v>
      </c>
      <c r="B59" s="1371" t="s">
        <v>1900</v>
      </c>
      <c r="E59" s="1371"/>
      <c r="F59" s="1371"/>
      <c r="G59" s="1371"/>
    </row>
    <row r="60" spans="1:7">
      <c r="E60" s="1371"/>
      <c r="F60" s="1371"/>
    </row>
    <row r="76" spans="3:10">
      <c r="J76" s="1354"/>
    </row>
    <row r="78" spans="3:10" ht="20.25">
      <c r="C78" s="3625" t="s">
        <v>1901</v>
      </c>
      <c r="J78" s="1371"/>
    </row>
    <row r="79" spans="3:10">
      <c r="J79" s="1371"/>
    </row>
    <row r="84" spans="10:10">
      <c r="J84" s="3635"/>
    </row>
    <row r="103" spans="1:8">
      <c r="A103" s="3626" t="s">
        <v>1902</v>
      </c>
      <c r="B103" s="3626" t="s">
        <v>1903</v>
      </c>
      <c r="C103" s="3626" t="s">
        <v>1904</v>
      </c>
      <c r="D103" s="3626" t="s">
        <v>1905</v>
      </c>
      <c r="E103" s="3626" t="s">
        <v>1906</v>
      </c>
      <c r="F103" s="3626" t="s">
        <v>1358</v>
      </c>
      <c r="G103" s="3626" t="s">
        <v>1907</v>
      </c>
      <c r="H103" s="3627" t="s">
        <v>1360</v>
      </c>
    </row>
    <row r="104" spans="1:8">
      <c r="A104" s="3626" t="s">
        <v>1361</v>
      </c>
      <c r="B104" s="3626">
        <v>3</v>
      </c>
      <c r="C104" s="3626">
        <v>1.28</v>
      </c>
      <c r="D104" s="3626">
        <v>0.91</v>
      </c>
      <c r="E104" s="3626" t="s">
        <v>1908</v>
      </c>
      <c r="F104" s="3626">
        <v>1.9</v>
      </c>
      <c r="G104" s="3626">
        <v>0.76200000000000001</v>
      </c>
      <c r="H104" s="3627" t="s">
        <v>1362</v>
      </c>
    </row>
    <row r="105" spans="1:8">
      <c r="A105" s="3626" t="s">
        <v>1364</v>
      </c>
      <c r="B105" s="3626">
        <v>5</v>
      </c>
      <c r="C105" s="3626">
        <v>2.16</v>
      </c>
      <c r="D105" s="3626">
        <v>1.56</v>
      </c>
      <c r="E105" s="3626" t="s">
        <v>1909</v>
      </c>
      <c r="F105" s="3626">
        <v>3.25</v>
      </c>
      <c r="G105" s="3626">
        <v>3.25</v>
      </c>
      <c r="H105" s="3627" t="s">
        <v>1362</v>
      </c>
    </row>
    <row r="106" spans="1:8">
      <c r="A106" s="3626" t="s">
        <v>1365</v>
      </c>
      <c r="B106" s="3626">
        <v>8</v>
      </c>
      <c r="C106" s="3626">
        <v>3.54</v>
      </c>
      <c r="D106" s="3626">
        <v>2.57</v>
      </c>
      <c r="E106" s="3626" t="s">
        <v>1910</v>
      </c>
      <c r="F106" s="3626">
        <v>5.35</v>
      </c>
      <c r="G106" s="3626">
        <v>1.3720000000000001</v>
      </c>
      <c r="H106" s="3627" t="s">
        <v>1362</v>
      </c>
    </row>
    <row r="107" spans="1:8">
      <c r="A107" s="3626" t="s">
        <v>1367</v>
      </c>
      <c r="B107" s="3626">
        <v>14</v>
      </c>
      <c r="C107" s="3626">
        <v>6.2</v>
      </c>
      <c r="D107" s="3626">
        <v>4.6500000000000004</v>
      </c>
      <c r="E107" s="3626" t="s">
        <v>1911</v>
      </c>
      <c r="F107" s="3626">
        <v>9.8000000000000007</v>
      </c>
      <c r="G107" s="3626">
        <v>2.794</v>
      </c>
      <c r="H107" s="3627" t="s">
        <v>1362</v>
      </c>
    </row>
    <row r="108" spans="1:8">
      <c r="A108" s="3626" t="s">
        <v>1912</v>
      </c>
      <c r="B108" s="3626">
        <v>20</v>
      </c>
      <c r="C108" s="3626">
        <v>8.6</v>
      </c>
      <c r="D108" s="3626">
        <v>6.84</v>
      </c>
      <c r="E108" s="3626" t="s">
        <v>1913</v>
      </c>
      <c r="F108" s="3626">
        <v>14.8</v>
      </c>
      <c r="G108" s="3626">
        <v>4.32</v>
      </c>
      <c r="H108" s="3627" t="s">
        <v>1362</v>
      </c>
    </row>
    <row r="109" spans="1:8">
      <c r="A109" s="1355"/>
      <c r="B109" s="1355"/>
      <c r="C109" s="1355"/>
    </row>
    <row r="110" spans="1:8">
      <c r="A110" s="3628" t="s">
        <v>1914</v>
      </c>
      <c r="B110" s="1355"/>
      <c r="C110" s="1355"/>
    </row>
    <row r="111" spans="1:8">
      <c r="A111" s="3628" t="s">
        <v>1915</v>
      </c>
      <c r="B111" s="1355"/>
      <c r="C111" s="1355"/>
    </row>
    <row r="112" spans="1:8">
      <c r="A112" s="1355"/>
      <c r="B112" s="1355"/>
      <c r="C112" s="1355"/>
    </row>
    <row r="113" spans="1:9">
      <c r="A113" s="3628" t="s">
        <v>1916</v>
      </c>
      <c r="B113" s="1355"/>
      <c r="C113" s="1355"/>
    </row>
    <row r="114" spans="1:9">
      <c r="A114" s="3628" t="s">
        <v>1917</v>
      </c>
      <c r="B114" s="1355"/>
      <c r="C114" s="1355"/>
    </row>
    <row r="115" spans="1:9">
      <c r="A115" s="1355"/>
      <c r="B115" s="1355"/>
      <c r="C115" s="1355"/>
    </row>
    <row r="119" spans="1:9" ht="31.5">
      <c r="A119" s="3629" t="s">
        <v>1918</v>
      </c>
      <c r="B119" s="3629"/>
      <c r="C119" s="3629"/>
      <c r="D119" s="3629"/>
      <c r="E119" s="3629"/>
      <c r="F119" s="3629"/>
      <c r="G119" s="3629"/>
      <c r="H119" s="3629"/>
      <c r="I119" s="3629"/>
    </row>
    <row r="120" spans="1:9" ht="25.5">
      <c r="A120" s="3630" t="s">
        <v>1919</v>
      </c>
      <c r="B120" s="3630"/>
      <c r="C120" s="3630"/>
      <c r="D120" s="3630"/>
      <c r="E120" s="3630"/>
      <c r="F120" s="3630"/>
      <c r="G120" s="3630"/>
      <c r="H120" s="3630"/>
      <c r="I120" s="3630"/>
    </row>
    <row r="121" spans="1:9" ht="16.5">
      <c r="A121" s="3631" t="s">
        <v>949</v>
      </c>
      <c r="B121" s="3631" t="s">
        <v>950</v>
      </c>
      <c r="C121" s="3631" t="s">
        <v>1920</v>
      </c>
      <c r="D121" s="3632"/>
      <c r="E121" s="3631" t="s">
        <v>1921</v>
      </c>
      <c r="F121" s="3631" t="s">
        <v>1922</v>
      </c>
      <c r="G121" s="3631" t="s">
        <v>1923</v>
      </c>
      <c r="H121" s="3631" t="s">
        <v>1924</v>
      </c>
      <c r="I121" s="3631" t="s">
        <v>1925</v>
      </c>
    </row>
    <row r="122" spans="1:9">
      <c r="A122" s="1371">
        <v>50</v>
      </c>
      <c r="B122" s="1371">
        <v>60</v>
      </c>
      <c r="C122" s="1371">
        <v>110</v>
      </c>
      <c r="E122" s="1371">
        <f>A122*B122*C122/1000</f>
        <v>330</v>
      </c>
      <c r="F122" s="1371">
        <v>8</v>
      </c>
      <c r="G122" s="1371">
        <f>E122*F122/1000</f>
        <v>2.64</v>
      </c>
      <c r="H122" s="3633">
        <v>48</v>
      </c>
      <c r="I122" s="3633">
        <f>G122*H122</f>
        <v>126.72</v>
      </c>
    </row>
    <row r="123" spans="1:9">
      <c r="A123" s="1355"/>
      <c r="B123" s="1355"/>
      <c r="C123" s="1355"/>
      <c r="D123" s="1355"/>
    </row>
    <row r="124" spans="1:9">
      <c r="A124" s="1355"/>
      <c r="B124" s="1355"/>
      <c r="C124" s="1355"/>
      <c r="D124" s="1355"/>
      <c r="E124" s="1355" t="s">
        <v>1926</v>
      </c>
    </row>
    <row r="125" spans="1:9">
      <c r="A125" s="1355"/>
      <c r="B125" s="1355"/>
      <c r="C125" s="1355"/>
      <c r="D125" s="1355"/>
    </row>
    <row r="126" spans="1:9" ht="25.5">
      <c r="A126" s="3634" t="s">
        <v>1927</v>
      </c>
      <c r="B126" s="3634"/>
      <c r="C126" s="3634"/>
      <c r="D126" s="3634"/>
      <c r="E126" s="3634"/>
      <c r="F126" s="3634"/>
      <c r="G126" s="3634"/>
      <c r="H126" s="3634"/>
      <c r="I126" s="3634"/>
    </row>
    <row r="127" spans="1:9">
      <c r="A127" s="3631" t="s">
        <v>1928</v>
      </c>
      <c r="B127" s="3631" t="s">
        <v>1928</v>
      </c>
      <c r="C127" s="3631" t="s">
        <v>1920</v>
      </c>
      <c r="D127" s="3631"/>
      <c r="E127" s="3631" t="s">
        <v>1929</v>
      </c>
      <c r="F127" s="3631" t="s">
        <v>1922</v>
      </c>
      <c r="G127" s="3631" t="s">
        <v>1923</v>
      </c>
      <c r="H127" s="3631" t="s">
        <v>1924</v>
      </c>
      <c r="I127" s="3631" t="s">
        <v>1925</v>
      </c>
    </row>
    <row r="128" spans="1:9">
      <c r="A128" s="1371">
        <v>12.7</v>
      </c>
      <c r="B128" s="1371">
        <v>5</v>
      </c>
      <c r="C128" s="1371">
        <v>220</v>
      </c>
      <c r="E128" s="1371">
        <f>A128*B128*3.14*C128/1000</f>
        <v>43.8658</v>
      </c>
      <c r="F128" s="1371">
        <v>8</v>
      </c>
      <c r="G128" s="1371">
        <f>E128*F128/1000</f>
        <v>0.35092640000000003</v>
      </c>
      <c r="H128" s="3633">
        <v>48</v>
      </c>
      <c r="I128" s="3633">
        <f>G128*H128</f>
        <v>16.8444672</v>
      </c>
    </row>
    <row r="129" spans="1:5">
      <c r="A129" s="1355"/>
      <c r="B129" s="1355"/>
      <c r="C129" s="1355"/>
      <c r="D129" s="1355"/>
    </row>
    <row r="138" spans="1:5">
      <c r="B138" s="1371" t="s">
        <v>1930</v>
      </c>
    </row>
    <row r="139" spans="1:5">
      <c r="A139" s="3626" t="s">
        <v>1931</v>
      </c>
      <c r="B139" s="3626" t="s">
        <v>1932</v>
      </c>
      <c r="C139" s="3626" t="s">
        <v>250</v>
      </c>
      <c r="D139" s="3597"/>
      <c r="E139" s="3598"/>
    </row>
    <row r="140" spans="1:5">
      <c r="A140" s="3626" t="s">
        <v>1873</v>
      </c>
      <c r="B140" s="3626" t="s">
        <v>1874</v>
      </c>
      <c r="C140" s="3636" t="s">
        <v>1933</v>
      </c>
      <c r="D140" s="3597">
        <f>D163+D155+(2*D146*D145)/2</f>
        <v>100</v>
      </c>
      <c r="E140" s="3598"/>
    </row>
    <row r="141" spans="1:5">
      <c r="A141" s="3626" t="s">
        <v>1060</v>
      </c>
      <c r="B141" s="3626" t="s">
        <v>1069</v>
      </c>
      <c r="C141" s="3636" t="s">
        <v>1934</v>
      </c>
      <c r="D141" s="3597">
        <f>D143/D142</f>
        <v>12</v>
      </c>
      <c r="E141" s="3598"/>
    </row>
    <row r="142" spans="1:5" s="3618" customFormat="1" ht="18.75">
      <c r="A142" s="3621" t="s">
        <v>1935</v>
      </c>
      <c r="B142" s="3637" t="s">
        <v>1936</v>
      </c>
      <c r="C142" s="3638" t="s">
        <v>1937</v>
      </c>
      <c r="D142" s="3639">
        <v>1</v>
      </c>
      <c r="E142" s="3640"/>
    </row>
    <row r="143" spans="1:5" s="3618" customFormat="1" ht="18.75">
      <c r="A143" s="3621" t="s">
        <v>1938</v>
      </c>
      <c r="B143" s="3637" t="s">
        <v>1939</v>
      </c>
      <c r="C143" s="3638" t="s">
        <v>1940</v>
      </c>
      <c r="D143" s="3639">
        <v>12</v>
      </c>
      <c r="E143" s="3640"/>
    </row>
    <row r="144" spans="1:5">
      <c r="A144" s="3626" t="s">
        <v>1941</v>
      </c>
      <c r="B144" s="3626" t="s">
        <v>1942</v>
      </c>
      <c r="C144" s="3636" t="s">
        <v>1943</v>
      </c>
      <c r="D144" s="3641">
        <v>23</v>
      </c>
      <c r="E144" s="3598"/>
    </row>
    <row r="145" spans="1:5">
      <c r="A145" s="3621" t="s">
        <v>1944</v>
      </c>
      <c r="B145" s="3621" t="s">
        <v>1945</v>
      </c>
      <c r="C145" s="3638" t="s">
        <v>1946</v>
      </c>
      <c r="D145" s="3639">
        <v>5</v>
      </c>
      <c r="E145" s="3640"/>
    </row>
    <row r="146" spans="1:5">
      <c r="A146" s="3626" t="s">
        <v>1947</v>
      </c>
      <c r="B146" s="3626" t="s">
        <v>1948</v>
      </c>
      <c r="C146" s="3636" t="s">
        <v>1949</v>
      </c>
      <c r="D146" s="3597">
        <v>0</v>
      </c>
      <c r="E146" s="3598"/>
    </row>
    <row r="147" spans="1:5">
      <c r="A147" s="3626" t="s">
        <v>1950</v>
      </c>
      <c r="B147" s="3626" t="s">
        <v>1951</v>
      </c>
      <c r="C147" s="3636" t="s">
        <v>1952</v>
      </c>
      <c r="D147" s="3597">
        <f>D145</f>
        <v>5</v>
      </c>
      <c r="E147" s="3598"/>
    </row>
    <row r="148" spans="1:5">
      <c r="A148" s="3626" t="s">
        <v>1953</v>
      </c>
      <c r="B148" s="3626" t="s">
        <v>1954</v>
      </c>
      <c r="C148" s="3636" t="s">
        <v>1955</v>
      </c>
      <c r="D148" s="3597">
        <f>1.2*D145</f>
        <v>6</v>
      </c>
      <c r="E148" s="3598"/>
    </row>
    <row r="149" spans="1:5">
      <c r="A149" s="3626" t="s">
        <v>1956</v>
      </c>
      <c r="B149" s="3626" t="s">
        <v>1957</v>
      </c>
      <c r="C149" s="3636" t="s">
        <v>1958</v>
      </c>
      <c r="D149" s="3597">
        <f>0.2*D145</f>
        <v>1</v>
      </c>
      <c r="E149" s="3598"/>
    </row>
    <row r="150" spans="1:5">
      <c r="A150" s="3626" t="s">
        <v>1959</v>
      </c>
      <c r="B150" s="3626" t="s">
        <v>1960</v>
      </c>
      <c r="C150" s="3636" t="s">
        <v>1961</v>
      </c>
      <c r="D150" s="3597">
        <f>D163+(2*D145)</f>
        <v>50</v>
      </c>
      <c r="E150" s="3598"/>
    </row>
    <row r="151" spans="1:5">
      <c r="A151" s="3626" t="s">
        <v>1962</v>
      </c>
      <c r="B151" s="3626" t="s">
        <v>1963</v>
      </c>
      <c r="C151" s="3636" t="s">
        <v>1964</v>
      </c>
      <c r="D151" s="3597">
        <f>D163-(2*D148)</f>
        <v>28</v>
      </c>
      <c r="E151" s="3598"/>
    </row>
    <row r="152" spans="1:5">
      <c r="A152" s="3626" t="s">
        <v>1965</v>
      </c>
      <c r="B152" s="3626" t="s">
        <v>1966</v>
      </c>
      <c r="C152" s="3636" t="s">
        <v>1967</v>
      </c>
      <c r="D152" s="3597" t="s">
        <v>1968</v>
      </c>
      <c r="E152" s="3598"/>
    </row>
    <row r="153" spans="1:5">
      <c r="A153" s="3626" t="s">
        <v>1969</v>
      </c>
      <c r="B153" s="3626" t="s">
        <v>1970</v>
      </c>
      <c r="C153" s="3636" t="s">
        <v>1971</v>
      </c>
      <c r="D153" s="3597">
        <f>0.4*3.1415926*(D145)</f>
        <v>6.2831852000000001</v>
      </c>
      <c r="E153" s="3598"/>
    </row>
    <row r="154" spans="1:5">
      <c r="A154" s="3626" t="s">
        <v>1972</v>
      </c>
      <c r="B154" s="3626" t="s">
        <v>1973</v>
      </c>
      <c r="C154" s="3636" t="s">
        <v>1974</v>
      </c>
      <c r="D154" s="3597"/>
      <c r="E154" s="3598"/>
    </row>
    <row r="155" spans="1:5" ht="18.75">
      <c r="A155" s="3621" t="s">
        <v>1975</v>
      </c>
      <c r="B155" s="3621" t="s">
        <v>1976</v>
      </c>
      <c r="C155" s="3638" t="s">
        <v>1977</v>
      </c>
      <c r="D155" s="3639">
        <f>D145*D143</f>
        <v>60</v>
      </c>
      <c r="E155" s="3640"/>
    </row>
    <row r="156" spans="1:5">
      <c r="A156" s="3626" t="s">
        <v>1978</v>
      </c>
      <c r="B156" s="3626" t="s">
        <v>1979</v>
      </c>
      <c r="C156" s="3636" t="s">
        <v>1980</v>
      </c>
      <c r="D156" s="3597">
        <f>D145*(1+D146)</f>
        <v>5</v>
      </c>
      <c r="E156" s="3598"/>
    </row>
    <row r="157" spans="1:5">
      <c r="A157" s="3626" t="s">
        <v>1981</v>
      </c>
      <c r="B157" s="3626" t="s">
        <v>1982</v>
      </c>
      <c r="C157" s="3636" t="s">
        <v>1983</v>
      </c>
      <c r="D157" s="3597">
        <f>D145*(1.2-D146)</f>
        <v>6</v>
      </c>
      <c r="E157" s="3598"/>
    </row>
    <row r="158" spans="1:5">
      <c r="A158" s="3626" t="s">
        <v>1984</v>
      </c>
      <c r="B158" s="3626" t="s">
        <v>1985</v>
      </c>
      <c r="C158" s="3636" t="s">
        <v>1986</v>
      </c>
      <c r="D158" s="3597">
        <f>D155+2*D145*(1+D146)</f>
        <v>70</v>
      </c>
      <c r="E158" s="3598"/>
    </row>
    <row r="159" spans="1:5">
      <c r="A159" s="3642" t="s">
        <v>1987</v>
      </c>
      <c r="B159" s="3626" t="s">
        <v>1988</v>
      </c>
      <c r="C159" s="3636" t="s">
        <v>1989</v>
      </c>
      <c r="D159" s="3597">
        <f>D155-2*D145*(1.2-D146)</f>
        <v>48</v>
      </c>
      <c r="E159" s="3598"/>
    </row>
    <row r="160" spans="1:5">
      <c r="A160" s="3621" t="s">
        <v>1990</v>
      </c>
      <c r="B160" s="3621" t="s">
        <v>1991</v>
      </c>
      <c r="C160" s="3638" t="s">
        <v>1992</v>
      </c>
      <c r="D160" s="3639">
        <v>24.2</v>
      </c>
      <c r="E160" s="3598"/>
    </row>
    <row r="161" spans="1:6">
      <c r="A161" s="3626" t="s">
        <v>1993</v>
      </c>
      <c r="B161" s="3598" t="s">
        <v>1994</v>
      </c>
      <c r="C161" s="3626" t="s">
        <v>1995</v>
      </c>
      <c r="D161" s="3643">
        <f>3.1415926*D145*D142</f>
        <v>15.707962999999999</v>
      </c>
      <c r="E161" s="3644" t="s">
        <v>1996</v>
      </c>
    </row>
    <row r="162" spans="1:6">
      <c r="A162" s="3642" t="s">
        <v>1997</v>
      </c>
      <c r="B162" s="3626" t="s">
        <v>1998</v>
      </c>
      <c r="C162" s="3626" t="s">
        <v>1999</v>
      </c>
      <c r="D162" s="3643">
        <f>3.1415926*D145</f>
        <v>15.707962999999999</v>
      </c>
      <c r="E162" s="3644"/>
    </row>
    <row r="163" spans="1:6" ht="18.75">
      <c r="A163" s="3621" t="s">
        <v>2000</v>
      </c>
      <c r="B163" s="3637" t="s">
        <v>2001</v>
      </c>
      <c r="C163" s="3638" t="s">
        <v>2002</v>
      </c>
      <c r="D163" s="3639">
        <v>40</v>
      </c>
      <c r="E163" s="3640"/>
    </row>
    <row r="164" spans="1:6">
      <c r="A164" s="3626" t="s">
        <v>2003</v>
      </c>
      <c r="B164" s="3626" t="s">
        <v>2004</v>
      </c>
      <c r="C164" s="3626" t="s">
        <v>2005</v>
      </c>
      <c r="D164" s="4680">
        <v>10</v>
      </c>
      <c r="E164" s="4681"/>
      <c r="F164" s="1371">
        <v>8</v>
      </c>
    </row>
    <row r="165" spans="1:6">
      <c r="D165" s="4680" t="s">
        <v>2006</v>
      </c>
      <c r="E165" s="4681"/>
    </row>
    <row r="167" spans="1:6">
      <c r="A167" s="4682" t="s">
        <v>2007</v>
      </c>
      <c r="B167" s="4682"/>
    </row>
    <row r="168" spans="1:6">
      <c r="A168" s="4680" t="s">
        <v>2008</v>
      </c>
      <c r="B168" s="4683"/>
      <c r="C168" s="4681"/>
    </row>
    <row r="169" spans="1:6">
      <c r="A169" s="3645" t="s">
        <v>2009</v>
      </c>
      <c r="B169" s="3646"/>
      <c r="C169" s="3647"/>
    </row>
    <row r="172" spans="1:6" ht="22.5">
      <c r="A172" s="4682" t="s">
        <v>2010</v>
      </c>
      <c r="B172" s="4682"/>
    </row>
    <row r="173" spans="1:6">
      <c r="A173" s="1371" t="s">
        <v>2011</v>
      </c>
    </row>
    <row r="176" spans="1:6">
      <c r="B176" s="1371" t="s">
        <v>2012</v>
      </c>
    </row>
    <row r="177" spans="1:5">
      <c r="A177" s="3626" t="s">
        <v>1931</v>
      </c>
      <c r="B177" s="3626" t="s">
        <v>1932</v>
      </c>
      <c r="C177" s="3626" t="s">
        <v>250</v>
      </c>
      <c r="D177" s="3597"/>
      <c r="E177" s="3598"/>
    </row>
    <row r="178" spans="1:5">
      <c r="A178" s="3621" t="s">
        <v>1855</v>
      </c>
      <c r="B178" s="3621" t="s">
        <v>1945</v>
      </c>
      <c r="C178" s="3638" t="s">
        <v>2013</v>
      </c>
      <c r="D178" s="3639"/>
      <c r="E178" s="3598"/>
    </row>
    <row r="179" spans="1:5">
      <c r="A179" s="3626" t="s">
        <v>1993</v>
      </c>
      <c r="B179" s="3598" t="s">
        <v>1994</v>
      </c>
      <c r="C179" s="3626" t="s">
        <v>1995</v>
      </c>
      <c r="D179" s="3643" t="s">
        <v>2014</v>
      </c>
      <c r="E179" s="3644"/>
    </row>
    <row r="180" spans="1:5">
      <c r="A180" s="3642" t="s">
        <v>1997</v>
      </c>
      <c r="B180" s="3626" t="s">
        <v>1998</v>
      </c>
      <c r="C180" s="3626" t="s">
        <v>1999</v>
      </c>
      <c r="D180" s="3645" t="s">
        <v>2015</v>
      </c>
      <c r="E180" s="3644"/>
    </row>
    <row r="181" spans="1:5" ht="18.75">
      <c r="A181" s="3621" t="s">
        <v>2000</v>
      </c>
      <c r="B181" s="3637" t="s">
        <v>2001</v>
      </c>
      <c r="C181" s="3638"/>
      <c r="D181" s="3639"/>
      <c r="E181" s="3640"/>
    </row>
    <row r="182" spans="1:5">
      <c r="A182" s="3626" t="s">
        <v>2003</v>
      </c>
      <c r="B182" s="3626" t="s">
        <v>2004</v>
      </c>
      <c r="C182" s="3626"/>
      <c r="D182" s="4680"/>
      <c r="E182" s="4681"/>
    </row>
    <row r="183" spans="1:5">
      <c r="D183" s="4680"/>
      <c r="E183" s="4681"/>
    </row>
    <row r="188" spans="1:5">
      <c r="B188" s="1371" t="s">
        <v>2016</v>
      </c>
    </row>
    <row r="189" spans="1:5">
      <c r="A189" s="3626" t="s">
        <v>1931</v>
      </c>
      <c r="B189" s="3626" t="s">
        <v>1932</v>
      </c>
      <c r="C189" s="3626" t="s">
        <v>250</v>
      </c>
      <c r="D189" s="3597"/>
      <c r="E189" s="3598"/>
    </row>
    <row r="190" spans="1:5">
      <c r="A190" s="3621" t="s">
        <v>1855</v>
      </c>
      <c r="B190" s="3621" t="s">
        <v>1945</v>
      </c>
      <c r="C190" s="3638" t="s">
        <v>2013</v>
      </c>
      <c r="D190" s="3639" t="s">
        <v>2017</v>
      </c>
      <c r="E190" s="3598"/>
    </row>
    <row r="191" spans="1:5" ht="18.75">
      <c r="A191" s="3621" t="s">
        <v>1975</v>
      </c>
      <c r="B191" s="3637" t="s">
        <v>2018</v>
      </c>
      <c r="C191" s="3621" t="s">
        <v>2019</v>
      </c>
      <c r="D191" s="3621" t="s">
        <v>2020</v>
      </c>
      <c r="E191" s="3640"/>
    </row>
    <row r="192" spans="1:5">
      <c r="A192" s="3626" t="s">
        <v>1134</v>
      </c>
      <c r="B192" s="3626" t="s">
        <v>1985</v>
      </c>
      <c r="C192" s="3626"/>
      <c r="D192" s="4680" t="s">
        <v>2021</v>
      </c>
      <c r="E192" s="4681"/>
    </row>
    <row r="193" spans="1:5">
      <c r="A193" s="3626" t="s">
        <v>1860</v>
      </c>
      <c r="B193" s="3626" t="s">
        <v>1979</v>
      </c>
      <c r="C193" s="3626" t="s">
        <v>2022</v>
      </c>
      <c r="D193" s="4680" t="s">
        <v>2023</v>
      </c>
      <c r="E193" s="4681"/>
    </row>
    <row r="194" spans="1:5">
      <c r="A194" s="3626" t="s">
        <v>2024</v>
      </c>
      <c r="B194" s="3626" t="s">
        <v>2025</v>
      </c>
      <c r="C194" s="3626"/>
      <c r="D194" s="4680">
        <v>0</v>
      </c>
      <c r="E194" s="4681"/>
    </row>
    <row r="198" spans="1:5">
      <c r="A198" s="3648" t="s">
        <v>2026</v>
      </c>
      <c r="B198" s="1355"/>
      <c r="C198" s="1355"/>
      <c r="D198" s="1355"/>
    </row>
    <row r="199" spans="1:5">
      <c r="A199" s="3649"/>
      <c r="B199" s="1355"/>
      <c r="C199" s="1355"/>
      <c r="D199" s="1355"/>
    </row>
    <row r="200" spans="1:5">
      <c r="A200" s="3648" t="s">
        <v>2027</v>
      </c>
      <c r="B200" s="1355"/>
      <c r="C200" s="1355"/>
      <c r="D200" s="1355"/>
    </row>
    <row r="201" spans="1:5">
      <c r="A201" s="3648" t="s">
        <v>2028</v>
      </c>
      <c r="B201" s="1355"/>
      <c r="C201" s="1355"/>
      <c r="D201" s="1355"/>
    </row>
    <row r="202" spans="1:5">
      <c r="A202" s="3648" t="s">
        <v>2029</v>
      </c>
      <c r="B202" s="1355"/>
      <c r="C202" s="1355"/>
      <c r="D202" s="1355"/>
    </row>
    <row r="203" spans="1:5">
      <c r="A203" s="3648" t="s">
        <v>2030</v>
      </c>
      <c r="B203" s="1355"/>
      <c r="C203" s="1355"/>
      <c r="D203" s="1355"/>
    </row>
    <row r="204" spans="1:5">
      <c r="A204" s="3648" t="s">
        <v>2031</v>
      </c>
      <c r="B204" s="1355"/>
      <c r="C204" s="1355"/>
      <c r="D204" s="1355"/>
    </row>
    <row r="205" spans="1:5">
      <c r="A205" s="3648" t="s">
        <v>2032</v>
      </c>
      <c r="B205" s="1355"/>
      <c r="C205" s="1355"/>
      <c r="D205" s="1355"/>
    </row>
    <row r="206" spans="1:5">
      <c r="A206" s="3650" t="s">
        <v>2033</v>
      </c>
      <c r="B206" s="1355"/>
      <c r="C206" s="1355"/>
      <c r="D206" s="1355"/>
    </row>
  </sheetData>
  <mergeCells count="10">
    <mergeCell ref="D164:E164"/>
    <mergeCell ref="D165:E165"/>
    <mergeCell ref="A167:B167"/>
    <mergeCell ref="A168:C168"/>
    <mergeCell ref="A172:B172"/>
    <mergeCell ref="D182:E182"/>
    <mergeCell ref="D183:E183"/>
    <mergeCell ref="D192:E192"/>
    <mergeCell ref="D193:E193"/>
    <mergeCell ref="D194:E194"/>
  </mergeCells>
  <phoneticPr fontId="214" type="noConversion"/>
  <pageMargins left="0.75" right="0.75" top="1" bottom="1" header="0.5" footer="0.5"/>
  <pageSetup paperSize="9" orientation="portrait" horizontalDpi="300" verticalDpi="300"/>
  <headerFooter alignWithMargins="0"/>
  <drawing r:id="rId1"/>
  <legacyDrawing r:id="rId2"/>
  <oleObjects>
    <mc:AlternateContent xmlns:mc="http://schemas.openxmlformats.org/markup-compatibility/2006">
      <mc:Choice Requires="x14">
        <oleObject progId="AutoCAD.Drawing.16" shapeId="1381377" r:id="rId3">
          <objectPr defaultSize="0" altText="" r:id="rId4">
            <anchor moveWithCells="1">
              <from>
                <xdr:col>4</xdr:col>
                <xdr:colOff>76200</xdr:colOff>
                <xdr:row>2</xdr:row>
                <xdr:rowOff>19050</xdr:rowOff>
              </from>
              <to>
                <xdr:col>11</xdr:col>
                <xdr:colOff>457200</xdr:colOff>
                <xdr:row>24</xdr:row>
                <xdr:rowOff>152400</xdr:rowOff>
              </to>
            </anchor>
          </objectPr>
        </oleObject>
      </mc:Choice>
      <mc:Fallback>
        <oleObject progId="AutoCAD.Drawing.16" shapeId="1381377" r:id="rId3"/>
      </mc:Fallback>
    </mc:AlternateContent>
    <mc:AlternateContent xmlns:mc="http://schemas.openxmlformats.org/markup-compatibility/2006">
      <mc:Choice Requires="x14">
        <oleObject progId="AutoCAD.Drawing.16" shapeId="1381378" r:id="rId5">
          <objectPr defaultSize="0" altText="" r:id="rId6">
            <anchor moveWithCells="1">
              <from>
                <xdr:col>1</xdr:col>
                <xdr:colOff>533400</xdr:colOff>
                <xdr:row>78</xdr:row>
                <xdr:rowOff>38100</xdr:rowOff>
              </from>
              <to>
                <xdr:col>4</xdr:col>
                <xdr:colOff>1228725</xdr:colOff>
                <xdr:row>100</xdr:row>
                <xdr:rowOff>142875</xdr:rowOff>
              </to>
            </anchor>
          </objectPr>
        </oleObject>
      </mc:Choice>
      <mc:Fallback>
        <oleObject progId="AutoCAD.Drawing.16" shapeId="1381378" r:id="rId5"/>
      </mc:Fallback>
    </mc:AlternateContent>
  </oleObjec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I80"/>
  <sheetViews>
    <sheetView zoomScale="130" zoomScaleNormal="130" workbookViewId="0">
      <selection activeCell="G7" sqref="G7"/>
    </sheetView>
  </sheetViews>
  <sheetFormatPr defaultColWidth="9" defaultRowHeight="18" customHeight="1"/>
  <cols>
    <col min="1" max="1" width="12.25" style="3538" customWidth="1"/>
    <col min="2" max="2" width="11.625" style="3538" customWidth="1"/>
    <col min="3" max="3" width="9.125" style="3538" customWidth="1"/>
    <col min="4" max="4" width="10.25" style="3538" customWidth="1"/>
    <col min="5" max="5" width="6.875" style="3538" customWidth="1"/>
    <col min="6" max="6" width="10.25" style="3538" customWidth="1"/>
    <col min="7" max="7" width="11.125" style="3538" customWidth="1"/>
    <col min="8" max="8" width="9" style="3538"/>
    <col min="9" max="256" width="9" style="1355"/>
    <col min="257" max="257" width="12.25" style="1355" customWidth="1"/>
    <col min="258" max="258" width="11.625" style="1355" customWidth="1"/>
    <col min="259" max="259" width="9.125" style="1355" customWidth="1"/>
    <col min="260" max="260" width="10.25" style="1355" customWidth="1"/>
    <col min="261" max="261" width="6.875" style="1355" customWidth="1"/>
    <col min="262" max="262" width="10.25" style="1355" customWidth="1"/>
    <col min="263" max="263" width="11.125" style="1355" customWidth="1"/>
    <col min="264" max="512" width="9" style="1355"/>
    <col min="513" max="513" width="12.25" style="1355" customWidth="1"/>
    <col min="514" max="514" width="11.625" style="1355" customWidth="1"/>
    <col min="515" max="515" width="9.125" style="1355" customWidth="1"/>
    <col min="516" max="516" width="10.25" style="1355" customWidth="1"/>
    <col min="517" max="517" width="6.875" style="1355" customWidth="1"/>
    <col min="518" max="518" width="10.25" style="1355" customWidth="1"/>
    <col min="519" max="519" width="11.125" style="1355" customWidth="1"/>
    <col min="520" max="768" width="9" style="1355"/>
    <col min="769" max="769" width="12.25" style="1355" customWidth="1"/>
    <col min="770" max="770" width="11.625" style="1355" customWidth="1"/>
    <col min="771" max="771" width="9.125" style="1355" customWidth="1"/>
    <col min="772" max="772" width="10.25" style="1355" customWidth="1"/>
    <col min="773" max="773" width="6.875" style="1355" customWidth="1"/>
    <col min="774" max="774" width="10.25" style="1355" customWidth="1"/>
    <col min="775" max="775" width="11.125" style="1355" customWidth="1"/>
    <col min="776" max="1024" width="9" style="1355"/>
    <col min="1025" max="1025" width="12.25" style="1355" customWidth="1"/>
    <col min="1026" max="1026" width="11.625" style="1355" customWidth="1"/>
    <col min="1027" max="1027" width="9.125" style="1355" customWidth="1"/>
    <col min="1028" max="1028" width="10.25" style="1355" customWidth="1"/>
    <col min="1029" max="1029" width="6.875" style="1355" customWidth="1"/>
    <col min="1030" max="1030" width="10.25" style="1355" customWidth="1"/>
    <col min="1031" max="1031" width="11.125" style="1355" customWidth="1"/>
    <col min="1032" max="1280" width="9" style="1355"/>
    <col min="1281" max="1281" width="12.25" style="1355" customWidth="1"/>
    <col min="1282" max="1282" width="11.625" style="1355" customWidth="1"/>
    <col min="1283" max="1283" width="9.125" style="1355" customWidth="1"/>
    <col min="1284" max="1284" width="10.25" style="1355" customWidth="1"/>
    <col min="1285" max="1285" width="6.875" style="1355" customWidth="1"/>
    <col min="1286" max="1286" width="10.25" style="1355" customWidth="1"/>
    <col min="1287" max="1287" width="11.125" style="1355" customWidth="1"/>
    <col min="1288" max="1536" width="9" style="1355"/>
    <col min="1537" max="1537" width="12.25" style="1355" customWidth="1"/>
    <col min="1538" max="1538" width="11.625" style="1355" customWidth="1"/>
    <col min="1539" max="1539" width="9.125" style="1355" customWidth="1"/>
    <col min="1540" max="1540" width="10.25" style="1355" customWidth="1"/>
    <col min="1541" max="1541" width="6.875" style="1355" customWidth="1"/>
    <col min="1542" max="1542" width="10.25" style="1355" customWidth="1"/>
    <col min="1543" max="1543" width="11.125" style="1355" customWidth="1"/>
    <col min="1544" max="1792" width="9" style="1355"/>
    <col min="1793" max="1793" width="12.25" style="1355" customWidth="1"/>
    <col min="1794" max="1794" width="11.625" style="1355" customWidth="1"/>
    <col min="1795" max="1795" width="9.125" style="1355" customWidth="1"/>
    <col min="1796" max="1796" width="10.25" style="1355" customWidth="1"/>
    <col min="1797" max="1797" width="6.875" style="1355" customWidth="1"/>
    <col min="1798" max="1798" width="10.25" style="1355" customWidth="1"/>
    <col min="1799" max="1799" width="11.125" style="1355" customWidth="1"/>
    <col min="1800" max="2048" width="9" style="1355"/>
    <col min="2049" max="2049" width="12.25" style="1355" customWidth="1"/>
    <col min="2050" max="2050" width="11.625" style="1355" customWidth="1"/>
    <col min="2051" max="2051" width="9.125" style="1355" customWidth="1"/>
    <col min="2052" max="2052" width="10.25" style="1355" customWidth="1"/>
    <col min="2053" max="2053" width="6.875" style="1355" customWidth="1"/>
    <col min="2054" max="2054" width="10.25" style="1355" customWidth="1"/>
    <col min="2055" max="2055" width="11.125" style="1355" customWidth="1"/>
    <col min="2056" max="2304" width="9" style="1355"/>
    <col min="2305" max="2305" width="12.25" style="1355" customWidth="1"/>
    <col min="2306" max="2306" width="11.625" style="1355" customWidth="1"/>
    <col min="2307" max="2307" width="9.125" style="1355" customWidth="1"/>
    <col min="2308" max="2308" width="10.25" style="1355" customWidth="1"/>
    <col min="2309" max="2309" width="6.875" style="1355" customWidth="1"/>
    <col min="2310" max="2310" width="10.25" style="1355" customWidth="1"/>
    <col min="2311" max="2311" width="11.125" style="1355" customWidth="1"/>
    <col min="2312" max="2560" width="9" style="1355"/>
    <col min="2561" max="2561" width="12.25" style="1355" customWidth="1"/>
    <col min="2562" max="2562" width="11.625" style="1355" customWidth="1"/>
    <col min="2563" max="2563" width="9.125" style="1355" customWidth="1"/>
    <col min="2564" max="2564" width="10.25" style="1355" customWidth="1"/>
    <col min="2565" max="2565" width="6.875" style="1355" customWidth="1"/>
    <col min="2566" max="2566" width="10.25" style="1355" customWidth="1"/>
    <col min="2567" max="2567" width="11.125" style="1355" customWidth="1"/>
    <col min="2568" max="2816" width="9" style="1355"/>
    <col min="2817" max="2817" width="12.25" style="1355" customWidth="1"/>
    <col min="2818" max="2818" width="11.625" style="1355" customWidth="1"/>
    <col min="2819" max="2819" width="9.125" style="1355" customWidth="1"/>
    <col min="2820" max="2820" width="10.25" style="1355" customWidth="1"/>
    <col min="2821" max="2821" width="6.875" style="1355" customWidth="1"/>
    <col min="2822" max="2822" width="10.25" style="1355" customWidth="1"/>
    <col min="2823" max="2823" width="11.125" style="1355" customWidth="1"/>
    <col min="2824" max="3072" width="9" style="1355"/>
    <col min="3073" max="3073" width="12.25" style="1355" customWidth="1"/>
    <col min="3074" max="3074" width="11.625" style="1355" customWidth="1"/>
    <col min="3075" max="3075" width="9.125" style="1355" customWidth="1"/>
    <col min="3076" max="3076" width="10.25" style="1355" customWidth="1"/>
    <col min="3077" max="3077" width="6.875" style="1355" customWidth="1"/>
    <col min="3078" max="3078" width="10.25" style="1355" customWidth="1"/>
    <col min="3079" max="3079" width="11.125" style="1355" customWidth="1"/>
    <col min="3080" max="3328" width="9" style="1355"/>
    <col min="3329" max="3329" width="12.25" style="1355" customWidth="1"/>
    <col min="3330" max="3330" width="11.625" style="1355" customWidth="1"/>
    <col min="3331" max="3331" width="9.125" style="1355" customWidth="1"/>
    <col min="3332" max="3332" width="10.25" style="1355" customWidth="1"/>
    <col min="3333" max="3333" width="6.875" style="1355" customWidth="1"/>
    <col min="3334" max="3334" width="10.25" style="1355" customWidth="1"/>
    <col min="3335" max="3335" width="11.125" style="1355" customWidth="1"/>
    <col min="3336" max="3584" width="9" style="1355"/>
    <col min="3585" max="3585" width="12.25" style="1355" customWidth="1"/>
    <col min="3586" max="3586" width="11.625" style="1355" customWidth="1"/>
    <col min="3587" max="3587" width="9.125" style="1355" customWidth="1"/>
    <col min="3588" max="3588" width="10.25" style="1355" customWidth="1"/>
    <col min="3589" max="3589" width="6.875" style="1355" customWidth="1"/>
    <col min="3590" max="3590" width="10.25" style="1355" customWidth="1"/>
    <col min="3591" max="3591" width="11.125" style="1355" customWidth="1"/>
    <col min="3592" max="3840" width="9" style="1355"/>
    <col min="3841" max="3841" width="12.25" style="1355" customWidth="1"/>
    <col min="3842" max="3842" width="11.625" style="1355" customWidth="1"/>
    <col min="3843" max="3843" width="9.125" style="1355" customWidth="1"/>
    <col min="3844" max="3844" width="10.25" style="1355" customWidth="1"/>
    <col min="3845" max="3845" width="6.875" style="1355" customWidth="1"/>
    <col min="3846" max="3846" width="10.25" style="1355" customWidth="1"/>
    <col min="3847" max="3847" width="11.125" style="1355" customWidth="1"/>
    <col min="3848" max="4096" width="9" style="1355"/>
    <col min="4097" max="4097" width="12.25" style="1355" customWidth="1"/>
    <col min="4098" max="4098" width="11.625" style="1355" customWidth="1"/>
    <col min="4099" max="4099" width="9.125" style="1355" customWidth="1"/>
    <col min="4100" max="4100" width="10.25" style="1355" customWidth="1"/>
    <col min="4101" max="4101" width="6.875" style="1355" customWidth="1"/>
    <col min="4102" max="4102" width="10.25" style="1355" customWidth="1"/>
    <col min="4103" max="4103" width="11.125" style="1355" customWidth="1"/>
    <col min="4104" max="4352" width="9" style="1355"/>
    <col min="4353" max="4353" width="12.25" style="1355" customWidth="1"/>
    <col min="4354" max="4354" width="11.625" style="1355" customWidth="1"/>
    <col min="4355" max="4355" width="9.125" style="1355" customWidth="1"/>
    <col min="4356" max="4356" width="10.25" style="1355" customWidth="1"/>
    <col min="4357" max="4357" width="6.875" style="1355" customWidth="1"/>
    <col min="4358" max="4358" width="10.25" style="1355" customWidth="1"/>
    <col min="4359" max="4359" width="11.125" style="1355" customWidth="1"/>
    <col min="4360" max="4608" width="9" style="1355"/>
    <col min="4609" max="4609" width="12.25" style="1355" customWidth="1"/>
    <col min="4610" max="4610" width="11.625" style="1355" customWidth="1"/>
    <col min="4611" max="4611" width="9.125" style="1355" customWidth="1"/>
    <col min="4612" max="4612" width="10.25" style="1355" customWidth="1"/>
    <col min="4613" max="4613" width="6.875" style="1355" customWidth="1"/>
    <col min="4614" max="4614" width="10.25" style="1355" customWidth="1"/>
    <col min="4615" max="4615" width="11.125" style="1355" customWidth="1"/>
    <col min="4616" max="4864" width="9" style="1355"/>
    <col min="4865" max="4865" width="12.25" style="1355" customWidth="1"/>
    <col min="4866" max="4866" width="11.625" style="1355" customWidth="1"/>
    <col min="4867" max="4867" width="9.125" style="1355" customWidth="1"/>
    <col min="4868" max="4868" width="10.25" style="1355" customWidth="1"/>
    <col min="4869" max="4869" width="6.875" style="1355" customWidth="1"/>
    <col min="4870" max="4870" width="10.25" style="1355" customWidth="1"/>
    <col min="4871" max="4871" width="11.125" style="1355" customWidth="1"/>
    <col min="4872" max="5120" width="9" style="1355"/>
    <col min="5121" max="5121" width="12.25" style="1355" customWidth="1"/>
    <col min="5122" max="5122" width="11.625" style="1355" customWidth="1"/>
    <col min="5123" max="5123" width="9.125" style="1355" customWidth="1"/>
    <col min="5124" max="5124" width="10.25" style="1355" customWidth="1"/>
    <col min="5125" max="5125" width="6.875" style="1355" customWidth="1"/>
    <col min="5126" max="5126" width="10.25" style="1355" customWidth="1"/>
    <col min="5127" max="5127" width="11.125" style="1355" customWidth="1"/>
    <col min="5128" max="5376" width="9" style="1355"/>
    <col min="5377" max="5377" width="12.25" style="1355" customWidth="1"/>
    <col min="5378" max="5378" width="11.625" style="1355" customWidth="1"/>
    <col min="5379" max="5379" width="9.125" style="1355" customWidth="1"/>
    <col min="5380" max="5380" width="10.25" style="1355" customWidth="1"/>
    <col min="5381" max="5381" width="6.875" style="1355" customWidth="1"/>
    <col min="5382" max="5382" width="10.25" style="1355" customWidth="1"/>
    <col min="5383" max="5383" width="11.125" style="1355" customWidth="1"/>
    <col min="5384" max="5632" width="9" style="1355"/>
    <col min="5633" max="5633" width="12.25" style="1355" customWidth="1"/>
    <col min="5634" max="5634" width="11.625" style="1355" customWidth="1"/>
    <col min="5635" max="5635" width="9.125" style="1355" customWidth="1"/>
    <col min="5636" max="5636" width="10.25" style="1355" customWidth="1"/>
    <col min="5637" max="5637" width="6.875" style="1355" customWidth="1"/>
    <col min="5638" max="5638" width="10.25" style="1355" customWidth="1"/>
    <col min="5639" max="5639" width="11.125" style="1355" customWidth="1"/>
    <col min="5640" max="5888" width="9" style="1355"/>
    <col min="5889" max="5889" width="12.25" style="1355" customWidth="1"/>
    <col min="5890" max="5890" width="11.625" style="1355" customWidth="1"/>
    <col min="5891" max="5891" width="9.125" style="1355" customWidth="1"/>
    <col min="5892" max="5892" width="10.25" style="1355" customWidth="1"/>
    <col min="5893" max="5893" width="6.875" style="1355" customWidth="1"/>
    <col min="5894" max="5894" width="10.25" style="1355" customWidth="1"/>
    <col min="5895" max="5895" width="11.125" style="1355" customWidth="1"/>
    <col min="5896" max="6144" width="9" style="1355"/>
    <col min="6145" max="6145" width="12.25" style="1355" customWidth="1"/>
    <col min="6146" max="6146" width="11.625" style="1355" customWidth="1"/>
    <col min="6147" max="6147" width="9.125" style="1355" customWidth="1"/>
    <col min="6148" max="6148" width="10.25" style="1355" customWidth="1"/>
    <col min="6149" max="6149" width="6.875" style="1355" customWidth="1"/>
    <col min="6150" max="6150" width="10.25" style="1355" customWidth="1"/>
    <col min="6151" max="6151" width="11.125" style="1355" customWidth="1"/>
    <col min="6152" max="6400" width="9" style="1355"/>
    <col min="6401" max="6401" width="12.25" style="1355" customWidth="1"/>
    <col min="6402" max="6402" width="11.625" style="1355" customWidth="1"/>
    <col min="6403" max="6403" width="9.125" style="1355" customWidth="1"/>
    <col min="6404" max="6404" width="10.25" style="1355" customWidth="1"/>
    <col min="6405" max="6405" width="6.875" style="1355" customWidth="1"/>
    <col min="6406" max="6406" width="10.25" style="1355" customWidth="1"/>
    <col min="6407" max="6407" width="11.125" style="1355" customWidth="1"/>
    <col min="6408" max="6656" width="9" style="1355"/>
    <col min="6657" max="6657" width="12.25" style="1355" customWidth="1"/>
    <col min="6658" max="6658" width="11.625" style="1355" customWidth="1"/>
    <col min="6659" max="6659" width="9.125" style="1355" customWidth="1"/>
    <col min="6660" max="6660" width="10.25" style="1355" customWidth="1"/>
    <col min="6661" max="6661" width="6.875" style="1355" customWidth="1"/>
    <col min="6662" max="6662" width="10.25" style="1355" customWidth="1"/>
    <col min="6663" max="6663" width="11.125" style="1355" customWidth="1"/>
    <col min="6664" max="6912" width="9" style="1355"/>
    <col min="6913" max="6913" width="12.25" style="1355" customWidth="1"/>
    <col min="6914" max="6914" width="11.625" style="1355" customWidth="1"/>
    <col min="6915" max="6915" width="9.125" style="1355" customWidth="1"/>
    <col min="6916" max="6916" width="10.25" style="1355" customWidth="1"/>
    <col min="6917" max="6917" width="6.875" style="1355" customWidth="1"/>
    <col min="6918" max="6918" width="10.25" style="1355" customWidth="1"/>
    <col min="6919" max="6919" width="11.125" style="1355" customWidth="1"/>
    <col min="6920" max="7168" width="9" style="1355"/>
    <col min="7169" max="7169" width="12.25" style="1355" customWidth="1"/>
    <col min="7170" max="7170" width="11.625" style="1355" customWidth="1"/>
    <col min="7171" max="7171" width="9.125" style="1355" customWidth="1"/>
    <col min="7172" max="7172" width="10.25" style="1355" customWidth="1"/>
    <col min="7173" max="7173" width="6.875" style="1355" customWidth="1"/>
    <col min="7174" max="7174" width="10.25" style="1355" customWidth="1"/>
    <col min="7175" max="7175" width="11.125" style="1355" customWidth="1"/>
    <col min="7176" max="7424" width="9" style="1355"/>
    <col min="7425" max="7425" width="12.25" style="1355" customWidth="1"/>
    <col min="7426" max="7426" width="11.625" style="1355" customWidth="1"/>
    <col min="7427" max="7427" width="9.125" style="1355" customWidth="1"/>
    <col min="7428" max="7428" width="10.25" style="1355" customWidth="1"/>
    <col min="7429" max="7429" width="6.875" style="1355" customWidth="1"/>
    <col min="7430" max="7430" width="10.25" style="1355" customWidth="1"/>
    <col min="7431" max="7431" width="11.125" style="1355" customWidth="1"/>
    <col min="7432" max="7680" width="9" style="1355"/>
    <col min="7681" max="7681" width="12.25" style="1355" customWidth="1"/>
    <col min="7682" max="7682" width="11.625" style="1355" customWidth="1"/>
    <col min="7683" max="7683" width="9.125" style="1355" customWidth="1"/>
    <col min="7684" max="7684" width="10.25" style="1355" customWidth="1"/>
    <col min="7685" max="7685" width="6.875" style="1355" customWidth="1"/>
    <col min="7686" max="7686" width="10.25" style="1355" customWidth="1"/>
    <col min="7687" max="7687" width="11.125" style="1355" customWidth="1"/>
    <col min="7688" max="7936" width="9" style="1355"/>
    <col min="7937" max="7937" width="12.25" style="1355" customWidth="1"/>
    <col min="7938" max="7938" width="11.625" style="1355" customWidth="1"/>
    <col min="7939" max="7939" width="9.125" style="1355" customWidth="1"/>
    <col min="7940" max="7940" width="10.25" style="1355" customWidth="1"/>
    <col min="7941" max="7941" width="6.875" style="1355" customWidth="1"/>
    <col min="7942" max="7942" width="10.25" style="1355" customWidth="1"/>
    <col min="7943" max="7943" width="11.125" style="1355" customWidth="1"/>
    <col min="7944" max="8192" width="9" style="1355"/>
    <col min="8193" max="8193" width="12.25" style="1355" customWidth="1"/>
    <col min="8194" max="8194" width="11.625" style="1355" customWidth="1"/>
    <col min="8195" max="8195" width="9.125" style="1355" customWidth="1"/>
    <col min="8196" max="8196" width="10.25" style="1355" customWidth="1"/>
    <col min="8197" max="8197" width="6.875" style="1355" customWidth="1"/>
    <col min="8198" max="8198" width="10.25" style="1355" customWidth="1"/>
    <col min="8199" max="8199" width="11.125" style="1355" customWidth="1"/>
    <col min="8200" max="8448" width="9" style="1355"/>
    <col min="8449" max="8449" width="12.25" style="1355" customWidth="1"/>
    <col min="8450" max="8450" width="11.625" style="1355" customWidth="1"/>
    <col min="8451" max="8451" width="9.125" style="1355" customWidth="1"/>
    <col min="8452" max="8452" width="10.25" style="1355" customWidth="1"/>
    <col min="8453" max="8453" width="6.875" style="1355" customWidth="1"/>
    <col min="8454" max="8454" width="10.25" style="1355" customWidth="1"/>
    <col min="8455" max="8455" width="11.125" style="1355" customWidth="1"/>
    <col min="8456" max="8704" width="9" style="1355"/>
    <col min="8705" max="8705" width="12.25" style="1355" customWidth="1"/>
    <col min="8706" max="8706" width="11.625" style="1355" customWidth="1"/>
    <col min="8707" max="8707" width="9.125" style="1355" customWidth="1"/>
    <col min="8708" max="8708" width="10.25" style="1355" customWidth="1"/>
    <col min="8709" max="8709" width="6.875" style="1355" customWidth="1"/>
    <col min="8710" max="8710" width="10.25" style="1355" customWidth="1"/>
    <col min="8711" max="8711" width="11.125" style="1355" customWidth="1"/>
    <col min="8712" max="8960" width="9" style="1355"/>
    <col min="8961" max="8961" width="12.25" style="1355" customWidth="1"/>
    <col min="8962" max="8962" width="11.625" style="1355" customWidth="1"/>
    <col min="8963" max="8963" width="9.125" style="1355" customWidth="1"/>
    <col min="8964" max="8964" width="10.25" style="1355" customWidth="1"/>
    <col min="8965" max="8965" width="6.875" style="1355" customWidth="1"/>
    <col min="8966" max="8966" width="10.25" style="1355" customWidth="1"/>
    <col min="8967" max="8967" width="11.125" style="1355" customWidth="1"/>
    <col min="8968" max="9216" width="9" style="1355"/>
    <col min="9217" max="9217" width="12.25" style="1355" customWidth="1"/>
    <col min="9218" max="9218" width="11.625" style="1355" customWidth="1"/>
    <col min="9219" max="9219" width="9.125" style="1355" customWidth="1"/>
    <col min="9220" max="9220" width="10.25" style="1355" customWidth="1"/>
    <col min="9221" max="9221" width="6.875" style="1355" customWidth="1"/>
    <col min="9222" max="9222" width="10.25" style="1355" customWidth="1"/>
    <col min="9223" max="9223" width="11.125" style="1355" customWidth="1"/>
    <col min="9224" max="9472" width="9" style="1355"/>
    <col min="9473" max="9473" width="12.25" style="1355" customWidth="1"/>
    <col min="9474" max="9474" width="11.625" style="1355" customWidth="1"/>
    <col min="9475" max="9475" width="9.125" style="1355" customWidth="1"/>
    <col min="9476" max="9476" width="10.25" style="1355" customWidth="1"/>
    <col min="9477" max="9477" width="6.875" style="1355" customWidth="1"/>
    <col min="9478" max="9478" width="10.25" style="1355" customWidth="1"/>
    <col min="9479" max="9479" width="11.125" style="1355" customWidth="1"/>
    <col min="9480" max="9728" width="9" style="1355"/>
    <col min="9729" max="9729" width="12.25" style="1355" customWidth="1"/>
    <col min="9730" max="9730" width="11.625" style="1355" customWidth="1"/>
    <col min="9731" max="9731" width="9.125" style="1355" customWidth="1"/>
    <col min="9732" max="9732" width="10.25" style="1355" customWidth="1"/>
    <col min="9733" max="9733" width="6.875" style="1355" customWidth="1"/>
    <col min="9734" max="9734" width="10.25" style="1355" customWidth="1"/>
    <col min="9735" max="9735" width="11.125" style="1355" customWidth="1"/>
    <col min="9736" max="9984" width="9" style="1355"/>
    <col min="9985" max="9985" width="12.25" style="1355" customWidth="1"/>
    <col min="9986" max="9986" width="11.625" style="1355" customWidth="1"/>
    <col min="9987" max="9987" width="9.125" style="1355" customWidth="1"/>
    <col min="9988" max="9988" width="10.25" style="1355" customWidth="1"/>
    <col min="9989" max="9989" width="6.875" style="1355" customWidth="1"/>
    <col min="9990" max="9990" width="10.25" style="1355" customWidth="1"/>
    <col min="9991" max="9991" width="11.125" style="1355" customWidth="1"/>
    <col min="9992" max="10240" width="9" style="1355"/>
    <col min="10241" max="10241" width="12.25" style="1355" customWidth="1"/>
    <col min="10242" max="10242" width="11.625" style="1355" customWidth="1"/>
    <col min="10243" max="10243" width="9.125" style="1355" customWidth="1"/>
    <col min="10244" max="10244" width="10.25" style="1355" customWidth="1"/>
    <col min="10245" max="10245" width="6.875" style="1355" customWidth="1"/>
    <col min="10246" max="10246" width="10.25" style="1355" customWidth="1"/>
    <col min="10247" max="10247" width="11.125" style="1355" customWidth="1"/>
    <col min="10248" max="10496" width="9" style="1355"/>
    <col min="10497" max="10497" width="12.25" style="1355" customWidth="1"/>
    <col min="10498" max="10498" width="11.625" style="1355" customWidth="1"/>
    <col min="10499" max="10499" width="9.125" style="1355" customWidth="1"/>
    <col min="10500" max="10500" width="10.25" style="1355" customWidth="1"/>
    <col min="10501" max="10501" width="6.875" style="1355" customWidth="1"/>
    <col min="10502" max="10502" width="10.25" style="1355" customWidth="1"/>
    <col min="10503" max="10503" width="11.125" style="1355" customWidth="1"/>
    <col min="10504" max="10752" width="9" style="1355"/>
    <col min="10753" max="10753" width="12.25" style="1355" customWidth="1"/>
    <col min="10754" max="10754" width="11.625" style="1355" customWidth="1"/>
    <col min="10755" max="10755" width="9.125" style="1355" customWidth="1"/>
    <col min="10756" max="10756" width="10.25" style="1355" customWidth="1"/>
    <col min="10757" max="10757" width="6.875" style="1355" customWidth="1"/>
    <col min="10758" max="10758" width="10.25" style="1355" customWidth="1"/>
    <col min="10759" max="10759" width="11.125" style="1355" customWidth="1"/>
    <col min="10760" max="11008" width="9" style="1355"/>
    <col min="11009" max="11009" width="12.25" style="1355" customWidth="1"/>
    <col min="11010" max="11010" width="11.625" style="1355" customWidth="1"/>
    <col min="11011" max="11011" width="9.125" style="1355" customWidth="1"/>
    <col min="11012" max="11012" width="10.25" style="1355" customWidth="1"/>
    <col min="11013" max="11013" width="6.875" style="1355" customWidth="1"/>
    <col min="11014" max="11014" width="10.25" style="1355" customWidth="1"/>
    <col min="11015" max="11015" width="11.125" style="1355" customWidth="1"/>
    <col min="11016" max="11264" width="9" style="1355"/>
    <col min="11265" max="11265" width="12.25" style="1355" customWidth="1"/>
    <col min="11266" max="11266" width="11.625" style="1355" customWidth="1"/>
    <col min="11267" max="11267" width="9.125" style="1355" customWidth="1"/>
    <col min="11268" max="11268" width="10.25" style="1355" customWidth="1"/>
    <col min="11269" max="11269" width="6.875" style="1355" customWidth="1"/>
    <col min="11270" max="11270" width="10.25" style="1355" customWidth="1"/>
    <col min="11271" max="11271" width="11.125" style="1355" customWidth="1"/>
    <col min="11272" max="11520" width="9" style="1355"/>
    <col min="11521" max="11521" width="12.25" style="1355" customWidth="1"/>
    <col min="11522" max="11522" width="11.625" style="1355" customWidth="1"/>
    <col min="11523" max="11523" width="9.125" style="1355" customWidth="1"/>
    <col min="11524" max="11524" width="10.25" style="1355" customWidth="1"/>
    <col min="11525" max="11525" width="6.875" style="1355" customWidth="1"/>
    <col min="11526" max="11526" width="10.25" style="1355" customWidth="1"/>
    <col min="11527" max="11527" width="11.125" style="1355" customWidth="1"/>
    <col min="11528" max="11776" width="9" style="1355"/>
    <col min="11777" max="11777" width="12.25" style="1355" customWidth="1"/>
    <col min="11778" max="11778" width="11.625" style="1355" customWidth="1"/>
    <col min="11779" max="11779" width="9.125" style="1355" customWidth="1"/>
    <col min="11780" max="11780" width="10.25" style="1355" customWidth="1"/>
    <col min="11781" max="11781" width="6.875" style="1355" customWidth="1"/>
    <col min="11782" max="11782" width="10.25" style="1355" customWidth="1"/>
    <col min="11783" max="11783" width="11.125" style="1355" customWidth="1"/>
    <col min="11784" max="12032" width="9" style="1355"/>
    <col min="12033" max="12033" width="12.25" style="1355" customWidth="1"/>
    <col min="12034" max="12034" width="11.625" style="1355" customWidth="1"/>
    <col min="12035" max="12035" width="9.125" style="1355" customWidth="1"/>
    <col min="12036" max="12036" width="10.25" style="1355" customWidth="1"/>
    <col min="12037" max="12037" width="6.875" style="1355" customWidth="1"/>
    <col min="12038" max="12038" width="10.25" style="1355" customWidth="1"/>
    <col min="12039" max="12039" width="11.125" style="1355" customWidth="1"/>
    <col min="12040" max="12288" width="9" style="1355"/>
    <col min="12289" max="12289" width="12.25" style="1355" customWidth="1"/>
    <col min="12290" max="12290" width="11.625" style="1355" customWidth="1"/>
    <col min="12291" max="12291" width="9.125" style="1355" customWidth="1"/>
    <col min="12292" max="12292" width="10.25" style="1355" customWidth="1"/>
    <col min="12293" max="12293" width="6.875" style="1355" customWidth="1"/>
    <col min="12294" max="12294" width="10.25" style="1355" customWidth="1"/>
    <col min="12295" max="12295" width="11.125" style="1355" customWidth="1"/>
    <col min="12296" max="12544" width="9" style="1355"/>
    <col min="12545" max="12545" width="12.25" style="1355" customWidth="1"/>
    <col min="12546" max="12546" width="11.625" style="1355" customWidth="1"/>
    <col min="12547" max="12547" width="9.125" style="1355" customWidth="1"/>
    <col min="12548" max="12548" width="10.25" style="1355" customWidth="1"/>
    <col min="12549" max="12549" width="6.875" style="1355" customWidth="1"/>
    <col min="12550" max="12550" width="10.25" style="1355" customWidth="1"/>
    <col min="12551" max="12551" width="11.125" style="1355" customWidth="1"/>
    <col min="12552" max="12800" width="9" style="1355"/>
    <col min="12801" max="12801" width="12.25" style="1355" customWidth="1"/>
    <col min="12802" max="12802" width="11.625" style="1355" customWidth="1"/>
    <col min="12803" max="12803" width="9.125" style="1355" customWidth="1"/>
    <col min="12804" max="12804" width="10.25" style="1355" customWidth="1"/>
    <col min="12805" max="12805" width="6.875" style="1355" customWidth="1"/>
    <col min="12806" max="12806" width="10.25" style="1355" customWidth="1"/>
    <col min="12807" max="12807" width="11.125" style="1355" customWidth="1"/>
    <col min="12808" max="13056" width="9" style="1355"/>
    <col min="13057" max="13057" width="12.25" style="1355" customWidth="1"/>
    <col min="13058" max="13058" width="11.625" style="1355" customWidth="1"/>
    <col min="13059" max="13059" width="9.125" style="1355" customWidth="1"/>
    <col min="13060" max="13060" width="10.25" style="1355" customWidth="1"/>
    <col min="13061" max="13061" width="6.875" style="1355" customWidth="1"/>
    <col min="13062" max="13062" width="10.25" style="1355" customWidth="1"/>
    <col min="13063" max="13063" width="11.125" style="1355" customWidth="1"/>
    <col min="13064" max="13312" width="9" style="1355"/>
    <col min="13313" max="13313" width="12.25" style="1355" customWidth="1"/>
    <col min="13314" max="13314" width="11.625" style="1355" customWidth="1"/>
    <col min="13315" max="13315" width="9.125" style="1355" customWidth="1"/>
    <col min="13316" max="13316" width="10.25" style="1355" customWidth="1"/>
    <col min="13317" max="13317" width="6.875" style="1355" customWidth="1"/>
    <col min="13318" max="13318" width="10.25" style="1355" customWidth="1"/>
    <col min="13319" max="13319" width="11.125" style="1355" customWidth="1"/>
    <col min="13320" max="13568" width="9" style="1355"/>
    <col min="13569" max="13569" width="12.25" style="1355" customWidth="1"/>
    <col min="13570" max="13570" width="11.625" style="1355" customWidth="1"/>
    <col min="13571" max="13571" width="9.125" style="1355" customWidth="1"/>
    <col min="13572" max="13572" width="10.25" style="1355" customWidth="1"/>
    <col min="13573" max="13573" width="6.875" style="1355" customWidth="1"/>
    <col min="13574" max="13574" width="10.25" style="1355" customWidth="1"/>
    <col min="13575" max="13575" width="11.125" style="1355" customWidth="1"/>
    <col min="13576" max="13824" width="9" style="1355"/>
    <col min="13825" max="13825" width="12.25" style="1355" customWidth="1"/>
    <col min="13826" max="13826" width="11.625" style="1355" customWidth="1"/>
    <col min="13827" max="13827" width="9.125" style="1355" customWidth="1"/>
    <col min="13828" max="13828" width="10.25" style="1355" customWidth="1"/>
    <col min="13829" max="13829" width="6.875" style="1355" customWidth="1"/>
    <col min="13830" max="13830" width="10.25" style="1355" customWidth="1"/>
    <col min="13831" max="13831" width="11.125" style="1355" customWidth="1"/>
    <col min="13832" max="14080" width="9" style="1355"/>
    <col min="14081" max="14081" width="12.25" style="1355" customWidth="1"/>
    <col min="14082" max="14082" width="11.625" style="1355" customWidth="1"/>
    <col min="14083" max="14083" width="9.125" style="1355" customWidth="1"/>
    <col min="14084" max="14084" width="10.25" style="1355" customWidth="1"/>
    <col min="14085" max="14085" width="6.875" style="1355" customWidth="1"/>
    <col min="14086" max="14086" width="10.25" style="1355" customWidth="1"/>
    <col min="14087" max="14087" width="11.125" style="1355" customWidth="1"/>
    <col min="14088" max="14336" width="9" style="1355"/>
    <col min="14337" max="14337" width="12.25" style="1355" customWidth="1"/>
    <col min="14338" max="14338" width="11.625" style="1355" customWidth="1"/>
    <col min="14339" max="14339" width="9.125" style="1355" customWidth="1"/>
    <col min="14340" max="14340" width="10.25" style="1355" customWidth="1"/>
    <col min="14341" max="14341" width="6.875" style="1355" customWidth="1"/>
    <col min="14342" max="14342" width="10.25" style="1355" customWidth="1"/>
    <col min="14343" max="14343" width="11.125" style="1355" customWidth="1"/>
    <col min="14344" max="14592" width="9" style="1355"/>
    <col min="14593" max="14593" width="12.25" style="1355" customWidth="1"/>
    <col min="14594" max="14594" width="11.625" style="1355" customWidth="1"/>
    <col min="14595" max="14595" width="9.125" style="1355" customWidth="1"/>
    <col min="14596" max="14596" width="10.25" style="1355" customWidth="1"/>
    <col min="14597" max="14597" width="6.875" style="1355" customWidth="1"/>
    <col min="14598" max="14598" width="10.25" style="1355" customWidth="1"/>
    <col min="14599" max="14599" width="11.125" style="1355" customWidth="1"/>
    <col min="14600" max="14848" width="9" style="1355"/>
    <col min="14849" max="14849" width="12.25" style="1355" customWidth="1"/>
    <col min="14850" max="14850" width="11.625" style="1355" customWidth="1"/>
    <col min="14851" max="14851" width="9.125" style="1355" customWidth="1"/>
    <col min="14852" max="14852" width="10.25" style="1355" customWidth="1"/>
    <col min="14853" max="14853" width="6.875" style="1355" customWidth="1"/>
    <col min="14854" max="14854" width="10.25" style="1355" customWidth="1"/>
    <col min="14855" max="14855" width="11.125" style="1355" customWidth="1"/>
    <col min="14856" max="15104" width="9" style="1355"/>
    <col min="15105" max="15105" width="12.25" style="1355" customWidth="1"/>
    <col min="15106" max="15106" width="11.625" style="1355" customWidth="1"/>
    <col min="15107" max="15107" width="9.125" style="1355" customWidth="1"/>
    <col min="15108" max="15108" width="10.25" style="1355" customWidth="1"/>
    <col min="15109" max="15109" width="6.875" style="1355" customWidth="1"/>
    <col min="15110" max="15110" width="10.25" style="1355" customWidth="1"/>
    <col min="15111" max="15111" width="11.125" style="1355" customWidth="1"/>
    <col min="15112" max="15360" width="9" style="1355"/>
    <col min="15361" max="15361" width="12.25" style="1355" customWidth="1"/>
    <col min="15362" max="15362" width="11.625" style="1355" customWidth="1"/>
    <col min="15363" max="15363" width="9.125" style="1355" customWidth="1"/>
    <col min="15364" max="15364" width="10.25" style="1355" customWidth="1"/>
    <col min="15365" max="15365" width="6.875" style="1355" customWidth="1"/>
    <col min="15366" max="15366" width="10.25" style="1355" customWidth="1"/>
    <col min="15367" max="15367" width="11.125" style="1355" customWidth="1"/>
    <col min="15368" max="15616" width="9" style="1355"/>
    <col min="15617" max="15617" width="12.25" style="1355" customWidth="1"/>
    <col min="15618" max="15618" width="11.625" style="1355" customWidth="1"/>
    <col min="15619" max="15619" width="9.125" style="1355" customWidth="1"/>
    <col min="15620" max="15620" width="10.25" style="1355" customWidth="1"/>
    <col min="15621" max="15621" width="6.875" style="1355" customWidth="1"/>
    <col min="15622" max="15622" width="10.25" style="1355" customWidth="1"/>
    <col min="15623" max="15623" width="11.125" style="1355" customWidth="1"/>
    <col min="15624" max="15872" width="9" style="1355"/>
    <col min="15873" max="15873" width="12.25" style="1355" customWidth="1"/>
    <col min="15874" max="15874" width="11.625" style="1355" customWidth="1"/>
    <col min="15875" max="15875" width="9.125" style="1355" customWidth="1"/>
    <col min="15876" max="15876" width="10.25" style="1355" customWidth="1"/>
    <col min="15877" max="15877" width="6.875" style="1355" customWidth="1"/>
    <col min="15878" max="15878" width="10.25" style="1355" customWidth="1"/>
    <col min="15879" max="15879" width="11.125" style="1355" customWidth="1"/>
    <col min="15880" max="16128" width="9" style="1355"/>
    <col min="16129" max="16129" width="12.25" style="1355" customWidth="1"/>
    <col min="16130" max="16130" width="11.625" style="1355" customWidth="1"/>
    <col min="16131" max="16131" width="9.125" style="1355" customWidth="1"/>
    <col min="16132" max="16132" width="10.25" style="1355" customWidth="1"/>
    <col min="16133" max="16133" width="6.875" style="1355" customWidth="1"/>
    <col min="16134" max="16134" width="10.25" style="1355" customWidth="1"/>
    <col min="16135" max="16135" width="11.125" style="1355" customWidth="1"/>
    <col min="16136" max="16384" width="9" style="1355"/>
  </cols>
  <sheetData>
    <row r="1" spans="1:9" ht="18" customHeight="1">
      <c r="A1" s="4685" t="s">
        <v>2034</v>
      </c>
      <c r="B1" s="4685"/>
      <c r="C1" s="4685"/>
      <c r="D1" s="4685"/>
      <c r="E1" s="4685"/>
      <c r="F1" s="4685"/>
      <c r="G1" s="4685"/>
      <c r="H1" s="4685"/>
      <c r="I1" s="4685"/>
    </row>
    <row r="2" spans="1:9" ht="18" customHeight="1">
      <c r="A2" s="3538" t="s">
        <v>2035</v>
      </c>
      <c r="I2" s="3538"/>
    </row>
    <row r="3" spans="1:9" ht="18" customHeight="1">
      <c r="A3" s="4691" t="s">
        <v>2036</v>
      </c>
      <c r="B3" s="4697"/>
      <c r="C3" s="4685"/>
      <c r="D3" s="3612">
        <f>[6]功率及张力计算!B247</f>
        <v>32923.403206895302</v>
      </c>
      <c r="E3" s="3538" t="s">
        <v>464</v>
      </c>
    </row>
    <row r="4" spans="1:9" ht="18" customHeight="1">
      <c r="A4" s="4691" t="s">
        <v>2037</v>
      </c>
      <c r="B4" s="4697"/>
      <c r="C4" s="4685"/>
      <c r="D4" s="3612">
        <f>[6]功率及张力计算!B250</f>
        <v>77486.461948549593</v>
      </c>
      <c r="E4" s="3538" t="s">
        <v>464</v>
      </c>
    </row>
    <row r="5" spans="1:9" ht="18" customHeight="1">
      <c r="A5" s="4691" t="s">
        <v>2038</v>
      </c>
      <c r="B5" s="4697"/>
      <c r="C5" s="4685"/>
      <c r="D5" s="3612">
        <f>[6]功率及张力计算!B257</f>
        <v>122049.52069020399</v>
      </c>
      <c r="E5" s="3538" t="s">
        <v>464</v>
      </c>
      <c r="F5" s="3613"/>
    </row>
    <row r="6" spans="1:9" ht="18" customHeight="1">
      <c r="A6" s="4691" t="s">
        <v>2039</v>
      </c>
      <c r="B6" s="4697"/>
      <c r="C6" s="4685"/>
      <c r="D6" s="3612">
        <f>[6]功率及张力计算!B254</f>
        <v>77486.461948549593</v>
      </c>
      <c r="E6" s="3538" t="s">
        <v>464</v>
      </c>
    </row>
    <row r="7" spans="1:9" ht="18" customHeight="1">
      <c r="A7" s="4691" t="s">
        <v>2040</v>
      </c>
      <c r="B7" s="4687"/>
      <c r="C7" s="4687"/>
      <c r="D7" s="3612">
        <f>[6]功率及张力计算!B270</f>
        <v>24287.8868617349</v>
      </c>
      <c r="E7" s="3538" t="s">
        <v>464</v>
      </c>
    </row>
    <row r="8" spans="1:9" ht="18" customHeight="1">
      <c r="A8" s="4691" t="s">
        <v>2041</v>
      </c>
      <c r="B8" s="4687"/>
      <c r="C8" s="4687"/>
      <c r="D8" s="3612">
        <f>[6]功率及张力计算!B265</f>
        <v>25259.402336204301</v>
      </c>
      <c r="E8" s="3538" t="s">
        <v>464</v>
      </c>
    </row>
    <row r="9" spans="1:9" ht="18" customHeight="1">
      <c r="A9" s="3538" t="s">
        <v>2042</v>
      </c>
    </row>
    <row r="10" spans="1:9" ht="18" customHeight="1">
      <c r="A10" s="3550" t="s">
        <v>2043</v>
      </c>
      <c r="B10" s="4684" t="s">
        <v>2044</v>
      </c>
      <c r="C10" s="4684"/>
      <c r="D10" s="4696"/>
      <c r="E10" s="3587"/>
      <c r="F10" s="3614"/>
      <c r="G10" s="3587"/>
      <c r="H10" s="3587"/>
    </row>
    <row r="11" spans="1:9" ht="18" customHeight="1">
      <c r="D11" s="3550" t="s">
        <v>2045</v>
      </c>
      <c r="E11" s="3585"/>
      <c r="F11" s="3585"/>
      <c r="G11" s="3585"/>
      <c r="H11" s="3585"/>
    </row>
    <row r="12" spans="1:9" ht="18" customHeight="1">
      <c r="D12" s="3548" t="s">
        <v>2046</v>
      </c>
      <c r="E12" s="3612">
        <f>[6]功率及张力计算!C51</f>
        <v>0</v>
      </c>
      <c r="F12" s="3543" t="s">
        <v>2047</v>
      </c>
      <c r="G12" s="3553">
        <f>(E12/180)*3.1415926</f>
        <v>0</v>
      </c>
      <c r="H12" s="3543" t="s">
        <v>2048</v>
      </c>
    </row>
    <row r="13" spans="1:9" ht="18" customHeight="1">
      <c r="E13" s="3584" t="s">
        <v>2049</v>
      </c>
      <c r="F13" s="3612">
        <f>D6</f>
        <v>77486.461948549593</v>
      </c>
      <c r="G13" s="3538" t="s">
        <v>464</v>
      </c>
    </row>
    <row r="14" spans="1:9" ht="18" customHeight="1">
      <c r="D14" s="4685" t="s">
        <v>2050</v>
      </c>
      <c r="E14" s="4685"/>
      <c r="F14" s="3591">
        <v>31.2</v>
      </c>
      <c r="G14" s="3615" t="s">
        <v>408</v>
      </c>
    </row>
    <row r="15" spans="1:9" ht="18" customHeight="1">
      <c r="D15" s="4684" t="s">
        <v>2051</v>
      </c>
      <c r="E15" s="4690"/>
      <c r="F15" s="3616">
        <f>[6]功率及张力计算!D93</f>
        <v>2.3E-2</v>
      </c>
    </row>
    <row r="16" spans="1:9" ht="18" customHeight="1">
      <c r="D16" s="4684" t="s">
        <v>2052</v>
      </c>
      <c r="E16" s="4684"/>
      <c r="F16" s="3610">
        <f>[6]功率及张力计算!C71</f>
        <v>32.340000000000003</v>
      </c>
      <c r="G16" s="3538" t="s">
        <v>2053</v>
      </c>
    </row>
    <row r="17" spans="1:8" ht="18" customHeight="1">
      <c r="D17" s="4685" t="s">
        <v>2054</v>
      </c>
      <c r="E17" s="4685"/>
      <c r="F17" s="4685"/>
      <c r="G17" s="3610">
        <f>[6]功率及张力计算!D90</f>
        <v>7.76</v>
      </c>
      <c r="H17" s="3538" t="s">
        <v>2053</v>
      </c>
    </row>
    <row r="18" spans="1:8" ht="18" customHeight="1">
      <c r="A18" s="3550" t="s">
        <v>1968</v>
      </c>
      <c r="B18" s="3555">
        <f>F13+F14*F15*9.81*(F16+G17)-F14*F16*9.81*TAN(G12)</f>
        <v>77768.752154149595</v>
      </c>
      <c r="C18" s="3538" t="s">
        <v>464</v>
      </c>
    </row>
    <row r="19" spans="1:8" ht="18" customHeight="1">
      <c r="A19" s="3550" t="s">
        <v>2055</v>
      </c>
      <c r="B19" s="4684" t="s">
        <v>2056</v>
      </c>
      <c r="C19" s="4684"/>
      <c r="D19" s="4696"/>
      <c r="E19" s="3587"/>
      <c r="F19" s="3614"/>
      <c r="G19" s="3587"/>
      <c r="H19" s="3587"/>
    </row>
    <row r="20" spans="1:8" ht="18" customHeight="1">
      <c r="D20" s="3550" t="s">
        <v>2045</v>
      </c>
      <c r="E20" s="3585"/>
      <c r="F20" s="3585"/>
      <c r="G20" s="3585"/>
      <c r="H20" s="3585"/>
    </row>
    <row r="21" spans="1:8" ht="18" customHeight="1">
      <c r="D21" s="3548" t="s">
        <v>2057</v>
      </c>
      <c r="E21" s="3612">
        <f>[6]功率及张力计算!C50</f>
        <v>13</v>
      </c>
      <c r="F21" s="3543" t="s">
        <v>2047</v>
      </c>
      <c r="G21" s="3553">
        <f>(E21/180)*3.1415926</f>
        <v>0.226892798888889</v>
      </c>
      <c r="H21" s="3543" t="s">
        <v>2048</v>
      </c>
    </row>
    <row r="22" spans="1:8" ht="18" customHeight="1">
      <c r="E22" s="3584" t="s">
        <v>2058</v>
      </c>
      <c r="F22" s="3612">
        <f>[6]功率及张力计算!F285</f>
        <v>31000</v>
      </c>
      <c r="G22" s="3538" t="s">
        <v>464</v>
      </c>
    </row>
    <row r="23" spans="1:8" ht="18" customHeight="1">
      <c r="D23" s="4685" t="s">
        <v>2059</v>
      </c>
      <c r="E23" s="4685"/>
      <c r="F23" s="3591">
        <v>117</v>
      </c>
      <c r="G23" s="3615" t="s">
        <v>408</v>
      </c>
    </row>
    <row r="24" spans="1:8" ht="18" customHeight="1">
      <c r="D24" s="4684" t="s">
        <v>2051</v>
      </c>
      <c r="E24" s="4690"/>
      <c r="F24" s="3616">
        <f>F15</f>
        <v>2.3E-2</v>
      </c>
    </row>
    <row r="25" spans="1:8" ht="18" customHeight="1">
      <c r="D25" s="4684" t="s">
        <v>2052</v>
      </c>
      <c r="E25" s="4684"/>
      <c r="F25" s="3610">
        <f>F16</f>
        <v>32.340000000000003</v>
      </c>
      <c r="G25" s="3538" t="s">
        <v>2053</v>
      </c>
    </row>
    <row r="26" spans="1:8" ht="18" customHeight="1">
      <c r="D26" s="4685" t="s">
        <v>2054</v>
      </c>
      <c r="E26" s="4685"/>
      <c r="F26" s="4685"/>
      <c r="G26" s="3610">
        <f>G17</f>
        <v>7.76</v>
      </c>
      <c r="H26" s="3538" t="s">
        <v>2053</v>
      </c>
    </row>
    <row r="27" spans="1:8" ht="18" customHeight="1">
      <c r="A27" s="3550" t="s">
        <v>1968</v>
      </c>
      <c r="B27" s="3555">
        <f>F22+F23*F24*9.81*(F25+G26)-17.49*F25*9.81</f>
        <v>26509.791324999998</v>
      </c>
      <c r="C27" s="3538" t="s">
        <v>464</v>
      </c>
    </row>
    <row r="28" spans="1:8" ht="18" customHeight="1">
      <c r="A28" s="3550" t="s">
        <v>2060</v>
      </c>
      <c r="B28" s="4684" t="s">
        <v>2061</v>
      </c>
      <c r="C28" s="4684"/>
      <c r="D28" s="4696"/>
      <c r="E28" s="3587"/>
      <c r="F28" s="3614"/>
      <c r="G28" s="3587"/>
      <c r="H28" s="3587"/>
    </row>
    <row r="29" spans="1:8" ht="18" customHeight="1">
      <c r="D29" s="3550" t="s">
        <v>2045</v>
      </c>
      <c r="E29" s="3585"/>
      <c r="F29" s="3585"/>
      <c r="G29" s="3585"/>
      <c r="H29" s="3585"/>
    </row>
    <row r="30" spans="1:8" ht="18" customHeight="1">
      <c r="D30" s="3548" t="s">
        <v>2062</v>
      </c>
      <c r="E30" s="3612">
        <f>[6]功率及张力计算!C49</f>
        <v>0</v>
      </c>
      <c r="F30" s="3543" t="s">
        <v>2047</v>
      </c>
      <c r="G30" s="3553">
        <f>(E30/180)*3.1415926</f>
        <v>0</v>
      </c>
      <c r="H30" s="3543" t="s">
        <v>2048</v>
      </c>
    </row>
    <row r="31" spans="1:8" ht="18" customHeight="1">
      <c r="E31" s="3584" t="s">
        <v>2063</v>
      </c>
      <c r="F31" s="3612">
        <f>B27</f>
        <v>26509.791324999998</v>
      </c>
      <c r="G31" s="3538" t="s">
        <v>464</v>
      </c>
    </row>
    <row r="32" spans="1:8" ht="18" customHeight="1">
      <c r="D32" s="4685" t="s">
        <v>2064</v>
      </c>
      <c r="E32" s="4685"/>
      <c r="F32" s="3591">
        <v>40.700000000000003</v>
      </c>
      <c r="G32" s="3615" t="s">
        <v>408</v>
      </c>
    </row>
    <row r="33" spans="1:8" ht="18" customHeight="1">
      <c r="D33" s="4684" t="s">
        <v>2051</v>
      </c>
      <c r="E33" s="4690"/>
      <c r="F33" s="3616">
        <f>F24</f>
        <v>2.3E-2</v>
      </c>
    </row>
    <row r="34" spans="1:8" ht="18" customHeight="1">
      <c r="D34" s="4684" t="s">
        <v>2052</v>
      </c>
      <c r="E34" s="4684"/>
      <c r="F34" s="3610">
        <f>F25</f>
        <v>32.340000000000003</v>
      </c>
      <c r="G34" s="3538" t="s">
        <v>2053</v>
      </c>
    </row>
    <row r="35" spans="1:8" ht="18" customHeight="1">
      <c r="D35" s="4685" t="s">
        <v>2054</v>
      </c>
      <c r="E35" s="4685"/>
      <c r="F35" s="4685"/>
      <c r="G35" s="3610">
        <f>G26</f>
        <v>7.76</v>
      </c>
      <c r="H35" s="3538" t="s">
        <v>2053</v>
      </c>
    </row>
    <row r="36" spans="1:8" ht="18" customHeight="1">
      <c r="D36" s="3562" t="s">
        <v>2065</v>
      </c>
      <c r="E36" s="3610">
        <f>[6]功率及张力计算!B164</f>
        <v>274.68</v>
      </c>
      <c r="F36" s="3538" t="s">
        <v>464</v>
      </c>
      <c r="G36" s="3610"/>
    </row>
    <row r="37" spans="1:8" ht="18" customHeight="1">
      <c r="A37" s="3550" t="s">
        <v>1968</v>
      </c>
      <c r="B37" s="3555">
        <f>F31+F32*F33*9.81*(F34+G35)-F32*F34*9.81*TAN(G30)+E36</f>
        <v>27152.715279100001</v>
      </c>
      <c r="C37" s="3538" t="s">
        <v>464</v>
      </c>
    </row>
    <row r="38" spans="1:8" ht="18" customHeight="1">
      <c r="A38" s="3550" t="s">
        <v>2066</v>
      </c>
      <c r="B38" s="3604" t="s">
        <v>2067</v>
      </c>
      <c r="C38" s="3554">
        <f>D7</f>
        <v>24287.8868617349</v>
      </c>
      <c r="D38" s="3538" t="s">
        <v>464</v>
      </c>
    </row>
    <row r="39" spans="1:8" ht="18" customHeight="1">
      <c r="F39" s="3616"/>
    </row>
    <row r="40" spans="1:8" ht="18" customHeight="1">
      <c r="A40" s="3550" t="s">
        <v>2068</v>
      </c>
      <c r="B40" s="4685" t="s">
        <v>2069</v>
      </c>
      <c r="C40" s="4685"/>
      <c r="D40" s="4689"/>
      <c r="E40" s="4687"/>
      <c r="F40" s="4687"/>
      <c r="G40" s="3587"/>
      <c r="H40" s="3587"/>
    </row>
    <row r="41" spans="1:8" ht="18" customHeight="1">
      <c r="C41" s="3550" t="s">
        <v>2045</v>
      </c>
      <c r="E41" s="3585"/>
      <c r="F41" s="3585"/>
      <c r="G41" s="3585"/>
      <c r="H41" s="3585"/>
    </row>
    <row r="42" spans="1:8" ht="18" customHeight="1">
      <c r="D42" s="3548" t="s">
        <v>2062</v>
      </c>
      <c r="E42" s="3612">
        <f>[6]功率及张力计算!C49</f>
        <v>0</v>
      </c>
      <c r="F42" s="3543" t="s">
        <v>2047</v>
      </c>
      <c r="G42" s="3553">
        <f>(E42/180)*3.1415926</f>
        <v>0</v>
      </c>
      <c r="H42" s="3543" t="s">
        <v>2048</v>
      </c>
    </row>
    <row r="43" spans="1:8" ht="18" customHeight="1">
      <c r="E43" s="3584" t="s">
        <v>2070</v>
      </c>
      <c r="F43" s="3612">
        <f>D8</f>
        <v>25259.402336204301</v>
      </c>
      <c r="G43" s="3538" t="s">
        <v>464</v>
      </c>
    </row>
    <row r="44" spans="1:8" ht="18" customHeight="1">
      <c r="D44" s="4685" t="s">
        <v>2064</v>
      </c>
      <c r="E44" s="4685"/>
      <c r="F44" s="3610">
        <f>F32</f>
        <v>40.700000000000003</v>
      </c>
      <c r="G44" s="3615" t="s">
        <v>408</v>
      </c>
    </row>
    <row r="45" spans="1:8" ht="18" customHeight="1">
      <c r="D45" s="4684" t="s">
        <v>2051</v>
      </c>
      <c r="E45" s="4690"/>
      <c r="F45" s="3616">
        <f>F15</f>
        <v>2.3E-2</v>
      </c>
    </row>
    <row r="46" spans="1:8" ht="18" customHeight="1">
      <c r="D46" s="4684" t="s">
        <v>2052</v>
      </c>
      <c r="E46" s="4684"/>
      <c r="F46" s="3610">
        <f>F16</f>
        <v>32.340000000000003</v>
      </c>
      <c r="G46" s="3538" t="s">
        <v>2053</v>
      </c>
    </row>
    <row r="47" spans="1:8" ht="18" customHeight="1">
      <c r="D47" s="4685" t="s">
        <v>2071</v>
      </c>
      <c r="E47" s="4685"/>
      <c r="F47" s="4685"/>
      <c r="G47" s="3610">
        <f>[6]功率及张力计算!D85</f>
        <v>20.524999999999999</v>
      </c>
      <c r="H47" s="3538" t="s">
        <v>2053</v>
      </c>
    </row>
    <row r="48" spans="1:8" ht="18" customHeight="1">
      <c r="D48" s="4685" t="s">
        <v>2072</v>
      </c>
      <c r="E48" s="4685"/>
      <c r="F48" s="4685"/>
      <c r="G48" s="3610">
        <f>[6]功率及张力计算!C73</f>
        <v>142.23132502702401</v>
      </c>
      <c r="H48" s="3538" t="s">
        <v>2053</v>
      </c>
    </row>
    <row r="49" spans="1:8" ht="18" customHeight="1">
      <c r="D49" s="4694" t="s">
        <v>2073</v>
      </c>
      <c r="E49" s="4695"/>
      <c r="F49" s="3610">
        <f>[6]功率及张力计算!B167</f>
        <v>1847.8064877044001</v>
      </c>
      <c r="G49" s="3538" t="s">
        <v>464</v>
      </c>
    </row>
    <row r="50" spans="1:8" ht="18" customHeight="1">
      <c r="D50" s="4694" t="s">
        <v>2074</v>
      </c>
      <c r="E50" s="4695"/>
      <c r="F50" s="3610">
        <f>[6]功率及张力计算!B174</f>
        <v>413.44551192464598</v>
      </c>
      <c r="G50" s="3538" t="s">
        <v>464</v>
      </c>
    </row>
    <row r="51" spans="1:8" ht="18" customHeight="1">
      <c r="D51" s="4692" t="s">
        <v>2075</v>
      </c>
      <c r="E51" s="4693"/>
      <c r="F51" s="3610">
        <f>[6]功率及张力计算!B182</f>
        <v>1411.2903225806499</v>
      </c>
      <c r="G51" s="3538" t="s">
        <v>464</v>
      </c>
    </row>
    <row r="52" spans="1:8" ht="18" customHeight="1">
      <c r="A52" s="3550" t="s">
        <v>1968</v>
      </c>
      <c r="B52" s="3555">
        <f>F43+F44*F45*9.81*(G48+F46+G47)+F44*(F46+G48)*9.81*TAN(G42)+F49+F50+F51</f>
        <v>30723.541719719</v>
      </c>
      <c r="C52" s="3538" t="s">
        <v>464</v>
      </c>
    </row>
    <row r="53" spans="1:8" ht="18" customHeight="1">
      <c r="A53" s="4691" t="s">
        <v>2076</v>
      </c>
      <c r="B53" s="4687"/>
      <c r="C53" s="4687"/>
      <c r="D53" s="4687"/>
      <c r="E53" s="4687"/>
    </row>
    <row r="54" spans="1:8" ht="18" customHeight="1">
      <c r="A54" s="3617" t="s">
        <v>2077</v>
      </c>
      <c r="B54" s="4686" t="s">
        <v>2078</v>
      </c>
      <c r="C54" s="4687"/>
    </row>
    <row r="55" spans="1:8" ht="18" customHeight="1">
      <c r="A55" s="3550" t="s">
        <v>2079</v>
      </c>
      <c r="B55" s="3555">
        <f>1.35*B52/(F46*9.81)</f>
        <v>130.73625010518501</v>
      </c>
      <c r="C55" s="3615" t="s">
        <v>408</v>
      </c>
    </row>
    <row r="56" spans="1:8" ht="18" customHeight="1">
      <c r="A56" s="3604" t="s">
        <v>2080</v>
      </c>
      <c r="B56" s="4685" t="s">
        <v>2081</v>
      </c>
      <c r="C56" s="4685"/>
      <c r="D56" s="4689"/>
      <c r="E56" s="4687"/>
      <c r="F56" s="4687"/>
      <c r="G56" s="3587"/>
      <c r="H56" s="3587"/>
    </row>
    <row r="57" spans="1:8" ht="18" customHeight="1">
      <c r="D57" s="3550" t="s">
        <v>2045</v>
      </c>
      <c r="E57" s="3585"/>
      <c r="F57" s="3585"/>
      <c r="G57" s="3585"/>
      <c r="H57" s="3585"/>
    </row>
    <row r="58" spans="1:8" ht="18" customHeight="1">
      <c r="D58" s="3548" t="s">
        <v>2057</v>
      </c>
      <c r="E58" s="3612">
        <f>[6]功率及张力计算!C50</f>
        <v>13</v>
      </c>
      <c r="F58" s="3543" t="s">
        <v>2047</v>
      </c>
      <c r="G58" s="3553">
        <f>(E58/180)*3.1415926</f>
        <v>0.226892798888889</v>
      </c>
      <c r="H58" s="3543" t="s">
        <v>2048</v>
      </c>
    </row>
    <row r="59" spans="1:8" ht="18" customHeight="1">
      <c r="E59" s="3584" t="s">
        <v>2082</v>
      </c>
      <c r="F59" s="3612">
        <f>B52</f>
        <v>30723.541719719</v>
      </c>
      <c r="G59" s="3538" t="s">
        <v>464</v>
      </c>
    </row>
    <row r="60" spans="1:8" ht="18" customHeight="1">
      <c r="D60" s="4685" t="s">
        <v>2083</v>
      </c>
      <c r="E60" s="4685"/>
      <c r="F60" s="3610">
        <v>226.55</v>
      </c>
      <c r="G60" s="3615" t="s">
        <v>408</v>
      </c>
    </row>
    <row r="61" spans="1:8" ht="18" customHeight="1">
      <c r="D61" s="4684" t="s">
        <v>2051</v>
      </c>
      <c r="E61" s="4690"/>
      <c r="F61" s="3616">
        <f>F45</f>
        <v>2.3E-2</v>
      </c>
    </row>
    <row r="62" spans="1:8" ht="18" customHeight="1">
      <c r="D62" s="4684" t="s">
        <v>2052</v>
      </c>
      <c r="E62" s="4684"/>
      <c r="F62" s="3610">
        <f>F46</f>
        <v>32.340000000000003</v>
      </c>
      <c r="G62" s="3538" t="s">
        <v>2053</v>
      </c>
    </row>
    <row r="63" spans="1:8" ht="18" customHeight="1">
      <c r="D63" s="4685" t="s">
        <v>2071</v>
      </c>
      <c r="E63" s="4685"/>
      <c r="F63" s="4685"/>
      <c r="G63" s="3610">
        <f>G47</f>
        <v>20.524999999999999</v>
      </c>
      <c r="H63" s="3538" t="s">
        <v>2053</v>
      </c>
    </row>
    <row r="64" spans="1:8" ht="18" customHeight="1">
      <c r="D64" s="4685" t="s">
        <v>2072</v>
      </c>
      <c r="E64" s="4685"/>
      <c r="F64" s="4685"/>
      <c r="G64" s="3610">
        <f>G48</f>
        <v>142.23132502702401</v>
      </c>
      <c r="H64" s="3538" t="s">
        <v>2053</v>
      </c>
    </row>
    <row r="65" spans="1:8" ht="18" customHeight="1">
      <c r="A65" s="3550" t="s">
        <v>1968</v>
      </c>
      <c r="B65" s="3555">
        <f>F59+F60*F61*9.81*(G64+F62+G63)+[6]功率及张力计算!C55*(F62+G64)*9.81</f>
        <v>120672.015853855</v>
      </c>
      <c r="C65" s="3538" t="s">
        <v>464</v>
      </c>
    </row>
    <row r="66" spans="1:8" ht="18" customHeight="1">
      <c r="A66" s="4691" t="s">
        <v>2084</v>
      </c>
      <c r="B66" s="4687"/>
      <c r="C66" s="4687"/>
      <c r="D66" s="4687"/>
      <c r="E66" s="4687"/>
    </row>
    <row r="67" spans="1:8" ht="18" customHeight="1">
      <c r="A67" s="3617" t="s">
        <v>2085</v>
      </c>
      <c r="B67" s="4686" t="s">
        <v>2086</v>
      </c>
      <c r="C67" s="4687"/>
      <c r="D67" s="4688" t="s">
        <v>2087</v>
      </c>
      <c r="E67" s="4688"/>
      <c r="F67" s="3550" t="s">
        <v>2088</v>
      </c>
      <c r="G67" s="3610">
        <v>35</v>
      </c>
    </row>
    <row r="68" spans="1:8" ht="18" customHeight="1">
      <c r="A68" s="3550" t="s">
        <v>2079</v>
      </c>
      <c r="B68" s="3555">
        <f>150*G69*SIN(H68)</f>
        <v>120.45104984120999</v>
      </c>
      <c r="C68" s="3615" t="s">
        <v>408</v>
      </c>
      <c r="G68" s="3550" t="s">
        <v>2089</v>
      </c>
      <c r="H68" s="3590">
        <f>G67*3.1415926/180</f>
        <v>0.61086522777777796</v>
      </c>
    </row>
    <row r="69" spans="1:8" ht="18" customHeight="1">
      <c r="A69" s="3550"/>
      <c r="B69" s="3555"/>
      <c r="C69" s="3615"/>
      <c r="F69" s="3550" t="s">
        <v>2090</v>
      </c>
      <c r="G69" s="3610">
        <f>[6]功率及张力计算!E58</f>
        <v>1.4</v>
      </c>
      <c r="H69" s="3538" t="s">
        <v>408</v>
      </c>
    </row>
    <row r="70" spans="1:8" ht="18" customHeight="1">
      <c r="A70" s="3550" t="s">
        <v>2091</v>
      </c>
      <c r="B70" s="4685" t="s">
        <v>2092</v>
      </c>
      <c r="C70" s="4685"/>
      <c r="D70" s="4689"/>
      <c r="E70" s="4687"/>
      <c r="F70" s="4687"/>
      <c r="G70" s="3587"/>
      <c r="H70" s="3587"/>
    </row>
    <row r="71" spans="1:8" ht="18" customHeight="1">
      <c r="C71" s="3550" t="s">
        <v>2045</v>
      </c>
      <c r="E71" s="3585"/>
      <c r="F71" s="3585"/>
      <c r="G71" s="3585"/>
      <c r="H71" s="3585"/>
    </row>
    <row r="72" spans="1:8" ht="18" customHeight="1">
      <c r="D72" s="3548" t="s">
        <v>2046</v>
      </c>
      <c r="E72" s="3612">
        <f>[6]功率及张力计算!C51</f>
        <v>0</v>
      </c>
      <c r="F72" s="3543" t="s">
        <v>2047</v>
      </c>
      <c r="G72" s="3553">
        <f>(E72/180)*3.1415926</f>
        <v>0</v>
      </c>
      <c r="H72" s="3543" t="s">
        <v>2048</v>
      </c>
    </row>
    <row r="73" spans="1:8" ht="18" customHeight="1">
      <c r="E73" s="3584" t="s">
        <v>2093</v>
      </c>
      <c r="F73" s="3612">
        <f>B65</f>
        <v>120672.015853855</v>
      </c>
      <c r="G73" s="3538" t="s">
        <v>464</v>
      </c>
    </row>
    <row r="74" spans="1:8" ht="18" customHeight="1">
      <c r="D74" s="4685" t="s">
        <v>2050</v>
      </c>
      <c r="E74" s="4685"/>
      <c r="F74" s="3610">
        <f>F14</f>
        <v>31.2</v>
      </c>
      <c r="G74" s="3615" t="s">
        <v>408</v>
      </c>
    </row>
    <row r="75" spans="1:8" ht="18" customHeight="1">
      <c r="D75" s="4684" t="s">
        <v>2051</v>
      </c>
      <c r="E75" s="4690"/>
      <c r="F75" s="3616">
        <f>F45</f>
        <v>2.3E-2</v>
      </c>
    </row>
    <row r="76" spans="1:8" ht="18" customHeight="1">
      <c r="D76" s="4684" t="s">
        <v>2052</v>
      </c>
      <c r="E76" s="4684"/>
      <c r="F76" s="3610">
        <f>F62</f>
        <v>32.340000000000003</v>
      </c>
      <c r="G76" s="3538" t="s">
        <v>2053</v>
      </c>
    </row>
    <row r="77" spans="1:8" ht="18" customHeight="1">
      <c r="D77" s="4685" t="s">
        <v>2071</v>
      </c>
      <c r="E77" s="4685"/>
      <c r="F77" s="4685"/>
      <c r="G77" s="3610">
        <f>G63</f>
        <v>20.524999999999999</v>
      </c>
      <c r="H77" s="3538" t="s">
        <v>2053</v>
      </c>
    </row>
    <row r="78" spans="1:8" ht="18" customHeight="1">
      <c r="D78" s="4685" t="s">
        <v>2072</v>
      </c>
      <c r="E78" s="4685"/>
      <c r="F78" s="4685"/>
      <c r="G78" s="3610">
        <f>G64</f>
        <v>142.23132502702401</v>
      </c>
      <c r="H78" s="3538" t="s">
        <v>2053</v>
      </c>
    </row>
    <row r="79" spans="1:8" ht="18" customHeight="1">
      <c r="A79" s="3550" t="s">
        <v>1968</v>
      </c>
      <c r="B79" s="3555">
        <f>F73+F74*F75*9.81*(G78+F76+G77)+F74*(F76+G78)*9.81*TAN(G72)</f>
        <v>122045.42686890899</v>
      </c>
      <c r="C79" s="3538" t="s">
        <v>464</v>
      </c>
    </row>
    <row r="80" spans="1:8" ht="18" customHeight="1">
      <c r="A80" s="3550" t="s">
        <v>2066</v>
      </c>
      <c r="B80" s="3604" t="s">
        <v>2094</v>
      </c>
      <c r="C80" s="3610">
        <f>D5</f>
        <v>122049.52069020399</v>
      </c>
      <c r="D80" s="3538" t="s">
        <v>464</v>
      </c>
    </row>
  </sheetData>
  <mergeCells count="48">
    <mergeCell ref="A1:I1"/>
    <mergeCell ref="A3:C3"/>
    <mergeCell ref="A4:C4"/>
    <mergeCell ref="A5:C5"/>
    <mergeCell ref="A6:C6"/>
    <mergeCell ref="A7:C7"/>
    <mergeCell ref="A8:C8"/>
    <mergeCell ref="B10:D10"/>
    <mergeCell ref="D14:E14"/>
    <mergeCell ref="D15:E15"/>
    <mergeCell ref="D16:E16"/>
    <mergeCell ref="D17:F17"/>
    <mergeCell ref="B19:D19"/>
    <mergeCell ref="D23:E23"/>
    <mergeCell ref="D24:E24"/>
    <mergeCell ref="D25:E25"/>
    <mergeCell ref="D26:F26"/>
    <mergeCell ref="B28:D28"/>
    <mergeCell ref="D32:E32"/>
    <mergeCell ref="D33:E33"/>
    <mergeCell ref="D34:E34"/>
    <mergeCell ref="D35:F35"/>
    <mergeCell ref="B40:F40"/>
    <mergeCell ref="D44:E44"/>
    <mergeCell ref="D45:E45"/>
    <mergeCell ref="D46:E46"/>
    <mergeCell ref="D47:F47"/>
    <mergeCell ref="D48:F48"/>
    <mergeCell ref="D49:E49"/>
    <mergeCell ref="D50:E50"/>
    <mergeCell ref="D51:E51"/>
    <mergeCell ref="A53:E53"/>
    <mergeCell ref="B54:C54"/>
    <mergeCell ref="B56:F56"/>
    <mergeCell ref="D60:E60"/>
    <mergeCell ref="D61:E61"/>
    <mergeCell ref="D62:E62"/>
    <mergeCell ref="D63:F63"/>
    <mergeCell ref="D64:F64"/>
    <mergeCell ref="A66:E66"/>
    <mergeCell ref="D76:E76"/>
    <mergeCell ref="D77:F77"/>
    <mergeCell ref="D78:F78"/>
    <mergeCell ref="B67:C67"/>
    <mergeCell ref="D67:E67"/>
    <mergeCell ref="B70:F70"/>
    <mergeCell ref="D74:E74"/>
    <mergeCell ref="D75:E75"/>
  </mergeCells>
  <phoneticPr fontId="214" type="noConversion"/>
  <pageMargins left="0.75" right="0.75" top="1" bottom="1" header="0.5" footer="0.5"/>
  <pageSetup paperSize="9" orientation="portrait"/>
  <headerFooter alignWithMargins="0"/>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indexed="10"/>
  </sheetPr>
  <dimension ref="A1:I320"/>
  <sheetViews>
    <sheetView topLeftCell="A36" zoomScale="115" zoomScaleNormal="115" workbookViewId="0">
      <selection activeCell="H48" sqref="H48"/>
    </sheetView>
  </sheetViews>
  <sheetFormatPr defaultColWidth="9" defaultRowHeight="18" customHeight="1"/>
  <cols>
    <col min="1" max="1" width="12.25" style="1355" customWidth="1"/>
    <col min="2" max="2" width="11.625" style="1355" customWidth="1"/>
    <col min="3" max="3" width="9.125" style="1355" customWidth="1"/>
    <col min="4" max="4" width="10.25" style="1355" customWidth="1"/>
    <col min="5" max="5" width="6.75" style="1355" customWidth="1"/>
    <col min="6" max="6" width="10.25" style="1355" customWidth="1"/>
    <col min="7" max="7" width="11.125" style="1355" customWidth="1"/>
    <col min="8" max="256" width="9" style="1355"/>
    <col min="257" max="257" width="12.25" style="1355" customWidth="1"/>
    <col min="258" max="258" width="11.625" style="1355" customWidth="1"/>
    <col min="259" max="259" width="9.125" style="1355" customWidth="1"/>
    <col min="260" max="260" width="10.25" style="1355" customWidth="1"/>
    <col min="261" max="261" width="6.75" style="1355" customWidth="1"/>
    <col min="262" max="262" width="10.25" style="1355" customWidth="1"/>
    <col min="263" max="263" width="11.125" style="1355" customWidth="1"/>
    <col min="264" max="512" width="9" style="1355"/>
    <col min="513" max="513" width="12.25" style="1355" customWidth="1"/>
    <col min="514" max="514" width="11.625" style="1355" customWidth="1"/>
    <col min="515" max="515" width="9.125" style="1355" customWidth="1"/>
    <col min="516" max="516" width="10.25" style="1355" customWidth="1"/>
    <col min="517" max="517" width="6.75" style="1355" customWidth="1"/>
    <col min="518" max="518" width="10.25" style="1355" customWidth="1"/>
    <col min="519" max="519" width="11.125" style="1355" customWidth="1"/>
    <col min="520" max="768" width="9" style="1355"/>
    <col min="769" max="769" width="12.25" style="1355" customWidth="1"/>
    <col min="770" max="770" width="11.625" style="1355" customWidth="1"/>
    <col min="771" max="771" width="9.125" style="1355" customWidth="1"/>
    <col min="772" max="772" width="10.25" style="1355" customWidth="1"/>
    <col min="773" max="773" width="6.75" style="1355" customWidth="1"/>
    <col min="774" max="774" width="10.25" style="1355" customWidth="1"/>
    <col min="775" max="775" width="11.125" style="1355" customWidth="1"/>
    <col min="776" max="1024" width="9" style="1355"/>
    <col min="1025" max="1025" width="12.25" style="1355" customWidth="1"/>
    <col min="1026" max="1026" width="11.625" style="1355" customWidth="1"/>
    <col min="1027" max="1027" width="9.125" style="1355" customWidth="1"/>
    <col min="1028" max="1028" width="10.25" style="1355" customWidth="1"/>
    <col min="1029" max="1029" width="6.75" style="1355" customWidth="1"/>
    <col min="1030" max="1030" width="10.25" style="1355" customWidth="1"/>
    <col min="1031" max="1031" width="11.125" style="1355" customWidth="1"/>
    <col min="1032" max="1280" width="9" style="1355"/>
    <col min="1281" max="1281" width="12.25" style="1355" customWidth="1"/>
    <col min="1282" max="1282" width="11.625" style="1355" customWidth="1"/>
    <col min="1283" max="1283" width="9.125" style="1355" customWidth="1"/>
    <col min="1284" max="1284" width="10.25" style="1355" customWidth="1"/>
    <col min="1285" max="1285" width="6.75" style="1355" customWidth="1"/>
    <col min="1286" max="1286" width="10.25" style="1355" customWidth="1"/>
    <col min="1287" max="1287" width="11.125" style="1355" customWidth="1"/>
    <col min="1288" max="1536" width="9" style="1355"/>
    <col min="1537" max="1537" width="12.25" style="1355" customWidth="1"/>
    <col min="1538" max="1538" width="11.625" style="1355" customWidth="1"/>
    <col min="1539" max="1539" width="9.125" style="1355" customWidth="1"/>
    <col min="1540" max="1540" width="10.25" style="1355" customWidth="1"/>
    <col min="1541" max="1541" width="6.75" style="1355" customWidth="1"/>
    <col min="1542" max="1542" width="10.25" style="1355" customWidth="1"/>
    <col min="1543" max="1543" width="11.125" style="1355" customWidth="1"/>
    <col min="1544" max="1792" width="9" style="1355"/>
    <col min="1793" max="1793" width="12.25" style="1355" customWidth="1"/>
    <col min="1794" max="1794" width="11.625" style="1355" customWidth="1"/>
    <col min="1795" max="1795" width="9.125" style="1355" customWidth="1"/>
    <col min="1796" max="1796" width="10.25" style="1355" customWidth="1"/>
    <col min="1797" max="1797" width="6.75" style="1355" customWidth="1"/>
    <col min="1798" max="1798" width="10.25" style="1355" customWidth="1"/>
    <col min="1799" max="1799" width="11.125" style="1355" customWidth="1"/>
    <col min="1800" max="2048" width="9" style="1355"/>
    <col min="2049" max="2049" width="12.25" style="1355" customWidth="1"/>
    <col min="2050" max="2050" width="11.625" style="1355" customWidth="1"/>
    <col min="2051" max="2051" width="9.125" style="1355" customWidth="1"/>
    <col min="2052" max="2052" width="10.25" style="1355" customWidth="1"/>
    <col min="2053" max="2053" width="6.75" style="1355" customWidth="1"/>
    <col min="2054" max="2054" width="10.25" style="1355" customWidth="1"/>
    <col min="2055" max="2055" width="11.125" style="1355" customWidth="1"/>
    <col min="2056" max="2304" width="9" style="1355"/>
    <col min="2305" max="2305" width="12.25" style="1355" customWidth="1"/>
    <col min="2306" max="2306" width="11.625" style="1355" customWidth="1"/>
    <col min="2307" max="2307" width="9.125" style="1355" customWidth="1"/>
    <col min="2308" max="2308" width="10.25" style="1355" customWidth="1"/>
    <col min="2309" max="2309" width="6.75" style="1355" customWidth="1"/>
    <col min="2310" max="2310" width="10.25" style="1355" customWidth="1"/>
    <col min="2311" max="2311" width="11.125" style="1355" customWidth="1"/>
    <col min="2312" max="2560" width="9" style="1355"/>
    <col min="2561" max="2561" width="12.25" style="1355" customWidth="1"/>
    <col min="2562" max="2562" width="11.625" style="1355" customWidth="1"/>
    <col min="2563" max="2563" width="9.125" style="1355" customWidth="1"/>
    <col min="2564" max="2564" width="10.25" style="1355" customWidth="1"/>
    <col min="2565" max="2565" width="6.75" style="1355" customWidth="1"/>
    <col min="2566" max="2566" width="10.25" style="1355" customWidth="1"/>
    <col min="2567" max="2567" width="11.125" style="1355" customWidth="1"/>
    <col min="2568" max="2816" width="9" style="1355"/>
    <col min="2817" max="2817" width="12.25" style="1355" customWidth="1"/>
    <col min="2818" max="2818" width="11.625" style="1355" customWidth="1"/>
    <col min="2819" max="2819" width="9.125" style="1355" customWidth="1"/>
    <col min="2820" max="2820" width="10.25" style="1355" customWidth="1"/>
    <col min="2821" max="2821" width="6.75" style="1355" customWidth="1"/>
    <col min="2822" max="2822" width="10.25" style="1355" customWidth="1"/>
    <col min="2823" max="2823" width="11.125" style="1355" customWidth="1"/>
    <col min="2824" max="3072" width="9" style="1355"/>
    <col min="3073" max="3073" width="12.25" style="1355" customWidth="1"/>
    <col min="3074" max="3074" width="11.625" style="1355" customWidth="1"/>
    <col min="3075" max="3075" width="9.125" style="1355" customWidth="1"/>
    <col min="3076" max="3076" width="10.25" style="1355" customWidth="1"/>
    <col min="3077" max="3077" width="6.75" style="1355" customWidth="1"/>
    <col min="3078" max="3078" width="10.25" style="1355" customWidth="1"/>
    <col min="3079" max="3079" width="11.125" style="1355" customWidth="1"/>
    <col min="3080" max="3328" width="9" style="1355"/>
    <col min="3329" max="3329" width="12.25" style="1355" customWidth="1"/>
    <col min="3330" max="3330" width="11.625" style="1355" customWidth="1"/>
    <col min="3331" max="3331" width="9.125" style="1355" customWidth="1"/>
    <col min="3332" max="3332" width="10.25" style="1355" customWidth="1"/>
    <col min="3333" max="3333" width="6.75" style="1355" customWidth="1"/>
    <col min="3334" max="3334" width="10.25" style="1355" customWidth="1"/>
    <col min="3335" max="3335" width="11.125" style="1355" customWidth="1"/>
    <col min="3336" max="3584" width="9" style="1355"/>
    <col min="3585" max="3585" width="12.25" style="1355" customWidth="1"/>
    <col min="3586" max="3586" width="11.625" style="1355" customWidth="1"/>
    <col min="3587" max="3587" width="9.125" style="1355" customWidth="1"/>
    <col min="3588" max="3588" width="10.25" style="1355" customWidth="1"/>
    <col min="3589" max="3589" width="6.75" style="1355" customWidth="1"/>
    <col min="3590" max="3590" width="10.25" style="1355" customWidth="1"/>
    <col min="3591" max="3591" width="11.125" style="1355" customWidth="1"/>
    <col min="3592" max="3840" width="9" style="1355"/>
    <col min="3841" max="3841" width="12.25" style="1355" customWidth="1"/>
    <col min="3842" max="3842" width="11.625" style="1355" customWidth="1"/>
    <col min="3843" max="3843" width="9.125" style="1355" customWidth="1"/>
    <col min="3844" max="3844" width="10.25" style="1355" customWidth="1"/>
    <col min="3845" max="3845" width="6.75" style="1355" customWidth="1"/>
    <col min="3846" max="3846" width="10.25" style="1355" customWidth="1"/>
    <col min="3847" max="3847" width="11.125" style="1355" customWidth="1"/>
    <col min="3848" max="4096" width="9" style="1355"/>
    <col min="4097" max="4097" width="12.25" style="1355" customWidth="1"/>
    <col min="4098" max="4098" width="11.625" style="1355" customWidth="1"/>
    <col min="4099" max="4099" width="9.125" style="1355" customWidth="1"/>
    <col min="4100" max="4100" width="10.25" style="1355" customWidth="1"/>
    <col min="4101" max="4101" width="6.75" style="1355" customWidth="1"/>
    <col min="4102" max="4102" width="10.25" style="1355" customWidth="1"/>
    <col min="4103" max="4103" width="11.125" style="1355" customWidth="1"/>
    <col min="4104" max="4352" width="9" style="1355"/>
    <col min="4353" max="4353" width="12.25" style="1355" customWidth="1"/>
    <col min="4354" max="4354" width="11.625" style="1355" customWidth="1"/>
    <col min="4355" max="4355" width="9.125" style="1355" customWidth="1"/>
    <col min="4356" max="4356" width="10.25" style="1355" customWidth="1"/>
    <col min="4357" max="4357" width="6.75" style="1355" customWidth="1"/>
    <col min="4358" max="4358" width="10.25" style="1355" customWidth="1"/>
    <col min="4359" max="4359" width="11.125" style="1355" customWidth="1"/>
    <col min="4360" max="4608" width="9" style="1355"/>
    <col min="4609" max="4609" width="12.25" style="1355" customWidth="1"/>
    <col min="4610" max="4610" width="11.625" style="1355" customWidth="1"/>
    <col min="4611" max="4611" width="9.125" style="1355" customWidth="1"/>
    <col min="4612" max="4612" width="10.25" style="1355" customWidth="1"/>
    <col min="4613" max="4613" width="6.75" style="1355" customWidth="1"/>
    <col min="4614" max="4614" width="10.25" style="1355" customWidth="1"/>
    <col min="4615" max="4615" width="11.125" style="1355" customWidth="1"/>
    <col min="4616" max="4864" width="9" style="1355"/>
    <col min="4865" max="4865" width="12.25" style="1355" customWidth="1"/>
    <col min="4866" max="4866" width="11.625" style="1355" customWidth="1"/>
    <col min="4867" max="4867" width="9.125" style="1355" customWidth="1"/>
    <col min="4868" max="4868" width="10.25" style="1355" customWidth="1"/>
    <col min="4869" max="4869" width="6.75" style="1355" customWidth="1"/>
    <col min="4870" max="4870" width="10.25" style="1355" customWidth="1"/>
    <col min="4871" max="4871" width="11.125" style="1355" customWidth="1"/>
    <col min="4872" max="5120" width="9" style="1355"/>
    <col min="5121" max="5121" width="12.25" style="1355" customWidth="1"/>
    <col min="5122" max="5122" width="11.625" style="1355" customWidth="1"/>
    <col min="5123" max="5123" width="9.125" style="1355" customWidth="1"/>
    <col min="5124" max="5124" width="10.25" style="1355" customWidth="1"/>
    <col min="5125" max="5125" width="6.75" style="1355" customWidth="1"/>
    <col min="5126" max="5126" width="10.25" style="1355" customWidth="1"/>
    <col min="5127" max="5127" width="11.125" style="1355" customWidth="1"/>
    <col min="5128" max="5376" width="9" style="1355"/>
    <col min="5377" max="5377" width="12.25" style="1355" customWidth="1"/>
    <col min="5378" max="5378" width="11.625" style="1355" customWidth="1"/>
    <col min="5379" max="5379" width="9.125" style="1355" customWidth="1"/>
    <col min="5380" max="5380" width="10.25" style="1355" customWidth="1"/>
    <col min="5381" max="5381" width="6.75" style="1355" customWidth="1"/>
    <col min="5382" max="5382" width="10.25" style="1355" customWidth="1"/>
    <col min="5383" max="5383" width="11.125" style="1355" customWidth="1"/>
    <col min="5384" max="5632" width="9" style="1355"/>
    <col min="5633" max="5633" width="12.25" style="1355" customWidth="1"/>
    <col min="5634" max="5634" width="11.625" style="1355" customWidth="1"/>
    <col min="5635" max="5635" width="9.125" style="1355" customWidth="1"/>
    <col min="5636" max="5636" width="10.25" style="1355" customWidth="1"/>
    <col min="5637" max="5637" width="6.75" style="1355" customWidth="1"/>
    <col min="5638" max="5638" width="10.25" style="1355" customWidth="1"/>
    <col min="5639" max="5639" width="11.125" style="1355" customWidth="1"/>
    <col min="5640" max="5888" width="9" style="1355"/>
    <col min="5889" max="5889" width="12.25" style="1355" customWidth="1"/>
    <col min="5890" max="5890" width="11.625" style="1355" customWidth="1"/>
    <col min="5891" max="5891" width="9.125" style="1355" customWidth="1"/>
    <col min="5892" max="5892" width="10.25" style="1355" customWidth="1"/>
    <col min="5893" max="5893" width="6.75" style="1355" customWidth="1"/>
    <col min="5894" max="5894" width="10.25" style="1355" customWidth="1"/>
    <col min="5895" max="5895" width="11.125" style="1355" customWidth="1"/>
    <col min="5896" max="6144" width="9" style="1355"/>
    <col min="6145" max="6145" width="12.25" style="1355" customWidth="1"/>
    <col min="6146" max="6146" width="11.625" style="1355" customWidth="1"/>
    <col min="6147" max="6147" width="9.125" style="1355" customWidth="1"/>
    <col min="6148" max="6148" width="10.25" style="1355" customWidth="1"/>
    <col min="6149" max="6149" width="6.75" style="1355" customWidth="1"/>
    <col min="6150" max="6150" width="10.25" style="1355" customWidth="1"/>
    <col min="6151" max="6151" width="11.125" style="1355" customWidth="1"/>
    <col min="6152" max="6400" width="9" style="1355"/>
    <col min="6401" max="6401" width="12.25" style="1355" customWidth="1"/>
    <col min="6402" max="6402" width="11.625" style="1355" customWidth="1"/>
    <col min="6403" max="6403" width="9.125" style="1355" customWidth="1"/>
    <col min="6404" max="6404" width="10.25" style="1355" customWidth="1"/>
    <col min="6405" max="6405" width="6.75" style="1355" customWidth="1"/>
    <col min="6406" max="6406" width="10.25" style="1355" customWidth="1"/>
    <col min="6407" max="6407" width="11.125" style="1355" customWidth="1"/>
    <col min="6408" max="6656" width="9" style="1355"/>
    <col min="6657" max="6657" width="12.25" style="1355" customWidth="1"/>
    <col min="6658" max="6658" width="11.625" style="1355" customWidth="1"/>
    <col min="6659" max="6659" width="9.125" style="1355" customWidth="1"/>
    <col min="6660" max="6660" width="10.25" style="1355" customWidth="1"/>
    <col min="6661" max="6661" width="6.75" style="1355" customWidth="1"/>
    <col min="6662" max="6662" width="10.25" style="1355" customWidth="1"/>
    <col min="6663" max="6663" width="11.125" style="1355" customWidth="1"/>
    <col min="6664" max="6912" width="9" style="1355"/>
    <col min="6913" max="6913" width="12.25" style="1355" customWidth="1"/>
    <col min="6914" max="6914" width="11.625" style="1355" customWidth="1"/>
    <col min="6915" max="6915" width="9.125" style="1355" customWidth="1"/>
    <col min="6916" max="6916" width="10.25" style="1355" customWidth="1"/>
    <col min="6917" max="6917" width="6.75" style="1355" customWidth="1"/>
    <col min="6918" max="6918" width="10.25" style="1355" customWidth="1"/>
    <col min="6919" max="6919" width="11.125" style="1355" customWidth="1"/>
    <col min="6920" max="7168" width="9" style="1355"/>
    <col min="7169" max="7169" width="12.25" style="1355" customWidth="1"/>
    <col min="7170" max="7170" width="11.625" style="1355" customWidth="1"/>
    <col min="7171" max="7171" width="9.125" style="1355" customWidth="1"/>
    <col min="7172" max="7172" width="10.25" style="1355" customWidth="1"/>
    <col min="7173" max="7173" width="6.75" style="1355" customWidth="1"/>
    <col min="7174" max="7174" width="10.25" style="1355" customWidth="1"/>
    <col min="7175" max="7175" width="11.125" style="1355" customWidth="1"/>
    <col min="7176" max="7424" width="9" style="1355"/>
    <col min="7425" max="7425" width="12.25" style="1355" customWidth="1"/>
    <col min="7426" max="7426" width="11.625" style="1355" customWidth="1"/>
    <col min="7427" max="7427" width="9.125" style="1355" customWidth="1"/>
    <col min="7428" max="7428" width="10.25" style="1355" customWidth="1"/>
    <col min="7429" max="7429" width="6.75" style="1355" customWidth="1"/>
    <col min="7430" max="7430" width="10.25" style="1355" customWidth="1"/>
    <col min="7431" max="7431" width="11.125" style="1355" customWidth="1"/>
    <col min="7432" max="7680" width="9" style="1355"/>
    <col min="7681" max="7681" width="12.25" style="1355" customWidth="1"/>
    <col min="7682" max="7682" width="11.625" style="1355" customWidth="1"/>
    <col min="7683" max="7683" width="9.125" style="1355" customWidth="1"/>
    <col min="7684" max="7684" width="10.25" style="1355" customWidth="1"/>
    <col min="7685" max="7685" width="6.75" style="1355" customWidth="1"/>
    <col min="7686" max="7686" width="10.25" style="1355" customWidth="1"/>
    <col min="7687" max="7687" width="11.125" style="1355" customWidth="1"/>
    <col min="7688" max="7936" width="9" style="1355"/>
    <col min="7937" max="7937" width="12.25" style="1355" customWidth="1"/>
    <col min="7938" max="7938" width="11.625" style="1355" customWidth="1"/>
    <col min="7939" max="7939" width="9.125" style="1355" customWidth="1"/>
    <col min="7940" max="7940" width="10.25" style="1355" customWidth="1"/>
    <col min="7941" max="7941" width="6.75" style="1355" customWidth="1"/>
    <col min="7942" max="7942" width="10.25" style="1355" customWidth="1"/>
    <col min="7943" max="7943" width="11.125" style="1355" customWidth="1"/>
    <col min="7944" max="8192" width="9" style="1355"/>
    <col min="8193" max="8193" width="12.25" style="1355" customWidth="1"/>
    <col min="8194" max="8194" width="11.625" style="1355" customWidth="1"/>
    <col min="8195" max="8195" width="9.125" style="1355" customWidth="1"/>
    <col min="8196" max="8196" width="10.25" style="1355" customWidth="1"/>
    <col min="8197" max="8197" width="6.75" style="1355" customWidth="1"/>
    <col min="8198" max="8198" width="10.25" style="1355" customWidth="1"/>
    <col min="8199" max="8199" width="11.125" style="1355" customWidth="1"/>
    <col min="8200" max="8448" width="9" style="1355"/>
    <col min="8449" max="8449" width="12.25" style="1355" customWidth="1"/>
    <col min="8450" max="8450" width="11.625" style="1355" customWidth="1"/>
    <col min="8451" max="8451" width="9.125" style="1355" customWidth="1"/>
    <col min="8452" max="8452" width="10.25" style="1355" customWidth="1"/>
    <col min="8453" max="8453" width="6.75" style="1355" customWidth="1"/>
    <col min="8454" max="8454" width="10.25" style="1355" customWidth="1"/>
    <col min="8455" max="8455" width="11.125" style="1355" customWidth="1"/>
    <col min="8456" max="8704" width="9" style="1355"/>
    <col min="8705" max="8705" width="12.25" style="1355" customWidth="1"/>
    <col min="8706" max="8706" width="11.625" style="1355" customWidth="1"/>
    <col min="8707" max="8707" width="9.125" style="1355" customWidth="1"/>
    <col min="8708" max="8708" width="10.25" style="1355" customWidth="1"/>
    <col min="8709" max="8709" width="6.75" style="1355" customWidth="1"/>
    <col min="8710" max="8710" width="10.25" style="1355" customWidth="1"/>
    <col min="8711" max="8711" width="11.125" style="1355" customWidth="1"/>
    <col min="8712" max="8960" width="9" style="1355"/>
    <col min="8961" max="8961" width="12.25" style="1355" customWidth="1"/>
    <col min="8962" max="8962" width="11.625" style="1355" customWidth="1"/>
    <col min="8963" max="8963" width="9.125" style="1355" customWidth="1"/>
    <col min="8964" max="8964" width="10.25" style="1355" customWidth="1"/>
    <col min="8965" max="8965" width="6.75" style="1355" customWidth="1"/>
    <col min="8966" max="8966" width="10.25" style="1355" customWidth="1"/>
    <col min="8967" max="8967" width="11.125" style="1355" customWidth="1"/>
    <col min="8968" max="9216" width="9" style="1355"/>
    <col min="9217" max="9217" width="12.25" style="1355" customWidth="1"/>
    <col min="9218" max="9218" width="11.625" style="1355" customWidth="1"/>
    <col min="9219" max="9219" width="9.125" style="1355" customWidth="1"/>
    <col min="9220" max="9220" width="10.25" style="1355" customWidth="1"/>
    <col min="9221" max="9221" width="6.75" style="1355" customWidth="1"/>
    <col min="9222" max="9222" width="10.25" style="1355" customWidth="1"/>
    <col min="9223" max="9223" width="11.125" style="1355" customWidth="1"/>
    <col min="9224" max="9472" width="9" style="1355"/>
    <col min="9473" max="9473" width="12.25" style="1355" customWidth="1"/>
    <col min="9474" max="9474" width="11.625" style="1355" customWidth="1"/>
    <col min="9475" max="9475" width="9.125" style="1355" customWidth="1"/>
    <col min="9476" max="9476" width="10.25" style="1355" customWidth="1"/>
    <col min="9477" max="9477" width="6.75" style="1355" customWidth="1"/>
    <col min="9478" max="9478" width="10.25" style="1355" customWidth="1"/>
    <col min="9479" max="9479" width="11.125" style="1355" customWidth="1"/>
    <col min="9480" max="9728" width="9" style="1355"/>
    <col min="9729" max="9729" width="12.25" style="1355" customWidth="1"/>
    <col min="9730" max="9730" width="11.625" style="1355" customWidth="1"/>
    <col min="9731" max="9731" width="9.125" style="1355" customWidth="1"/>
    <col min="9732" max="9732" width="10.25" style="1355" customWidth="1"/>
    <col min="9733" max="9733" width="6.75" style="1355" customWidth="1"/>
    <col min="9734" max="9734" width="10.25" style="1355" customWidth="1"/>
    <col min="9735" max="9735" width="11.125" style="1355" customWidth="1"/>
    <col min="9736" max="9984" width="9" style="1355"/>
    <col min="9985" max="9985" width="12.25" style="1355" customWidth="1"/>
    <col min="9986" max="9986" width="11.625" style="1355" customWidth="1"/>
    <col min="9987" max="9987" width="9.125" style="1355" customWidth="1"/>
    <col min="9988" max="9988" width="10.25" style="1355" customWidth="1"/>
    <col min="9989" max="9989" width="6.75" style="1355" customWidth="1"/>
    <col min="9990" max="9990" width="10.25" style="1355" customWidth="1"/>
    <col min="9991" max="9991" width="11.125" style="1355" customWidth="1"/>
    <col min="9992" max="10240" width="9" style="1355"/>
    <col min="10241" max="10241" width="12.25" style="1355" customWidth="1"/>
    <col min="10242" max="10242" width="11.625" style="1355" customWidth="1"/>
    <col min="10243" max="10243" width="9.125" style="1355" customWidth="1"/>
    <col min="10244" max="10244" width="10.25" style="1355" customWidth="1"/>
    <col min="10245" max="10245" width="6.75" style="1355" customWidth="1"/>
    <col min="10246" max="10246" width="10.25" style="1355" customWidth="1"/>
    <col min="10247" max="10247" width="11.125" style="1355" customWidth="1"/>
    <col min="10248" max="10496" width="9" style="1355"/>
    <col min="10497" max="10497" width="12.25" style="1355" customWidth="1"/>
    <col min="10498" max="10498" width="11.625" style="1355" customWidth="1"/>
    <col min="10499" max="10499" width="9.125" style="1355" customWidth="1"/>
    <col min="10500" max="10500" width="10.25" style="1355" customWidth="1"/>
    <col min="10501" max="10501" width="6.75" style="1355" customWidth="1"/>
    <col min="10502" max="10502" width="10.25" style="1355" customWidth="1"/>
    <col min="10503" max="10503" width="11.125" style="1355" customWidth="1"/>
    <col min="10504" max="10752" width="9" style="1355"/>
    <col min="10753" max="10753" width="12.25" style="1355" customWidth="1"/>
    <col min="10754" max="10754" width="11.625" style="1355" customWidth="1"/>
    <col min="10755" max="10755" width="9.125" style="1355" customWidth="1"/>
    <col min="10756" max="10756" width="10.25" style="1355" customWidth="1"/>
    <col min="10757" max="10757" width="6.75" style="1355" customWidth="1"/>
    <col min="10758" max="10758" width="10.25" style="1355" customWidth="1"/>
    <col min="10759" max="10759" width="11.125" style="1355" customWidth="1"/>
    <col min="10760" max="11008" width="9" style="1355"/>
    <col min="11009" max="11009" width="12.25" style="1355" customWidth="1"/>
    <col min="11010" max="11010" width="11.625" style="1355" customWidth="1"/>
    <col min="11011" max="11011" width="9.125" style="1355" customWidth="1"/>
    <col min="11012" max="11012" width="10.25" style="1355" customWidth="1"/>
    <col min="11013" max="11013" width="6.75" style="1355" customWidth="1"/>
    <col min="11014" max="11014" width="10.25" style="1355" customWidth="1"/>
    <col min="11015" max="11015" width="11.125" style="1355" customWidth="1"/>
    <col min="11016" max="11264" width="9" style="1355"/>
    <col min="11265" max="11265" width="12.25" style="1355" customWidth="1"/>
    <col min="11266" max="11266" width="11.625" style="1355" customWidth="1"/>
    <col min="11267" max="11267" width="9.125" style="1355" customWidth="1"/>
    <col min="11268" max="11268" width="10.25" style="1355" customWidth="1"/>
    <col min="11269" max="11269" width="6.75" style="1355" customWidth="1"/>
    <col min="11270" max="11270" width="10.25" style="1355" customWidth="1"/>
    <col min="11271" max="11271" width="11.125" style="1355" customWidth="1"/>
    <col min="11272" max="11520" width="9" style="1355"/>
    <col min="11521" max="11521" width="12.25" style="1355" customWidth="1"/>
    <col min="11522" max="11522" width="11.625" style="1355" customWidth="1"/>
    <col min="11523" max="11523" width="9.125" style="1355" customWidth="1"/>
    <col min="11524" max="11524" width="10.25" style="1355" customWidth="1"/>
    <col min="11525" max="11525" width="6.75" style="1355" customWidth="1"/>
    <col min="11526" max="11526" width="10.25" style="1355" customWidth="1"/>
    <col min="11527" max="11527" width="11.125" style="1355" customWidth="1"/>
    <col min="11528" max="11776" width="9" style="1355"/>
    <col min="11777" max="11777" width="12.25" style="1355" customWidth="1"/>
    <col min="11778" max="11778" width="11.625" style="1355" customWidth="1"/>
    <col min="11779" max="11779" width="9.125" style="1355" customWidth="1"/>
    <col min="11780" max="11780" width="10.25" style="1355" customWidth="1"/>
    <col min="11781" max="11781" width="6.75" style="1355" customWidth="1"/>
    <col min="11782" max="11782" width="10.25" style="1355" customWidth="1"/>
    <col min="11783" max="11783" width="11.125" style="1355" customWidth="1"/>
    <col min="11784" max="12032" width="9" style="1355"/>
    <col min="12033" max="12033" width="12.25" style="1355" customWidth="1"/>
    <col min="12034" max="12034" width="11.625" style="1355" customWidth="1"/>
    <col min="12035" max="12035" width="9.125" style="1355" customWidth="1"/>
    <col min="12036" max="12036" width="10.25" style="1355" customWidth="1"/>
    <col min="12037" max="12037" width="6.75" style="1355" customWidth="1"/>
    <col min="12038" max="12038" width="10.25" style="1355" customWidth="1"/>
    <col min="12039" max="12039" width="11.125" style="1355" customWidth="1"/>
    <col min="12040" max="12288" width="9" style="1355"/>
    <col min="12289" max="12289" width="12.25" style="1355" customWidth="1"/>
    <col min="12290" max="12290" width="11.625" style="1355" customWidth="1"/>
    <col min="12291" max="12291" width="9.125" style="1355" customWidth="1"/>
    <col min="12292" max="12292" width="10.25" style="1355" customWidth="1"/>
    <col min="12293" max="12293" width="6.75" style="1355" customWidth="1"/>
    <col min="12294" max="12294" width="10.25" style="1355" customWidth="1"/>
    <col min="12295" max="12295" width="11.125" style="1355" customWidth="1"/>
    <col min="12296" max="12544" width="9" style="1355"/>
    <col min="12545" max="12545" width="12.25" style="1355" customWidth="1"/>
    <col min="12546" max="12546" width="11.625" style="1355" customWidth="1"/>
    <col min="12547" max="12547" width="9.125" style="1355" customWidth="1"/>
    <col min="12548" max="12548" width="10.25" style="1355" customWidth="1"/>
    <col min="12549" max="12549" width="6.75" style="1355" customWidth="1"/>
    <col min="12550" max="12550" width="10.25" style="1355" customWidth="1"/>
    <col min="12551" max="12551" width="11.125" style="1355" customWidth="1"/>
    <col min="12552" max="12800" width="9" style="1355"/>
    <col min="12801" max="12801" width="12.25" style="1355" customWidth="1"/>
    <col min="12802" max="12802" width="11.625" style="1355" customWidth="1"/>
    <col min="12803" max="12803" width="9.125" style="1355" customWidth="1"/>
    <col min="12804" max="12804" width="10.25" style="1355" customWidth="1"/>
    <col min="12805" max="12805" width="6.75" style="1355" customWidth="1"/>
    <col min="12806" max="12806" width="10.25" style="1355" customWidth="1"/>
    <col min="12807" max="12807" width="11.125" style="1355" customWidth="1"/>
    <col min="12808" max="13056" width="9" style="1355"/>
    <col min="13057" max="13057" width="12.25" style="1355" customWidth="1"/>
    <col min="13058" max="13058" width="11.625" style="1355" customWidth="1"/>
    <col min="13059" max="13059" width="9.125" style="1355" customWidth="1"/>
    <col min="13060" max="13060" width="10.25" style="1355" customWidth="1"/>
    <col min="13061" max="13061" width="6.75" style="1355" customWidth="1"/>
    <col min="13062" max="13062" width="10.25" style="1355" customWidth="1"/>
    <col min="13063" max="13063" width="11.125" style="1355" customWidth="1"/>
    <col min="13064" max="13312" width="9" style="1355"/>
    <col min="13313" max="13313" width="12.25" style="1355" customWidth="1"/>
    <col min="13314" max="13314" width="11.625" style="1355" customWidth="1"/>
    <col min="13315" max="13315" width="9.125" style="1355" customWidth="1"/>
    <col min="13316" max="13316" width="10.25" style="1355" customWidth="1"/>
    <col min="13317" max="13317" width="6.75" style="1355" customWidth="1"/>
    <col min="13318" max="13318" width="10.25" style="1355" customWidth="1"/>
    <col min="13319" max="13319" width="11.125" style="1355" customWidth="1"/>
    <col min="13320" max="13568" width="9" style="1355"/>
    <col min="13569" max="13569" width="12.25" style="1355" customWidth="1"/>
    <col min="13570" max="13570" width="11.625" style="1355" customWidth="1"/>
    <col min="13571" max="13571" width="9.125" style="1355" customWidth="1"/>
    <col min="13572" max="13572" width="10.25" style="1355" customWidth="1"/>
    <col min="13573" max="13573" width="6.75" style="1355" customWidth="1"/>
    <col min="13574" max="13574" width="10.25" style="1355" customWidth="1"/>
    <col min="13575" max="13575" width="11.125" style="1355" customWidth="1"/>
    <col min="13576" max="13824" width="9" style="1355"/>
    <col min="13825" max="13825" width="12.25" style="1355" customWidth="1"/>
    <col min="13826" max="13826" width="11.625" style="1355" customWidth="1"/>
    <col min="13827" max="13827" width="9.125" style="1355" customWidth="1"/>
    <col min="13828" max="13828" width="10.25" style="1355" customWidth="1"/>
    <col min="13829" max="13829" width="6.75" style="1355" customWidth="1"/>
    <col min="13830" max="13830" width="10.25" style="1355" customWidth="1"/>
    <col min="13831" max="13831" width="11.125" style="1355" customWidth="1"/>
    <col min="13832" max="14080" width="9" style="1355"/>
    <col min="14081" max="14081" width="12.25" style="1355" customWidth="1"/>
    <col min="14082" max="14082" width="11.625" style="1355" customWidth="1"/>
    <col min="14083" max="14083" width="9.125" style="1355" customWidth="1"/>
    <col min="14084" max="14084" width="10.25" style="1355" customWidth="1"/>
    <col min="14085" max="14085" width="6.75" style="1355" customWidth="1"/>
    <col min="14086" max="14086" width="10.25" style="1355" customWidth="1"/>
    <col min="14087" max="14087" width="11.125" style="1355" customWidth="1"/>
    <col min="14088" max="14336" width="9" style="1355"/>
    <col min="14337" max="14337" width="12.25" style="1355" customWidth="1"/>
    <col min="14338" max="14338" width="11.625" style="1355" customWidth="1"/>
    <col min="14339" max="14339" width="9.125" style="1355" customWidth="1"/>
    <col min="14340" max="14340" width="10.25" style="1355" customWidth="1"/>
    <col min="14341" max="14341" width="6.75" style="1355" customWidth="1"/>
    <col min="14342" max="14342" width="10.25" style="1355" customWidth="1"/>
    <col min="14343" max="14343" width="11.125" style="1355" customWidth="1"/>
    <col min="14344" max="14592" width="9" style="1355"/>
    <col min="14593" max="14593" width="12.25" style="1355" customWidth="1"/>
    <col min="14594" max="14594" width="11.625" style="1355" customWidth="1"/>
    <col min="14595" max="14595" width="9.125" style="1355" customWidth="1"/>
    <col min="14596" max="14596" width="10.25" style="1355" customWidth="1"/>
    <col min="14597" max="14597" width="6.75" style="1355" customWidth="1"/>
    <col min="14598" max="14598" width="10.25" style="1355" customWidth="1"/>
    <col min="14599" max="14599" width="11.125" style="1355" customWidth="1"/>
    <col min="14600" max="14848" width="9" style="1355"/>
    <col min="14849" max="14849" width="12.25" style="1355" customWidth="1"/>
    <col min="14850" max="14850" width="11.625" style="1355" customWidth="1"/>
    <col min="14851" max="14851" width="9.125" style="1355" customWidth="1"/>
    <col min="14852" max="14852" width="10.25" style="1355" customWidth="1"/>
    <col min="14853" max="14853" width="6.75" style="1355" customWidth="1"/>
    <col min="14854" max="14854" width="10.25" style="1355" customWidth="1"/>
    <col min="14855" max="14855" width="11.125" style="1355" customWidth="1"/>
    <col min="14856" max="15104" width="9" style="1355"/>
    <col min="15105" max="15105" width="12.25" style="1355" customWidth="1"/>
    <col min="15106" max="15106" width="11.625" style="1355" customWidth="1"/>
    <col min="15107" max="15107" width="9.125" style="1355" customWidth="1"/>
    <col min="15108" max="15108" width="10.25" style="1355" customWidth="1"/>
    <col min="15109" max="15109" width="6.75" style="1355" customWidth="1"/>
    <col min="15110" max="15110" width="10.25" style="1355" customWidth="1"/>
    <col min="15111" max="15111" width="11.125" style="1355" customWidth="1"/>
    <col min="15112" max="15360" width="9" style="1355"/>
    <col min="15361" max="15361" width="12.25" style="1355" customWidth="1"/>
    <col min="15362" max="15362" width="11.625" style="1355" customWidth="1"/>
    <col min="15363" max="15363" width="9.125" style="1355" customWidth="1"/>
    <col min="15364" max="15364" width="10.25" style="1355" customWidth="1"/>
    <col min="15365" max="15365" width="6.75" style="1355" customWidth="1"/>
    <col min="15366" max="15366" width="10.25" style="1355" customWidth="1"/>
    <col min="15367" max="15367" width="11.125" style="1355" customWidth="1"/>
    <col min="15368" max="15616" width="9" style="1355"/>
    <col min="15617" max="15617" width="12.25" style="1355" customWidth="1"/>
    <col min="15618" max="15618" width="11.625" style="1355" customWidth="1"/>
    <col min="15619" max="15619" width="9.125" style="1355" customWidth="1"/>
    <col min="15620" max="15620" width="10.25" style="1355" customWidth="1"/>
    <col min="15621" max="15621" width="6.75" style="1355" customWidth="1"/>
    <col min="15622" max="15622" width="10.25" style="1355" customWidth="1"/>
    <col min="15623" max="15623" width="11.125" style="1355" customWidth="1"/>
    <col min="15624" max="15872" width="9" style="1355"/>
    <col min="15873" max="15873" width="12.25" style="1355" customWidth="1"/>
    <col min="15874" max="15874" width="11.625" style="1355" customWidth="1"/>
    <col min="15875" max="15875" width="9.125" style="1355" customWidth="1"/>
    <col min="15876" max="15876" width="10.25" style="1355" customWidth="1"/>
    <col min="15877" max="15877" width="6.75" style="1355" customWidth="1"/>
    <col min="15878" max="15878" width="10.25" style="1355" customWidth="1"/>
    <col min="15879" max="15879" width="11.125" style="1355" customWidth="1"/>
    <col min="15880" max="16128" width="9" style="1355"/>
    <col min="16129" max="16129" width="12.25" style="1355" customWidth="1"/>
    <col min="16130" max="16130" width="11.625" style="1355" customWidth="1"/>
    <col min="16131" max="16131" width="9.125" style="1355" customWidth="1"/>
    <col min="16132" max="16132" width="10.25" style="1355" customWidth="1"/>
    <col min="16133" max="16133" width="6.75" style="1355" customWidth="1"/>
    <col min="16134" max="16134" width="10.25" style="1355" customWidth="1"/>
    <col min="16135" max="16135" width="11.125" style="1355" customWidth="1"/>
    <col min="16136" max="16384" width="9" style="1355"/>
  </cols>
  <sheetData>
    <row r="1" spans="1:9" ht="18" customHeight="1">
      <c r="A1" s="3539"/>
    </row>
    <row r="2" spans="1:9" ht="18" customHeight="1">
      <c r="A2" s="3540"/>
      <c r="I2" s="3543"/>
    </row>
    <row r="3" spans="1:9" ht="18" customHeight="1">
      <c r="I3" s="3543"/>
    </row>
    <row r="5" spans="1:9" ht="18" customHeight="1">
      <c r="B5" s="3541"/>
    </row>
    <row r="6" spans="1:9" ht="18" customHeight="1">
      <c r="B6" s="4418"/>
      <c r="C6" s="4418"/>
      <c r="D6" s="4418"/>
      <c r="E6" s="4418"/>
      <c r="F6" s="4418"/>
    </row>
    <row r="9" spans="1:9" ht="18" customHeight="1">
      <c r="A9" s="4723" t="s">
        <v>2095</v>
      </c>
      <c r="B9" s="4687"/>
      <c r="C9" s="4687"/>
      <c r="D9" s="4687"/>
      <c r="E9" s="4687"/>
      <c r="F9" s="4687"/>
      <c r="G9" s="4687"/>
    </row>
    <row r="10" spans="1:9" ht="18" customHeight="1">
      <c r="A10" s="4687"/>
      <c r="B10" s="4687"/>
      <c r="C10" s="4687"/>
      <c r="D10" s="4687"/>
      <c r="E10" s="4687"/>
      <c r="F10" s="4687"/>
      <c r="G10" s="4687"/>
    </row>
    <row r="11" spans="1:9" ht="18" customHeight="1">
      <c r="B11" s="1354"/>
      <c r="C11" s="1354"/>
      <c r="D11" s="1354"/>
      <c r="E11" s="1354"/>
      <c r="F11" s="1354"/>
    </row>
    <row r="12" spans="1:9" ht="18" customHeight="1">
      <c r="B12" s="1354"/>
      <c r="C12" s="1354"/>
      <c r="D12" s="1354"/>
      <c r="E12" s="1354"/>
      <c r="F12" s="1354"/>
    </row>
    <row r="14" spans="1:9" ht="18" customHeight="1">
      <c r="B14" s="4720" t="s">
        <v>2096</v>
      </c>
      <c r="C14" s="4690"/>
      <c r="D14" s="4722"/>
      <c r="E14" s="4722"/>
      <c r="F14" s="4722"/>
      <c r="G14" s="4722"/>
      <c r="H14" s="4722"/>
    </row>
    <row r="16" spans="1:9" ht="18" customHeight="1">
      <c r="B16" s="4720" t="s">
        <v>2097</v>
      </c>
      <c r="C16" s="4690"/>
      <c r="D16" s="4722"/>
      <c r="E16" s="4722"/>
      <c r="F16" s="4722"/>
      <c r="G16" s="4722"/>
      <c r="H16" s="4722"/>
    </row>
    <row r="17" spans="1:9" ht="18" customHeight="1">
      <c r="C17" s="4687"/>
      <c r="D17" s="4687"/>
      <c r="E17" s="4687"/>
      <c r="F17" s="4687"/>
      <c r="G17" s="4687"/>
    </row>
    <row r="18" spans="1:9" ht="18" customHeight="1">
      <c r="B18" s="4720"/>
      <c r="C18" s="4690"/>
      <c r="D18" s="4722"/>
      <c r="E18" s="4722"/>
      <c r="F18" s="4722"/>
      <c r="G18" s="4722"/>
      <c r="H18" s="4722"/>
    </row>
    <row r="19" spans="1:9" s="3538" customFormat="1" ht="18" customHeight="1">
      <c r="A19" s="1355"/>
      <c r="B19" s="1355"/>
      <c r="C19" s="4687"/>
      <c r="D19" s="4687"/>
      <c r="E19" s="4687"/>
      <c r="F19" s="4687"/>
      <c r="G19" s="1355"/>
      <c r="H19" s="1355"/>
    </row>
    <row r="20" spans="1:9" s="3538" customFormat="1" ht="18" customHeight="1">
      <c r="A20" s="1355"/>
      <c r="B20" s="4720"/>
      <c r="C20" s="4690"/>
      <c r="D20" s="4722"/>
      <c r="E20" s="4722"/>
      <c r="F20" s="4722"/>
      <c r="G20" s="4722"/>
      <c r="H20" s="4722"/>
    </row>
    <row r="21" spans="1:9" s="3538" customFormat="1" ht="18" customHeight="1">
      <c r="A21" s="1355"/>
      <c r="B21" s="1355"/>
      <c r="C21" s="1355"/>
      <c r="D21" s="1355"/>
      <c r="E21" s="1355"/>
      <c r="F21" s="1355"/>
      <c r="G21" s="1355"/>
      <c r="H21" s="1355"/>
    </row>
    <row r="22" spans="1:9" s="3538" customFormat="1" ht="18" customHeight="1">
      <c r="A22" s="1355"/>
      <c r="B22" s="4720"/>
      <c r="C22" s="4690"/>
      <c r="D22" s="4722"/>
      <c r="E22" s="4722"/>
      <c r="F22" s="4722"/>
      <c r="G22" s="4722"/>
      <c r="H22" s="4722"/>
    </row>
    <row r="23" spans="1:9" s="3538" customFormat="1" ht="18" customHeight="1">
      <c r="A23" s="1355"/>
      <c r="B23" s="1355"/>
      <c r="C23" s="1355"/>
      <c r="D23" s="1355"/>
      <c r="E23" s="1355"/>
      <c r="F23" s="1355"/>
      <c r="G23" s="1355"/>
      <c r="H23" s="1355"/>
    </row>
    <row r="24" spans="1:9" s="3538" customFormat="1" ht="18" customHeight="1">
      <c r="A24" s="1355"/>
      <c r="B24" s="4720" t="s">
        <v>2098</v>
      </c>
      <c r="C24" s="4690"/>
      <c r="D24" s="4722"/>
      <c r="E24" s="4722"/>
      <c r="F24" s="4722"/>
      <c r="G24" s="4722"/>
      <c r="H24" s="4722"/>
    </row>
    <row r="25" spans="1:9" s="3538" customFormat="1" ht="18" customHeight="1">
      <c r="A25" s="1355"/>
      <c r="B25" s="1355"/>
      <c r="C25" s="1355"/>
      <c r="D25" s="1355"/>
      <c r="E25" s="1355"/>
      <c r="F25" s="1355"/>
      <c r="G25" s="1355"/>
      <c r="H25" s="1355"/>
    </row>
    <row r="26" spans="1:9" s="3538" customFormat="1" ht="18" customHeight="1">
      <c r="A26" s="1355"/>
      <c r="B26" s="4720" t="s">
        <v>2099</v>
      </c>
      <c r="C26" s="4690"/>
      <c r="D26" s="4722"/>
      <c r="E26" s="4722"/>
      <c r="F26" s="4722"/>
      <c r="G26" s="4722"/>
      <c r="H26" s="4722"/>
    </row>
    <row r="27" spans="1:9" s="3538" customFormat="1" ht="18" customHeight="1">
      <c r="A27" s="1355"/>
      <c r="B27" s="1355"/>
      <c r="C27" s="1355"/>
      <c r="D27" s="1355"/>
      <c r="E27" s="1355"/>
      <c r="F27" s="1355"/>
      <c r="G27" s="1355"/>
      <c r="H27" s="1355"/>
    </row>
    <row r="28" spans="1:9" s="3538" customFormat="1" ht="18" customHeight="1">
      <c r="A28" s="1355"/>
      <c r="B28" s="1355"/>
      <c r="C28" s="1355"/>
      <c r="D28" s="1355"/>
      <c r="E28" s="1355"/>
      <c r="F28" s="1355"/>
      <c r="G28" s="1355"/>
      <c r="H28" s="1355"/>
    </row>
    <row r="29" spans="1:9" s="3538" customFormat="1" ht="18" customHeight="1">
      <c r="A29" s="1355"/>
      <c r="B29" s="1355"/>
      <c r="C29" s="4720" t="s">
        <v>2100</v>
      </c>
      <c r="D29" s="4690"/>
      <c r="E29" s="4687"/>
      <c r="F29" s="4687"/>
      <c r="G29" s="1355"/>
      <c r="H29" s="1355"/>
    </row>
    <row r="30" spans="1:9" s="3538" customFormat="1" ht="18" customHeight="1">
      <c r="A30" s="4718"/>
      <c r="B30" s="4719"/>
      <c r="C30" s="4719"/>
      <c r="D30" s="4719"/>
      <c r="E30" s="4719"/>
      <c r="F30" s="4719"/>
      <c r="G30" s="4719"/>
      <c r="H30" s="4719"/>
    </row>
    <row r="31" spans="1:9" s="3538" customFormat="1" ht="18" customHeight="1">
      <c r="A31" s="1355"/>
      <c r="B31" s="1355"/>
      <c r="C31" s="1355"/>
      <c r="D31" s="1355"/>
      <c r="E31" s="1355"/>
      <c r="F31" s="1355"/>
      <c r="G31" s="1355"/>
      <c r="H31" s="1355"/>
      <c r="I31" s="3562"/>
    </row>
    <row r="32" spans="1:9" s="3538" customFormat="1" ht="18" customHeight="1">
      <c r="A32" s="1355"/>
      <c r="B32" s="1355"/>
      <c r="C32" s="4720" t="s">
        <v>2101</v>
      </c>
      <c r="D32" s="4690"/>
      <c r="E32" s="4687"/>
      <c r="F32" s="4687"/>
      <c r="G32" s="1355"/>
      <c r="H32" s="1355"/>
    </row>
    <row r="33" spans="1:8" s="3538" customFormat="1" ht="18" customHeight="1">
      <c r="A33" s="1355"/>
      <c r="B33" s="1355"/>
      <c r="C33" s="1355"/>
      <c r="D33" s="1355"/>
      <c r="E33" s="1355"/>
      <c r="F33" s="1355"/>
      <c r="G33" s="1355"/>
      <c r="H33" s="1355"/>
    </row>
    <row r="34" spans="1:8" s="3538" customFormat="1" ht="18" customHeight="1">
      <c r="A34" s="4721" t="s">
        <v>2102</v>
      </c>
      <c r="B34" s="4687"/>
      <c r="C34" s="4687"/>
      <c r="D34" s="4687"/>
      <c r="E34" s="4687"/>
      <c r="F34" s="4687"/>
      <c r="G34" s="4687"/>
      <c r="H34" s="1355"/>
    </row>
    <row r="35" spans="1:8" s="3538" customFormat="1" ht="18" customHeight="1">
      <c r="A35" s="4721" t="s">
        <v>2103</v>
      </c>
      <c r="B35" s="4687"/>
      <c r="C35" s="4687"/>
      <c r="D35" s="4687"/>
      <c r="E35" s="4687"/>
      <c r="F35" s="4687"/>
      <c r="G35" s="4687"/>
      <c r="H35" s="1355"/>
    </row>
    <row r="36" spans="1:8" s="3538" customFormat="1" ht="18" customHeight="1">
      <c r="A36" s="4721" t="s">
        <v>2104</v>
      </c>
      <c r="B36" s="4687"/>
      <c r="C36" s="4687"/>
      <c r="D36" s="4687"/>
      <c r="E36" s="4687"/>
      <c r="F36" s="4687"/>
      <c r="G36" s="4687"/>
      <c r="H36" s="1355"/>
    </row>
    <row r="37" spans="1:8" s="3538" customFormat="1" ht="18" customHeight="1">
      <c r="A37" s="4721" t="s">
        <v>2105</v>
      </c>
      <c r="B37" s="4687"/>
      <c r="C37" s="4687"/>
      <c r="D37" s="4687"/>
      <c r="E37" s="4687"/>
      <c r="F37" s="4687"/>
      <c r="G37" s="4687"/>
      <c r="H37" s="1355"/>
    </row>
    <row r="38" spans="1:8" s="3538" customFormat="1" ht="18" customHeight="1">
      <c r="A38" s="4721" t="s">
        <v>2106</v>
      </c>
      <c r="B38" s="4687"/>
      <c r="C38" s="4687"/>
      <c r="D38" s="4687"/>
      <c r="E38" s="4687"/>
      <c r="F38" s="4687"/>
      <c r="G38" s="4687"/>
      <c r="H38" s="1355"/>
    </row>
    <row r="39" spans="1:8" s="3538" customFormat="1" ht="18" customHeight="1">
      <c r="A39" s="4697" t="s">
        <v>2107</v>
      </c>
      <c r="B39" s="4697"/>
      <c r="C39" s="4697"/>
      <c r="D39" s="4697"/>
      <c r="E39" s="4697"/>
      <c r="F39" s="4697"/>
      <c r="G39" s="4697"/>
      <c r="H39" s="4697"/>
    </row>
    <row r="40" spans="1:8" s="3538" customFormat="1" ht="18" customHeight="1">
      <c r="A40" s="3544" t="s">
        <v>2108</v>
      </c>
      <c r="B40" s="3545" t="s">
        <v>2109</v>
      </c>
      <c r="C40" s="3545" t="s">
        <v>2110</v>
      </c>
      <c r="D40" s="3546" t="s">
        <v>2111</v>
      </c>
      <c r="E40" s="3547">
        <v>900</v>
      </c>
      <c r="F40" s="3545" t="s">
        <v>2112</v>
      </c>
      <c r="G40" s="3545"/>
      <c r="H40" s="3545"/>
    </row>
    <row r="41" spans="1:8" s="3538" customFormat="1" ht="18" customHeight="1">
      <c r="A41" s="3544" t="s">
        <v>2113</v>
      </c>
      <c r="B41" s="3548" t="s">
        <v>2114</v>
      </c>
      <c r="C41" s="3549">
        <f>1500/(1-0.07)</f>
        <v>1612.9032258064501</v>
      </c>
      <c r="D41" s="3543" t="s">
        <v>2115</v>
      </c>
      <c r="E41" s="3543"/>
      <c r="F41" s="3545"/>
      <c r="G41" s="3545"/>
      <c r="H41" s="3545"/>
    </row>
    <row r="42" spans="1:8" s="3538" customFormat="1" ht="18" customHeight="1">
      <c r="A42" s="3544" t="s">
        <v>2116</v>
      </c>
      <c r="B42" s="3548" t="s">
        <v>2117</v>
      </c>
      <c r="C42" s="3549">
        <v>0</v>
      </c>
      <c r="D42" s="3543" t="s">
        <v>2115</v>
      </c>
      <c r="E42" s="3543"/>
      <c r="F42" s="3545"/>
      <c r="G42" s="3545"/>
      <c r="H42" s="3545"/>
    </row>
    <row r="43" spans="1:8" s="3538" customFormat="1" ht="18" customHeight="1">
      <c r="A43" s="3544"/>
      <c r="B43" s="3548" t="s">
        <v>2118</v>
      </c>
      <c r="C43" s="3549">
        <v>0</v>
      </c>
      <c r="D43" s="3543" t="s">
        <v>2115</v>
      </c>
      <c r="E43" s="3543"/>
      <c r="F43" s="3545"/>
      <c r="G43" s="3545"/>
      <c r="H43" s="3545"/>
    </row>
    <row r="44" spans="1:8" s="3538" customFormat="1" ht="18" customHeight="1">
      <c r="A44" s="3544"/>
      <c r="B44" s="3548" t="s">
        <v>2119</v>
      </c>
      <c r="C44" s="3549">
        <v>0</v>
      </c>
      <c r="D44" s="3543" t="s">
        <v>2115</v>
      </c>
      <c r="E44" s="3543"/>
      <c r="F44" s="3545"/>
      <c r="G44" s="3545"/>
      <c r="H44" s="3545"/>
    </row>
    <row r="45" spans="1:8" s="3538" customFormat="1" ht="18" customHeight="1">
      <c r="A45" s="3544" t="s">
        <v>2120</v>
      </c>
      <c r="B45" s="3550" t="s">
        <v>2121</v>
      </c>
      <c r="C45" s="3551">
        <v>298.54300000000001</v>
      </c>
      <c r="D45" s="3543" t="s">
        <v>408</v>
      </c>
      <c r="E45" s="3543"/>
      <c r="F45" s="3543"/>
      <c r="G45" s="3543"/>
      <c r="H45" s="3543"/>
    </row>
    <row r="46" spans="1:8" s="3538" customFormat="1" ht="18" customHeight="1">
      <c r="A46" s="3552" t="s">
        <v>2122</v>
      </c>
      <c r="B46" s="3550" t="s">
        <v>2123</v>
      </c>
      <c r="C46" s="3551">
        <v>0</v>
      </c>
      <c r="D46" s="3543" t="s">
        <v>408</v>
      </c>
      <c r="E46" s="3543"/>
      <c r="F46" s="3543"/>
      <c r="G46" s="3543"/>
      <c r="H46" s="3543"/>
    </row>
    <row r="47" spans="1:8" s="3538" customFormat="1" ht="18" customHeight="1">
      <c r="A47" s="3544" t="s">
        <v>2124</v>
      </c>
      <c r="B47" s="3550" t="s">
        <v>2125</v>
      </c>
      <c r="C47" s="3551">
        <v>0</v>
      </c>
      <c r="D47" s="3543" t="s">
        <v>408</v>
      </c>
      <c r="E47" s="3543"/>
      <c r="F47" s="3543"/>
      <c r="G47" s="3543"/>
      <c r="H47" s="3543"/>
    </row>
    <row r="48" spans="1:8" s="3538" customFormat="1" ht="18" customHeight="1">
      <c r="A48" s="3544" t="s">
        <v>2126</v>
      </c>
      <c r="B48" s="3550" t="s">
        <v>2127</v>
      </c>
      <c r="C48" s="3551">
        <v>0</v>
      </c>
      <c r="D48" s="3543" t="s">
        <v>408</v>
      </c>
      <c r="E48" s="3543"/>
      <c r="F48" s="3543"/>
      <c r="G48" s="3543"/>
      <c r="H48" s="3543"/>
    </row>
    <row r="49" spans="1:8" s="3538" customFormat="1" ht="18" customHeight="1">
      <c r="A49" s="3544" t="s">
        <v>2128</v>
      </c>
      <c r="B49" s="3550" t="s">
        <v>2129</v>
      </c>
      <c r="C49" s="3549">
        <v>0</v>
      </c>
      <c r="D49" s="3543" t="s">
        <v>2047</v>
      </c>
      <c r="E49" s="3553">
        <f>(C49/180)*3.1415926</f>
        <v>0</v>
      </c>
      <c r="F49" s="3543" t="s">
        <v>2048</v>
      </c>
      <c r="G49" s="3543"/>
      <c r="H49" s="3543"/>
    </row>
    <row r="50" spans="1:8" s="3538" customFormat="1" ht="18" customHeight="1">
      <c r="A50" s="3544" t="s">
        <v>2116</v>
      </c>
      <c r="B50" s="3550" t="s">
        <v>2130</v>
      </c>
      <c r="C50" s="3549">
        <v>13</v>
      </c>
      <c r="D50" s="3543" t="s">
        <v>2047</v>
      </c>
      <c r="E50" s="3553">
        <f>(C50/180)*3.1415926</f>
        <v>0.226892798888889</v>
      </c>
      <c r="F50" s="3543" t="s">
        <v>2048</v>
      </c>
      <c r="G50" s="3543"/>
      <c r="H50" s="3543"/>
    </row>
    <row r="51" spans="1:8" s="3538" customFormat="1" ht="18" customHeight="1">
      <c r="A51" s="3544"/>
      <c r="B51" s="3550" t="s">
        <v>2131</v>
      </c>
      <c r="C51" s="3549">
        <v>0</v>
      </c>
      <c r="D51" s="3543" t="s">
        <v>2047</v>
      </c>
      <c r="E51" s="3553">
        <f>(C51/180)*3.1415926</f>
        <v>0</v>
      </c>
      <c r="F51" s="3543" t="s">
        <v>2048</v>
      </c>
      <c r="G51" s="3543"/>
      <c r="H51" s="3543"/>
    </row>
    <row r="52" spans="1:8" s="3538" customFormat="1" ht="18" customHeight="1">
      <c r="A52" s="3544"/>
      <c r="B52" s="3550" t="s">
        <v>2132</v>
      </c>
      <c r="C52" s="3549">
        <f>(C49+C50+C51)/3</f>
        <v>4.3333333333333304</v>
      </c>
      <c r="D52" s="3543" t="s">
        <v>2047</v>
      </c>
      <c r="E52" s="3553">
        <f>(E49+E50+E51)/3</f>
        <v>7.5630932962962999E-2</v>
      </c>
      <c r="F52" s="3543" t="s">
        <v>2048</v>
      </c>
      <c r="G52" s="3543"/>
      <c r="H52" s="3543"/>
    </row>
    <row r="53" spans="1:8" s="3538" customFormat="1" ht="18" customHeight="1">
      <c r="A53" s="3544" t="s">
        <v>2133</v>
      </c>
      <c r="B53" s="3550" t="s">
        <v>2134</v>
      </c>
      <c r="C53" s="3549">
        <v>3.15</v>
      </c>
      <c r="D53" s="3543" t="s">
        <v>2135</v>
      </c>
      <c r="E53" s="3543"/>
      <c r="F53" s="3543"/>
      <c r="G53" s="3543"/>
      <c r="H53" s="3543"/>
    </row>
    <row r="54" spans="1:8" s="3538" customFormat="1" ht="18" customHeight="1">
      <c r="A54" s="3544" t="s">
        <v>2136</v>
      </c>
      <c r="B54" s="3550" t="s">
        <v>2137</v>
      </c>
      <c r="C54" s="3543" t="s">
        <v>2138</v>
      </c>
      <c r="D54" s="3543"/>
      <c r="E54" s="3543"/>
      <c r="F54" s="3543"/>
      <c r="G54" s="3543"/>
      <c r="H54" s="3543"/>
    </row>
    <row r="55" spans="1:8" s="3538" customFormat="1" ht="18" customHeight="1">
      <c r="A55" s="3543"/>
      <c r="B55" s="3550" t="s">
        <v>1968</v>
      </c>
      <c r="C55" s="3554">
        <v>46.7</v>
      </c>
      <c r="D55" s="3543" t="s">
        <v>408</v>
      </c>
      <c r="E55" s="3543"/>
      <c r="F55" s="3543"/>
      <c r="G55" s="3543"/>
      <c r="H55" s="3543"/>
    </row>
    <row r="56" spans="1:8" s="3538" customFormat="1" ht="18" customHeight="1">
      <c r="A56" s="4697" t="s">
        <v>2139</v>
      </c>
      <c r="B56" s="4697"/>
      <c r="C56" s="4697"/>
      <c r="D56" s="4697"/>
      <c r="E56" s="4697"/>
      <c r="F56" s="4697"/>
      <c r="G56" s="4697"/>
      <c r="H56" s="4697"/>
    </row>
    <row r="57" spans="1:8" s="3538" customFormat="1" ht="18" customHeight="1">
      <c r="A57" s="4697" t="s">
        <v>2140</v>
      </c>
      <c r="B57" s="4697"/>
      <c r="C57" s="4697"/>
      <c r="D57" s="4697"/>
      <c r="E57" s="4697"/>
      <c r="F57" s="4697"/>
      <c r="G57" s="4697"/>
      <c r="H57" s="4697"/>
    </row>
    <row r="58" spans="1:8" s="3538" customFormat="1" ht="18" customHeight="1">
      <c r="A58" s="3543" t="s">
        <v>2141</v>
      </c>
      <c r="B58" s="3550" t="s">
        <v>2090</v>
      </c>
      <c r="C58" s="3547">
        <v>1400</v>
      </c>
      <c r="D58" s="3543" t="s">
        <v>2142</v>
      </c>
      <c r="E58" s="3555">
        <f>C58/1000</f>
        <v>1.4</v>
      </c>
      <c r="F58" s="3543" t="s">
        <v>408</v>
      </c>
      <c r="G58" s="3543"/>
      <c r="H58" s="3543"/>
    </row>
    <row r="59" spans="1:8" s="3538" customFormat="1" ht="18" customHeight="1">
      <c r="A59" s="3543" t="s">
        <v>2143</v>
      </c>
      <c r="B59" s="3550" t="s">
        <v>2144</v>
      </c>
      <c r="C59" s="3547">
        <v>1000</v>
      </c>
      <c r="D59" s="3543" t="s">
        <v>1719</v>
      </c>
      <c r="E59" s="3543"/>
      <c r="F59" s="3543"/>
      <c r="G59" s="3543"/>
      <c r="H59" s="3543"/>
    </row>
    <row r="60" spans="1:8" s="3538" customFormat="1" ht="18" customHeight="1">
      <c r="A60" s="3543" t="s">
        <v>2145</v>
      </c>
      <c r="B60" s="3543"/>
      <c r="C60" s="3543" t="s">
        <v>2146</v>
      </c>
      <c r="D60" s="3550" t="s">
        <v>2045</v>
      </c>
      <c r="E60" s="4697" t="s">
        <v>2147</v>
      </c>
      <c r="F60" s="4697"/>
      <c r="G60" s="4682"/>
      <c r="H60" s="3543"/>
    </row>
    <row r="61" spans="1:8" s="3538" customFormat="1" ht="18" customHeight="1">
      <c r="A61" s="3543"/>
      <c r="B61" s="3550"/>
      <c r="C61" s="3543"/>
      <c r="D61" s="3543"/>
      <c r="E61" s="3550" t="s">
        <v>2148</v>
      </c>
      <c r="F61" s="3557">
        <v>0.26400000000000001</v>
      </c>
      <c r="G61" s="3543" t="s">
        <v>2149</v>
      </c>
      <c r="H61" s="3543"/>
    </row>
    <row r="62" spans="1:8" s="3538" customFormat="1" ht="18" customHeight="1">
      <c r="A62" s="1355"/>
      <c r="B62" s="1355"/>
      <c r="C62" s="3558"/>
      <c r="D62" s="1355"/>
      <c r="E62" s="4697" t="s">
        <v>2150</v>
      </c>
      <c r="F62" s="4697"/>
      <c r="G62" s="4682"/>
      <c r="H62" s="1355"/>
    </row>
    <row r="63" spans="1:8" s="3538" customFormat="1" ht="18" customHeight="1">
      <c r="E63" s="3550" t="s">
        <v>2151</v>
      </c>
      <c r="F63" s="3559">
        <v>0.92</v>
      </c>
    </row>
    <row r="64" spans="1:8" s="3538" customFormat="1" ht="18" customHeight="1">
      <c r="E64" s="3560" t="s">
        <v>2152</v>
      </c>
      <c r="F64" s="3561" t="s">
        <v>2153</v>
      </c>
    </row>
    <row r="65" spans="1:8" s="3538" customFormat="1" ht="18" customHeight="1">
      <c r="B65" s="3550" t="s">
        <v>2154</v>
      </c>
      <c r="C65" s="3563">
        <f>3.6*F61*E65*F63*F65</f>
        <v>2478.8332799999998</v>
      </c>
      <c r="D65" s="3543" t="s">
        <v>2115</v>
      </c>
      <c r="E65" s="3564">
        <f>C53</f>
        <v>3.15</v>
      </c>
      <c r="F65" s="3564">
        <f>E40</f>
        <v>900</v>
      </c>
    </row>
    <row r="66" spans="1:8" s="3538" customFormat="1" ht="18" customHeight="1">
      <c r="B66" s="3550" t="s">
        <v>2155</v>
      </c>
      <c r="C66" s="3563">
        <f>C41</f>
        <v>1612.9032258064501</v>
      </c>
      <c r="D66" s="3543" t="s">
        <v>2115</v>
      </c>
      <c r="E66" s="3565"/>
      <c r="F66" s="3565"/>
    </row>
    <row r="67" spans="1:8" s="3538" customFormat="1" ht="18" customHeight="1">
      <c r="A67" s="3538" t="s">
        <v>2156</v>
      </c>
      <c r="B67" s="3548" t="s">
        <v>2157</v>
      </c>
      <c r="C67" s="3543" t="s">
        <v>2146</v>
      </c>
      <c r="D67" s="3543"/>
      <c r="E67" s="3565"/>
      <c r="F67" s="3565"/>
    </row>
    <row r="68" spans="1:8" s="3538" customFormat="1" ht="18" customHeight="1">
      <c r="B68" s="3548"/>
      <c r="C68" s="3543"/>
      <c r="D68" s="3543"/>
      <c r="E68" s="3566" t="s">
        <v>2158</v>
      </c>
      <c r="F68" s="3561" t="s">
        <v>2153</v>
      </c>
    </row>
    <row r="69" spans="1:8" s="3538" customFormat="1" ht="18" customHeight="1">
      <c r="B69" s="3550" t="s">
        <v>2159</v>
      </c>
      <c r="C69" s="3563">
        <f>3.6*F61*E69*F63*F69</f>
        <v>2472.21723462912</v>
      </c>
      <c r="D69" s="3543" t="s">
        <v>2115</v>
      </c>
      <c r="E69" s="3567">
        <f>F217</f>
        <v>3.1415926000000001</v>
      </c>
      <c r="F69" s="3564">
        <f>F65</f>
        <v>900</v>
      </c>
    </row>
    <row r="70" spans="1:8" s="3538" customFormat="1" ht="18" customHeight="1">
      <c r="B70" s="3550" t="s">
        <v>2155</v>
      </c>
      <c r="C70" s="3563">
        <f>C41</f>
        <v>1612.9032258064501</v>
      </c>
      <c r="D70" s="3543" t="s">
        <v>2115</v>
      </c>
      <c r="E70" s="3568"/>
      <c r="F70" s="3565"/>
    </row>
    <row r="71" spans="1:8" s="3538" customFormat="1" ht="18" customHeight="1">
      <c r="A71" s="3538" t="s">
        <v>2160</v>
      </c>
      <c r="C71" s="3569">
        <v>32.340000000000003</v>
      </c>
      <c r="D71" s="3538" t="s">
        <v>2053</v>
      </c>
    </row>
    <row r="72" spans="1:8" s="3538" customFormat="1" ht="18" customHeight="1">
      <c r="A72" s="3538" t="s">
        <v>2161</v>
      </c>
      <c r="C72" s="3538" t="s">
        <v>2162</v>
      </c>
      <c r="E72" s="3566" t="s">
        <v>2163</v>
      </c>
      <c r="F72" s="3560" t="s">
        <v>2152</v>
      </c>
    </row>
    <row r="73" spans="1:8" s="3538" customFormat="1" ht="18" customHeight="1">
      <c r="B73" s="3550" t="s">
        <v>1968</v>
      </c>
      <c r="C73" s="3563">
        <f>E73/(3.6*F73)</f>
        <v>142.23132502702401</v>
      </c>
      <c r="D73" s="3538" t="s">
        <v>2053</v>
      </c>
      <c r="E73" s="3570">
        <f>C41</f>
        <v>1612.9032258064501</v>
      </c>
      <c r="F73" s="3564">
        <f>E65</f>
        <v>3.15</v>
      </c>
    </row>
    <row r="74" spans="1:8" s="3538" customFormat="1" ht="18" customHeight="1">
      <c r="A74" s="3538" t="s">
        <v>2164</v>
      </c>
      <c r="C74" s="1355"/>
    </row>
    <row r="75" spans="1:8" s="3538" customFormat="1" ht="18" customHeight="1">
      <c r="A75" s="4685" t="s">
        <v>2165</v>
      </c>
      <c r="B75" s="4685"/>
      <c r="C75" s="4685"/>
      <c r="D75" s="4685"/>
      <c r="E75" s="4685"/>
      <c r="F75" s="4685"/>
      <c r="G75" s="4685"/>
      <c r="H75" s="4685"/>
    </row>
    <row r="76" spans="1:8" s="3538" customFormat="1" ht="18" customHeight="1">
      <c r="A76" s="3550" t="s">
        <v>2166</v>
      </c>
      <c r="B76" s="3562" t="s">
        <v>2167</v>
      </c>
      <c r="C76" s="3562"/>
      <c r="D76" s="3550" t="s">
        <v>2045</v>
      </c>
      <c r="E76" s="3548" t="s">
        <v>2168</v>
      </c>
      <c r="F76" s="3571">
        <f>4/1000</f>
        <v>4.0000000000000001E-3</v>
      </c>
      <c r="G76" s="3562" t="s">
        <v>408</v>
      </c>
      <c r="H76" s="3562"/>
    </row>
    <row r="77" spans="1:8" s="3538" customFormat="1" ht="18" customHeight="1">
      <c r="A77" s="3550" t="s">
        <v>1968</v>
      </c>
      <c r="B77" s="3572">
        <f>F77*F76</f>
        <v>0.6</v>
      </c>
      <c r="C77" s="3562" t="s">
        <v>408</v>
      </c>
      <c r="D77" s="3562"/>
      <c r="E77" s="3550" t="s">
        <v>2169</v>
      </c>
      <c r="F77" s="3571">
        <v>150</v>
      </c>
      <c r="G77" s="3562"/>
      <c r="H77" s="3562"/>
    </row>
    <row r="78" spans="1:8" s="3538" customFormat="1" ht="18" customHeight="1">
      <c r="A78" s="3562" t="s">
        <v>2170</v>
      </c>
      <c r="B78" s="3571">
        <v>800</v>
      </c>
      <c r="C78" s="3562" t="s">
        <v>234</v>
      </c>
      <c r="D78" s="3562"/>
      <c r="E78" s="3562"/>
      <c r="F78" s="3562"/>
      <c r="G78" s="3562"/>
      <c r="H78" s="3562"/>
    </row>
    <row r="79" spans="1:8" s="3538" customFormat="1" ht="18" customHeight="1">
      <c r="A79" s="4685" t="s">
        <v>2171</v>
      </c>
      <c r="B79" s="4685"/>
      <c r="C79" s="4685"/>
      <c r="D79" s="3573">
        <v>630</v>
      </c>
      <c r="E79" s="3562" t="s">
        <v>234</v>
      </c>
      <c r="F79" s="3562"/>
      <c r="G79" s="3562"/>
      <c r="H79" s="3562"/>
    </row>
    <row r="80" spans="1:8" s="3538" customFormat="1" ht="18" customHeight="1">
      <c r="A80" s="3538" t="s">
        <v>2172</v>
      </c>
    </row>
    <row r="81" spans="1:8" s="3538" customFormat="1" ht="18" customHeight="1">
      <c r="A81" s="4685" t="s">
        <v>2173</v>
      </c>
      <c r="B81" s="4685"/>
      <c r="C81" s="4685"/>
      <c r="D81" s="4688" t="s">
        <v>2174</v>
      </c>
      <c r="E81" s="4688"/>
      <c r="F81" s="3573">
        <v>133</v>
      </c>
      <c r="G81" s="3562" t="s">
        <v>234</v>
      </c>
      <c r="H81" s="3562"/>
    </row>
    <row r="82" spans="1:8" s="3538" customFormat="1" ht="18" customHeight="1">
      <c r="A82" s="3562" t="s">
        <v>2175</v>
      </c>
      <c r="B82" s="3573" t="s">
        <v>2176</v>
      </c>
      <c r="C82" s="3562" t="s">
        <v>2177</v>
      </c>
      <c r="D82" s="3562" t="s">
        <v>2178</v>
      </c>
      <c r="E82" s="3573">
        <v>25</v>
      </c>
      <c r="F82" s="3562" t="s">
        <v>2179</v>
      </c>
      <c r="G82" s="3562"/>
      <c r="H82" s="3562"/>
    </row>
    <row r="83" spans="1:8" s="3538" customFormat="1" ht="18" customHeight="1">
      <c r="A83" s="4684" t="s">
        <v>2180</v>
      </c>
      <c r="B83" s="4684"/>
      <c r="C83" s="3575">
        <v>8.2100000000000009</v>
      </c>
      <c r="D83" s="3562" t="s">
        <v>2181</v>
      </c>
      <c r="E83" s="3576">
        <v>3</v>
      </c>
      <c r="F83" s="4697" t="s">
        <v>2182</v>
      </c>
      <c r="G83" s="4697"/>
      <c r="H83" s="3559">
        <v>1.2</v>
      </c>
    </row>
    <row r="84" spans="1:8" s="3538" customFormat="1" ht="18" customHeight="1">
      <c r="A84" s="3562"/>
      <c r="B84" s="3550" t="s">
        <v>2183</v>
      </c>
      <c r="C84" s="3562" t="s">
        <v>2184</v>
      </c>
      <c r="D84" s="3563">
        <f>E83*C83/H83</f>
        <v>20.524999999999999</v>
      </c>
      <c r="E84" s="3562" t="s">
        <v>2053</v>
      </c>
      <c r="F84" s="3550"/>
      <c r="G84" s="3559"/>
      <c r="H84" s="3562"/>
    </row>
    <row r="85" spans="1:8" s="3538" customFormat="1" ht="18" customHeight="1">
      <c r="A85" s="4685" t="s">
        <v>2185</v>
      </c>
      <c r="B85" s="4685"/>
      <c r="C85" s="4685"/>
      <c r="D85" s="3577">
        <f>D84</f>
        <v>20.524999999999999</v>
      </c>
      <c r="E85" s="3562" t="s">
        <v>2053</v>
      </c>
      <c r="F85" s="3562"/>
      <c r="G85" s="3562"/>
      <c r="H85" s="3562"/>
    </row>
    <row r="86" spans="1:8" s="3538" customFormat="1" ht="18" customHeight="1">
      <c r="A86" s="4685" t="s">
        <v>2186</v>
      </c>
      <c r="B86" s="4685"/>
      <c r="C86" s="4685"/>
      <c r="D86" s="4688" t="s">
        <v>2174</v>
      </c>
      <c r="E86" s="4688"/>
      <c r="F86" s="3578">
        <f>F81</f>
        <v>133</v>
      </c>
      <c r="G86" s="3562" t="s">
        <v>234</v>
      </c>
      <c r="H86" s="3562"/>
    </row>
    <row r="87" spans="1:8" s="3538" customFormat="1" ht="18" customHeight="1">
      <c r="A87" s="3562" t="s">
        <v>2175</v>
      </c>
      <c r="B87" s="3578" t="str">
        <f>B82</f>
        <v>6305/C4</v>
      </c>
      <c r="C87" s="3562" t="s">
        <v>2177</v>
      </c>
      <c r="D87" s="3562" t="s">
        <v>2178</v>
      </c>
      <c r="E87" s="3578">
        <f>E82</f>
        <v>25</v>
      </c>
      <c r="F87" s="3562" t="s">
        <v>2179</v>
      </c>
      <c r="G87" s="3562"/>
      <c r="H87" s="3562"/>
    </row>
    <row r="88" spans="1:8" s="3538" customFormat="1" ht="18" customHeight="1">
      <c r="A88" s="4684" t="s">
        <v>2187</v>
      </c>
      <c r="B88" s="4684"/>
      <c r="C88" s="3575">
        <v>11.64</v>
      </c>
      <c r="D88" s="3562" t="s">
        <v>2181</v>
      </c>
      <c r="E88" s="3576">
        <v>2</v>
      </c>
      <c r="F88" s="4697" t="s">
        <v>2188</v>
      </c>
      <c r="G88" s="4697"/>
      <c r="H88" s="3559">
        <v>3</v>
      </c>
    </row>
    <row r="89" spans="1:8" s="3538" customFormat="1" ht="18" customHeight="1">
      <c r="A89" s="3562"/>
      <c r="B89" s="3550" t="s">
        <v>2183</v>
      </c>
      <c r="C89" s="3562" t="s">
        <v>2189</v>
      </c>
      <c r="D89" s="3563">
        <f>E88*C88/H88</f>
        <v>7.76</v>
      </c>
      <c r="E89" s="3562" t="s">
        <v>2053</v>
      </c>
      <c r="F89" s="3550"/>
      <c r="G89" s="3559"/>
      <c r="H89" s="3562"/>
    </row>
    <row r="90" spans="1:8" s="3538" customFormat="1" ht="18" customHeight="1">
      <c r="A90" s="4685" t="s">
        <v>2190</v>
      </c>
      <c r="B90" s="4685"/>
      <c r="C90" s="4685"/>
      <c r="D90" s="3577">
        <f>D89</f>
        <v>7.76</v>
      </c>
      <c r="E90" s="3562" t="s">
        <v>2053</v>
      </c>
      <c r="F90" s="3562"/>
      <c r="G90" s="3562"/>
      <c r="H90" s="3562"/>
    </row>
    <row r="91" spans="1:8" s="3538" customFormat="1" ht="18" customHeight="1">
      <c r="A91" s="4685" t="s">
        <v>2191</v>
      </c>
      <c r="B91" s="4685"/>
      <c r="C91" s="4689" t="s">
        <v>2192</v>
      </c>
      <c r="D91" s="4687"/>
      <c r="E91" s="3562"/>
      <c r="F91" s="3560" t="s">
        <v>2193</v>
      </c>
      <c r="G91" s="3566" t="s">
        <v>1966</v>
      </c>
      <c r="H91" s="3562"/>
    </row>
    <row r="92" spans="1:8" s="3538" customFormat="1" ht="18" customHeight="1">
      <c r="B92" s="3550" t="s">
        <v>1968</v>
      </c>
      <c r="C92" s="3555">
        <f>30*F92/(3.1415926*G92)</f>
        <v>452.33510913507598</v>
      </c>
      <c r="D92" s="3579" t="s">
        <v>227</v>
      </c>
      <c r="F92" s="3564">
        <f>F73</f>
        <v>3.15</v>
      </c>
      <c r="G92" s="3580">
        <f>F81/2000</f>
        <v>6.6500000000000004E-2</v>
      </c>
    </row>
    <row r="93" spans="1:8" s="3538" customFormat="1" ht="18" customHeight="1">
      <c r="A93" s="4685" t="s">
        <v>2194</v>
      </c>
      <c r="B93" s="4685"/>
      <c r="C93" s="4685"/>
      <c r="D93" s="3581">
        <v>2.3E-2</v>
      </c>
      <c r="E93" s="3562"/>
      <c r="F93" s="3562"/>
      <c r="G93" s="3562"/>
      <c r="H93" s="3562"/>
    </row>
    <row r="94" spans="1:8" s="3538" customFormat="1" ht="18" customHeight="1">
      <c r="A94" s="4685" t="s">
        <v>2195</v>
      </c>
      <c r="B94" s="4685"/>
      <c r="C94" s="4685"/>
      <c r="D94" s="3581">
        <v>0.35</v>
      </c>
    </row>
    <row r="95" spans="1:8" s="3538" customFormat="1" ht="18" customHeight="1">
      <c r="A95" s="4685" t="s">
        <v>2196</v>
      </c>
      <c r="B95" s="4685"/>
      <c r="C95" s="4685"/>
      <c r="D95" s="4685"/>
      <c r="E95" s="4685"/>
      <c r="F95" s="3581">
        <v>73.510000000000005</v>
      </c>
      <c r="G95" s="3562" t="s">
        <v>408</v>
      </c>
      <c r="H95" s="3562"/>
    </row>
    <row r="96" spans="1:8" s="3538" customFormat="1" ht="18" customHeight="1">
      <c r="A96" s="4685" t="s">
        <v>2197</v>
      </c>
      <c r="B96" s="4685"/>
      <c r="C96" s="4685"/>
      <c r="D96" s="4685"/>
      <c r="E96" s="4685"/>
      <c r="F96" s="4685"/>
      <c r="G96" s="4685"/>
      <c r="H96" s="4685"/>
    </row>
    <row r="97" spans="1:8" s="3538" customFormat="1" ht="18" customHeight="1">
      <c r="A97" s="4697" t="s">
        <v>2198</v>
      </c>
      <c r="B97" s="4682"/>
      <c r="C97" s="3581">
        <v>4.5</v>
      </c>
      <c r="D97" s="3543" t="s">
        <v>408</v>
      </c>
      <c r="E97" s="3556"/>
    </row>
    <row r="98" spans="1:8" s="3538" customFormat="1" ht="18" customHeight="1">
      <c r="A98" s="4685" t="s">
        <v>2199</v>
      </c>
      <c r="B98" s="4685"/>
      <c r="C98" s="4685"/>
      <c r="D98" s="4685"/>
      <c r="E98" s="4685"/>
      <c r="F98" s="4685"/>
      <c r="G98" s="4685"/>
      <c r="H98" s="4685"/>
    </row>
    <row r="99" spans="1:8" s="3538" customFormat="1" ht="18" customHeight="1">
      <c r="A99" s="4685" t="s">
        <v>2200</v>
      </c>
      <c r="B99" s="4685"/>
      <c r="C99" s="4685"/>
      <c r="D99" s="4685"/>
      <c r="E99" s="4685"/>
      <c r="F99" s="4685"/>
      <c r="G99" s="4685"/>
      <c r="H99" s="4685"/>
    </row>
    <row r="100" spans="1:8" s="3538" customFormat="1" ht="18" customHeight="1">
      <c r="A100" s="4685"/>
      <c r="B100" s="4685"/>
      <c r="C100" s="4685"/>
      <c r="D100" s="4685"/>
      <c r="E100" s="4685"/>
      <c r="F100" s="4685"/>
      <c r="G100" s="4685"/>
      <c r="H100" s="4685"/>
    </row>
    <row r="101" spans="1:8" s="3538" customFormat="1" ht="18" customHeight="1">
      <c r="A101" s="4685"/>
      <c r="B101" s="4685"/>
      <c r="C101" s="4685"/>
      <c r="D101" s="4685"/>
      <c r="E101" s="4685"/>
      <c r="F101" s="4685"/>
      <c r="G101" s="4685"/>
      <c r="H101" s="4685"/>
    </row>
    <row r="102" spans="1:8" s="3538" customFormat="1" ht="18" customHeight="1">
      <c r="A102" s="4685"/>
      <c r="B102" s="4685"/>
      <c r="C102" s="4685"/>
      <c r="D102" s="4685"/>
      <c r="E102" s="4685"/>
      <c r="F102" s="4685"/>
      <c r="G102" s="4685"/>
      <c r="H102" s="4685"/>
    </row>
    <row r="103" spans="1:8" s="3538" customFormat="1" ht="18" customHeight="1">
      <c r="A103" s="4685"/>
      <c r="B103" s="4685"/>
      <c r="C103" s="4685"/>
      <c r="D103" s="4685"/>
      <c r="E103" s="4685"/>
      <c r="F103" s="4685"/>
      <c r="G103" s="4685"/>
      <c r="H103" s="4685"/>
    </row>
    <row r="104" spans="1:8" s="3538" customFormat="1" ht="18" customHeight="1">
      <c r="A104" s="4685"/>
      <c r="B104" s="4685"/>
      <c r="C104" s="4685"/>
      <c r="D104" s="4685"/>
      <c r="E104" s="4685"/>
      <c r="F104" s="4685"/>
      <c r="G104" s="4685"/>
      <c r="H104" s="4685"/>
    </row>
    <row r="105" spans="1:8" s="3538" customFormat="1" ht="18" customHeight="1">
      <c r="A105" s="4685"/>
      <c r="B105" s="4685"/>
      <c r="C105" s="4685"/>
      <c r="D105" s="4685"/>
      <c r="E105" s="4685"/>
      <c r="F105" s="4685"/>
      <c r="G105" s="4685"/>
      <c r="H105" s="4685"/>
    </row>
    <row r="106" spans="1:8" s="3538" customFormat="1" ht="18" customHeight="1">
      <c r="A106" s="4685"/>
      <c r="B106" s="4685"/>
      <c r="C106" s="4685"/>
      <c r="D106" s="4685"/>
      <c r="E106" s="4685"/>
      <c r="F106" s="4685"/>
      <c r="G106" s="4685"/>
      <c r="H106" s="4685"/>
    </row>
    <row r="107" spans="1:8" s="3538" customFormat="1" ht="18" customHeight="1">
      <c r="A107" s="4685"/>
      <c r="B107" s="4685"/>
      <c r="C107" s="4685"/>
      <c r="D107" s="4685"/>
      <c r="E107" s="4685"/>
      <c r="F107" s="4685"/>
      <c r="G107" s="4685"/>
      <c r="H107" s="4685"/>
    </row>
    <row r="108" spans="1:8" s="3538" customFormat="1" ht="18" customHeight="1">
      <c r="A108" s="4685"/>
      <c r="B108" s="4685"/>
      <c r="C108" s="4685"/>
      <c r="D108" s="4685"/>
      <c r="E108" s="4685"/>
      <c r="F108" s="4685"/>
      <c r="G108" s="4685"/>
      <c r="H108" s="4685"/>
    </row>
    <row r="109" spans="1:8" s="3538" customFormat="1" ht="18" customHeight="1">
      <c r="A109" s="4685"/>
      <c r="B109" s="4685"/>
      <c r="C109" s="4685"/>
      <c r="D109" s="4685"/>
      <c r="E109" s="4685"/>
      <c r="F109" s="4685"/>
      <c r="G109" s="4685"/>
      <c r="H109" s="4685"/>
    </row>
    <row r="110" spans="1:8" s="3538" customFormat="1" ht="18" customHeight="1">
      <c r="A110" s="4685"/>
      <c r="B110" s="4685"/>
      <c r="C110" s="4685"/>
      <c r="D110" s="4685"/>
      <c r="E110" s="4685"/>
      <c r="F110" s="4685"/>
      <c r="G110" s="4685"/>
      <c r="H110" s="4685"/>
    </row>
    <row r="111" spans="1:8" s="3538" customFormat="1" ht="18" customHeight="1">
      <c r="A111" s="4685"/>
      <c r="B111" s="4685"/>
      <c r="C111" s="4685"/>
      <c r="D111" s="4685"/>
      <c r="E111" s="4685"/>
      <c r="F111" s="4685"/>
      <c r="G111" s="4685"/>
      <c r="H111" s="4685"/>
    </row>
    <row r="112" spans="1:8" s="3538" customFormat="1" ht="18" customHeight="1">
      <c r="A112" s="4685"/>
      <c r="B112" s="4685"/>
      <c r="C112" s="4685"/>
      <c r="D112" s="4685"/>
      <c r="E112" s="4685"/>
      <c r="F112" s="4685"/>
      <c r="G112" s="4685"/>
      <c r="H112" s="4685"/>
    </row>
    <row r="113" spans="1:8" s="3538" customFormat="1" ht="18" customHeight="1">
      <c r="A113" s="4685"/>
      <c r="B113" s="4685"/>
      <c r="C113" s="4685"/>
      <c r="D113" s="4685"/>
      <c r="E113" s="4685"/>
      <c r="F113" s="4685"/>
      <c r="G113" s="4685"/>
      <c r="H113" s="4685"/>
    </row>
    <row r="114" spans="1:8" s="3538" customFormat="1" ht="18" customHeight="1">
      <c r="A114" s="4685" t="s">
        <v>2201</v>
      </c>
      <c r="B114" s="4685"/>
      <c r="C114" s="4685"/>
      <c r="D114" s="4685"/>
      <c r="E114" s="4685"/>
      <c r="F114" s="4685"/>
      <c r="G114" s="4685"/>
      <c r="H114" s="4685"/>
    </row>
    <row r="115" spans="1:8" s="3538" customFormat="1" ht="18" customHeight="1">
      <c r="A115" s="4685" t="s">
        <v>2202</v>
      </c>
      <c r="B115" s="4685"/>
      <c r="C115" s="4685"/>
      <c r="D115" s="4685"/>
      <c r="E115" s="4685"/>
      <c r="F115" s="4685"/>
      <c r="G115" s="4685"/>
      <c r="H115" s="4685"/>
    </row>
    <row r="116" spans="1:8" s="3538" customFormat="1" ht="18" customHeight="1">
      <c r="A116" s="4685" t="s">
        <v>2203</v>
      </c>
      <c r="B116" s="4685"/>
      <c r="C116" s="4685"/>
      <c r="D116" s="4685"/>
      <c r="E116" s="4685"/>
      <c r="F116" s="4685"/>
      <c r="G116" s="4685"/>
      <c r="H116" s="4685"/>
    </row>
    <row r="117" spans="1:8" s="3538" customFormat="1" ht="18" customHeight="1">
      <c r="A117" s="4685" t="s">
        <v>2204</v>
      </c>
      <c r="B117" s="4685"/>
      <c r="C117" s="4685"/>
      <c r="D117" s="4685"/>
      <c r="E117" s="4685"/>
      <c r="F117" s="4685"/>
      <c r="G117" s="4685"/>
      <c r="H117" s="4685"/>
    </row>
    <row r="118" spans="1:8" s="3538" customFormat="1" ht="18" customHeight="1">
      <c r="A118" s="3550" t="s">
        <v>2205</v>
      </c>
      <c r="B118" s="3538" t="s">
        <v>2206</v>
      </c>
    </row>
    <row r="119" spans="1:8" s="3538" customFormat="1" ht="18" customHeight="1">
      <c r="A119" s="3550" t="s">
        <v>1968</v>
      </c>
      <c r="B119" s="3555">
        <f>F120*H119*9.81*((F123/H120)+H121)</f>
        <v>1644.0429105745</v>
      </c>
      <c r="C119" s="3538" t="s">
        <v>464</v>
      </c>
      <c r="D119" s="3550" t="s">
        <v>2045</v>
      </c>
      <c r="E119" s="4697" t="s">
        <v>2207</v>
      </c>
      <c r="F119" s="4717"/>
      <c r="G119" s="3582" t="s">
        <v>2208</v>
      </c>
      <c r="H119" s="3570">
        <f>F233</f>
        <v>1.2</v>
      </c>
    </row>
    <row r="120" spans="1:8" s="3538" customFormat="1" ht="18" customHeight="1">
      <c r="E120" s="3550" t="s">
        <v>2209</v>
      </c>
      <c r="F120" s="3559">
        <v>0.8</v>
      </c>
      <c r="G120" s="3582" t="s">
        <v>2210</v>
      </c>
      <c r="H120" s="3570">
        <f>C53</f>
        <v>3.15</v>
      </c>
    </row>
    <row r="121" spans="1:8" s="3538" customFormat="1" ht="18" customHeight="1">
      <c r="E121" s="4697" t="s">
        <v>2211</v>
      </c>
      <c r="F121" s="4717"/>
      <c r="G121" s="3582" t="s">
        <v>2212</v>
      </c>
      <c r="H121" s="3570">
        <f>C71</f>
        <v>32.340000000000003</v>
      </c>
    </row>
    <row r="122" spans="1:8" s="3538" customFormat="1" ht="18" customHeight="1">
      <c r="E122" s="3550" t="s">
        <v>2213</v>
      </c>
      <c r="F122" s="3543" t="s">
        <v>2214</v>
      </c>
    </row>
    <row r="123" spans="1:8" s="3538" customFormat="1" ht="18" customHeight="1">
      <c r="E123" s="3550" t="s">
        <v>1968</v>
      </c>
      <c r="F123" s="3555">
        <f>C41/3.6</f>
        <v>448.02867383512501</v>
      </c>
      <c r="G123" s="3538" t="s">
        <v>2215</v>
      </c>
    </row>
    <row r="124" spans="1:8" s="3538" customFormat="1" ht="18" customHeight="1">
      <c r="A124" s="3574" t="s">
        <v>2216</v>
      </c>
      <c r="B124" s="3559">
        <v>2920</v>
      </c>
      <c r="C124" s="3538" t="s">
        <v>464</v>
      </c>
      <c r="D124" s="3538" t="s">
        <v>2217</v>
      </c>
      <c r="E124" s="1355"/>
      <c r="F124" s="1355"/>
      <c r="G124" s="1355"/>
      <c r="H124" s="1355"/>
    </row>
    <row r="125" spans="1:8" s="3538" customFormat="1" ht="18" customHeight="1">
      <c r="A125" s="4685" t="s">
        <v>2218</v>
      </c>
      <c r="B125" s="4685"/>
      <c r="C125" s="4685"/>
      <c r="D125" s="4685"/>
      <c r="E125" s="4685"/>
      <c r="F125" s="4685"/>
      <c r="G125" s="4685"/>
      <c r="H125" s="4685"/>
    </row>
    <row r="126" spans="1:8" s="3538" customFormat="1" ht="18" customHeight="1">
      <c r="A126" s="3550" t="s">
        <v>2219</v>
      </c>
      <c r="B126" s="3538" t="s">
        <v>2220</v>
      </c>
      <c r="D126" s="3550" t="s">
        <v>2045</v>
      </c>
      <c r="E126" s="4697" t="s">
        <v>2207</v>
      </c>
      <c r="F126" s="4717"/>
      <c r="G126" s="3582" t="s">
        <v>2221</v>
      </c>
      <c r="H126" s="3570">
        <f>F239</f>
        <v>3</v>
      </c>
    </row>
    <row r="127" spans="1:8" s="3538" customFormat="1" ht="18" customHeight="1">
      <c r="A127" s="3550" t="s">
        <v>1968</v>
      </c>
      <c r="B127" s="3555">
        <f>F127*H126*H127*9.81</f>
        <v>599.612706</v>
      </c>
      <c r="C127" s="3538" t="s">
        <v>464</v>
      </c>
      <c r="E127" s="3550" t="s">
        <v>2209</v>
      </c>
      <c r="F127" s="3559">
        <v>0.63</v>
      </c>
      <c r="G127" s="3582" t="s">
        <v>2212</v>
      </c>
      <c r="H127" s="3570">
        <f>C71</f>
        <v>32.340000000000003</v>
      </c>
    </row>
    <row r="128" spans="1:8" s="3538" customFormat="1" ht="18" customHeight="1">
      <c r="A128" s="3574" t="s">
        <v>2222</v>
      </c>
      <c r="B128" s="3559">
        <v>1780</v>
      </c>
      <c r="C128" s="3538" t="s">
        <v>464</v>
      </c>
      <c r="D128" s="3538" t="s">
        <v>2217</v>
      </c>
      <c r="E128" s="3543"/>
      <c r="F128" s="3543"/>
      <c r="G128" s="3543"/>
      <c r="H128" s="3562"/>
    </row>
    <row r="129" spans="1:8" s="3538" customFormat="1" ht="18" customHeight="1">
      <c r="A129" s="4685" t="s">
        <v>2223</v>
      </c>
      <c r="B129" s="4685"/>
      <c r="C129" s="4685"/>
      <c r="D129" s="4685"/>
      <c r="E129" s="4685"/>
      <c r="F129" s="4685"/>
      <c r="G129" s="4685"/>
      <c r="H129" s="4685"/>
    </row>
    <row r="130" spans="1:8" s="3538" customFormat="1" ht="18" customHeight="1">
      <c r="A130" s="4685" t="s">
        <v>2204</v>
      </c>
      <c r="B130" s="4685"/>
      <c r="C130" s="4685"/>
      <c r="D130" s="4685"/>
      <c r="E130" s="4685"/>
      <c r="F130" s="4685"/>
      <c r="G130" s="4685"/>
      <c r="H130" s="4685"/>
    </row>
    <row r="131" spans="1:8" s="3538" customFormat="1" ht="18" customHeight="1">
      <c r="A131" s="3550" t="s">
        <v>2224</v>
      </c>
      <c r="B131" s="3538" t="s">
        <v>2225</v>
      </c>
      <c r="D131" s="3550" t="s">
        <v>2045</v>
      </c>
      <c r="E131" s="4697" t="s">
        <v>2226</v>
      </c>
      <c r="F131" s="4697"/>
      <c r="G131" s="4697"/>
      <c r="H131" s="4697"/>
    </row>
    <row r="132" spans="1:8" s="3538" customFormat="1" ht="18" customHeight="1">
      <c r="A132" s="3550" t="s">
        <v>1968</v>
      </c>
      <c r="B132" s="3555">
        <f>F137*F132*F134*F136</f>
        <v>2807.6142805335999</v>
      </c>
      <c r="C132" s="3538" t="s">
        <v>464</v>
      </c>
      <c r="E132" s="3550" t="s">
        <v>2227</v>
      </c>
      <c r="F132" s="3559">
        <v>1.1000000000000001</v>
      </c>
    </row>
    <row r="133" spans="1:8" s="3538" customFormat="1" ht="18" customHeight="1">
      <c r="A133" s="1355"/>
      <c r="B133" s="1355"/>
      <c r="C133" s="1355"/>
      <c r="D133" s="1355"/>
      <c r="E133" s="4697" t="s">
        <v>2228</v>
      </c>
      <c r="F133" s="4697"/>
      <c r="G133" s="4697"/>
      <c r="H133" s="4697"/>
    </row>
    <row r="134" spans="1:8" s="3538" customFormat="1" ht="18" customHeight="1">
      <c r="A134" s="1355"/>
      <c r="B134" s="1355"/>
      <c r="C134" s="1355"/>
      <c r="D134" s="1355"/>
      <c r="E134" s="3550" t="s">
        <v>2229</v>
      </c>
      <c r="F134" s="3559">
        <v>1.35</v>
      </c>
    </row>
    <row r="135" spans="1:8" s="3538" customFormat="1" ht="18" customHeight="1">
      <c r="A135" s="1355"/>
      <c r="B135" s="1355"/>
      <c r="C135" s="1355"/>
      <c r="D135" s="1355"/>
      <c r="E135" s="4697" t="s">
        <v>2230</v>
      </c>
      <c r="F135" s="4697"/>
      <c r="G135" s="4697"/>
      <c r="H135" s="4697"/>
    </row>
    <row r="136" spans="1:8" s="3538" customFormat="1" ht="18" customHeight="1">
      <c r="A136" s="1355"/>
      <c r="B136" s="3583"/>
      <c r="C136" s="1355"/>
      <c r="D136" s="1355"/>
      <c r="E136" s="3550" t="s">
        <v>2231</v>
      </c>
      <c r="F136" s="3559">
        <v>1.1499999999999999</v>
      </c>
    </row>
    <row r="137" spans="1:8" s="3538" customFormat="1" ht="18" customHeight="1">
      <c r="A137" s="1355"/>
      <c r="B137" s="3583"/>
      <c r="C137" s="1355"/>
      <c r="D137" s="1355"/>
      <c r="E137" s="3584" t="s">
        <v>2205</v>
      </c>
      <c r="F137" s="3585">
        <f>B119</f>
        <v>1644.0429105745</v>
      </c>
      <c r="G137" s="3538" t="s">
        <v>464</v>
      </c>
    </row>
    <row r="138" spans="1:8" s="3538" customFormat="1" ht="18" customHeight="1">
      <c r="A138" s="3574" t="s">
        <v>2216</v>
      </c>
      <c r="B138" s="3559">
        <f>B124</f>
        <v>2920</v>
      </c>
      <c r="C138" s="3538" t="s">
        <v>464</v>
      </c>
      <c r="D138" s="3538" t="s">
        <v>2217</v>
      </c>
      <c r="E138" s="3550"/>
      <c r="F138" s="3559"/>
    </row>
    <row r="139" spans="1:8" s="3538" customFormat="1" ht="18" customHeight="1">
      <c r="A139" s="4685" t="s">
        <v>2218</v>
      </c>
      <c r="B139" s="4685"/>
      <c r="C139" s="4685"/>
      <c r="D139" s="4685"/>
      <c r="E139" s="4685"/>
      <c r="F139" s="4685"/>
      <c r="G139" s="4685"/>
      <c r="H139" s="4685"/>
    </row>
    <row r="140" spans="1:8" s="3538" customFormat="1" ht="18" customHeight="1">
      <c r="A140" s="3550" t="s">
        <v>2232</v>
      </c>
      <c r="B140" s="3538" t="s">
        <v>2233</v>
      </c>
      <c r="D140" s="3550" t="s">
        <v>2045</v>
      </c>
      <c r="E140" s="3560" t="s">
        <v>2234</v>
      </c>
      <c r="F140" s="3560" t="s">
        <v>2235</v>
      </c>
      <c r="G140" s="3560" t="s">
        <v>1072</v>
      </c>
      <c r="H140" s="3562"/>
    </row>
    <row r="141" spans="1:8" s="3538" customFormat="1" ht="18" customHeight="1">
      <c r="A141" s="3550" t="s">
        <v>1968</v>
      </c>
      <c r="B141" s="3555">
        <f>E141*F141*G141</f>
        <v>758.51007308999999</v>
      </c>
      <c r="C141" s="3538" t="s">
        <v>464</v>
      </c>
      <c r="E141" s="3570">
        <f>B127</f>
        <v>599.612706</v>
      </c>
      <c r="F141" s="3570">
        <f>F132</f>
        <v>1.1000000000000001</v>
      </c>
      <c r="G141" s="3570">
        <f>F136</f>
        <v>1.1499999999999999</v>
      </c>
    </row>
    <row r="142" spans="1:8" s="3538" customFormat="1" ht="18" customHeight="1">
      <c r="A142" s="3574" t="s">
        <v>2222</v>
      </c>
      <c r="B142" s="3559">
        <f>B128</f>
        <v>1780</v>
      </c>
      <c r="C142" s="3538" t="s">
        <v>464</v>
      </c>
      <c r="D142" s="3538" t="s">
        <v>2217</v>
      </c>
      <c r="E142" s="1355"/>
      <c r="F142" s="1355"/>
      <c r="G142" s="1355"/>
      <c r="H142" s="1355"/>
    </row>
    <row r="143" spans="1:8" s="3538" customFormat="1" ht="18" customHeight="1">
      <c r="A143" s="3562"/>
      <c r="B143" s="3562"/>
      <c r="C143" s="3562"/>
      <c r="D143" s="3562"/>
      <c r="E143" s="3562"/>
      <c r="F143" s="3562"/>
      <c r="G143" s="3562"/>
      <c r="H143" s="3562"/>
    </row>
    <row r="144" spans="1:8" s="3538" customFormat="1" ht="18" customHeight="1">
      <c r="A144" s="4685" t="s">
        <v>2236</v>
      </c>
      <c r="B144" s="4685"/>
      <c r="C144" s="4685"/>
      <c r="D144" s="4685"/>
      <c r="E144" s="4685"/>
      <c r="F144" s="4685"/>
      <c r="G144" s="4685"/>
      <c r="H144" s="4685"/>
    </row>
    <row r="145" spans="1:8" s="3538" customFormat="1" ht="18" customHeight="1">
      <c r="A145" s="4685" t="s">
        <v>2237</v>
      </c>
      <c r="B145" s="4685"/>
      <c r="C145" s="4685"/>
      <c r="D145" s="4685"/>
      <c r="E145" s="4685"/>
      <c r="F145" s="4685"/>
      <c r="G145" s="4685"/>
      <c r="H145" s="4685"/>
    </row>
    <row r="146" spans="1:8" s="3538" customFormat="1" ht="18" customHeight="1">
      <c r="A146" s="3550" t="s">
        <v>2238</v>
      </c>
      <c r="B146" s="4685" t="s">
        <v>2239</v>
      </c>
      <c r="C146" s="4685"/>
      <c r="D146" s="3550" t="s">
        <v>2045</v>
      </c>
      <c r="E146" s="3560" t="s">
        <v>2240</v>
      </c>
      <c r="F146" s="3560" t="s">
        <v>1155</v>
      </c>
      <c r="G146" s="3560" t="s">
        <v>2241</v>
      </c>
      <c r="H146" s="3560" t="s">
        <v>2242</v>
      </c>
    </row>
    <row r="147" spans="1:8" s="3538" customFormat="1" ht="18" customHeight="1">
      <c r="A147" s="3550" t="s">
        <v>1968</v>
      </c>
      <c r="B147" s="3555">
        <f>E149*F149*9.81*(2*E147+F147+G147+H147)</f>
        <v>15842.884920443499</v>
      </c>
      <c r="C147" s="3538" t="s">
        <v>464</v>
      </c>
      <c r="E147" s="3586">
        <f>C71</f>
        <v>32.340000000000003</v>
      </c>
      <c r="F147" s="3586">
        <f>C73</f>
        <v>142.23132502702401</v>
      </c>
      <c r="G147" s="3586">
        <f>D85</f>
        <v>20.524999999999999</v>
      </c>
      <c r="H147" s="3586">
        <f>D90</f>
        <v>7.76</v>
      </c>
    </row>
    <row r="148" spans="1:8" s="3538" customFormat="1" ht="18" customHeight="1">
      <c r="A148" s="3550"/>
      <c r="B148" s="3555"/>
      <c r="E148" s="3564" t="s">
        <v>1167</v>
      </c>
      <c r="F148" s="3564" t="s">
        <v>2243</v>
      </c>
      <c r="G148" s="3564" t="s">
        <v>2244</v>
      </c>
      <c r="H148" s="3564"/>
    </row>
    <row r="149" spans="1:8" s="3538" customFormat="1" ht="18" customHeight="1">
      <c r="A149" s="3550"/>
      <c r="B149" s="3555"/>
      <c r="E149" s="3586">
        <f>C45</f>
        <v>298.54300000000001</v>
      </c>
      <c r="F149" s="3586">
        <f>D93</f>
        <v>2.3E-2</v>
      </c>
      <c r="G149" s="3586">
        <v>9.81</v>
      </c>
      <c r="H149" s="3564"/>
    </row>
    <row r="150" spans="1:8" s="3538" customFormat="1" ht="18" customHeight="1">
      <c r="A150" s="4685" t="s">
        <v>2245</v>
      </c>
      <c r="B150" s="4685"/>
      <c r="C150" s="4685"/>
      <c r="D150" s="4685"/>
      <c r="E150" s="4685"/>
      <c r="F150" s="4685"/>
      <c r="G150" s="4685"/>
      <c r="H150" s="4685"/>
    </row>
    <row r="151" spans="1:8" s="3538" customFormat="1" ht="18" customHeight="1">
      <c r="A151" s="3550" t="s">
        <v>2246</v>
      </c>
      <c r="B151" s="3562" t="s">
        <v>2247</v>
      </c>
      <c r="C151" s="3562"/>
      <c r="D151" s="3550" t="s">
        <v>2045</v>
      </c>
      <c r="E151" s="3560" t="s">
        <v>487</v>
      </c>
      <c r="F151" s="3560" t="s">
        <v>1155</v>
      </c>
      <c r="G151" s="3560" t="s">
        <v>2244</v>
      </c>
      <c r="H151" s="3587"/>
    </row>
    <row r="152" spans="1:8" s="3538" customFormat="1" ht="18" customHeight="1">
      <c r="A152" s="3550" t="s">
        <v>1968</v>
      </c>
      <c r="B152" s="3555">
        <f>E152*F152*G152</f>
        <v>65160.0102406554</v>
      </c>
      <c r="C152" s="3538" t="s">
        <v>464</v>
      </c>
      <c r="E152" s="3586">
        <f>C55</f>
        <v>46.7</v>
      </c>
      <c r="F152" s="3586">
        <f>C73</f>
        <v>142.23132502702401</v>
      </c>
      <c r="G152" s="3586">
        <v>9.81</v>
      </c>
      <c r="H152" s="3565"/>
    </row>
    <row r="153" spans="1:8" s="3538" customFormat="1" ht="18" customHeight="1">
      <c r="A153" s="4685" t="s">
        <v>2248</v>
      </c>
      <c r="B153" s="4685"/>
      <c r="C153" s="4685"/>
      <c r="D153" s="4685"/>
      <c r="E153" s="4685"/>
      <c r="F153" s="4685"/>
      <c r="G153" s="4685"/>
      <c r="H153" s="4685"/>
    </row>
    <row r="154" spans="1:8" s="3538" customFormat="1" ht="18" customHeight="1">
      <c r="A154" s="3550" t="s">
        <v>2249</v>
      </c>
      <c r="B154" s="4685" t="s">
        <v>2250</v>
      </c>
      <c r="C154" s="4685"/>
      <c r="D154" s="4685"/>
      <c r="E154" s="4685"/>
    </row>
    <row r="155" spans="1:8" s="3538" customFormat="1" ht="18" customHeight="1">
      <c r="A155" s="3550" t="s">
        <v>1968</v>
      </c>
      <c r="B155" s="3555">
        <f>2*F157*F159*F161</f>
        <v>1176</v>
      </c>
      <c r="C155" s="3538" t="s">
        <v>464</v>
      </c>
      <c r="D155" s="3550" t="s">
        <v>2045</v>
      </c>
      <c r="E155" s="4697" t="s">
        <v>2251</v>
      </c>
      <c r="F155" s="4697"/>
      <c r="G155" s="4697"/>
    </row>
    <row r="156" spans="1:8" s="3538" customFormat="1" ht="18" customHeight="1">
      <c r="D156" s="3543"/>
      <c r="E156" s="3550" t="s">
        <v>2252</v>
      </c>
      <c r="F156" s="3588" t="s">
        <v>2253</v>
      </c>
      <c r="G156" s="3543"/>
    </row>
    <row r="157" spans="1:8" s="3538" customFormat="1" ht="18" customHeight="1">
      <c r="D157" s="3543"/>
      <c r="E157" s="3550" t="s">
        <v>1968</v>
      </c>
      <c r="F157" s="3589">
        <f>0.01*E58</f>
        <v>1.4E-2</v>
      </c>
      <c r="G157" s="3543" t="s">
        <v>2149</v>
      </c>
    </row>
    <row r="158" spans="1:8" s="3538" customFormat="1" ht="18" customHeight="1">
      <c r="D158" s="1355"/>
      <c r="E158" s="4697" t="s">
        <v>2254</v>
      </c>
      <c r="F158" s="4697"/>
      <c r="G158" s="4697"/>
    </row>
    <row r="159" spans="1:8" s="3538" customFormat="1" ht="18" customHeight="1">
      <c r="B159" s="1355"/>
      <c r="E159" s="3550" t="s">
        <v>2255</v>
      </c>
      <c r="F159" s="3559">
        <v>70000</v>
      </c>
      <c r="G159" s="3538" t="s">
        <v>2256</v>
      </c>
    </row>
    <row r="160" spans="1:8" s="3538" customFormat="1" ht="18" customHeight="1">
      <c r="E160" s="4697" t="s">
        <v>2257</v>
      </c>
      <c r="F160" s="4697"/>
      <c r="G160" s="4697"/>
      <c r="H160" s="4697"/>
    </row>
    <row r="161" spans="1:8" s="3538" customFormat="1" ht="18" customHeight="1">
      <c r="E161" s="3550" t="s">
        <v>2258</v>
      </c>
      <c r="F161" s="3559">
        <v>0.6</v>
      </c>
    </row>
    <row r="162" spans="1:8" s="3538" customFormat="1" ht="18" customHeight="1">
      <c r="A162" s="4685" t="s">
        <v>2259</v>
      </c>
      <c r="B162" s="4685"/>
      <c r="C162" s="4685"/>
      <c r="D162" s="4685"/>
      <c r="E162" s="4685"/>
      <c r="F162" s="4685"/>
      <c r="G162" s="4685"/>
      <c r="H162" s="4685"/>
    </row>
    <row r="163" spans="1:8" ht="18" customHeight="1">
      <c r="A163" s="3550" t="s">
        <v>2260</v>
      </c>
      <c r="B163" s="3562" t="s">
        <v>2261</v>
      </c>
      <c r="C163" s="3562"/>
      <c r="D163" s="3550" t="s">
        <v>2045</v>
      </c>
      <c r="E163" s="3560" t="s">
        <v>962</v>
      </c>
      <c r="F163" s="3560" t="s">
        <v>2244</v>
      </c>
      <c r="G163" s="3587"/>
      <c r="H163" s="3538"/>
    </row>
    <row r="164" spans="1:8" ht="18" customHeight="1">
      <c r="A164" s="3550" t="s">
        <v>1968</v>
      </c>
      <c r="B164" s="3555">
        <f>20*E164*9.81</f>
        <v>274.68</v>
      </c>
      <c r="C164" s="3538" t="s">
        <v>464</v>
      </c>
      <c r="D164" s="3538"/>
      <c r="E164" s="3564">
        <f>E58</f>
        <v>1.4</v>
      </c>
      <c r="F164" s="3564">
        <v>9.81</v>
      </c>
      <c r="G164" s="3565"/>
      <c r="H164" s="3538"/>
    </row>
    <row r="165" spans="1:8" ht="18" customHeight="1">
      <c r="A165" s="4685" t="s">
        <v>2262</v>
      </c>
      <c r="B165" s="4685"/>
      <c r="C165" s="4685"/>
      <c r="D165" s="4685"/>
      <c r="E165" s="4685"/>
      <c r="F165" s="4685"/>
      <c r="G165" s="4685"/>
      <c r="H165" s="4685"/>
    </row>
    <row r="166" spans="1:8" ht="18" customHeight="1">
      <c r="A166" s="3550" t="s">
        <v>2263</v>
      </c>
      <c r="B166" s="4685" t="s">
        <v>2264</v>
      </c>
      <c r="C166" s="4685"/>
      <c r="D166" s="3550" t="s">
        <v>2045</v>
      </c>
      <c r="E166" s="4697" t="s">
        <v>2265</v>
      </c>
      <c r="F166" s="4717"/>
      <c r="G166" s="3560" t="s">
        <v>1167</v>
      </c>
      <c r="H166" s="3564">
        <f>C45</f>
        <v>298.54300000000001</v>
      </c>
    </row>
    <row r="167" spans="1:8" s="3538" customFormat="1" ht="18" customHeight="1">
      <c r="A167" s="3550" t="s">
        <v>1968</v>
      </c>
      <c r="B167" s="3555">
        <f>F167*H168*H167*(H169+H170)*9.81*COS(H171)*SIN(F171)</f>
        <v>1847.8064877044001</v>
      </c>
      <c r="C167" s="3538" t="s">
        <v>464</v>
      </c>
      <c r="D167" s="3543"/>
      <c r="E167" s="3550" t="s">
        <v>2266</v>
      </c>
      <c r="F167" s="3559">
        <v>0.43</v>
      </c>
      <c r="G167" s="3560" t="s">
        <v>2267</v>
      </c>
      <c r="H167" s="3564">
        <v>0.35</v>
      </c>
    </row>
    <row r="168" spans="1:8" s="3538" customFormat="1" ht="18" customHeight="1">
      <c r="A168" s="3550"/>
      <c r="B168" s="3555"/>
      <c r="D168" s="3543"/>
      <c r="E168" s="4697" t="s">
        <v>2268</v>
      </c>
      <c r="F168" s="4717"/>
      <c r="G168" s="3560" t="s">
        <v>2269</v>
      </c>
      <c r="H168" s="3564">
        <f>H166/COS(E49)</f>
        <v>298.54300000000001</v>
      </c>
    </row>
    <row r="169" spans="1:8" s="3538" customFormat="1" ht="18" customHeight="1">
      <c r="D169" s="3543"/>
      <c r="E169" s="4697" t="s">
        <v>2270</v>
      </c>
      <c r="F169" s="4717"/>
      <c r="G169" s="3560" t="s">
        <v>1155</v>
      </c>
      <c r="H169" s="3564">
        <f>C73</f>
        <v>142.23132502702401</v>
      </c>
    </row>
    <row r="170" spans="1:8" s="3538" customFormat="1" ht="18" customHeight="1">
      <c r="E170" s="3550" t="s">
        <v>2088</v>
      </c>
      <c r="F170" s="3559">
        <v>1.38</v>
      </c>
      <c r="G170" s="3560" t="s">
        <v>2240</v>
      </c>
      <c r="H170" s="3564">
        <f>C71</f>
        <v>32.340000000000003</v>
      </c>
    </row>
    <row r="171" spans="1:8" s="3538" customFormat="1" ht="18" customHeight="1">
      <c r="E171" s="3550" t="s">
        <v>2089</v>
      </c>
      <c r="F171" s="3590">
        <f>F170*3.1415926/180</f>
        <v>2.40855432666667E-2</v>
      </c>
      <c r="G171" s="3560" t="s">
        <v>2271</v>
      </c>
      <c r="H171" s="3564">
        <f>E52</f>
        <v>7.5630932962962999E-2</v>
      </c>
    </row>
    <row r="172" spans="1:8" s="3538" customFormat="1" ht="18" customHeight="1">
      <c r="A172" s="4685" t="s">
        <v>2272</v>
      </c>
      <c r="B172" s="4685"/>
      <c r="C172" s="4685"/>
      <c r="D172" s="4685"/>
      <c r="E172" s="4685"/>
      <c r="F172" s="4685"/>
      <c r="G172" s="4685"/>
      <c r="H172" s="4685"/>
    </row>
    <row r="173" spans="1:8" s="3538" customFormat="1" ht="18" customHeight="1">
      <c r="A173" s="3550" t="s">
        <v>2273</v>
      </c>
      <c r="B173" s="4685" t="s">
        <v>2274</v>
      </c>
      <c r="C173" s="4685"/>
      <c r="D173" s="3550" t="s">
        <v>2045</v>
      </c>
      <c r="E173" s="4697" t="s">
        <v>2275</v>
      </c>
      <c r="F173" s="4697"/>
      <c r="G173" s="4697"/>
      <c r="H173" s="4697"/>
    </row>
    <row r="174" spans="1:8" s="3538" customFormat="1" ht="18" customHeight="1">
      <c r="A174" s="3550" t="s">
        <v>1968</v>
      </c>
      <c r="B174" s="3555">
        <f>F174*F177*F177*B176*9.81*C176/(B178*B178*F179*F179)</f>
        <v>413.44551192464598</v>
      </c>
      <c r="C174" s="3538" t="s">
        <v>464</v>
      </c>
      <c r="D174" s="3543"/>
      <c r="E174" s="3550" t="s">
        <v>2276</v>
      </c>
      <c r="F174" s="3559">
        <v>0.6</v>
      </c>
      <c r="G174" s="3543"/>
    </row>
    <row r="175" spans="1:8" s="3538" customFormat="1" ht="18" customHeight="1">
      <c r="A175" s="3550" t="s">
        <v>2045</v>
      </c>
      <c r="B175" s="3560" t="s">
        <v>2277</v>
      </c>
      <c r="C175" s="3560" t="s">
        <v>2278</v>
      </c>
      <c r="D175" s="3543"/>
      <c r="E175" s="4697" t="s">
        <v>2279</v>
      </c>
      <c r="F175" s="4697"/>
      <c r="G175" s="4697"/>
    </row>
    <row r="176" spans="1:8" s="3538" customFormat="1" ht="18" customHeight="1">
      <c r="B176" s="3564">
        <f>E40</f>
        <v>900</v>
      </c>
      <c r="C176" s="3564">
        <f>C97</f>
        <v>4.5</v>
      </c>
      <c r="E176" s="3550" t="s">
        <v>2280</v>
      </c>
      <c r="F176" s="3538" t="s">
        <v>2281</v>
      </c>
      <c r="G176" s="3538" t="s">
        <v>2282</v>
      </c>
      <c r="H176" s="3563">
        <f>F61*C53*F63</f>
        <v>0.76507199999999997</v>
      </c>
    </row>
    <row r="177" spans="1:8" s="3538" customFormat="1" ht="18" customHeight="1">
      <c r="B177" s="3560" t="s">
        <v>412</v>
      </c>
      <c r="C177" s="3560" t="s">
        <v>2244</v>
      </c>
      <c r="E177" s="3550" t="s">
        <v>1968</v>
      </c>
      <c r="F177" s="3563">
        <f>C41/(3.6*E40)</f>
        <v>0.49780963759458402</v>
      </c>
      <c r="G177" s="3538" t="s">
        <v>2283</v>
      </c>
    </row>
    <row r="178" spans="1:8" s="3538" customFormat="1" ht="18" customHeight="1">
      <c r="B178" s="3564">
        <f>C53</f>
        <v>3.15</v>
      </c>
      <c r="C178" s="3564">
        <v>9.81</v>
      </c>
      <c r="E178" s="4697" t="s">
        <v>2284</v>
      </c>
      <c r="F178" s="4697"/>
      <c r="G178" s="4697"/>
    </row>
    <row r="179" spans="1:8" s="3538" customFormat="1" ht="18" customHeight="1">
      <c r="E179" s="3550" t="s">
        <v>2285</v>
      </c>
      <c r="F179" s="3559">
        <v>1.2</v>
      </c>
      <c r="G179" s="3538" t="s">
        <v>408</v>
      </c>
    </row>
    <row r="180" spans="1:8" s="3538" customFormat="1" ht="18" customHeight="1">
      <c r="A180" s="4685" t="s">
        <v>2286</v>
      </c>
      <c r="B180" s="4685"/>
      <c r="C180" s="4685"/>
      <c r="D180" s="4685"/>
      <c r="E180" s="4685"/>
      <c r="F180" s="4685"/>
      <c r="G180" s="4685"/>
      <c r="H180" s="4685"/>
    </row>
    <row r="181" spans="1:8" s="3538" customFormat="1" ht="18" customHeight="1">
      <c r="A181" s="3550" t="s">
        <v>2287</v>
      </c>
      <c r="B181" s="4685" t="s">
        <v>2288</v>
      </c>
      <c r="C181" s="4685"/>
      <c r="D181" s="3550" t="s">
        <v>2045</v>
      </c>
      <c r="E181" s="3560" t="s">
        <v>2289</v>
      </c>
      <c r="F181" s="3560" t="s">
        <v>2277</v>
      </c>
      <c r="G181" s="3560" t="s">
        <v>412</v>
      </c>
    </row>
    <row r="182" spans="1:8" s="3538" customFormat="1" ht="18" customHeight="1">
      <c r="A182" s="3550" t="s">
        <v>1968</v>
      </c>
      <c r="B182" s="3555">
        <f>E182*F182*G182</f>
        <v>1411.2903225806499</v>
      </c>
      <c r="C182" s="3538" t="s">
        <v>464</v>
      </c>
      <c r="E182" s="3586">
        <f>F177</f>
        <v>0.49780963759458402</v>
      </c>
      <c r="F182" s="3564">
        <f>E40</f>
        <v>900</v>
      </c>
      <c r="G182" s="3564">
        <f>C53</f>
        <v>3.15</v>
      </c>
    </row>
    <row r="183" spans="1:8" s="3538" customFormat="1" ht="18" customHeight="1">
      <c r="A183" s="4685" t="s">
        <v>2290</v>
      </c>
      <c r="B183" s="4685"/>
      <c r="C183" s="4685"/>
      <c r="D183" s="4685"/>
      <c r="E183" s="4685"/>
      <c r="F183" s="4685"/>
      <c r="G183" s="4685"/>
      <c r="H183" s="4685"/>
    </row>
    <row r="184" spans="1:8" s="3538" customFormat="1" ht="18" customHeight="1">
      <c r="A184" s="3550" t="s">
        <v>2291</v>
      </c>
      <c r="B184" s="3559">
        <v>3000</v>
      </c>
      <c r="C184" s="3538" t="s">
        <v>464</v>
      </c>
    </row>
    <row r="185" spans="1:8" s="3538" customFormat="1" ht="18" customHeight="1">
      <c r="A185" s="4685" t="s">
        <v>2292</v>
      </c>
      <c r="B185" s="4685"/>
      <c r="C185" s="4685"/>
      <c r="D185" s="4685"/>
      <c r="E185" s="4685"/>
      <c r="F185" s="4685"/>
      <c r="G185" s="4685"/>
      <c r="H185" s="4685"/>
    </row>
    <row r="186" spans="1:8" s="3538" customFormat="1" ht="18" customHeight="1">
      <c r="A186" s="3550" t="s">
        <v>2293</v>
      </c>
      <c r="B186" s="3562" t="s">
        <v>2294</v>
      </c>
      <c r="C186" s="3562"/>
      <c r="D186" s="3550" t="s">
        <v>2045</v>
      </c>
      <c r="E186" s="4697" t="s">
        <v>2295</v>
      </c>
      <c r="F186" s="4697"/>
      <c r="G186" s="4697"/>
      <c r="H186" s="4697"/>
    </row>
    <row r="187" spans="1:8" s="3538" customFormat="1" ht="18" customHeight="1">
      <c r="A187" s="3550" t="s">
        <v>1968</v>
      </c>
      <c r="B187" s="3559">
        <f>F188*F187</f>
        <v>0</v>
      </c>
      <c r="C187" s="3562" t="s">
        <v>464</v>
      </c>
      <c r="D187" s="3543"/>
      <c r="E187" s="3550" t="s">
        <v>2296</v>
      </c>
      <c r="F187" s="3559">
        <v>0</v>
      </c>
      <c r="G187" s="3543" t="s">
        <v>2297</v>
      </c>
    </row>
    <row r="188" spans="1:8" s="3538" customFormat="1" ht="18" customHeight="1">
      <c r="A188" s="3550"/>
      <c r="B188" s="3559"/>
      <c r="E188" s="3584" t="s">
        <v>2090</v>
      </c>
      <c r="F188" s="3565">
        <f>E58</f>
        <v>1.4</v>
      </c>
      <c r="G188" s="3579" t="s">
        <v>408</v>
      </c>
    </row>
    <row r="189" spans="1:8" s="3538" customFormat="1" ht="18" customHeight="1">
      <c r="A189" s="4685" t="s">
        <v>2298</v>
      </c>
      <c r="B189" s="4685"/>
      <c r="C189" s="4685"/>
      <c r="D189" s="4685"/>
      <c r="E189" s="4685"/>
      <c r="F189" s="4685"/>
      <c r="G189" s="4685"/>
      <c r="H189" s="4685"/>
    </row>
    <row r="190" spans="1:8" s="3538" customFormat="1" ht="18" customHeight="1">
      <c r="A190" s="3550" t="s">
        <v>2299</v>
      </c>
      <c r="B190" s="4685" t="s">
        <v>2300</v>
      </c>
      <c r="C190" s="4685"/>
      <c r="D190" s="3550" t="s">
        <v>2045</v>
      </c>
      <c r="E190" s="3560" t="s">
        <v>2301</v>
      </c>
      <c r="F190" s="3560" t="s">
        <v>2302</v>
      </c>
      <c r="G190" s="3560" t="s">
        <v>2303</v>
      </c>
      <c r="H190" s="3560" t="s">
        <v>2304</v>
      </c>
    </row>
    <row r="191" spans="1:8" s="3538" customFormat="1" ht="18" customHeight="1">
      <c r="A191" s="3550" t="s">
        <v>1968</v>
      </c>
      <c r="B191" s="3555">
        <f>E191+F191+G191+H191+E193+F193+G193+H193+D193</f>
        <v>89126.117483308597</v>
      </c>
      <c r="C191" s="3538" t="s">
        <v>464</v>
      </c>
      <c r="E191" s="3570">
        <f>B147</f>
        <v>15842.884920443499</v>
      </c>
      <c r="F191" s="3564">
        <f>B152</f>
        <v>65160.0102406554</v>
      </c>
      <c r="G191" s="3564">
        <f>B155</f>
        <v>1176</v>
      </c>
      <c r="H191" s="3564">
        <f>B164</f>
        <v>274.68</v>
      </c>
    </row>
    <row r="192" spans="1:8" s="3538" customFormat="1" ht="18" customHeight="1">
      <c r="A192" s="3550"/>
      <c r="B192" s="3555"/>
      <c r="D192" s="3560" t="s">
        <v>2305</v>
      </c>
      <c r="E192" s="3560" t="s">
        <v>2306</v>
      </c>
      <c r="F192" s="3560" t="s">
        <v>2307</v>
      </c>
      <c r="G192" s="3560" t="s">
        <v>2308</v>
      </c>
      <c r="H192" s="3560" t="s">
        <v>2309</v>
      </c>
    </row>
    <row r="193" spans="1:8" s="3538" customFormat="1" ht="18" customHeight="1">
      <c r="A193" s="3550"/>
      <c r="B193" s="3555"/>
      <c r="D193" s="3564">
        <f>B187</f>
        <v>0</v>
      </c>
      <c r="E193" s="3570">
        <f>B167</f>
        <v>1847.8064877044001</v>
      </c>
      <c r="F193" s="3564">
        <f>B174</f>
        <v>413.44551192464598</v>
      </c>
      <c r="G193" s="3564">
        <f>B182</f>
        <v>1411.2903225806499</v>
      </c>
      <c r="H193" s="3564">
        <f>B184</f>
        <v>3000</v>
      </c>
    </row>
    <row r="194" spans="1:8" s="3538" customFormat="1" ht="18" customHeight="1">
      <c r="A194" s="4685" t="s">
        <v>2310</v>
      </c>
      <c r="B194" s="4685"/>
      <c r="C194" s="4685"/>
      <c r="D194" s="4685"/>
      <c r="E194" s="4685"/>
      <c r="F194" s="4685"/>
      <c r="G194" s="4685"/>
      <c r="H194" s="4685"/>
    </row>
    <row r="195" spans="1:8" s="3538" customFormat="1" ht="18" customHeight="1">
      <c r="A195" s="4685" t="s">
        <v>2311</v>
      </c>
      <c r="B195" s="4685"/>
      <c r="C195" s="4685"/>
      <c r="D195" s="4685"/>
      <c r="E195" s="4685"/>
      <c r="F195" s="4685"/>
      <c r="G195" s="4685"/>
      <c r="H195" s="4685"/>
    </row>
    <row r="196" spans="1:8" s="3538" customFormat="1" ht="18" customHeight="1">
      <c r="A196" s="3550" t="s">
        <v>2312</v>
      </c>
      <c r="B196" s="4685" t="s">
        <v>2313</v>
      </c>
      <c r="C196" s="4685"/>
      <c r="D196" s="3550" t="s">
        <v>2045</v>
      </c>
      <c r="E196" s="3560" t="s">
        <v>475</v>
      </c>
      <c r="F196" s="3560" t="s">
        <v>430</v>
      </c>
    </row>
    <row r="197" spans="1:8" s="3538" customFormat="1" ht="18" customHeight="1">
      <c r="A197" s="3550" t="s">
        <v>1968</v>
      </c>
      <c r="B197" s="3555">
        <f>E197*F197</f>
        <v>280747.27007242199</v>
      </c>
      <c r="C197" s="3538" t="s">
        <v>2314</v>
      </c>
      <c r="E197" s="3570">
        <f>B191</f>
        <v>89126.117483308597</v>
      </c>
      <c r="F197" s="3564">
        <f>C53</f>
        <v>3.15</v>
      </c>
    </row>
    <row r="198" spans="1:8" s="3538" customFormat="1" ht="18" customHeight="1">
      <c r="A198" s="3550" t="s">
        <v>1968</v>
      </c>
      <c r="B198" s="3555">
        <f>B197/1000</f>
        <v>280.747270072422</v>
      </c>
      <c r="C198" s="3538" t="s">
        <v>2315</v>
      </c>
    </row>
    <row r="199" spans="1:8" s="3538" customFormat="1" ht="18" customHeight="1">
      <c r="A199" s="4685" t="s">
        <v>2316</v>
      </c>
      <c r="B199" s="4685"/>
      <c r="C199" s="4685"/>
      <c r="D199" s="4685"/>
      <c r="E199" s="4685"/>
      <c r="F199" s="4685"/>
      <c r="G199" s="4685"/>
      <c r="H199" s="4685"/>
    </row>
    <row r="200" spans="1:8" s="3538" customFormat="1" ht="18" customHeight="1">
      <c r="A200" s="3550" t="s">
        <v>2317</v>
      </c>
      <c r="B200" s="4685" t="s">
        <v>2318</v>
      </c>
      <c r="C200" s="4685"/>
      <c r="D200" s="3550" t="s">
        <v>2045</v>
      </c>
      <c r="E200" s="4697" t="s">
        <v>2319</v>
      </c>
      <c r="F200" s="4697"/>
      <c r="G200" s="4697"/>
      <c r="H200" s="4697"/>
    </row>
    <row r="201" spans="1:8" s="3538" customFormat="1" ht="18" customHeight="1">
      <c r="A201" s="3550" t="s">
        <v>1968</v>
      </c>
      <c r="B201" s="3555">
        <f>B198/(F201*F203*F205*F207*F209)</f>
        <v>371.29941494072898</v>
      </c>
      <c r="C201" s="3538" t="s">
        <v>2315</v>
      </c>
      <c r="E201" s="3550" t="s">
        <v>2320</v>
      </c>
      <c r="F201" s="3559">
        <v>0.94</v>
      </c>
    </row>
    <row r="202" spans="1:8" s="3538" customFormat="1" ht="18" customHeight="1">
      <c r="E202" s="4697" t="s">
        <v>2321</v>
      </c>
      <c r="F202" s="4697"/>
      <c r="G202" s="4697"/>
      <c r="H202" s="4697"/>
    </row>
    <row r="203" spans="1:8" s="3538" customFormat="1" ht="18" customHeight="1">
      <c r="E203" s="3550" t="s">
        <v>2322</v>
      </c>
      <c r="F203" s="3559">
        <v>0.96</v>
      </c>
    </row>
    <row r="204" spans="1:8" s="3538" customFormat="1" ht="18" customHeight="1">
      <c r="E204" s="4697" t="s">
        <v>2323</v>
      </c>
      <c r="F204" s="4697"/>
      <c r="G204" s="4697"/>
      <c r="H204" s="4697"/>
    </row>
    <row r="205" spans="1:8" s="3538" customFormat="1" ht="18" customHeight="1">
      <c r="E205" s="3550" t="s">
        <v>2324</v>
      </c>
      <c r="F205" s="3559">
        <v>0.98</v>
      </c>
    </row>
    <row r="206" spans="1:8" s="3538" customFormat="1" ht="18" customHeight="1">
      <c r="E206" s="4697" t="s">
        <v>2325</v>
      </c>
      <c r="F206" s="4697"/>
      <c r="G206" s="4697"/>
      <c r="H206" s="4697"/>
    </row>
    <row r="207" spans="1:8" s="3538" customFormat="1" ht="18" customHeight="1">
      <c r="E207" s="3550" t="s">
        <v>2324</v>
      </c>
      <c r="F207" s="3559">
        <v>0.9</v>
      </c>
    </row>
    <row r="208" spans="1:8" s="3538" customFormat="1" ht="18" customHeight="1">
      <c r="E208" s="4697" t="s">
        <v>2326</v>
      </c>
      <c r="F208" s="4697"/>
      <c r="G208" s="4697"/>
      <c r="H208" s="4697"/>
    </row>
    <row r="209" spans="1:8" s="3538" customFormat="1" ht="18" customHeight="1">
      <c r="E209" s="3550" t="s">
        <v>2324</v>
      </c>
      <c r="F209" s="3559">
        <v>0.95</v>
      </c>
    </row>
    <row r="210" spans="1:8" s="3538" customFormat="1" ht="18" customHeight="1">
      <c r="A210" s="4685" t="s">
        <v>2327</v>
      </c>
      <c r="B210" s="4685"/>
      <c r="C210" s="4685"/>
      <c r="D210" s="4685"/>
      <c r="E210" s="4685"/>
      <c r="F210" s="4685"/>
      <c r="G210" s="4685"/>
      <c r="H210" s="4685"/>
    </row>
    <row r="211" spans="1:8" s="3538" customFormat="1" ht="18" customHeight="1">
      <c r="A211" s="4685" t="s">
        <v>2328</v>
      </c>
      <c r="B211" s="4685"/>
      <c r="C211" s="3585">
        <f>B147</f>
        <v>15842.884920443499</v>
      </c>
      <c r="D211" s="3538" t="s">
        <v>464</v>
      </c>
      <c r="E211" s="3562"/>
      <c r="F211" s="3562"/>
      <c r="G211" s="3562"/>
      <c r="H211" s="3562"/>
    </row>
    <row r="212" spans="1:8" s="3538" customFormat="1" ht="18" customHeight="1">
      <c r="A212" s="4685" t="s">
        <v>2329</v>
      </c>
      <c r="B212" s="4685"/>
      <c r="C212" s="3585">
        <f>B152</f>
        <v>65160.0102406554</v>
      </c>
      <c r="D212" s="3538" t="s">
        <v>464</v>
      </c>
      <c r="E212" s="3562"/>
      <c r="F212" s="3562"/>
      <c r="G212" s="3562"/>
      <c r="H212" s="3562"/>
    </row>
    <row r="213" spans="1:8" s="3538" customFormat="1" ht="18" customHeight="1">
      <c r="A213" s="4685" t="s">
        <v>2330</v>
      </c>
      <c r="B213" s="4685"/>
      <c r="C213" s="4685"/>
      <c r="D213" s="4685"/>
      <c r="E213" s="4685"/>
      <c r="F213" s="4685"/>
      <c r="G213" s="4685"/>
      <c r="H213" s="4685"/>
    </row>
    <row r="214" spans="1:8" s="3538" customFormat="1" ht="18" customHeight="1">
      <c r="A214" s="3562" t="s">
        <v>2331</v>
      </c>
      <c r="B214" s="3591" t="s">
        <v>2332</v>
      </c>
      <c r="C214" s="3562" t="s">
        <v>2333</v>
      </c>
      <c r="D214" s="3591">
        <v>6000</v>
      </c>
      <c r="E214" s="3562" t="s">
        <v>2334</v>
      </c>
      <c r="F214" s="3591">
        <v>2</v>
      </c>
      <c r="G214" s="3538" t="s">
        <v>2335</v>
      </c>
      <c r="H214" s="3562"/>
    </row>
    <row r="215" spans="1:8" s="3538" customFormat="1" ht="18" customHeight="1">
      <c r="A215" s="3562"/>
      <c r="B215" s="3562" t="s">
        <v>2336</v>
      </c>
      <c r="C215" s="3551">
        <v>220</v>
      </c>
      <c r="D215" s="3562" t="s">
        <v>2337</v>
      </c>
      <c r="E215" s="4685" t="s">
        <v>2338</v>
      </c>
      <c r="F215" s="4685"/>
      <c r="G215" s="3559">
        <v>1500</v>
      </c>
      <c r="H215" s="3562" t="s">
        <v>227</v>
      </c>
    </row>
    <row r="216" spans="1:8" s="3538" customFormat="1" ht="18" customHeight="1">
      <c r="A216" s="3550" t="s">
        <v>2339</v>
      </c>
      <c r="B216" s="3565">
        <f>B78/1000</f>
        <v>0.8</v>
      </c>
      <c r="C216" s="3538" t="s">
        <v>2340</v>
      </c>
      <c r="D216" s="3550" t="s">
        <v>2341</v>
      </c>
      <c r="E216" s="3565">
        <f>C53</f>
        <v>3.15</v>
      </c>
      <c r="F216" s="3562" t="s">
        <v>2342</v>
      </c>
      <c r="G216" s="3562" t="s">
        <v>2343</v>
      </c>
      <c r="H216" s="3555">
        <f>60*E216/(3.1415926*B216)</f>
        <v>75.200711893706398</v>
      </c>
    </row>
    <row r="217" spans="1:8" s="3538" customFormat="1" ht="18" customHeight="1">
      <c r="A217" s="3574" t="s">
        <v>2344</v>
      </c>
      <c r="B217" s="3555">
        <f>G215/H216</f>
        <v>19.946619682539701</v>
      </c>
      <c r="C217" s="3574" t="s">
        <v>2345</v>
      </c>
      <c r="D217" s="3568">
        <v>20</v>
      </c>
      <c r="E217" s="3574" t="s">
        <v>2346</v>
      </c>
      <c r="F217" s="3592">
        <f>G215*3.1415926*B216/(60*D217)</f>
        <v>3.1415926000000001</v>
      </c>
      <c r="G217" s="3562" t="s">
        <v>2135</v>
      </c>
      <c r="H217" s="3562"/>
    </row>
    <row r="218" spans="1:8" s="3538" customFormat="1" ht="18" customHeight="1">
      <c r="A218" s="4716" t="s">
        <v>2347</v>
      </c>
      <c r="B218" s="4716"/>
      <c r="C218" s="4716"/>
      <c r="D218" s="4716"/>
      <c r="E218" s="4716"/>
      <c r="F218" s="4716"/>
      <c r="G218" s="4716"/>
      <c r="H218" s="4716"/>
    </row>
    <row r="219" spans="1:8" s="3538" customFormat="1" ht="18" customHeight="1">
      <c r="A219" s="4698" t="s">
        <v>2348</v>
      </c>
      <c r="B219" s="4698" t="s">
        <v>2349</v>
      </c>
      <c r="C219" s="4698" t="s">
        <v>2350</v>
      </c>
      <c r="D219" s="4698" t="s">
        <v>1064</v>
      </c>
      <c r="E219" s="4698" t="s">
        <v>2351</v>
      </c>
      <c r="F219" s="4699" t="s">
        <v>2352</v>
      </c>
      <c r="G219" s="4700" t="s">
        <v>2353</v>
      </c>
      <c r="H219" s="4701"/>
    </row>
    <row r="220" spans="1:8" s="3538" customFormat="1" ht="18" customHeight="1">
      <c r="A220" s="4698"/>
      <c r="B220" s="4698"/>
      <c r="C220" s="4698"/>
      <c r="D220" s="4698"/>
      <c r="E220" s="4698"/>
      <c r="F220" s="4699"/>
      <c r="G220" s="4702"/>
      <c r="H220" s="4703"/>
    </row>
    <row r="221" spans="1:8" s="3538" customFormat="1" ht="18" customHeight="1">
      <c r="A221" s="4698"/>
      <c r="B221" s="4698"/>
      <c r="C221" s="4698"/>
      <c r="D221" s="4698"/>
      <c r="E221" s="4698"/>
      <c r="F221" s="4699"/>
      <c r="G221" s="4704"/>
      <c r="H221" s="4705"/>
    </row>
    <row r="222" spans="1:8" s="3538" customFormat="1" ht="18" customHeight="1">
      <c r="A222" s="3564">
        <f>B198/2</f>
        <v>140.373635036211</v>
      </c>
      <c r="B222" s="3564">
        <f>G215</f>
        <v>1500</v>
      </c>
      <c r="C222" s="3593">
        <f>D217</f>
        <v>20</v>
      </c>
      <c r="D222" s="3594">
        <v>1.5</v>
      </c>
      <c r="E222" s="3595">
        <f>B222/C222</f>
        <v>75</v>
      </c>
      <c r="F222" s="3595">
        <f>D222*A222</f>
        <v>210.56045255431701</v>
      </c>
      <c r="G222" s="4710" t="s">
        <v>2354</v>
      </c>
      <c r="H222" s="4711"/>
    </row>
    <row r="223" spans="1:8" s="3538" customFormat="1" ht="18" customHeight="1">
      <c r="A223" s="4698" t="s">
        <v>2355</v>
      </c>
      <c r="B223" s="4698" t="s">
        <v>2356</v>
      </c>
      <c r="C223" s="4698" t="s">
        <v>2357</v>
      </c>
      <c r="D223" s="4698" t="s">
        <v>2358</v>
      </c>
      <c r="E223" s="4698" t="s">
        <v>2359</v>
      </c>
      <c r="F223" s="4699" t="s">
        <v>2360</v>
      </c>
      <c r="G223" s="4700" t="s">
        <v>2361</v>
      </c>
      <c r="H223" s="4701"/>
    </row>
    <row r="224" spans="1:8" s="3538" customFormat="1" ht="18" customHeight="1">
      <c r="A224" s="4698"/>
      <c r="B224" s="4698"/>
      <c r="C224" s="4698"/>
      <c r="D224" s="4698"/>
      <c r="E224" s="4698"/>
      <c r="F224" s="4699"/>
      <c r="G224" s="4704"/>
      <c r="H224" s="4705"/>
    </row>
    <row r="225" spans="1:9" s="3538" customFormat="1" ht="18" customHeight="1">
      <c r="A225" s="3594">
        <v>105</v>
      </c>
      <c r="B225" s="3594">
        <v>0.75</v>
      </c>
      <c r="C225" s="3594">
        <v>0.98</v>
      </c>
      <c r="D225" s="3594">
        <v>1</v>
      </c>
      <c r="E225" s="3594">
        <v>0.82</v>
      </c>
      <c r="F225" s="3595">
        <f>A225*B225*C225*D225*E225</f>
        <v>63.283499999999997</v>
      </c>
      <c r="G225" s="4712" t="s">
        <v>2362</v>
      </c>
      <c r="H225" s="4711"/>
    </row>
    <row r="226" spans="1:9" s="3538" customFormat="1" ht="18" customHeight="1">
      <c r="A226" s="3594">
        <v>203</v>
      </c>
      <c r="B226" s="3594">
        <v>0.75</v>
      </c>
      <c r="C226" s="3594">
        <v>0.98</v>
      </c>
      <c r="D226" s="3594">
        <v>1</v>
      </c>
      <c r="E226" s="3594">
        <v>1.47</v>
      </c>
      <c r="F226" s="3595">
        <f>A226*B226*C226*D226*E226</f>
        <v>219.33134999999999</v>
      </c>
      <c r="G226" s="4712" t="s">
        <v>2363</v>
      </c>
      <c r="H226" s="4713"/>
    </row>
    <row r="227" spans="1:9" s="3538" customFormat="1" ht="18" customHeight="1">
      <c r="A227" s="3594">
        <v>323</v>
      </c>
      <c r="B227" s="3594">
        <v>0.75</v>
      </c>
      <c r="C227" s="3594">
        <v>0.98</v>
      </c>
      <c r="D227" s="3594">
        <v>1</v>
      </c>
      <c r="E227" s="3594">
        <v>1.47</v>
      </c>
      <c r="F227" s="3595">
        <f>A227*B227*C227*D227*E227</f>
        <v>348.98534999999998</v>
      </c>
      <c r="G227" s="3596"/>
      <c r="H227" s="3596"/>
    </row>
    <row r="228" spans="1:9" s="3538" customFormat="1" ht="18" customHeight="1">
      <c r="A228" s="4714" t="s">
        <v>2364</v>
      </c>
      <c r="B228" s="4714"/>
      <c r="C228" s="4712" t="s">
        <v>2365</v>
      </c>
      <c r="D228" s="4715"/>
      <c r="E228" s="4683"/>
      <c r="F228" s="4683"/>
      <c r="G228" s="4683"/>
      <c r="H228" s="4681"/>
    </row>
    <row r="229" spans="1:9" s="3538" customFormat="1" ht="18" customHeight="1">
      <c r="A229" s="4685" t="s">
        <v>2366</v>
      </c>
      <c r="B229" s="4685"/>
      <c r="C229" s="4685"/>
      <c r="D229" s="4685"/>
      <c r="E229" s="4685"/>
      <c r="F229" s="4685"/>
      <c r="G229" s="4685"/>
      <c r="H229" s="4685"/>
    </row>
    <row r="230" spans="1:9" s="3538" customFormat="1" ht="18" customHeight="1">
      <c r="A230" s="4685" t="s">
        <v>2367</v>
      </c>
      <c r="B230" s="4685"/>
      <c r="C230" s="4685"/>
      <c r="D230" s="4685"/>
      <c r="E230" s="4685"/>
      <c r="F230" s="4685"/>
      <c r="G230" s="4685"/>
      <c r="H230" s="4685"/>
    </row>
    <row r="231" spans="1:9" s="3538" customFormat="1" ht="18" customHeight="1">
      <c r="A231" s="4685" t="s">
        <v>2368</v>
      </c>
      <c r="B231" s="4685"/>
      <c r="C231" s="4685"/>
      <c r="D231" s="4685"/>
      <c r="E231" s="4685"/>
      <c r="F231" s="4685"/>
      <c r="G231" s="4685"/>
      <c r="H231" s="4685"/>
    </row>
    <row r="232" spans="1:9" s="3538" customFormat="1" ht="27" customHeight="1">
      <c r="A232" s="3550" t="s">
        <v>2369</v>
      </c>
      <c r="B232" s="3538" t="s">
        <v>2370</v>
      </c>
      <c r="D232" s="3550" t="s">
        <v>2045</v>
      </c>
      <c r="E232" s="4697" t="s">
        <v>2371</v>
      </c>
      <c r="F232" s="4697"/>
      <c r="G232" s="4697"/>
      <c r="H232" s="4697"/>
    </row>
    <row r="233" spans="1:9" s="3538" customFormat="1" ht="18" customHeight="1">
      <c r="A233" s="3550"/>
      <c r="B233" s="3555"/>
      <c r="E233" s="3550" t="s">
        <v>2208</v>
      </c>
      <c r="F233" s="3585">
        <f>H83</f>
        <v>1.2</v>
      </c>
      <c r="G233" s="3538" t="s">
        <v>408</v>
      </c>
    </row>
    <row r="234" spans="1:9" s="3538" customFormat="1" ht="18" customHeight="1">
      <c r="A234" s="3550" t="s">
        <v>2045</v>
      </c>
      <c r="B234" s="3560" t="s">
        <v>1155</v>
      </c>
      <c r="C234" s="3560" t="s">
        <v>2240</v>
      </c>
      <c r="E234" s="4685" t="s">
        <v>2372</v>
      </c>
      <c r="F234" s="4685"/>
      <c r="G234" s="4685"/>
      <c r="H234" s="4685"/>
    </row>
    <row r="235" spans="1:9" s="3538" customFormat="1" ht="27.75" customHeight="1">
      <c r="B235" s="3570">
        <f>C73</f>
        <v>142.23132502702401</v>
      </c>
      <c r="C235" s="3564">
        <f>C71</f>
        <v>32.340000000000003</v>
      </c>
      <c r="E235" s="3599" t="s">
        <v>2373</v>
      </c>
      <c r="F235" s="3559">
        <v>0.01</v>
      </c>
    </row>
    <row r="236" spans="1:9" s="3538" customFormat="1" ht="18" customHeight="1">
      <c r="A236" s="3550" t="s">
        <v>2369</v>
      </c>
      <c r="B236" s="3555">
        <f>(F233*(B235+C235)*9.81)/(8*F235)</f>
        <v>25688.170477726599</v>
      </c>
      <c r="C236" s="3538" t="s">
        <v>464</v>
      </c>
      <c r="E236" s="3599"/>
      <c r="F236" s="3559"/>
    </row>
    <row r="237" spans="1:9" s="3538" customFormat="1" ht="18" customHeight="1">
      <c r="A237" s="4685" t="s">
        <v>2374</v>
      </c>
      <c r="B237" s="4685"/>
      <c r="C237" s="4685"/>
      <c r="D237" s="4685"/>
      <c r="E237" s="4685"/>
      <c r="F237" s="4685"/>
      <c r="G237" s="4685"/>
      <c r="H237" s="4685"/>
    </row>
    <row r="238" spans="1:9" s="3538" customFormat="1" ht="18" customHeight="1">
      <c r="A238" s="3550" t="s">
        <v>2375</v>
      </c>
      <c r="B238" s="3538" t="s">
        <v>2376</v>
      </c>
      <c r="D238" s="3550" t="s">
        <v>2045</v>
      </c>
      <c r="E238" s="3543" t="s">
        <v>2377</v>
      </c>
      <c r="F238" s="3543"/>
      <c r="G238" s="3543"/>
      <c r="H238" s="3560" t="s">
        <v>2240</v>
      </c>
    </row>
    <row r="239" spans="1:9" s="3538" customFormat="1" ht="18" customHeight="1">
      <c r="A239" s="3550" t="s">
        <v>1968</v>
      </c>
      <c r="B239" s="3555">
        <f>F239*H239*9.81/(8*F235)</f>
        <v>11897.077499999999</v>
      </c>
      <c r="C239" s="3538" t="s">
        <v>464</v>
      </c>
      <c r="E239" s="3550" t="s">
        <v>2221</v>
      </c>
      <c r="F239" s="3585">
        <f>H88</f>
        <v>3</v>
      </c>
      <c r="G239" s="3538" t="s">
        <v>408</v>
      </c>
      <c r="H239" s="3564">
        <f>C71</f>
        <v>32.340000000000003</v>
      </c>
      <c r="I239" s="3562"/>
    </row>
    <row r="240" spans="1:9" s="3538" customFormat="1" ht="18" customHeight="1">
      <c r="A240" s="4685" t="s">
        <v>2378</v>
      </c>
      <c r="B240" s="4685"/>
      <c r="C240" s="4685"/>
      <c r="D240" s="4685"/>
      <c r="E240" s="4685"/>
      <c r="F240" s="4685"/>
      <c r="G240" s="4685"/>
      <c r="H240" s="4685"/>
    </row>
    <row r="241" spans="1:8" s="3538" customFormat="1" ht="18" customHeight="1">
      <c r="A241" s="3550" t="s">
        <v>2379</v>
      </c>
      <c r="B241" s="3538" t="s">
        <v>2380</v>
      </c>
      <c r="D241" s="3550" t="s">
        <v>2045</v>
      </c>
      <c r="E241" s="4697" t="s">
        <v>2381</v>
      </c>
      <c r="F241" s="4697"/>
      <c r="G241" s="4697"/>
      <c r="H241" s="4697"/>
    </row>
    <row r="242" spans="1:8" s="3538" customFormat="1" ht="18" customHeight="1">
      <c r="A242" s="3550"/>
      <c r="B242" s="3555"/>
      <c r="E242" s="3550" t="s">
        <v>2382</v>
      </c>
      <c r="F242" s="3559">
        <v>1.3</v>
      </c>
    </row>
    <row r="243" spans="1:8" s="3538" customFormat="1" ht="18" customHeight="1">
      <c r="C243" s="1355"/>
      <c r="E243" s="4697" t="s">
        <v>2383</v>
      </c>
      <c r="F243" s="4697"/>
      <c r="G243" s="4697"/>
      <c r="H243" s="4697"/>
    </row>
    <row r="244" spans="1:8" s="3538" customFormat="1" ht="18" customHeight="1">
      <c r="A244" s="4697" t="s">
        <v>2384</v>
      </c>
      <c r="B244" s="4682"/>
      <c r="C244" s="1355"/>
      <c r="E244" s="3543"/>
      <c r="F244" s="3543"/>
      <c r="G244" s="3543"/>
      <c r="H244" s="3562"/>
    </row>
    <row r="245" spans="1:8" s="3538" customFormat="1" ht="18" customHeight="1">
      <c r="A245" s="3550" t="s">
        <v>2385</v>
      </c>
      <c r="B245" s="3574" t="s">
        <v>2386</v>
      </c>
      <c r="E245" s="3600" t="s">
        <v>2387</v>
      </c>
      <c r="G245" s="3559">
        <v>200</v>
      </c>
      <c r="H245" s="3538" t="s">
        <v>2388</v>
      </c>
    </row>
    <row r="246" spans="1:8" s="3538" customFormat="1" ht="18" customHeight="1">
      <c r="A246" s="3550" t="s">
        <v>1968</v>
      </c>
      <c r="B246" s="3555">
        <f>F242*F247/(2*(F246-1))</f>
        <v>24208.384710952399</v>
      </c>
      <c r="C246" s="3538" t="s">
        <v>464</v>
      </c>
      <c r="E246" s="3550" t="s">
        <v>2389</v>
      </c>
      <c r="F246" s="3555">
        <f>EXP(H246*G245*3.1415926/180)</f>
        <v>3.39305418580616</v>
      </c>
      <c r="G246" s="3550" t="s">
        <v>2390</v>
      </c>
      <c r="H246" s="3565">
        <f>D94</f>
        <v>0.35</v>
      </c>
    </row>
    <row r="247" spans="1:8" s="3538" customFormat="1" ht="18" customHeight="1">
      <c r="A247" s="3550" t="s">
        <v>2391</v>
      </c>
      <c r="B247" s="3549">
        <f>B246*1.36</f>
        <v>32923.403206895302</v>
      </c>
      <c r="C247" s="3538" t="s">
        <v>464</v>
      </c>
      <c r="D247" s="3562"/>
      <c r="E247" s="3584" t="s">
        <v>2299</v>
      </c>
      <c r="F247" s="3565">
        <f>B191</f>
        <v>89126.117483308597</v>
      </c>
      <c r="G247" s="3538" t="s">
        <v>464</v>
      </c>
      <c r="H247" s="3562"/>
    </row>
    <row r="248" spans="1:8" s="3538" customFormat="1" ht="18" customHeight="1">
      <c r="A248" s="4697" t="s">
        <v>2392</v>
      </c>
      <c r="B248" s="4682"/>
      <c r="D248" s="3562"/>
      <c r="E248" s="3584"/>
      <c r="F248" s="3565"/>
      <c r="H248" s="3562"/>
    </row>
    <row r="249" spans="1:8" s="3538" customFormat="1" ht="18" customHeight="1">
      <c r="A249" s="3550" t="s">
        <v>2393</v>
      </c>
      <c r="B249" s="3538" t="s">
        <v>2394</v>
      </c>
      <c r="D249" s="3562"/>
      <c r="E249" s="3584"/>
      <c r="F249" s="3565"/>
      <c r="H249" s="3562"/>
    </row>
    <row r="250" spans="1:8" s="3538" customFormat="1" ht="18" customHeight="1">
      <c r="A250" s="3550" t="s">
        <v>1968</v>
      </c>
      <c r="B250" s="3555">
        <f>B247+(F247/2)</f>
        <v>77486.461948549593</v>
      </c>
      <c r="C250" s="3538" t="s">
        <v>464</v>
      </c>
      <c r="D250" s="3562"/>
      <c r="E250" s="3584"/>
      <c r="F250" s="3565"/>
      <c r="H250" s="3562"/>
    </row>
    <row r="251" spans="1:8" s="3538" customFormat="1" ht="18" customHeight="1">
      <c r="A251" s="3550" t="s">
        <v>2151</v>
      </c>
      <c r="B251" s="3555">
        <f>B250/B247</f>
        <v>2.3535374354107299</v>
      </c>
      <c r="C251" s="3538" t="s">
        <v>2395</v>
      </c>
      <c r="D251" s="3550" t="s">
        <v>2389</v>
      </c>
      <c r="E251" s="3555">
        <f>F246</f>
        <v>3.39305418580616</v>
      </c>
      <c r="F251" s="3565"/>
      <c r="H251" s="3562"/>
    </row>
    <row r="252" spans="1:8" ht="18" customHeight="1">
      <c r="A252" s="4685" t="s">
        <v>2396</v>
      </c>
      <c r="B252" s="4685"/>
      <c r="C252" s="4685"/>
      <c r="D252" s="4685"/>
      <c r="E252" s="4685"/>
      <c r="F252" s="4685"/>
      <c r="G252" s="4685"/>
      <c r="H252" s="4685"/>
    </row>
    <row r="253" spans="1:8" ht="18" customHeight="1">
      <c r="A253" s="4685" t="s">
        <v>2397</v>
      </c>
      <c r="B253" s="4685"/>
      <c r="C253" s="4687"/>
      <c r="D253" s="3562"/>
      <c r="E253" s="3562"/>
      <c r="F253" s="3562"/>
      <c r="G253" s="3562"/>
      <c r="H253" s="3562"/>
    </row>
    <row r="254" spans="1:8" ht="18" customHeight="1">
      <c r="A254" s="3550" t="s">
        <v>2398</v>
      </c>
      <c r="B254" s="3555">
        <f>B250</f>
        <v>77486.461948549593</v>
      </c>
      <c r="C254" s="3538" t="s">
        <v>464</v>
      </c>
      <c r="D254" s="3550"/>
      <c r="E254" s="3584"/>
      <c r="F254" s="3565"/>
      <c r="G254" s="3538"/>
      <c r="H254" s="3562"/>
    </row>
    <row r="255" spans="1:8" ht="18" customHeight="1">
      <c r="A255" s="4685" t="s">
        <v>2399</v>
      </c>
      <c r="B255" s="4685"/>
      <c r="C255" s="4687"/>
      <c r="D255" s="3538"/>
      <c r="E255" s="3550"/>
      <c r="F255" s="3565"/>
      <c r="G255" s="3538"/>
      <c r="H255" s="3538"/>
    </row>
    <row r="256" spans="1:8" ht="18" customHeight="1">
      <c r="A256" s="3550" t="s">
        <v>2400</v>
      </c>
      <c r="B256" s="3538" t="s">
        <v>2401</v>
      </c>
      <c r="C256" s="3538"/>
      <c r="D256" s="3538"/>
      <c r="E256" s="3550"/>
      <c r="F256" s="3565"/>
      <c r="G256" s="3538"/>
      <c r="H256" s="3538"/>
    </row>
    <row r="257" spans="1:8" ht="18" customHeight="1">
      <c r="A257" s="3550" t="s">
        <v>1968</v>
      </c>
      <c r="B257" s="3555">
        <f>B254+(F247/2)</f>
        <v>122049.52069020399</v>
      </c>
      <c r="C257" s="3538" t="s">
        <v>464</v>
      </c>
      <c r="D257" s="3538"/>
      <c r="E257" s="3550"/>
      <c r="F257" s="3565"/>
      <c r="G257" s="3538"/>
      <c r="H257" s="3538"/>
    </row>
    <row r="258" spans="1:8" ht="18" customHeight="1">
      <c r="A258" s="3550" t="s">
        <v>2151</v>
      </c>
      <c r="B258" s="3555">
        <f>B257/B254</f>
        <v>1.5751076719859001</v>
      </c>
      <c r="C258" s="3538" t="s">
        <v>2395</v>
      </c>
      <c r="D258" s="3550" t="s">
        <v>2389</v>
      </c>
      <c r="E258" s="3555">
        <f>E251</f>
        <v>3.39305418580616</v>
      </c>
      <c r="F258" s="3565"/>
      <c r="G258" s="3538"/>
      <c r="H258" s="3538"/>
    </row>
    <row r="259" spans="1:8" ht="18" customHeight="1">
      <c r="A259" s="4685" t="s">
        <v>2402</v>
      </c>
      <c r="B259" s="4685"/>
      <c r="C259" s="4685"/>
      <c r="D259" s="4685"/>
      <c r="E259" s="4685"/>
      <c r="F259" s="4685"/>
      <c r="G259" s="4685"/>
      <c r="H259" s="4685"/>
    </row>
    <row r="260" spans="1:8" ht="18" customHeight="1">
      <c r="A260" s="3550" t="s">
        <v>2403</v>
      </c>
      <c r="B260" s="4685" t="s">
        <v>2404</v>
      </c>
      <c r="C260" s="4685"/>
      <c r="D260" s="4685"/>
      <c r="E260" s="3538"/>
      <c r="F260" s="3538"/>
      <c r="G260" s="3538"/>
      <c r="H260" s="3538"/>
    </row>
    <row r="261" spans="1:8" ht="18" customHeight="1">
      <c r="A261" s="3550" t="s">
        <v>2045</v>
      </c>
      <c r="B261" s="3560" t="s">
        <v>2405</v>
      </c>
      <c r="C261" s="3560" t="s">
        <v>1167</v>
      </c>
      <c r="D261" s="3560" t="s">
        <v>2243</v>
      </c>
      <c r="E261" s="3560" t="s">
        <v>1155</v>
      </c>
      <c r="F261" s="3560" t="s">
        <v>2240</v>
      </c>
      <c r="G261" s="3560" t="s">
        <v>2241</v>
      </c>
      <c r="H261" s="3538"/>
    </row>
    <row r="262" spans="1:8" ht="18" customHeight="1">
      <c r="A262" s="3538"/>
      <c r="B262" s="3570">
        <f>B257</f>
        <v>122049.52069020399</v>
      </c>
      <c r="C262" s="3570">
        <f>C45</f>
        <v>298.54300000000001</v>
      </c>
      <c r="D262" s="3570">
        <f>D93</f>
        <v>2.3E-2</v>
      </c>
      <c r="E262" s="3570">
        <f>C73</f>
        <v>142.23132502702401</v>
      </c>
      <c r="F262" s="3570">
        <f>C71</f>
        <v>32.340000000000003</v>
      </c>
      <c r="G262" s="3570">
        <f>D85</f>
        <v>20.524999999999999</v>
      </c>
      <c r="H262" s="3538"/>
    </row>
    <row r="263" spans="1:8" ht="29.25" customHeight="1">
      <c r="A263" s="3538"/>
      <c r="B263" s="3601" t="s">
        <v>2406</v>
      </c>
      <c r="C263" s="3601" t="s">
        <v>2407</v>
      </c>
      <c r="D263" s="3602" t="s">
        <v>2408</v>
      </c>
      <c r="E263" s="3560" t="s">
        <v>487</v>
      </c>
      <c r="F263" s="3560" t="s">
        <v>2244</v>
      </c>
      <c r="G263" s="3603"/>
      <c r="H263" s="3538"/>
    </row>
    <row r="264" spans="1:8" ht="18" customHeight="1">
      <c r="A264" s="3538"/>
      <c r="B264" s="3570">
        <f>B167</f>
        <v>1847.8064877044001</v>
      </c>
      <c r="C264" s="3570">
        <f>B174</f>
        <v>413.44551192464598</v>
      </c>
      <c r="D264" s="3570">
        <f>B182</f>
        <v>1411.2903225806499</v>
      </c>
      <c r="E264" s="3570">
        <f>C55</f>
        <v>46.7</v>
      </c>
      <c r="F264" s="3570">
        <v>9.81</v>
      </c>
      <c r="G264" s="3603"/>
      <c r="H264" s="3538"/>
    </row>
    <row r="265" spans="1:8" ht="18" customHeight="1">
      <c r="A265" s="3550" t="s">
        <v>2403</v>
      </c>
      <c r="B265" s="3555">
        <f>B262-C262*D262*9.81*(E262+F262+G262)-B264-C264-D264-E264*9.81*(F262+E262)</f>
        <v>25259.402336204301</v>
      </c>
      <c r="C265" s="3538" t="s">
        <v>464</v>
      </c>
      <c r="D265" s="3538"/>
      <c r="E265" s="3538"/>
      <c r="F265" s="3538"/>
      <c r="G265" s="3538"/>
      <c r="H265" s="3538"/>
    </row>
    <row r="266" spans="1:8" ht="18" customHeight="1">
      <c r="A266" s="3550" t="s">
        <v>2409</v>
      </c>
      <c r="B266" s="3604" t="s">
        <v>2403</v>
      </c>
      <c r="C266" s="3585">
        <f>B265</f>
        <v>25259.402336204301</v>
      </c>
      <c r="D266" s="3538" t="s">
        <v>464</v>
      </c>
      <c r="E266" s="3562"/>
      <c r="F266" s="3562"/>
      <c r="G266" s="3562"/>
      <c r="H266" s="3562"/>
    </row>
    <row r="267" spans="1:8" ht="18" customHeight="1">
      <c r="A267" s="3550" t="s">
        <v>2410</v>
      </c>
      <c r="B267" s="3604" t="s">
        <v>2411</v>
      </c>
      <c r="C267" s="3585">
        <f>B236</f>
        <v>25688.170477726599</v>
      </c>
      <c r="D267" s="3538" t="s">
        <v>464</v>
      </c>
      <c r="E267" s="3538" t="s">
        <v>2412</v>
      </c>
      <c r="F267" s="3538"/>
      <c r="G267" s="3538"/>
      <c r="H267" s="3538"/>
    </row>
    <row r="268" spans="1:8" ht="18" customHeight="1">
      <c r="A268" s="4685" t="s">
        <v>2413</v>
      </c>
      <c r="B268" s="4685"/>
      <c r="C268" s="4685"/>
      <c r="D268" s="4685"/>
      <c r="E268" s="4685"/>
      <c r="F268" s="4685"/>
      <c r="G268" s="4685"/>
      <c r="H268" s="4685"/>
    </row>
    <row r="269" spans="1:8" ht="18" customHeight="1">
      <c r="A269" s="3550" t="s">
        <v>2414</v>
      </c>
      <c r="B269" s="3538" t="s">
        <v>2415</v>
      </c>
      <c r="C269" s="3538"/>
      <c r="D269" s="3550" t="s">
        <v>2045</v>
      </c>
      <c r="E269" s="4697" t="s">
        <v>2416</v>
      </c>
      <c r="F269" s="4697"/>
      <c r="G269" s="4697"/>
      <c r="H269" s="4697"/>
    </row>
    <row r="270" spans="1:8" ht="18" customHeight="1">
      <c r="A270" s="3550" t="s">
        <v>1968</v>
      </c>
      <c r="B270" s="3555">
        <f>F271/F270</f>
        <v>24287.8868617349</v>
      </c>
      <c r="C270" s="3538" t="s">
        <v>464</v>
      </c>
      <c r="D270" s="3538"/>
      <c r="E270" s="3550" t="s">
        <v>2417</v>
      </c>
      <c r="F270" s="3559">
        <v>1.04</v>
      </c>
      <c r="G270" s="3538"/>
      <c r="H270" s="3538"/>
    </row>
    <row r="271" spans="1:8" ht="18" customHeight="1">
      <c r="A271" s="3550"/>
      <c r="B271" s="3555"/>
      <c r="C271" s="3538"/>
      <c r="D271" s="3538"/>
      <c r="E271" s="3587" t="s">
        <v>2403</v>
      </c>
      <c r="F271" s="3585">
        <f>B265</f>
        <v>25259.402336204301</v>
      </c>
      <c r="G271" s="3538" t="s">
        <v>464</v>
      </c>
      <c r="H271" s="3538"/>
    </row>
    <row r="272" spans="1:8" ht="18" customHeight="1">
      <c r="A272" s="3550" t="s">
        <v>2409</v>
      </c>
      <c r="B272" s="3604" t="s">
        <v>2414</v>
      </c>
      <c r="C272" s="3585">
        <f>B270</f>
        <v>24287.8868617349</v>
      </c>
      <c r="D272" s="3538" t="s">
        <v>464</v>
      </c>
      <c r="E272" s="3562"/>
      <c r="F272" s="3562"/>
      <c r="G272" s="3562"/>
      <c r="H272" s="3579"/>
    </row>
    <row r="273" spans="1:8" ht="18" customHeight="1">
      <c r="A273" s="3550" t="s">
        <v>2410</v>
      </c>
      <c r="B273" s="3604" t="s">
        <v>2418</v>
      </c>
      <c r="C273" s="3585">
        <f>B239</f>
        <v>11897.077499999999</v>
      </c>
      <c r="D273" s="3538" t="s">
        <v>464</v>
      </c>
      <c r="E273" s="4685" t="s">
        <v>2419</v>
      </c>
      <c r="F273" s="4685"/>
      <c r="G273" s="4685"/>
      <c r="H273" s="3579"/>
    </row>
    <row r="274" spans="1:8" ht="18" customHeight="1">
      <c r="A274" s="4685" t="s">
        <v>2420</v>
      </c>
      <c r="B274" s="4685"/>
      <c r="C274" s="4685"/>
      <c r="D274" s="4685"/>
      <c r="E274" s="4685"/>
      <c r="F274" s="4685"/>
      <c r="G274" s="4685"/>
      <c r="H274" s="4685"/>
    </row>
    <row r="275" spans="1:8" ht="18" customHeight="1">
      <c r="A275" s="3550" t="s">
        <v>2421</v>
      </c>
      <c r="B275" s="4684" t="s">
        <v>2422</v>
      </c>
      <c r="C275" s="4684"/>
      <c r="D275" s="4709"/>
      <c r="E275" s="3560" t="s">
        <v>2423</v>
      </c>
      <c r="F275" s="3560" t="s">
        <v>1167</v>
      </c>
      <c r="G275" s="3560" t="s">
        <v>2424</v>
      </c>
      <c r="H275" s="3560" t="s">
        <v>2243</v>
      </c>
    </row>
    <row r="276" spans="1:8" ht="18" customHeight="1">
      <c r="A276" s="3538"/>
      <c r="B276" s="3538"/>
      <c r="C276" s="3538"/>
      <c r="D276" s="3550" t="s">
        <v>2045</v>
      </c>
      <c r="E276" s="3570">
        <f>B270</f>
        <v>24287.8868617349</v>
      </c>
      <c r="F276" s="3570">
        <f>C45</f>
        <v>298.54300000000001</v>
      </c>
      <c r="G276" s="3570">
        <f>F95</f>
        <v>73.510000000000005</v>
      </c>
      <c r="H276" s="3605">
        <f>D93</f>
        <v>2.3E-2</v>
      </c>
    </row>
    <row r="277" spans="1:8" ht="18" customHeight="1">
      <c r="A277" s="3550" t="s">
        <v>1968</v>
      </c>
      <c r="B277" s="3555">
        <f>E276-(F2482-G276)*H276*9.81*(E278+F278)+E278*9.81*H278-G278</f>
        <v>30227.104865864902</v>
      </c>
      <c r="C277" s="3538" t="s">
        <v>464</v>
      </c>
      <c r="D277" s="3587"/>
      <c r="E277" s="3560" t="s">
        <v>2240</v>
      </c>
      <c r="F277" s="3560" t="s">
        <v>2242</v>
      </c>
      <c r="G277" s="3560" t="s">
        <v>2425</v>
      </c>
      <c r="H277" s="3560" t="s">
        <v>487</v>
      </c>
    </row>
    <row r="278" spans="1:8" ht="18" customHeight="1">
      <c r="A278" s="3550"/>
      <c r="B278" s="3555"/>
      <c r="C278" s="3538"/>
      <c r="D278" s="3585"/>
      <c r="E278" s="3570">
        <f>C71</f>
        <v>32.340000000000003</v>
      </c>
      <c r="F278" s="3570">
        <f>D90</f>
        <v>7.76</v>
      </c>
      <c r="G278" s="3570">
        <f>B164</f>
        <v>274.68</v>
      </c>
      <c r="H278" s="3605">
        <v>17.489999999999998</v>
      </c>
    </row>
    <row r="279" spans="1:8" ht="18" customHeight="1">
      <c r="A279" s="3550" t="s">
        <v>2409</v>
      </c>
      <c r="B279" s="3604" t="s">
        <v>2421</v>
      </c>
      <c r="C279" s="3585">
        <f>B277</f>
        <v>30227.104865864902</v>
      </c>
      <c r="D279" s="3538" t="s">
        <v>464</v>
      </c>
      <c r="E279" s="3562"/>
      <c r="F279" s="3562"/>
      <c r="G279" s="3562"/>
      <c r="H279" s="3579"/>
    </row>
    <row r="280" spans="1:8" ht="18" customHeight="1">
      <c r="A280" s="3550" t="s">
        <v>2410</v>
      </c>
      <c r="B280" s="3604" t="s">
        <v>2418</v>
      </c>
      <c r="C280" s="3585">
        <f>B239</f>
        <v>11897.077499999999</v>
      </c>
      <c r="D280" s="3538" t="s">
        <v>464</v>
      </c>
      <c r="E280" s="4685" t="s">
        <v>2419</v>
      </c>
      <c r="F280" s="4685"/>
      <c r="G280" s="4685"/>
      <c r="H280" s="3579"/>
    </row>
    <row r="281" spans="1:8" ht="18" customHeight="1">
      <c r="A281" s="4685" t="s">
        <v>2426</v>
      </c>
      <c r="B281" s="4685"/>
      <c r="C281" s="4685"/>
      <c r="D281" s="4685"/>
      <c r="E281" s="4685"/>
      <c r="F281" s="4685"/>
      <c r="G281" s="4685"/>
      <c r="H281" s="4685"/>
    </row>
    <row r="282" spans="1:8" ht="18" customHeight="1">
      <c r="A282" s="3550" t="s">
        <v>2427</v>
      </c>
      <c r="B282" s="4706" t="s">
        <v>2428</v>
      </c>
      <c r="C282" s="4685"/>
      <c r="D282" s="3550"/>
      <c r="E282" s="3543"/>
      <c r="F282" s="3543"/>
      <c r="G282" s="3543"/>
      <c r="H282" s="3562"/>
    </row>
    <row r="283" spans="1:8" ht="18" customHeight="1">
      <c r="A283" s="3550" t="s">
        <v>1968</v>
      </c>
      <c r="B283" s="3555">
        <f>C279*2</f>
        <v>60454.209731729803</v>
      </c>
      <c r="C283" s="3538" t="s">
        <v>464</v>
      </c>
      <c r="D283" s="3550"/>
      <c r="E283" s="3550"/>
      <c r="F283" s="3559"/>
      <c r="G283" s="3538"/>
      <c r="H283" s="3538"/>
    </row>
    <row r="284" spans="1:8" ht="18" customHeight="1">
      <c r="A284" s="3550" t="s">
        <v>1968</v>
      </c>
      <c r="B284" s="3585">
        <f>B283/1000</f>
        <v>60.454209731729797</v>
      </c>
      <c r="C284" s="3538" t="s">
        <v>2429</v>
      </c>
      <c r="D284" s="3550" t="s">
        <v>2045</v>
      </c>
      <c r="E284" s="3587" t="s">
        <v>2421</v>
      </c>
      <c r="F284" s="3585">
        <f>C279</f>
        <v>30227.104865864902</v>
      </c>
      <c r="G284" s="3538" t="s">
        <v>464</v>
      </c>
      <c r="H284" s="3579"/>
    </row>
    <row r="285" spans="1:8" ht="18" customHeight="1">
      <c r="A285" s="3550" t="s">
        <v>2430</v>
      </c>
      <c r="B285" s="3550" t="s">
        <v>2431</v>
      </c>
      <c r="C285" s="3575">
        <v>62</v>
      </c>
      <c r="D285" s="3538" t="s">
        <v>2432</v>
      </c>
      <c r="E285" s="3604" t="s">
        <v>2421</v>
      </c>
      <c r="F285" s="3585">
        <f>C285*1000/2</f>
        <v>31000</v>
      </c>
      <c r="G285" s="3538" t="s">
        <v>464</v>
      </c>
      <c r="H285" s="3579"/>
    </row>
    <row r="286" spans="1:8" ht="18" customHeight="1">
      <c r="A286" s="3550" t="s">
        <v>2433</v>
      </c>
      <c r="B286" s="4697" t="s">
        <v>2434</v>
      </c>
      <c r="C286" s="4682"/>
      <c r="D286" s="4682"/>
      <c r="E286" s="4682"/>
      <c r="F286" s="3550" t="s">
        <v>2045</v>
      </c>
      <c r="G286" s="3550" t="s">
        <v>2435</v>
      </c>
      <c r="H286" s="3589">
        <f>D93</f>
        <v>2.3E-2</v>
      </c>
    </row>
    <row r="287" spans="1:8" ht="18" customHeight="1">
      <c r="A287" s="3560" t="s">
        <v>2436</v>
      </c>
      <c r="B287" s="3560" t="s">
        <v>2437</v>
      </c>
      <c r="C287" s="3560" t="s">
        <v>2438</v>
      </c>
      <c r="D287" s="3560" t="s">
        <v>2240</v>
      </c>
      <c r="E287" s="3560" t="s">
        <v>2242</v>
      </c>
      <c r="F287" s="3560" t="s">
        <v>2424</v>
      </c>
      <c r="G287" s="3560" t="s">
        <v>2439</v>
      </c>
      <c r="H287" s="3560" t="s">
        <v>2440</v>
      </c>
    </row>
    <row r="288" spans="1:8" ht="18" customHeight="1">
      <c r="A288" s="3570">
        <f>B191</f>
        <v>89126.117483308597</v>
      </c>
      <c r="B288" s="3606">
        <f>G245</f>
        <v>200</v>
      </c>
      <c r="C288" s="3595">
        <f>F246</f>
        <v>3.39305418580616</v>
      </c>
      <c r="D288" s="3570">
        <f>E278</f>
        <v>32.340000000000003</v>
      </c>
      <c r="E288" s="3570">
        <f>F278</f>
        <v>7.76</v>
      </c>
      <c r="F288" s="3570">
        <f>F95</f>
        <v>73.510000000000005</v>
      </c>
      <c r="G288" s="3605">
        <v>0</v>
      </c>
      <c r="H288" s="3564">
        <f>D94</f>
        <v>0.35</v>
      </c>
    </row>
    <row r="289" spans="1:8" ht="18" customHeight="1">
      <c r="A289" s="3550" t="s">
        <v>2441</v>
      </c>
      <c r="B289" s="3555">
        <f>2.1*(1.5*A288/(2*9.81*(C288-1))+(D288+E288)*H286*F288-D288*F288*TAN(G288))</f>
        <v>6121.8644811569802</v>
      </c>
      <c r="C289" s="3538" t="s">
        <v>2442</v>
      </c>
      <c r="D289" s="3554">
        <f>B289*9.81/1000</f>
        <v>60.055490560149998</v>
      </c>
      <c r="E289" s="3538" t="s">
        <v>2429</v>
      </c>
      <c r="G289" s="3562"/>
      <c r="H289" s="3579"/>
    </row>
    <row r="290" spans="1:8" ht="18" customHeight="1">
      <c r="A290" s="3562" t="s">
        <v>2443</v>
      </c>
      <c r="B290" s="3562"/>
      <c r="C290" s="3562"/>
      <c r="D290" s="3562"/>
      <c r="E290" s="3607"/>
      <c r="F290" s="3607" t="s">
        <v>2444</v>
      </c>
      <c r="G290" s="3607" t="s">
        <v>2445</v>
      </c>
      <c r="H290" s="3607" t="s">
        <v>2446</v>
      </c>
    </row>
    <row r="291" spans="1:8" ht="18" customHeight="1">
      <c r="A291" s="3550" t="s">
        <v>2447</v>
      </c>
      <c r="B291" s="4685" t="s">
        <v>2448</v>
      </c>
      <c r="C291" s="4685"/>
      <c r="D291" s="3550" t="s">
        <v>2045</v>
      </c>
      <c r="E291" s="3560" t="s">
        <v>2449</v>
      </c>
      <c r="F291" s="3594">
        <v>0.01</v>
      </c>
      <c r="G291" s="3594">
        <v>0.02</v>
      </c>
      <c r="H291" s="3594">
        <v>2.5000000000000001E-3</v>
      </c>
    </row>
    <row r="292" spans="1:8" ht="18" customHeight="1">
      <c r="A292" s="3550" t="s">
        <v>1968</v>
      </c>
      <c r="B292" s="3555">
        <f>F294*(H291+H292)+H293</f>
        <v>3.0449004999999998</v>
      </c>
      <c r="C292" s="3562" t="s">
        <v>408</v>
      </c>
      <c r="D292" s="3538"/>
      <c r="E292" s="3560" t="s">
        <v>2450</v>
      </c>
      <c r="F292" s="3594">
        <v>1E-3</v>
      </c>
      <c r="G292" s="3594">
        <v>1E-3</v>
      </c>
      <c r="H292" s="3594">
        <v>1E-3</v>
      </c>
    </row>
    <row r="293" spans="1:8" ht="18" customHeight="1">
      <c r="A293" s="3550"/>
      <c r="B293" s="3562"/>
      <c r="C293" s="3562"/>
      <c r="D293" s="3538"/>
      <c r="E293" s="3560" t="s">
        <v>2451</v>
      </c>
      <c r="F293" s="3594">
        <v>2</v>
      </c>
      <c r="G293" s="3594">
        <v>2</v>
      </c>
      <c r="H293" s="3594">
        <v>2</v>
      </c>
    </row>
    <row r="294" spans="1:8" ht="18" customHeight="1">
      <c r="A294" s="3550"/>
      <c r="B294" s="3562"/>
      <c r="C294" s="3562"/>
      <c r="D294" s="3538"/>
      <c r="E294" s="3560" t="s">
        <v>1167</v>
      </c>
      <c r="F294" s="3570">
        <f>C45</f>
        <v>298.54300000000001</v>
      </c>
      <c r="G294" s="4707" t="s">
        <v>2452</v>
      </c>
      <c r="H294" s="4708"/>
    </row>
    <row r="295" spans="1:8" ht="18" customHeight="1">
      <c r="A295" s="4685" t="s">
        <v>2453</v>
      </c>
      <c r="B295" s="4685"/>
      <c r="C295" s="4685"/>
      <c r="D295" s="4685"/>
      <c r="E295" s="4685"/>
      <c r="F295" s="4685"/>
      <c r="G295" s="4685"/>
      <c r="H295" s="4685"/>
    </row>
    <row r="296" spans="1:8" ht="18" customHeight="1">
      <c r="A296" s="3548" t="s">
        <v>2454</v>
      </c>
      <c r="B296" s="3604" t="s">
        <v>2455</v>
      </c>
      <c r="C296" s="3608">
        <f>G296+G298</f>
        <v>110409.865155445</v>
      </c>
      <c r="D296" s="3538" t="s">
        <v>464</v>
      </c>
      <c r="E296" s="3550" t="s">
        <v>2045</v>
      </c>
      <c r="F296" s="3587" t="s">
        <v>2398</v>
      </c>
      <c r="G296" s="3585">
        <f>B250</f>
        <v>77486.461948549593</v>
      </c>
      <c r="H296" s="3538" t="s">
        <v>464</v>
      </c>
    </row>
    <row r="297" spans="1:8" ht="18" customHeight="1">
      <c r="A297" s="3550" t="s">
        <v>2456</v>
      </c>
      <c r="B297" s="3585">
        <f>C296/1000</f>
        <v>110.409865155445</v>
      </c>
      <c r="C297" s="3538" t="s">
        <v>2429</v>
      </c>
      <c r="D297" s="3538"/>
      <c r="E297" s="3585"/>
      <c r="F297" s="3587" t="s">
        <v>2400</v>
      </c>
      <c r="G297" s="3585">
        <f>B257</f>
        <v>122049.52069020399</v>
      </c>
      <c r="H297" s="3538" t="s">
        <v>464</v>
      </c>
    </row>
    <row r="298" spans="1:8" ht="18" customHeight="1">
      <c r="A298" s="3548" t="s">
        <v>2457</v>
      </c>
      <c r="B298" s="3604" t="s">
        <v>2458</v>
      </c>
      <c r="C298" s="3608">
        <f>G296+G297</f>
        <v>199535.98263875401</v>
      </c>
      <c r="D298" s="3538" t="s">
        <v>464</v>
      </c>
      <c r="E298" s="3585"/>
      <c r="F298" s="3587" t="s">
        <v>2459</v>
      </c>
      <c r="G298" s="3585">
        <f>B247</f>
        <v>32923.403206895302</v>
      </c>
      <c r="H298" s="3538" t="s">
        <v>464</v>
      </c>
    </row>
    <row r="299" spans="1:8" ht="18" customHeight="1">
      <c r="A299" s="3550" t="s">
        <v>2460</v>
      </c>
      <c r="B299" s="3585">
        <f>C298/1000</f>
        <v>199.53598263875401</v>
      </c>
      <c r="C299" s="3538" t="s">
        <v>2429</v>
      </c>
      <c r="D299" s="3538"/>
      <c r="E299" s="3585"/>
      <c r="F299" s="3587"/>
      <c r="G299" s="3585"/>
      <c r="H299" s="3579"/>
    </row>
    <row r="300" spans="1:8" ht="18" customHeight="1">
      <c r="A300" s="4685" t="s">
        <v>2461</v>
      </c>
      <c r="B300" s="4685"/>
      <c r="C300" s="4685"/>
      <c r="D300" s="4685"/>
      <c r="E300" s="4685"/>
      <c r="F300" s="4685"/>
      <c r="G300" s="4685"/>
      <c r="H300" s="4685"/>
    </row>
    <row r="301" spans="1:8" ht="18" customHeight="1">
      <c r="A301" s="3550" t="s">
        <v>2462</v>
      </c>
      <c r="B301" s="3604" t="s">
        <v>2463</v>
      </c>
      <c r="C301" s="3608">
        <f>G301+G302</f>
        <v>49547.289197939201</v>
      </c>
      <c r="D301" s="3538" t="s">
        <v>464</v>
      </c>
      <c r="E301" s="3550" t="s">
        <v>2045</v>
      </c>
      <c r="F301" s="3587" t="s">
        <v>2414</v>
      </c>
      <c r="G301" s="3585">
        <f>B270</f>
        <v>24287.8868617349</v>
      </c>
      <c r="H301" s="3538" t="s">
        <v>464</v>
      </c>
    </row>
    <row r="302" spans="1:8" ht="18" customHeight="1">
      <c r="A302" s="3550" t="s">
        <v>2462</v>
      </c>
      <c r="B302" s="3585">
        <f>C301/1000</f>
        <v>49.5472891979392</v>
      </c>
      <c r="C302" s="3538" t="s">
        <v>2429</v>
      </c>
      <c r="D302" s="3538"/>
      <c r="E302" s="3585"/>
      <c r="F302" s="3587" t="s">
        <v>2403</v>
      </c>
      <c r="G302" s="3585">
        <f>B265</f>
        <v>25259.402336204301</v>
      </c>
      <c r="H302" s="3538" t="s">
        <v>464</v>
      </c>
    </row>
    <row r="303" spans="1:8" ht="18" customHeight="1">
      <c r="A303" s="4685" t="s">
        <v>2464</v>
      </c>
      <c r="B303" s="4685"/>
      <c r="C303" s="4685"/>
      <c r="D303" s="4685"/>
      <c r="E303" s="4685"/>
      <c r="F303" s="4685"/>
      <c r="G303" s="4685"/>
      <c r="H303" s="4685"/>
    </row>
    <row r="304" spans="1:8" ht="18" customHeight="1">
      <c r="A304" s="4685" t="s">
        <v>2465</v>
      </c>
      <c r="B304" s="4685"/>
      <c r="C304" s="3562"/>
      <c r="D304" s="3562"/>
      <c r="E304" s="3550" t="s">
        <v>2045</v>
      </c>
      <c r="F304" s="3550" t="s">
        <v>2466</v>
      </c>
      <c r="G304" s="3609">
        <v>1000000</v>
      </c>
      <c r="H304" s="3562" t="s">
        <v>2256</v>
      </c>
    </row>
    <row r="305" spans="1:8" ht="18" customHeight="1">
      <c r="A305" s="3550" t="s">
        <v>2166</v>
      </c>
      <c r="B305" s="3562" t="s">
        <v>2467</v>
      </c>
      <c r="C305" s="3562"/>
      <c r="D305" s="3562"/>
      <c r="E305" s="3562"/>
      <c r="F305" s="3550" t="s">
        <v>2468</v>
      </c>
      <c r="G305" s="3585">
        <f>B257</f>
        <v>122049.52069020399</v>
      </c>
      <c r="H305" s="3562" t="s">
        <v>464</v>
      </c>
    </row>
    <row r="306" spans="1:8" ht="18" customHeight="1">
      <c r="A306" s="3550" t="s">
        <v>1968</v>
      </c>
      <c r="B306" s="3572">
        <f>2*G305/(G306*G304)</f>
        <v>0.174356458128863</v>
      </c>
      <c r="C306" s="3562" t="s">
        <v>2469</v>
      </c>
      <c r="D306" s="3562"/>
      <c r="E306" s="3562"/>
      <c r="F306" s="3550" t="s">
        <v>2090</v>
      </c>
      <c r="G306" s="3585">
        <f>E58</f>
        <v>1.4</v>
      </c>
      <c r="H306" s="3562" t="s">
        <v>408</v>
      </c>
    </row>
    <row r="307" spans="1:8" ht="18" customHeight="1">
      <c r="A307" s="4688" t="s">
        <v>2470</v>
      </c>
      <c r="B307" s="4687"/>
      <c r="C307" s="3585">
        <f>B78</f>
        <v>800</v>
      </c>
      <c r="D307" s="3562" t="s">
        <v>2471</v>
      </c>
      <c r="E307" s="3562"/>
      <c r="F307" s="3550"/>
      <c r="G307" s="3571"/>
      <c r="H307" s="3562"/>
    </row>
    <row r="308" spans="1:8" ht="18" customHeight="1">
      <c r="A308" s="4685" t="s">
        <v>2472</v>
      </c>
      <c r="B308" s="4685"/>
      <c r="C308" s="3562"/>
      <c r="D308" s="3562"/>
      <c r="E308" s="3562"/>
      <c r="F308" s="3550"/>
      <c r="G308" s="3571"/>
      <c r="H308" s="3562"/>
    </row>
    <row r="309" spans="1:8" ht="18" customHeight="1">
      <c r="A309" s="3550" t="s">
        <v>2473</v>
      </c>
      <c r="B309" s="3574" t="s">
        <v>2474</v>
      </c>
      <c r="C309" s="3562"/>
      <c r="D309" s="3562"/>
      <c r="E309" s="3550" t="s">
        <v>2045</v>
      </c>
      <c r="F309" s="4697" t="s">
        <v>2475</v>
      </c>
      <c r="G309" s="4697"/>
      <c r="H309" s="3556"/>
    </row>
    <row r="310" spans="1:8" ht="18" customHeight="1">
      <c r="A310" s="3550" t="s">
        <v>2473</v>
      </c>
      <c r="B310" s="3610">
        <f>G313*G314*G311/(2*2)</f>
        <v>11586.395272830099</v>
      </c>
      <c r="C310" s="3562" t="s">
        <v>1071</v>
      </c>
      <c r="D310" s="3562"/>
      <c r="E310" s="3538"/>
      <c r="F310" s="3550" t="s">
        <v>2339</v>
      </c>
      <c r="G310" s="3585">
        <f>B78</f>
        <v>800</v>
      </c>
      <c r="H310" s="3538" t="s">
        <v>234</v>
      </c>
    </row>
    <row r="311" spans="1:8" ht="18" customHeight="1">
      <c r="A311" s="3550" t="s">
        <v>2473</v>
      </c>
      <c r="B311" s="3585">
        <f>B310/1000</f>
        <v>11.586395272830099</v>
      </c>
      <c r="C311" s="3562" t="s">
        <v>2476</v>
      </c>
      <c r="D311" s="3562"/>
      <c r="E311" s="3562"/>
      <c r="F311" s="3550" t="s">
        <v>2477</v>
      </c>
      <c r="G311" s="3611">
        <f>G310/2000</f>
        <v>0.4</v>
      </c>
      <c r="H311" s="3538" t="s">
        <v>408</v>
      </c>
    </row>
    <row r="312" spans="1:8" ht="18" customHeight="1">
      <c r="A312" s="3550"/>
      <c r="B312" s="3574"/>
      <c r="C312" s="3562"/>
      <c r="D312" s="3562"/>
      <c r="E312" s="3562"/>
      <c r="F312" s="4697" t="s">
        <v>2381</v>
      </c>
      <c r="G312" s="4697"/>
      <c r="H312" s="4697"/>
    </row>
    <row r="313" spans="1:8" ht="18" customHeight="1">
      <c r="A313" s="3550"/>
      <c r="B313" s="3574"/>
      <c r="C313" s="3584"/>
      <c r="D313" s="3565"/>
      <c r="E313" s="3579"/>
      <c r="F313" s="3550" t="s">
        <v>2382</v>
      </c>
      <c r="G313" s="3585">
        <f>F242</f>
        <v>1.3</v>
      </c>
      <c r="H313" s="3538"/>
    </row>
    <row r="314" spans="1:8" ht="18" customHeight="1">
      <c r="A314" s="3550"/>
      <c r="B314" s="3574"/>
      <c r="C314" s="3584"/>
      <c r="D314" s="3565"/>
      <c r="E314" s="3579"/>
      <c r="F314" s="3584" t="s">
        <v>2299</v>
      </c>
      <c r="G314" s="3565">
        <f>B191</f>
        <v>89126.117483308597</v>
      </c>
      <c r="H314" s="3579" t="s">
        <v>464</v>
      </c>
    </row>
    <row r="315" spans="1:8" ht="18" customHeight="1">
      <c r="A315" s="4685" t="s">
        <v>2478</v>
      </c>
      <c r="B315" s="4685"/>
      <c r="C315" s="4685"/>
      <c r="D315" s="4685"/>
      <c r="E315" s="4685"/>
      <c r="F315" s="4685"/>
      <c r="G315" s="4685"/>
      <c r="H315" s="4685"/>
    </row>
    <row r="316" spans="1:8" ht="18" customHeight="1">
      <c r="A316" s="4685" t="s">
        <v>2479</v>
      </c>
      <c r="B316" s="4685"/>
      <c r="C316" s="4685"/>
      <c r="D316" s="4685"/>
      <c r="E316" s="4685"/>
      <c r="F316" s="4685"/>
      <c r="G316" s="4685"/>
      <c r="H316" s="4685"/>
    </row>
    <row r="317" spans="1:8" ht="18" customHeight="1">
      <c r="A317" s="4685" t="s">
        <v>2480</v>
      </c>
      <c r="B317" s="4685"/>
      <c r="C317" s="4685"/>
      <c r="D317" s="4685"/>
      <c r="E317" s="3550" t="s">
        <v>2481</v>
      </c>
      <c r="F317" s="3559">
        <v>0.85</v>
      </c>
      <c r="G317" s="3562"/>
      <c r="H317" s="3562"/>
    </row>
    <row r="318" spans="1:8" ht="18" customHeight="1">
      <c r="A318" s="4685" t="s">
        <v>2482</v>
      </c>
      <c r="B318" s="4685"/>
      <c r="C318" s="4685"/>
      <c r="D318" s="4685"/>
      <c r="E318" s="4685"/>
      <c r="F318" s="4685"/>
      <c r="G318" s="4685"/>
      <c r="H318" s="4685"/>
    </row>
    <row r="319" spans="1:8" ht="18" customHeight="1">
      <c r="A319" s="3538"/>
      <c r="B319" s="3550" t="s">
        <v>2483</v>
      </c>
      <c r="C319" s="3538" t="s">
        <v>2484</v>
      </c>
      <c r="D319" s="3550" t="s">
        <v>2045</v>
      </c>
      <c r="E319" s="3560" t="s">
        <v>2485</v>
      </c>
      <c r="F319" s="3560" t="s">
        <v>962</v>
      </c>
      <c r="G319" s="3560" t="s">
        <v>2486</v>
      </c>
      <c r="H319" s="3560" t="s">
        <v>2487</v>
      </c>
    </row>
    <row r="320" spans="1:8" ht="18" customHeight="1">
      <c r="A320" s="3538"/>
      <c r="B320" s="3550" t="s">
        <v>1968</v>
      </c>
      <c r="C320" s="3555">
        <f>H320*E320*F320/G320</f>
        <v>9.7501407073982307</v>
      </c>
      <c r="D320" s="3538"/>
      <c r="E320" s="3570">
        <f>C59</f>
        <v>1000</v>
      </c>
      <c r="F320" s="3570">
        <f>C58</f>
        <v>1400</v>
      </c>
      <c r="G320" s="3570">
        <f>B257</f>
        <v>122049.52069020399</v>
      </c>
      <c r="H320" s="3570">
        <f>F317</f>
        <v>0.85</v>
      </c>
    </row>
  </sheetData>
  <mergeCells count="168">
    <mergeCell ref="B6:F6"/>
    <mergeCell ref="B14:C14"/>
    <mergeCell ref="D14:H14"/>
    <mergeCell ref="B16:C16"/>
    <mergeCell ref="D16:H16"/>
    <mergeCell ref="C17:G17"/>
    <mergeCell ref="B18:C18"/>
    <mergeCell ref="D18:H18"/>
    <mergeCell ref="C19:F19"/>
    <mergeCell ref="A9:G10"/>
    <mergeCell ref="B20:C20"/>
    <mergeCell ref="D20:H20"/>
    <mergeCell ref="B22:C22"/>
    <mergeCell ref="D22:H22"/>
    <mergeCell ref="B24:C24"/>
    <mergeCell ref="D24:H24"/>
    <mergeCell ref="B26:C26"/>
    <mergeCell ref="D26:H26"/>
    <mergeCell ref="C29:F29"/>
    <mergeCell ref="A30:H30"/>
    <mergeCell ref="C32:F32"/>
    <mergeCell ref="A34:G34"/>
    <mergeCell ref="A35:G35"/>
    <mergeCell ref="A36:G36"/>
    <mergeCell ref="A37:G37"/>
    <mergeCell ref="A38:G38"/>
    <mergeCell ref="A39:H39"/>
    <mergeCell ref="A56:H56"/>
    <mergeCell ref="A57:H57"/>
    <mergeCell ref="E60:G60"/>
    <mergeCell ref="E62:G62"/>
    <mergeCell ref="A75:H75"/>
    <mergeCell ref="A79:C79"/>
    <mergeCell ref="A81:C81"/>
    <mergeCell ref="D81:E81"/>
    <mergeCell ref="A83:B83"/>
    <mergeCell ref="F83:G83"/>
    <mergeCell ref="A85:C85"/>
    <mergeCell ref="A86:C86"/>
    <mergeCell ref="D86:E86"/>
    <mergeCell ref="A88:B88"/>
    <mergeCell ref="F88:G88"/>
    <mergeCell ref="A90:C90"/>
    <mergeCell ref="A91:B91"/>
    <mergeCell ref="C91:D91"/>
    <mergeCell ref="A93:C93"/>
    <mergeCell ref="A94:C94"/>
    <mergeCell ref="A95:E95"/>
    <mergeCell ref="A96:H96"/>
    <mergeCell ref="A97:B97"/>
    <mergeCell ref="A98:H98"/>
    <mergeCell ref="A99:H99"/>
    <mergeCell ref="A114:H114"/>
    <mergeCell ref="A115:H115"/>
    <mergeCell ref="A116:H116"/>
    <mergeCell ref="A100:H113"/>
    <mergeCell ref="A117:H117"/>
    <mergeCell ref="E119:F119"/>
    <mergeCell ref="E121:F121"/>
    <mergeCell ref="A125:H125"/>
    <mergeCell ref="E126:F126"/>
    <mergeCell ref="A129:H129"/>
    <mergeCell ref="A130:H130"/>
    <mergeCell ref="E131:H131"/>
    <mergeCell ref="E133:H133"/>
    <mergeCell ref="E135:H135"/>
    <mergeCell ref="A139:H139"/>
    <mergeCell ref="A144:H144"/>
    <mergeCell ref="A145:H145"/>
    <mergeCell ref="B146:C146"/>
    <mergeCell ref="A150:H150"/>
    <mergeCell ref="A153:H153"/>
    <mergeCell ref="B154:E154"/>
    <mergeCell ref="E155:G155"/>
    <mergeCell ref="E158:G158"/>
    <mergeCell ref="E160:H160"/>
    <mergeCell ref="A162:H162"/>
    <mergeCell ref="A165:H165"/>
    <mergeCell ref="B166:C166"/>
    <mergeCell ref="E166:F166"/>
    <mergeCell ref="E168:F168"/>
    <mergeCell ref="E169:F169"/>
    <mergeCell ref="A172:H172"/>
    <mergeCell ref="B173:C173"/>
    <mergeCell ref="E173:H173"/>
    <mergeCell ref="E175:G175"/>
    <mergeCell ref="E178:G178"/>
    <mergeCell ref="A180:H180"/>
    <mergeCell ref="B181:C181"/>
    <mergeCell ref="A183:H183"/>
    <mergeCell ref="A185:H185"/>
    <mergeCell ref="E186:H186"/>
    <mergeCell ref="A189:H189"/>
    <mergeCell ref="B190:C190"/>
    <mergeCell ref="A194:H194"/>
    <mergeCell ref="A195:H195"/>
    <mergeCell ref="B196:C196"/>
    <mergeCell ref="A199:H199"/>
    <mergeCell ref="B200:C200"/>
    <mergeCell ref="E200:H200"/>
    <mergeCell ref="E202:H202"/>
    <mergeCell ref="E204:H204"/>
    <mergeCell ref="E206:H206"/>
    <mergeCell ref="E208:H208"/>
    <mergeCell ref="A210:H210"/>
    <mergeCell ref="A211:B211"/>
    <mergeCell ref="A212:B212"/>
    <mergeCell ref="A213:H213"/>
    <mergeCell ref="E215:F215"/>
    <mergeCell ref="A218:H218"/>
    <mergeCell ref="G222:H222"/>
    <mergeCell ref="G225:H225"/>
    <mergeCell ref="G226:H226"/>
    <mergeCell ref="A228:B228"/>
    <mergeCell ref="C228:H228"/>
    <mergeCell ref="A229:H229"/>
    <mergeCell ref="A230:H230"/>
    <mergeCell ref="A231:H231"/>
    <mergeCell ref="E232:H232"/>
    <mergeCell ref="E234:H234"/>
    <mergeCell ref="A237:H237"/>
    <mergeCell ref="A240:H240"/>
    <mergeCell ref="E241:H241"/>
    <mergeCell ref="E243:H243"/>
    <mergeCell ref="A244:B244"/>
    <mergeCell ref="A248:B248"/>
    <mergeCell ref="A252:H252"/>
    <mergeCell ref="A253:C253"/>
    <mergeCell ref="B286:E286"/>
    <mergeCell ref="B291:C291"/>
    <mergeCell ref="G294:H294"/>
    <mergeCell ref="A295:H295"/>
    <mergeCell ref="A300:H300"/>
    <mergeCell ref="A303:H303"/>
    <mergeCell ref="A304:B304"/>
    <mergeCell ref="A255:C255"/>
    <mergeCell ref="A259:H259"/>
    <mergeCell ref="B260:D260"/>
    <mergeCell ref="A268:H268"/>
    <mergeCell ref="E269:H269"/>
    <mergeCell ref="E273:G273"/>
    <mergeCell ref="A274:H274"/>
    <mergeCell ref="B275:D275"/>
    <mergeCell ref="E280:G280"/>
    <mergeCell ref="A307:B307"/>
    <mergeCell ref="A308:B308"/>
    <mergeCell ref="F309:G309"/>
    <mergeCell ref="F312:H312"/>
    <mergeCell ref="A315:H315"/>
    <mergeCell ref="A316:H316"/>
    <mergeCell ref="A317:D317"/>
    <mergeCell ref="A318:H318"/>
    <mergeCell ref="A219:A221"/>
    <mergeCell ref="A223:A224"/>
    <mergeCell ref="B219:B221"/>
    <mergeCell ref="B223:B224"/>
    <mergeCell ref="C219:C221"/>
    <mergeCell ref="C223:C224"/>
    <mergeCell ref="D219:D221"/>
    <mergeCell ref="D223:D224"/>
    <mergeCell ref="E219:E221"/>
    <mergeCell ref="E223:E224"/>
    <mergeCell ref="F219:F221"/>
    <mergeCell ref="F223:F224"/>
    <mergeCell ref="G219:H221"/>
    <mergeCell ref="G223:H224"/>
    <mergeCell ref="A281:H281"/>
    <mergeCell ref="B282:C282"/>
  </mergeCells>
  <phoneticPr fontId="214" type="noConversion"/>
  <printOptions horizontalCentered="1"/>
  <pageMargins left="0.74803149606299202" right="0.74803149606299202" top="0.98425196850393704" bottom="0.98425196850393704" header="0.511811023622047" footer="0.511811023622047"/>
  <pageSetup paperSize="9" orientation="portrait"/>
  <headerFooter alignWithMargins="0">
    <oddFooter>&amp;C第 &amp;P 页，共 &amp;N 页</oddFooter>
  </headerFooter>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N173"/>
  <sheetViews>
    <sheetView workbookViewId="0">
      <selection sqref="A1:E2"/>
    </sheetView>
  </sheetViews>
  <sheetFormatPr defaultColWidth="9" defaultRowHeight="15"/>
  <cols>
    <col min="1" max="1" width="5.625" style="3499" customWidth="1"/>
    <col min="2" max="2" width="12.625" style="3499" customWidth="1"/>
    <col min="3" max="3" width="30.625" style="3499" customWidth="1"/>
    <col min="4" max="4" width="15.625" style="3500" customWidth="1"/>
    <col min="5" max="5" width="18.625" style="3499" customWidth="1"/>
    <col min="6" max="6" width="5" style="3499" customWidth="1"/>
    <col min="7" max="7" width="14.25" style="3499" customWidth="1"/>
    <col min="8" max="14" width="8.625" style="3499" customWidth="1"/>
    <col min="15" max="16384" width="9" style="3499"/>
  </cols>
  <sheetData>
    <row r="1" spans="1:14" s="3498" customFormat="1" ht="20.100000000000001" customHeight="1">
      <c r="A1" s="4727" t="s">
        <v>206</v>
      </c>
      <c r="B1" s="4728"/>
      <c r="C1" s="4728"/>
      <c r="D1" s="4728"/>
      <c r="E1" s="4728"/>
    </row>
    <row r="2" spans="1:14" s="3498" customFormat="1" ht="20.100000000000001" customHeight="1">
      <c r="A2" s="4728"/>
      <c r="B2" s="4728"/>
      <c r="C2" s="4728"/>
      <c r="D2" s="4728"/>
      <c r="E2" s="4728"/>
    </row>
    <row r="3" spans="1:14" s="3498" customFormat="1" ht="24.95" customHeight="1">
      <c r="A3" s="3501">
        <v>1</v>
      </c>
      <c r="B3" s="3502" t="s">
        <v>2488</v>
      </c>
      <c r="C3" s="3503" t="s">
        <v>2489</v>
      </c>
      <c r="D3" s="3504"/>
      <c r="E3" s="3505"/>
    </row>
    <row r="4" spans="1:14" s="3498" customFormat="1" ht="39.950000000000003" customHeight="1">
      <c r="A4" s="3506"/>
      <c r="B4" s="3507" t="s">
        <v>250</v>
      </c>
      <c r="C4" s="4726"/>
      <c r="D4" s="4726"/>
      <c r="E4" s="4747"/>
      <c r="N4" s="3498" t="s">
        <v>2490</v>
      </c>
    </row>
    <row r="5" spans="1:14" s="3498" customFormat="1" ht="20.100000000000001" customHeight="1">
      <c r="A5" s="3506"/>
      <c r="B5" s="3510" t="s">
        <v>2491</v>
      </c>
      <c r="C5" s="3510" t="s">
        <v>2492</v>
      </c>
      <c r="D5" s="3511" t="s">
        <v>249</v>
      </c>
      <c r="E5" s="3512" t="s">
        <v>2493</v>
      </c>
    </row>
    <row r="6" spans="1:14" s="3498" customFormat="1" ht="20.100000000000001" customHeight="1">
      <c r="A6" s="3506"/>
      <c r="B6" s="3508" t="s">
        <v>2485</v>
      </c>
      <c r="C6" s="3508" t="s">
        <v>2494</v>
      </c>
      <c r="D6" s="3513">
        <f>D7/D8</f>
        <v>35.714285714285701</v>
      </c>
      <c r="E6" s="3509"/>
    </row>
    <row r="7" spans="1:14" s="3498" customFormat="1" ht="20.100000000000001" customHeight="1">
      <c r="A7" s="3506"/>
      <c r="B7" s="3508" t="s">
        <v>246</v>
      </c>
      <c r="C7" s="3514" t="s">
        <v>2495</v>
      </c>
      <c r="D7" s="3515">
        <v>10000</v>
      </c>
      <c r="E7" s="3509"/>
    </row>
    <row r="8" spans="1:14" s="3498" customFormat="1" ht="20.100000000000001" customHeight="1">
      <c r="A8" s="3506"/>
      <c r="B8" s="3508" t="s">
        <v>961</v>
      </c>
      <c r="C8" s="3514" t="s">
        <v>2496</v>
      </c>
      <c r="D8" s="3515">
        <v>280</v>
      </c>
      <c r="E8" s="3509"/>
    </row>
    <row r="9" spans="1:14" s="3498" customFormat="1" ht="20.100000000000001" customHeight="1">
      <c r="A9" s="3506"/>
      <c r="B9" s="3516"/>
      <c r="C9" s="3514" t="s">
        <v>2497</v>
      </c>
      <c r="D9" s="3515">
        <v>200</v>
      </c>
      <c r="E9" s="3509" t="s">
        <v>2498</v>
      </c>
      <c r="G9" s="3497"/>
    </row>
    <row r="10" spans="1:14" s="3498" customFormat="1" ht="30" customHeight="1">
      <c r="A10" s="3506"/>
      <c r="B10" s="3514" t="s">
        <v>2499</v>
      </c>
      <c r="C10" s="3516"/>
      <c r="D10" s="3513" t="str">
        <f>IF(D6&lt;D9,"合格","不合格！")</f>
        <v>合格</v>
      </c>
      <c r="E10" s="3509"/>
      <c r="G10" s="3497"/>
    </row>
    <row r="11" spans="1:14" s="3498" customFormat="1" ht="20.100000000000001" customHeight="1">
      <c r="A11" s="3506"/>
      <c r="B11" s="3517"/>
      <c r="C11" s="3517"/>
      <c r="D11" s="3518"/>
      <c r="E11" s="3519"/>
    </row>
    <row r="12" spans="1:14" s="3498" customFormat="1" ht="20.100000000000001" customHeight="1">
      <c r="A12" s="3520"/>
      <c r="B12" s="3521" t="s">
        <v>2500</v>
      </c>
      <c r="C12" s="4731" t="s">
        <v>2501</v>
      </c>
      <c r="D12" s="4732"/>
      <c r="E12" s="4733"/>
    </row>
    <row r="13" spans="1:14" s="3498" customFormat="1" ht="20.100000000000001" customHeight="1">
      <c r="D13" s="3522"/>
    </row>
    <row r="14" spans="1:14" s="3498" customFormat="1" ht="20.100000000000001" customHeight="1">
      <c r="D14" s="3522"/>
    </row>
    <row r="15" spans="1:14" s="3498" customFormat="1" ht="24.95" customHeight="1">
      <c r="A15" s="3501">
        <v>2</v>
      </c>
      <c r="B15" s="3502" t="s">
        <v>2502</v>
      </c>
      <c r="C15" s="3503"/>
      <c r="D15" s="3504"/>
      <c r="E15" s="3505"/>
    </row>
    <row r="16" spans="1:14" s="3498" customFormat="1" ht="39.950000000000003" customHeight="1">
      <c r="A16" s="3506"/>
      <c r="B16" s="3507" t="s">
        <v>250</v>
      </c>
      <c r="C16" s="4748"/>
      <c r="D16" s="4748"/>
      <c r="E16" s="4749"/>
      <c r="N16" s="3498" t="s">
        <v>2490</v>
      </c>
    </row>
    <row r="17" spans="1:14" s="3498" customFormat="1" ht="20.100000000000001" customHeight="1">
      <c r="A17" s="3506"/>
      <c r="B17" s="3510" t="s">
        <v>2491</v>
      </c>
      <c r="C17" s="3510" t="s">
        <v>2492</v>
      </c>
      <c r="D17" s="3511" t="s">
        <v>249</v>
      </c>
      <c r="E17" s="3512" t="s">
        <v>2493</v>
      </c>
      <c r="I17" s="3497"/>
    </row>
    <row r="18" spans="1:14" s="3498" customFormat="1" ht="20.100000000000001" customHeight="1">
      <c r="A18" s="3506"/>
      <c r="B18" s="3523"/>
      <c r="C18" s="3508" t="s">
        <v>2503</v>
      </c>
      <c r="D18" s="3513">
        <f>D19/D20</f>
        <v>71.428571428571402</v>
      </c>
      <c r="E18" s="3509"/>
    </row>
    <row r="19" spans="1:14" s="3498" customFormat="1" ht="20.100000000000001" customHeight="1">
      <c r="A19" s="3506"/>
      <c r="B19" s="3516"/>
      <c r="C19" s="3514" t="s">
        <v>2504</v>
      </c>
      <c r="D19" s="3515">
        <v>20000</v>
      </c>
      <c r="E19" s="3509"/>
    </row>
    <row r="20" spans="1:14" s="3498" customFormat="1" ht="20.100000000000001" customHeight="1">
      <c r="A20" s="3506"/>
      <c r="B20" s="3508" t="s">
        <v>961</v>
      </c>
      <c r="C20" s="3514" t="s">
        <v>2496</v>
      </c>
      <c r="D20" s="3515">
        <v>280</v>
      </c>
      <c r="E20" s="3509"/>
    </row>
    <row r="21" spans="1:14" s="3498" customFormat="1" ht="20.100000000000001" customHeight="1">
      <c r="A21" s="3506"/>
      <c r="B21" s="3516"/>
      <c r="C21" s="3514" t="s">
        <v>1735</v>
      </c>
      <c r="D21" s="3515">
        <v>200</v>
      </c>
      <c r="E21" s="3509" t="s">
        <v>2505</v>
      </c>
      <c r="G21" s="3497"/>
    </row>
    <row r="22" spans="1:14" s="3498" customFormat="1" ht="30" customHeight="1">
      <c r="A22" s="3506"/>
      <c r="B22" s="3514" t="s">
        <v>2499</v>
      </c>
      <c r="C22" s="3516"/>
      <c r="D22" s="3513" t="str">
        <f>IF(D18&lt;D21,"合格","不合格！")</f>
        <v>合格</v>
      </c>
      <c r="E22" s="3509"/>
      <c r="G22" s="3497"/>
    </row>
    <row r="23" spans="1:14" s="3498" customFormat="1" ht="20.100000000000001" customHeight="1">
      <c r="A23" s="3506"/>
      <c r="B23" s="3517"/>
      <c r="C23" s="3517"/>
      <c r="D23" s="3518"/>
      <c r="E23" s="3519"/>
    </row>
    <row r="24" spans="1:14" s="3498" customFormat="1" ht="20.100000000000001" customHeight="1">
      <c r="A24" s="3520"/>
      <c r="B24" s="3521" t="s">
        <v>2500</v>
      </c>
      <c r="C24" s="4750" t="s">
        <v>2501</v>
      </c>
      <c r="D24" s="4751"/>
      <c r="E24" s="4752"/>
    </row>
    <row r="25" spans="1:14" s="3498" customFormat="1" ht="20.100000000000001" customHeight="1">
      <c r="D25" s="3522"/>
    </row>
    <row r="26" spans="1:14" s="3498" customFormat="1" ht="20.100000000000001" customHeight="1">
      <c r="D26" s="3522"/>
    </row>
    <row r="27" spans="1:14" s="3498" customFormat="1" ht="24.95" customHeight="1">
      <c r="A27" s="3501">
        <v>3</v>
      </c>
      <c r="B27" s="3502" t="s">
        <v>2506</v>
      </c>
      <c r="C27" s="3503"/>
      <c r="D27" s="3504"/>
      <c r="E27" s="3505"/>
    </row>
    <row r="28" spans="1:14" s="3498" customFormat="1" ht="60" customHeight="1">
      <c r="A28" s="3506"/>
      <c r="B28" s="3507" t="s">
        <v>250</v>
      </c>
      <c r="C28" s="4748"/>
      <c r="D28" s="4748"/>
      <c r="E28" s="4749"/>
      <c r="N28" s="3498" t="s">
        <v>2490</v>
      </c>
    </row>
    <row r="29" spans="1:14" s="3498" customFormat="1" ht="20.100000000000001" customHeight="1">
      <c r="A29" s="3506"/>
      <c r="B29" s="3510" t="s">
        <v>2491</v>
      </c>
      <c r="C29" s="3510" t="s">
        <v>2492</v>
      </c>
      <c r="D29" s="3511" t="s">
        <v>249</v>
      </c>
      <c r="E29" s="3512" t="s">
        <v>2493</v>
      </c>
      <c r="I29" s="3497"/>
    </row>
    <row r="30" spans="1:14" s="3498" customFormat="1" ht="20.100000000000001" customHeight="1">
      <c r="A30" s="3506"/>
      <c r="B30" s="3508" t="s">
        <v>2485</v>
      </c>
      <c r="C30" s="3524" t="s">
        <v>2507</v>
      </c>
      <c r="D30" s="3513">
        <f>(D31/D32)*(1+POWER(1+2*D33*D32*D34/(D31*D35),0.5))</f>
        <v>4.62429394018005</v>
      </c>
      <c r="E30" s="3525"/>
      <c r="I30" s="3497"/>
    </row>
    <row r="31" spans="1:14" s="3498" customFormat="1" ht="20.100000000000001" customHeight="1">
      <c r="A31" s="3506"/>
      <c r="B31" s="3508" t="s">
        <v>246</v>
      </c>
      <c r="C31" s="3524" t="s">
        <v>2508</v>
      </c>
      <c r="D31" s="3515">
        <v>4410</v>
      </c>
      <c r="E31" s="3525"/>
      <c r="I31" s="3497"/>
    </row>
    <row r="32" spans="1:14" s="3498" customFormat="1" ht="20.100000000000001" customHeight="1">
      <c r="A32" s="3506"/>
      <c r="B32" s="3508" t="s">
        <v>961</v>
      </c>
      <c r="C32" s="3524" t="s">
        <v>2509</v>
      </c>
      <c r="D32" s="3515">
        <v>70650</v>
      </c>
      <c r="E32" s="3525"/>
      <c r="I32" s="3497"/>
    </row>
    <row r="33" spans="1:14" s="3498" customFormat="1" ht="20.100000000000001" customHeight="1">
      <c r="A33" s="3506"/>
      <c r="B33" s="3508" t="s">
        <v>2510</v>
      </c>
      <c r="C33" s="3508" t="s">
        <v>2511</v>
      </c>
      <c r="D33" s="3526">
        <v>1000</v>
      </c>
      <c r="E33" s="3527" t="s">
        <v>2512</v>
      </c>
    </row>
    <row r="34" spans="1:14" s="3498" customFormat="1" ht="20.100000000000001" customHeight="1">
      <c r="A34" s="3506"/>
      <c r="B34" s="3508" t="s">
        <v>1866</v>
      </c>
      <c r="C34" s="3514" t="s">
        <v>2513</v>
      </c>
      <c r="D34" s="3515">
        <v>1000</v>
      </c>
      <c r="E34" s="3509"/>
    </row>
    <row r="35" spans="1:14" s="3498" customFormat="1" ht="20.100000000000001" customHeight="1">
      <c r="A35" s="3506"/>
      <c r="B35" s="3508" t="s">
        <v>2278</v>
      </c>
      <c r="C35" s="3514" t="s">
        <v>2514</v>
      </c>
      <c r="D35" s="3515">
        <v>6000</v>
      </c>
      <c r="E35" s="3509"/>
    </row>
    <row r="36" spans="1:14" s="3498" customFormat="1" ht="20.100000000000001" customHeight="1">
      <c r="A36" s="3506"/>
      <c r="B36" s="3517"/>
      <c r="C36" s="3517"/>
      <c r="D36" s="3518"/>
      <c r="E36" s="3519"/>
    </row>
    <row r="37" spans="1:14" s="3498" customFormat="1" ht="20.100000000000001" customHeight="1">
      <c r="A37" s="3520"/>
      <c r="B37" s="3521" t="s">
        <v>2500</v>
      </c>
      <c r="C37" s="4731" t="s">
        <v>2501</v>
      </c>
      <c r="D37" s="4732"/>
      <c r="E37" s="4733"/>
    </row>
    <row r="38" spans="1:14" s="3498" customFormat="1" ht="20.100000000000001" customHeight="1">
      <c r="D38" s="3522"/>
    </row>
    <row r="39" spans="1:14" s="3498" customFormat="1" ht="20.100000000000001" customHeight="1">
      <c r="D39" s="3522"/>
    </row>
    <row r="40" spans="1:14" s="3498" customFormat="1" ht="24.95" customHeight="1">
      <c r="A40" s="3501">
        <v>3</v>
      </c>
      <c r="B40" s="4734" t="s">
        <v>2515</v>
      </c>
      <c r="C40" s="4734"/>
      <c r="D40" s="3504"/>
      <c r="E40" s="3505"/>
      <c r="F40" s="3528"/>
      <c r="G40" s="4746" t="s">
        <v>2516</v>
      </c>
      <c r="H40" s="4746"/>
      <c r="I40" s="4746"/>
      <c r="J40" s="4746"/>
      <c r="K40" s="4746"/>
      <c r="L40" s="4746"/>
      <c r="M40" s="4746"/>
      <c r="N40" s="4746"/>
    </row>
    <row r="41" spans="1:14" s="3498" customFormat="1" ht="60" customHeight="1">
      <c r="A41" s="3506"/>
      <c r="B41" s="3507" t="s">
        <v>250</v>
      </c>
      <c r="C41" s="4735"/>
      <c r="D41" s="4736"/>
      <c r="E41" s="4737"/>
      <c r="F41" s="3529"/>
      <c r="G41" s="3514" t="s">
        <v>2517</v>
      </c>
      <c r="H41" s="4726" t="s">
        <v>2490</v>
      </c>
      <c r="I41" s="4726"/>
      <c r="J41" s="4726"/>
      <c r="K41" s="4726"/>
      <c r="L41" s="4726"/>
      <c r="M41" s="4726"/>
      <c r="N41" s="4726"/>
    </row>
    <row r="42" spans="1:14" s="3498" customFormat="1" ht="20.100000000000001" customHeight="1">
      <c r="A42" s="3506"/>
      <c r="B42" s="3510" t="s">
        <v>2491</v>
      </c>
      <c r="C42" s="3510" t="s">
        <v>2492</v>
      </c>
      <c r="D42" s="3511" t="s">
        <v>249</v>
      </c>
      <c r="E42" s="3512" t="s">
        <v>2493</v>
      </c>
      <c r="F42" s="3529"/>
      <c r="G42" s="4724" t="s">
        <v>2518</v>
      </c>
      <c r="H42" s="4726"/>
      <c r="I42" s="4726"/>
      <c r="J42" s="4726"/>
      <c r="K42" s="4726"/>
      <c r="L42" s="4726"/>
      <c r="M42" s="4726"/>
      <c r="N42" s="4726"/>
    </row>
    <row r="43" spans="1:14" s="3498" customFormat="1" ht="20.100000000000001" customHeight="1">
      <c r="A43" s="3506"/>
      <c r="B43" s="3516"/>
      <c r="C43" s="3524" t="s">
        <v>2519</v>
      </c>
      <c r="D43" s="3513">
        <f>D44/D45</f>
        <v>117.383075285293</v>
      </c>
      <c r="E43" s="3525"/>
      <c r="G43" s="4724"/>
      <c r="H43" s="4726"/>
      <c r="I43" s="4726"/>
      <c r="J43" s="4726"/>
      <c r="K43" s="4726"/>
      <c r="L43" s="4726"/>
      <c r="M43" s="4726"/>
      <c r="N43" s="4726"/>
    </row>
    <row r="44" spans="1:14" s="3498" customFormat="1" ht="20.100000000000001" customHeight="1">
      <c r="A44" s="3506"/>
      <c r="B44" s="3508" t="s">
        <v>2520</v>
      </c>
      <c r="C44" s="3514" t="s">
        <v>2521</v>
      </c>
      <c r="D44" s="3515">
        <v>10000000</v>
      </c>
      <c r="E44" s="3525"/>
      <c r="G44" s="4724"/>
      <c r="H44" s="4726"/>
      <c r="I44" s="4726"/>
      <c r="J44" s="4726"/>
      <c r="K44" s="4726"/>
      <c r="L44" s="4726"/>
      <c r="M44" s="4726"/>
      <c r="N44" s="4726"/>
    </row>
    <row r="45" spans="1:14" s="3498" customFormat="1" ht="20.100000000000001" customHeight="1">
      <c r="A45" s="3506"/>
      <c r="B45" s="3530" t="s">
        <v>2522</v>
      </c>
      <c r="C45" s="3524" t="s">
        <v>2523</v>
      </c>
      <c r="D45" s="3513">
        <f>PI()*D46*D46*D46*(1-POWER(D47/D46,4))/16</f>
        <v>85191.157036017001</v>
      </c>
      <c r="E45" s="3525"/>
      <c r="I45" s="3497"/>
    </row>
    <row r="46" spans="1:14" s="3498" customFormat="1" ht="20.100000000000001" customHeight="1">
      <c r="A46" s="3506"/>
      <c r="B46" s="3508" t="s">
        <v>2524</v>
      </c>
      <c r="C46" s="3514" t="s">
        <v>2525</v>
      </c>
      <c r="D46" s="3515">
        <v>80</v>
      </c>
      <c r="E46" s="3509"/>
    </row>
    <row r="47" spans="1:14" s="3498" customFormat="1" ht="20.100000000000001" customHeight="1">
      <c r="A47" s="3506"/>
      <c r="B47" s="3508" t="s">
        <v>411</v>
      </c>
      <c r="C47" s="3514" t="s">
        <v>2526</v>
      </c>
      <c r="D47" s="3515">
        <v>50</v>
      </c>
      <c r="E47" s="3509"/>
      <c r="G47" s="3497"/>
    </row>
    <row r="48" spans="1:14" s="3498" customFormat="1" ht="20.100000000000001" customHeight="1">
      <c r="A48" s="3506"/>
      <c r="B48" s="3516"/>
      <c r="C48" s="3514" t="s">
        <v>1735</v>
      </c>
      <c r="D48" s="3515">
        <v>200</v>
      </c>
      <c r="E48" s="3509" t="s">
        <v>2505</v>
      </c>
      <c r="G48" s="3497"/>
    </row>
    <row r="49" spans="1:12" s="3498" customFormat="1" ht="30" customHeight="1">
      <c r="A49" s="3506"/>
      <c r="B49" s="3514" t="s">
        <v>2499</v>
      </c>
      <c r="C49" s="3516"/>
      <c r="D49" s="3513" t="str">
        <f>IF(D43&lt;D48,"合格","不合格！")</f>
        <v>合格</v>
      </c>
      <c r="E49" s="3509"/>
      <c r="G49" s="3497"/>
    </row>
    <row r="50" spans="1:12" s="3498" customFormat="1" ht="20.100000000000001" customHeight="1">
      <c r="A50" s="3506"/>
      <c r="B50" s="3517"/>
      <c r="C50" s="3517"/>
      <c r="D50" s="3518"/>
      <c r="E50" s="3519"/>
    </row>
    <row r="51" spans="1:12" s="3498" customFormat="1" ht="20.100000000000001" customHeight="1">
      <c r="A51" s="3520"/>
      <c r="B51" s="3521" t="s">
        <v>2500</v>
      </c>
      <c r="C51" s="4731" t="s">
        <v>2501</v>
      </c>
      <c r="D51" s="4732"/>
      <c r="E51" s="4733"/>
    </row>
    <row r="52" spans="1:12" ht="20.100000000000001" customHeight="1"/>
    <row r="53" spans="1:12" ht="20.100000000000001" customHeight="1"/>
    <row r="54" spans="1:12" ht="24.95" customHeight="1">
      <c r="A54" s="3501">
        <v>4</v>
      </c>
      <c r="B54" s="4734" t="s">
        <v>2527</v>
      </c>
      <c r="C54" s="4734"/>
      <c r="D54" s="3504"/>
      <c r="E54" s="3505"/>
    </row>
    <row r="55" spans="1:12" ht="39.950000000000003" customHeight="1">
      <c r="A55" s="3506"/>
      <c r="B55" s="3507" t="s">
        <v>250</v>
      </c>
      <c r="C55" s="4735"/>
      <c r="D55" s="4736"/>
      <c r="E55" s="4737"/>
      <c r="G55" s="4724" t="s">
        <v>2528</v>
      </c>
      <c r="H55" s="4729"/>
      <c r="I55" s="4729"/>
      <c r="J55" s="4729"/>
      <c r="K55" s="4729"/>
      <c r="L55" s="4729"/>
    </row>
    <row r="56" spans="1:12" ht="20.100000000000001" customHeight="1">
      <c r="A56" s="3506"/>
      <c r="B56" s="3510" t="s">
        <v>2491</v>
      </c>
      <c r="C56" s="3510" t="s">
        <v>2492</v>
      </c>
      <c r="D56" s="3511" t="s">
        <v>249</v>
      </c>
      <c r="E56" s="3512" t="s">
        <v>2493</v>
      </c>
      <c r="G56" s="4725"/>
      <c r="H56" s="4730"/>
      <c r="I56" s="4730"/>
      <c r="J56" s="4730"/>
      <c r="K56" s="4730"/>
      <c r="L56" s="4730"/>
    </row>
    <row r="57" spans="1:12" ht="20.100000000000001" customHeight="1">
      <c r="A57" s="3506"/>
      <c r="B57" s="4738"/>
      <c r="C57" s="4744" t="s">
        <v>2529</v>
      </c>
      <c r="D57" s="3513">
        <f>D59/D60</f>
        <v>198.94367886486901</v>
      </c>
      <c r="E57" s="3525" t="s">
        <v>2528</v>
      </c>
      <c r="G57" s="4724" t="s">
        <v>2530</v>
      </c>
      <c r="H57" s="4724"/>
      <c r="I57" s="4724"/>
      <c r="J57" s="4724"/>
      <c r="K57" s="4724"/>
      <c r="L57" s="4724"/>
    </row>
    <row r="58" spans="1:12" ht="20.100000000000001" customHeight="1">
      <c r="A58" s="3506"/>
      <c r="B58" s="4739"/>
      <c r="C58" s="4745"/>
      <c r="D58" s="3513">
        <f>D59/D61</f>
        <v>240</v>
      </c>
      <c r="E58" s="3525" t="s">
        <v>2530</v>
      </c>
      <c r="G58" s="4724"/>
      <c r="H58" s="4724"/>
      <c r="I58" s="4724"/>
      <c r="J58" s="4724"/>
      <c r="K58" s="4724"/>
      <c r="L58" s="4724"/>
    </row>
    <row r="59" spans="1:12" ht="20.100000000000001" customHeight="1">
      <c r="A59" s="3506"/>
      <c r="B59" s="3516"/>
      <c r="C59" s="3514" t="s">
        <v>2531</v>
      </c>
      <c r="D59" s="3515">
        <v>10000000</v>
      </c>
      <c r="E59" s="3525"/>
      <c r="G59" s="4724"/>
      <c r="H59" s="4724"/>
      <c r="I59" s="4724"/>
      <c r="J59" s="4724"/>
      <c r="K59" s="4724"/>
      <c r="L59" s="4724"/>
    </row>
    <row r="60" spans="1:12" ht="20.100000000000001" customHeight="1">
      <c r="A60" s="3506"/>
      <c r="B60" s="4740" t="s">
        <v>2532</v>
      </c>
      <c r="C60" s="3524" t="s">
        <v>2533</v>
      </c>
      <c r="D60" s="3513">
        <f>PI()*D62*D62*D62/32</f>
        <v>50265.482457436701</v>
      </c>
      <c r="E60" s="3525" t="s">
        <v>2528</v>
      </c>
      <c r="G60" s="3531"/>
      <c r="H60" s="3532"/>
      <c r="I60" s="3532"/>
      <c r="J60" s="3532"/>
      <c r="K60" s="3532"/>
      <c r="L60" s="3532"/>
    </row>
    <row r="61" spans="1:12" ht="20.100000000000001" customHeight="1">
      <c r="A61" s="3506"/>
      <c r="B61" s="4741"/>
      <c r="C61" s="3524" t="s">
        <v>2533</v>
      </c>
      <c r="D61" s="3513">
        <f>D64*D65*D65/6</f>
        <v>41666.666666666701</v>
      </c>
      <c r="E61" s="3525" t="s">
        <v>2530</v>
      </c>
      <c r="G61" s="3517"/>
      <c r="H61" s="3533"/>
      <c r="I61" s="3533"/>
      <c r="J61" s="3533"/>
      <c r="K61" s="3533"/>
      <c r="L61" s="3533"/>
    </row>
    <row r="62" spans="1:12" ht="20.100000000000001" customHeight="1">
      <c r="A62" s="3506"/>
      <c r="B62" s="3508" t="s">
        <v>2524</v>
      </c>
      <c r="C62" s="3514" t="s">
        <v>2525</v>
      </c>
      <c r="D62" s="3515">
        <v>80</v>
      </c>
      <c r="E62" s="3509"/>
    </row>
    <row r="63" spans="1:12" ht="20.100000000000001" customHeight="1">
      <c r="A63" s="3506"/>
      <c r="B63" s="3508" t="s">
        <v>411</v>
      </c>
      <c r="C63" s="3514" t="s">
        <v>2526</v>
      </c>
      <c r="D63" s="3515">
        <v>50</v>
      </c>
      <c r="E63" s="3509"/>
      <c r="G63" s="3534"/>
      <c r="H63" s="3534"/>
    </row>
    <row r="64" spans="1:12" ht="20.100000000000001" customHeight="1">
      <c r="A64" s="3506"/>
      <c r="B64" s="3508" t="s">
        <v>2534</v>
      </c>
      <c r="C64" s="3514" t="s">
        <v>2535</v>
      </c>
      <c r="D64" s="3515">
        <v>100</v>
      </c>
      <c r="E64" s="3509"/>
      <c r="G64" s="3534"/>
      <c r="H64" s="3534"/>
    </row>
    <row r="65" spans="1:8" ht="20.100000000000001" customHeight="1">
      <c r="A65" s="3506"/>
      <c r="B65" s="3508" t="s">
        <v>1866</v>
      </c>
      <c r="C65" s="3514" t="s">
        <v>2536</v>
      </c>
      <c r="D65" s="3515">
        <v>50</v>
      </c>
      <c r="E65" s="3509"/>
      <c r="G65" s="3534"/>
      <c r="H65" s="3534"/>
    </row>
    <row r="66" spans="1:8" ht="20.100000000000001" customHeight="1">
      <c r="A66" s="3506"/>
      <c r="B66" s="4742" t="s">
        <v>2499</v>
      </c>
      <c r="C66" s="4738"/>
      <c r="D66" s="3513" t="str">
        <f>IF(D57&lt;D68,"合格","不合格！")</f>
        <v>合格</v>
      </c>
      <c r="E66" s="3509"/>
      <c r="G66" s="3534"/>
      <c r="H66" s="3534"/>
    </row>
    <row r="67" spans="1:8" ht="20.100000000000001" customHeight="1">
      <c r="A67" s="3506"/>
      <c r="B67" s="4743"/>
      <c r="C67" s="4739"/>
      <c r="D67" s="3513" t="str">
        <f>IF(D58&lt;D68,"合格","不合格！")</f>
        <v>合格</v>
      </c>
      <c r="E67" s="3509"/>
      <c r="G67" s="3534"/>
      <c r="H67" s="3534"/>
    </row>
    <row r="68" spans="1:8" ht="20.100000000000001" customHeight="1">
      <c r="A68" s="3506"/>
      <c r="B68" s="3516"/>
      <c r="C68" s="3535" t="s">
        <v>2537</v>
      </c>
      <c r="D68" s="3536">
        <v>300</v>
      </c>
      <c r="E68" s="3509" t="s">
        <v>2505</v>
      </c>
      <c r="G68" s="3534"/>
      <c r="H68" s="3534"/>
    </row>
    <row r="69" spans="1:8" ht="20.100000000000001" customHeight="1">
      <c r="A69" s="3506"/>
      <c r="B69" s="3537"/>
      <c r="C69" s="3517"/>
      <c r="D69" s="3518"/>
      <c r="E69" s="3519"/>
      <c r="G69" s="3534"/>
      <c r="H69" s="3534"/>
    </row>
    <row r="70" spans="1:8" ht="20.100000000000001" customHeight="1">
      <c r="A70" s="3520"/>
      <c r="B70" s="3521" t="s">
        <v>2500</v>
      </c>
      <c r="C70" s="4731" t="s">
        <v>2501</v>
      </c>
      <c r="D70" s="4732"/>
      <c r="E70" s="4733"/>
      <c r="G70" s="3534"/>
      <c r="H70" s="3534"/>
    </row>
    <row r="71" spans="1:8" ht="20.100000000000001" customHeight="1"/>
    <row r="72" spans="1:8" ht="20.100000000000001" customHeight="1"/>
    <row r="73" spans="1:8" ht="20.100000000000001" customHeight="1"/>
    <row r="74" spans="1:8" ht="20.100000000000001" customHeight="1"/>
    <row r="75" spans="1:8" ht="20.100000000000001" customHeight="1"/>
    <row r="76" spans="1:8" ht="20.100000000000001" customHeight="1"/>
    <row r="77" spans="1:8" ht="20.100000000000001" customHeight="1"/>
    <row r="78" spans="1:8" ht="20.100000000000001" customHeight="1"/>
    <row r="79" spans="1:8" ht="20.100000000000001" customHeight="1"/>
    <row r="80" spans="1:8"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sheetData>
  <mergeCells count="26">
    <mergeCell ref="C12:E12"/>
    <mergeCell ref="C16:E16"/>
    <mergeCell ref="C24:E24"/>
    <mergeCell ref="C28:E28"/>
    <mergeCell ref="C70:E70"/>
    <mergeCell ref="B57:B58"/>
    <mergeCell ref="B60:B61"/>
    <mergeCell ref="B66:B67"/>
    <mergeCell ref="C57:C58"/>
    <mergeCell ref="C66:C67"/>
    <mergeCell ref="G42:G44"/>
    <mergeCell ref="G55:G56"/>
    <mergeCell ref="G57:G59"/>
    <mergeCell ref="H42:N44"/>
    <mergeCell ref="A1:E2"/>
    <mergeCell ref="H55:L56"/>
    <mergeCell ref="H57:L59"/>
    <mergeCell ref="C51:E51"/>
    <mergeCell ref="B54:C54"/>
    <mergeCell ref="C55:E55"/>
    <mergeCell ref="C37:E37"/>
    <mergeCell ref="B40:C40"/>
    <mergeCell ref="G40:N40"/>
    <mergeCell ref="C41:E41"/>
    <mergeCell ref="H41:N41"/>
    <mergeCell ref="C4:E4"/>
  </mergeCells>
  <phoneticPr fontId="214" type="noConversion"/>
  <pageMargins left="0.7" right="0.7" top="0.75" bottom="0.75" header="0.3" footer="0.3"/>
  <pageSetup orientation="portrait" horizontalDpi="200" verticalDpi="200"/>
  <drawing r:id="rId1"/>
  <legacyDrawing r:id="rId2"/>
  <oleObjects>
    <mc:AlternateContent xmlns:mc="http://schemas.openxmlformats.org/markup-compatibility/2006">
      <mc:Choice Requires="x14">
        <oleObject progId="Equation.3" shapeId="1347585" r:id="rId3">
          <objectPr defaultSize="0" altText="" r:id="rId4">
            <anchor moveWithCells="1" sizeWithCells="1">
              <from>
                <xdr:col>7</xdr:col>
                <xdr:colOff>666750</xdr:colOff>
                <xdr:row>39</xdr:row>
                <xdr:rowOff>304800</xdr:rowOff>
              </from>
              <to>
                <xdr:col>11</xdr:col>
                <xdr:colOff>57150</xdr:colOff>
                <xdr:row>41</xdr:row>
                <xdr:rowOff>47625</xdr:rowOff>
              </to>
            </anchor>
          </objectPr>
        </oleObject>
      </mc:Choice>
      <mc:Fallback>
        <oleObject progId="Equation.3" shapeId="1347585" r:id="rId3"/>
      </mc:Fallback>
    </mc:AlternateContent>
    <mc:AlternateContent xmlns:mc="http://schemas.openxmlformats.org/markup-compatibility/2006">
      <mc:Choice Requires="x14">
        <oleObject progId="Equation.3" shapeId="1347586" r:id="rId5">
          <objectPr defaultSize="0" altText="" r:id="rId6">
            <anchor moveWithCells="1" sizeWithCells="1">
              <from>
                <xdr:col>7</xdr:col>
                <xdr:colOff>19050</xdr:colOff>
                <xdr:row>41</xdr:row>
                <xdr:rowOff>9525</xdr:rowOff>
              </from>
              <to>
                <xdr:col>12</xdr:col>
                <xdr:colOff>228600</xdr:colOff>
                <xdr:row>43</xdr:row>
                <xdr:rowOff>219075</xdr:rowOff>
              </to>
            </anchor>
          </objectPr>
        </oleObject>
      </mc:Choice>
      <mc:Fallback>
        <oleObject progId="Equation.3" shapeId="1347586" r:id="rId5"/>
      </mc:Fallback>
    </mc:AlternateContent>
    <mc:AlternateContent xmlns:mc="http://schemas.openxmlformats.org/markup-compatibility/2006">
      <mc:Choice Requires="x14">
        <oleObject progId="Equation.3" shapeId="1347587" r:id="rId7">
          <objectPr defaultSize="0" altText="" r:id="rId8">
            <anchor moveWithCells="1" sizeWithCells="1">
              <from>
                <xdr:col>12</xdr:col>
                <xdr:colOff>314325</xdr:colOff>
                <xdr:row>41</xdr:row>
                <xdr:rowOff>19050</xdr:rowOff>
              </from>
              <to>
                <xdr:col>13</xdr:col>
                <xdr:colOff>647700</xdr:colOff>
                <xdr:row>44</xdr:row>
                <xdr:rowOff>19050</xdr:rowOff>
              </to>
            </anchor>
          </objectPr>
        </oleObject>
      </mc:Choice>
      <mc:Fallback>
        <oleObject progId="Equation.3" shapeId="1347587" r:id="rId7"/>
      </mc:Fallback>
    </mc:AlternateContent>
  </oleObjec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
  <sheetViews>
    <sheetView workbookViewId="0">
      <selection activeCell="O7" activeCellId="1" sqref="O2 O7"/>
    </sheetView>
  </sheetViews>
  <sheetFormatPr defaultColWidth="9" defaultRowHeight="14.25"/>
  <cols>
    <col min="1" max="16384" width="9" style="3497"/>
  </cols>
  <sheetData/>
  <phoneticPr fontId="214"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IV39"/>
  <sheetViews>
    <sheetView workbookViewId="0"/>
  </sheetViews>
  <sheetFormatPr defaultColWidth="8" defaultRowHeight="14.25"/>
  <cols>
    <col min="1" max="1" width="8.25" style="3305"/>
    <col min="2" max="2" width="0.25" style="3306" customWidth="1"/>
    <col min="3" max="3" width="14.5" style="3305" customWidth="1"/>
    <col min="4" max="4" width="12.75" style="3305" customWidth="1"/>
    <col min="5" max="5" width="10.5" style="3305" customWidth="1"/>
    <col min="6" max="6" width="12.25" style="3305" customWidth="1"/>
    <col min="7" max="7" width="11.875" style="3305" customWidth="1"/>
    <col min="8" max="8" width="11.625" style="3305" customWidth="1"/>
    <col min="9" max="256" width="8.25" style="3305"/>
    <col min="257" max="16384" width="8" style="199"/>
  </cols>
  <sheetData>
    <row r="1" spans="1:12" ht="25.5">
      <c r="A1" s="3490"/>
      <c r="B1" s="3313"/>
      <c r="C1" s="3491"/>
      <c r="D1" s="3492" t="s">
        <v>2538</v>
      </c>
      <c r="E1" s="3491"/>
      <c r="F1" s="3491"/>
      <c r="G1" s="3491"/>
      <c r="H1" s="3491"/>
      <c r="I1" s="3491"/>
      <c r="J1" s="3491"/>
      <c r="K1" s="3491"/>
      <c r="L1" s="3491"/>
    </row>
    <row r="2" spans="1:12" s="3306" customFormat="1" ht="1.5" customHeight="1">
      <c r="A2" s="3313"/>
      <c r="B2" s="3313"/>
      <c r="C2" s="3314"/>
      <c r="D2" s="3315"/>
      <c r="E2" s="3314"/>
      <c r="F2" s="3314"/>
      <c r="G2" s="3314"/>
      <c r="H2" s="3314"/>
      <c r="I2" s="3314"/>
      <c r="J2" s="3314"/>
      <c r="K2" s="3314"/>
      <c r="L2" s="3314"/>
    </row>
    <row r="3" spans="1:12">
      <c r="A3" s="3493" t="s">
        <v>2539</v>
      </c>
      <c r="B3" s="3317"/>
      <c r="C3" s="3318" t="s">
        <v>2540</v>
      </c>
      <c r="D3" s="3318" t="s">
        <v>2541</v>
      </c>
      <c r="E3" s="3318" t="s">
        <v>2542</v>
      </c>
      <c r="F3" s="3318" t="s">
        <v>2543</v>
      </c>
      <c r="G3" s="3318" t="s">
        <v>2544</v>
      </c>
      <c r="H3" s="3318" t="s">
        <v>2545</v>
      </c>
      <c r="I3" s="3318" t="s">
        <v>2546</v>
      </c>
    </row>
    <row r="4" spans="1:12" ht="13.5" customHeight="1">
      <c r="A4" s="3494" t="s">
        <v>2547</v>
      </c>
      <c r="B4" s="3320"/>
      <c r="C4" s="3318" t="s">
        <v>2548</v>
      </c>
      <c r="D4" s="3318" t="s">
        <v>2549</v>
      </c>
      <c r="E4" s="3318" t="s">
        <v>2550</v>
      </c>
      <c r="F4" s="3318" t="s">
        <v>2551</v>
      </c>
      <c r="G4" s="3318" t="s">
        <v>2552</v>
      </c>
      <c r="H4" s="3318" t="s">
        <v>2553</v>
      </c>
      <c r="I4" s="3318" t="s">
        <v>2554</v>
      </c>
    </row>
    <row r="5" spans="1:12" s="3306" customFormat="1" ht="1.5" customHeight="1"/>
    <row r="6" spans="1:12">
      <c r="A6" s="3319" t="s">
        <v>2555</v>
      </c>
      <c r="B6" s="3320"/>
      <c r="C6" s="3305" t="s">
        <v>2556</v>
      </c>
      <c r="D6" s="3305" t="s">
        <v>2557</v>
      </c>
      <c r="H6" s="3305" t="s">
        <v>2558</v>
      </c>
      <c r="I6" s="3305" t="s">
        <v>2559</v>
      </c>
    </row>
    <row r="7" spans="1:12">
      <c r="A7" s="3319" t="s">
        <v>2560</v>
      </c>
      <c r="B7" s="3320"/>
      <c r="C7" s="3305" t="s">
        <v>2561</v>
      </c>
      <c r="H7" s="3305" t="s">
        <v>2562</v>
      </c>
      <c r="I7" s="3305" t="s">
        <v>2563</v>
      </c>
    </row>
    <row r="8" spans="1:12">
      <c r="A8" s="3319" t="s">
        <v>2564</v>
      </c>
      <c r="B8" s="3320"/>
      <c r="C8" s="3305" t="s">
        <v>2565</v>
      </c>
      <c r="I8" s="3305" t="s">
        <v>2566</v>
      </c>
    </row>
    <row r="9" spans="1:12">
      <c r="A9" s="3319" t="s">
        <v>1791</v>
      </c>
      <c r="B9" s="3320"/>
      <c r="C9" s="3305" t="s">
        <v>2567</v>
      </c>
      <c r="E9" s="3305" t="s">
        <v>2568</v>
      </c>
      <c r="F9" s="3305" t="s">
        <v>2569</v>
      </c>
      <c r="G9" s="3305" t="s">
        <v>2570</v>
      </c>
      <c r="H9" s="3305" t="s">
        <v>2571</v>
      </c>
      <c r="I9" s="3305" t="s">
        <v>2572</v>
      </c>
    </row>
    <row r="10" spans="1:12">
      <c r="A10" s="3319"/>
      <c r="B10" s="3320"/>
      <c r="C10" s="3305" t="s">
        <v>2573</v>
      </c>
      <c r="D10" s="3305" t="s">
        <v>2574</v>
      </c>
      <c r="E10" s="3305" t="s">
        <v>2575</v>
      </c>
      <c r="F10" s="3305" t="s">
        <v>2574</v>
      </c>
      <c r="G10" s="3305" t="s">
        <v>2576</v>
      </c>
      <c r="H10" s="3305" t="s">
        <v>2577</v>
      </c>
      <c r="I10" s="3305" t="s">
        <v>2578</v>
      </c>
    </row>
    <row r="11" spans="1:12" s="3306" customFormat="1" ht="1.5" customHeight="1"/>
    <row r="12" spans="1:12">
      <c r="A12" s="3321" t="s">
        <v>2579</v>
      </c>
      <c r="C12" s="3305" t="s">
        <v>2580</v>
      </c>
      <c r="D12" s="3305" t="s">
        <v>2581</v>
      </c>
      <c r="E12" s="3305" t="s">
        <v>2582</v>
      </c>
      <c r="F12" s="3305" t="s">
        <v>2581</v>
      </c>
      <c r="G12" s="3305" t="s">
        <v>2581</v>
      </c>
      <c r="H12" s="3305" t="s">
        <v>2583</v>
      </c>
      <c r="I12" s="3305" t="s">
        <v>2584</v>
      </c>
    </row>
    <row r="13" spans="1:12">
      <c r="A13" s="3330" t="s">
        <v>2585</v>
      </c>
      <c r="C13" s="3305" t="s">
        <v>2586</v>
      </c>
      <c r="E13" s="3305" t="s">
        <v>2587</v>
      </c>
      <c r="I13" s="3305" t="s">
        <v>2588</v>
      </c>
    </row>
    <row r="14" spans="1:12">
      <c r="A14" s="3319" t="s">
        <v>1791</v>
      </c>
      <c r="C14" s="3305" t="s">
        <v>2589</v>
      </c>
      <c r="D14" s="3305" t="s">
        <v>2590</v>
      </c>
      <c r="E14" s="3305" t="s">
        <v>2591</v>
      </c>
      <c r="F14" s="3305" t="s">
        <v>2590</v>
      </c>
      <c r="H14" s="3305" t="s">
        <v>2592</v>
      </c>
      <c r="I14" s="3305" t="s">
        <v>2593</v>
      </c>
    </row>
    <row r="15" spans="1:12">
      <c r="A15" s="3319"/>
      <c r="C15" s="3305" t="s">
        <v>2594</v>
      </c>
      <c r="D15" s="3305" t="s">
        <v>2595</v>
      </c>
      <c r="E15" s="3305" t="s">
        <v>2596</v>
      </c>
      <c r="F15" s="3305" t="s">
        <v>2597</v>
      </c>
      <c r="G15" s="3305" t="s">
        <v>2598</v>
      </c>
    </row>
    <row r="16" spans="1:12" s="3317" customFormat="1" ht="3" customHeight="1">
      <c r="A16" s="3495"/>
    </row>
    <row r="17" spans="1:9">
      <c r="A17" s="3319"/>
      <c r="C17" s="3305" t="s">
        <v>2599</v>
      </c>
      <c r="D17" s="3305" t="s">
        <v>2600</v>
      </c>
      <c r="F17" s="3305" t="s">
        <v>2601</v>
      </c>
      <c r="G17" s="3305" t="s">
        <v>2601</v>
      </c>
      <c r="H17" s="3305" t="s">
        <v>2602</v>
      </c>
      <c r="I17" s="3305" t="s">
        <v>2603</v>
      </c>
    </row>
    <row r="18" spans="1:9">
      <c r="A18" s="3319" t="s">
        <v>2604</v>
      </c>
      <c r="C18" s="3305" t="s">
        <v>2605</v>
      </c>
      <c r="E18" s="3305" t="s">
        <v>2606</v>
      </c>
      <c r="F18" s="3305" t="s">
        <v>2607</v>
      </c>
      <c r="G18" s="3305" t="s">
        <v>2608</v>
      </c>
      <c r="H18" s="3305" t="s">
        <v>2609</v>
      </c>
      <c r="I18" s="3305" t="s">
        <v>2610</v>
      </c>
    </row>
    <row r="19" spans="1:9">
      <c r="A19" s="3319" t="s">
        <v>1791</v>
      </c>
      <c r="C19" s="3305" t="s">
        <v>2611</v>
      </c>
      <c r="D19" s="3305" t="s">
        <v>2612</v>
      </c>
      <c r="F19" s="3305" t="s">
        <v>2613</v>
      </c>
      <c r="G19" s="3305" t="s">
        <v>2613</v>
      </c>
      <c r="H19" s="3305" t="s">
        <v>2614</v>
      </c>
      <c r="I19" s="3305" t="s">
        <v>2615</v>
      </c>
    </row>
    <row r="20" spans="1:9">
      <c r="A20" s="3319"/>
      <c r="C20" s="3305" t="s">
        <v>2616</v>
      </c>
      <c r="D20" s="3305" t="s">
        <v>2617</v>
      </c>
    </row>
    <row r="21" spans="1:9" s="3306" customFormat="1" ht="3.75" customHeight="1">
      <c r="A21" s="3320"/>
    </row>
    <row r="22" spans="1:9">
      <c r="A22" s="3319" t="s">
        <v>2618</v>
      </c>
      <c r="C22" s="3305" t="s">
        <v>2619</v>
      </c>
      <c r="F22" s="3305" t="s">
        <v>2620</v>
      </c>
      <c r="I22" s="3305" t="s">
        <v>2621</v>
      </c>
    </row>
    <row r="23" spans="1:9">
      <c r="A23" s="3319"/>
      <c r="C23" s="3305" t="s">
        <v>2622</v>
      </c>
      <c r="D23" s="3305" t="s">
        <v>2623</v>
      </c>
      <c r="F23" s="3305" t="s">
        <v>2624</v>
      </c>
      <c r="I23" s="3305" t="s">
        <v>2625</v>
      </c>
    </row>
    <row r="24" spans="1:9">
      <c r="A24" s="3319" t="s">
        <v>1791</v>
      </c>
      <c r="C24" s="3305" t="s">
        <v>2626</v>
      </c>
      <c r="D24" s="3305" t="s">
        <v>2627</v>
      </c>
      <c r="F24" s="3305" t="s">
        <v>2627</v>
      </c>
      <c r="G24" s="3305" t="s">
        <v>2627</v>
      </c>
      <c r="H24" s="3305" t="s">
        <v>2628</v>
      </c>
      <c r="I24" s="3305" t="s">
        <v>2629</v>
      </c>
    </row>
    <row r="25" spans="1:9" s="3306" customFormat="1" ht="4.5" customHeight="1">
      <c r="A25" s="3320"/>
    </row>
    <row r="26" spans="1:9" ht="24.75" customHeight="1">
      <c r="A26" s="3319" t="s">
        <v>1621</v>
      </c>
      <c r="C26" s="3305" t="s">
        <v>2630</v>
      </c>
      <c r="D26" s="3305" t="s">
        <v>2631</v>
      </c>
      <c r="F26" s="3305" t="s">
        <v>2632</v>
      </c>
      <c r="G26" s="3305" t="s">
        <v>2632</v>
      </c>
      <c r="H26" s="3305" t="s">
        <v>2633</v>
      </c>
      <c r="I26" s="3305" t="s">
        <v>2634</v>
      </c>
    </row>
    <row r="27" spans="1:9" s="3306" customFormat="1" ht="3.75" customHeight="1">
      <c r="A27" s="3320"/>
    </row>
    <row r="28" spans="1:9">
      <c r="A28" s="3319"/>
      <c r="C28" s="3305" t="s">
        <v>2635</v>
      </c>
      <c r="D28" s="3305" t="s">
        <v>2636</v>
      </c>
      <c r="E28" s="3305" t="s">
        <v>2637</v>
      </c>
      <c r="F28" s="3305" t="s">
        <v>2638</v>
      </c>
      <c r="H28" s="3305" t="s">
        <v>2639</v>
      </c>
    </row>
    <row r="29" spans="1:9">
      <c r="A29" s="3319" t="s">
        <v>2640</v>
      </c>
      <c r="C29" s="3305" t="s">
        <v>2641</v>
      </c>
      <c r="D29" s="3305" t="s">
        <v>2642</v>
      </c>
      <c r="E29" s="3305" t="s">
        <v>2643</v>
      </c>
      <c r="F29" s="3305" t="s">
        <v>2644</v>
      </c>
      <c r="G29" s="3305" t="s">
        <v>2645</v>
      </c>
      <c r="H29" s="3305" t="s">
        <v>2646</v>
      </c>
      <c r="I29" s="3305" t="s">
        <v>2647</v>
      </c>
    </row>
    <row r="30" spans="1:9">
      <c r="A30" s="3319" t="s">
        <v>2648</v>
      </c>
      <c r="C30" s="3305" t="s">
        <v>2649</v>
      </c>
      <c r="D30" s="3305" t="s">
        <v>2650</v>
      </c>
      <c r="I30" s="3305" t="s">
        <v>2651</v>
      </c>
    </row>
    <row r="31" spans="1:9">
      <c r="A31" s="3319" t="s">
        <v>1791</v>
      </c>
      <c r="C31" s="3305" t="s">
        <v>2652</v>
      </c>
      <c r="D31" s="3305" t="s">
        <v>2653</v>
      </c>
      <c r="F31" s="3305" t="s">
        <v>2654</v>
      </c>
      <c r="H31" s="3305" t="s">
        <v>2655</v>
      </c>
    </row>
    <row r="32" spans="1:9">
      <c r="A32" s="3319" t="s">
        <v>2656</v>
      </c>
      <c r="C32" s="3305" t="s">
        <v>2657</v>
      </c>
      <c r="E32" s="3324"/>
      <c r="I32" s="3305" t="s">
        <v>2658</v>
      </c>
    </row>
    <row r="33" spans="1:9">
      <c r="A33" s="3319" t="s">
        <v>2659</v>
      </c>
      <c r="C33" s="3305" t="s">
        <v>2660</v>
      </c>
      <c r="D33" s="3305" t="s">
        <v>2661</v>
      </c>
    </row>
    <row r="34" spans="1:9">
      <c r="A34" s="3319"/>
      <c r="C34" s="3305" t="s">
        <v>2662</v>
      </c>
      <c r="D34" s="3305" t="s">
        <v>2663</v>
      </c>
      <c r="E34" s="3305" t="s">
        <v>2664</v>
      </c>
      <c r="G34" s="3305" t="s">
        <v>2665</v>
      </c>
      <c r="H34" s="3305" t="s">
        <v>2666</v>
      </c>
      <c r="I34" s="3305" t="s">
        <v>2667</v>
      </c>
    </row>
    <row r="35" spans="1:9">
      <c r="A35" s="3319"/>
      <c r="C35" s="3305" t="s">
        <v>2668</v>
      </c>
      <c r="H35" s="3305" t="s">
        <v>2669</v>
      </c>
      <c r="I35" s="3305" t="s">
        <v>2670</v>
      </c>
    </row>
    <row r="36" spans="1:9" s="3306" customFormat="1" ht="4.5" customHeight="1">
      <c r="A36" s="3320"/>
      <c r="C36" s="3333"/>
      <c r="D36" s="3333"/>
      <c r="E36" s="3333"/>
      <c r="F36" s="3333"/>
      <c r="G36" s="3333"/>
      <c r="H36" s="3333"/>
    </row>
    <row r="37" spans="1:9" s="3306" customFormat="1" ht="2.25" customHeight="1"/>
    <row r="38" spans="1:9" s="3331" customFormat="1" ht="12">
      <c r="E38" s="3496" t="s">
        <v>2671</v>
      </c>
    </row>
    <row r="39" spans="1:9" s="3306" customFormat="1" ht="3" customHeight="1"/>
  </sheetData>
  <phoneticPr fontId="214" type="noConversion"/>
  <pageMargins left="0.75" right="0.75" top="1" bottom="1" header="0.5" footer="0.5"/>
  <pageSetup paperSize="9" orientation="landscape"/>
  <headerFooter scaleWithDoc="0" alignWithMargins="0"/>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P283"/>
  <sheetViews>
    <sheetView workbookViewId="0">
      <selection activeCell="T11" sqref="T11"/>
    </sheetView>
  </sheetViews>
  <sheetFormatPr defaultColWidth="9" defaultRowHeight="13.5"/>
  <cols>
    <col min="1" max="1" width="5.625" style="3478" customWidth="1"/>
    <col min="2" max="2" width="15.625" style="3479" customWidth="1"/>
    <col min="3" max="3" width="8.625" style="3479" customWidth="1"/>
    <col min="4" max="4" width="10.625" style="3479" customWidth="1"/>
    <col min="5" max="5" width="8.625" style="3479" customWidth="1"/>
    <col min="6" max="256" width="9" style="3479"/>
    <col min="257" max="257" width="5.625" style="3479" customWidth="1"/>
    <col min="258" max="258" width="15.625" style="3479" customWidth="1"/>
    <col min="259" max="259" width="8.625" style="3479" customWidth="1"/>
    <col min="260" max="260" width="10.625" style="3479" customWidth="1"/>
    <col min="261" max="261" width="8.625" style="3479" customWidth="1"/>
    <col min="262" max="512" width="9" style="3479"/>
    <col min="513" max="513" width="5.625" style="3479" customWidth="1"/>
    <col min="514" max="514" width="15.625" style="3479" customWidth="1"/>
    <col min="515" max="515" width="8.625" style="3479" customWidth="1"/>
    <col min="516" max="516" width="10.625" style="3479" customWidth="1"/>
    <col min="517" max="517" width="8.625" style="3479" customWidth="1"/>
    <col min="518" max="768" width="9" style="3479"/>
    <col min="769" max="769" width="5.625" style="3479" customWidth="1"/>
    <col min="770" max="770" width="15.625" style="3479" customWidth="1"/>
    <col min="771" max="771" width="8.625" style="3479" customWidth="1"/>
    <col min="772" max="772" width="10.625" style="3479" customWidth="1"/>
    <col min="773" max="773" width="8.625" style="3479" customWidth="1"/>
    <col min="774" max="1024" width="9" style="3479"/>
    <col min="1025" max="1025" width="5.625" style="3479" customWidth="1"/>
    <col min="1026" max="1026" width="15.625" style="3479" customWidth="1"/>
    <col min="1027" max="1027" width="8.625" style="3479" customWidth="1"/>
    <col min="1028" max="1028" width="10.625" style="3479" customWidth="1"/>
    <col min="1029" max="1029" width="8.625" style="3479" customWidth="1"/>
    <col min="1030" max="1280" width="9" style="3479"/>
    <col min="1281" max="1281" width="5.625" style="3479" customWidth="1"/>
    <col min="1282" max="1282" width="15.625" style="3479" customWidth="1"/>
    <col min="1283" max="1283" width="8.625" style="3479" customWidth="1"/>
    <col min="1284" max="1284" width="10.625" style="3479" customWidth="1"/>
    <col min="1285" max="1285" width="8.625" style="3479" customWidth="1"/>
    <col min="1286" max="1536" width="9" style="3479"/>
    <col min="1537" max="1537" width="5.625" style="3479" customWidth="1"/>
    <col min="1538" max="1538" width="15.625" style="3479" customWidth="1"/>
    <col min="1539" max="1539" width="8.625" style="3479" customWidth="1"/>
    <col min="1540" max="1540" width="10.625" style="3479" customWidth="1"/>
    <col min="1541" max="1541" width="8.625" style="3479" customWidth="1"/>
    <col min="1542" max="1792" width="9" style="3479"/>
    <col min="1793" max="1793" width="5.625" style="3479" customWidth="1"/>
    <col min="1794" max="1794" width="15.625" style="3479" customWidth="1"/>
    <col min="1795" max="1795" width="8.625" style="3479" customWidth="1"/>
    <col min="1796" max="1796" width="10.625" style="3479" customWidth="1"/>
    <col min="1797" max="1797" width="8.625" style="3479" customWidth="1"/>
    <col min="1798" max="2048" width="9" style="3479"/>
    <col min="2049" max="2049" width="5.625" style="3479" customWidth="1"/>
    <col min="2050" max="2050" width="15.625" style="3479" customWidth="1"/>
    <col min="2051" max="2051" width="8.625" style="3479" customWidth="1"/>
    <col min="2052" max="2052" width="10.625" style="3479" customWidth="1"/>
    <col min="2053" max="2053" width="8.625" style="3479" customWidth="1"/>
    <col min="2054" max="2304" width="9" style="3479"/>
    <col min="2305" max="2305" width="5.625" style="3479" customWidth="1"/>
    <col min="2306" max="2306" width="15.625" style="3479" customWidth="1"/>
    <col min="2307" max="2307" width="8.625" style="3479" customWidth="1"/>
    <col min="2308" max="2308" width="10.625" style="3479" customWidth="1"/>
    <col min="2309" max="2309" width="8.625" style="3479" customWidth="1"/>
    <col min="2310" max="2560" width="9" style="3479"/>
    <col min="2561" max="2561" width="5.625" style="3479" customWidth="1"/>
    <col min="2562" max="2562" width="15.625" style="3479" customWidth="1"/>
    <col min="2563" max="2563" width="8.625" style="3479" customWidth="1"/>
    <col min="2564" max="2564" width="10.625" style="3479" customWidth="1"/>
    <col min="2565" max="2565" width="8.625" style="3479" customWidth="1"/>
    <col min="2566" max="2816" width="9" style="3479"/>
    <col min="2817" max="2817" width="5.625" style="3479" customWidth="1"/>
    <col min="2818" max="2818" width="15.625" style="3479" customWidth="1"/>
    <col min="2819" max="2819" width="8.625" style="3479" customWidth="1"/>
    <col min="2820" max="2820" width="10.625" style="3479" customWidth="1"/>
    <col min="2821" max="2821" width="8.625" style="3479" customWidth="1"/>
    <col min="2822" max="3072" width="9" style="3479"/>
    <col min="3073" max="3073" width="5.625" style="3479" customWidth="1"/>
    <col min="3074" max="3074" width="15.625" style="3479" customWidth="1"/>
    <col min="3075" max="3075" width="8.625" style="3479" customWidth="1"/>
    <col min="3076" max="3076" width="10.625" style="3479" customWidth="1"/>
    <col min="3077" max="3077" width="8.625" style="3479" customWidth="1"/>
    <col min="3078" max="3328" width="9" style="3479"/>
    <col min="3329" max="3329" width="5.625" style="3479" customWidth="1"/>
    <col min="3330" max="3330" width="15.625" style="3479" customWidth="1"/>
    <col min="3331" max="3331" width="8.625" style="3479" customWidth="1"/>
    <col min="3332" max="3332" width="10.625" style="3479" customWidth="1"/>
    <col min="3333" max="3333" width="8.625" style="3479" customWidth="1"/>
    <col min="3334" max="3584" width="9" style="3479"/>
    <col min="3585" max="3585" width="5.625" style="3479" customWidth="1"/>
    <col min="3586" max="3586" width="15.625" style="3479" customWidth="1"/>
    <col min="3587" max="3587" width="8.625" style="3479" customWidth="1"/>
    <col min="3588" max="3588" width="10.625" style="3479" customWidth="1"/>
    <col min="3589" max="3589" width="8.625" style="3479" customWidth="1"/>
    <col min="3590" max="3840" width="9" style="3479"/>
    <col min="3841" max="3841" width="5.625" style="3479" customWidth="1"/>
    <col min="3842" max="3842" width="15.625" style="3479" customWidth="1"/>
    <col min="3843" max="3843" width="8.625" style="3479" customWidth="1"/>
    <col min="3844" max="3844" width="10.625" style="3479" customWidth="1"/>
    <col min="3845" max="3845" width="8.625" style="3479" customWidth="1"/>
    <col min="3846" max="4096" width="9" style="3479"/>
    <col min="4097" max="4097" width="5.625" style="3479" customWidth="1"/>
    <col min="4098" max="4098" width="15.625" style="3479" customWidth="1"/>
    <col min="4099" max="4099" width="8.625" style="3479" customWidth="1"/>
    <col min="4100" max="4100" width="10.625" style="3479" customWidth="1"/>
    <col min="4101" max="4101" width="8.625" style="3479" customWidth="1"/>
    <col min="4102" max="4352" width="9" style="3479"/>
    <col min="4353" max="4353" width="5.625" style="3479" customWidth="1"/>
    <col min="4354" max="4354" width="15.625" style="3479" customWidth="1"/>
    <col min="4355" max="4355" width="8.625" style="3479" customWidth="1"/>
    <col min="4356" max="4356" width="10.625" style="3479" customWidth="1"/>
    <col min="4357" max="4357" width="8.625" style="3479" customWidth="1"/>
    <col min="4358" max="4608" width="9" style="3479"/>
    <col min="4609" max="4609" width="5.625" style="3479" customWidth="1"/>
    <col min="4610" max="4610" width="15.625" style="3479" customWidth="1"/>
    <col min="4611" max="4611" width="8.625" style="3479" customWidth="1"/>
    <col min="4612" max="4612" width="10.625" style="3479" customWidth="1"/>
    <col min="4613" max="4613" width="8.625" style="3479" customWidth="1"/>
    <col min="4614" max="4864" width="9" style="3479"/>
    <col min="4865" max="4865" width="5.625" style="3479" customWidth="1"/>
    <col min="4866" max="4866" width="15.625" style="3479" customWidth="1"/>
    <col min="4867" max="4867" width="8.625" style="3479" customWidth="1"/>
    <col min="4868" max="4868" width="10.625" style="3479" customWidth="1"/>
    <col min="4869" max="4869" width="8.625" style="3479" customWidth="1"/>
    <col min="4870" max="5120" width="9" style="3479"/>
    <col min="5121" max="5121" width="5.625" style="3479" customWidth="1"/>
    <col min="5122" max="5122" width="15.625" style="3479" customWidth="1"/>
    <col min="5123" max="5123" width="8.625" style="3479" customWidth="1"/>
    <col min="5124" max="5124" width="10.625" style="3479" customWidth="1"/>
    <col min="5125" max="5125" width="8.625" style="3479" customWidth="1"/>
    <col min="5126" max="5376" width="9" style="3479"/>
    <col min="5377" max="5377" width="5.625" style="3479" customWidth="1"/>
    <col min="5378" max="5378" width="15.625" style="3479" customWidth="1"/>
    <col min="5379" max="5379" width="8.625" style="3479" customWidth="1"/>
    <col min="5380" max="5380" width="10.625" style="3479" customWidth="1"/>
    <col min="5381" max="5381" width="8.625" style="3479" customWidth="1"/>
    <col min="5382" max="5632" width="9" style="3479"/>
    <col min="5633" max="5633" width="5.625" style="3479" customWidth="1"/>
    <col min="5634" max="5634" width="15.625" style="3479" customWidth="1"/>
    <col min="5635" max="5635" width="8.625" style="3479" customWidth="1"/>
    <col min="5636" max="5636" width="10.625" style="3479" customWidth="1"/>
    <col min="5637" max="5637" width="8.625" style="3479" customWidth="1"/>
    <col min="5638" max="5888" width="9" style="3479"/>
    <col min="5889" max="5889" width="5.625" style="3479" customWidth="1"/>
    <col min="5890" max="5890" width="15.625" style="3479" customWidth="1"/>
    <col min="5891" max="5891" width="8.625" style="3479" customWidth="1"/>
    <col min="5892" max="5892" width="10.625" style="3479" customWidth="1"/>
    <col min="5893" max="5893" width="8.625" style="3479" customWidth="1"/>
    <col min="5894" max="6144" width="9" style="3479"/>
    <col min="6145" max="6145" width="5.625" style="3479" customWidth="1"/>
    <col min="6146" max="6146" width="15.625" style="3479" customWidth="1"/>
    <col min="6147" max="6147" width="8.625" style="3479" customWidth="1"/>
    <col min="6148" max="6148" width="10.625" style="3479" customWidth="1"/>
    <col min="6149" max="6149" width="8.625" style="3479" customWidth="1"/>
    <col min="6150" max="6400" width="9" style="3479"/>
    <col min="6401" max="6401" width="5.625" style="3479" customWidth="1"/>
    <col min="6402" max="6402" width="15.625" style="3479" customWidth="1"/>
    <col min="6403" max="6403" width="8.625" style="3479" customWidth="1"/>
    <col min="6404" max="6404" width="10.625" style="3479" customWidth="1"/>
    <col min="6405" max="6405" width="8.625" style="3479" customWidth="1"/>
    <col min="6406" max="6656" width="9" style="3479"/>
    <col min="6657" max="6657" width="5.625" style="3479" customWidth="1"/>
    <col min="6658" max="6658" width="15.625" style="3479" customWidth="1"/>
    <col min="6659" max="6659" width="8.625" style="3479" customWidth="1"/>
    <col min="6660" max="6660" width="10.625" style="3479" customWidth="1"/>
    <col min="6661" max="6661" width="8.625" style="3479" customWidth="1"/>
    <col min="6662" max="6912" width="9" style="3479"/>
    <col min="6913" max="6913" width="5.625" style="3479" customWidth="1"/>
    <col min="6914" max="6914" width="15.625" style="3479" customWidth="1"/>
    <col min="6915" max="6915" width="8.625" style="3479" customWidth="1"/>
    <col min="6916" max="6916" width="10.625" style="3479" customWidth="1"/>
    <col min="6917" max="6917" width="8.625" style="3479" customWidth="1"/>
    <col min="6918" max="7168" width="9" style="3479"/>
    <col min="7169" max="7169" width="5.625" style="3479" customWidth="1"/>
    <col min="7170" max="7170" width="15.625" style="3479" customWidth="1"/>
    <col min="7171" max="7171" width="8.625" style="3479" customWidth="1"/>
    <col min="7172" max="7172" width="10.625" style="3479" customWidth="1"/>
    <col min="7173" max="7173" width="8.625" style="3479" customWidth="1"/>
    <col min="7174" max="7424" width="9" style="3479"/>
    <col min="7425" max="7425" width="5.625" style="3479" customWidth="1"/>
    <col min="7426" max="7426" width="15.625" style="3479" customWidth="1"/>
    <col min="7427" max="7427" width="8.625" style="3479" customWidth="1"/>
    <col min="7428" max="7428" width="10.625" style="3479" customWidth="1"/>
    <col min="7429" max="7429" width="8.625" style="3479" customWidth="1"/>
    <col min="7430" max="7680" width="9" style="3479"/>
    <col min="7681" max="7681" width="5.625" style="3479" customWidth="1"/>
    <col min="7682" max="7682" width="15.625" style="3479" customWidth="1"/>
    <col min="7683" max="7683" width="8.625" style="3479" customWidth="1"/>
    <col min="7684" max="7684" width="10.625" style="3479" customWidth="1"/>
    <col min="7685" max="7685" width="8.625" style="3479" customWidth="1"/>
    <col min="7686" max="7936" width="9" style="3479"/>
    <col min="7937" max="7937" width="5.625" style="3479" customWidth="1"/>
    <col min="7938" max="7938" width="15.625" style="3479" customWidth="1"/>
    <col min="7939" max="7939" width="8.625" style="3479" customWidth="1"/>
    <col min="7940" max="7940" width="10.625" style="3479" customWidth="1"/>
    <col min="7941" max="7941" width="8.625" style="3479" customWidth="1"/>
    <col min="7942" max="8192" width="9" style="3479"/>
    <col min="8193" max="8193" width="5.625" style="3479" customWidth="1"/>
    <col min="8194" max="8194" width="15.625" style="3479" customWidth="1"/>
    <col min="8195" max="8195" width="8.625" style="3479" customWidth="1"/>
    <col min="8196" max="8196" width="10.625" style="3479" customWidth="1"/>
    <col min="8197" max="8197" width="8.625" style="3479" customWidth="1"/>
    <col min="8198" max="8448" width="9" style="3479"/>
    <col min="8449" max="8449" width="5.625" style="3479" customWidth="1"/>
    <col min="8450" max="8450" width="15.625" style="3479" customWidth="1"/>
    <col min="8451" max="8451" width="8.625" style="3479" customWidth="1"/>
    <col min="8452" max="8452" width="10.625" style="3479" customWidth="1"/>
    <col min="8453" max="8453" width="8.625" style="3479" customWidth="1"/>
    <col min="8454" max="8704" width="9" style="3479"/>
    <col min="8705" max="8705" width="5.625" style="3479" customWidth="1"/>
    <col min="8706" max="8706" width="15.625" style="3479" customWidth="1"/>
    <col min="8707" max="8707" width="8.625" style="3479" customWidth="1"/>
    <col min="8708" max="8708" width="10.625" style="3479" customWidth="1"/>
    <col min="8709" max="8709" width="8.625" style="3479" customWidth="1"/>
    <col min="8710" max="8960" width="9" style="3479"/>
    <col min="8961" max="8961" width="5.625" style="3479" customWidth="1"/>
    <col min="8962" max="8962" width="15.625" style="3479" customWidth="1"/>
    <col min="8963" max="8963" width="8.625" style="3479" customWidth="1"/>
    <col min="8964" max="8964" width="10.625" style="3479" customWidth="1"/>
    <col min="8965" max="8965" width="8.625" style="3479" customWidth="1"/>
    <col min="8966" max="9216" width="9" style="3479"/>
    <col min="9217" max="9217" width="5.625" style="3479" customWidth="1"/>
    <col min="9218" max="9218" width="15.625" style="3479" customWidth="1"/>
    <col min="9219" max="9219" width="8.625" style="3479" customWidth="1"/>
    <col min="9220" max="9220" width="10.625" style="3479" customWidth="1"/>
    <col min="9221" max="9221" width="8.625" style="3479" customWidth="1"/>
    <col min="9222" max="9472" width="9" style="3479"/>
    <col min="9473" max="9473" width="5.625" style="3479" customWidth="1"/>
    <col min="9474" max="9474" width="15.625" style="3479" customWidth="1"/>
    <col min="9475" max="9475" width="8.625" style="3479" customWidth="1"/>
    <col min="9476" max="9476" width="10.625" style="3479" customWidth="1"/>
    <col min="9477" max="9477" width="8.625" style="3479" customWidth="1"/>
    <col min="9478" max="9728" width="9" style="3479"/>
    <col min="9729" max="9729" width="5.625" style="3479" customWidth="1"/>
    <col min="9730" max="9730" width="15.625" style="3479" customWidth="1"/>
    <col min="9731" max="9731" width="8.625" style="3479" customWidth="1"/>
    <col min="9732" max="9732" width="10.625" style="3479" customWidth="1"/>
    <col min="9733" max="9733" width="8.625" style="3479" customWidth="1"/>
    <col min="9734" max="9984" width="9" style="3479"/>
    <col min="9985" max="9985" width="5.625" style="3479" customWidth="1"/>
    <col min="9986" max="9986" width="15.625" style="3479" customWidth="1"/>
    <col min="9987" max="9987" width="8.625" style="3479" customWidth="1"/>
    <col min="9988" max="9988" width="10.625" style="3479" customWidth="1"/>
    <col min="9989" max="9989" width="8.625" style="3479" customWidth="1"/>
    <col min="9990" max="10240" width="9" style="3479"/>
    <col min="10241" max="10241" width="5.625" style="3479" customWidth="1"/>
    <col min="10242" max="10242" width="15.625" style="3479" customWidth="1"/>
    <col min="10243" max="10243" width="8.625" style="3479" customWidth="1"/>
    <col min="10244" max="10244" width="10.625" style="3479" customWidth="1"/>
    <col min="10245" max="10245" width="8.625" style="3479" customWidth="1"/>
    <col min="10246" max="10496" width="9" style="3479"/>
    <col min="10497" max="10497" width="5.625" style="3479" customWidth="1"/>
    <col min="10498" max="10498" width="15.625" style="3479" customWidth="1"/>
    <col min="10499" max="10499" width="8.625" style="3479" customWidth="1"/>
    <col min="10500" max="10500" width="10.625" style="3479" customWidth="1"/>
    <col min="10501" max="10501" width="8.625" style="3479" customWidth="1"/>
    <col min="10502" max="10752" width="9" style="3479"/>
    <col min="10753" max="10753" width="5.625" style="3479" customWidth="1"/>
    <col min="10754" max="10754" width="15.625" style="3479" customWidth="1"/>
    <col min="10755" max="10755" width="8.625" style="3479" customWidth="1"/>
    <col min="10756" max="10756" width="10.625" style="3479" customWidth="1"/>
    <col min="10757" max="10757" width="8.625" style="3479" customWidth="1"/>
    <col min="10758" max="11008" width="9" style="3479"/>
    <col min="11009" max="11009" width="5.625" style="3479" customWidth="1"/>
    <col min="11010" max="11010" width="15.625" style="3479" customWidth="1"/>
    <col min="11011" max="11011" width="8.625" style="3479" customWidth="1"/>
    <col min="11012" max="11012" width="10.625" style="3479" customWidth="1"/>
    <col min="11013" max="11013" width="8.625" style="3479" customWidth="1"/>
    <col min="11014" max="11264" width="9" style="3479"/>
    <col min="11265" max="11265" width="5.625" style="3479" customWidth="1"/>
    <col min="11266" max="11266" width="15.625" style="3479" customWidth="1"/>
    <col min="11267" max="11267" width="8.625" style="3479" customWidth="1"/>
    <col min="11268" max="11268" width="10.625" style="3479" customWidth="1"/>
    <col min="11269" max="11269" width="8.625" style="3479" customWidth="1"/>
    <col min="11270" max="11520" width="9" style="3479"/>
    <col min="11521" max="11521" width="5.625" style="3479" customWidth="1"/>
    <col min="11522" max="11522" width="15.625" style="3479" customWidth="1"/>
    <col min="11523" max="11523" width="8.625" style="3479" customWidth="1"/>
    <col min="11524" max="11524" width="10.625" style="3479" customWidth="1"/>
    <col min="11525" max="11525" width="8.625" style="3479" customWidth="1"/>
    <col min="11526" max="11776" width="9" style="3479"/>
    <col min="11777" max="11777" width="5.625" style="3479" customWidth="1"/>
    <col min="11778" max="11778" width="15.625" style="3479" customWidth="1"/>
    <col min="11779" max="11779" width="8.625" style="3479" customWidth="1"/>
    <col min="11780" max="11780" width="10.625" style="3479" customWidth="1"/>
    <col min="11781" max="11781" width="8.625" style="3479" customWidth="1"/>
    <col min="11782" max="12032" width="9" style="3479"/>
    <col min="12033" max="12033" width="5.625" style="3479" customWidth="1"/>
    <col min="12034" max="12034" width="15.625" style="3479" customWidth="1"/>
    <col min="12035" max="12035" width="8.625" style="3479" customWidth="1"/>
    <col min="12036" max="12036" width="10.625" style="3479" customWidth="1"/>
    <col min="12037" max="12037" width="8.625" style="3479" customWidth="1"/>
    <col min="12038" max="12288" width="9" style="3479"/>
    <col min="12289" max="12289" width="5.625" style="3479" customWidth="1"/>
    <col min="12290" max="12290" width="15.625" style="3479" customWidth="1"/>
    <col min="12291" max="12291" width="8.625" style="3479" customWidth="1"/>
    <col min="12292" max="12292" width="10.625" style="3479" customWidth="1"/>
    <col min="12293" max="12293" width="8.625" style="3479" customWidth="1"/>
    <col min="12294" max="12544" width="9" style="3479"/>
    <col min="12545" max="12545" width="5.625" style="3479" customWidth="1"/>
    <col min="12546" max="12546" width="15.625" style="3479" customWidth="1"/>
    <col min="12547" max="12547" width="8.625" style="3479" customWidth="1"/>
    <col min="12548" max="12548" width="10.625" style="3479" customWidth="1"/>
    <col min="12549" max="12549" width="8.625" style="3479" customWidth="1"/>
    <col min="12550" max="12800" width="9" style="3479"/>
    <col min="12801" max="12801" width="5.625" style="3479" customWidth="1"/>
    <col min="12802" max="12802" width="15.625" style="3479" customWidth="1"/>
    <col min="12803" max="12803" width="8.625" style="3479" customWidth="1"/>
    <col min="12804" max="12804" width="10.625" style="3479" customWidth="1"/>
    <col min="12805" max="12805" width="8.625" style="3479" customWidth="1"/>
    <col min="12806" max="13056" width="9" style="3479"/>
    <col min="13057" max="13057" width="5.625" style="3479" customWidth="1"/>
    <col min="13058" max="13058" width="15.625" style="3479" customWidth="1"/>
    <col min="13059" max="13059" width="8.625" style="3479" customWidth="1"/>
    <col min="13060" max="13060" width="10.625" style="3479" customWidth="1"/>
    <col min="13061" max="13061" width="8.625" style="3479" customWidth="1"/>
    <col min="13062" max="13312" width="9" style="3479"/>
    <col min="13313" max="13313" width="5.625" style="3479" customWidth="1"/>
    <col min="13314" max="13314" width="15.625" style="3479" customWidth="1"/>
    <col min="13315" max="13315" width="8.625" style="3479" customWidth="1"/>
    <col min="13316" max="13316" width="10.625" style="3479" customWidth="1"/>
    <col min="13317" max="13317" width="8.625" style="3479" customWidth="1"/>
    <col min="13318" max="13568" width="9" style="3479"/>
    <col min="13569" max="13569" width="5.625" style="3479" customWidth="1"/>
    <col min="13570" max="13570" width="15.625" style="3479" customWidth="1"/>
    <col min="13571" max="13571" width="8.625" style="3479" customWidth="1"/>
    <col min="13572" max="13572" width="10.625" style="3479" customWidth="1"/>
    <col min="13573" max="13573" width="8.625" style="3479" customWidth="1"/>
    <col min="13574" max="13824" width="9" style="3479"/>
    <col min="13825" max="13825" width="5.625" style="3479" customWidth="1"/>
    <col min="13826" max="13826" width="15.625" style="3479" customWidth="1"/>
    <col min="13827" max="13827" width="8.625" style="3479" customWidth="1"/>
    <col min="13828" max="13828" width="10.625" style="3479" customWidth="1"/>
    <col min="13829" max="13829" width="8.625" style="3479" customWidth="1"/>
    <col min="13830" max="14080" width="9" style="3479"/>
    <col min="14081" max="14081" width="5.625" style="3479" customWidth="1"/>
    <col min="14082" max="14082" width="15.625" style="3479" customWidth="1"/>
    <col min="14083" max="14083" width="8.625" style="3479" customWidth="1"/>
    <col min="14084" max="14084" width="10.625" style="3479" customWidth="1"/>
    <col min="14085" max="14085" width="8.625" style="3479" customWidth="1"/>
    <col min="14086" max="14336" width="9" style="3479"/>
    <col min="14337" max="14337" width="5.625" style="3479" customWidth="1"/>
    <col min="14338" max="14338" width="15.625" style="3479" customWidth="1"/>
    <col min="14339" max="14339" width="8.625" style="3479" customWidth="1"/>
    <col min="14340" max="14340" width="10.625" style="3479" customWidth="1"/>
    <col min="14341" max="14341" width="8.625" style="3479" customWidth="1"/>
    <col min="14342" max="14592" width="9" style="3479"/>
    <col min="14593" max="14593" width="5.625" style="3479" customWidth="1"/>
    <col min="14594" max="14594" width="15.625" style="3479" customWidth="1"/>
    <col min="14595" max="14595" width="8.625" style="3479" customWidth="1"/>
    <col min="14596" max="14596" width="10.625" style="3479" customWidth="1"/>
    <col min="14597" max="14597" width="8.625" style="3479" customWidth="1"/>
    <col min="14598" max="14848" width="9" style="3479"/>
    <col min="14849" max="14849" width="5.625" style="3479" customWidth="1"/>
    <col min="14850" max="14850" width="15.625" style="3479" customWidth="1"/>
    <col min="14851" max="14851" width="8.625" style="3479" customWidth="1"/>
    <col min="14852" max="14852" width="10.625" style="3479" customWidth="1"/>
    <col min="14853" max="14853" width="8.625" style="3479" customWidth="1"/>
    <col min="14854" max="15104" width="9" style="3479"/>
    <col min="15105" max="15105" width="5.625" style="3479" customWidth="1"/>
    <col min="15106" max="15106" width="15.625" style="3479" customWidth="1"/>
    <col min="15107" max="15107" width="8.625" style="3479" customWidth="1"/>
    <col min="15108" max="15108" width="10.625" style="3479" customWidth="1"/>
    <col min="15109" max="15109" width="8.625" style="3479" customWidth="1"/>
    <col min="15110" max="15360" width="9" style="3479"/>
    <col min="15361" max="15361" width="5.625" style="3479" customWidth="1"/>
    <col min="15362" max="15362" width="15.625" style="3479" customWidth="1"/>
    <col min="15363" max="15363" width="8.625" style="3479" customWidth="1"/>
    <col min="15364" max="15364" width="10.625" style="3479" customWidth="1"/>
    <col min="15365" max="15365" width="8.625" style="3479" customWidth="1"/>
    <col min="15366" max="15616" width="9" style="3479"/>
    <col min="15617" max="15617" width="5.625" style="3479" customWidth="1"/>
    <col min="15618" max="15618" width="15.625" style="3479" customWidth="1"/>
    <col min="15619" max="15619" width="8.625" style="3479" customWidth="1"/>
    <col min="15620" max="15620" width="10.625" style="3479" customWidth="1"/>
    <col min="15621" max="15621" width="8.625" style="3479" customWidth="1"/>
    <col min="15622" max="15872" width="9" style="3479"/>
    <col min="15873" max="15873" width="5.625" style="3479" customWidth="1"/>
    <col min="15874" max="15874" width="15.625" style="3479" customWidth="1"/>
    <col min="15875" max="15875" width="8.625" style="3479" customWidth="1"/>
    <col min="15876" max="15876" width="10.625" style="3479" customWidth="1"/>
    <col min="15877" max="15877" width="8.625" style="3479" customWidth="1"/>
    <col min="15878" max="16128" width="9" style="3479"/>
    <col min="16129" max="16129" width="5.625" style="3479" customWidth="1"/>
    <col min="16130" max="16130" width="15.625" style="3479" customWidth="1"/>
    <col min="16131" max="16131" width="8.625" style="3479" customWidth="1"/>
    <col min="16132" max="16132" width="10.625" style="3479" customWidth="1"/>
    <col min="16133" max="16133" width="8.625" style="3479" customWidth="1"/>
    <col min="16134" max="16384" width="9" style="3479"/>
  </cols>
  <sheetData>
    <row r="1" spans="1:16" ht="30" customHeight="1">
      <c r="A1" s="4757" t="s">
        <v>52</v>
      </c>
      <c r="B1" s="4758"/>
      <c r="C1" s="4758"/>
      <c r="D1" s="4758"/>
      <c r="E1" s="4758"/>
      <c r="F1" s="4758"/>
      <c r="G1" s="4758"/>
      <c r="H1" s="4759"/>
      <c r="I1" s="3483"/>
      <c r="J1" s="3483"/>
      <c r="K1" s="3483"/>
      <c r="L1" s="3483"/>
      <c r="M1" s="3483"/>
      <c r="N1" s="3483"/>
      <c r="O1" s="3483"/>
      <c r="P1" s="3483"/>
    </row>
    <row r="2" spans="1:16" ht="21.95" customHeight="1">
      <c r="A2" s="4760" t="s">
        <v>2672</v>
      </c>
      <c r="B2" s="4760"/>
      <c r="C2" s="4760"/>
      <c r="D2" s="4760"/>
      <c r="E2" s="4760"/>
      <c r="F2" s="4760"/>
      <c r="G2" s="4760"/>
      <c r="H2" s="4760"/>
      <c r="I2" s="3483"/>
      <c r="J2" s="4754" t="s">
        <v>2673</v>
      </c>
      <c r="K2" s="3483"/>
      <c r="L2" s="4755" t="s">
        <v>251</v>
      </c>
      <c r="M2" s="3483"/>
      <c r="N2" s="4756" t="s">
        <v>2674</v>
      </c>
      <c r="O2" s="3483"/>
      <c r="P2" s="3483"/>
    </row>
    <row r="3" spans="1:16" ht="21.95" customHeight="1">
      <c r="A3" s="4761" t="s">
        <v>2675</v>
      </c>
      <c r="B3" s="4762"/>
      <c r="C3" s="4763" t="s">
        <v>2676</v>
      </c>
      <c r="D3" s="4764"/>
      <c r="E3" s="4764"/>
      <c r="F3" s="4764"/>
      <c r="G3" s="4764"/>
      <c r="H3" s="4764"/>
      <c r="I3" s="3483"/>
      <c r="J3" s="4754"/>
      <c r="K3" s="3483"/>
      <c r="L3" s="4755"/>
      <c r="M3" s="3483"/>
      <c r="N3" s="4756"/>
      <c r="O3" s="3483"/>
      <c r="P3" s="3483"/>
    </row>
    <row r="4" spans="1:16" ht="21.95" customHeight="1">
      <c r="A4" s="3481" t="s">
        <v>2677</v>
      </c>
      <c r="B4" s="3480" t="s">
        <v>2678</v>
      </c>
      <c r="C4" s="3482">
        <v>40</v>
      </c>
      <c r="D4" s="3483" t="s">
        <v>2679</v>
      </c>
      <c r="E4" s="3483"/>
      <c r="F4" s="3483"/>
      <c r="G4" s="3483"/>
      <c r="H4" s="3483"/>
      <c r="I4" s="3483"/>
      <c r="J4" s="3483"/>
      <c r="K4" s="3483"/>
      <c r="L4" s="3483"/>
      <c r="M4" s="3483"/>
      <c r="N4" s="3483"/>
      <c r="O4" s="3483"/>
      <c r="P4" s="3483"/>
    </row>
    <row r="5" spans="1:16" ht="21.95" customHeight="1">
      <c r="A5" s="3481" t="s">
        <v>2680</v>
      </c>
      <c r="B5" s="3480" t="s">
        <v>2681</v>
      </c>
      <c r="C5" s="3482">
        <v>500</v>
      </c>
      <c r="D5" s="3483" t="s">
        <v>2682</v>
      </c>
      <c r="E5" s="3483"/>
      <c r="F5" s="3483"/>
      <c r="G5" s="3483"/>
      <c r="H5" s="3483"/>
      <c r="I5" s="3483"/>
      <c r="J5" s="3483"/>
      <c r="K5" s="3483"/>
      <c r="L5" s="3483"/>
      <c r="M5" s="3483"/>
      <c r="N5" s="3483"/>
      <c r="O5" s="3483"/>
      <c r="P5" s="3483"/>
    </row>
    <row r="6" spans="1:16" ht="21.95" customHeight="1">
      <c r="A6" s="3481" t="s">
        <v>2683</v>
      </c>
      <c r="B6" s="3480" t="s">
        <v>2684</v>
      </c>
      <c r="C6" s="3482">
        <v>2</v>
      </c>
      <c r="D6" s="3483" t="s">
        <v>2685</v>
      </c>
      <c r="E6" s="3480"/>
      <c r="F6" s="3483"/>
      <c r="G6" s="3483"/>
      <c r="H6" s="3483"/>
      <c r="I6" s="3483"/>
      <c r="J6" s="3483"/>
      <c r="K6" s="3483"/>
      <c r="L6" s="3483"/>
      <c r="M6" s="3483"/>
      <c r="N6" s="3483"/>
      <c r="O6" s="3483"/>
      <c r="P6" s="3483"/>
    </row>
    <row r="7" spans="1:16" ht="21.95" customHeight="1">
      <c r="A7" s="3481" t="s">
        <v>2686</v>
      </c>
      <c r="B7" s="3480" t="s">
        <v>2687</v>
      </c>
      <c r="C7" s="3484">
        <f>C5/(C6*1000)</f>
        <v>0.25</v>
      </c>
      <c r="D7" s="3483" t="s">
        <v>2135</v>
      </c>
      <c r="E7" s="3484">
        <f>C5/C6</f>
        <v>250</v>
      </c>
      <c r="F7" s="3483" t="s">
        <v>2688</v>
      </c>
      <c r="G7" s="3483" t="s">
        <v>2689</v>
      </c>
      <c r="H7" s="3483"/>
      <c r="I7" s="3483"/>
      <c r="J7" s="3483"/>
      <c r="K7" s="3483"/>
      <c r="L7" s="3483"/>
      <c r="M7" s="3483"/>
      <c r="N7" s="3483"/>
      <c r="O7" s="3483"/>
      <c r="P7" s="3483"/>
    </row>
    <row r="8" spans="1:16" ht="21.95" customHeight="1">
      <c r="A8" s="3481" t="s">
        <v>2690</v>
      </c>
      <c r="B8" s="3480" t="s">
        <v>2691</v>
      </c>
      <c r="C8" s="3485">
        <v>0.6</v>
      </c>
      <c r="D8" s="3483" t="s">
        <v>1755</v>
      </c>
      <c r="E8" s="3483"/>
      <c r="F8" s="3483"/>
      <c r="G8" s="3483"/>
      <c r="H8" s="3483"/>
      <c r="I8" s="3483"/>
      <c r="J8" s="3483"/>
      <c r="K8" s="3483"/>
      <c r="L8" s="3483"/>
      <c r="M8" s="3483"/>
      <c r="N8" s="3483"/>
      <c r="O8" s="3483"/>
      <c r="P8" s="3483"/>
    </row>
    <row r="9" spans="1:16" ht="21.95" customHeight="1">
      <c r="A9" s="3481" t="s">
        <v>2692</v>
      </c>
      <c r="B9" s="3480" t="s">
        <v>2693</v>
      </c>
      <c r="C9" s="3482" t="s">
        <v>2694</v>
      </c>
      <c r="D9" s="3481" t="s">
        <v>2695</v>
      </c>
      <c r="E9" s="3484">
        <f>VLOOKUP(C9,[7]系数表!$A$2:$B$4,2,0)</f>
        <v>0.3</v>
      </c>
      <c r="F9" s="3483"/>
      <c r="G9" s="3483"/>
      <c r="H9" s="3483"/>
      <c r="I9" s="3483"/>
      <c r="J9" s="3483"/>
      <c r="K9" s="3483"/>
      <c r="L9" s="3483"/>
      <c r="M9" s="3483"/>
      <c r="N9" s="3483"/>
      <c r="O9" s="3483"/>
      <c r="P9" s="3483"/>
    </row>
    <row r="10" spans="1:16" ht="21.95" customHeight="1">
      <c r="A10" s="4761" t="s">
        <v>2696</v>
      </c>
      <c r="B10" s="4762"/>
      <c r="C10" s="4765" t="s">
        <v>2697</v>
      </c>
      <c r="D10" s="4766"/>
      <c r="E10" s="4766"/>
      <c r="F10" s="4766"/>
      <c r="G10" s="4766"/>
      <c r="H10" s="4766"/>
      <c r="I10" s="3483"/>
      <c r="J10" s="3483"/>
      <c r="K10" s="3483"/>
      <c r="L10" s="3483"/>
      <c r="M10" s="3483"/>
      <c r="N10" s="3483"/>
      <c r="O10" s="3483"/>
      <c r="P10" s="3483"/>
    </row>
    <row r="11" spans="1:16" ht="21.95" customHeight="1">
      <c r="A11" s="3481" t="s">
        <v>2677</v>
      </c>
      <c r="B11" s="4753" t="s">
        <v>2698</v>
      </c>
      <c r="C11" s="4753"/>
      <c r="D11" s="3482">
        <v>0.5</v>
      </c>
      <c r="E11" s="3483"/>
      <c r="F11" s="3483"/>
      <c r="G11" s="3483"/>
      <c r="H11" s="3483"/>
      <c r="I11" s="3483"/>
      <c r="J11" s="3483"/>
      <c r="K11" s="3483"/>
      <c r="L11" s="3483"/>
      <c r="M11" s="3483"/>
      <c r="N11" s="3483"/>
      <c r="O11" s="3483"/>
      <c r="P11" s="3483"/>
    </row>
    <row r="12" spans="1:16" ht="21.95" customHeight="1">
      <c r="A12" s="3486" t="s">
        <v>2699</v>
      </c>
      <c r="B12" s="3487" t="s">
        <v>2700</v>
      </c>
      <c r="C12" s="3483"/>
      <c r="D12" s="3483"/>
      <c r="E12" s="3483"/>
      <c r="F12" s="3483"/>
      <c r="G12" s="3483"/>
      <c r="H12" s="3483"/>
      <c r="I12" s="3483"/>
      <c r="J12" s="3483"/>
      <c r="K12" s="3483"/>
      <c r="L12" s="3483"/>
      <c r="M12" s="3483"/>
      <c r="N12" s="3483"/>
      <c r="O12" s="3483"/>
      <c r="P12" s="3483"/>
    </row>
    <row r="13" spans="1:16" ht="21.95" customHeight="1">
      <c r="A13" s="3486" t="s">
        <v>2701</v>
      </c>
      <c r="B13" s="3487" t="s">
        <v>2702</v>
      </c>
      <c r="C13" s="3483"/>
      <c r="D13" s="3483"/>
      <c r="E13" s="3483"/>
      <c r="F13" s="3483"/>
      <c r="G13" s="3483"/>
      <c r="H13" s="3483"/>
      <c r="I13" s="3483"/>
      <c r="J13" s="3483"/>
      <c r="K13" s="3483"/>
      <c r="L13" s="3483"/>
      <c r="M13" s="3483"/>
      <c r="N13" s="3483"/>
      <c r="O13" s="3483"/>
      <c r="P13" s="3483"/>
    </row>
    <row r="14" spans="1:16" ht="21.95" customHeight="1">
      <c r="A14" s="3486"/>
      <c r="B14" s="3487" t="s">
        <v>2703</v>
      </c>
      <c r="C14" s="3483"/>
      <c r="D14" s="3483"/>
      <c r="E14" s="3483"/>
      <c r="F14" s="3483"/>
      <c r="G14" s="3483"/>
      <c r="H14" s="3483"/>
      <c r="I14" s="3483"/>
      <c r="J14" s="3483"/>
      <c r="K14" s="3483"/>
      <c r="L14" s="3483"/>
      <c r="M14" s="3483"/>
      <c r="N14" s="3483"/>
      <c r="O14" s="3483"/>
      <c r="P14" s="3483"/>
    </row>
    <row r="15" spans="1:16" ht="21.95" customHeight="1">
      <c r="A15" s="3481"/>
      <c r="B15" s="3487" t="s">
        <v>2704</v>
      </c>
      <c r="C15" s="3483"/>
      <c r="D15" s="3483"/>
      <c r="E15" s="3483"/>
      <c r="F15" s="3483"/>
      <c r="G15" s="3483"/>
      <c r="H15" s="3483"/>
      <c r="I15" s="3483"/>
      <c r="J15" s="3483"/>
      <c r="K15" s="3483"/>
      <c r="L15" s="3483"/>
      <c r="M15" s="3483"/>
      <c r="N15" s="3483"/>
      <c r="O15" s="3483"/>
      <c r="P15" s="3483"/>
    </row>
    <row r="16" spans="1:16" ht="21.95" customHeight="1">
      <c r="A16" s="3481"/>
      <c r="B16" s="3487" t="s">
        <v>2705</v>
      </c>
      <c r="C16" s="3483"/>
      <c r="D16" s="3483"/>
      <c r="E16" s="3483"/>
      <c r="F16" s="3483"/>
      <c r="G16" s="3483"/>
      <c r="H16" s="3483"/>
      <c r="I16" s="3483"/>
      <c r="J16" s="3483"/>
      <c r="K16" s="3483"/>
      <c r="L16" s="3483"/>
      <c r="M16" s="3483"/>
      <c r="N16" s="3483"/>
      <c r="O16" s="3483"/>
      <c r="P16" s="3483"/>
    </row>
    <row r="17" spans="1:16" ht="21.95" customHeight="1">
      <c r="A17" s="3481" t="s">
        <v>2680</v>
      </c>
      <c r="B17" s="3483" t="s">
        <v>2706</v>
      </c>
      <c r="C17" s="3483"/>
      <c r="D17" s="3483"/>
      <c r="E17" s="3483"/>
      <c r="F17" s="3483"/>
      <c r="G17" s="3483"/>
      <c r="H17" s="3483"/>
      <c r="I17" s="3483"/>
      <c r="J17" s="3483"/>
      <c r="K17" s="3483"/>
      <c r="L17" s="3483"/>
      <c r="M17" s="3483"/>
      <c r="N17" s="3483"/>
      <c r="O17" s="3483"/>
      <c r="P17" s="3483"/>
    </row>
    <row r="18" spans="1:16" ht="30" customHeight="1">
      <c r="A18" s="4753"/>
      <c r="B18" s="4753"/>
      <c r="C18" s="3481" t="s">
        <v>1968</v>
      </c>
      <c r="D18" s="3484">
        <f>1.25*9.8*C4*E9/D11</f>
        <v>294</v>
      </c>
      <c r="E18" s="3483" t="s">
        <v>464</v>
      </c>
      <c r="F18" s="3483"/>
      <c r="G18" s="3483"/>
      <c r="H18" s="3483"/>
      <c r="I18" s="3483"/>
      <c r="J18" s="3483"/>
      <c r="K18" s="3483"/>
      <c r="L18" s="3483"/>
      <c r="M18" s="3483"/>
      <c r="N18" s="3483"/>
      <c r="O18" s="3483"/>
      <c r="P18" s="3483"/>
    </row>
    <row r="19" spans="1:16" ht="21.95" customHeight="1">
      <c r="A19" s="3481"/>
      <c r="B19" s="3483" t="s">
        <v>2707</v>
      </c>
      <c r="C19" s="3483"/>
      <c r="D19" s="3483"/>
      <c r="E19" s="3483"/>
      <c r="F19" s="3483"/>
      <c r="G19" s="3483"/>
      <c r="H19" s="3483"/>
      <c r="I19" s="3483"/>
      <c r="J19" s="3483"/>
      <c r="K19" s="3483"/>
      <c r="L19" s="3483"/>
      <c r="M19" s="3483"/>
      <c r="N19" s="3483"/>
      <c r="O19" s="3483"/>
      <c r="P19" s="3483"/>
    </row>
    <row r="20" spans="1:16" ht="21.95" customHeight="1">
      <c r="A20" s="3481" t="s">
        <v>2680</v>
      </c>
      <c r="B20" s="3483" t="s">
        <v>2708</v>
      </c>
      <c r="C20" s="3483"/>
      <c r="D20" s="3483"/>
      <c r="E20" s="3483"/>
      <c r="F20" s="3483"/>
      <c r="G20" s="3483"/>
      <c r="H20" s="3483"/>
      <c r="I20" s="3483"/>
      <c r="J20" s="3483"/>
      <c r="K20" s="3483"/>
      <c r="L20" s="3483"/>
      <c r="M20" s="3483"/>
      <c r="N20" s="3483"/>
      <c r="O20" s="3483"/>
      <c r="P20" s="3483"/>
    </row>
    <row r="21" spans="1:16" ht="30" customHeight="1">
      <c r="A21" s="3481"/>
      <c r="B21" s="3483"/>
      <c r="C21" s="3481" t="s">
        <v>1968</v>
      </c>
      <c r="D21" s="3484">
        <f>CEILING(SQRT(D18/(0.25*C8*PI())),1)</f>
        <v>25</v>
      </c>
      <c r="E21" s="3483" t="s">
        <v>2682</v>
      </c>
      <c r="F21" s="3483"/>
      <c r="G21" s="3483"/>
      <c r="H21" s="3483"/>
      <c r="I21" s="3483"/>
      <c r="J21" s="3483"/>
      <c r="K21" s="3483"/>
      <c r="L21" s="3483"/>
      <c r="M21" s="3483"/>
      <c r="N21" s="3483"/>
      <c r="O21" s="3483"/>
      <c r="P21" s="3483"/>
    </row>
    <row r="22" spans="1:16" ht="21.95" customHeight="1">
      <c r="A22" s="3481" t="s">
        <v>2686</v>
      </c>
      <c r="B22" s="3483" t="s">
        <v>2709</v>
      </c>
      <c r="C22" s="3483"/>
      <c r="D22" s="3483"/>
      <c r="E22" s="3483"/>
      <c r="F22" s="3483"/>
      <c r="G22" s="3483"/>
      <c r="H22" s="3483"/>
      <c r="I22" s="3483"/>
      <c r="J22" s="3483"/>
      <c r="K22" s="3483"/>
      <c r="L22" s="3483"/>
      <c r="M22" s="3483"/>
      <c r="N22" s="3483"/>
      <c r="O22" s="3483"/>
      <c r="P22" s="3483"/>
    </row>
    <row r="23" spans="1:16" ht="21.95" customHeight="1">
      <c r="A23" s="3481"/>
      <c r="B23" s="3481" t="s">
        <v>2710</v>
      </c>
      <c r="C23" s="3483"/>
      <c r="D23" s="3488">
        <v>32</v>
      </c>
      <c r="E23" s="3483" t="s">
        <v>2682</v>
      </c>
      <c r="F23" s="3483"/>
      <c r="G23" s="3483"/>
      <c r="H23" s="3483"/>
      <c r="I23" s="3483"/>
      <c r="J23" s="3483"/>
      <c r="K23" s="3483"/>
      <c r="L23" s="3483"/>
      <c r="M23" s="3483"/>
      <c r="N23" s="3483"/>
      <c r="O23" s="3483"/>
      <c r="P23" s="3483"/>
    </row>
    <row r="24" spans="1:16" ht="21.95" customHeight="1">
      <c r="A24" s="3481"/>
      <c r="B24" s="3481" t="s">
        <v>2711</v>
      </c>
      <c r="C24" s="3483"/>
      <c r="D24" s="3489">
        <f>C8*(VLOOKUP(D23,[7]气缸规格表!A3:C13,3,0))</f>
        <v>482.4</v>
      </c>
      <c r="E24" s="3483" t="s">
        <v>464</v>
      </c>
      <c r="F24" s="3483"/>
      <c r="G24" s="3483"/>
      <c r="H24" s="3483"/>
      <c r="I24" s="3483"/>
      <c r="J24" s="3483"/>
      <c r="K24" s="3483"/>
      <c r="L24" s="3483"/>
      <c r="M24" s="3483"/>
      <c r="N24" s="3483"/>
      <c r="O24" s="3483"/>
      <c r="P24" s="3483"/>
    </row>
    <row r="25" spans="1:16" ht="21.95" customHeight="1">
      <c r="A25" s="3481"/>
      <c r="B25" s="3481" t="s">
        <v>2712</v>
      </c>
      <c r="C25" s="3483"/>
      <c r="D25" s="3489">
        <f>C8*(VLOOKUP(D23,[7]气缸规格表!A17:C26,3,0))</f>
        <v>414.6</v>
      </c>
      <c r="E25" s="3483" t="s">
        <v>464</v>
      </c>
      <c r="F25" s="3483"/>
      <c r="G25" s="3483"/>
      <c r="H25" s="3483"/>
      <c r="I25" s="3483"/>
      <c r="J25" s="3483"/>
      <c r="K25" s="3483"/>
      <c r="L25" s="3483"/>
      <c r="M25" s="3483"/>
      <c r="N25" s="3483"/>
      <c r="O25" s="3483"/>
      <c r="P25" s="3483"/>
    </row>
    <row r="26" spans="1:16" ht="21.95" customHeight="1">
      <c r="A26" s="3480" t="s">
        <v>2713</v>
      </c>
      <c r="B26" s="3483"/>
      <c r="C26" s="3483"/>
      <c r="D26" s="3483"/>
      <c r="E26" s="3483"/>
      <c r="F26" s="3483"/>
      <c r="G26" s="3483"/>
      <c r="H26" s="3483"/>
      <c r="I26" s="3483"/>
      <c r="J26" s="3483"/>
      <c r="K26" s="3483"/>
      <c r="L26" s="3483"/>
      <c r="M26" s="3483"/>
      <c r="N26" s="3483"/>
      <c r="O26" s="3483"/>
      <c r="P26" s="3483"/>
    </row>
    <row r="27" spans="1:16" ht="21.95" customHeight="1">
      <c r="A27" s="3480" t="s">
        <v>2714</v>
      </c>
      <c r="B27" s="3483"/>
      <c r="C27" s="3483"/>
      <c r="D27" s="3483"/>
      <c r="E27" s="3483"/>
      <c r="F27" s="3483"/>
      <c r="G27" s="3483"/>
      <c r="H27" s="3483"/>
      <c r="I27" s="3483"/>
      <c r="J27" s="3483"/>
      <c r="K27" s="3483"/>
      <c r="L27" s="3483"/>
      <c r="M27" s="3483"/>
      <c r="N27" s="3483"/>
      <c r="O27" s="3483"/>
      <c r="P27" s="3483"/>
    </row>
    <row r="28" spans="1:16" ht="21.95" customHeight="1">
      <c r="A28" s="3481"/>
      <c r="B28" s="3483"/>
      <c r="C28" s="3483"/>
      <c r="D28" s="3483"/>
      <c r="E28" s="3483"/>
      <c r="F28" s="3483"/>
      <c r="G28" s="3483"/>
      <c r="H28" s="3483"/>
      <c r="I28" s="3483"/>
      <c r="J28" s="3483"/>
      <c r="K28" s="3483"/>
      <c r="L28" s="3483"/>
      <c r="M28" s="3483"/>
      <c r="N28" s="3483"/>
      <c r="O28" s="3483"/>
      <c r="P28" s="3483"/>
    </row>
    <row r="29" spans="1:16" ht="21.95" customHeight="1">
      <c r="A29" s="3481"/>
      <c r="B29" s="3483"/>
      <c r="C29" s="3483"/>
      <c r="D29" s="3483"/>
      <c r="E29" s="3483"/>
      <c r="F29" s="3483"/>
      <c r="G29" s="3483"/>
      <c r="H29" s="3483"/>
      <c r="I29" s="3483"/>
      <c r="J29" s="3483"/>
      <c r="K29" s="3483"/>
      <c r="L29" s="3483"/>
      <c r="M29" s="3483"/>
      <c r="N29" s="3483"/>
      <c r="O29" s="3483"/>
      <c r="P29" s="3483"/>
    </row>
    <row r="30" spans="1:16">
      <c r="A30" s="3481"/>
      <c r="B30" s="3483"/>
      <c r="C30" s="3483"/>
      <c r="D30" s="3483"/>
      <c r="E30" s="3483"/>
      <c r="F30" s="3483"/>
      <c r="G30" s="3483"/>
      <c r="H30" s="3483"/>
      <c r="I30" s="3483"/>
      <c r="J30" s="3483"/>
      <c r="K30" s="3483"/>
      <c r="L30" s="3483"/>
      <c r="M30" s="3483"/>
      <c r="N30" s="3483"/>
      <c r="O30" s="3483"/>
      <c r="P30" s="3483"/>
    </row>
    <row r="31" spans="1:16">
      <c r="A31" s="3481"/>
      <c r="B31" s="3483"/>
      <c r="C31" s="3483"/>
      <c r="D31" s="3483"/>
      <c r="E31" s="3483"/>
      <c r="F31" s="3483"/>
      <c r="G31" s="3483"/>
      <c r="H31" s="3483"/>
      <c r="I31" s="3483"/>
      <c r="J31" s="3483"/>
      <c r="K31" s="3483"/>
      <c r="L31" s="3483"/>
      <c r="M31" s="3483"/>
      <c r="N31" s="3483"/>
      <c r="O31" s="3483"/>
      <c r="P31" s="3483"/>
    </row>
    <row r="32" spans="1:16">
      <c r="A32" s="3481"/>
      <c r="B32" s="3483"/>
      <c r="C32" s="3483"/>
      <c r="D32" s="3483"/>
      <c r="E32" s="3483"/>
      <c r="F32" s="3483"/>
      <c r="G32" s="3483"/>
      <c r="H32" s="3483"/>
      <c r="I32" s="3483"/>
      <c r="J32" s="3483"/>
      <c r="K32" s="3483"/>
      <c r="L32" s="3483"/>
      <c r="M32" s="3483"/>
      <c r="N32" s="3483"/>
      <c r="O32" s="3483"/>
      <c r="P32" s="3483"/>
    </row>
    <row r="33" spans="1:16">
      <c r="A33" s="3481"/>
      <c r="B33" s="3483"/>
      <c r="C33" s="3483"/>
      <c r="D33" s="3483"/>
      <c r="E33" s="3483"/>
      <c r="F33" s="3483"/>
      <c r="G33" s="3483"/>
      <c r="H33" s="3483"/>
      <c r="I33" s="3483"/>
      <c r="J33" s="3483"/>
      <c r="K33" s="3483"/>
      <c r="L33" s="3483"/>
      <c r="M33" s="3483"/>
      <c r="N33" s="3483"/>
      <c r="O33" s="3483"/>
      <c r="P33" s="3483"/>
    </row>
    <row r="34" spans="1:16">
      <c r="A34" s="3481"/>
      <c r="B34" s="3483"/>
      <c r="C34" s="3483"/>
      <c r="D34" s="3483"/>
      <c r="E34" s="3483"/>
      <c r="F34" s="3483"/>
      <c r="G34" s="3483"/>
      <c r="H34" s="3483"/>
      <c r="I34" s="3483"/>
      <c r="J34" s="3483"/>
      <c r="K34" s="3483"/>
      <c r="L34" s="3483"/>
      <c r="M34" s="3483"/>
      <c r="N34" s="3483"/>
      <c r="O34" s="3483"/>
      <c r="P34" s="3483"/>
    </row>
    <row r="35" spans="1:16">
      <c r="A35" s="3481"/>
      <c r="B35" s="3483"/>
      <c r="C35" s="3483"/>
      <c r="D35" s="3483"/>
      <c r="E35" s="3483"/>
      <c r="F35" s="3483"/>
      <c r="G35" s="3483"/>
      <c r="H35" s="3483"/>
      <c r="I35" s="3483"/>
      <c r="J35" s="3483"/>
      <c r="K35" s="3483"/>
      <c r="L35" s="3483"/>
      <c r="M35" s="3483"/>
      <c r="N35" s="3483"/>
      <c r="O35" s="3483"/>
      <c r="P35" s="3483"/>
    </row>
    <row r="36" spans="1:16">
      <c r="A36" s="3481"/>
      <c r="B36" s="3483"/>
      <c r="C36" s="3483"/>
      <c r="D36" s="3483"/>
      <c r="E36" s="3483"/>
      <c r="F36" s="3483"/>
      <c r="G36" s="3483"/>
      <c r="H36" s="3483"/>
      <c r="I36" s="3483"/>
      <c r="J36" s="3483"/>
      <c r="K36" s="3483"/>
      <c r="L36" s="3483"/>
      <c r="M36" s="3483"/>
      <c r="N36" s="3483"/>
      <c r="O36" s="3483"/>
      <c r="P36" s="3483"/>
    </row>
    <row r="37" spans="1:16">
      <c r="A37" s="3481"/>
      <c r="B37" s="3483"/>
      <c r="C37" s="3483"/>
      <c r="D37" s="3483"/>
      <c r="E37" s="3483"/>
      <c r="F37" s="3483"/>
      <c r="G37" s="3483"/>
      <c r="H37" s="3483"/>
      <c r="I37" s="3483"/>
      <c r="J37" s="3483"/>
      <c r="K37" s="3483"/>
      <c r="L37" s="3483"/>
      <c r="M37" s="3483"/>
      <c r="N37" s="3483"/>
      <c r="O37" s="3483"/>
      <c r="P37" s="3483"/>
    </row>
    <row r="38" spans="1:16">
      <c r="A38" s="3481"/>
      <c r="B38" s="3483"/>
      <c r="C38" s="3483"/>
      <c r="D38" s="3483"/>
      <c r="E38" s="3483"/>
      <c r="F38" s="3483"/>
      <c r="G38" s="3483"/>
      <c r="H38" s="3483"/>
      <c r="I38" s="3483"/>
      <c r="J38" s="3483"/>
      <c r="K38" s="3483"/>
      <c r="L38" s="3483"/>
      <c r="M38" s="3483"/>
      <c r="N38" s="3483"/>
      <c r="O38" s="3483"/>
      <c r="P38" s="3483"/>
    </row>
    <row r="39" spans="1:16">
      <c r="A39" s="3481"/>
      <c r="B39" s="3483"/>
      <c r="C39" s="3483"/>
      <c r="D39" s="3483"/>
      <c r="E39" s="3483"/>
      <c r="F39" s="3483"/>
      <c r="G39" s="3483"/>
      <c r="H39" s="3483"/>
      <c r="I39" s="3483"/>
      <c r="J39" s="3483"/>
      <c r="K39" s="3483"/>
      <c r="L39" s="3483"/>
      <c r="M39" s="3483"/>
      <c r="N39" s="3483"/>
      <c r="O39" s="3483"/>
      <c r="P39" s="3483"/>
    </row>
    <row r="40" spans="1:16">
      <c r="A40" s="3481"/>
      <c r="B40" s="3483"/>
      <c r="C40" s="3483"/>
      <c r="D40" s="3483"/>
      <c r="E40" s="3483"/>
      <c r="F40" s="3483"/>
      <c r="G40" s="3483"/>
      <c r="H40" s="3483"/>
      <c r="I40" s="3483"/>
      <c r="J40" s="3483"/>
      <c r="K40" s="3483"/>
      <c r="L40" s="3483"/>
      <c r="M40" s="3483"/>
      <c r="N40" s="3483"/>
      <c r="O40" s="3483"/>
      <c r="P40" s="3483"/>
    </row>
    <row r="41" spans="1:16">
      <c r="A41" s="3481"/>
      <c r="B41" s="3483"/>
      <c r="C41" s="3483"/>
      <c r="D41" s="3483"/>
      <c r="E41" s="3483"/>
      <c r="F41" s="3483"/>
      <c r="G41" s="3483"/>
      <c r="H41" s="3483"/>
      <c r="I41" s="3483"/>
      <c r="J41" s="3483"/>
      <c r="K41" s="3483"/>
      <c r="L41" s="3483"/>
      <c r="M41" s="3483"/>
      <c r="N41" s="3483"/>
      <c r="O41" s="3483"/>
      <c r="P41" s="3483"/>
    </row>
    <row r="42" spans="1:16">
      <c r="A42" s="3481"/>
      <c r="B42" s="3483"/>
      <c r="C42" s="3483"/>
      <c r="D42" s="3483"/>
      <c r="E42" s="3483"/>
      <c r="F42" s="3483"/>
      <c r="G42" s="3483"/>
      <c r="H42" s="3483"/>
      <c r="I42" s="3483"/>
      <c r="J42" s="3483"/>
      <c r="K42" s="3483"/>
      <c r="L42" s="3483"/>
      <c r="M42" s="3483"/>
      <c r="N42" s="3483"/>
      <c r="O42" s="3483"/>
      <c r="P42" s="3483"/>
    </row>
    <row r="43" spans="1:16">
      <c r="A43" s="3481"/>
      <c r="B43" s="3483"/>
      <c r="C43" s="3483"/>
      <c r="D43" s="3483"/>
      <c r="E43" s="3483"/>
      <c r="F43" s="3483"/>
      <c r="G43" s="3483"/>
      <c r="H43" s="3483"/>
      <c r="I43" s="3483"/>
      <c r="J43" s="3483"/>
      <c r="K43" s="3483"/>
      <c r="L43" s="3483"/>
      <c r="M43" s="3483"/>
      <c r="N43" s="3483"/>
      <c r="O43" s="3483"/>
      <c r="P43" s="3483"/>
    </row>
    <row r="44" spans="1:16">
      <c r="A44" s="3481"/>
      <c r="B44" s="3483"/>
      <c r="C44" s="3483"/>
      <c r="D44" s="3483"/>
      <c r="E44" s="3483"/>
      <c r="F44" s="3483"/>
      <c r="G44" s="3483"/>
      <c r="H44" s="3483"/>
      <c r="I44" s="3483"/>
      <c r="J44" s="3483"/>
      <c r="K44" s="3483"/>
      <c r="L44" s="3483"/>
      <c r="M44" s="3483"/>
      <c r="N44" s="3483"/>
      <c r="O44" s="3483"/>
      <c r="P44" s="3483"/>
    </row>
    <row r="45" spans="1:16">
      <c r="A45" s="3481"/>
      <c r="B45" s="3483"/>
      <c r="C45" s="3483"/>
      <c r="D45" s="3483"/>
      <c r="E45" s="3483"/>
      <c r="F45" s="3483"/>
      <c r="G45" s="3483"/>
      <c r="H45" s="3483"/>
      <c r="I45" s="3483"/>
      <c r="J45" s="3483"/>
      <c r="K45" s="3483"/>
      <c r="L45" s="3483"/>
      <c r="M45" s="3483"/>
      <c r="N45" s="3483"/>
      <c r="O45" s="3483"/>
      <c r="P45" s="3483"/>
    </row>
    <row r="46" spans="1:16">
      <c r="A46" s="3481"/>
      <c r="B46" s="3483"/>
      <c r="C46" s="3483"/>
      <c r="D46" s="3483"/>
      <c r="E46" s="3483"/>
      <c r="F46" s="3483"/>
      <c r="G46" s="3483"/>
      <c r="H46" s="3483"/>
      <c r="I46" s="3483"/>
      <c r="J46" s="3483"/>
      <c r="K46" s="3483"/>
      <c r="L46" s="3483"/>
      <c r="M46" s="3483"/>
      <c r="N46" s="3483"/>
      <c r="O46" s="3483"/>
      <c r="P46" s="3483"/>
    </row>
    <row r="47" spans="1:16">
      <c r="A47" s="3481"/>
      <c r="B47" s="3483"/>
      <c r="C47" s="3483"/>
      <c r="D47" s="3483"/>
      <c r="E47" s="3483"/>
      <c r="F47" s="3483"/>
      <c r="G47" s="3483"/>
      <c r="H47" s="3483"/>
      <c r="I47" s="3483"/>
      <c r="J47" s="3483"/>
      <c r="K47" s="3483"/>
      <c r="L47" s="3483"/>
      <c r="M47" s="3483"/>
      <c r="N47" s="3483"/>
      <c r="O47" s="3483"/>
      <c r="P47" s="3483"/>
    </row>
    <row r="48" spans="1:16">
      <c r="A48" s="3481"/>
      <c r="B48" s="3483"/>
      <c r="C48" s="3483"/>
      <c r="D48" s="3483"/>
      <c r="E48" s="3483"/>
      <c r="F48" s="3483"/>
      <c r="G48" s="3483"/>
      <c r="H48" s="3483"/>
      <c r="I48" s="3483"/>
      <c r="J48" s="3483"/>
      <c r="K48" s="3483"/>
      <c r="L48" s="3483"/>
      <c r="M48" s="3483"/>
      <c r="N48" s="3483"/>
      <c r="O48" s="3483"/>
      <c r="P48" s="3483"/>
    </row>
    <row r="49" spans="1:16">
      <c r="A49" s="3481"/>
      <c r="B49" s="3483"/>
      <c r="C49" s="3483"/>
      <c r="D49" s="3483"/>
      <c r="E49" s="3483"/>
      <c r="F49" s="3483"/>
      <c r="G49" s="3483"/>
      <c r="H49" s="3483"/>
      <c r="I49" s="3483"/>
      <c r="J49" s="3483"/>
      <c r="K49" s="3483"/>
      <c r="L49" s="3483"/>
      <c r="M49" s="3483"/>
      <c r="N49" s="3483"/>
      <c r="O49" s="3483"/>
      <c r="P49" s="3483"/>
    </row>
    <row r="50" spans="1:16">
      <c r="A50" s="3481"/>
      <c r="B50" s="3483"/>
      <c r="C50" s="3483"/>
      <c r="D50" s="3483"/>
      <c r="E50" s="3483"/>
      <c r="F50" s="3483"/>
      <c r="G50" s="3483"/>
      <c r="H50" s="3483"/>
      <c r="I50" s="3483"/>
      <c r="J50" s="3483"/>
      <c r="K50" s="3483"/>
      <c r="L50" s="3483"/>
      <c r="M50" s="3483"/>
      <c r="N50" s="3483"/>
      <c r="O50" s="3483"/>
      <c r="P50" s="3483"/>
    </row>
    <row r="51" spans="1:16">
      <c r="A51" s="3481"/>
      <c r="B51" s="3483"/>
      <c r="C51" s="3483"/>
      <c r="D51" s="3483"/>
      <c r="E51" s="3483"/>
      <c r="F51" s="3483"/>
      <c r="G51" s="3483"/>
      <c r="H51" s="3483"/>
      <c r="I51" s="3483"/>
      <c r="J51" s="3483"/>
      <c r="K51" s="3483"/>
      <c r="L51" s="3483"/>
      <c r="M51" s="3483"/>
      <c r="N51" s="3483"/>
      <c r="O51" s="3483"/>
      <c r="P51" s="3483"/>
    </row>
    <row r="52" spans="1:16">
      <c r="A52" s="3481"/>
      <c r="B52" s="3483"/>
      <c r="C52" s="3483"/>
      <c r="D52" s="3483"/>
      <c r="E52" s="3483"/>
      <c r="F52" s="3483"/>
      <c r="G52" s="3483"/>
      <c r="H52" s="3483"/>
      <c r="I52" s="3483"/>
      <c r="J52" s="3483"/>
      <c r="K52" s="3483"/>
      <c r="L52" s="3483"/>
      <c r="M52" s="3483"/>
      <c r="N52" s="3483"/>
      <c r="O52" s="3483"/>
      <c r="P52" s="3483"/>
    </row>
    <row r="53" spans="1:16">
      <c r="A53" s="3481"/>
      <c r="B53" s="3483"/>
      <c r="C53" s="3483"/>
      <c r="D53" s="3483"/>
      <c r="E53" s="3483"/>
      <c r="F53" s="3483"/>
      <c r="G53" s="3483"/>
      <c r="H53" s="3483"/>
      <c r="I53" s="3483"/>
      <c r="J53" s="3483"/>
      <c r="K53" s="3483"/>
      <c r="L53" s="3483"/>
      <c r="M53" s="3483"/>
      <c r="N53" s="3483"/>
      <c r="O53" s="3483"/>
      <c r="P53" s="3483"/>
    </row>
    <row r="54" spans="1:16">
      <c r="A54" s="3481"/>
      <c r="B54" s="3483"/>
      <c r="C54" s="3483"/>
      <c r="D54" s="3483"/>
      <c r="E54" s="3483"/>
      <c r="F54" s="3483"/>
      <c r="G54" s="3483"/>
      <c r="H54" s="3483"/>
      <c r="I54" s="3483"/>
      <c r="J54" s="3483"/>
      <c r="K54" s="3483"/>
      <c r="L54" s="3483"/>
      <c r="M54" s="3483"/>
      <c r="N54" s="3483"/>
      <c r="O54" s="3483"/>
      <c r="P54" s="3483"/>
    </row>
    <row r="55" spans="1:16">
      <c r="A55" s="3481"/>
      <c r="B55" s="3483"/>
      <c r="C55" s="3483"/>
      <c r="D55" s="3483"/>
      <c r="E55" s="3483"/>
      <c r="F55" s="3483"/>
      <c r="G55" s="3483"/>
      <c r="H55" s="3483"/>
      <c r="I55" s="3483"/>
      <c r="J55" s="3483"/>
      <c r="K55" s="3483"/>
      <c r="L55" s="3483"/>
      <c r="M55" s="3483"/>
      <c r="N55" s="3483"/>
      <c r="O55" s="3483"/>
      <c r="P55" s="3483"/>
    </row>
    <row r="56" spans="1:16">
      <c r="A56" s="3481"/>
      <c r="B56" s="3483"/>
      <c r="C56" s="3483"/>
      <c r="D56" s="3483"/>
      <c r="E56" s="3483"/>
      <c r="F56" s="3483"/>
      <c r="G56" s="3483"/>
      <c r="H56" s="3483"/>
      <c r="I56" s="3483"/>
      <c r="J56" s="3483"/>
      <c r="K56" s="3483"/>
      <c r="L56" s="3483"/>
      <c r="M56" s="3483"/>
      <c r="N56" s="3483"/>
      <c r="O56" s="3483"/>
      <c r="P56" s="3483"/>
    </row>
    <row r="57" spans="1:16">
      <c r="A57" s="3481"/>
      <c r="B57" s="3483"/>
      <c r="C57" s="3483"/>
      <c r="D57" s="3483"/>
      <c r="E57" s="3483"/>
      <c r="F57" s="3483"/>
      <c r="G57" s="3483"/>
      <c r="H57" s="3483"/>
      <c r="I57" s="3483"/>
      <c r="J57" s="3483"/>
      <c r="K57" s="3483"/>
      <c r="L57" s="3483"/>
      <c r="M57" s="3483"/>
      <c r="N57" s="3483"/>
      <c r="O57" s="3483"/>
      <c r="P57" s="3483"/>
    </row>
    <row r="58" spans="1:16">
      <c r="A58" s="3481"/>
      <c r="B58" s="3483"/>
      <c r="C58" s="3483"/>
      <c r="D58" s="3483"/>
      <c r="E58" s="3483"/>
      <c r="F58" s="3483"/>
      <c r="G58" s="3483"/>
      <c r="H58" s="3483"/>
      <c r="I58" s="3483"/>
      <c r="J58" s="3483"/>
      <c r="K58" s="3483"/>
      <c r="L58" s="3483"/>
      <c r="M58" s="3483"/>
      <c r="N58" s="3483"/>
      <c r="O58" s="3483"/>
      <c r="P58" s="3483"/>
    </row>
    <row r="59" spans="1:16">
      <c r="A59" s="3481"/>
      <c r="B59" s="3483"/>
      <c r="C59" s="3483"/>
      <c r="D59" s="3483"/>
      <c r="E59" s="3483"/>
      <c r="F59" s="3483"/>
      <c r="G59" s="3483"/>
      <c r="H59" s="3483"/>
      <c r="I59" s="3483"/>
      <c r="J59" s="3483"/>
      <c r="K59" s="3483"/>
      <c r="L59" s="3483"/>
      <c r="M59" s="3483"/>
      <c r="N59" s="3483"/>
      <c r="O59" s="3483"/>
      <c r="P59" s="3483"/>
    </row>
    <row r="60" spans="1:16">
      <c r="A60" s="3481"/>
      <c r="B60" s="3483"/>
      <c r="C60" s="3483"/>
      <c r="D60" s="3483"/>
      <c r="E60" s="3483"/>
      <c r="F60" s="3483"/>
      <c r="G60" s="3483"/>
      <c r="H60" s="3483"/>
      <c r="I60" s="3483"/>
      <c r="J60" s="3483"/>
      <c r="K60" s="3483"/>
      <c r="L60" s="3483"/>
      <c r="M60" s="3483"/>
      <c r="N60" s="3483"/>
      <c r="O60" s="3483"/>
      <c r="P60" s="3483"/>
    </row>
    <row r="61" spans="1:16">
      <c r="A61" s="3481"/>
      <c r="B61" s="3483"/>
      <c r="C61" s="3483"/>
      <c r="D61" s="3483"/>
      <c r="E61" s="3483"/>
      <c r="F61" s="3483"/>
      <c r="G61" s="3483"/>
      <c r="H61" s="3483"/>
      <c r="I61" s="3483"/>
      <c r="J61" s="3483"/>
      <c r="K61" s="3483"/>
      <c r="L61" s="3483"/>
      <c r="M61" s="3483"/>
      <c r="N61" s="3483"/>
      <c r="O61" s="3483"/>
      <c r="P61" s="3483"/>
    </row>
    <row r="62" spans="1:16">
      <c r="A62" s="3481"/>
      <c r="B62" s="3483"/>
      <c r="C62" s="3483"/>
      <c r="D62" s="3483"/>
      <c r="E62" s="3483"/>
      <c r="F62" s="3483"/>
      <c r="G62" s="3483"/>
      <c r="H62" s="3483"/>
      <c r="I62" s="3483"/>
      <c r="J62" s="3483"/>
      <c r="K62" s="3483"/>
      <c r="L62" s="3483"/>
      <c r="M62" s="3483"/>
      <c r="N62" s="3483"/>
      <c r="O62" s="3483"/>
      <c r="P62" s="3483"/>
    </row>
    <row r="63" spans="1:16">
      <c r="A63" s="3481"/>
      <c r="B63" s="3483"/>
      <c r="C63" s="3483"/>
      <c r="D63" s="3483"/>
      <c r="E63" s="3483"/>
      <c r="F63" s="3483"/>
      <c r="G63" s="3483"/>
      <c r="H63" s="3483"/>
      <c r="I63" s="3483"/>
      <c r="J63" s="3483"/>
      <c r="K63" s="3483"/>
      <c r="L63" s="3483"/>
      <c r="M63" s="3483"/>
      <c r="N63" s="3483"/>
      <c r="O63" s="3483"/>
      <c r="P63" s="3483"/>
    </row>
    <row r="64" spans="1:16">
      <c r="A64" s="3481"/>
      <c r="B64" s="3483"/>
      <c r="C64" s="3483"/>
      <c r="D64" s="3483"/>
      <c r="E64" s="3483"/>
      <c r="F64" s="3483"/>
      <c r="G64" s="3483"/>
      <c r="H64" s="3483"/>
      <c r="I64" s="3483"/>
      <c r="J64" s="3483"/>
      <c r="K64" s="3483"/>
      <c r="L64" s="3483"/>
      <c r="M64" s="3483"/>
      <c r="N64" s="3483"/>
      <c r="O64" s="3483"/>
      <c r="P64" s="3483"/>
    </row>
    <row r="65" spans="1:16">
      <c r="A65" s="3481"/>
      <c r="B65" s="3483"/>
      <c r="C65" s="3483"/>
      <c r="D65" s="3483"/>
      <c r="E65" s="3483"/>
      <c r="F65" s="3483"/>
      <c r="G65" s="3483"/>
      <c r="H65" s="3483"/>
      <c r="I65" s="3483"/>
      <c r="J65" s="3483"/>
      <c r="K65" s="3483"/>
      <c r="L65" s="3483"/>
      <c r="M65" s="3483"/>
      <c r="N65" s="3483"/>
      <c r="O65" s="3483"/>
      <c r="P65" s="3483"/>
    </row>
    <row r="66" spans="1:16">
      <c r="A66" s="3481"/>
      <c r="B66" s="3483"/>
      <c r="C66" s="3483"/>
      <c r="D66" s="3483"/>
      <c r="E66" s="3483"/>
      <c r="F66" s="3483"/>
      <c r="G66" s="3483"/>
      <c r="H66" s="3483"/>
      <c r="I66" s="3483"/>
      <c r="J66" s="3483"/>
      <c r="K66" s="3483"/>
      <c r="L66" s="3483"/>
      <c r="M66" s="3483"/>
      <c r="N66" s="3483"/>
      <c r="O66" s="3483"/>
      <c r="P66" s="3483"/>
    </row>
    <row r="67" spans="1:16">
      <c r="A67" s="3481"/>
      <c r="B67" s="3483"/>
      <c r="C67" s="3483"/>
      <c r="D67" s="3483"/>
      <c r="E67" s="3483"/>
      <c r="F67" s="3483"/>
      <c r="G67" s="3483"/>
      <c r="H67" s="3483"/>
      <c r="I67" s="3483"/>
      <c r="J67" s="3483"/>
      <c r="K67" s="3483"/>
      <c r="L67" s="3483"/>
      <c r="M67" s="3483"/>
      <c r="N67" s="3483"/>
      <c r="O67" s="3483"/>
      <c r="P67" s="3483"/>
    </row>
    <row r="68" spans="1:16">
      <c r="A68" s="3481"/>
      <c r="B68" s="3483"/>
      <c r="C68" s="3483"/>
      <c r="D68" s="3483"/>
      <c r="E68" s="3483"/>
      <c r="F68" s="3483"/>
      <c r="G68" s="3483"/>
      <c r="H68" s="3483"/>
      <c r="I68" s="3483"/>
      <c r="J68" s="3483"/>
      <c r="K68" s="3483"/>
      <c r="L68" s="3483"/>
      <c r="M68" s="3483"/>
      <c r="N68" s="3483"/>
      <c r="O68" s="3483"/>
      <c r="P68" s="3483"/>
    </row>
    <row r="69" spans="1:16">
      <c r="A69" s="3481"/>
      <c r="B69" s="3483"/>
      <c r="C69" s="3483"/>
      <c r="D69" s="3483"/>
      <c r="E69" s="3483"/>
      <c r="F69" s="3483"/>
      <c r="G69" s="3483"/>
      <c r="H69" s="3483"/>
      <c r="I69" s="3483"/>
      <c r="J69" s="3483"/>
      <c r="K69" s="3483"/>
      <c r="L69" s="3483"/>
      <c r="M69" s="3483"/>
      <c r="N69" s="3483"/>
      <c r="O69" s="3483"/>
      <c r="P69" s="3483"/>
    </row>
    <row r="70" spans="1:16">
      <c r="A70" s="3481"/>
      <c r="B70" s="3483"/>
      <c r="C70" s="3483"/>
      <c r="D70" s="3483"/>
      <c r="E70" s="3483"/>
      <c r="F70" s="3483"/>
      <c r="G70" s="3483"/>
      <c r="H70" s="3483"/>
      <c r="I70" s="3483"/>
      <c r="J70" s="3483"/>
      <c r="K70" s="3483"/>
      <c r="L70" s="3483"/>
      <c r="M70" s="3483"/>
      <c r="N70" s="3483"/>
      <c r="O70" s="3483"/>
      <c r="P70" s="3483"/>
    </row>
    <row r="71" spans="1:16">
      <c r="A71" s="3481"/>
      <c r="B71" s="3483"/>
      <c r="C71" s="3483"/>
      <c r="D71" s="3483"/>
      <c r="E71" s="3483"/>
      <c r="F71" s="3483"/>
      <c r="G71" s="3483"/>
      <c r="H71" s="3483"/>
      <c r="I71" s="3483"/>
      <c r="J71" s="3483"/>
      <c r="K71" s="3483"/>
      <c r="L71" s="3483"/>
      <c r="M71" s="3483"/>
      <c r="N71" s="3483"/>
      <c r="O71" s="3483"/>
      <c r="P71" s="3483"/>
    </row>
    <row r="72" spans="1:16">
      <c r="A72" s="3481"/>
      <c r="B72" s="3483"/>
      <c r="C72" s="3483"/>
      <c r="D72" s="3483"/>
      <c r="E72" s="3483"/>
      <c r="F72" s="3483"/>
      <c r="G72" s="3483"/>
      <c r="H72" s="3483"/>
      <c r="I72" s="3483"/>
      <c r="J72" s="3483"/>
      <c r="K72" s="3483"/>
      <c r="L72" s="3483"/>
      <c r="M72" s="3483"/>
      <c r="N72" s="3483"/>
      <c r="O72" s="3483"/>
      <c r="P72" s="3483"/>
    </row>
    <row r="73" spans="1:16">
      <c r="A73" s="3481"/>
      <c r="B73" s="3483"/>
      <c r="C73" s="3483"/>
      <c r="D73" s="3483"/>
      <c r="E73" s="3483"/>
      <c r="F73" s="3483"/>
      <c r="G73" s="3483"/>
      <c r="H73" s="3483"/>
      <c r="I73" s="3483"/>
      <c r="J73" s="3483"/>
      <c r="K73" s="3483"/>
      <c r="L73" s="3483"/>
      <c r="M73" s="3483"/>
      <c r="N73" s="3483"/>
      <c r="O73" s="3483"/>
      <c r="P73" s="3483"/>
    </row>
    <row r="74" spans="1:16">
      <c r="A74" s="3481"/>
      <c r="B74" s="3483"/>
      <c r="C74" s="3483"/>
      <c r="D74" s="3483"/>
      <c r="E74" s="3483"/>
      <c r="F74" s="3483"/>
      <c r="G74" s="3483"/>
      <c r="H74" s="3483"/>
      <c r="I74" s="3483"/>
      <c r="J74" s="3483"/>
      <c r="K74" s="3483"/>
      <c r="L74" s="3483"/>
      <c r="M74" s="3483"/>
      <c r="N74" s="3483"/>
      <c r="O74" s="3483"/>
      <c r="P74" s="3483"/>
    </row>
    <row r="75" spans="1:16">
      <c r="A75" s="3481"/>
      <c r="B75" s="3483"/>
      <c r="C75" s="3483"/>
      <c r="D75" s="3483"/>
      <c r="E75" s="3483"/>
      <c r="F75" s="3483"/>
      <c r="G75" s="3483"/>
      <c r="H75" s="3483"/>
      <c r="I75" s="3483"/>
      <c r="J75" s="3483"/>
      <c r="K75" s="3483"/>
      <c r="L75" s="3483"/>
      <c r="M75" s="3483"/>
      <c r="N75" s="3483"/>
      <c r="O75" s="3483"/>
      <c r="P75" s="3483"/>
    </row>
    <row r="76" spans="1:16">
      <c r="A76" s="3481"/>
      <c r="B76" s="3483"/>
      <c r="C76" s="3483"/>
      <c r="D76" s="3483"/>
      <c r="E76" s="3483"/>
      <c r="F76" s="3483"/>
      <c r="G76" s="3483"/>
      <c r="H76" s="3483"/>
      <c r="I76" s="3483"/>
      <c r="J76" s="3483"/>
      <c r="K76" s="3483"/>
      <c r="L76" s="3483"/>
      <c r="M76" s="3483"/>
      <c r="N76" s="3483"/>
      <c r="O76" s="3483"/>
      <c r="P76" s="3483"/>
    </row>
    <row r="77" spans="1:16">
      <c r="A77" s="3481"/>
      <c r="B77" s="3483"/>
      <c r="C77" s="3483"/>
      <c r="D77" s="3483"/>
      <c r="E77" s="3483"/>
      <c r="F77" s="3483"/>
      <c r="G77" s="3483"/>
      <c r="H77" s="3483"/>
      <c r="I77" s="3483"/>
      <c r="J77" s="3483"/>
      <c r="K77" s="3483"/>
      <c r="L77" s="3483"/>
      <c r="M77" s="3483"/>
      <c r="N77" s="3483"/>
      <c r="O77" s="3483"/>
      <c r="P77" s="3483"/>
    </row>
    <row r="78" spans="1:16">
      <c r="A78" s="3481"/>
      <c r="B78" s="3483"/>
      <c r="C78" s="3483"/>
      <c r="D78" s="3483"/>
      <c r="E78" s="3483"/>
      <c r="F78" s="3483"/>
      <c r="G78" s="3483"/>
      <c r="H78" s="3483"/>
      <c r="I78" s="3483"/>
      <c r="J78" s="3483"/>
      <c r="K78" s="3483"/>
      <c r="L78" s="3483"/>
      <c r="M78" s="3483"/>
      <c r="N78" s="3483"/>
      <c r="O78" s="3483"/>
      <c r="P78" s="3483"/>
    </row>
    <row r="79" spans="1:16">
      <c r="A79" s="3481"/>
      <c r="B79" s="3483"/>
      <c r="C79" s="3483"/>
      <c r="D79" s="3483"/>
      <c r="E79" s="3483"/>
      <c r="F79" s="3483"/>
      <c r="G79" s="3483"/>
      <c r="H79" s="3483"/>
      <c r="I79" s="3483"/>
      <c r="J79" s="3483"/>
      <c r="K79" s="3483"/>
      <c r="L79" s="3483"/>
      <c r="M79" s="3483"/>
      <c r="N79" s="3483"/>
      <c r="O79" s="3483"/>
      <c r="P79" s="3483"/>
    </row>
    <row r="80" spans="1:16">
      <c r="A80" s="3481"/>
      <c r="B80" s="3483"/>
      <c r="C80" s="3483"/>
      <c r="D80" s="3483"/>
      <c r="E80" s="3483"/>
      <c r="F80" s="3483"/>
      <c r="G80" s="3483"/>
      <c r="H80" s="3483"/>
      <c r="I80" s="3483"/>
      <c r="J80" s="3483"/>
      <c r="K80" s="3483"/>
      <c r="L80" s="3483"/>
      <c r="M80" s="3483"/>
      <c r="N80" s="3483"/>
      <c r="O80" s="3483"/>
      <c r="P80" s="3483"/>
    </row>
    <row r="81" spans="1:16">
      <c r="A81" s="3481"/>
      <c r="B81" s="3483"/>
      <c r="C81" s="3483"/>
      <c r="D81" s="3483"/>
      <c r="E81" s="3483"/>
      <c r="F81" s="3483"/>
      <c r="G81" s="3483"/>
      <c r="H81" s="3483"/>
      <c r="I81" s="3483"/>
      <c r="J81" s="3483"/>
      <c r="K81" s="3483"/>
      <c r="L81" s="3483"/>
      <c r="M81" s="3483"/>
      <c r="N81" s="3483"/>
      <c r="O81" s="3483"/>
      <c r="P81" s="3483"/>
    </row>
    <row r="82" spans="1:16">
      <c r="A82" s="3481"/>
      <c r="B82" s="3483"/>
      <c r="C82" s="3483"/>
      <c r="D82" s="3483"/>
      <c r="E82" s="3483"/>
      <c r="F82" s="3483"/>
      <c r="G82" s="3483"/>
      <c r="H82" s="3483"/>
      <c r="I82" s="3483"/>
      <c r="J82" s="3483"/>
      <c r="K82" s="3483"/>
      <c r="L82" s="3483"/>
      <c r="M82" s="3483"/>
      <c r="N82" s="3483"/>
      <c r="O82" s="3483"/>
      <c r="P82" s="3483"/>
    </row>
    <row r="83" spans="1:16">
      <c r="A83" s="3481"/>
      <c r="B83" s="3483"/>
      <c r="C83" s="3483"/>
      <c r="D83" s="3483"/>
      <c r="E83" s="3483"/>
      <c r="F83" s="3483"/>
      <c r="G83" s="3483"/>
      <c r="H83" s="3483"/>
      <c r="I83" s="3483"/>
      <c r="J83" s="3483"/>
      <c r="K83" s="3483"/>
      <c r="L83" s="3483"/>
      <c r="M83" s="3483"/>
      <c r="N83" s="3483"/>
      <c r="O83" s="3483"/>
      <c r="P83" s="3483"/>
    </row>
    <row r="84" spans="1:16">
      <c r="A84" s="3481"/>
      <c r="B84" s="3483"/>
      <c r="C84" s="3483"/>
      <c r="D84" s="3483"/>
      <c r="E84" s="3483"/>
      <c r="F84" s="3483"/>
      <c r="G84" s="3483"/>
      <c r="H84" s="3483"/>
      <c r="I84" s="3483"/>
      <c r="J84" s="3483"/>
      <c r="K84" s="3483"/>
      <c r="L84" s="3483"/>
      <c r="M84" s="3483"/>
      <c r="N84" s="3483"/>
      <c r="O84" s="3483"/>
      <c r="P84" s="3483"/>
    </row>
    <row r="85" spans="1:16">
      <c r="A85" s="3481"/>
      <c r="B85" s="3483"/>
      <c r="C85" s="3483"/>
      <c r="D85" s="3483"/>
      <c r="E85" s="3483"/>
      <c r="F85" s="3483"/>
      <c r="G85" s="3483"/>
      <c r="H85" s="3483"/>
      <c r="I85" s="3483"/>
      <c r="J85" s="3483"/>
      <c r="K85" s="3483"/>
      <c r="L85" s="3483"/>
      <c r="M85" s="3483"/>
      <c r="N85" s="3483"/>
      <c r="O85" s="3483"/>
      <c r="P85" s="3483"/>
    </row>
    <row r="86" spans="1:16">
      <c r="A86" s="3481"/>
      <c r="B86" s="3483"/>
      <c r="C86" s="3483"/>
      <c r="D86" s="3483"/>
      <c r="E86" s="3483"/>
      <c r="F86" s="3483"/>
      <c r="G86" s="3483"/>
      <c r="H86" s="3483"/>
      <c r="I86" s="3483"/>
      <c r="J86" s="3483"/>
      <c r="K86" s="3483"/>
      <c r="L86" s="3483"/>
      <c r="M86" s="3483"/>
      <c r="N86" s="3483"/>
      <c r="O86" s="3483"/>
      <c r="P86" s="3483"/>
    </row>
    <row r="87" spans="1:16">
      <c r="A87" s="3481"/>
      <c r="B87" s="3483"/>
      <c r="C87" s="3483"/>
      <c r="D87" s="3483"/>
      <c r="E87" s="3483"/>
      <c r="F87" s="3483"/>
      <c r="G87" s="3483"/>
      <c r="H87" s="3483"/>
      <c r="I87" s="3483"/>
      <c r="J87" s="3483"/>
      <c r="K87" s="3483"/>
      <c r="L87" s="3483"/>
      <c r="M87" s="3483"/>
      <c r="N87" s="3483"/>
      <c r="O87" s="3483"/>
      <c r="P87" s="3483"/>
    </row>
    <row r="88" spans="1:16">
      <c r="A88" s="3481"/>
      <c r="B88" s="3483"/>
      <c r="C88" s="3483"/>
      <c r="D88" s="3483"/>
      <c r="E88" s="3483"/>
      <c r="F88" s="3483"/>
      <c r="G88" s="3483"/>
      <c r="H88" s="3483"/>
      <c r="I88" s="3483"/>
      <c r="J88" s="3483"/>
      <c r="K88" s="3483"/>
      <c r="L88" s="3483"/>
      <c r="M88" s="3483"/>
      <c r="N88" s="3483"/>
      <c r="O88" s="3483"/>
      <c r="P88" s="3483"/>
    </row>
    <row r="89" spans="1:16">
      <c r="A89" s="3481"/>
      <c r="B89" s="3483"/>
      <c r="C89" s="3483"/>
      <c r="D89" s="3483"/>
      <c r="E89" s="3483"/>
      <c r="F89" s="3483"/>
      <c r="G89" s="3483"/>
      <c r="H89" s="3483"/>
      <c r="I89" s="3483"/>
      <c r="J89" s="3483"/>
      <c r="K89" s="3483"/>
      <c r="L89" s="3483"/>
      <c r="M89" s="3483"/>
      <c r="N89" s="3483"/>
      <c r="O89" s="3483"/>
      <c r="P89" s="3483"/>
    </row>
    <row r="90" spans="1:16">
      <c r="A90" s="3481"/>
      <c r="B90" s="3483"/>
      <c r="C90" s="3483"/>
      <c r="D90" s="3483"/>
      <c r="E90" s="3483"/>
      <c r="F90" s="3483"/>
      <c r="G90" s="3483"/>
      <c r="H90" s="3483"/>
      <c r="I90" s="3483"/>
      <c r="J90" s="3483"/>
      <c r="K90" s="3483"/>
      <c r="L90" s="3483"/>
      <c r="M90" s="3483"/>
      <c r="N90" s="3483"/>
      <c r="O90" s="3483"/>
      <c r="P90" s="3483"/>
    </row>
    <row r="91" spans="1:16">
      <c r="A91" s="3481"/>
      <c r="B91" s="3483"/>
      <c r="C91" s="3483"/>
      <c r="D91" s="3483"/>
      <c r="E91" s="3483"/>
      <c r="F91" s="3483"/>
      <c r="G91" s="3483"/>
      <c r="H91" s="3483"/>
      <c r="I91" s="3483"/>
      <c r="J91" s="3483"/>
      <c r="K91" s="3483"/>
      <c r="L91" s="3483"/>
      <c r="M91" s="3483"/>
      <c r="N91" s="3483"/>
      <c r="O91" s="3483"/>
      <c r="P91" s="3483"/>
    </row>
    <row r="92" spans="1:16">
      <c r="A92" s="3481"/>
      <c r="B92" s="3483"/>
      <c r="C92" s="3483"/>
      <c r="D92" s="3483"/>
      <c r="E92" s="3483"/>
      <c r="F92" s="3483"/>
      <c r="G92" s="3483"/>
      <c r="H92" s="3483"/>
      <c r="I92" s="3483"/>
      <c r="J92" s="3483"/>
      <c r="K92" s="3483"/>
      <c r="L92" s="3483"/>
      <c r="M92" s="3483"/>
      <c r="N92" s="3483"/>
      <c r="O92" s="3483"/>
      <c r="P92" s="3483"/>
    </row>
    <row r="93" spans="1:16">
      <c r="A93" s="3481"/>
      <c r="B93" s="3483"/>
      <c r="C93" s="3483"/>
      <c r="D93" s="3483"/>
      <c r="E93" s="3483"/>
      <c r="F93" s="3483"/>
      <c r="G93" s="3483"/>
      <c r="H93" s="3483"/>
      <c r="I93" s="3483"/>
      <c r="J93" s="3483"/>
      <c r="K93" s="3483"/>
      <c r="L93" s="3483"/>
      <c r="M93" s="3483"/>
      <c r="N93" s="3483"/>
      <c r="O93" s="3483"/>
      <c r="P93" s="3483"/>
    </row>
    <row r="94" spans="1:16">
      <c r="A94" s="3481"/>
      <c r="B94" s="3483"/>
      <c r="C94" s="3483"/>
      <c r="D94" s="3483"/>
      <c r="E94" s="3483"/>
      <c r="F94" s="3483"/>
      <c r="G94" s="3483"/>
      <c r="H94" s="3483"/>
      <c r="I94" s="3483"/>
      <c r="J94" s="3483"/>
      <c r="K94" s="3483"/>
      <c r="L94" s="3483"/>
      <c r="M94" s="3483"/>
      <c r="N94" s="3483"/>
      <c r="O94" s="3483"/>
      <c r="P94" s="3483"/>
    </row>
    <row r="95" spans="1:16">
      <c r="A95" s="3481"/>
      <c r="B95" s="3483"/>
      <c r="C95" s="3483"/>
      <c r="D95" s="3483"/>
      <c r="E95" s="3483"/>
      <c r="F95" s="3483"/>
      <c r="G95" s="3483"/>
      <c r="H95" s="3483"/>
      <c r="I95" s="3483"/>
      <c r="J95" s="3483"/>
      <c r="K95" s="3483"/>
      <c r="L95" s="3483"/>
      <c r="M95" s="3483"/>
      <c r="N95" s="3483"/>
      <c r="O95" s="3483"/>
      <c r="P95" s="3483"/>
    </row>
    <row r="96" spans="1:16">
      <c r="A96" s="3481"/>
      <c r="B96" s="3483"/>
      <c r="C96" s="3483"/>
      <c r="D96" s="3483"/>
      <c r="E96" s="3483"/>
      <c r="F96" s="3483"/>
      <c r="G96" s="3483"/>
      <c r="H96" s="3483"/>
      <c r="I96" s="3483"/>
      <c r="J96" s="3483"/>
      <c r="K96" s="3483"/>
      <c r="L96" s="3483"/>
      <c r="M96" s="3483"/>
      <c r="N96" s="3483"/>
      <c r="O96" s="3483"/>
      <c r="P96" s="3483"/>
    </row>
    <row r="97" spans="1:16">
      <c r="A97" s="3481"/>
      <c r="B97" s="3483"/>
      <c r="C97" s="3483"/>
      <c r="D97" s="3483"/>
      <c r="E97" s="3483"/>
      <c r="F97" s="3483"/>
      <c r="G97" s="3483"/>
      <c r="H97" s="3483"/>
      <c r="I97" s="3483"/>
      <c r="J97" s="3483"/>
      <c r="K97" s="3483"/>
      <c r="L97" s="3483"/>
      <c r="M97" s="3483"/>
      <c r="N97" s="3483"/>
      <c r="O97" s="3483"/>
      <c r="P97" s="3483"/>
    </row>
    <row r="98" spans="1:16">
      <c r="A98" s="3481"/>
      <c r="B98" s="3483"/>
      <c r="C98" s="3483"/>
      <c r="D98" s="3483"/>
      <c r="E98" s="3483"/>
      <c r="F98" s="3483"/>
      <c r="G98" s="3483"/>
      <c r="H98" s="3483"/>
      <c r="I98" s="3483"/>
      <c r="J98" s="3483"/>
      <c r="K98" s="3483"/>
      <c r="L98" s="3483"/>
      <c r="M98" s="3483"/>
      <c r="N98" s="3483"/>
      <c r="O98" s="3483"/>
      <c r="P98" s="3483"/>
    </row>
    <row r="99" spans="1:16">
      <c r="A99" s="3481"/>
      <c r="B99" s="3483"/>
      <c r="C99" s="3483"/>
      <c r="D99" s="3483"/>
      <c r="E99" s="3483"/>
      <c r="F99" s="3483"/>
      <c r="G99" s="3483"/>
      <c r="H99" s="3483"/>
      <c r="I99" s="3483"/>
      <c r="J99" s="3483"/>
      <c r="K99" s="3483"/>
      <c r="L99" s="3483"/>
      <c r="M99" s="3483"/>
      <c r="N99" s="3483"/>
      <c r="O99" s="3483"/>
      <c r="P99" s="3483"/>
    </row>
    <row r="100" spans="1:16">
      <c r="A100" s="3481"/>
      <c r="B100" s="3483"/>
      <c r="C100" s="3483"/>
      <c r="D100" s="3483"/>
      <c r="E100" s="3483"/>
      <c r="F100" s="3483"/>
      <c r="G100" s="3483"/>
      <c r="H100" s="3483"/>
      <c r="I100" s="3483"/>
      <c r="J100" s="3483"/>
      <c r="K100" s="3483"/>
      <c r="L100" s="3483"/>
      <c r="M100" s="3483"/>
      <c r="N100" s="3483"/>
      <c r="O100" s="3483"/>
      <c r="P100" s="3483"/>
    </row>
    <row r="101" spans="1:16">
      <c r="A101" s="3481"/>
      <c r="B101" s="3483"/>
      <c r="C101" s="3483"/>
      <c r="D101" s="3483"/>
      <c r="E101" s="3483"/>
      <c r="F101" s="3483"/>
      <c r="G101" s="3483"/>
      <c r="H101" s="3483"/>
      <c r="I101" s="3483"/>
      <c r="J101" s="3483"/>
      <c r="K101" s="3483"/>
      <c r="L101" s="3483"/>
      <c r="M101" s="3483"/>
      <c r="N101" s="3483"/>
      <c r="O101" s="3483"/>
      <c r="P101" s="3483"/>
    </row>
    <row r="102" spans="1:16">
      <c r="A102" s="3481"/>
      <c r="B102" s="3483"/>
      <c r="C102" s="3483"/>
      <c r="D102" s="3483"/>
      <c r="E102" s="3483"/>
      <c r="F102" s="3483"/>
      <c r="G102" s="3483"/>
      <c r="H102" s="3483"/>
      <c r="I102" s="3483"/>
      <c r="J102" s="3483"/>
      <c r="K102" s="3483"/>
      <c r="L102" s="3483"/>
      <c r="M102" s="3483"/>
      <c r="N102" s="3483"/>
      <c r="O102" s="3483"/>
      <c r="P102" s="3483"/>
    </row>
    <row r="103" spans="1:16">
      <c r="A103" s="3481"/>
      <c r="B103" s="3483"/>
      <c r="C103" s="3483"/>
      <c r="D103" s="3483"/>
      <c r="E103" s="3483"/>
      <c r="F103" s="3483"/>
      <c r="G103" s="3483"/>
      <c r="H103" s="3483"/>
      <c r="I103" s="3483"/>
      <c r="J103" s="3483"/>
      <c r="K103" s="3483"/>
      <c r="L103" s="3483"/>
      <c r="M103" s="3483"/>
      <c r="N103" s="3483"/>
      <c r="O103" s="3483"/>
      <c r="P103" s="3483"/>
    </row>
    <row r="104" spans="1:16">
      <c r="A104" s="3481"/>
      <c r="B104" s="3483"/>
      <c r="C104" s="3483"/>
      <c r="D104" s="3483"/>
      <c r="E104" s="3483"/>
      <c r="F104" s="3483"/>
      <c r="G104" s="3483"/>
      <c r="H104" s="3483"/>
      <c r="I104" s="3483"/>
      <c r="J104" s="3483"/>
      <c r="K104" s="3483"/>
      <c r="L104" s="3483"/>
      <c r="M104" s="3483"/>
      <c r="N104" s="3483"/>
      <c r="O104" s="3483"/>
      <c r="P104" s="3483"/>
    </row>
    <row r="105" spans="1:16">
      <c r="A105" s="3481"/>
      <c r="B105" s="3483"/>
      <c r="C105" s="3483"/>
      <c r="D105" s="3483"/>
      <c r="E105" s="3483"/>
      <c r="F105" s="3483"/>
      <c r="G105" s="3483"/>
      <c r="H105" s="3483"/>
      <c r="I105" s="3483"/>
      <c r="J105" s="3483"/>
      <c r="K105" s="3483"/>
      <c r="L105" s="3483"/>
      <c r="M105" s="3483"/>
      <c r="N105" s="3483"/>
      <c r="O105" s="3483"/>
      <c r="P105" s="3483"/>
    </row>
    <row r="106" spans="1:16">
      <c r="A106" s="3481"/>
      <c r="B106" s="3483"/>
      <c r="C106" s="3483"/>
      <c r="D106" s="3483"/>
      <c r="E106" s="3483"/>
      <c r="F106" s="3483"/>
      <c r="G106" s="3483"/>
      <c r="H106" s="3483"/>
      <c r="I106" s="3483"/>
      <c r="J106" s="3483"/>
      <c r="K106" s="3483"/>
      <c r="L106" s="3483"/>
      <c r="M106" s="3483"/>
      <c r="N106" s="3483"/>
      <c r="O106" s="3483"/>
      <c r="P106" s="3483"/>
    </row>
    <row r="107" spans="1:16">
      <c r="A107" s="3481"/>
      <c r="B107" s="3483"/>
      <c r="C107" s="3483"/>
      <c r="D107" s="3483"/>
      <c r="E107" s="3483"/>
      <c r="F107" s="3483"/>
      <c r="G107" s="3483"/>
      <c r="H107" s="3483"/>
      <c r="I107" s="3483"/>
      <c r="J107" s="3483"/>
      <c r="K107" s="3483"/>
      <c r="L107" s="3483"/>
      <c r="M107" s="3483"/>
      <c r="N107" s="3483"/>
      <c r="O107" s="3483"/>
      <c r="P107" s="3483"/>
    </row>
    <row r="108" spans="1:16">
      <c r="A108" s="3481"/>
      <c r="B108" s="3483"/>
      <c r="C108" s="3483"/>
      <c r="D108" s="3483"/>
      <c r="E108" s="3483"/>
      <c r="F108" s="3483"/>
      <c r="G108" s="3483"/>
      <c r="H108" s="3483"/>
      <c r="I108" s="3483"/>
      <c r="J108" s="3483"/>
      <c r="K108" s="3483"/>
      <c r="L108" s="3483"/>
      <c r="M108" s="3483"/>
      <c r="N108" s="3483"/>
      <c r="O108" s="3483"/>
      <c r="P108" s="3483"/>
    </row>
    <row r="109" spans="1:16">
      <c r="A109" s="3481"/>
      <c r="B109" s="3483"/>
      <c r="C109" s="3483"/>
      <c r="D109" s="3483"/>
      <c r="E109" s="3483"/>
      <c r="F109" s="3483"/>
      <c r="G109" s="3483"/>
      <c r="H109" s="3483"/>
      <c r="I109" s="3483"/>
      <c r="J109" s="3483"/>
      <c r="K109" s="3483"/>
      <c r="L109" s="3483"/>
      <c r="M109" s="3483"/>
      <c r="N109" s="3483"/>
      <c r="O109" s="3483"/>
      <c r="P109" s="3483"/>
    </row>
    <row r="110" spans="1:16">
      <c r="A110" s="3481"/>
      <c r="B110" s="3483"/>
      <c r="C110" s="3483"/>
      <c r="D110" s="3483"/>
      <c r="E110" s="3483"/>
      <c r="F110" s="3483"/>
      <c r="G110" s="3483"/>
      <c r="H110" s="3483"/>
      <c r="I110" s="3483"/>
      <c r="J110" s="3483"/>
      <c r="K110" s="3483"/>
      <c r="L110" s="3483"/>
      <c r="M110" s="3483"/>
      <c r="N110" s="3483"/>
      <c r="O110" s="3483"/>
      <c r="P110" s="3483"/>
    </row>
    <row r="111" spans="1:16">
      <c r="A111" s="3481"/>
      <c r="B111" s="3483"/>
      <c r="C111" s="3483"/>
      <c r="D111" s="3483"/>
      <c r="E111" s="3483"/>
      <c r="F111" s="3483"/>
      <c r="G111" s="3483"/>
      <c r="H111" s="3483"/>
      <c r="I111" s="3483"/>
      <c r="J111" s="3483"/>
      <c r="K111" s="3483"/>
      <c r="L111" s="3483"/>
      <c r="M111" s="3483"/>
      <c r="N111" s="3483"/>
      <c r="O111" s="3483"/>
      <c r="P111" s="3483"/>
    </row>
    <row r="112" spans="1:16">
      <c r="A112" s="3481"/>
      <c r="B112" s="3483"/>
      <c r="C112" s="3483"/>
      <c r="D112" s="3483"/>
      <c r="E112" s="3483"/>
      <c r="F112" s="3483"/>
      <c r="G112" s="3483"/>
      <c r="H112" s="3483"/>
      <c r="I112" s="3483"/>
      <c r="J112" s="3483"/>
      <c r="K112" s="3483"/>
      <c r="L112" s="3483"/>
      <c r="M112" s="3483"/>
      <c r="N112" s="3483"/>
      <c r="O112" s="3483"/>
      <c r="P112" s="3483"/>
    </row>
    <row r="113" spans="1:16">
      <c r="A113" s="3481"/>
      <c r="B113" s="3483"/>
      <c r="C113" s="3483"/>
      <c r="D113" s="3483"/>
      <c r="E113" s="3483"/>
      <c r="F113" s="3483"/>
      <c r="G113" s="3483"/>
      <c r="H113" s="3483"/>
      <c r="I113" s="3483"/>
      <c r="J113" s="3483"/>
      <c r="K113" s="3483"/>
      <c r="L113" s="3483"/>
      <c r="M113" s="3483"/>
      <c r="N113" s="3483"/>
      <c r="O113" s="3483"/>
      <c r="P113" s="3483"/>
    </row>
    <row r="114" spans="1:16">
      <c r="A114" s="3481"/>
      <c r="B114" s="3483"/>
      <c r="C114" s="3483"/>
      <c r="D114" s="3483"/>
      <c r="E114" s="3483"/>
      <c r="F114" s="3483"/>
      <c r="G114" s="3483"/>
      <c r="H114" s="3483"/>
      <c r="I114" s="3483"/>
      <c r="J114" s="3483"/>
      <c r="K114" s="3483"/>
      <c r="L114" s="3483"/>
      <c r="M114" s="3483"/>
      <c r="N114" s="3483"/>
      <c r="O114" s="3483"/>
      <c r="P114" s="3483"/>
    </row>
    <row r="115" spans="1:16">
      <c r="A115" s="3481"/>
      <c r="B115" s="3483"/>
      <c r="C115" s="3483"/>
      <c r="D115" s="3483"/>
      <c r="E115" s="3483"/>
      <c r="F115" s="3483"/>
      <c r="G115" s="3483"/>
      <c r="H115" s="3483"/>
      <c r="I115" s="3483"/>
      <c r="J115" s="3483"/>
      <c r="K115" s="3483"/>
      <c r="L115" s="3483"/>
      <c r="M115" s="3483"/>
      <c r="N115" s="3483"/>
      <c r="O115" s="3483"/>
      <c r="P115" s="3483"/>
    </row>
    <row r="116" spans="1:16">
      <c r="A116" s="3481"/>
      <c r="B116" s="3483"/>
      <c r="C116" s="3483"/>
      <c r="D116" s="3483"/>
      <c r="E116" s="3483"/>
      <c r="F116" s="3483"/>
      <c r="G116" s="3483"/>
      <c r="H116" s="3483"/>
      <c r="I116" s="3483"/>
      <c r="J116" s="3483"/>
      <c r="K116" s="3483"/>
      <c r="L116" s="3483"/>
      <c r="M116" s="3483"/>
      <c r="N116" s="3483"/>
      <c r="O116" s="3483"/>
      <c r="P116" s="3483"/>
    </row>
    <row r="117" spans="1:16">
      <c r="A117" s="3481"/>
      <c r="B117" s="3483"/>
      <c r="C117" s="3483"/>
      <c r="D117" s="3483"/>
      <c r="E117" s="3483"/>
      <c r="F117" s="3483"/>
      <c r="G117" s="3483"/>
      <c r="H117" s="3483"/>
      <c r="I117" s="3483"/>
      <c r="J117" s="3483"/>
      <c r="K117" s="3483"/>
      <c r="L117" s="3483"/>
      <c r="M117" s="3483"/>
      <c r="N117" s="3483"/>
      <c r="O117" s="3483"/>
      <c r="P117" s="3483"/>
    </row>
    <row r="118" spans="1:16">
      <c r="A118" s="3481"/>
      <c r="B118" s="3483"/>
      <c r="C118" s="3483"/>
      <c r="D118" s="3483"/>
      <c r="E118" s="3483"/>
      <c r="F118" s="3483"/>
      <c r="G118" s="3483"/>
      <c r="H118" s="3483"/>
      <c r="I118" s="3483"/>
      <c r="J118" s="3483"/>
      <c r="K118" s="3483"/>
      <c r="L118" s="3483"/>
      <c r="M118" s="3483"/>
      <c r="N118" s="3483"/>
      <c r="O118" s="3483"/>
      <c r="P118" s="3483"/>
    </row>
    <row r="119" spans="1:16">
      <c r="A119" s="3481"/>
      <c r="B119" s="3483"/>
      <c r="C119" s="3483"/>
      <c r="D119" s="3483"/>
      <c r="E119" s="3483"/>
      <c r="F119" s="3483"/>
      <c r="G119" s="3483"/>
      <c r="H119" s="3483"/>
      <c r="I119" s="3483"/>
      <c r="J119" s="3483"/>
      <c r="K119" s="3483"/>
      <c r="L119" s="3483"/>
      <c r="M119" s="3483"/>
      <c r="N119" s="3483"/>
      <c r="O119" s="3483"/>
      <c r="P119" s="3483"/>
    </row>
    <row r="120" spans="1:16">
      <c r="A120" s="3481"/>
      <c r="B120" s="3483"/>
      <c r="C120" s="3483"/>
      <c r="D120" s="3483"/>
      <c r="E120" s="3483"/>
      <c r="F120" s="3483"/>
      <c r="G120" s="3483"/>
      <c r="H120" s="3483"/>
      <c r="I120" s="3483"/>
      <c r="J120" s="3483"/>
      <c r="K120" s="3483"/>
      <c r="L120" s="3483"/>
      <c r="M120" s="3483"/>
      <c r="N120" s="3483"/>
      <c r="O120" s="3483"/>
      <c r="P120" s="3483"/>
    </row>
    <row r="121" spans="1:16">
      <c r="A121" s="3481"/>
      <c r="B121" s="3483"/>
      <c r="C121" s="3483"/>
      <c r="D121" s="3483"/>
      <c r="E121" s="3483"/>
      <c r="F121" s="3483"/>
      <c r="G121" s="3483"/>
      <c r="H121" s="3483"/>
      <c r="I121" s="3483"/>
      <c r="J121" s="3483"/>
      <c r="K121" s="3483"/>
      <c r="L121" s="3483"/>
      <c r="M121" s="3483"/>
      <c r="N121" s="3483"/>
      <c r="O121" s="3483"/>
      <c r="P121" s="3483"/>
    </row>
    <row r="122" spans="1:16">
      <c r="A122" s="3481"/>
      <c r="B122" s="3483"/>
      <c r="C122" s="3483"/>
      <c r="D122" s="3483"/>
      <c r="E122" s="3483"/>
      <c r="F122" s="3483"/>
      <c r="G122" s="3483"/>
      <c r="H122" s="3483"/>
      <c r="I122" s="3483"/>
      <c r="J122" s="3483"/>
      <c r="K122" s="3483"/>
      <c r="L122" s="3483"/>
      <c r="M122" s="3483"/>
      <c r="N122" s="3483"/>
      <c r="O122" s="3483"/>
      <c r="P122" s="3483"/>
    </row>
    <row r="123" spans="1:16">
      <c r="A123" s="3481"/>
      <c r="B123" s="3483"/>
      <c r="C123" s="3483"/>
      <c r="D123" s="3483"/>
      <c r="E123" s="3483"/>
      <c r="F123" s="3483"/>
      <c r="G123" s="3483"/>
      <c r="H123" s="3483"/>
      <c r="I123" s="3483"/>
      <c r="J123" s="3483"/>
      <c r="K123" s="3483"/>
      <c r="L123" s="3483"/>
      <c r="M123" s="3483"/>
      <c r="N123" s="3483"/>
      <c r="O123" s="3483"/>
      <c r="P123" s="3483"/>
    </row>
    <row r="124" spans="1:16">
      <c r="A124" s="3481"/>
      <c r="B124" s="3483"/>
      <c r="C124" s="3483"/>
      <c r="D124" s="3483"/>
      <c r="E124" s="3483"/>
      <c r="F124" s="3483"/>
      <c r="G124" s="3483"/>
      <c r="H124" s="3483"/>
      <c r="I124" s="3483"/>
      <c r="J124" s="3483"/>
      <c r="K124" s="3483"/>
      <c r="L124" s="3483"/>
      <c r="M124" s="3483"/>
      <c r="N124" s="3483"/>
      <c r="O124" s="3483"/>
      <c r="P124" s="3483"/>
    </row>
    <row r="125" spans="1:16">
      <c r="A125" s="3481"/>
      <c r="B125" s="3483"/>
      <c r="C125" s="3483"/>
      <c r="D125" s="3483"/>
      <c r="E125" s="3483"/>
      <c r="F125" s="3483"/>
      <c r="G125" s="3483"/>
      <c r="H125" s="3483"/>
      <c r="I125" s="3483"/>
      <c r="J125" s="3483"/>
      <c r="K125" s="3483"/>
      <c r="L125" s="3483"/>
      <c r="M125" s="3483"/>
      <c r="N125" s="3483"/>
      <c r="O125" s="3483"/>
      <c r="P125" s="3483"/>
    </row>
    <row r="126" spans="1:16">
      <c r="A126" s="3481"/>
      <c r="B126" s="3483"/>
      <c r="C126" s="3483"/>
      <c r="D126" s="3483"/>
      <c r="E126" s="3483"/>
      <c r="F126" s="3483"/>
      <c r="G126" s="3483"/>
      <c r="H126" s="3483"/>
      <c r="I126" s="3483"/>
      <c r="J126" s="3483"/>
      <c r="K126" s="3483"/>
      <c r="L126" s="3483"/>
      <c r="M126" s="3483"/>
      <c r="N126" s="3483"/>
      <c r="O126" s="3483"/>
      <c r="P126" s="3483"/>
    </row>
    <row r="127" spans="1:16">
      <c r="A127" s="3481"/>
      <c r="B127" s="3483"/>
      <c r="C127" s="3483"/>
      <c r="D127" s="3483"/>
      <c r="E127" s="3483"/>
      <c r="F127" s="3483"/>
      <c r="G127" s="3483"/>
      <c r="H127" s="3483"/>
      <c r="I127" s="3483"/>
      <c r="J127" s="3483"/>
      <c r="K127" s="3483"/>
      <c r="L127" s="3483"/>
      <c r="M127" s="3483"/>
      <c r="N127" s="3483"/>
      <c r="O127" s="3483"/>
      <c r="P127" s="3483"/>
    </row>
    <row r="128" spans="1:16">
      <c r="A128" s="3481"/>
      <c r="B128" s="3483"/>
      <c r="C128" s="3483"/>
      <c r="D128" s="3483"/>
      <c r="E128" s="3483"/>
      <c r="F128" s="3483"/>
      <c r="G128" s="3483"/>
      <c r="H128" s="3483"/>
      <c r="I128" s="3483"/>
      <c r="J128" s="3483"/>
      <c r="K128" s="3483"/>
      <c r="L128" s="3483"/>
      <c r="M128" s="3483"/>
      <c r="N128" s="3483"/>
      <c r="O128" s="3483"/>
      <c r="P128" s="3483"/>
    </row>
    <row r="129" spans="1:16">
      <c r="A129" s="3481"/>
      <c r="B129" s="3483"/>
      <c r="C129" s="3483"/>
      <c r="D129" s="3483"/>
      <c r="E129" s="3483"/>
      <c r="F129" s="3483"/>
      <c r="G129" s="3483"/>
      <c r="H129" s="3483"/>
      <c r="I129" s="3483"/>
      <c r="J129" s="3483"/>
      <c r="K129" s="3483"/>
      <c r="L129" s="3483"/>
      <c r="M129" s="3483"/>
      <c r="N129" s="3483"/>
      <c r="O129" s="3483"/>
      <c r="P129" s="3483"/>
    </row>
    <row r="130" spans="1:16">
      <c r="A130" s="3481"/>
      <c r="B130" s="3483"/>
      <c r="C130" s="3483"/>
      <c r="D130" s="3483"/>
      <c r="E130" s="3483"/>
      <c r="F130" s="3483"/>
      <c r="G130" s="3483"/>
      <c r="H130" s="3483"/>
      <c r="I130" s="3483"/>
      <c r="J130" s="3483"/>
      <c r="K130" s="3483"/>
      <c r="L130" s="3483"/>
      <c r="M130" s="3483"/>
      <c r="N130" s="3483"/>
      <c r="O130" s="3483"/>
      <c r="P130" s="3483"/>
    </row>
    <row r="131" spans="1:16">
      <c r="A131" s="3481"/>
      <c r="B131" s="3483"/>
      <c r="C131" s="3483"/>
      <c r="D131" s="3483"/>
      <c r="E131" s="3483"/>
      <c r="F131" s="3483"/>
      <c r="G131" s="3483"/>
      <c r="H131" s="3483"/>
      <c r="I131" s="3483"/>
      <c r="J131" s="3483"/>
      <c r="K131" s="3483"/>
      <c r="L131" s="3483"/>
      <c r="M131" s="3483"/>
      <c r="N131" s="3483"/>
      <c r="O131" s="3483"/>
      <c r="P131" s="3483"/>
    </row>
    <row r="132" spans="1:16">
      <c r="A132" s="3481"/>
      <c r="B132" s="3483"/>
      <c r="C132" s="3483"/>
      <c r="D132" s="3483"/>
      <c r="E132" s="3483"/>
      <c r="F132" s="3483"/>
      <c r="G132" s="3483"/>
      <c r="H132" s="3483"/>
      <c r="I132" s="3483"/>
      <c r="J132" s="3483"/>
      <c r="K132" s="3483"/>
      <c r="L132" s="3483"/>
      <c r="M132" s="3483"/>
      <c r="N132" s="3483"/>
      <c r="O132" s="3483"/>
      <c r="P132" s="3483"/>
    </row>
    <row r="133" spans="1:16">
      <c r="A133" s="3481"/>
      <c r="B133" s="3483"/>
      <c r="C133" s="3483"/>
      <c r="D133" s="3483"/>
      <c r="E133" s="3483"/>
      <c r="F133" s="3483"/>
      <c r="G133" s="3483"/>
      <c r="H133" s="3483"/>
      <c r="I133" s="3483"/>
      <c r="J133" s="3483"/>
      <c r="K133" s="3483"/>
      <c r="L133" s="3483"/>
      <c r="M133" s="3483"/>
      <c r="N133" s="3483"/>
      <c r="O133" s="3483"/>
      <c r="P133" s="3483"/>
    </row>
    <row r="134" spans="1:16">
      <c r="A134" s="3481"/>
      <c r="B134" s="3483"/>
      <c r="C134" s="3483"/>
      <c r="D134" s="3483"/>
      <c r="E134" s="3483"/>
      <c r="F134" s="3483"/>
      <c r="G134" s="3483"/>
      <c r="H134" s="3483"/>
      <c r="I134" s="3483"/>
      <c r="J134" s="3483"/>
      <c r="K134" s="3483"/>
      <c r="L134" s="3483"/>
      <c r="M134" s="3483"/>
      <c r="N134" s="3483"/>
      <c r="O134" s="3483"/>
      <c r="P134" s="3483"/>
    </row>
    <row r="135" spans="1:16">
      <c r="A135" s="3481"/>
      <c r="B135" s="3483"/>
      <c r="C135" s="3483"/>
      <c r="D135" s="3483"/>
      <c r="E135" s="3483"/>
      <c r="F135" s="3483"/>
      <c r="G135" s="3483"/>
      <c r="H135" s="3483"/>
      <c r="I135" s="3483"/>
      <c r="J135" s="3483"/>
      <c r="K135" s="3483"/>
      <c r="L135" s="3483"/>
      <c r="M135" s="3483"/>
      <c r="N135" s="3483"/>
      <c r="O135" s="3483"/>
      <c r="P135" s="3483"/>
    </row>
    <row r="136" spans="1:16">
      <c r="A136" s="3481"/>
      <c r="B136" s="3483"/>
      <c r="C136" s="3483"/>
      <c r="D136" s="3483"/>
      <c r="E136" s="3483"/>
      <c r="F136" s="3483"/>
      <c r="G136" s="3483"/>
      <c r="H136" s="3483"/>
      <c r="I136" s="3483"/>
      <c r="J136" s="3483"/>
      <c r="K136" s="3483"/>
      <c r="L136" s="3483"/>
      <c r="M136" s="3483"/>
      <c r="N136" s="3483"/>
      <c r="O136" s="3483"/>
      <c r="P136" s="3483"/>
    </row>
    <row r="137" spans="1:16">
      <c r="A137" s="3481"/>
      <c r="B137" s="3483"/>
      <c r="C137" s="3483"/>
      <c r="D137" s="3483"/>
      <c r="E137" s="3483"/>
      <c r="F137" s="3483"/>
      <c r="G137" s="3483"/>
      <c r="H137" s="3483"/>
      <c r="I137" s="3483"/>
      <c r="J137" s="3483"/>
      <c r="K137" s="3483"/>
      <c r="L137" s="3483"/>
      <c r="M137" s="3483"/>
      <c r="N137" s="3483"/>
      <c r="O137" s="3483"/>
      <c r="P137" s="3483"/>
    </row>
    <row r="138" spans="1:16">
      <c r="A138" s="3481"/>
      <c r="B138" s="3483"/>
      <c r="C138" s="3483"/>
      <c r="D138" s="3483"/>
      <c r="E138" s="3483"/>
      <c r="F138" s="3483"/>
      <c r="G138" s="3483"/>
      <c r="H138" s="3483"/>
      <c r="I138" s="3483"/>
      <c r="J138" s="3483"/>
      <c r="K138" s="3483"/>
      <c r="L138" s="3483"/>
      <c r="M138" s="3483"/>
      <c r="N138" s="3483"/>
      <c r="O138" s="3483"/>
      <c r="P138" s="3483"/>
    </row>
    <row r="139" spans="1:16">
      <c r="A139" s="3481"/>
      <c r="B139" s="3483"/>
      <c r="C139" s="3483"/>
      <c r="D139" s="3483"/>
      <c r="E139" s="3483"/>
      <c r="F139" s="3483"/>
      <c r="G139" s="3483"/>
      <c r="H139" s="3483"/>
      <c r="I139" s="3483"/>
      <c r="J139" s="3483"/>
      <c r="K139" s="3483"/>
      <c r="L139" s="3483"/>
      <c r="M139" s="3483"/>
      <c r="N139" s="3483"/>
      <c r="O139" s="3483"/>
      <c r="P139" s="3483"/>
    </row>
    <row r="140" spans="1:16">
      <c r="A140" s="3481"/>
      <c r="B140" s="3483"/>
      <c r="C140" s="3483"/>
      <c r="D140" s="3483"/>
      <c r="E140" s="3483"/>
      <c r="F140" s="3483"/>
      <c r="G140" s="3483"/>
      <c r="H140" s="3483"/>
      <c r="I140" s="3483"/>
      <c r="J140" s="3483"/>
      <c r="K140" s="3483"/>
      <c r="L140" s="3483"/>
      <c r="M140" s="3483"/>
      <c r="N140" s="3483"/>
      <c r="O140" s="3483"/>
      <c r="P140" s="3483"/>
    </row>
    <row r="141" spans="1:16">
      <c r="A141" s="3481"/>
      <c r="B141" s="3483"/>
      <c r="C141" s="3483"/>
      <c r="D141" s="3483"/>
      <c r="E141" s="3483"/>
      <c r="F141" s="3483"/>
      <c r="G141" s="3483"/>
      <c r="H141" s="3483"/>
      <c r="I141" s="3483"/>
      <c r="J141" s="3483"/>
      <c r="K141" s="3483"/>
      <c r="L141" s="3483"/>
      <c r="M141" s="3483"/>
      <c r="N141" s="3483"/>
      <c r="O141" s="3483"/>
      <c r="P141" s="3483"/>
    </row>
    <row r="142" spans="1:16">
      <c r="A142" s="3481"/>
      <c r="B142" s="3483"/>
      <c r="C142" s="3483"/>
      <c r="D142" s="3483"/>
      <c r="E142" s="3483"/>
      <c r="F142" s="3483"/>
      <c r="G142" s="3483"/>
      <c r="H142" s="3483"/>
      <c r="I142" s="3483"/>
      <c r="J142" s="3483"/>
      <c r="K142" s="3483"/>
      <c r="L142" s="3483"/>
      <c r="M142" s="3483"/>
      <c r="N142" s="3483"/>
      <c r="O142" s="3483"/>
      <c r="P142" s="3483"/>
    </row>
    <row r="143" spans="1:16">
      <c r="A143" s="3481"/>
      <c r="B143" s="3483"/>
      <c r="C143" s="3483"/>
      <c r="D143" s="3483"/>
      <c r="E143" s="3483"/>
      <c r="F143" s="3483"/>
      <c r="G143" s="3483"/>
      <c r="H143" s="3483"/>
      <c r="I143" s="3483"/>
      <c r="J143" s="3483"/>
      <c r="K143" s="3483"/>
      <c r="L143" s="3483"/>
      <c r="M143" s="3483"/>
      <c r="N143" s="3483"/>
      <c r="O143" s="3483"/>
      <c r="P143" s="3483"/>
    </row>
    <row r="144" spans="1:16">
      <c r="A144" s="3481"/>
      <c r="B144" s="3483"/>
      <c r="C144" s="3483"/>
      <c r="D144" s="3483"/>
      <c r="E144" s="3483"/>
      <c r="F144" s="3483"/>
      <c r="G144" s="3483"/>
      <c r="H144" s="3483"/>
      <c r="I144" s="3483"/>
      <c r="J144" s="3483"/>
      <c r="K144" s="3483"/>
      <c r="L144" s="3483"/>
      <c r="M144" s="3483"/>
      <c r="N144" s="3483"/>
      <c r="O144" s="3483"/>
      <c r="P144" s="3483"/>
    </row>
    <row r="145" spans="1:16">
      <c r="A145" s="3481"/>
      <c r="B145" s="3483"/>
      <c r="C145" s="3483"/>
      <c r="D145" s="3483"/>
      <c r="E145" s="3483"/>
      <c r="F145" s="3483"/>
      <c r="G145" s="3483"/>
      <c r="H145" s="3483"/>
      <c r="I145" s="3483"/>
      <c r="J145" s="3483"/>
      <c r="K145" s="3483"/>
      <c r="L145" s="3483"/>
      <c r="M145" s="3483"/>
      <c r="N145" s="3483"/>
      <c r="O145" s="3483"/>
      <c r="P145" s="3483"/>
    </row>
    <row r="146" spans="1:16">
      <c r="A146" s="3481"/>
      <c r="B146" s="3483"/>
      <c r="C146" s="3483"/>
      <c r="D146" s="3483"/>
      <c r="E146" s="3483"/>
      <c r="F146" s="3483"/>
      <c r="G146" s="3483"/>
      <c r="H146" s="3483"/>
      <c r="I146" s="3483"/>
      <c r="J146" s="3483"/>
      <c r="K146" s="3483"/>
      <c r="L146" s="3483"/>
      <c r="M146" s="3483"/>
      <c r="N146" s="3483"/>
      <c r="O146" s="3483"/>
      <c r="P146" s="3483"/>
    </row>
    <row r="147" spans="1:16">
      <c r="A147" s="3481"/>
      <c r="B147" s="3483"/>
      <c r="C147" s="3483"/>
      <c r="D147" s="3483"/>
      <c r="E147" s="3483"/>
      <c r="F147" s="3483"/>
      <c r="G147" s="3483"/>
      <c r="H147" s="3483"/>
      <c r="I147" s="3483"/>
      <c r="J147" s="3483"/>
      <c r="K147" s="3483"/>
      <c r="L147" s="3483"/>
      <c r="M147" s="3483"/>
      <c r="N147" s="3483"/>
      <c r="O147" s="3483"/>
      <c r="P147" s="3483"/>
    </row>
    <row r="148" spans="1:16">
      <c r="A148" s="3481"/>
      <c r="B148" s="3483"/>
      <c r="C148" s="3483"/>
      <c r="D148" s="3483"/>
      <c r="E148" s="3483"/>
      <c r="F148" s="3483"/>
      <c r="G148" s="3483"/>
      <c r="H148" s="3483"/>
      <c r="I148" s="3483"/>
      <c r="J148" s="3483"/>
      <c r="K148" s="3483"/>
      <c r="L148" s="3483"/>
      <c r="M148" s="3483"/>
      <c r="N148" s="3483"/>
      <c r="O148" s="3483"/>
      <c r="P148" s="3483"/>
    </row>
    <row r="149" spans="1:16">
      <c r="A149" s="3481"/>
      <c r="B149" s="3483"/>
      <c r="C149" s="3483"/>
      <c r="D149" s="3483"/>
      <c r="E149" s="3483"/>
      <c r="F149" s="3483"/>
      <c r="G149" s="3483"/>
      <c r="H149" s="3483"/>
      <c r="I149" s="3483"/>
      <c r="J149" s="3483"/>
      <c r="K149" s="3483"/>
      <c r="L149" s="3483"/>
      <c r="M149" s="3483"/>
      <c r="N149" s="3483"/>
      <c r="O149" s="3483"/>
      <c r="P149" s="3483"/>
    </row>
    <row r="150" spans="1:16">
      <c r="A150" s="3481"/>
      <c r="B150" s="3483"/>
      <c r="C150" s="3483"/>
      <c r="D150" s="3483"/>
      <c r="E150" s="3483"/>
      <c r="F150" s="3483"/>
      <c r="G150" s="3483"/>
      <c r="H150" s="3483"/>
      <c r="I150" s="3483"/>
      <c r="J150" s="3483"/>
      <c r="K150" s="3483"/>
      <c r="L150" s="3483"/>
      <c r="M150" s="3483"/>
      <c r="N150" s="3483"/>
      <c r="O150" s="3483"/>
      <c r="P150" s="3483"/>
    </row>
    <row r="151" spans="1:16">
      <c r="A151" s="3481"/>
      <c r="B151" s="3483"/>
      <c r="C151" s="3483"/>
      <c r="D151" s="3483"/>
      <c r="E151" s="3483"/>
      <c r="F151" s="3483"/>
      <c r="G151" s="3483"/>
      <c r="H151" s="3483"/>
      <c r="I151" s="3483"/>
      <c r="J151" s="3483"/>
      <c r="K151" s="3483"/>
      <c r="L151" s="3483"/>
      <c r="M151" s="3483"/>
      <c r="N151" s="3483"/>
      <c r="O151" s="3483"/>
      <c r="P151" s="3483"/>
    </row>
    <row r="152" spans="1:16">
      <c r="A152" s="3481"/>
      <c r="B152" s="3483"/>
      <c r="C152" s="3483"/>
      <c r="D152" s="3483"/>
      <c r="E152" s="3483"/>
      <c r="F152" s="3483"/>
      <c r="G152" s="3483"/>
      <c r="H152" s="3483"/>
      <c r="I152" s="3483"/>
      <c r="J152" s="3483"/>
      <c r="K152" s="3483"/>
      <c r="L152" s="3483"/>
      <c r="M152" s="3483"/>
      <c r="N152" s="3483"/>
      <c r="O152" s="3483"/>
      <c r="P152" s="3483"/>
    </row>
    <row r="153" spans="1:16">
      <c r="A153" s="3481"/>
      <c r="B153" s="3483"/>
      <c r="C153" s="3483"/>
      <c r="D153" s="3483"/>
      <c r="E153" s="3483"/>
      <c r="F153" s="3483"/>
      <c r="G153" s="3483"/>
      <c r="H153" s="3483"/>
      <c r="I153" s="3483"/>
      <c r="J153" s="3483"/>
      <c r="K153" s="3483"/>
      <c r="L153" s="3483"/>
      <c r="M153" s="3483"/>
      <c r="N153" s="3483"/>
      <c r="O153" s="3483"/>
      <c r="P153" s="3483"/>
    </row>
    <row r="154" spans="1:16">
      <c r="A154" s="3481"/>
      <c r="B154" s="3483"/>
      <c r="C154" s="3483"/>
      <c r="D154" s="3483"/>
      <c r="E154" s="3483"/>
      <c r="F154" s="3483"/>
      <c r="G154" s="3483"/>
      <c r="H154" s="3483"/>
      <c r="I154" s="3483"/>
      <c r="J154" s="3483"/>
      <c r="K154" s="3483"/>
      <c r="L154" s="3483"/>
      <c r="M154" s="3483"/>
      <c r="N154" s="3483"/>
      <c r="O154" s="3483"/>
      <c r="P154" s="3483"/>
    </row>
    <row r="155" spans="1:16">
      <c r="A155" s="3481"/>
      <c r="B155" s="3483"/>
      <c r="C155" s="3483"/>
      <c r="D155" s="3483"/>
      <c r="E155" s="3483"/>
      <c r="F155" s="3483"/>
      <c r="G155" s="3483"/>
      <c r="H155" s="3483"/>
      <c r="I155" s="3483"/>
      <c r="J155" s="3483"/>
      <c r="K155" s="3483"/>
      <c r="L155" s="3483"/>
      <c r="M155" s="3483"/>
      <c r="N155" s="3483"/>
      <c r="O155" s="3483"/>
      <c r="P155" s="3483"/>
    </row>
    <row r="156" spans="1:16">
      <c r="A156" s="3481"/>
      <c r="B156" s="3483"/>
      <c r="C156" s="3483"/>
      <c r="D156" s="3483"/>
      <c r="E156" s="3483"/>
      <c r="F156" s="3483"/>
      <c r="G156" s="3483"/>
      <c r="H156" s="3483"/>
      <c r="I156" s="3483"/>
      <c r="J156" s="3483"/>
      <c r="K156" s="3483"/>
      <c r="L156" s="3483"/>
      <c r="M156" s="3483"/>
      <c r="N156" s="3483"/>
      <c r="O156" s="3483"/>
      <c r="P156" s="3483"/>
    </row>
    <row r="157" spans="1:16">
      <c r="A157" s="3481"/>
      <c r="B157" s="3483"/>
      <c r="C157" s="3483"/>
      <c r="D157" s="3483"/>
      <c r="E157" s="3483"/>
      <c r="F157" s="3483"/>
      <c r="G157" s="3483"/>
      <c r="H157" s="3483"/>
      <c r="I157" s="3483"/>
      <c r="J157" s="3483"/>
      <c r="K157" s="3483"/>
      <c r="L157" s="3483"/>
      <c r="M157" s="3483"/>
      <c r="N157" s="3483"/>
      <c r="O157" s="3483"/>
      <c r="P157" s="3483"/>
    </row>
    <row r="158" spans="1:16">
      <c r="A158" s="3481"/>
      <c r="B158" s="3483"/>
      <c r="C158" s="3483"/>
      <c r="D158" s="3483"/>
      <c r="E158" s="3483"/>
      <c r="F158" s="3483"/>
      <c r="G158" s="3483"/>
      <c r="H158" s="3483"/>
      <c r="I158" s="3483"/>
      <c r="J158" s="3483"/>
      <c r="K158" s="3483"/>
      <c r="L158" s="3483"/>
      <c r="M158" s="3483"/>
      <c r="N158" s="3483"/>
      <c r="O158" s="3483"/>
      <c r="P158" s="3483"/>
    </row>
    <row r="159" spans="1:16">
      <c r="A159" s="3481"/>
      <c r="B159" s="3483"/>
      <c r="C159" s="3483"/>
      <c r="D159" s="3483"/>
      <c r="E159" s="3483"/>
      <c r="F159" s="3483"/>
      <c r="G159" s="3483"/>
      <c r="H159" s="3483"/>
      <c r="I159" s="3483"/>
      <c r="J159" s="3483"/>
      <c r="K159" s="3483"/>
      <c r="L159" s="3483"/>
      <c r="M159" s="3483"/>
      <c r="N159" s="3483"/>
      <c r="O159" s="3483"/>
      <c r="P159" s="3483"/>
    </row>
    <row r="160" spans="1:16">
      <c r="A160" s="3481"/>
      <c r="B160" s="3483"/>
      <c r="C160" s="3483"/>
      <c r="D160" s="3483"/>
      <c r="E160" s="3483"/>
      <c r="F160" s="3483"/>
      <c r="G160" s="3483"/>
      <c r="H160" s="3483"/>
      <c r="I160" s="3483"/>
      <c r="J160" s="3483"/>
      <c r="K160" s="3483"/>
      <c r="L160" s="3483"/>
      <c r="M160" s="3483"/>
      <c r="N160" s="3483"/>
      <c r="O160" s="3483"/>
      <c r="P160" s="3483"/>
    </row>
    <row r="161" spans="1:16">
      <c r="A161" s="3481"/>
      <c r="B161" s="3483"/>
      <c r="C161" s="3483"/>
      <c r="D161" s="3483"/>
      <c r="E161" s="3483"/>
      <c r="F161" s="3483"/>
      <c r="G161" s="3483"/>
      <c r="H161" s="3483"/>
      <c r="I161" s="3483"/>
      <c r="J161" s="3483"/>
      <c r="K161" s="3483"/>
      <c r="L161" s="3483"/>
      <c r="M161" s="3483"/>
      <c r="N161" s="3483"/>
      <c r="O161" s="3483"/>
      <c r="P161" s="3483"/>
    </row>
    <row r="162" spans="1:16">
      <c r="A162" s="3481"/>
      <c r="B162" s="3483"/>
      <c r="C162" s="3483"/>
      <c r="D162" s="3483"/>
      <c r="E162" s="3483"/>
      <c r="F162" s="3483"/>
      <c r="G162" s="3483"/>
      <c r="H162" s="3483"/>
      <c r="I162" s="3483"/>
      <c r="J162" s="3483"/>
      <c r="K162" s="3483"/>
      <c r="L162" s="3483"/>
      <c r="M162" s="3483"/>
      <c r="N162" s="3483"/>
      <c r="O162" s="3483"/>
      <c r="P162" s="3483"/>
    </row>
    <row r="163" spans="1:16">
      <c r="A163" s="3481"/>
      <c r="B163" s="3483"/>
      <c r="C163" s="3483"/>
      <c r="D163" s="3483"/>
      <c r="E163" s="3483"/>
      <c r="F163" s="3483"/>
      <c r="G163" s="3483"/>
      <c r="H163" s="3483"/>
      <c r="I163" s="3483"/>
      <c r="J163" s="3483"/>
      <c r="K163" s="3483"/>
      <c r="L163" s="3483"/>
      <c r="M163" s="3483"/>
      <c r="N163" s="3483"/>
      <c r="O163" s="3483"/>
      <c r="P163" s="3483"/>
    </row>
    <row r="164" spans="1:16">
      <c r="A164" s="3481"/>
      <c r="B164" s="3483"/>
      <c r="C164" s="3483"/>
      <c r="D164" s="3483"/>
      <c r="E164" s="3483"/>
      <c r="F164" s="3483"/>
      <c r="G164" s="3483"/>
      <c r="H164" s="3483"/>
      <c r="I164" s="3483"/>
      <c r="J164" s="3483"/>
      <c r="K164" s="3483"/>
      <c r="L164" s="3483"/>
      <c r="M164" s="3483"/>
      <c r="N164" s="3483"/>
      <c r="O164" s="3483"/>
      <c r="P164" s="3483"/>
    </row>
    <row r="165" spans="1:16">
      <c r="A165" s="3481"/>
      <c r="B165" s="3483"/>
      <c r="C165" s="3483"/>
      <c r="D165" s="3483"/>
      <c r="E165" s="3483"/>
      <c r="F165" s="3483"/>
      <c r="G165" s="3483"/>
      <c r="H165" s="3483"/>
      <c r="I165" s="3483"/>
      <c r="J165" s="3483"/>
      <c r="K165" s="3483"/>
      <c r="L165" s="3483"/>
      <c r="M165" s="3483"/>
      <c r="N165" s="3483"/>
      <c r="O165" s="3483"/>
      <c r="P165" s="3483"/>
    </row>
    <row r="166" spans="1:16">
      <c r="A166" s="3481"/>
      <c r="B166" s="3483"/>
      <c r="C166" s="3483"/>
      <c r="D166" s="3483"/>
      <c r="E166" s="3483"/>
      <c r="F166" s="3483"/>
      <c r="G166" s="3483"/>
      <c r="H166" s="3483"/>
      <c r="I166" s="3483"/>
      <c r="J166" s="3483"/>
      <c r="K166" s="3483"/>
      <c r="L166" s="3483"/>
      <c r="M166" s="3483"/>
      <c r="N166" s="3483"/>
      <c r="O166" s="3483"/>
      <c r="P166" s="3483"/>
    </row>
    <row r="167" spans="1:16">
      <c r="A167" s="3481"/>
      <c r="B167" s="3483"/>
      <c r="C167" s="3483"/>
      <c r="D167" s="3483"/>
      <c r="E167" s="3483"/>
      <c r="F167" s="3483"/>
      <c r="G167" s="3483"/>
      <c r="H167" s="3483"/>
      <c r="I167" s="3483"/>
      <c r="J167" s="3483"/>
      <c r="K167" s="3483"/>
      <c r="L167" s="3483"/>
      <c r="M167" s="3483"/>
      <c r="N167" s="3483"/>
      <c r="O167" s="3483"/>
      <c r="P167" s="3483"/>
    </row>
    <row r="168" spans="1:16">
      <c r="A168" s="3481"/>
      <c r="B168" s="3483"/>
      <c r="C168" s="3483"/>
      <c r="D168" s="3483"/>
      <c r="E168" s="3483"/>
      <c r="F168" s="3483"/>
      <c r="G168" s="3483"/>
      <c r="H168" s="3483"/>
      <c r="I168" s="3483"/>
      <c r="J168" s="3483"/>
      <c r="K168" s="3483"/>
      <c r="L168" s="3483"/>
      <c r="M168" s="3483"/>
      <c r="N168" s="3483"/>
      <c r="O168" s="3483"/>
      <c r="P168" s="3483"/>
    </row>
    <row r="169" spans="1:16">
      <c r="A169" s="3481"/>
      <c r="B169" s="3483"/>
      <c r="C169" s="3483"/>
      <c r="D169" s="3483"/>
      <c r="E169" s="3483"/>
      <c r="F169" s="3483"/>
      <c r="G169" s="3483"/>
      <c r="H169" s="3483"/>
      <c r="I169" s="3483"/>
      <c r="J169" s="3483"/>
      <c r="K169" s="3483"/>
      <c r="L169" s="3483"/>
      <c r="M169" s="3483"/>
      <c r="N169" s="3483"/>
      <c r="O169" s="3483"/>
      <c r="P169" s="3483"/>
    </row>
    <row r="170" spans="1:16">
      <c r="A170" s="3481"/>
      <c r="B170" s="3483"/>
      <c r="C170" s="3483"/>
      <c r="D170" s="3483"/>
      <c r="E170" s="3483"/>
      <c r="F170" s="3483"/>
      <c r="G170" s="3483"/>
      <c r="H170" s="3483"/>
      <c r="I170" s="3483"/>
      <c r="J170" s="3483"/>
      <c r="K170" s="3483"/>
      <c r="L170" s="3483"/>
      <c r="M170" s="3483"/>
      <c r="N170" s="3483"/>
      <c r="O170" s="3483"/>
      <c r="P170" s="3483"/>
    </row>
    <row r="171" spans="1:16">
      <c r="A171" s="3481"/>
      <c r="B171" s="3483"/>
      <c r="C171" s="3483"/>
      <c r="D171" s="3483"/>
      <c r="E171" s="3483"/>
      <c r="F171" s="3483"/>
      <c r="G171" s="3483"/>
      <c r="H171" s="3483"/>
      <c r="I171" s="3483"/>
      <c r="J171" s="3483"/>
      <c r="K171" s="3483"/>
      <c r="L171" s="3483"/>
      <c r="M171" s="3483"/>
      <c r="N171" s="3483"/>
      <c r="O171" s="3483"/>
      <c r="P171" s="3483"/>
    </row>
    <row r="172" spans="1:16">
      <c r="A172" s="3481"/>
      <c r="B172" s="3483"/>
      <c r="C172" s="3483"/>
      <c r="D172" s="3483"/>
      <c r="E172" s="3483"/>
      <c r="F172" s="3483"/>
      <c r="G172" s="3483"/>
      <c r="H172" s="3483"/>
      <c r="I172" s="3483"/>
      <c r="J172" s="3483"/>
      <c r="K172" s="3483"/>
      <c r="L172" s="3483"/>
      <c r="M172" s="3483"/>
      <c r="N172" s="3483"/>
      <c r="O172" s="3483"/>
      <c r="P172" s="3483"/>
    </row>
    <row r="173" spans="1:16">
      <c r="A173" s="3481"/>
      <c r="B173" s="3483"/>
      <c r="C173" s="3483"/>
      <c r="D173" s="3483"/>
      <c r="E173" s="3483"/>
      <c r="F173" s="3483"/>
      <c r="G173" s="3483"/>
      <c r="H173" s="3483"/>
      <c r="I173" s="3483"/>
      <c r="J173" s="3483"/>
      <c r="K173" s="3483"/>
      <c r="L173" s="3483"/>
      <c r="M173" s="3483"/>
      <c r="N173" s="3483"/>
      <c r="O173" s="3483"/>
      <c r="P173" s="3483"/>
    </row>
    <row r="174" spans="1:16">
      <c r="A174" s="3481"/>
      <c r="B174" s="3483"/>
      <c r="C174" s="3483"/>
      <c r="D174" s="3483"/>
      <c r="E174" s="3483"/>
      <c r="F174" s="3483"/>
      <c r="G174" s="3483"/>
      <c r="H174" s="3483"/>
      <c r="I174" s="3483"/>
      <c r="J174" s="3483"/>
      <c r="K174" s="3483"/>
      <c r="L174" s="3483"/>
      <c r="M174" s="3483"/>
      <c r="N174" s="3483"/>
      <c r="O174" s="3483"/>
      <c r="P174" s="3483"/>
    </row>
    <row r="175" spans="1:16">
      <c r="A175" s="3481"/>
      <c r="B175" s="3483"/>
      <c r="C175" s="3483"/>
      <c r="D175" s="3483"/>
      <c r="E175" s="3483"/>
      <c r="F175" s="3483"/>
      <c r="G175" s="3483"/>
      <c r="H175" s="3483"/>
      <c r="I175" s="3483"/>
      <c r="J175" s="3483"/>
      <c r="K175" s="3483"/>
      <c r="L175" s="3483"/>
      <c r="M175" s="3483"/>
      <c r="N175" s="3483"/>
      <c r="O175" s="3483"/>
      <c r="P175" s="3483"/>
    </row>
    <row r="176" spans="1:16">
      <c r="A176" s="3481"/>
      <c r="B176" s="3483"/>
      <c r="C176" s="3483"/>
      <c r="D176" s="3483"/>
      <c r="E176" s="3483"/>
      <c r="F176" s="3483"/>
      <c r="G176" s="3483"/>
      <c r="H176" s="3483"/>
      <c r="I176" s="3483"/>
      <c r="J176" s="3483"/>
      <c r="K176" s="3483"/>
      <c r="L176" s="3483"/>
      <c r="M176" s="3483"/>
      <c r="N176" s="3483"/>
      <c r="O176" s="3483"/>
      <c r="P176" s="3483"/>
    </row>
    <row r="177" spans="1:16">
      <c r="A177" s="3481"/>
      <c r="B177" s="3483"/>
      <c r="C177" s="3483"/>
      <c r="D177" s="3483"/>
      <c r="E177" s="3483"/>
      <c r="F177" s="3483"/>
      <c r="G177" s="3483"/>
      <c r="H177" s="3483"/>
      <c r="I177" s="3483"/>
      <c r="J177" s="3483"/>
      <c r="K177" s="3483"/>
      <c r="L177" s="3483"/>
      <c r="M177" s="3483"/>
      <c r="N177" s="3483"/>
      <c r="O177" s="3483"/>
      <c r="P177" s="3483"/>
    </row>
    <row r="178" spans="1:16">
      <c r="A178" s="3481"/>
      <c r="B178" s="3483"/>
      <c r="C178" s="3483"/>
      <c r="D178" s="3483"/>
      <c r="E178" s="3483"/>
      <c r="F178" s="3483"/>
      <c r="G178" s="3483"/>
      <c r="H178" s="3483"/>
      <c r="I178" s="3483"/>
      <c r="J178" s="3483"/>
      <c r="K178" s="3483"/>
      <c r="L178" s="3483"/>
      <c r="M178" s="3483"/>
      <c r="N178" s="3483"/>
      <c r="O178" s="3483"/>
      <c r="P178" s="3483"/>
    </row>
    <row r="179" spans="1:16">
      <c r="A179" s="3481"/>
      <c r="B179" s="3483"/>
      <c r="C179" s="3483"/>
      <c r="D179" s="3483"/>
      <c r="E179" s="3483"/>
      <c r="F179" s="3483"/>
      <c r="G179" s="3483"/>
      <c r="H179" s="3483"/>
      <c r="I179" s="3483"/>
      <c r="J179" s="3483"/>
      <c r="K179" s="3483"/>
      <c r="L179" s="3483"/>
      <c r="M179" s="3483"/>
      <c r="N179" s="3483"/>
      <c r="O179" s="3483"/>
      <c r="P179" s="3483"/>
    </row>
    <row r="180" spans="1:16">
      <c r="A180" s="3481"/>
      <c r="B180" s="3483"/>
      <c r="C180" s="3483"/>
      <c r="D180" s="3483"/>
      <c r="E180" s="3483"/>
      <c r="F180" s="3483"/>
      <c r="G180" s="3483"/>
      <c r="H180" s="3483"/>
      <c r="I180" s="3483"/>
      <c r="J180" s="3483"/>
      <c r="K180" s="3483"/>
      <c r="L180" s="3483"/>
      <c r="M180" s="3483"/>
      <c r="N180" s="3483"/>
      <c r="O180" s="3483"/>
      <c r="P180" s="3483"/>
    </row>
    <row r="181" spans="1:16">
      <c r="A181" s="3481"/>
      <c r="B181" s="3483"/>
      <c r="C181" s="3483"/>
      <c r="D181" s="3483"/>
      <c r="E181" s="3483"/>
      <c r="F181" s="3483"/>
      <c r="G181" s="3483"/>
      <c r="H181" s="3483"/>
      <c r="I181" s="3483"/>
      <c r="J181" s="3483"/>
      <c r="K181" s="3483"/>
      <c r="L181" s="3483"/>
      <c r="M181" s="3483"/>
      <c r="N181" s="3483"/>
      <c r="O181" s="3483"/>
      <c r="P181" s="3483"/>
    </row>
    <row r="182" spans="1:16">
      <c r="A182" s="3481"/>
      <c r="B182" s="3483"/>
      <c r="C182" s="3483"/>
      <c r="D182" s="3483"/>
      <c r="E182" s="3483"/>
      <c r="F182" s="3483"/>
      <c r="G182" s="3483"/>
      <c r="H182" s="3483"/>
      <c r="I182" s="3483"/>
      <c r="J182" s="3483"/>
      <c r="K182" s="3483"/>
      <c r="L182" s="3483"/>
      <c r="M182" s="3483"/>
      <c r="N182" s="3483"/>
      <c r="O182" s="3483"/>
      <c r="P182" s="3483"/>
    </row>
    <row r="183" spans="1:16">
      <c r="A183" s="3481"/>
      <c r="B183" s="3483"/>
      <c r="C183" s="3483"/>
      <c r="D183" s="3483"/>
      <c r="E183" s="3483"/>
      <c r="F183" s="3483"/>
      <c r="G183" s="3483"/>
      <c r="H183" s="3483"/>
      <c r="I183" s="3483"/>
      <c r="J183" s="3483"/>
      <c r="K183" s="3483"/>
      <c r="L183" s="3483"/>
      <c r="M183" s="3483"/>
      <c r="N183" s="3483"/>
      <c r="O183" s="3483"/>
      <c r="P183" s="3483"/>
    </row>
    <row r="184" spans="1:16">
      <c r="A184" s="3481"/>
      <c r="B184" s="3483"/>
      <c r="C184" s="3483"/>
      <c r="D184" s="3483"/>
      <c r="E184" s="3483"/>
      <c r="F184" s="3483"/>
      <c r="G184" s="3483"/>
      <c r="H184" s="3483"/>
      <c r="I184" s="3483"/>
      <c r="J184" s="3483"/>
      <c r="K184" s="3483"/>
      <c r="L184" s="3483"/>
      <c r="M184" s="3483"/>
      <c r="N184" s="3483"/>
      <c r="O184" s="3483"/>
      <c r="P184" s="3483"/>
    </row>
    <row r="185" spans="1:16">
      <c r="A185" s="3481"/>
      <c r="B185" s="3483"/>
      <c r="C185" s="3483"/>
      <c r="D185" s="3483"/>
      <c r="E185" s="3483"/>
      <c r="F185" s="3483"/>
      <c r="G185" s="3483"/>
      <c r="H185" s="3483"/>
      <c r="I185" s="3483"/>
      <c r="J185" s="3483"/>
      <c r="K185" s="3483"/>
      <c r="L185" s="3483"/>
      <c r="M185" s="3483"/>
      <c r="N185" s="3483"/>
      <c r="O185" s="3483"/>
      <c r="P185" s="3483"/>
    </row>
    <row r="186" spans="1:16">
      <c r="A186" s="3481"/>
      <c r="B186" s="3483"/>
      <c r="C186" s="3483"/>
      <c r="D186" s="3483"/>
      <c r="E186" s="3483"/>
      <c r="F186" s="3483"/>
      <c r="G186" s="3483"/>
      <c r="H186" s="3483"/>
      <c r="I186" s="3483"/>
      <c r="J186" s="3483"/>
      <c r="K186" s="3483"/>
      <c r="L186" s="3483"/>
      <c r="M186" s="3483"/>
      <c r="N186" s="3483"/>
      <c r="O186" s="3483"/>
      <c r="P186" s="3483"/>
    </row>
    <row r="187" spans="1:16">
      <c r="A187" s="3481"/>
      <c r="B187" s="3483"/>
      <c r="C187" s="3483"/>
      <c r="D187" s="3483"/>
      <c r="E187" s="3483"/>
      <c r="F187" s="3483"/>
      <c r="G187" s="3483"/>
      <c r="H187" s="3483"/>
      <c r="I187" s="3483"/>
      <c r="J187" s="3483"/>
      <c r="K187" s="3483"/>
      <c r="L187" s="3483"/>
      <c r="M187" s="3483"/>
      <c r="N187" s="3483"/>
      <c r="O187" s="3483"/>
      <c r="P187" s="3483"/>
    </row>
    <row r="188" spans="1:16">
      <c r="A188" s="3481"/>
      <c r="B188" s="3483"/>
      <c r="C188" s="3483"/>
      <c r="D188" s="3483"/>
      <c r="E188" s="3483"/>
      <c r="F188" s="3483"/>
      <c r="G188" s="3483"/>
      <c r="H188" s="3483"/>
      <c r="I188" s="3483"/>
      <c r="J188" s="3483"/>
      <c r="K188" s="3483"/>
      <c r="L188" s="3483"/>
      <c r="M188" s="3483"/>
      <c r="N188" s="3483"/>
      <c r="O188" s="3483"/>
      <c r="P188" s="3483"/>
    </row>
    <row r="189" spans="1:16">
      <c r="A189" s="3481"/>
      <c r="B189" s="3483"/>
      <c r="C189" s="3483"/>
      <c r="D189" s="3483"/>
      <c r="E189" s="3483"/>
      <c r="F189" s="3483"/>
      <c r="G189" s="3483"/>
      <c r="H189" s="3483"/>
      <c r="I189" s="3483"/>
      <c r="J189" s="3483"/>
      <c r="K189" s="3483"/>
      <c r="L189" s="3483"/>
      <c r="M189" s="3483"/>
      <c r="N189" s="3483"/>
      <c r="O189" s="3483"/>
      <c r="P189" s="3483"/>
    </row>
    <row r="190" spans="1:16">
      <c r="A190" s="3481"/>
      <c r="B190" s="3483"/>
      <c r="C190" s="3483"/>
      <c r="D190" s="3483"/>
      <c r="E190" s="3483"/>
      <c r="F190" s="3483"/>
      <c r="G190" s="3483"/>
      <c r="H190" s="3483"/>
      <c r="I190" s="3483"/>
      <c r="J190" s="3483"/>
      <c r="K190" s="3483"/>
      <c r="L190" s="3483"/>
      <c r="M190" s="3483"/>
      <c r="N190" s="3483"/>
      <c r="O190" s="3483"/>
      <c r="P190" s="3483"/>
    </row>
    <row r="191" spans="1:16">
      <c r="A191" s="3481"/>
      <c r="B191" s="3483"/>
      <c r="C191" s="3483"/>
      <c r="D191" s="3483"/>
      <c r="E191" s="3483"/>
      <c r="F191" s="3483"/>
      <c r="G191" s="3483"/>
      <c r="H191" s="3483"/>
      <c r="I191" s="3483"/>
      <c r="J191" s="3483"/>
      <c r="K191" s="3483"/>
      <c r="L191" s="3483"/>
      <c r="M191" s="3483"/>
      <c r="N191" s="3483"/>
      <c r="O191" s="3483"/>
      <c r="P191" s="3483"/>
    </row>
    <row r="192" spans="1:16">
      <c r="A192" s="3481"/>
      <c r="B192" s="3483"/>
      <c r="C192" s="3483"/>
      <c r="D192" s="3483"/>
      <c r="E192" s="3483"/>
      <c r="F192" s="3483"/>
      <c r="G192" s="3483"/>
      <c r="H192" s="3483"/>
      <c r="I192" s="3483"/>
      <c r="J192" s="3483"/>
      <c r="K192" s="3483"/>
      <c r="L192" s="3483"/>
      <c r="M192" s="3483"/>
      <c r="N192" s="3483"/>
      <c r="O192" s="3483"/>
      <c r="P192" s="3483"/>
    </row>
    <row r="193" spans="1:16">
      <c r="A193" s="3481"/>
      <c r="B193" s="3483"/>
      <c r="C193" s="3483"/>
      <c r="D193" s="3483"/>
      <c r="E193" s="3483"/>
      <c r="F193" s="3483"/>
      <c r="G193" s="3483"/>
      <c r="H193" s="3483"/>
      <c r="I193" s="3483"/>
      <c r="J193" s="3483"/>
      <c r="K193" s="3483"/>
      <c r="L193" s="3483"/>
      <c r="M193" s="3483"/>
      <c r="N193" s="3483"/>
      <c r="O193" s="3483"/>
      <c r="P193" s="3483"/>
    </row>
    <row r="194" spans="1:16">
      <c r="A194" s="3481"/>
      <c r="B194" s="3483"/>
      <c r="C194" s="3483"/>
      <c r="D194" s="3483"/>
      <c r="E194" s="3483"/>
      <c r="F194" s="3483"/>
      <c r="G194" s="3483"/>
      <c r="H194" s="3483"/>
      <c r="I194" s="3483"/>
      <c r="J194" s="3483"/>
      <c r="K194" s="3483"/>
      <c r="L194" s="3483"/>
      <c r="M194" s="3483"/>
      <c r="N194" s="3483"/>
      <c r="O194" s="3483"/>
      <c r="P194" s="3483"/>
    </row>
    <row r="195" spans="1:16">
      <c r="A195" s="3481"/>
      <c r="B195" s="3483"/>
      <c r="C195" s="3483"/>
      <c r="D195" s="3483"/>
      <c r="E195" s="3483"/>
      <c r="F195" s="3483"/>
      <c r="G195" s="3483"/>
      <c r="H195" s="3483"/>
      <c r="I195" s="3483"/>
      <c r="J195" s="3483"/>
      <c r="K195" s="3483"/>
      <c r="L195" s="3483"/>
      <c r="M195" s="3483"/>
      <c r="N195" s="3483"/>
      <c r="O195" s="3483"/>
      <c r="P195" s="3483"/>
    </row>
    <row r="196" spans="1:16">
      <c r="A196" s="3481"/>
      <c r="B196" s="3483"/>
      <c r="C196" s="3483"/>
      <c r="D196" s="3483"/>
      <c r="E196" s="3483"/>
      <c r="F196" s="3483"/>
      <c r="G196" s="3483"/>
      <c r="H196" s="3483"/>
      <c r="I196" s="3483"/>
      <c r="J196" s="3483"/>
      <c r="K196" s="3483"/>
      <c r="L196" s="3483"/>
      <c r="M196" s="3483"/>
      <c r="N196" s="3483"/>
      <c r="O196" s="3483"/>
      <c r="P196" s="3483"/>
    </row>
    <row r="197" spans="1:16">
      <c r="A197" s="3481"/>
      <c r="B197" s="3483"/>
      <c r="C197" s="3483"/>
      <c r="D197" s="3483"/>
      <c r="E197" s="3483"/>
      <c r="F197" s="3483"/>
      <c r="G197" s="3483"/>
      <c r="H197" s="3483"/>
      <c r="I197" s="3483"/>
      <c r="J197" s="3483"/>
      <c r="K197" s="3483"/>
      <c r="L197" s="3483"/>
      <c r="M197" s="3483"/>
      <c r="N197" s="3483"/>
      <c r="O197" s="3483"/>
      <c r="P197" s="3483"/>
    </row>
    <row r="198" spans="1:16">
      <c r="A198" s="3481"/>
      <c r="B198" s="3483"/>
      <c r="C198" s="3483"/>
      <c r="D198" s="3483"/>
      <c r="E198" s="3483"/>
      <c r="F198" s="3483"/>
      <c r="G198" s="3483"/>
      <c r="H198" s="3483"/>
      <c r="I198" s="3483"/>
      <c r="J198" s="3483"/>
      <c r="K198" s="3483"/>
      <c r="L198" s="3483"/>
      <c r="M198" s="3483"/>
      <c r="N198" s="3483"/>
      <c r="O198" s="3483"/>
      <c r="P198" s="3483"/>
    </row>
    <row r="199" spans="1:16">
      <c r="A199" s="3481"/>
      <c r="B199" s="3483"/>
      <c r="C199" s="3483"/>
      <c r="D199" s="3483"/>
      <c r="E199" s="3483"/>
      <c r="F199" s="3483"/>
      <c r="G199" s="3483"/>
      <c r="H199" s="3483"/>
      <c r="I199" s="3483"/>
      <c r="J199" s="3483"/>
      <c r="K199" s="3483"/>
      <c r="L199" s="3483"/>
      <c r="M199" s="3483"/>
      <c r="N199" s="3483"/>
      <c r="O199" s="3483"/>
      <c r="P199" s="3483"/>
    </row>
    <row r="200" spans="1:16">
      <c r="A200" s="3481"/>
      <c r="B200" s="3483"/>
      <c r="C200" s="3483"/>
      <c r="D200" s="3483"/>
      <c r="E200" s="3483"/>
      <c r="F200" s="3483"/>
      <c r="G200" s="3483"/>
      <c r="H200" s="3483"/>
      <c r="I200" s="3483"/>
      <c r="J200" s="3483"/>
      <c r="K200" s="3483"/>
      <c r="L200" s="3483"/>
      <c r="M200" s="3483"/>
      <c r="N200" s="3483"/>
      <c r="O200" s="3483"/>
      <c r="P200" s="3483"/>
    </row>
    <row r="201" spans="1:16">
      <c r="A201" s="3481"/>
      <c r="B201" s="3483"/>
      <c r="C201" s="3483"/>
      <c r="D201" s="3483"/>
      <c r="E201" s="3483"/>
      <c r="F201" s="3483"/>
      <c r="G201" s="3483"/>
      <c r="H201" s="3483"/>
      <c r="I201" s="3483"/>
      <c r="J201" s="3483"/>
      <c r="K201" s="3483"/>
      <c r="L201" s="3483"/>
      <c r="M201" s="3483"/>
      <c r="N201" s="3483"/>
      <c r="O201" s="3483"/>
      <c r="P201" s="3483"/>
    </row>
    <row r="202" spans="1:16">
      <c r="A202" s="3481"/>
      <c r="B202" s="3483"/>
      <c r="C202" s="3483"/>
      <c r="D202" s="3483"/>
      <c r="E202" s="3483"/>
      <c r="F202" s="3483"/>
      <c r="G202" s="3483"/>
      <c r="H202" s="3483"/>
      <c r="I202" s="3483"/>
      <c r="J202" s="3483"/>
      <c r="K202" s="3483"/>
      <c r="L202" s="3483"/>
      <c r="M202" s="3483"/>
      <c r="N202" s="3483"/>
      <c r="O202" s="3483"/>
      <c r="P202" s="3483"/>
    </row>
    <row r="203" spans="1:16">
      <c r="A203" s="3481"/>
      <c r="B203" s="3483"/>
      <c r="C203" s="3483"/>
      <c r="D203" s="3483"/>
      <c r="E203" s="3483"/>
      <c r="F203" s="3483"/>
      <c r="G203" s="3483"/>
      <c r="H203" s="3483"/>
      <c r="I203" s="3483"/>
      <c r="J203" s="3483"/>
      <c r="K203" s="3483"/>
      <c r="L203" s="3483"/>
      <c r="M203" s="3483"/>
      <c r="N203" s="3483"/>
      <c r="O203" s="3483"/>
      <c r="P203" s="3483"/>
    </row>
    <row r="204" spans="1:16">
      <c r="A204" s="3481"/>
      <c r="B204" s="3483"/>
      <c r="C204" s="3483"/>
      <c r="D204" s="3483"/>
      <c r="E204" s="3483"/>
      <c r="F204" s="3483"/>
      <c r="G204" s="3483"/>
      <c r="H204" s="3483"/>
      <c r="I204" s="3483"/>
      <c r="J204" s="3483"/>
      <c r="K204" s="3483"/>
      <c r="L204" s="3483"/>
      <c r="M204" s="3483"/>
      <c r="N204" s="3483"/>
      <c r="O204" s="3483"/>
      <c r="P204" s="3483"/>
    </row>
    <row r="205" spans="1:16">
      <c r="A205" s="3481"/>
      <c r="B205" s="3483"/>
      <c r="C205" s="3483"/>
      <c r="D205" s="3483"/>
      <c r="E205" s="3483"/>
      <c r="F205" s="3483"/>
      <c r="G205" s="3483"/>
      <c r="H205" s="3483"/>
      <c r="I205" s="3483"/>
      <c r="J205" s="3483"/>
      <c r="K205" s="3483"/>
      <c r="L205" s="3483"/>
      <c r="M205" s="3483"/>
      <c r="N205" s="3483"/>
      <c r="O205" s="3483"/>
      <c r="P205" s="3483"/>
    </row>
    <row r="206" spans="1:16">
      <c r="A206" s="3481"/>
      <c r="B206" s="3483"/>
      <c r="C206" s="3483"/>
      <c r="D206" s="3483"/>
      <c r="E206" s="3483"/>
      <c r="F206" s="3483"/>
      <c r="G206" s="3483"/>
      <c r="H206" s="3483"/>
      <c r="I206" s="3483"/>
      <c r="J206" s="3483"/>
      <c r="K206" s="3483"/>
      <c r="L206" s="3483"/>
      <c r="M206" s="3483"/>
      <c r="N206" s="3483"/>
      <c r="O206" s="3483"/>
      <c r="P206" s="3483"/>
    </row>
    <row r="207" spans="1:16">
      <c r="A207" s="3481"/>
      <c r="B207" s="3483"/>
      <c r="C207" s="3483"/>
      <c r="D207" s="3483"/>
      <c r="E207" s="3483"/>
      <c r="F207" s="3483"/>
      <c r="G207" s="3483"/>
      <c r="H207" s="3483"/>
      <c r="I207" s="3483"/>
      <c r="J207" s="3483"/>
      <c r="K207" s="3483"/>
      <c r="L207" s="3483"/>
      <c r="M207" s="3483"/>
      <c r="N207" s="3483"/>
      <c r="O207" s="3483"/>
      <c r="P207" s="3483"/>
    </row>
    <row r="208" spans="1:16">
      <c r="A208" s="3481"/>
      <c r="B208" s="3483"/>
      <c r="C208" s="3483"/>
      <c r="D208" s="3483"/>
      <c r="E208" s="3483"/>
      <c r="F208" s="3483"/>
      <c r="G208" s="3483"/>
      <c r="H208" s="3483"/>
      <c r="I208" s="3483"/>
      <c r="J208" s="3483"/>
      <c r="K208" s="3483"/>
      <c r="L208" s="3483"/>
      <c r="M208" s="3483"/>
      <c r="N208" s="3483"/>
      <c r="O208" s="3483"/>
      <c r="P208" s="3483"/>
    </row>
    <row r="209" spans="1:16">
      <c r="A209" s="3481"/>
      <c r="B209" s="3483"/>
      <c r="C209" s="3483"/>
      <c r="D209" s="3483"/>
      <c r="E209" s="3483"/>
      <c r="F209" s="3483"/>
      <c r="G209" s="3483"/>
      <c r="H209" s="3483"/>
      <c r="I209" s="3483"/>
      <c r="J209" s="3483"/>
      <c r="K209" s="3483"/>
      <c r="L209" s="3483"/>
      <c r="M209" s="3483"/>
      <c r="N209" s="3483"/>
      <c r="O209" s="3483"/>
      <c r="P209" s="3483"/>
    </row>
    <row r="210" spans="1:16">
      <c r="A210" s="3481"/>
      <c r="B210" s="3483"/>
      <c r="C210" s="3483"/>
      <c r="D210" s="3483"/>
      <c r="E210" s="3483"/>
      <c r="F210" s="3483"/>
      <c r="G210" s="3483"/>
      <c r="H210" s="3483"/>
      <c r="I210" s="3483"/>
      <c r="J210" s="3483"/>
      <c r="K210" s="3483"/>
      <c r="L210" s="3483"/>
      <c r="M210" s="3483"/>
      <c r="N210" s="3483"/>
      <c r="O210" s="3483"/>
      <c r="P210" s="3483"/>
    </row>
    <row r="211" spans="1:16">
      <c r="A211" s="3481"/>
      <c r="B211" s="3483"/>
      <c r="C211" s="3483"/>
      <c r="D211" s="3483"/>
      <c r="E211" s="3483"/>
      <c r="F211" s="3483"/>
      <c r="G211" s="3483"/>
      <c r="H211" s="3483"/>
      <c r="I211" s="3483"/>
      <c r="J211" s="3483"/>
      <c r="K211" s="3483"/>
      <c r="L211" s="3483"/>
      <c r="M211" s="3483"/>
      <c r="N211" s="3483"/>
      <c r="O211" s="3483"/>
      <c r="P211" s="3483"/>
    </row>
    <row r="212" spans="1:16">
      <c r="A212" s="3481"/>
      <c r="B212" s="3483"/>
      <c r="C212" s="3483"/>
      <c r="D212" s="3483"/>
      <c r="E212" s="3483"/>
      <c r="F212" s="3483"/>
      <c r="G212" s="3483"/>
      <c r="H212" s="3483"/>
      <c r="I212" s="3483"/>
      <c r="J212" s="3483"/>
      <c r="K212" s="3483"/>
      <c r="L212" s="3483"/>
      <c r="M212" s="3483"/>
      <c r="N212" s="3483"/>
      <c r="O212" s="3483"/>
      <c r="P212" s="3483"/>
    </row>
    <row r="213" spans="1:16">
      <c r="A213" s="3481"/>
      <c r="B213" s="3483"/>
      <c r="C213" s="3483"/>
      <c r="D213" s="3483"/>
      <c r="E213" s="3483"/>
      <c r="F213" s="3483"/>
      <c r="G213" s="3483"/>
      <c r="H213" s="3483"/>
      <c r="I213" s="3483"/>
      <c r="J213" s="3483"/>
      <c r="K213" s="3483"/>
      <c r="L213" s="3483"/>
      <c r="M213" s="3483"/>
      <c r="N213" s="3483"/>
      <c r="O213" s="3483"/>
      <c r="P213" s="3483"/>
    </row>
    <row r="214" spans="1:16">
      <c r="A214" s="3481"/>
      <c r="B214" s="3483"/>
      <c r="C214" s="3483"/>
      <c r="D214" s="3483"/>
      <c r="E214" s="3483"/>
      <c r="F214" s="3483"/>
      <c r="G214" s="3483"/>
      <c r="H214" s="3483"/>
      <c r="I214" s="3483"/>
      <c r="J214" s="3483"/>
      <c r="K214" s="3483"/>
      <c r="L214" s="3483"/>
      <c r="M214" s="3483"/>
      <c r="N214" s="3483"/>
      <c r="O214" s="3483"/>
      <c r="P214" s="3483"/>
    </row>
    <row r="215" spans="1:16">
      <c r="A215" s="3481"/>
      <c r="B215" s="3483"/>
      <c r="C215" s="3483"/>
      <c r="D215" s="3483"/>
      <c r="E215" s="3483"/>
      <c r="F215" s="3483"/>
      <c r="G215" s="3483"/>
      <c r="H215" s="3483"/>
      <c r="I215" s="3483"/>
      <c r="J215" s="3483"/>
      <c r="K215" s="3483"/>
      <c r="L215" s="3483"/>
      <c r="M215" s="3483"/>
      <c r="N215" s="3483"/>
      <c r="O215" s="3483"/>
      <c r="P215" s="3483"/>
    </row>
    <row r="216" spans="1:16">
      <c r="A216" s="3481"/>
      <c r="B216" s="3483"/>
      <c r="C216" s="3483"/>
      <c r="D216" s="3483"/>
      <c r="E216" s="3483"/>
      <c r="F216" s="3483"/>
      <c r="G216" s="3483"/>
      <c r="H216" s="3483"/>
      <c r="I216" s="3483"/>
      <c r="J216" s="3483"/>
      <c r="K216" s="3483"/>
      <c r="L216" s="3483"/>
      <c r="M216" s="3483"/>
      <c r="N216" s="3483"/>
      <c r="O216" s="3483"/>
      <c r="P216" s="3483"/>
    </row>
    <row r="217" spans="1:16">
      <c r="A217" s="3481"/>
      <c r="B217" s="3483"/>
      <c r="C217" s="3483"/>
      <c r="D217" s="3483"/>
      <c r="E217" s="3483"/>
      <c r="F217" s="3483"/>
      <c r="G217" s="3483"/>
      <c r="H217" s="3483"/>
      <c r="I217" s="3483"/>
      <c r="J217" s="3483"/>
      <c r="K217" s="3483"/>
      <c r="L217" s="3483"/>
      <c r="M217" s="3483"/>
      <c r="N217" s="3483"/>
      <c r="O217" s="3483"/>
      <c r="P217" s="3483"/>
    </row>
    <row r="218" spans="1:16">
      <c r="A218" s="3481"/>
      <c r="B218" s="3483"/>
      <c r="C218" s="3483"/>
      <c r="D218" s="3483"/>
      <c r="E218" s="3483"/>
      <c r="F218" s="3483"/>
      <c r="G218" s="3483"/>
      <c r="H218" s="3483"/>
      <c r="I218" s="3483"/>
      <c r="J218" s="3483"/>
      <c r="K218" s="3483"/>
      <c r="L218" s="3483"/>
      <c r="M218" s="3483"/>
      <c r="N218" s="3483"/>
      <c r="O218" s="3483"/>
      <c r="P218" s="3483"/>
    </row>
    <row r="219" spans="1:16">
      <c r="A219" s="3481"/>
      <c r="B219" s="3483"/>
      <c r="C219" s="3483"/>
      <c r="D219" s="3483"/>
      <c r="E219" s="3483"/>
      <c r="F219" s="3483"/>
      <c r="G219" s="3483"/>
      <c r="H219" s="3483"/>
      <c r="I219" s="3483"/>
      <c r="J219" s="3483"/>
      <c r="K219" s="3483"/>
      <c r="L219" s="3483"/>
      <c r="M219" s="3483"/>
      <c r="N219" s="3483"/>
      <c r="O219" s="3483"/>
      <c r="P219" s="3483"/>
    </row>
    <row r="220" spans="1:16">
      <c r="A220" s="3481"/>
      <c r="B220" s="3483"/>
      <c r="C220" s="3483"/>
      <c r="D220" s="3483"/>
      <c r="E220" s="3483"/>
      <c r="F220" s="3483"/>
      <c r="G220" s="3483"/>
      <c r="H220" s="3483"/>
      <c r="I220" s="3483"/>
      <c r="J220" s="3483"/>
      <c r="K220" s="3483"/>
      <c r="L220" s="3483"/>
      <c r="M220" s="3483"/>
      <c r="N220" s="3483"/>
      <c r="O220" s="3483"/>
      <c r="P220" s="3483"/>
    </row>
    <row r="221" spans="1:16">
      <c r="A221" s="3481"/>
      <c r="B221" s="3483"/>
      <c r="C221" s="3483"/>
      <c r="D221" s="3483"/>
      <c r="E221" s="3483"/>
      <c r="F221" s="3483"/>
      <c r="G221" s="3483"/>
      <c r="H221" s="3483"/>
      <c r="I221" s="3483"/>
      <c r="J221" s="3483"/>
      <c r="K221" s="3483"/>
      <c r="L221" s="3483"/>
      <c r="M221" s="3483"/>
      <c r="N221" s="3483"/>
      <c r="O221" s="3483"/>
      <c r="P221" s="3483"/>
    </row>
    <row r="222" spans="1:16">
      <c r="A222" s="3481"/>
      <c r="B222" s="3483"/>
      <c r="C222" s="3483"/>
      <c r="D222" s="3483"/>
      <c r="E222" s="3483"/>
      <c r="F222" s="3483"/>
      <c r="G222" s="3483"/>
      <c r="H222" s="3483"/>
      <c r="I222" s="3483"/>
      <c r="J222" s="3483"/>
      <c r="K222" s="3483"/>
      <c r="L222" s="3483"/>
      <c r="M222" s="3483"/>
      <c r="N222" s="3483"/>
      <c r="O222" s="3483"/>
      <c r="P222" s="3483"/>
    </row>
    <row r="223" spans="1:16">
      <c r="A223" s="3481"/>
      <c r="B223" s="3483"/>
      <c r="C223" s="3483"/>
      <c r="D223" s="3483"/>
      <c r="E223" s="3483"/>
      <c r="F223" s="3483"/>
      <c r="G223" s="3483"/>
      <c r="H223" s="3483"/>
      <c r="I223" s="3483"/>
      <c r="J223" s="3483"/>
      <c r="K223" s="3483"/>
      <c r="L223" s="3483"/>
      <c r="M223" s="3483"/>
      <c r="N223" s="3483"/>
      <c r="O223" s="3483"/>
      <c r="P223" s="3483"/>
    </row>
    <row r="224" spans="1:16">
      <c r="A224" s="3481"/>
      <c r="B224" s="3483"/>
      <c r="C224" s="3483"/>
      <c r="D224" s="3483"/>
      <c r="E224" s="3483"/>
      <c r="F224" s="3483"/>
      <c r="G224" s="3483"/>
      <c r="H224" s="3483"/>
      <c r="I224" s="3483"/>
      <c r="J224" s="3483"/>
      <c r="K224" s="3483"/>
      <c r="L224" s="3483"/>
      <c r="M224" s="3483"/>
      <c r="N224" s="3483"/>
      <c r="O224" s="3483"/>
      <c r="P224" s="3483"/>
    </row>
    <row r="225" spans="1:16">
      <c r="A225" s="3481"/>
      <c r="B225" s="3483"/>
      <c r="C225" s="3483"/>
      <c r="D225" s="3483"/>
      <c r="E225" s="3483"/>
      <c r="F225" s="3483"/>
      <c r="G225" s="3483"/>
      <c r="H225" s="3483"/>
      <c r="I225" s="3483"/>
      <c r="J225" s="3483"/>
      <c r="K225" s="3483"/>
      <c r="L225" s="3483"/>
      <c r="M225" s="3483"/>
      <c r="N225" s="3483"/>
      <c r="O225" s="3483"/>
      <c r="P225" s="3483"/>
    </row>
    <row r="226" spans="1:16">
      <c r="A226" s="3481"/>
      <c r="B226" s="3483"/>
      <c r="C226" s="3483"/>
      <c r="D226" s="3483"/>
      <c r="E226" s="3483"/>
      <c r="F226" s="3483"/>
      <c r="G226" s="3483"/>
      <c r="H226" s="3483"/>
      <c r="I226" s="3483"/>
      <c r="J226" s="3483"/>
      <c r="K226" s="3483"/>
      <c r="L226" s="3483"/>
      <c r="M226" s="3483"/>
      <c r="N226" s="3483"/>
      <c r="O226" s="3483"/>
      <c r="P226" s="3483"/>
    </row>
    <row r="227" spans="1:16">
      <c r="A227" s="3481"/>
      <c r="B227" s="3483"/>
      <c r="C227" s="3483"/>
      <c r="D227" s="3483"/>
      <c r="E227" s="3483"/>
      <c r="F227" s="3483"/>
      <c r="G227" s="3483"/>
      <c r="H227" s="3483"/>
      <c r="I227" s="3483"/>
      <c r="J227" s="3483"/>
      <c r="K227" s="3483"/>
      <c r="L227" s="3483"/>
      <c r="M227" s="3483"/>
      <c r="N227" s="3483"/>
      <c r="O227" s="3483"/>
      <c r="P227" s="3483"/>
    </row>
    <row r="228" spans="1:16">
      <c r="A228" s="3481"/>
      <c r="B228" s="3483"/>
      <c r="C228" s="3483"/>
      <c r="D228" s="3483"/>
      <c r="E228" s="3483"/>
      <c r="F228" s="3483"/>
      <c r="G228" s="3483"/>
      <c r="H228" s="3483"/>
      <c r="I228" s="3483"/>
      <c r="J228" s="3483"/>
      <c r="K228" s="3483"/>
      <c r="L228" s="3483"/>
      <c r="M228" s="3483"/>
      <c r="N228" s="3483"/>
      <c r="O228" s="3483"/>
      <c r="P228" s="3483"/>
    </row>
    <row r="229" spans="1:16">
      <c r="A229" s="3481"/>
      <c r="B229" s="3483"/>
      <c r="C229" s="3483"/>
      <c r="D229" s="3483"/>
      <c r="E229" s="3483"/>
      <c r="F229" s="3483"/>
      <c r="G229" s="3483"/>
      <c r="H229" s="3483"/>
      <c r="I229" s="3483"/>
      <c r="J229" s="3483"/>
      <c r="K229" s="3483"/>
      <c r="L229" s="3483"/>
      <c r="M229" s="3483"/>
      <c r="N229" s="3483"/>
      <c r="O229" s="3483"/>
      <c r="P229" s="3483"/>
    </row>
    <row r="230" spans="1:16">
      <c r="A230" s="3481"/>
      <c r="B230" s="3483"/>
      <c r="C230" s="3483"/>
      <c r="D230" s="3483"/>
      <c r="E230" s="3483"/>
      <c r="F230" s="3483"/>
      <c r="G230" s="3483"/>
      <c r="H230" s="3483"/>
      <c r="I230" s="3483"/>
      <c r="J230" s="3483"/>
      <c r="K230" s="3483"/>
      <c r="L230" s="3483"/>
      <c r="M230" s="3483"/>
      <c r="N230" s="3483"/>
      <c r="O230" s="3483"/>
      <c r="P230" s="3483"/>
    </row>
    <row r="231" spans="1:16">
      <c r="A231" s="3481"/>
      <c r="B231" s="3483"/>
      <c r="C231" s="3483"/>
      <c r="D231" s="3483"/>
      <c r="E231" s="3483"/>
      <c r="F231" s="3483"/>
      <c r="G231" s="3483"/>
      <c r="H231" s="3483"/>
      <c r="I231" s="3483"/>
      <c r="J231" s="3483"/>
      <c r="K231" s="3483"/>
      <c r="L231" s="3483"/>
      <c r="M231" s="3483"/>
      <c r="N231" s="3483"/>
      <c r="O231" s="3483"/>
      <c r="P231" s="3483"/>
    </row>
    <row r="232" spans="1:16">
      <c r="A232" s="3481"/>
      <c r="B232" s="3483"/>
      <c r="C232" s="3483"/>
      <c r="D232" s="3483"/>
      <c r="E232" s="3483"/>
      <c r="F232" s="3483"/>
      <c r="G232" s="3483"/>
      <c r="H232" s="3483"/>
      <c r="I232" s="3483"/>
      <c r="J232" s="3483"/>
      <c r="K232" s="3483"/>
      <c r="L232" s="3483"/>
      <c r="M232" s="3483"/>
      <c r="N232" s="3483"/>
      <c r="O232" s="3483"/>
      <c r="P232" s="3483"/>
    </row>
    <row r="233" spans="1:16">
      <c r="A233" s="3481"/>
      <c r="B233" s="3483"/>
      <c r="C233" s="3483"/>
      <c r="D233" s="3483"/>
      <c r="E233" s="3483"/>
      <c r="F233" s="3483"/>
      <c r="G233" s="3483"/>
      <c r="H233" s="3483"/>
      <c r="I233" s="3483"/>
      <c r="J233" s="3483"/>
      <c r="K233" s="3483"/>
      <c r="L233" s="3483"/>
      <c r="M233" s="3483"/>
      <c r="N233" s="3483"/>
      <c r="O233" s="3483"/>
      <c r="P233" s="3483"/>
    </row>
    <row r="234" spans="1:16">
      <c r="A234" s="3481"/>
      <c r="B234" s="3483"/>
      <c r="C234" s="3483"/>
      <c r="D234" s="3483"/>
      <c r="E234" s="3483"/>
      <c r="F234" s="3483"/>
      <c r="G234" s="3483"/>
      <c r="H234" s="3483"/>
      <c r="I234" s="3483"/>
      <c r="J234" s="3483"/>
      <c r="K234" s="3483"/>
      <c r="L234" s="3483"/>
      <c r="M234" s="3483"/>
      <c r="N234" s="3483"/>
      <c r="O234" s="3483"/>
      <c r="P234" s="3483"/>
    </row>
    <row r="235" spans="1:16">
      <c r="A235" s="3481"/>
      <c r="B235" s="3483"/>
      <c r="C235" s="3483"/>
      <c r="D235" s="3483"/>
      <c r="E235" s="3483"/>
      <c r="F235" s="3483"/>
      <c r="G235" s="3483"/>
      <c r="H235" s="3483"/>
      <c r="I235" s="3483"/>
      <c r="J235" s="3483"/>
      <c r="K235" s="3483"/>
      <c r="L235" s="3483"/>
      <c r="M235" s="3483"/>
      <c r="N235" s="3483"/>
      <c r="O235" s="3483"/>
      <c r="P235" s="3483"/>
    </row>
    <row r="236" spans="1:16">
      <c r="A236" s="3481"/>
      <c r="B236" s="3483"/>
      <c r="C236" s="3483"/>
      <c r="D236" s="3483"/>
      <c r="E236" s="3483"/>
      <c r="F236" s="3483"/>
      <c r="G236" s="3483"/>
      <c r="H236" s="3483"/>
      <c r="I236" s="3483"/>
      <c r="J236" s="3483"/>
      <c r="K236" s="3483"/>
      <c r="L236" s="3483"/>
      <c r="M236" s="3483"/>
      <c r="N236" s="3483"/>
      <c r="O236" s="3483"/>
      <c r="P236" s="3483"/>
    </row>
    <row r="237" spans="1:16">
      <c r="A237" s="3481"/>
      <c r="B237" s="3483"/>
      <c r="C237" s="3483"/>
      <c r="D237" s="3483"/>
      <c r="E237" s="3483"/>
      <c r="F237" s="3483"/>
      <c r="G237" s="3483"/>
      <c r="H237" s="3483"/>
      <c r="I237" s="3483"/>
      <c r="J237" s="3483"/>
      <c r="K237" s="3483"/>
      <c r="L237" s="3483"/>
      <c r="M237" s="3483"/>
      <c r="N237" s="3483"/>
      <c r="O237" s="3483"/>
      <c r="P237" s="3483"/>
    </row>
    <row r="238" spans="1:16">
      <c r="A238" s="3481"/>
      <c r="B238" s="3483"/>
      <c r="C238" s="3483"/>
      <c r="D238" s="3483"/>
      <c r="E238" s="3483"/>
      <c r="F238" s="3483"/>
      <c r="G238" s="3483"/>
      <c r="H238" s="3483"/>
      <c r="I238" s="3483"/>
      <c r="J238" s="3483"/>
      <c r="K238" s="3483"/>
      <c r="L238" s="3483"/>
      <c r="M238" s="3483"/>
      <c r="N238" s="3483"/>
      <c r="O238" s="3483"/>
      <c r="P238" s="3483"/>
    </row>
    <row r="239" spans="1:16">
      <c r="A239" s="3481"/>
      <c r="B239" s="3483"/>
      <c r="C239" s="3483"/>
      <c r="D239" s="3483"/>
      <c r="E239" s="3483"/>
      <c r="F239" s="3483"/>
      <c r="G239" s="3483"/>
      <c r="H239" s="3483"/>
      <c r="I239" s="3483"/>
      <c r="J239" s="3483"/>
      <c r="K239" s="3483"/>
      <c r="L239" s="3483"/>
      <c r="M239" s="3483"/>
      <c r="N239" s="3483"/>
      <c r="O239" s="3483"/>
      <c r="P239" s="3483"/>
    </row>
    <row r="240" spans="1:16">
      <c r="A240" s="3481"/>
      <c r="B240" s="3483"/>
      <c r="C240" s="3483"/>
      <c r="D240" s="3483"/>
      <c r="E240" s="3483"/>
      <c r="F240" s="3483"/>
      <c r="G240" s="3483"/>
      <c r="H240" s="3483"/>
      <c r="I240" s="3483"/>
      <c r="J240" s="3483"/>
      <c r="K240" s="3483"/>
      <c r="L240" s="3483"/>
      <c r="M240" s="3483"/>
      <c r="N240" s="3483"/>
      <c r="O240" s="3483"/>
      <c r="P240" s="3483"/>
    </row>
    <row r="241" spans="1:16">
      <c r="A241" s="3481"/>
      <c r="B241" s="3483"/>
      <c r="C241" s="3483"/>
      <c r="D241" s="3483"/>
      <c r="E241" s="3483"/>
      <c r="F241" s="3483"/>
      <c r="G241" s="3483"/>
      <c r="H241" s="3483"/>
      <c r="I241" s="3483"/>
      <c r="J241" s="3483"/>
      <c r="K241" s="3483"/>
      <c r="L241" s="3483"/>
      <c r="M241" s="3483"/>
      <c r="N241" s="3483"/>
      <c r="O241" s="3483"/>
      <c r="P241" s="3483"/>
    </row>
    <row r="242" spans="1:16">
      <c r="A242" s="3481"/>
      <c r="B242" s="3483"/>
      <c r="C242" s="3483"/>
      <c r="D242" s="3483"/>
      <c r="E242" s="3483"/>
      <c r="F242" s="3483"/>
      <c r="G242" s="3483"/>
      <c r="H242" s="3483"/>
      <c r="I242" s="3483"/>
      <c r="J242" s="3483"/>
      <c r="K242" s="3483"/>
      <c r="L242" s="3483"/>
      <c r="M242" s="3483"/>
      <c r="N242" s="3483"/>
      <c r="O242" s="3483"/>
      <c r="P242" s="3483"/>
    </row>
    <row r="243" spans="1:16">
      <c r="A243" s="3481"/>
      <c r="B243" s="3483"/>
      <c r="C243" s="3483"/>
      <c r="D243" s="3483"/>
      <c r="E243" s="3483"/>
      <c r="F243" s="3483"/>
      <c r="G243" s="3483"/>
      <c r="H243" s="3483"/>
      <c r="I243" s="3483"/>
      <c r="J243" s="3483"/>
      <c r="K243" s="3483"/>
      <c r="L243" s="3483"/>
      <c r="M243" s="3483"/>
      <c r="N243" s="3483"/>
      <c r="O243" s="3483"/>
      <c r="P243" s="3483"/>
    </row>
    <row r="244" spans="1:16">
      <c r="A244" s="3481"/>
      <c r="B244" s="3483"/>
      <c r="C244" s="3483"/>
      <c r="D244" s="3483"/>
      <c r="E244" s="3483"/>
      <c r="F244" s="3483"/>
      <c r="G244" s="3483"/>
      <c r="H244" s="3483"/>
      <c r="I244" s="3483"/>
      <c r="J244" s="3483"/>
      <c r="K244" s="3483"/>
      <c r="L244" s="3483"/>
      <c r="M244" s="3483"/>
      <c r="N244" s="3483"/>
      <c r="O244" s="3483"/>
      <c r="P244" s="3483"/>
    </row>
    <row r="245" spans="1:16">
      <c r="A245" s="3481"/>
      <c r="B245" s="3483"/>
      <c r="C245" s="3483"/>
      <c r="D245" s="3483"/>
      <c r="E245" s="3483"/>
      <c r="F245" s="3483"/>
      <c r="G245" s="3483"/>
      <c r="H245" s="3483"/>
      <c r="I245" s="3483"/>
      <c r="J245" s="3483"/>
      <c r="K245" s="3483"/>
      <c r="L245" s="3483"/>
      <c r="M245" s="3483"/>
      <c r="N245" s="3483"/>
      <c r="O245" s="3483"/>
      <c r="P245" s="3483"/>
    </row>
    <row r="246" spans="1:16">
      <c r="A246" s="3481"/>
      <c r="B246" s="3483"/>
      <c r="C246" s="3483"/>
      <c r="D246" s="3483"/>
      <c r="E246" s="3483"/>
      <c r="F246" s="3483"/>
      <c r="G246" s="3483"/>
      <c r="H246" s="3483"/>
      <c r="I246" s="3483"/>
      <c r="J246" s="3483"/>
      <c r="K246" s="3483"/>
      <c r="L246" s="3483"/>
      <c r="M246" s="3483"/>
      <c r="N246" s="3483"/>
      <c r="O246" s="3483"/>
      <c r="P246" s="3483"/>
    </row>
    <row r="247" spans="1:16">
      <c r="A247" s="3481"/>
      <c r="B247" s="3483"/>
      <c r="C247" s="3483"/>
      <c r="D247" s="3483"/>
      <c r="E247" s="3483"/>
      <c r="F247" s="3483"/>
      <c r="G247" s="3483"/>
      <c r="H247" s="3483"/>
      <c r="I247" s="3483"/>
      <c r="J247" s="3483"/>
      <c r="K247" s="3483"/>
      <c r="L247" s="3483"/>
      <c r="M247" s="3483"/>
      <c r="N247" s="3483"/>
      <c r="O247" s="3483"/>
      <c r="P247" s="3483"/>
    </row>
    <row r="248" spans="1:16">
      <c r="A248" s="3481"/>
      <c r="B248" s="3483"/>
      <c r="C248" s="3483"/>
      <c r="D248" s="3483"/>
      <c r="E248" s="3483"/>
      <c r="F248" s="3483"/>
      <c r="G248" s="3483"/>
      <c r="H248" s="3483"/>
      <c r="I248" s="3483"/>
      <c r="J248" s="3483"/>
      <c r="K248" s="3483"/>
      <c r="L248" s="3483"/>
      <c r="M248" s="3483"/>
      <c r="N248" s="3483"/>
      <c r="O248" s="3483"/>
      <c r="P248" s="3483"/>
    </row>
    <row r="249" spans="1:16">
      <c r="A249" s="3481"/>
      <c r="B249" s="3483"/>
      <c r="C249" s="3483"/>
      <c r="D249" s="3483"/>
      <c r="E249" s="3483"/>
      <c r="F249" s="3483"/>
      <c r="G249" s="3483"/>
      <c r="H249" s="3483"/>
      <c r="I249" s="3483"/>
      <c r="J249" s="3483"/>
      <c r="K249" s="3483"/>
      <c r="L249" s="3483"/>
      <c r="M249" s="3483"/>
      <c r="N249" s="3483"/>
      <c r="O249" s="3483"/>
      <c r="P249" s="3483"/>
    </row>
    <row r="250" spans="1:16">
      <c r="A250" s="3481"/>
      <c r="B250" s="3483"/>
      <c r="C250" s="3483"/>
      <c r="D250" s="3483"/>
      <c r="E250" s="3483"/>
      <c r="F250" s="3483"/>
      <c r="G250" s="3483"/>
      <c r="H250" s="3483"/>
      <c r="I250" s="3483"/>
      <c r="J250" s="3483"/>
      <c r="K250" s="3483"/>
      <c r="L250" s="3483"/>
      <c r="M250" s="3483"/>
      <c r="N250" s="3483"/>
      <c r="O250" s="3483"/>
      <c r="P250" s="3483"/>
    </row>
    <row r="251" spans="1:16">
      <c r="A251" s="3481"/>
      <c r="B251" s="3483"/>
      <c r="C251" s="3483"/>
      <c r="D251" s="3483"/>
      <c r="E251" s="3483"/>
      <c r="F251" s="3483"/>
      <c r="G251" s="3483"/>
      <c r="H251" s="3483"/>
      <c r="I251" s="3483"/>
      <c r="J251" s="3483"/>
      <c r="K251" s="3483"/>
      <c r="L251" s="3483"/>
      <c r="M251" s="3483"/>
      <c r="N251" s="3483"/>
      <c r="O251" s="3483"/>
      <c r="P251" s="3483"/>
    </row>
    <row r="252" spans="1:16">
      <c r="A252" s="3481"/>
      <c r="B252" s="3483"/>
      <c r="C252" s="3483"/>
      <c r="D252" s="3483"/>
      <c r="E252" s="3483"/>
      <c r="F252" s="3483"/>
      <c r="G252" s="3483"/>
      <c r="H252" s="3483"/>
      <c r="I252" s="3483"/>
      <c r="J252" s="3483"/>
      <c r="K252" s="3483"/>
      <c r="L252" s="3483"/>
      <c r="M252" s="3483"/>
      <c r="N252" s="3483"/>
      <c r="O252" s="3483"/>
      <c r="P252" s="3483"/>
    </row>
    <row r="253" spans="1:16">
      <c r="A253" s="3481"/>
      <c r="B253" s="3483"/>
      <c r="C253" s="3483"/>
      <c r="D253" s="3483"/>
      <c r="E253" s="3483"/>
      <c r="F253" s="3483"/>
      <c r="G253" s="3483"/>
      <c r="H253" s="3483"/>
      <c r="I253" s="3483"/>
      <c r="J253" s="3483"/>
      <c r="K253" s="3483"/>
      <c r="L253" s="3483"/>
      <c r="M253" s="3483"/>
      <c r="N253" s="3483"/>
      <c r="O253" s="3483"/>
      <c r="P253" s="3483"/>
    </row>
    <row r="254" spans="1:16">
      <c r="A254" s="3481"/>
      <c r="B254" s="3483"/>
      <c r="C254" s="3483"/>
      <c r="D254" s="3483"/>
      <c r="E254" s="3483"/>
      <c r="F254" s="3483"/>
      <c r="G254" s="3483"/>
      <c r="H254" s="3483"/>
      <c r="I254" s="3483"/>
      <c r="J254" s="3483"/>
      <c r="K254" s="3483"/>
      <c r="L254" s="3483"/>
      <c r="M254" s="3483"/>
      <c r="N254" s="3483"/>
      <c r="O254" s="3483"/>
      <c r="P254" s="3483"/>
    </row>
    <row r="255" spans="1:16">
      <c r="A255" s="3481"/>
      <c r="B255" s="3483"/>
      <c r="C255" s="3483"/>
      <c r="D255" s="3483"/>
      <c r="E255" s="3483"/>
      <c r="F255" s="3483"/>
      <c r="G255" s="3483"/>
      <c r="H255" s="3483"/>
      <c r="I255" s="3483"/>
      <c r="J255" s="3483"/>
      <c r="K255" s="3483"/>
      <c r="L255" s="3483"/>
      <c r="M255" s="3483"/>
      <c r="N255" s="3483"/>
      <c r="O255" s="3483"/>
      <c r="P255" s="3483"/>
    </row>
    <row r="256" spans="1:16">
      <c r="A256" s="3481"/>
      <c r="B256" s="3483"/>
      <c r="C256" s="3483"/>
      <c r="D256" s="3483"/>
      <c r="E256" s="3483"/>
      <c r="F256" s="3483"/>
      <c r="G256" s="3483"/>
      <c r="H256" s="3483"/>
      <c r="I256" s="3483"/>
      <c r="J256" s="3483"/>
      <c r="K256" s="3483"/>
      <c r="L256" s="3483"/>
      <c r="M256" s="3483"/>
      <c r="N256" s="3483"/>
      <c r="O256" s="3483"/>
      <c r="P256" s="3483"/>
    </row>
    <row r="257" spans="1:16">
      <c r="A257" s="3481"/>
      <c r="B257" s="3483"/>
      <c r="C257" s="3483"/>
      <c r="D257" s="3483"/>
      <c r="E257" s="3483"/>
      <c r="F257" s="3483"/>
      <c r="G257" s="3483"/>
      <c r="H257" s="3483"/>
      <c r="I257" s="3483"/>
      <c r="J257" s="3483"/>
      <c r="K257" s="3483"/>
      <c r="L257" s="3483"/>
      <c r="M257" s="3483"/>
      <c r="N257" s="3483"/>
      <c r="O257" s="3483"/>
      <c r="P257" s="3483"/>
    </row>
    <row r="258" spans="1:16">
      <c r="A258" s="3481"/>
      <c r="B258" s="3483"/>
      <c r="C258" s="3483"/>
      <c r="D258" s="3483"/>
      <c r="E258" s="3483"/>
      <c r="F258" s="3483"/>
      <c r="G258" s="3483"/>
      <c r="H258" s="3483"/>
      <c r="I258" s="3483"/>
      <c r="J258" s="3483"/>
      <c r="K258" s="3483"/>
      <c r="L258" s="3483"/>
      <c r="M258" s="3483"/>
      <c r="N258" s="3483"/>
      <c r="O258" s="3483"/>
      <c r="P258" s="3483"/>
    </row>
    <row r="259" spans="1:16">
      <c r="A259" s="3481"/>
      <c r="B259" s="3483"/>
      <c r="C259" s="3483"/>
      <c r="D259" s="3483"/>
      <c r="E259" s="3483"/>
      <c r="F259" s="3483"/>
      <c r="G259" s="3483"/>
      <c r="H259" s="3483"/>
      <c r="I259" s="3483"/>
      <c r="J259" s="3483"/>
      <c r="K259" s="3483"/>
      <c r="L259" s="3483"/>
      <c r="M259" s="3483"/>
      <c r="N259" s="3483"/>
      <c r="O259" s="3483"/>
      <c r="P259" s="3483"/>
    </row>
    <row r="260" spans="1:16">
      <c r="A260" s="3481"/>
      <c r="B260" s="3483"/>
      <c r="C260" s="3483"/>
      <c r="D260" s="3483"/>
      <c r="E260" s="3483"/>
      <c r="F260" s="3483"/>
      <c r="G260" s="3483"/>
      <c r="H260" s="3483"/>
      <c r="I260" s="3483"/>
      <c r="J260" s="3483"/>
      <c r="K260" s="3483"/>
      <c r="L260" s="3483"/>
      <c r="M260" s="3483"/>
      <c r="N260" s="3483"/>
      <c r="O260" s="3483"/>
      <c r="P260" s="3483"/>
    </row>
    <row r="261" spans="1:16">
      <c r="A261" s="3481"/>
      <c r="B261" s="3483"/>
      <c r="C261" s="3483"/>
      <c r="D261" s="3483"/>
      <c r="E261" s="3483"/>
      <c r="F261" s="3483"/>
      <c r="G261" s="3483"/>
      <c r="H261" s="3483"/>
      <c r="I261" s="3483"/>
      <c r="J261" s="3483"/>
      <c r="K261" s="3483"/>
      <c r="L261" s="3483"/>
      <c r="M261" s="3483"/>
      <c r="N261" s="3483"/>
      <c r="O261" s="3483"/>
      <c r="P261" s="3483"/>
    </row>
    <row r="262" spans="1:16">
      <c r="A262" s="3481"/>
      <c r="B262" s="3483"/>
      <c r="C262" s="3483"/>
      <c r="D262" s="3483"/>
      <c r="E262" s="3483"/>
      <c r="F262" s="3483"/>
      <c r="G262" s="3483"/>
      <c r="H262" s="3483"/>
      <c r="I262" s="3483"/>
      <c r="J262" s="3483"/>
      <c r="K262" s="3483"/>
      <c r="L262" s="3483"/>
      <c r="M262" s="3483"/>
      <c r="N262" s="3483"/>
      <c r="O262" s="3483"/>
      <c r="P262" s="3483"/>
    </row>
    <row r="263" spans="1:16">
      <c r="A263" s="3481"/>
      <c r="B263" s="3483"/>
      <c r="C263" s="3483"/>
      <c r="D263" s="3483"/>
      <c r="E263" s="3483"/>
      <c r="F263" s="3483"/>
      <c r="G263" s="3483"/>
      <c r="H263" s="3483"/>
      <c r="I263" s="3483"/>
      <c r="J263" s="3483"/>
      <c r="K263" s="3483"/>
      <c r="L263" s="3483"/>
      <c r="M263" s="3483"/>
      <c r="N263" s="3483"/>
      <c r="O263" s="3483"/>
      <c r="P263" s="3483"/>
    </row>
    <row r="264" spans="1:16">
      <c r="A264" s="3481"/>
      <c r="B264" s="3483"/>
      <c r="C264" s="3483"/>
      <c r="D264" s="3483"/>
      <c r="E264" s="3483"/>
      <c r="F264" s="3483"/>
      <c r="G264" s="3483"/>
      <c r="H264" s="3483"/>
      <c r="I264" s="3483"/>
      <c r="J264" s="3483"/>
      <c r="K264" s="3483"/>
      <c r="L264" s="3483"/>
      <c r="M264" s="3483"/>
      <c r="N264" s="3483"/>
      <c r="O264" s="3483"/>
      <c r="P264" s="3483"/>
    </row>
    <row r="265" spans="1:16">
      <c r="A265" s="3481"/>
      <c r="B265" s="3483"/>
      <c r="C265" s="3483"/>
      <c r="D265" s="3483"/>
      <c r="E265" s="3483"/>
      <c r="F265" s="3483"/>
      <c r="G265" s="3483"/>
      <c r="H265" s="3483"/>
      <c r="I265" s="3483"/>
      <c r="J265" s="3483"/>
      <c r="K265" s="3483"/>
      <c r="L265" s="3483"/>
      <c r="M265" s="3483"/>
      <c r="N265" s="3483"/>
      <c r="O265" s="3483"/>
      <c r="P265" s="3483"/>
    </row>
    <row r="266" spans="1:16">
      <c r="A266" s="3481"/>
      <c r="B266" s="3483"/>
      <c r="C266" s="3483"/>
      <c r="D266" s="3483"/>
      <c r="E266" s="3483"/>
      <c r="F266" s="3483"/>
      <c r="G266" s="3483"/>
      <c r="H266" s="3483"/>
      <c r="I266" s="3483"/>
      <c r="J266" s="3483"/>
      <c r="K266" s="3483"/>
      <c r="L266" s="3483"/>
      <c r="M266" s="3483"/>
      <c r="N266" s="3483"/>
      <c r="O266" s="3483"/>
      <c r="P266" s="3483"/>
    </row>
    <row r="267" spans="1:16">
      <c r="A267" s="3481"/>
      <c r="B267" s="3483"/>
      <c r="C267" s="3483"/>
      <c r="D267" s="3483"/>
      <c r="E267" s="3483"/>
      <c r="F267" s="3483"/>
      <c r="G267" s="3483"/>
      <c r="H267" s="3483"/>
      <c r="I267" s="3483"/>
      <c r="J267" s="3483"/>
      <c r="K267" s="3483"/>
      <c r="L267" s="3483"/>
      <c r="M267" s="3483"/>
      <c r="N267" s="3483"/>
      <c r="O267" s="3483"/>
      <c r="P267" s="3483"/>
    </row>
    <row r="268" spans="1:16">
      <c r="A268" s="3481"/>
      <c r="B268" s="3483"/>
      <c r="C268" s="3483"/>
      <c r="D268" s="3483"/>
      <c r="E268" s="3483"/>
      <c r="F268" s="3483"/>
      <c r="G268" s="3483"/>
      <c r="H268" s="3483"/>
      <c r="I268" s="3483"/>
      <c r="J268" s="3483"/>
      <c r="K268" s="3483"/>
      <c r="L268" s="3483"/>
      <c r="M268" s="3483"/>
      <c r="N268" s="3483"/>
      <c r="O268" s="3483"/>
      <c r="P268" s="3483"/>
    </row>
    <row r="269" spans="1:16">
      <c r="A269" s="3481"/>
      <c r="B269" s="3483"/>
      <c r="C269" s="3483"/>
      <c r="D269" s="3483"/>
      <c r="E269" s="3483"/>
      <c r="F269" s="3483"/>
      <c r="G269" s="3483"/>
      <c r="H269" s="3483"/>
      <c r="I269" s="3483"/>
      <c r="J269" s="3483"/>
      <c r="K269" s="3483"/>
      <c r="L269" s="3483"/>
      <c r="M269" s="3483"/>
      <c r="N269" s="3483"/>
      <c r="O269" s="3483"/>
      <c r="P269" s="3483"/>
    </row>
    <row r="270" spans="1:16">
      <c r="A270" s="3481"/>
      <c r="B270" s="3483"/>
      <c r="C270" s="3483"/>
      <c r="D270" s="3483"/>
      <c r="E270" s="3483"/>
      <c r="F270" s="3483"/>
      <c r="G270" s="3483"/>
      <c r="H270" s="3483"/>
      <c r="I270" s="3483"/>
      <c r="J270" s="3483"/>
      <c r="K270" s="3483"/>
      <c r="L270" s="3483"/>
      <c r="M270" s="3483"/>
      <c r="N270" s="3483"/>
      <c r="O270" s="3483"/>
      <c r="P270" s="3483"/>
    </row>
    <row r="271" spans="1:16">
      <c r="A271" s="3481"/>
      <c r="B271" s="3483"/>
      <c r="C271" s="3483"/>
      <c r="D271" s="3483"/>
      <c r="E271" s="3483"/>
      <c r="F271" s="3483"/>
      <c r="G271" s="3483"/>
      <c r="H271" s="3483"/>
      <c r="I271" s="3483"/>
      <c r="J271" s="3483"/>
      <c r="K271" s="3483"/>
      <c r="L271" s="3483"/>
      <c r="M271" s="3483"/>
      <c r="N271" s="3483"/>
      <c r="O271" s="3483"/>
      <c r="P271" s="3483"/>
    </row>
    <row r="272" spans="1:16">
      <c r="A272" s="3481"/>
      <c r="B272" s="3483"/>
      <c r="C272" s="3483"/>
      <c r="D272" s="3483"/>
      <c r="E272" s="3483"/>
      <c r="F272" s="3483"/>
      <c r="G272" s="3483"/>
      <c r="H272" s="3483"/>
      <c r="I272" s="3483"/>
      <c r="J272" s="3483"/>
      <c r="K272" s="3483"/>
      <c r="L272" s="3483"/>
      <c r="M272" s="3483"/>
      <c r="N272" s="3483"/>
      <c r="O272" s="3483"/>
      <c r="P272" s="3483"/>
    </row>
    <row r="273" spans="1:16">
      <c r="A273" s="3481"/>
      <c r="B273" s="3483"/>
      <c r="C273" s="3483"/>
      <c r="D273" s="3483"/>
      <c r="E273" s="3483"/>
      <c r="F273" s="3483"/>
      <c r="G273" s="3483"/>
      <c r="H273" s="3483"/>
      <c r="I273" s="3483"/>
      <c r="J273" s="3483"/>
      <c r="K273" s="3483"/>
      <c r="L273" s="3483"/>
      <c r="M273" s="3483"/>
      <c r="N273" s="3483"/>
      <c r="O273" s="3483"/>
      <c r="P273" s="3483"/>
    </row>
    <row r="274" spans="1:16">
      <c r="A274" s="3481"/>
      <c r="B274" s="3483"/>
      <c r="C274" s="3483"/>
      <c r="D274" s="3483"/>
      <c r="E274" s="3483"/>
      <c r="F274" s="3483"/>
      <c r="G274" s="3483"/>
      <c r="H274" s="3483"/>
      <c r="I274" s="3483"/>
      <c r="J274" s="3483"/>
      <c r="K274" s="3483"/>
      <c r="L274" s="3483"/>
      <c r="M274" s="3483"/>
      <c r="N274" s="3483"/>
      <c r="O274" s="3483"/>
      <c r="P274" s="3483"/>
    </row>
    <row r="275" spans="1:16">
      <c r="A275" s="3481"/>
      <c r="B275" s="3483"/>
      <c r="C275" s="3483"/>
      <c r="D275" s="3483"/>
      <c r="E275" s="3483"/>
      <c r="F275" s="3483"/>
      <c r="G275" s="3483"/>
      <c r="H275" s="3483"/>
      <c r="I275" s="3483"/>
      <c r="J275" s="3483"/>
      <c r="K275" s="3483"/>
      <c r="L275" s="3483"/>
      <c r="M275" s="3483"/>
      <c r="N275" s="3483"/>
      <c r="O275" s="3483"/>
      <c r="P275" s="3483"/>
    </row>
    <row r="276" spans="1:16">
      <c r="A276" s="3481"/>
      <c r="B276" s="3483"/>
      <c r="C276" s="3483"/>
      <c r="D276" s="3483"/>
      <c r="E276" s="3483"/>
      <c r="F276" s="3483"/>
      <c r="G276" s="3483"/>
      <c r="H276" s="3483"/>
      <c r="I276" s="3483"/>
      <c r="J276" s="3483"/>
      <c r="K276" s="3483"/>
      <c r="L276" s="3483"/>
      <c r="M276" s="3483"/>
      <c r="N276" s="3483"/>
      <c r="O276" s="3483"/>
      <c r="P276" s="3483"/>
    </row>
    <row r="277" spans="1:16">
      <c r="A277" s="3481"/>
      <c r="B277" s="3483"/>
      <c r="C277" s="3483"/>
      <c r="D277" s="3483"/>
      <c r="E277" s="3483"/>
      <c r="F277" s="3483"/>
      <c r="G277" s="3483"/>
      <c r="H277" s="3483"/>
      <c r="I277" s="3483"/>
      <c r="J277" s="3483"/>
      <c r="K277" s="3483"/>
      <c r="L277" s="3483"/>
      <c r="M277" s="3483"/>
      <c r="N277" s="3483"/>
      <c r="O277" s="3483"/>
      <c r="P277" s="3483"/>
    </row>
    <row r="278" spans="1:16">
      <c r="A278" s="3481"/>
      <c r="B278" s="3483"/>
      <c r="C278" s="3483"/>
      <c r="D278" s="3483"/>
      <c r="E278" s="3483"/>
      <c r="F278" s="3483"/>
      <c r="G278" s="3483"/>
      <c r="H278" s="3483"/>
      <c r="I278" s="3483"/>
      <c r="J278" s="3483"/>
      <c r="K278" s="3483"/>
      <c r="L278" s="3483"/>
      <c r="M278" s="3483"/>
      <c r="N278" s="3483"/>
      <c r="O278" s="3483"/>
      <c r="P278" s="3483"/>
    </row>
    <row r="279" spans="1:16">
      <c r="A279" s="3481"/>
      <c r="B279" s="3483"/>
      <c r="C279" s="3483"/>
      <c r="D279" s="3483"/>
      <c r="E279" s="3483"/>
      <c r="F279" s="3483"/>
      <c r="G279" s="3483"/>
      <c r="H279" s="3483"/>
      <c r="I279" s="3483"/>
      <c r="J279" s="3483"/>
      <c r="K279" s="3483"/>
      <c r="L279" s="3483"/>
      <c r="M279" s="3483"/>
      <c r="N279" s="3483"/>
      <c r="O279" s="3483"/>
      <c r="P279" s="3483"/>
    </row>
    <row r="280" spans="1:16">
      <c r="A280" s="3481"/>
      <c r="B280" s="3483"/>
      <c r="C280" s="3483"/>
      <c r="D280" s="3483"/>
      <c r="E280" s="3483"/>
      <c r="F280" s="3483"/>
      <c r="G280" s="3483"/>
      <c r="H280" s="3483"/>
      <c r="I280" s="3483"/>
      <c r="J280" s="3483"/>
      <c r="K280" s="3483"/>
      <c r="L280" s="3483"/>
      <c r="M280" s="3483"/>
      <c r="N280" s="3483"/>
      <c r="O280" s="3483"/>
      <c r="P280" s="3483"/>
    </row>
    <row r="281" spans="1:16">
      <c r="A281" s="3481"/>
      <c r="B281" s="3483"/>
      <c r="C281" s="3483"/>
      <c r="D281" s="3483"/>
      <c r="E281" s="3483"/>
      <c r="F281" s="3483"/>
      <c r="G281" s="3483"/>
      <c r="H281" s="3483"/>
      <c r="I281" s="3483"/>
      <c r="J281" s="3483"/>
      <c r="K281" s="3483"/>
      <c r="L281" s="3483"/>
      <c r="M281" s="3483"/>
      <c r="N281" s="3483"/>
      <c r="O281" s="3483"/>
      <c r="P281" s="3483"/>
    </row>
    <row r="282" spans="1:16">
      <c r="A282" s="3481"/>
      <c r="B282" s="3483"/>
      <c r="C282" s="3483"/>
      <c r="D282" s="3483"/>
      <c r="E282" s="3483"/>
      <c r="F282" s="3483"/>
      <c r="G282" s="3483"/>
      <c r="H282" s="3483"/>
      <c r="I282" s="3483"/>
      <c r="J282" s="3483"/>
      <c r="K282" s="3483"/>
      <c r="L282" s="3483"/>
      <c r="M282" s="3483"/>
      <c r="N282" s="3483"/>
      <c r="O282" s="3483"/>
      <c r="P282" s="3483"/>
    </row>
    <row r="283" spans="1:16">
      <c r="A283" s="3481"/>
      <c r="B283" s="3483"/>
      <c r="C283" s="3483"/>
      <c r="D283" s="3483"/>
      <c r="E283" s="3483"/>
      <c r="F283" s="3483"/>
      <c r="G283" s="3483"/>
      <c r="H283" s="3483"/>
      <c r="I283" s="3483"/>
      <c r="J283" s="3483"/>
      <c r="K283" s="3483"/>
      <c r="L283" s="3483"/>
      <c r="M283" s="3483"/>
      <c r="N283" s="3483"/>
      <c r="O283" s="3483"/>
      <c r="P283" s="3483"/>
    </row>
  </sheetData>
  <mergeCells count="11">
    <mergeCell ref="A1:H1"/>
    <mergeCell ref="A2:H2"/>
    <mergeCell ref="A3:B3"/>
    <mergeCell ref="C3:H3"/>
    <mergeCell ref="A10:B10"/>
    <mergeCell ref="C10:H10"/>
    <mergeCell ref="B11:C11"/>
    <mergeCell ref="A18:B18"/>
    <mergeCell ref="J2:J3"/>
    <mergeCell ref="L2:L3"/>
    <mergeCell ref="N2:N3"/>
  </mergeCells>
  <phoneticPr fontId="214" type="noConversion"/>
  <conditionalFormatting sqref="D23">
    <cfRule type="cellIs" dxfId="2" priority="1" stopIfTrue="1" operator="lessThan">
      <formula>D21</formula>
    </cfRule>
  </conditionalFormatting>
  <dataValidations count="1">
    <dataValidation type="list" allowBlank="1" showInputMessage="1" showErrorMessage="1" sqref="D23 IZ23 SV23 ACR23 AMN23 AWJ23 BGF23 BQB23 BZX23 CJT23 CTP23 DDL23 DNH23 DXD23 EGZ23 EQV23 FAR23 FKN23 FUJ23 GEF23 GOB23 GXX23 HHT23 HRP23 IBL23 ILH23 IVD23 JEZ23 JOV23 JYR23 KIN23 KSJ23 LCF23 LMB23 LVX23 MFT23 MPP23 MZL23 NJH23 NTD23 OCZ23 OMV23 OWR23 PGN23 PQJ23 QAF23 QKB23 QTX23 RDT23 RNP23 RXL23 SHH23 SRD23 TAZ23 TKV23 TUR23 UEN23 UOJ23 UYF23 VIB23 VRX23 WBT23 WLP23 WVL23 D65559 IZ65559 SV65559 ACR65559 AMN65559 AWJ65559 BGF65559 BQB65559 BZX65559 CJT65559 CTP65559 DDL65559 DNH65559 DXD65559 EGZ65559 EQV65559 FAR65559 FKN65559 FUJ65559 GEF65559 GOB65559 GXX65559 HHT65559 HRP65559 IBL65559 ILH65559 IVD65559 JEZ65559 JOV65559 JYR65559 KIN65559 KSJ65559 LCF65559 LMB65559 LVX65559 MFT65559 MPP65559 MZL65559 NJH65559 NTD65559 OCZ65559 OMV65559 OWR65559 PGN65559 PQJ65559 QAF65559 QKB65559 QTX65559 RDT65559 RNP65559 RXL65559 SHH65559 SRD65559 TAZ65559 TKV65559 TUR65559 UEN65559 UOJ65559 UYF65559 VIB65559 VRX65559 WBT65559 WLP65559 WVL65559 D131095 IZ131095 SV131095 ACR131095 AMN131095 AWJ131095 BGF131095 BQB131095 BZX131095 CJT131095 CTP131095 DDL131095 DNH131095 DXD131095 EGZ131095 EQV131095 FAR131095 FKN131095 FUJ131095 GEF131095 GOB131095 GXX131095 HHT131095 HRP131095 IBL131095 ILH131095 IVD131095 JEZ131095 JOV131095 JYR131095 KIN131095 KSJ131095 LCF131095 LMB131095 LVX131095 MFT131095 MPP131095 MZL131095 NJH131095 NTD131095 OCZ131095 OMV131095 OWR131095 PGN131095 PQJ131095 QAF131095 QKB131095 QTX131095 RDT131095 RNP131095 RXL131095 SHH131095 SRD131095 TAZ131095 TKV131095 TUR131095 UEN131095 UOJ131095 UYF131095 VIB131095 VRX131095 WBT131095 WLP131095 WVL131095 D196631 IZ196631 SV196631 ACR196631 AMN196631 AWJ196631 BGF196631 BQB196631 BZX196631 CJT196631 CTP196631 DDL196631 DNH196631 DXD196631 EGZ196631 EQV196631 FAR196631 FKN196631 FUJ196631 GEF196631 GOB196631 GXX196631 HHT196631 HRP196631 IBL196631 ILH196631 IVD196631 JEZ196631 JOV196631 JYR196631 KIN196631 KSJ196631 LCF196631 LMB196631 LVX196631 MFT196631 MPP196631 MZL196631 NJH196631 NTD196631 OCZ196631 OMV196631 OWR196631 PGN196631 PQJ196631 QAF196631 QKB196631 QTX196631 RDT196631 RNP196631 RXL196631 SHH196631 SRD196631 TAZ196631 TKV196631 TUR196631 UEN196631 UOJ196631 UYF196631 VIB196631 VRX196631 WBT196631 WLP196631 WVL196631 D262167 IZ262167 SV262167 ACR262167 AMN262167 AWJ262167 BGF262167 BQB262167 BZX262167 CJT262167 CTP262167 DDL262167 DNH262167 DXD262167 EGZ262167 EQV262167 FAR262167 FKN262167 FUJ262167 GEF262167 GOB262167 GXX262167 HHT262167 HRP262167 IBL262167 ILH262167 IVD262167 JEZ262167 JOV262167 JYR262167 KIN262167 KSJ262167 LCF262167 LMB262167 LVX262167 MFT262167 MPP262167 MZL262167 NJH262167 NTD262167 OCZ262167 OMV262167 OWR262167 PGN262167 PQJ262167 QAF262167 QKB262167 QTX262167 RDT262167 RNP262167 RXL262167 SHH262167 SRD262167 TAZ262167 TKV262167 TUR262167 UEN262167 UOJ262167 UYF262167 VIB262167 VRX262167 WBT262167 WLP262167 WVL262167 D327703 IZ327703 SV327703 ACR327703 AMN327703 AWJ327703 BGF327703 BQB327703 BZX327703 CJT327703 CTP327703 DDL327703 DNH327703 DXD327703 EGZ327703 EQV327703 FAR327703 FKN327703 FUJ327703 GEF327703 GOB327703 GXX327703 HHT327703 HRP327703 IBL327703 ILH327703 IVD327703 JEZ327703 JOV327703 JYR327703 KIN327703 KSJ327703 LCF327703 LMB327703 LVX327703 MFT327703 MPP327703 MZL327703 NJH327703 NTD327703 OCZ327703 OMV327703 OWR327703 PGN327703 PQJ327703 QAF327703 QKB327703 QTX327703 RDT327703 RNP327703 RXL327703 SHH327703 SRD327703 TAZ327703 TKV327703 TUR327703 UEN327703 UOJ327703 UYF327703 VIB327703 VRX327703 WBT327703 WLP327703 WVL327703 D393239 IZ393239 SV393239 ACR393239 AMN393239 AWJ393239 BGF393239 BQB393239 BZX393239 CJT393239 CTP393239 DDL393239 DNH393239 DXD393239 EGZ393239 EQV393239 FAR393239 FKN393239 FUJ393239 GEF393239 GOB393239 GXX393239 HHT393239 HRP393239 IBL393239 ILH393239 IVD393239 JEZ393239 JOV393239 JYR393239 KIN393239 KSJ393239 LCF393239 LMB393239 LVX393239 MFT393239 MPP393239 MZL393239 NJH393239 NTD393239 OCZ393239 OMV393239 OWR393239 PGN393239 PQJ393239 QAF393239 QKB393239 QTX393239 RDT393239 RNP393239 RXL393239 SHH393239 SRD393239 TAZ393239 TKV393239 TUR393239 UEN393239 UOJ393239 UYF393239 VIB393239 VRX393239 WBT393239 WLP393239 WVL393239 D458775 IZ458775 SV458775 ACR458775 AMN458775 AWJ458775 BGF458775 BQB458775 BZX458775 CJT458775 CTP458775 DDL458775 DNH458775 DXD458775 EGZ458775 EQV458775 FAR458775 FKN458775 FUJ458775 GEF458775 GOB458775 GXX458775 HHT458775 HRP458775 IBL458775 ILH458775 IVD458775 JEZ458775 JOV458775 JYR458775 KIN458775 KSJ458775 LCF458775 LMB458775 LVX458775 MFT458775 MPP458775 MZL458775 NJH458775 NTD458775 OCZ458775 OMV458775 OWR458775 PGN458775 PQJ458775 QAF458775 QKB458775 QTX458775 RDT458775 RNP458775 RXL458775 SHH458775 SRD458775 TAZ458775 TKV458775 TUR458775 UEN458775 UOJ458775 UYF458775 VIB458775 VRX458775 WBT458775 WLP458775 WVL458775 D524311 IZ524311 SV524311 ACR524311 AMN524311 AWJ524311 BGF524311 BQB524311 BZX524311 CJT524311 CTP524311 DDL524311 DNH524311 DXD524311 EGZ524311 EQV524311 FAR524311 FKN524311 FUJ524311 GEF524311 GOB524311 GXX524311 HHT524311 HRP524311 IBL524311 ILH524311 IVD524311 JEZ524311 JOV524311 JYR524311 KIN524311 KSJ524311 LCF524311 LMB524311 LVX524311 MFT524311 MPP524311 MZL524311 NJH524311 NTD524311 OCZ524311 OMV524311 OWR524311 PGN524311 PQJ524311 QAF524311 QKB524311 QTX524311 RDT524311 RNP524311 RXL524311 SHH524311 SRD524311 TAZ524311 TKV524311 TUR524311 UEN524311 UOJ524311 UYF524311 VIB524311 VRX524311 WBT524311 WLP524311 WVL524311 D589847 IZ589847 SV589847 ACR589847 AMN589847 AWJ589847 BGF589847 BQB589847 BZX589847 CJT589847 CTP589847 DDL589847 DNH589847 DXD589847 EGZ589847 EQV589847 FAR589847 FKN589847 FUJ589847 GEF589847 GOB589847 GXX589847 HHT589847 HRP589847 IBL589847 ILH589847 IVD589847 JEZ589847 JOV589847 JYR589847 KIN589847 KSJ589847 LCF589847 LMB589847 LVX589847 MFT589847 MPP589847 MZL589847 NJH589847 NTD589847 OCZ589847 OMV589847 OWR589847 PGN589847 PQJ589847 QAF589847 QKB589847 QTX589847 RDT589847 RNP589847 RXL589847 SHH589847 SRD589847 TAZ589847 TKV589847 TUR589847 UEN589847 UOJ589847 UYF589847 VIB589847 VRX589847 WBT589847 WLP589847 WVL589847 D655383 IZ655383 SV655383 ACR655383 AMN655383 AWJ655383 BGF655383 BQB655383 BZX655383 CJT655383 CTP655383 DDL655383 DNH655383 DXD655383 EGZ655383 EQV655383 FAR655383 FKN655383 FUJ655383 GEF655383 GOB655383 GXX655383 HHT655383 HRP655383 IBL655383 ILH655383 IVD655383 JEZ655383 JOV655383 JYR655383 KIN655383 KSJ655383 LCF655383 LMB655383 LVX655383 MFT655383 MPP655383 MZL655383 NJH655383 NTD655383 OCZ655383 OMV655383 OWR655383 PGN655383 PQJ655383 QAF655383 QKB655383 QTX655383 RDT655383 RNP655383 RXL655383 SHH655383 SRD655383 TAZ655383 TKV655383 TUR655383 UEN655383 UOJ655383 UYF655383 VIB655383 VRX655383 WBT655383 WLP655383 WVL655383 D720919 IZ720919 SV720919 ACR720919 AMN720919 AWJ720919 BGF720919 BQB720919 BZX720919 CJT720919 CTP720919 DDL720919 DNH720919 DXD720919 EGZ720919 EQV720919 FAR720919 FKN720919 FUJ720919 GEF720919 GOB720919 GXX720919 HHT720919 HRP720919 IBL720919 ILH720919 IVD720919 JEZ720919 JOV720919 JYR720919 KIN720919 KSJ720919 LCF720919 LMB720919 LVX720919 MFT720919 MPP720919 MZL720919 NJH720919 NTD720919 OCZ720919 OMV720919 OWR720919 PGN720919 PQJ720919 QAF720919 QKB720919 QTX720919 RDT720919 RNP720919 RXL720919 SHH720919 SRD720919 TAZ720919 TKV720919 TUR720919 UEN720919 UOJ720919 UYF720919 VIB720919 VRX720919 WBT720919 WLP720919 WVL720919 D786455 IZ786455 SV786455 ACR786455 AMN786455 AWJ786455 BGF786455 BQB786455 BZX786455 CJT786455 CTP786455 DDL786455 DNH786455 DXD786455 EGZ786455 EQV786455 FAR786455 FKN786455 FUJ786455 GEF786455 GOB786455 GXX786455 HHT786455 HRP786455 IBL786455 ILH786455 IVD786455 JEZ786455 JOV786455 JYR786455 KIN786455 KSJ786455 LCF786455 LMB786455 LVX786455 MFT786455 MPP786455 MZL786455 NJH786455 NTD786455 OCZ786455 OMV786455 OWR786455 PGN786455 PQJ786455 QAF786455 QKB786455 QTX786455 RDT786455 RNP786455 RXL786455 SHH786455 SRD786455 TAZ786455 TKV786455 TUR786455 UEN786455 UOJ786455 UYF786455 VIB786455 VRX786455 WBT786455 WLP786455 WVL786455 D851991 IZ851991 SV851991 ACR851991 AMN851991 AWJ851991 BGF851991 BQB851991 BZX851991 CJT851991 CTP851991 DDL851991 DNH851991 DXD851991 EGZ851991 EQV851991 FAR851991 FKN851991 FUJ851991 GEF851991 GOB851991 GXX851991 HHT851991 HRP851991 IBL851991 ILH851991 IVD851991 JEZ851991 JOV851991 JYR851991 KIN851991 KSJ851991 LCF851991 LMB851991 LVX851991 MFT851991 MPP851991 MZL851991 NJH851991 NTD851991 OCZ851991 OMV851991 OWR851991 PGN851991 PQJ851991 QAF851991 QKB851991 QTX851991 RDT851991 RNP851991 RXL851991 SHH851991 SRD851991 TAZ851991 TKV851991 TUR851991 UEN851991 UOJ851991 UYF851991 VIB851991 VRX851991 WBT851991 WLP851991 WVL851991 D917527 IZ917527 SV917527 ACR917527 AMN917527 AWJ917527 BGF917527 BQB917527 BZX917527 CJT917527 CTP917527 DDL917527 DNH917527 DXD917527 EGZ917527 EQV917527 FAR917527 FKN917527 FUJ917527 GEF917527 GOB917527 GXX917527 HHT917527 HRP917527 IBL917527 ILH917527 IVD917527 JEZ917527 JOV917527 JYR917527 KIN917527 KSJ917527 LCF917527 LMB917527 LVX917527 MFT917527 MPP917527 MZL917527 NJH917527 NTD917527 OCZ917527 OMV917527 OWR917527 PGN917527 PQJ917527 QAF917527 QKB917527 QTX917527 RDT917527 RNP917527 RXL917527 SHH917527 SRD917527 TAZ917527 TKV917527 TUR917527 UEN917527 UOJ917527 UYF917527 VIB917527 VRX917527 WBT917527 WLP917527 WVL917527 D983063 IZ983063 SV983063 ACR983063 AMN983063 AWJ983063 BGF983063 BQB983063 BZX983063 CJT983063 CTP983063 DDL983063 DNH983063 DXD983063 EGZ983063 EQV983063 FAR983063 FKN983063 FUJ983063 GEF983063 GOB983063 GXX983063 HHT983063 HRP983063 IBL983063 ILH983063 IVD983063 JEZ983063 JOV983063 JYR983063 KIN983063 KSJ983063 LCF983063 LMB983063 LVX983063 MFT983063 MPP983063 MZL983063 NJH983063 NTD983063 OCZ983063 OMV983063 OWR983063 PGN983063 PQJ983063 QAF983063 QKB983063 QTX983063 RDT983063 RNP983063 RXL983063 SHH983063 SRD983063 TAZ983063 TKV983063 TUR983063 UEN983063 UOJ983063 UYF983063 VIB983063 VRX983063 WBT983063 WLP983063 WVL983063 C8:C9 C65544:C65545 C131080:C131081 C196616:C196617 C262152:C262153 C327688:C327689 C393224:C393225 C458760:C458761 C524296:C524297 C589832:C589833 C655368:C655369 C720904:C720905 C786440:C786441 C851976:C851977 C917512:C917513 C983048:C983049 IY8:IY9 IY65544:IY65545 IY131080:IY131081 IY196616:IY196617 IY262152:IY262153 IY327688:IY327689 IY393224:IY393225 IY458760:IY458761 IY524296:IY524297 IY589832:IY589833 IY655368:IY655369 IY720904:IY720905 IY786440:IY786441 IY851976:IY851977 IY917512:IY917513 IY983048:IY983049 SU8:SU9 SU65544:SU65545 SU131080:SU131081 SU196616:SU196617 SU262152:SU262153 SU327688:SU327689 SU393224:SU393225 SU458760:SU458761 SU524296:SU524297 SU589832:SU589833 SU655368:SU655369 SU720904:SU720905 SU786440:SU786441 SU851976:SU851977 SU917512:SU917513 SU983048:SU983049 ACQ8:ACQ9 ACQ65544:ACQ65545 ACQ131080:ACQ131081 ACQ196616:ACQ196617 ACQ262152:ACQ262153 ACQ327688:ACQ327689 ACQ393224:ACQ393225 ACQ458760:ACQ458761 ACQ524296:ACQ524297 ACQ589832:ACQ589833 ACQ655368:ACQ655369 ACQ720904:ACQ720905 ACQ786440:ACQ786441 ACQ851976:ACQ851977 ACQ917512:ACQ917513 ACQ983048:ACQ983049 AMM8:AMM9 AMM65544:AMM65545 AMM131080:AMM131081 AMM196616:AMM196617 AMM262152:AMM262153 AMM327688:AMM327689 AMM393224:AMM393225 AMM458760:AMM458761 AMM524296:AMM524297 AMM589832:AMM589833 AMM655368:AMM655369 AMM720904:AMM720905 AMM786440:AMM786441 AMM851976:AMM851977 AMM917512:AMM917513 AMM983048:AMM983049 AWI8:AWI9 AWI65544:AWI65545 AWI131080:AWI131081 AWI196616:AWI196617 AWI262152:AWI262153 AWI327688:AWI327689 AWI393224:AWI393225 AWI458760:AWI458761 AWI524296:AWI524297 AWI589832:AWI589833 AWI655368:AWI655369 AWI720904:AWI720905 AWI786440:AWI786441 AWI851976:AWI851977 AWI917512:AWI917513 AWI983048:AWI983049 BGE8:BGE9 BGE65544:BGE65545 BGE131080:BGE131081 BGE196616:BGE196617 BGE262152:BGE262153 BGE327688:BGE327689 BGE393224:BGE393225 BGE458760:BGE458761 BGE524296:BGE524297 BGE589832:BGE589833 BGE655368:BGE655369 BGE720904:BGE720905 BGE786440:BGE786441 BGE851976:BGE851977 BGE917512:BGE917513 BGE983048:BGE983049 BQA8:BQA9 BQA65544:BQA65545 BQA131080:BQA131081 BQA196616:BQA196617 BQA262152:BQA262153 BQA327688:BQA327689 BQA393224:BQA393225 BQA458760:BQA458761 BQA524296:BQA524297 BQA589832:BQA589833 BQA655368:BQA655369 BQA720904:BQA720905 BQA786440:BQA786441 BQA851976:BQA851977 BQA917512:BQA917513 BQA983048:BQA983049 BZW8:BZW9 BZW65544:BZW65545 BZW131080:BZW131081 BZW196616:BZW196617 BZW262152:BZW262153 BZW327688:BZW327689 BZW393224:BZW393225 BZW458760:BZW458761 BZW524296:BZW524297 BZW589832:BZW589833 BZW655368:BZW655369 BZW720904:BZW720905 BZW786440:BZW786441 BZW851976:BZW851977 BZW917512:BZW917513 BZW983048:BZW983049 CJS8:CJS9 CJS65544:CJS65545 CJS131080:CJS131081 CJS196616:CJS196617 CJS262152:CJS262153 CJS327688:CJS327689 CJS393224:CJS393225 CJS458760:CJS458761 CJS524296:CJS524297 CJS589832:CJS589833 CJS655368:CJS655369 CJS720904:CJS720905 CJS786440:CJS786441 CJS851976:CJS851977 CJS917512:CJS917513 CJS983048:CJS983049 CTO8:CTO9 CTO65544:CTO65545 CTO131080:CTO131081 CTO196616:CTO196617 CTO262152:CTO262153 CTO327688:CTO327689 CTO393224:CTO393225 CTO458760:CTO458761 CTO524296:CTO524297 CTO589832:CTO589833 CTO655368:CTO655369 CTO720904:CTO720905 CTO786440:CTO786441 CTO851976:CTO851977 CTO917512:CTO917513 CTO983048:CTO983049 DDK8:DDK9 DDK65544:DDK65545 DDK131080:DDK131081 DDK196616:DDK196617 DDK262152:DDK262153 DDK327688:DDK327689 DDK393224:DDK393225 DDK458760:DDK458761 DDK524296:DDK524297 DDK589832:DDK589833 DDK655368:DDK655369 DDK720904:DDK720905 DDK786440:DDK786441 DDK851976:DDK851977 DDK917512:DDK917513 DDK983048:DDK983049 DNG8:DNG9 DNG65544:DNG65545 DNG131080:DNG131081 DNG196616:DNG196617 DNG262152:DNG262153 DNG327688:DNG327689 DNG393224:DNG393225 DNG458760:DNG458761 DNG524296:DNG524297 DNG589832:DNG589833 DNG655368:DNG655369 DNG720904:DNG720905 DNG786440:DNG786441 DNG851976:DNG851977 DNG917512:DNG917513 DNG983048:DNG983049 DXC8:DXC9 DXC65544:DXC65545 DXC131080:DXC131081 DXC196616:DXC196617 DXC262152:DXC262153 DXC327688:DXC327689 DXC393224:DXC393225 DXC458760:DXC458761 DXC524296:DXC524297 DXC589832:DXC589833 DXC655368:DXC655369 DXC720904:DXC720905 DXC786440:DXC786441 DXC851976:DXC851977 DXC917512:DXC917513 DXC983048:DXC983049 EGY8:EGY9 EGY65544:EGY65545 EGY131080:EGY131081 EGY196616:EGY196617 EGY262152:EGY262153 EGY327688:EGY327689 EGY393224:EGY393225 EGY458760:EGY458761 EGY524296:EGY524297 EGY589832:EGY589833 EGY655368:EGY655369 EGY720904:EGY720905 EGY786440:EGY786441 EGY851976:EGY851977 EGY917512:EGY917513 EGY983048:EGY983049 EQU8:EQU9 EQU65544:EQU65545 EQU131080:EQU131081 EQU196616:EQU196617 EQU262152:EQU262153 EQU327688:EQU327689 EQU393224:EQU393225 EQU458760:EQU458761 EQU524296:EQU524297 EQU589832:EQU589833 EQU655368:EQU655369 EQU720904:EQU720905 EQU786440:EQU786441 EQU851976:EQU851977 EQU917512:EQU917513 EQU983048:EQU983049 FAQ8:FAQ9 FAQ65544:FAQ65545 FAQ131080:FAQ131081 FAQ196616:FAQ196617 FAQ262152:FAQ262153 FAQ327688:FAQ327689 FAQ393224:FAQ393225 FAQ458760:FAQ458761 FAQ524296:FAQ524297 FAQ589832:FAQ589833 FAQ655368:FAQ655369 FAQ720904:FAQ720905 FAQ786440:FAQ786441 FAQ851976:FAQ851977 FAQ917512:FAQ917513 FAQ983048:FAQ983049 FKM8:FKM9 FKM65544:FKM65545 FKM131080:FKM131081 FKM196616:FKM196617 FKM262152:FKM262153 FKM327688:FKM327689 FKM393224:FKM393225 FKM458760:FKM458761 FKM524296:FKM524297 FKM589832:FKM589833 FKM655368:FKM655369 FKM720904:FKM720905 FKM786440:FKM786441 FKM851976:FKM851977 FKM917512:FKM917513 FKM983048:FKM983049 FUI8:FUI9 FUI65544:FUI65545 FUI131080:FUI131081 FUI196616:FUI196617 FUI262152:FUI262153 FUI327688:FUI327689 FUI393224:FUI393225 FUI458760:FUI458761 FUI524296:FUI524297 FUI589832:FUI589833 FUI655368:FUI655369 FUI720904:FUI720905 FUI786440:FUI786441 FUI851976:FUI851977 FUI917512:FUI917513 FUI983048:FUI983049 GEE8:GEE9 GEE65544:GEE65545 GEE131080:GEE131081 GEE196616:GEE196617 GEE262152:GEE262153 GEE327688:GEE327689 GEE393224:GEE393225 GEE458760:GEE458761 GEE524296:GEE524297 GEE589832:GEE589833 GEE655368:GEE655369 GEE720904:GEE720905 GEE786440:GEE786441 GEE851976:GEE851977 GEE917512:GEE917513 GEE983048:GEE983049 GOA8:GOA9 GOA65544:GOA65545 GOA131080:GOA131081 GOA196616:GOA196617 GOA262152:GOA262153 GOA327688:GOA327689 GOA393224:GOA393225 GOA458760:GOA458761 GOA524296:GOA524297 GOA589832:GOA589833 GOA655368:GOA655369 GOA720904:GOA720905 GOA786440:GOA786441 GOA851976:GOA851977 GOA917512:GOA917513 GOA983048:GOA983049 GXW8:GXW9 GXW65544:GXW65545 GXW131080:GXW131081 GXW196616:GXW196617 GXW262152:GXW262153 GXW327688:GXW327689 GXW393224:GXW393225 GXW458760:GXW458761 GXW524296:GXW524297 GXW589832:GXW589833 GXW655368:GXW655369 GXW720904:GXW720905 GXW786440:GXW786441 GXW851976:GXW851977 GXW917512:GXW917513 GXW983048:GXW983049 HHS8:HHS9 HHS65544:HHS65545 HHS131080:HHS131081 HHS196616:HHS196617 HHS262152:HHS262153 HHS327688:HHS327689 HHS393224:HHS393225 HHS458760:HHS458761 HHS524296:HHS524297 HHS589832:HHS589833 HHS655368:HHS655369 HHS720904:HHS720905 HHS786440:HHS786441 HHS851976:HHS851977 HHS917512:HHS917513 HHS983048:HHS983049 HRO8:HRO9 HRO65544:HRO65545 HRO131080:HRO131081 HRO196616:HRO196617 HRO262152:HRO262153 HRO327688:HRO327689 HRO393224:HRO393225 HRO458760:HRO458761 HRO524296:HRO524297 HRO589832:HRO589833 HRO655368:HRO655369 HRO720904:HRO720905 HRO786440:HRO786441 HRO851976:HRO851977 HRO917512:HRO917513 HRO983048:HRO983049 IBK8:IBK9 IBK65544:IBK65545 IBK131080:IBK131081 IBK196616:IBK196617 IBK262152:IBK262153 IBK327688:IBK327689 IBK393224:IBK393225 IBK458760:IBK458761 IBK524296:IBK524297 IBK589832:IBK589833 IBK655368:IBK655369 IBK720904:IBK720905 IBK786440:IBK786441 IBK851976:IBK851977 IBK917512:IBK917513 IBK983048:IBK983049 ILG8:ILG9 ILG65544:ILG65545 ILG131080:ILG131081 ILG196616:ILG196617 ILG262152:ILG262153 ILG327688:ILG327689 ILG393224:ILG393225 ILG458760:ILG458761 ILG524296:ILG524297 ILG589832:ILG589833 ILG655368:ILG655369 ILG720904:ILG720905 ILG786440:ILG786441 ILG851976:ILG851977 ILG917512:ILG917513 ILG983048:ILG983049 IVC8:IVC9 IVC65544:IVC65545 IVC131080:IVC131081 IVC196616:IVC196617 IVC262152:IVC262153 IVC327688:IVC327689 IVC393224:IVC393225 IVC458760:IVC458761 IVC524296:IVC524297 IVC589832:IVC589833 IVC655368:IVC655369 IVC720904:IVC720905 IVC786440:IVC786441 IVC851976:IVC851977 IVC917512:IVC917513 IVC983048:IVC983049 JEY8:JEY9 JEY65544:JEY65545 JEY131080:JEY131081 JEY196616:JEY196617 JEY262152:JEY262153 JEY327688:JEY327689 JEY393224:JEY393225 JEY458760:JEY458761 JEY524296:JEY524297 JEY589832:JEY589833 JEY655368:JEY655369 JEY720904:JEY720905 JEY786440:JEY786441 JEY851976:JEY851977 JEY917512:JEY917513 JEY983048:JEY983049 JOU8:JOU9 JOU65544:JOU65545 JOU131080:JOU131081 JOU196616:JOU196617 JOU262152:JOU262153 JOU327688:JOU327689 JOU393224:JOU393225 JOU458760:JOU458761 JOU524296:JOU524297 JOU589832:JOU589833 JOU655368:JOU655369 JOU720904:JOU720905 JOU786440:JOU786441 JOU851976:JOU851977 JOU917512:JOU917513 JOU983048:JOU983049 JYQ8:JYQ9 JYQ65544:JYQ65545 JYQ131080:JYQ131081 JYQ196616:JYQ196617 JYQ262152:JYQ262153 JYQ327688:JYQ327689 JYQ393224:JYQ393225 JYQ458760:JYQ458761 JYQ524296:JYQ524297 JYQ589832:JYQ589833 JYQ655368:JYQ655369 JYQ720904:JYQ720905 JYQ786440:JYQ786441 JYQ851976:JYQ851977 JYQ917512:JYQ917513 JYQ983048:JYQ983049 KIM8:KIM9 KIM65544:KIM65545 KIM131080:KIM131081 KIM196616:KIM196617 KIM262152:KIM262153 KIM327688:KIM327689 KIM393224:KIM393225 KIM458760:KIM458761 KIM524296:KIM524297 KIM589832:KIM589833 KIM655368:KIM655369 KIM720904:KIM720905 KIM786440:KIM786441 KIM851976:KIM851977 KIM917512:KIM917513 KIM983048:KIM983049 KSI8:KSI9 KSI65544:KSI65545 KSI131080:KSI131081 KSI196616:KSI196617 KSI262152:KSI262153 KSI327688:KSI327689 KSI393224:KSI393225 KSI458760:KSI458761 KSI524296:KSI524297 KSI589832:KSI589833 KSI655368:KSI655369 KSI720904:KSI720905 KSI786440:KSI786441 KSI851976:KSI851977 KSI917512:KSI917513 KSI983048:KSI983049 LCE8:LCE9 LCE65544:LCE65545 LCE131080:LCE131081 LCE196616:LCE196617 LCE262152:LCE262153 LCE327688:LCE327689 LCE393224:LCE393225 LCE458760:LCE458761 LCE524296:LCE524297 LCE589832:LCE589833 LCE655368:LCE655369 LCE720904:LCE720905 LCE786440:LCE786441 LCE851976:LCE851977 LCE917512:LCE917513 LCE983048:LCE983049 LMA8:LMA9 LMA65544:LMA65545 LMA131080:LMA131081 LMA196616:LMA196617 LMA262152:LMA262153 LMA327688:LMA327689 LMA393224:LMA393225 LMA458760:LMA458761 LMA524296:LMA524297 LMA589832:LMA589833 LMA655368:LMA655369 LMA720904:LMA720905 LMA786440:LMA786441 LMA851976:LMA851977 LMA917512:LMA917513 LMA983048:LMA983049 LVW8:LVW9 LVW65544:LVW65545 LVW131080:LVW131081 LVW196616:LVW196617 LVW262152:LVW262153 LVW327688:LVW327689 LVW393224:LVW393225 LVW458760:LVW458761 LVW524296:LVW524297 LVW589832:LVW589833 LVW655368:LVW655369 LVW720904:LVW720905 LVW786440:LVW786441 LVW851976:LVW851977 LVW917512:LVW917513 LVW983048:LVW983049 MFS8:MFS9 MFS65544:MFS65545 MFS131080:MFS131081 MFS196616:MFS196617 MFS262152:MFS262153 MFS327688:MFS327689 MFS393224:MFS393225 MFS458760:MFS458761 MFS524296:MFS524297 MFS589832:MFS589833 MFS655368:MFS655369 MFS720904:MFS720905 MFS786440:MFS786441 MFS851976:MFS851977 MFS917512:MFS917513 MFS983048:MFS983049 MPO8:MPO9 MPO65544:MPO65545 MPO131080:MPO131081 MPO196616:MPO196617 MPO262152:MPO262153 MPO327688:MPO327689 MPO393224:MPO393225 MPO458760:MPO458761 MPO524296:MPO524297 MPO589832:MPO589833 MPO655368:MPO655369 MPO720904:MPO720905 MPO786440:MPO786441 MPO851976:MPO851977 MPO917512:MPO917513 MPO983048:MPO983049 MZK8:MZK9 MZK65544:MZK65545 MZK131080:MZK131081 MZK196616:MZK196617 MZK262152:MZK262153 MZK327688:MZK327689 MZK393224:MZK393225 MZK458760:MZK458761 MZK524296:MZK524297 MZK589832:MZK589833 MZK655368:MZK655369 MZK720904:MZK720905 MZK786440:MZK786441 MZK851976:MZK851977 MZK917512:MZK917513 MZK983048:MZK983049 NJG8:NJG9 NJG65544:NJG65545 NJG131080:NJG131081 NJG196616:NJG196617 NJG262152:NJG262153 NJG327688:NJG327689 NJG393224:NJG393225 NJG458760:NJG458761 NJG524296:NJG524297 NJG589832:NJG589833 NJG655368:NJG655369 NJG720904:NJG720905 NJG786440:NJG786441 NJG851976:NJG851977 NJG917512:NJG917513 NJG983048:NJG983049 NTC8:NTC9 NTC65544:NTC65545 NTC131080:NTC131081 NTC196616:NTC196617 NTC262152:NTC262153 NTC327688:NTC327689 NTC393224:NTC393225 NTC458760:NTC458761 NTC524296:NTC524297 NTC589832:NTC589833 NTC655368:NTC655369 NTC720904:NTC720905 NTC786440:NTC786441 NTC851976:NTC851977 NTC917512:NTC917513 NTC983048:NTC983049 OCY8:OCY9 OCY65544:OCY65545 OCY131080:OCY131081 OCY196616:OCY196617 OCY262152:OCY262153 OCY327688:OCY327689 OCY393224:OCY393225 OCY458760:OCY458761 OCY524296:OCY524297 OCY589832:OCY589833 OCY655368:OCY655369 OCY720904:OCY720905 OCY786440:OCY786441 OCY851976:OCY851977 OCY917512:OCY917513 OCY983048:OCY983049 OMU8:OMU9 OMU65544:OMU65545 OMU131080:OMU131081 OMU196616:OMU196617 OMU262152:OMU262153 OMU327688:OMU327689 OMU393224:OMU393225 OMU458760:OMU458761 OMU524296:OMU524297 OMU589832:OMU589833 OMU655368:OMU655369 OMU720904:OMU720905 OMU786440:OMU786441 OMU851976:OMU851977 OMU917512:OMU917513 OMU983048:OMU983049 OWQ8:OWQ9 OWQ65544:OWQ65545 OWQ131080:OWQ131081 OWQ196616:OWQ196617 OWQ262152:OWQ262153 OWQ327688:OWQ327689 OWQ393224:OWQ393225 OWQ458760:OWQ458761 OWQ524296:OWQ524297 OWQ589832:OWQ589833 OWQ655368:OWQ655369 OWQ720904:OWQ720905 OWQ786440:OWQ786441 OWQ851976:OWQ851977 OWQ917512:OWQ917513 OWQ983048:OWQ983049 PGM8:PGM9 PGM65544:PGM65545 PGM131080:PGM131081 PGM196616:PGM196617 PGM262152:PGM262153 PGM327688:PGM327689 PGM393224:PGM393225 PGM458760:PGM458761 PGM524296:PGM524297 PGM589832:PGM589833 PGM655368:PGM655369 PGM720904:PGM720905 PGM786440:PGM786441 PGM851976:PGM851977 PGM917512:PGM917513 PGM983048:PGM983049 PQI8:PQI9 PQI65544:PQI65545 PQI131080:PQI131081 PQI196616:PQI196617 PQI262152:PQI262153 PQI327688:PQI327689 PQI393224:PQI393225 PQI458760:PQI458761 PQI524296:PQI524297 PQI589832:PQI589833 PQI655368:PQI655369 PQI720904:PQI720905 PQI786440:PQI786441 PQI851976:PQI851977 PQI917512:PQI917513 PQI983048:PQI983049 QAE8:QAE9 QAE65544:QAE65545 QAE131080:QAE131081 QAE196616:QAE196617 QAE262152:QAE262153 QAE327688:QAE327689 QAE393224:QAE393225 QAE458760:QAE458761 QAE524296:QAE524297 QAE589832:QAE589833 QAE655368:QAE655369 QAE720904:QAE720905 QAE786440:QAE786441 QAE851976:QAE851977 QAE917512:QAE917513 QAE983048:QAE983049 QKA8:QKA9 QKA65544:QKA65545 QKA131080:QKA131081 QKA196616:QKA196617 QKA262152:QKA262153 QKA327688:QKA327689 QKA393224:QKA393225 QKA458760:QKA458761 QKA524296:QKA524297 QKA589832:QKA589833 QKA655368:QKA655369 QKA720904:QKA720905 QKA786440:QKA786441 QKA851976:QKA851977 QKA917512:QKA917513 QKA983048:QKA983049 QTW8:QTW9 QTW65544:QTW65545 QTW131080:QTW131081 QTW196616:QTW196617 QTW262152:QTW262153 QTW327688:QTW327689 QTW393224:QTW393225 QTW458760:QTW458761 QTW524296:QTW524297 QTW589832:QTW589833 QTW655368:QTW655369 QTW720904:QTW720905 QTW786440:QTW786441 QTW851976:QTW851977 QTW917512:QTW917513 QTW983048:QTW983049 RDS8:RDS9 RDS65544:RDS65545 RDS131080:RDS131081 RDS196616:RDS196617 RDS262152:RDS262153 RDS327688:RDS327689 RDS393224:RDS393225 RDS458760:RDS458761 RDS524296:RDS524297 RDS589832:RDS589833 RDS655368:RDS655369 RDS720904:RDS720905 RDS786440:RDS786441 RDS851976:RDS851977 RDS917512:RDS917513 RDS983048:RDS983049 RNO8:RNO9 RNO65544:RNO65545 RNO131080:RNO131081 RNO196616:RNO196617 RNO262152:RNO262153 RNO327688:RNO327689 RNO393224:RNO393225 RNO458760:RNO458761 RNO524296:RNO524297 RNO589832:RNO589833 RNO655368:RNO655369 RNO720904:RNO720905 RNO786440:RNO786441 RNO851976:RNO851977 RNO917512:RNO917513 RNO983048:RNO983049 RXK8:RXK9 RXK65544:RXK65545 RXK131080:RXK131081 RXK196616:RXK196617 RXK262152:RXK262153 RXK327688:RXK327689 RXK393224:RXK393225 RXK458760:RXK458761 RXK524296:RXK524297 RXK589832:RXK589833 RXK655368:RXK655369 RXK720904:RXK720905 RXK786440:RXK786441 RXK851976:RXK851977 RXK917512:RXK917513 RXK983048:RXK983049 SHG8:SHG9 SHG65544:SHG65545 SHG131080:SHG131081 SHG196616:SHG196617 SHG262152:SHG262153 SHG327688:SHG327689 SHG393224:SHG393225 SHG458760:SHG458761 SHG524296:SHG524297 SHG589832:SHG589833 SHG655368:SHG655369 SHG720904:SHG720905 SHG786440:SHG786441 SHG851976:SHG851977 SHG917512:SHG917513 SHG983048:SHG983049 SRC8:SRC9 SRC65544:SRC65545 SRC131080:SRC131081 SRC196616:SRC196617 SRC262152:SRC262153 SRC327688:SRC327689 SRC393224:SRC393225 SRC458760:SRC458761 SRC524296:SRC524297 SRC589832:SRC589833 SRC655368:SRC655369 SRC720904:SRC720905 SRC786440:SRC786441 SRC851976:SRC851977 SRC917512:SRC917513 SRC983048:SRC983049 TAY8:TAY9 TAY65544:TAY65545 TAY131080:TAY131081 TAY196616:TAY196617 TAY262152:TAY262153 TAY327688:TAY327689 TAY393224:TAY393225 TAY458760:TAY458761 TAY524296:TAY524297 TAY589832:TAY589833 TAY655368:TAY655369 TAY720904:TAY720905 TAY786440:TAY786441 TAY851976:TAY851977 TAY917512:TAY917513 TAY983048:TAY983049 TKU8:TKU9 TKU65544:TKU65545 TKU131080:TKU131081 TKU196616:TKU196617 TKU262152:TKU262153 TKU327688:TKU327689 TKU393224:TKU393225 TKU458760:TKU458761 TKU524296:TKU524297 TKU589832:TKU589833 TKU655368:TKU655369 TKU720904:TKU720905 TKU786440:TKU786441 TKU851976:TKU851977 TKU917512:TKU917513 TKU983048:TKU983049 TUQ8:TUQ9 TUQ65544:TUQ65545 TUQ131080:TUQ131081 TUQ196616:TUQ196617 TUQ262152:TUQ262153 TUQ327688:TUQ327689 TUQ393224:TUQ393225 TUQ458760:TUQ458761 TUQ524296:TUQ524297 TUQ589832:TUQ589833 TUQ655368:TUQ655369 TUQ720904:TUQ720905 TUQ786440:TUQ786441 TUQ851976:TUQ851977 TUQ917512:TUQ917513 TUQ983048:TUQ983049 UEM8:UEM9 UEM65544:UEM65545 UEM131080:UEM131081 UEM196616:UEM196617 UEM262152:UEM262153 UEM327688:UEM327689 UEM393224:UEM393225 UEM458760:UEM458761 UEM524296:UEM524297 UEM589832:UEM589833 UEM655368:UEM655369 UEM720904:UEM720905 UEM786440:UEM786441 UEM851976:UEM851977 UEM917512:UEM917513 UEM983048:UEM983049 UOI8:UOI9 UOI65544:UOI65545 UOI131080:UOI131081 UOI196616:UOI196617 UOI262152:UOI262153 UOI327688:UOI327689 UOI393224:UOI393225 UOI458760:UOI458761 UOI524296:UOI524297 UOI589832:UOI589833 UOI655368:UOI655369 UOI720904:UOI720905 UOI786440:UOI786441 UOI851976:UOI851977 UOI917512:UOI917513 UOI983048:UOI983049 UYE8:UYE9 UYE65544:UYE65545 UYE131080:UYE131081 UYE196616:UYE196617 UYE262152:UYE262153 UYE327688:UYE327689 UYE393224:UYE393225 UYE458760:UYE458761 UYE524296:UYE524297 UYE589832:UYE589833 UYE655368:UYE655369 UYE720904:UYE720905 UYE786440:UYE786441 UYE851976:UYE851977 UYE917512:UYE917513 UYE983048:UYE983049 VIA8:VIA9 VIA65544:VIA65545 VIA131080:VIA131081 VIA196616:VIA196617 VIA262152:VIA262153 VIA327688:VIA327689 VIA393224:VIA393225 VIA458760:VIA458761 VIA524296:VIA524297 VIA589832:VIA589833 VIA655368:VIA655369 VIA720904:VIA720905 VIA786440:VIA786441 VIA851976:VIA851977 VIA917512:VIA917513 VIA983048:VIA983049 VRW8:VRW9 VRW65544:VRW65545 VRW131080:VRW131081 VRW196616:VRW196617 VRW262152:VRW262153 VRW327688:VRW327689 VRW393224:VRW393225 VRW458760:VRW458761 VRW524296:VRW524297 VRW589832:VRW589833 VRW655368:VRW655369 VRW720904:VRW720905 VRW786440:VRW786441 VRW851976:VRW851977 VRW917512:VRW917513 VRW983048:VRW983049 WBS8:WBS9 WBS65544:WBS65545 WBS131080:WBS131081 WBS196616:WBS196617 WBS262152:WBS262153 WBS327688:WBS327689 WBS393224:WBS393225 WBS458760:WBS458761 WBS524296:WBS524297 WBS589832:WBS589833 WBS655368:WBS655369 WBS720904:WBS720905 WBS786440:WBS786441 WBS851976:WBS851977 WBS917512:WBS917513 WBS983048:WBS983049 WLO8:WLO9 WLO65544:WLO65545 WLO131080:WLO131081 WLO196616:WLO196617 WLO262152:WLO262153 WLO327688:WLO327689 WLO393224:WLO393225 WLO458760:WLO458761 WLO524296:WLO524297 WLO589832:WLO589833 WLO655368:WLO655369 WLO720904:WLO720905 WLO786440:WLO786441 WLO851976:WLO851977 WLO917512:WLO917513 WLO983048:WLO983049 WVK8:WVK9 WVK65544:WVK65545 WVK131080:WVK131081 WVK196616:WVK196617 WVK262152:WVK262153 WVK327688:WVK327689 WVK393224:WVK393225 WVK458760:WVK458761 WVK524296:WVK524297 WVK589832:WVK589833 WVK655368:WVK655369 WVK720904:WVK720905 WVK786440:WVK786441 WVK851976:WVK851977 WVK917512:WVK917513 WVK983048:WVK983049" xr:uid="{00000000-0002-0000-2300-000000000000}">
      <formula1>#REF!</formula1>
    </dataValidation>
  </dataValidations>
  <pageMargins left="0.7" right="0.7" top="0.75" bottom="0.75" header="0.3" footer="0.3"/>
  <pageSetup paperSize="9" orientation="portrait"/>
  <drawing r:id="rId1"/>
  <legacyDrawing r:id="rId2"/>
  <oleObjects>
    <mc:AlternateContent xmlns:mc="http://schemas.openxmlformats.org/markup-compatibility/2006">
      <mc:Choice Requires="x14">
        <oleObject progId="Equation.3" shapeId="1316865" r:id="rId3">
          <objectPr defaultSize="0" altText="" r:id="rId4">
            <anchor moveWithCells="1">
              <from>
                <xdr:col>1</xdr:col>
                <xdr:colOff>47625</xdr:colOff>
                <xdr:row>17</xdr:row>
                <xdr:rowOff>9525</xdr:rowOff>
              </from>
              <to>
                <xdr:col>1</xdr:col>
                <xdr:colOff>1181100</xdr:colOff>
                <xdr:row>18</xdr:row>
                <xdr:rowOff>9525</xdr:rowOff>
              </to>
            </anchor>
          </objectPr>
        </oleObject>
      </mc:Choice>
      <mc:Fallback>
        <oleObject progId="Equation.3" shapeId="1316865" r:id="rId3"/>
      </mc:Fallback>
    </mc:AlternateContent>
    <mc:AlternateContent xmlns:mc="http://schemas.openxmlformats.org/markup-compatibility/2006">
      <mc:Choice Requires="x14">
        <oleObject progId="Equation.3" shapeId="1316866" r:id="rId5">
          <objectPr defaultSize="0" altText="" r:id="rId6">
            <anchor moveWithCells="1">
              <from>
                <xdr:col>1</xdr:col>
                <xdr:colOff>19050</xdr:colOff>
                <xdr:row>19</xdr:row>
                <xdr:rowOff>266700</xdr:rowOff>
              </from>
              <to>
                <xdr:col>2</xdr:col>
                <xdr:colOff>19050</xdr:colOff>
                <xdr:row>21</xdr:row>
                <xdr:rowOff>19050</xdr:rowOff>
              </to>
            </anchor>
          </objectPr>
        </oleObject>
      </mc:Choice>
      <mc:Fallback>
        <oleObject progId="Equation.3" shapeId="1316866" r:id="rId5"/>
      </mc:Fallback>
    </mc:AlternateContent>
  </oleObjec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11"/>
  <sheetViews>
    <sheetView workbookViewId="0">
      <selection activeCell="C18" sqref="C18"/>
    </sheetView>
  </sheetViews>
  <sheetFormatPr defaultColWidth="9" defaultRowHeight="14.25"/>
  <cols>
    <col min="1" max="1" width="15.125" style="3434" customWidth="1"/>
    <col min="2" max="2" width="13.125" style="3434" customWidth="1"/>
    <col min="3" max="3" width="13.25" style="3434" customWidth="1"/>
    <col min="4" max="4" width="15.875" style="3435" customWidth="1"/>
    <col min="5" max="5" width="18.5" style="3436" customWidth="1"/>
    <col min="6" max="6" width="15.625" style="3437" customWidth="1"/>
    <col min="7" max="8" width="12.875" style="3437" customWidth="1"/>
    <col min="9" max="9" width="12.75" style="3437" customWidth="1"/>
    <col min="10" max="10" width="13.875" style="3437" customWidth="1"/>
    <col min="11" max="11" width="14.625" style="3437" customWidth="1"/>
    <col min="12" max="256" width="9" style="3437"/>
    <col min="257" max="257" width="15.125" style="3437" customWidth="1"/>
    <col min="258" max="258" width="13.125" style="3437" customWidth="1"/>
    <col min="259" max="259" width="13.25" style="3437" customWidth="1"/>
    <col min="260" max="260" width="15.875" style="3437" customWidth="1"/>
    <col min="261" max="261" width="18.5" style="3437" customWidth="1"/>
    <col min="262" max="262" width="15.625" style="3437" customWidth="1"/>
    <col min="263" max="264" width="12.875" style="3437" customWidth="1"/>
    <col min="265" max="265" width="12.75" style="3437" customWidth="1"/>
    <col min="266" max="266" width="13.875" style="3437" customWidth="1"/>
    <col min="267" max="267" width="14.625" style="3437" customWidth="1"/>
    <col min="268" max="512" width="9" style="3437"/>
    <col min="513" max="513" width="15.125" style="3437" customWidth="1"/>
    <col min="514" max="514" width="13.125" style="3437" customWidth="1"/>
    <col min="515" max="515" width="13.25" style="3437" customWidth="1"/>
    <col min="516" max="516" width="15.875" style="3437" customWidth="1"/>
    <col min="517" max="517" width="18.5" style="3437" customWidth="1"/>
    <col min="518" max="518" width="15.625" style="3437" customWidth="1"/>
    <col min="519" max="520" width="12.875" style="3437" customWidth="1"/>
    <col min="521" max="521" width="12.75" style="3437" customWidth="1"/>
    <col min="522" max="522" width="13.875" style="3437" customWidth="1"/>
    <col min="523" max="523" width="14.625" style="3437" customWidth="1"/>
    <col min="524" max="768" width="9" style="3437"/>
    <col min="769" max="769" width="15.125" style="3437" customWidth="1"/>
    <col min="770" max="770" width="13.125" style="3437" customWidth="1"/>
    <col min="771" max="771" width="13.25" style="3437" customWidth="1"/>
    <col min="772" max="772" width="15.875" style="3437" customWidth="1"/>
    <col min="773" max="773" width="18.5" style="3437" customWidth="1"/>
    <col min="774" max="774" width="15.625" style="3437" customWidth="1"/>
    <col min="775" max="776" width="12.875" style="3437" customWidth="1"/>
    <col min="777" max="777" width="12.75" style="3437" customWidth="1"/>
    <col min="778" max="778" width="13.875" style="3437" customWidth="1"/>
    <col min="779" max="779" width="14.625" style="3437" customWidth="1"/>
    <col min="780" max="1024" width="9" style="3437"/>
    <col min="1025" max="1025" width="15.125" style="3437" customWidth="1"/>
    <col min="1026" max="1026" width="13.125" style="3437" customWidth="1"/>
    <col min="1027" max="1027" width="13.25" style="3437" customWidth="1"/>
    <col min="1028" max="1028" width="15.875" style="3437" customWidth="1"/>
    <col min="1029" max="1029" width="18.5" style="3437" customWidth="1"/>
    <col min="1030" max="1030" width="15.625" style="3437" customWidth="1"/>
    <col min="1031" max="1032" width="12.875" style="3437" customWidth="1"/>
    <col min="1033" max="1033" width="12.75" style="3437" customWidth="1"/>
    <col min="1034" max="1034" width="13.875" style="3437" customWidth="1"/>
    <col min="1035" max="1035" width="14.625" style="3437" customWidth="1"/>
    <col min="1036" max="1280" width="9" style="3437"/>
    <col min="1281" max="1281" width="15.125" style="3437" customWidth="1"/>
    <col min="1282" max="1282" width="13.125" style="3437" customWidth="1"/>
    <col min="1283" max="1283" width="13.25" style="3437" customWidth="1"/>
    <col min="1284" max="1284" width="15.875" style="3437" customWidth="1"/>
    <col min="1285" max="1285" width="18.5" style="3437" customWidth="1"/>
    <col min="1286" max="1286" width="15.625" style="3437" customWidth="1"/>
    <col min="1287" max="1288" width="12.875" style="3437" customWidth="1"/>
    <col min="1289" max="1289" width="12.75" style="3437" customWidth="1"/>
    <col min="1290" max="1290" width="13.875" style="3437" customWidth="1"/>
    <col min="1291" max="1291" width="14.625" style="3437" customWidth="1"/>
    <col min="1292" max="1536" width="9" style="3437"/>
    <col min="1537" max="1537" width="15.125" style="3437" customWidth="1"/>
    <col min="1538" max="1538" width="13.125" style="3437" customWidth="1"/>
    <col min="1539" max="1539" width="13.25" style="3437" customWidth="1"/>
    <col min="1540" max="1540" width="15.875" style="3437" customWidth="1"/>
    <col min="1541" max="1541" width="18.5" style="3437" customWidth="1"/>
    <col min="1542" max="1542" width="15.625" style="3437" customWidth="1"/>
    <col min="1543" max="1544" width="12.875" style="3437" customWidth="1"/>
    <col min="1545" max="1545" width="12.75" style="3437" customWidth="1"/>
    <col min="1546" max="1546" width="13.875" style="3437" customWidth="1"/>
    <col min="1547" max="1547" width="14.625" style="3437" customWidth="1"/>
    <col min="1548" max="1792" width="9" style="3437"/>
    <col min="1793" max="1793" width="15.125" style="3437" customWidth="1"/>
    <col min="1794" max="1794" width="13.125" style="3437" customWidth="1"/>
    <col min="1795" max="1795" width="13.25" style="3437" customWidth="1"/>
    <col min="1796" max="1796" width="15.875" style="3437" customWidth="1"/>
    <col min="1797" max="1797" width="18.5" style="3437" customWidth="1"/>
    <col min="1798" max="1798" width="15.625" style="3437" customWidth="1"/>
    <col min="1799" max="1800" width="12.875" style="3437" customWidth="1"/>
    <col min="1801" max="1801" width="12.75" style="3437" customWidth="1"/>
    <col min="1802" max="1802" width="13.875" style="3437" customWidth="1"/>
    <col min="1803" max="1803" width="14.625" style="3437" customWidth="1"/>
    <col min="1804" max="2048" width="9" style="3437"/>
    <col min="2049" max="2049" width="15.125" style="3437" customWidth="1"/>
    <col min="2050" max="2050" width="13.125" style="3437" customWidth="1"/>
    <col min="2051" max="2051" width="13.25" style="3437" customWidth="1"/>
    <col min="2052" max="2052" width="15.875" style="3437" customWidth="1"/>
    <col min="2053" max="2053" width="18.5" style="3437" customWidth="1"/>
    <col min="2054" max="2054" width="15.625" style="3437" customWidth="1"/>
    <col min="2055" max="2056" width="12.875" style="3437" customWidth="1"/>
    <col min="2057" max="2057" width="12.75" style="3437" customWidth="1"/>
    <col min="2058" max="2058" width="13.875" style="3437" customWidth="1"/>
    <col min="2059" max="2059" width="14.625" style="3437" customWidth="1"/>
    <col min="2060" max="2304" width="9" style="3437"/>
    <col min="2305" max="2305" width="15.125" style="3437" customWidth="1"/>
    <col min="2306" max="2306" width="13.125" style="3437" customWidth="1"/>
    <col min="2307" max="2307" width="13.25" style="3437" customWidth="1"/>
    <col min="2308" max="2308" width="15.875" style="3437" customWidth="1"/>
    <col min="2309" max="2309" width="18.5" style="3437" customWidth="1"/>
    <col min="2310" max="2310" width="15.625" style="3437" customWidth="1"/>
    <col min="2311" max="2312" width="12.875" style="3437" customWidth="1"/>
    <col min="2313" max="2313" width="12.75" style="3437" customWidth="1"/>
    <col min="2314" max="2314" width="13.875" style="3437" customWidth="1"/>
    <col min="2315" max="2315" width="14.625" style="3437" customWidth="1"/>
    <col min="2316" max="2560" width="9" style="3437"/>
    <col min="2561" max="2561" width="15.125" style="3437" customWidth="1"/>
    <col min="2562" max="2562" width="13.125" style="3437" customWidth="1"/>
    <col min="2563" max="2563" width="13.25" style="3437" customWidth="1"/>
    <col min="2564" max="2564" width="15.875" style="3437" customWidth="1"/>
    <col min="2565" max="2565" width="18.5" style="3437" customWidth="1"/>
    <col min="2566" max="2566" width="15.625" style="3437" customWidth="1"/>
    <col min="2567" max="2568" width="12.875" style="3437" customWidth="1"/>
    <col min="2569" max="2569" width="12.75" style="3437" customWidth="1"/>
    <col min="2570" max="2570" width="13.875" style="3437" customWidth="1"/>
    <col min="2571" max="2571" width="14.625" style="3437" customWidth="1"/>
    <col min="2572" max="2816" width="9" style="3437"/>
    <col min="2817" max="2817" width="15.125" style="3437" customWidth="1"/>
    <col min="2818" max="2818" width="13.125" style="3437" customWidth="1"/>
    <col min="2819" max="2819" width="13.25" style="3437" customWidth="1"/>
    <col min="2820" max="2820" width="15.875" style="3437" customWidth="1"/>
    <col min="2821" max="2821" width="18.5" style="3437" customWidth="1"/>
    <col min="2822" max="2822" width="15.625" style="3437" customWidth="1"/>
    <col min="2823" max="2824" width="12.875" style="3437" customWidth="1"/>
    <col min="2825" max="2825" width="12.75" style="3437" customWidth="1"/>
    <col min="2826" max="2826" width="13.875" style="3437" customWidth="1"/>
    <col min="2827" max="2827" width="14.625" style="3437" customWidth="1"/>
    <col min="2828" max="3072" width="9" style="3437"/>
    <col min="3073" max="3073" width="15.125" style="3437" customWidth="1"/>
    <col min="3074" max="3074" width="13.125" style="3437" customWidth="1"/>
    <col min="3075" max="3075" width="13.25" style="3437" customWidth="1"/>
    <col min="3076" max="3076" width="15.875" style="3437" customWidth="1"/>
    <col min="3077" max="3077" width="18.5" style="3437" customWidth="1"/>
    <col min="3078" max="3078" width="15.625" style="3437" customWidth="1"/>
    <col min="3079" max="3080" width="12.875" style="3437" customWidth="1"/>
    <col min="3081" max="3081" width="12.75" style="3437" customWidth="1"/>
    <col min="3082" max="3082" width="13.875" style="3437" customWidth="1"/>
    <col min="3083" max="3083" width="14.625" style="3437" customWidth="1"/>
    <col min="3084" max="3328" width="9" style="3437"/>
    <col min="3329" max="3329" width="15.125" style="3437" customWidth="1"/>
    <col min="3330" max="3330" width="13.125" style="3437" customWidth="1"/>
    <col min="3331" max="3331" width="13.25" style="3437" customWidth="1"/>
    <col min="3332" max="3332" width="15.875" style="3437" customWidth="1"/>
    <col min="3333" max="3333" width="18.5" style="3437" customWidth="1"/>
    <col min="3334" max="3334" width="15.625" style="3437" customWidth="1"/>
    <col min="3335" max="3336" width="12.875" style="3437" customWidth="1"/>
    <col min="3337" max="3337" width="12.75" style="3437" customWidth="1"/>
    <col min="3338" max="3338" width="13.875" style="3437" customWidth="1"/>
    <col min="3339" max="3339" width="14.625" style="3437" customWidth="1"/>
    <col min="3340" max="3584" width="9" style="3437"/>
    <col min="3585" max="3585" width="15.125" style="3437" customWidth="1"/>
    <col min="3586" max="3586" width="13.125" style="3437" customWidth="1"/>
    <col min="3587" max="3587" width="13.25" style="3437" customWidth="1"/>
    <col min="3588" max="3588" width="15.875" style="3437" customWidth="1"/>
    <col min="3589" max="3589" width="18.5" style="3437" customWidth="1"/>
    <col min="3590" max="3590" width="15.625" style="3437" customWidth="1"/>
    <col min="3591" max="3592" width="12.875" style="3437" customWidth="1"/>
    <col min="3593" max="3593" width="12.75" style="3437" customWidth="1"/>
    <col min="3594" max="3594" width="13.875" style="3437" customWidth="1"/>
    <col min="3595" max="3595" width="14.625" style="3437" customWidth="1"/>
    <col min="3596" max="3840" width="9" style="3437"/>
    <col min="3841" max="3841" width="15.125" style="3437" customWidth="1"/>
    <col min="3842" max="3842" width="13.125" style="3437" customWidth="1"/>
    <col min="3843" max="3843" width="13.25" style="3437" customWidth="1"/>
    <col min="3844" max="3844" width="15.875" style="3437" customWidth="1"/>
    <col min="3845" max="3845" width="18.5" style="3437" customWidth="1"/>
    <col min="3846" max="3846" width="15.625" style="3437" customWidth="1"/>
    <col min="3847" max="3848" width="12.875" style="3437" customWidth="1"/>
    <col min="3849" max="3849" width="12.75" style="3437" customWidth="1"/>
    <col min="3850" max="3850" width="13.875" style="3437" customWidth="1"/>
    <col min="3851" max="3851" width="14.625" style="3437" customWidth="1"/>
    <col min="3852" max="4096" width="9" style="3437"/>
    <col min="4097" max="4097" width="15.125" style="3437" customWidth="1"/>
    <col min="4098" max="4098" width="13.125" style="3437" customWidth="1"/>
    <col min="4099" max="4099" width="13.25" style="3437" customWidth="1"/>
    <col min="4100" max="4100" width="15.875" style="3437" customWidth="1"/>
    <col min="4101" max="4101" width="18.5" style="3437" customWidth="1"/>
    <col min="4102" max="4102" width="15.625" style="3437" customWidth="1"/>
    <col min="4103" max="4104" width="12.875" style="3437" customWidth="1"/>
    <col min="4105" max="4105" width="12.75" style="3437" customWidth="1"/>
    <col min="4106" max="4106" width="13.875" style="3437" customWidth="1"/>
    <col min="4107" max="4107" width="14.625" style="3437" customWidth="1"/>
    <col min="4108" max="4352" width="9" style="3437"/>
    <col min="4353" max="4353" width="15.125" style="3437" customWidth="1"/>
    <col min="4354" max="4354" width="13.125" style="3437" customWidth="1"/>
    <col min="4355" max="4355" width="13.25" style="3437" customWidth="1"/>
    <col min="4356" max="4356" width="15.875" style="3437" customWidth="1"/>
    <col min="4357" max="4357" width="18.5" style="3437" customWidth="1"/>
    <col min="4358" max="4358" width="15.625" style="3437" customWidth="1"/>
    <col min="4359" max="4360" width="12.875" style="3437" customWidth="1"/>
    <col min="4361" max="4361" width="12.75" style="3437" customWidth="1"/>
    <col min="4362" max="4362" width="13.875" style="3437" customWidth="1"/>
    <col min="4363" max="4363" width="14.625" style="3437" customWidth="1"/>
    <col min="4364" max="4608" width="9" style="3437"/>
    <col min="4609" max="4609" width="15.125" style="3437" customWidth="1"/>
    <col min="4610" max="4610" width="13.125" style="3437" customWidth="1"/>
    <col min="4611" max="4611" width="13.25" style="3437" customWidth="1"/>
    <col min="4612" max="4612" width="15.875" style="3437" customWidth="1"/>
    <col min="4613" max="4613" width="18.5" style="3437" customWidth="1"/>
    <col min="4614" max="4614" width="15.625" style="3437" customWidth="1"/>
    <col min="4615" max="4616" width="12.875" style="3437" customWidth="1"/>
    <col min="4617" max="4617" width="12.75" style="3437" customWidth="1"/>
    <col min="4618" max="4618" width="13.875" style="3437" customWidth="1"/>
    <col min="4619" max="4619" width="14.625" style="3437" customWidth="1"/>
    <col min="4620" max="4864" width="9" style="3437"/>
    <col min="4865" max="4865" width="15.125" style="3437" customWidth="1"/>
    <col min="4866" max="4866" width="13.125" style="3437" customWidth="1"/>
    <col min="4867" max="4867" width="13.25" style="3437" customWidth="1"/>
    <col min="4868" max="4868" width="15.875" style="3437" customWidth="1"/>
    <col min="4869" max="4869" width="18.5" style="3437" customWidth="1"/>
    <col min="4870" max="4870" width="15.625" style="3437" customWidth="1"/>
    <col min="4871" max="4872" width="12.875" style="3437" customWidth="1"/>
    <col min="4873" max="4873" width="12.75" style="3437" customWidth="1"/>
    <col min="4874" max="4874" width="13.875" style="3437" customWidth="1"/>
    <col min="4875" max="4875" width="14.625" style="3437" customWidth="1"/>
    <col min="4876" max="5120" width="9" style="3437"/>
    <col min="5121" max="5121" width="15.125" style="3437" customWidth="1"/>
    <col min="5122" max="5122" width="13.125" style="3437" customWidth="1"/>
    <col min="5123" max="5123" width="13.25" style="3437" customWidth="1"/>
    <col min="5124" max="5124" width="15.875" style="3437" customWidth="1"/>
    <col min="5125" max="5125" width="18.5" style="3437" customWidth="1"/>
    <col min="5126" max="5126" width="15.625" style="3437" customWidth="1"/>
    <col min="5127" max="5128" width="12.875" style="3437" customWidth="1"/>
    <col min="5129" max="5129" width="12.75" style="3437" customWidth="1"/>
    <col min="5130" max="5130" width="13.875" style="3437" customWidth="1"/>
    <col min="5131" max="5131" width="14.625" style="3437" customWidth="1"/>
    <col min="5132" max="5376" width="9" style="3437"/>
    <col min="5377" max="5377" width="15.125" style="3437" customWidth="1"/>
    <col min="5378" max="5378" width="13.125" style="3437" customWidth="1"/>
    <col min="5379" max="5379" width="13.25" style="3437" customWidth="1"/>
    <col min="5380" max="5380" width="15.875" style="3437" customWidth="1"/>
    <col min="5381" max="5381" width="18.5" style="3437" customWidth="1"/>
    <col min="5382" max="5382" width="15.625" style="3437" customWidth="1"/>
    <col min="5383" max="5384" width="12.875" style="3437" customWidth="1"/>
    <col min="5385" max="5385" width="12.75" style="3437" customWidth="1"/>
    <col min="5386" max="5386" width="13.875" style="3437" customWidth="1"/>
    <col min="5387" max="5387" width="14.625" style="3437" customWidth="1"/>
    <col min="5388" max="5632" width="9" style="3437"/>
    <col min="5633" max="5633" width="15.125" style="3437" customWidth="1"/>
    <col min="5634" max="5634" width="13.125" style="3437" customWidth="1"/>
    <col min="5635" max="5635" width="13.25" style="3437" customWidth="1"/>
    <col min="5636" max="5636" width="15.875" style="3437" customWidth="1"/>
    <col min="5637" max="5637" width="18.5" style="3437" customWidth="1"/>
    <col min="5638" max="5638" width="15.625" style="3437" customWidth="1"/>
    <col min="5639" max="5640" width="12.875" style="3437" customWidth="1"/>
    <col min="5641" max="5641" width="12.75" style="3437" customWidth="1"/>
    <col min="5642" max="5642" width="13.875" style="3437" customWidth="1"/>
    <col min="5643" max="5643" width="14.625" style="3437" customWidth="1"/>
    <col min="5644" max="5888" width="9" style="3437"/>
    <col min="5889" max="5889" width="15.125" style="3437" customWidth="1"/>
    <col min="5890" max="5890" width="13.125" style="3437" customWidth="1"/>
    <col min="5891" max="5891" width="13.25" style="3437" customWidth="1"/>
    <col min="5892" max="5892" width="15.875" style="3437" customWidth="1"/>
    <col min="5893" max="5893" width="18.5" style="3437" customWidth="1"/>
    <col min="5894" max="5894" width="15.625" style="3437" customWidth="1"/>
    <col min="5895" max="5896" width="12.875" style="3437" customWidth="1"/>
    <col min="5897" max="5897" width="12.75" style="3437" customWidth="1"/>
    <col min="5898" max="5898" width="13.875" style="3437" customWidth="1"/>
    <col min="5899" max="5899" width="14.625" style="3437" customWidth="1"/>
    <col min="5900" max="6144" width="9" style="3437"/>
    <col min="6145" max="6145" width="15.125" style="3437" customWidth="1"/>
    <col min="6146" max="6146" width="13.125" style="3437" customWidth="1"/>
    <col min="6147" max="6147" width="13.25" style="3437" customWidth="1"/>
    <col min="6148" max="6148" width="15.875" style="3437" customWidth="1"/>
    <col min="6149" max="6149" width="18.5" style="3437" customWidth="1"/>
    <col min="6150" max="6150" width="15.625" style="3437" customWidth="1"/>
    <col min="6151" max="6152" width="12.875" style="3437" customWidth="1"/>
    <col min="6153" max="6153" width="12.75" style="3437" customWidth="1"/>
    <col min="6154" max="6154" width="13.875" style="3437" customWidth="1"/>
    <col min="6155" max="6155" width="14.625" style="3437" customWidth="1"/>
    <col min="6156" max="6400" width="9" style="3437"/>
    <col min="6401" max="6401" width="15.125" style="3437" customWidth="1"/>
    <col min="6402" max="6402" width="13.125" style="3437" customWidth="1"/>
    <col min="6403" max="6403" width="13.25" style="3437" customWidth="1"/>
    <col min="6404" max="6404" width="15.875" style="3437" customWidth="1"/>
    <col min="6405" max="6405" width="18.5" style="3437" customWidth="1"/>
    <col min="6406" max="6406" width="15.625" style="3437" customWidth="1"/>
    <col min="6407" max="6408" width="12.875" style="3437" customWidth="1"/>
    <col min="6409" max="6409" width="12.75" style="3437" customWidth="1"/>
    <col min="6410" max="6410" width="13.875" style="3437" customWidth="1"/>
    <col min="6411" max="6411" width="14.625" style="3437" customWidth="1"/>
    <col min="6412" max="6656" width="9" style="3437"/>
    <col min="6657" max="6657" width="15.125" style="3437" customWidth="1"/>
    <col min="6658" max="6658" width="13.125" style="3437" customWidth="1"/>
    <col min="6659" max="6659" width="13.25" style="3437" customWidth="1"/>
    <col min="6660" max="6660" width="15.875" style="3437" customWidth="1"/>
    <col min="6661" max="6661" width="18.5" style="3437" customWidth="1"/>
    <col min="6662" max="6662" width="15.625" style="3437" customWidth="1"/>
    <col min="6663" max="6664" width="12.875" style="3437" customWidth="1"/>
    <col min="6665" max="6665" width="12.75" style="3437" customWidth="1"/>
    <col min="6666" max="6666" width="13.875" style="3437" customWidth="1"/>
    <col min="6667" max="6667" width="14.625" style="3437" customWidth="1"/>
    <col min="6668" max="6912" width="9" style="3437"/>
    <col min="6913" max="6913" width="15.125" style="3437" customWidth="1"/>
    <col min="6914" max="6914" width="13.125" style="3437" customWidth="1"/>
    <col min="6915" max="6915" width="13.25" style="3437" customWidth="1"/>
    <col min="6916" max="6916" width="15.875" style="3437" customWidth="1"/>
    <col min="6917" max="6917" width="18.5" style="3437" customWidth="1"/>
    <col min="6918" max="6918" width="15.625" style="3437" customWidth="1"/>
    <col min="6919" max="6920" width="12.875" style="3437" customWidth="1"/>
    <col min="6921" max="6921" width="12.75" style="3437" customWidth="1"/>
    <col min="6922" max="6922" width="13.875" style="3437" customWidth="1"/>
    <col min="6923" max="6923" width="14.625" style="3437" customWidth="1"/>
    <col min="6924" max="7168" width="9" style="3437"/>
    <col min="7169" max="7169" width="15.125" style="3437" customWidth="1"/>
    <col min="7170" max="7170" width="13.125" style="3437" customWidth="1"/>
    <col min="7171" max="7171" width="13.25" style="3437" customWidth="1"/>
    <col min="7172" max="7172" width="15.875" style="3437" customWidth="1"/>
    <col min="7173" max="7173" width="18.5" style="3437" customWidth="1"/>
    <col min="7174" max="7174" width="15.625" style="3437" customWidth="1"/>
    <col min="7175" max="7176" width="12.875" style="3437" customWidth="1"/>
    <col min="7177" max="7177" width="12.75" style="3437" customWidth="1"/>
    <col min="7178" max="7178" width="13.875" style="3437" customWidth="1"/>
    <col min="7179" max="7179" width="14.625" style="3437" customWidth="1"/>
    <col min="7180" max="7424" width="9" style="3437"/>
    <col min="7425" max="7425" width="15.125" style="3437" customWidth="1"/>
    <col min="7426" max="7426" width="13.125" style="3437" customWidth="1"/>
    <col min="7427" max="7427" width="13.25" style="3437" customWidth="1"/>
    <col min="7428" max="7428" width="15.875" style="3437" customWidth="1"/>
    <col min="7429" max="7429" width="18.5" style="3437" customWidth="1"/>
    <col min="7430" max="7430" width="15.625" style="3437" customWidth="1"/>
    <col min="7431" max="7432" width="12.875" style="3437" customWidth="1"/>
    <col min="7433" max="7433" width="12.75" style="3437" customWidth="1"/>
    <col min="7434" max="7434" width="13.875" style="3437" customWidth="1"/>
    <col min="7435" max="7435" width="14.625" style="3437" customWidth="1"/>
    <col min="7436" max="7680" width="9" style="3437"/>
    <col min="7681" max="7681" width="15.125" style="3437" customWidth="1"/>
    <col min="7682" max="7682" width="13.125" style="3437" customWidth="1"/>
    <col min="7683" max="7683" width="13.25" style="3437" customWidth="1"/>
    <col min="7684" max="7684" width="15.875" style="3437" customWidth="1"/>
    <col min="7685" max="7685" width="18.5" style="3437" customWidth="1"/>
    <col min="7686" max="7686" width="15.625" style="3437" customWidth="1"/>
    <col min="7687" max="7688" width="12.875" style="3437" customWidth="1"/>
    <col min="7689" max="7689" width="12.75" style="3437" customWidth="1"/>
    <col min="7690" max="7690" width="13.875" style="3437" customWidth="1"/>
    <col min="7691" max="7691" width="14.625" style="3437" customWidth="1"/>
    <col min="7692" max="7936" width="9" style="3437"/>
    <col min="7937" max="7937" width="15.125" style="3437" customWidth="1"/>
    <col min="7938" max="7938" width="13.125" style="3437" customWidth="1"/>
    <col min="7939" max="7939" width="13.25" style="3437" customWidth="1"/>
    <col min="7940" max="7940" width="15.875" style="3437" customWidth="1"/>
    <col min="7941" max="7941" width="18.5" style="3437" customWidth="1"/>
    <col min="7942" max="7942" width="15.625" style="3437" customWidth="1"/>
    <col min="7943" max="7944" width="12.875" style="3437" customWidth="1"/>
    <col min="7945" max="7945" width="12.75" style="3437" customWidth="1"/>
    <col min="7946" max="7946" width="13.875" style="3437" customWidth="1"/>
    <col min="7947" max="7947" width="14.625" style="3437" customWidth="1"/>
    <col min="7948" max="8192" width="9" style="3437"/>
    <col min="8193" max="8193" width="15.125" style="3437" customWidth="1"/>
    <col min="8194" max="8194" width="13.125" style="3437" customWidth="1"/>
    <col min="8195" max="8195" width="13.25" style="3437" customWidth="1"/>
    <col min="8196" max="8196" width="15.875" style="3437" customWidth="1"/>
    <col min="8197" max="8197" width="18.5" style="3437" customWidth="1"/>
    <col min="8198" max="8198" width="15.625" style="3437" customWidth="1"/>
    <col min="8199" max="8200" width="12.875" style="3437" customWidth="1"/>
    <col min="8201" max="8201" width="12.75" style="3437" customWidth="1"/>
    <col min="8202" max="8202" width="13.875" style="3437" customWidth="1"/>
    <col min="8203" max="8203" width="14.625" style="3437" customWidth="1"/>
    <col min="8204" max="8448" width="9" style="3437"/>
    <col min="8449" max="8449" width="15.125" style="3437" customWidth="1"/>
    <col min="8450" max="8450" width="13.125" style="3437" customWidth="1"/>
    <col min="8451" max="8451" width="13.25" style="3437" customWidth="1"/>
    <col min="8452" max="8452" width="15.875" style="3437" customWidth="1"/>
    <col min="8453" max="8453" width="18.5" style="3437" customWidth="1"/>
    <col min="8454" max="8454" width="15.625" style="3437" customWidth="1"/>
    <col min="8455" max="8456" width="12.875" style="3437" customWidth="1"/>
    <col min="8457" max="8457" width="12.75" style="3437" customWidth="1"/>
    <col min="8458" max="8458" width="13.875" style="3437" customWidth="1"/>
    <col min="8459" max="8459" width="14.625" style="3437" customWidth="1"/>
    <col min="8460" max="8704" width="9" style="3437"/>
    <col min="8705" max="8705" width="15.125" style="3437" customWidth="1"/>
    <col min="8706" max="8706" width="13.125" style="3437" customWidth="1"/>
    <col min="8707" max="8707" width="13.25" style="3437" customWidth="1"/>
    <col min="8708" max="8708" width="15.875" style="3437" customWidth="1"/>
    <col min="8709" max="8709" width="18.5" style="3437" customWidth="1"/>
    <col min="8710" max="8710" width="15.625" style="3437" customWidth="1"/>
    <col min="8711" max="8712" width="12.875" style="3437" customWidth="1"/>
    <col min="8713" max="8713" width="12.75" style="3437" customWidth="1"/>
    <col min="8714" max="8714" width="13.875" style="3437" customWidth="1"/>
    <col min="8715" max="8715" width="14.625" style="3437" customWidth="1"/>
    <col min="8716" max="8960" width="9" style="3437"/>
    <col min="8961" max="8961" width="15.125" style="3437" customWidth="1"/>
    <col min="8962" max="8962" width="13.125" style="3437" customWidth="1"/>
    <col min="8963" max="8963" width="13.25" style="3437" customWidth="1"/>
    <col min="8964" max="8964" width="15.875" style="3437" customWidth="1"/>
    <col min="8965" max="8965" width="18.5" style="3437" customWidth="1"/>
    <col min="8966" max="8966" width="15.625" style="3437" customWidth="1"/>
    <col min="8967" max="8968" width="12.875" style="3437" customWidth="1"/>
    <col min="8969" max="8969" width="12.75" style="3437" customWidth="1"/>
    <col min="8970" max="8970" width="13.875" style="3437" customWidth="1"/>
    <col min="8971" max="8971" width="14.625" style="3437" customWidth="1"/>
    <col min="8972" max="9216" width="9" style="3437"/>
    <col min="9217" max="9217" width="15.125" style="3437" customWidth="1"/>
    <col min="9218" max="9218" width="13.125" style="3437" customWidth="1"/>
    <col min="9219" max="9219" width="13.25" style="3437" customWidth="1"/>
    <col min="9220" max="9220" width="15.875" style="3437" customWidth="1"/>
    <col min="9221" max="9221" width="18.5" style="3437" customWidth="1"/>
    <col min="9222" max="9222" width="15.625" style="3437" customWidth="1"/>
    <col min="9223" max="9224" width="12.875" style="3437" customWidth="1"/>
    <col min="9225" max="9225" width="12.75" style="3437" customWidth="1"/>
    <col min="9226" max="9226" width="13.875" style="3437" customWidth="1"/>
    <col min="9227" max="9227" width="14.625" style="3437" customWidth="1"/>
    <col min="9228" max="9472" width="9" style="3437"/>
    <col min="9473" max="9473" width="15.125" style="3437" customWidth="1"/>
    <col min="9474" max="9474" width="13.125" style="3437" customWidth="1"/>
    <col min="9475" max="9475" width="13.25" style="3437" customWidth="1"/>
    <col min="9476" max="9476" width="15.875" style="3437" customWidth="1"/>
    <col min="9477" max="9477" width="18.5" style="3437" customWidth="1"/>
    <col min="9478" max="9478" width="15.625" style="3437" customWidth="1"/>
    <col min="9479" max="9480" width="12.875" style="3437" customWidth="1"/>
    <col min="9481" max="9481" width="12.75" style="3437" customWidth="1"/>
    <col min="9482" max="9482" width="13.875" style="3437" customWidth="1"/>
    <col min="9483" max="9483" width="14.625" style="3437" customWidth="1"/>
    <col min="9484" max="9728" width="9" style="3437"/>
    <col min="9729" max="9729" width="15.125" style="3437" customWidth="1"/>
    <col min="9730" max="9730" width="13.125" style="3437" customWidth="1"/>
    <col min="9731" max="9731" width="13.25" style="3437" customWidth="1"/>
    <col min="9732" max="9732" width="15.875" style="3437" customWidth="1"/>
    <col min="9733" max="9733" width="18.5" style="3437" customWidth="1"/>
    <col min="9734" max="9734" width="15.625" style="3437" customWidth="1"/>
    <col min="9735" max="9736" width="12.875" style="3437" customWidth="1"/>
    <col min="9737" max="9737" width="12.75" style="3437" customWidth="1"/>
    <col min="9738" max="9738" width="13.875" style="3437" customWidth="1"/>
    <col min="9739" max="9739" width="14.625" style="3437" customWidth="1"/>
    <col min="9740" max="9984" width="9" style="3437"/>
    <col min="9985" max="9985" width="15.125" style="3437" customWidth="1"/>
    <col min="9986" max="9986" width="13.125" style="3437" customWidth="1"/>
    <col min="9987" max="9987" width="13.25" style="3437" customWidth="1"/>
    <col min="9988" max="9988" width="15.875" style="3437" customWidth="1"/>
    <col min="9989" max="9989" width="18.5" style="3437" customWidth="1"/>
    <col min="9990" max="9990" width="15.625" style="3437" customWidth="1"/>
    <col min="9991" max="9992" width="12.875" style="3437" customWidth="1"/>
    <col min="9993" max="9993" width="12.75" style="3437" customWidth="1"/>
    <col min="9994" max="9994" width="13.875" style="3437" customWidth="1"/>
    <col min="9995" max="9995" width="14.625" style="3437" customWidth="1"/>
    <col min="9996" max="10240" width="9" style="3437"/>
    <col min="10241" max="10241" width="15.125" style="3437" customWidth="1"/>
    <col min="10242" max="10242" width="13.125" style="3437" customWidth="1"/>
    <col min="10243" max="10243" width="13.25" style="3437" customWidth="1"/>
    <col min="10244" max="10244" width="15.875" style="3437" customWidth="1"/>
    <col min="10245" max="10245" width="18.5" style="3437" customWidth="1"/>
    <col min="10246" max="10246" width="15.625" style="3437" customWidth="1"/>
    <col min="10247" max="10248" width="12.875" style="3437" customWidth="1"/>
    <col min="10249" max="10249" width="12.75" style="3437" customWidth="1"/>
    <col min="10250" max="10250" width="13.875" style="3437" customWidth="1"/>
    <col min="10251" max="10251" width="14.625" style="3437" customWidth="1"/>
    <col min="10252" max="10496" width="9" style="3437"/>
    <col min="10497" max="10497" width="15.125" style="3437" customWidth="1"/>
    <col min="10498" max="10498" width="13.125" style="3437" customWidth="1"/>
    <col min="10499" max="10499" width="13.25" style="3437" customWidth="1"/>
    <col min="10500" max="10500" width="15.875" style="3437" customWidth="1"/>
    <col min="10501" max="10501" width="18.5" style="3437" customWidth="1"/>
    <col min="10502" max="10502" width="15.625" style="3437" customWidth="1"/>
    <col min="10503" max="10504" width="12.875" style="3437" customWidth="1"/>
    <col min="10505" max="10505" width="12.75" style="3437" customWidth="1"/>
    <col min="10506" max="10506" width="13.875" style="3437" customWidth="1"/>
    <col min="10507" max="10507" width="14.625" style="3437" customWidth="1"/>
    <col min="10508" max="10752" width="9" style="3437"/>
    <col min="10753" max="10753" width="15.125" style="3437" customWidth="1"/>
    <col min="10754" max="10754" width="13.125" style="3437" customWidth="1"/>
    <col min="10755" max="10755" width="13.25" style="3437" customWidth="1"/>
    <col min="10756" max="10756" width="15.875" style="3437" customWidth="1"/>
    <col min="10757" max="10757" width="18.5" style="3437" customWidth="1"/>
    <col min="10758" max="10758" width="15.625" style="3437" customWidth="1"/>
    <col min="10759" max="10760" width="12.875" style="3437" customWidth="1"/>
    <col min="10761" max="10761" width="12.75" style="3437" customWidth="1"/>
    <col min="10762" max="10762" width="13.875" style="3437" customWidth="1"/>
    <col min="10763" max="10763" width="14.625" style="3437" customWidth="1"/>
    <col min="10764" max="11008" width="9" style="3437"/>
    <col min="11009" max="11009" width="15.125" style="3437" customWidth="1"/>
    <col min="11010" max="11010" width="13.125" style="3437" customWidth="1"/>
    <col min="11011" max="11011" width="13.25" style="3437" customWidth="1"/>
    <col min="11012" max="11012" width="15.875" style="3437" customWidth="1"/>
    <col min="11013" max="11013" width="18.5" style="3437" customWidth="1"/>
    <col min="11014" max="11014" width="15.625" style="3437" customWidth="1"/>
    <col min="11015" max="11016" width="12.875" style="3437" customWidth="1"/>
    <col min="11017" max="11017" width="12.75" style="3437" customWidth="1"/>
    <col min="11018" max="11018" width="13.875" style="3437" customWidth="1"/>
    <col min="11019" max="11019" width="14.625" style="3437" customWidth="1"/>
    <col min="11020" max="11264" width="9" style="3437"/>
    <col min="11265" max="11265" width="15.125" style="3437" customWidth="1"/>
    <col min="11266" max="11266" width="13.125" style="3437" customWidth="1"/>
    <col min="11267" max="11267" width="13.25" style="3437" customWidth="1"/>
    <col min="11268" max="11268" width="15.875" style="3437" customWidth="1"/>
    <col min="11269" max="11269" width="18.5" style="3437" customWidth="1"/>
    <col min="11270" max="11270" width="15.625" style="3437" customWidth="1"/>
    <col min="11271" max="11272" width="12.875" style="3437" customWidth="1"/>
    <col min="11273" max="11273" width="12.75" style="3437" customWidth="1"/>
    <col min="11274" max="11274" width="13.875" style="3437" customWidth="1"/>
    <col min="11275" max="11275" width="14.625" style="3437" customWidth="1"/>
    <col min="11276" max="11520" width="9" style="3437"/>
    <col min="11521" max="11521" width="15.125" style="3437" customWidth="1"/>
    <col min="11522" max="11522" width="13.125" style="3437" customWidth="1"/>
    <col min="11523" max="11523" width="13.25" style="3437" customWidth="1"/>
    <col min="11524" max="11524" width="15.875" style="3437" customWidth="1"/>
    <col min="11525" max="11525" width="18.5" style="3437" customWidth="1"/>
    <col min="11526" max="11526" width="15.625" style="3437" customWidth="1"/>
    <col min="11527" max="11528" width="12.875" style="3437" customWidth="1"/>
    <col min="11529" max="11529" width="12.75" style="3437" customWidth="1"/>
    <col min="11530" max="11530" width="13.875" style="3437" customWidth="1"/>
    <col min="11531" max="11531" width="14.625" style="3437" customWidth="1"/>
    <col min="11532" max="11776" width="9" style="3437"/>
    <col min="11777" max="11777" width="15.125" style="3437" customWidth="1"/>
    <col min="11778" max="11778" width="13.125" style="3437" customWidth="1"/>
    <col min="11779" max="11779" width="13.25" style="3437" customWidth="1"/>
    <col min="11780" max="11780" width="15.875" style="3437" customWidth="1"/>
    <col min="11781" max="11781" width="18.5" style="3437" customWidth="1"/>
    <col min="11782" max="11782" width="15.625" style="3437" customWidth="1"/>
    <col min="11783" max="11784" width="12.875" style="3437" customWidth="1"/>
    <col min="11785" max="11785" width="12.75" style="3437" customWidth="1"/>
    <col min="11786" max="11786" width="13.875" style="3437" customWidth="1"/>
    <col min="11787" max="11787" width="14.625" style="3437" customWidth="1"/>
    <col min="11788" max="12032" width="9" style="3437"/>
    <col min="12033" max="12033" width="15.125" style="3437" customWidth="1"/>
    <col min="12034" max="12034" width="13.125" style="3437" customWidth="1"/>
    <col min="12035" max="12035" width="13.25" style="3437" customWidth="1"/>
    <col min="12036" max="12036" width="15.875" style="3437" customWidth="1"/>
    <col min="12037" max="12037" width="18.5" style="3437" customWidth="1"/>
    <col min="12038" max="12038" width="15.625" style="3437" customWidth="1"/>
    <col min="12039" max="12040" width="12.875" style="3437" customWidth="1"/>
    <col min="12041" max="12041" width="12.75" style="3437" customWidth="1"/>
    <col min="12042" max="12042" width="13.875" style="3437" customWidth="1"/>
    <col min="12043" max="12043" width="14.625" style="3437" customWidth="1"/>
    <col min="12044" max="12288" width="9" style="3437"/>
    <col min="12289" max="12289" width="15.125" style="3437" customWidth="1"/>
    <col min="12290" max="12290" width="13.125" style="3437" customWidth="1"/>
    <col min="12291" max="12291" width="13.25" style="3437" customWidth="1"/>
    <col min="12292" max="12292" width="15.875" style="3437" customWidth="1"/>
    <col min="12293" max="12293" width="18.5" style="3437" customWidth="1"/>
    <col min="12294" max="12294" width="15.625" style="3437" customWidth="1"/>
    <col min="12295" max="12296" width="12.875" style="3437" customWidth="1"/>
    <col min="12297" max="12297" width="12.75" style="3437" customWidth="1"/>
    <col min="12298" max="12298" width="13.875" style="3437" customWidth="1"/>
    <col min="12299" max="12299" width="14.625" style="3437" customWidth="1"/>
    <col min="12300" max="12544" width="9" style="3437"/>
    <col min="12545" max="12545" width="15.125" style="3437" customWidth="1"/>
    <col min="12546" max="12546" width="13.125" style="3437" customWidth="1"/>
    <col min="12547" max="12547" width="13.25" style="3437" customWidth="1"/>
    <col min="12548" max="12548" width="15.875" style="3437" customWidth="1"/>
    <col min="12549" max="12549" width="18.5" style="3437" customWidth="1"/>
    <col min="12550" max="12550" width="15.625" style="3437" customWidth="1"/>
    <col min="12551" max="12552" width="12.875" style="3437" customWidth="1"/>
    <col min="12553" max="12553" width="12.75" style="3437" customWidth="1"/>
    <col min="12554" max="12554" width="13.875" style="3437" customWidth="1"/>
    <col min="12555" max="12555" width="14.625" style="3437" customWidth="1"/>
    <col min="12556" max="12800" width="9" style="3437"/>
    <col min="12801" max="12801" width="15.125" style="3437" customWidth="1"/>
    <col min="12802" max="12802" width="13.125" style="3437" customWidth="1"/>
    <col min="12803" max="12803" width="13.25" style="3437" customWidth="1"/>
    <col min="12804" max="12804" width="15.875" style="3437" customWidth="1"/>
    <col min="12805" max="12805" width="18.5" style="3437" customWidth="1"/>
    <col min="12806" max="12806" width="15.625" style="3437" customWidth="1"/>
    <col min="12807" max="12808" width="12.875" style="3437" customWidth="1"/>
    <col min="12809" max="12809" width="12.75" style="3437" customWidth="1"/>
    <col min="12810" max="12810" width="13.875" style="3437" customWidth="1"/>
    <col min="12811" max="12811" width="14.625" style="3437" customWidth="1"/>
    <col min="12812" max="13056" width="9" style="3437"/>
    <col min="13057" max="13057" width="15.125" style="3437" customWidth="1"/>
    <col min="13058" max="13058" width="13.125" style="3437" customWidth="1"/>
    <col min="13059" max="13059" width="13.25" style="3437" customWidth="1"/>
    <col min="13060" max="13060" width="15.875" style="3437" customWidth="1"/>
    <col min="13061" max="13061" width="18.5" style="3437" customWidth="1"/>
    <col min="13062" max="13062" width="15.625" style="3437" customWidth="1"/>
    <col min="13063" max="13064" width="12.875" style="3437" customWidth="1"/>
    <col min="13065" max="13065" width="12.75" style="3437" customWidth="1"/>
    <col min="13066" max="13066" width="13.875" style="3437" customWidth="1"/>
    <col min="13067" max="13067" width="14.625" style="3437" customWidth="1"/>
    <col min="13068" max="13312" width="9" style="3437"/>
    <col min="13313" max="13313" width="15.125" style="3437" customWidth="1"/>
    <col min="13314" max="13314" width="13.125" style="3437" customWidth="1"/>
    <col min="13315" max="13315" width="13.25" style="3437" customWidth="1"/>
    <col min="13316" max="13316" width="15.875" style="3437" customWidth="1"/>
    <col min="13317" max="13317" width="18.5" style="3437" customWidth="1"/>
    <col min="13318" max="13318" width="15.625" style="3437" customWidth="1"/>
    <col min="13319" max="13320" width="12.875" style="3437" customWidth="1"/>
    <col min="13321" max="13321" width="12.75" style="3437" customWidth="1"/>
    <col min="13322" max="13322" width="13.875" style="3437" customWidth="1"/>
    <col min="13323" max="13323" width="14.625" style="3437" customWidth="1"/>
    <col min="13324" max="13568" width="9" style="3437"/>
    <col min="13569" max="13569" width="15.125" style="3437" customWidth="1"/>
    <col min="13570" max="13570" width="13.125" style="3437" customWidth="1"/>
    <col min="13571" max="13571" width="13.25" style="3437" customWidth="1"/>
    <col min="13572" max="13572" width="15.875" style="3437" customWidth="1"/>
    <col min="13573" max="13573" width="18.5" style="3437" customWidth="1"/>
    <col min="13574" max="13574" width="15.625" style="3437" customWidth="1"/>
    <col min="13575" max="13576" width="12.875" style="3437" customWidth="1"/>
    <col min="13577" max="13577" width="12.75" style="3437" customWidth="1"/>
    <col min="13578" max="13578" width="13.875" style="3437" customWidth="1"/>
    <col min="13579" max="13579" width="14.625" style="3437" customWidth="1"/>
    <col min="13580" max="13824" width="9" style="3437"/>
    <col min="13825" max="13825" width="15.125" style="3437" customWidth="1"/>
    <col min="13826" max="13826" width="13.125" style="3437" customWidth="1"/>
    <col min="13827" max="13827" width="13.25" style="3437" customWidth="1"/>
    <col min="13828" max="13828" width="15.875" style="3437" customWidth="1"/>
    <col min="13829" max="13829" width="18.5" style="3437" customWidth="1"/>
    <col min="13830" max="13830" width="15.625" style="3437" customWidth="1"/>
    <col min="13831" max="13832" width="12.875" style="3437" customWidth="1"/>
    <col min="13833" max="13833" width="12.75" style="3437" customWidth="1"/>
    <col min="13834" max="13834" width="13.875" style="3437" customWidth="1"/>
    <col min="13835" max="13835" width="14.625" style="3437" customWidth="1"/>
    <col min="13836" max="14080" width="9" style="3437"/>
    <col min="14081" max="14081" width="15.125" style="3437" customWidth="1"/>
    <col min="14082" max="14082" width="13.125" style="3437" customWidth="1"/>
    <col min="14083" max="14083" width="13.25" style="3437" customWidth="1"/>
    <col min="14084" max="14084" width="15.875" style="3437" customWidth="1"/>
    <col min="14085" max="14085" width="18.5" style="3437" customWidth="1"/>
    <col min="14086" max="14086" width="15.625" style="3437" customWidth="1"/>
    <col min="14087" max="14088" width="12.875" style="3437" customWidth="1"/>
    <col min="14089" max="14089" width="12.75" style="3437" customWidth="1"/>
    <col min="14090" max="14090" width="13.875" style="3437" customWidth="1"/>
    <col min="14091" max="14091" width="14.625" style="3437" customWidth="1"/>
    <col min="14092" max="14336" width="9" style="3437"/>
    <col min="14337" max="14337" width="15.125" style="3437" customWidth="1"/>
    <col min="14338" max="14338" width="13.125" style="3437" customWidth="1"/>
    <col min="14339" max="14339" width="13.25" style="3437" customWidth="1"/>
    <col min="14340" max="14340" width="15.875" style="3437" customWidth="1"/>
    <col min="14341" max="14341" width="18.5" style="3437" customWidth="1"/>
    <col min="14342" max="14342" width="15.625" style="3437" customWidth="1"/>
    <col min="14343" max="14344" width="12.875" style="3437" customWidth="1"/>
    <col min="14345" max="14345" width="12.75" style="3437" customWidth="1"/>
    <col min="14346" max="14346" width="13.875" style="3437" customWidth="1"/>
    <col min="14347" max="14347" width="14.625" style="3437" customWidth="1"/>
    <col min="14348" max="14592" width="9" style="3437"/>
    <col min="14593" max="14593" width="15.125" style="3437" customWidth="1"/>
    <col min="14594" max="14594" width="13.125" style="3437" customWidth="1"/>
    <col min="14595" max="14595" width="13.25" style="3437" customWidth="1"/>
    <col min="14596" max="14596" width="15.875" style="3437" customWidth="1"/>
    <col min="14597" max="14597" width="18.5" style="3437" customWidth="1"/>
    <col min="14598" max="14598" width="15.625" style="3437" customWidth="1"/>
    <col min="14599" max="14600" width="12.875" style="3437" customWidth="1"/>
    <col min="14601" max="14601" width="12.75" style="3437" customWidth="1"/>
    <col min="14602" max="14602" width="13.875" style="3437" customWidth="1"/>
    <col min="14603" max="14603" width="14.625" style="3437" customWidth="1"/>
    <col min="14604" max="14848" width="9" style="3437"/>
    <col min="14849" max="14849" width="15.125" style="3437" customWidth="1"/>
    <col min="14850" max="14850" width="13.125" style="3437" customWidth="1"/>
    <col min="14851" max="14851" width="13.25" style="3437" customWidth="1"/>
    <col min="14852" max="14852" width="15.875" style="3437" customWidth="1"/>
    <col min="14853" max="14853" width="18.5" style="3437" customWidth="1"/>
    <col min="14854" max="14854" width="15.625" style="3437" customWidth="1"/>
    <col min="14855" max="14856" width="12.875" style="3437" customWidth="1"/>
    <col min="14857" max="14857" width="12.75" style="3437" customWidth="1"/>
    <col min="14858" max="14858" width="13.875" style="3437" customWidth="1"/>
    <col min="14859" max="14859" width="14.625" style="3437" customWidth="1"/>
    <col min="14860" max="15104" width="9" style="3437"/>
    <col min="15105" max="15105" width="15.125" style="3437" customWidth="1"/>
    <col min="15106" max="15106" width="13.125" style="3437" customWidth="1"/>
    <col min="15107" max="15107" width="13.25" style="3437" customWidth="1"/>
    <col min="15108" max="15108" width="15.875" style="3437" customWidth="1"/>
    <col min="15109" max="15109" width="18.5" style="3437" customWidth="1"/>
    <col min="15110" max="15110" width="15.625" style="3437" customWidth="1"/>
    <col min="15111" max="15112" width="12.875" style="3437" customWidth="1"/>
    <col min="15113" max="15113" width="12.75" style="3437" customWidth="1"/>
    <col min="15114" max="15114" width="13.875" style="3437" customWidth="1"/>
    <col min="15115" max="15115" width="14.625" style="3437" customWidth="1"/>
    <col min="15116" max="15360" width="9" style="3437"/>
    <col min="15361" max="15361" width="15.125" style="3437" customWidth="1"/>
    <col min="15362" max="15362" width="13.125" style="3437" customWidth="1"/>
    <col min="15363" max="15363" width="13.25" style="3437" customWidth="1"/>
    <col min="15364" max="15364" width="15.875" style="3437" customWidth="1"/>
    <col min="15365" max="15365" width="18.5" style="3437" customWidth="1"/>
    <col min="15366" max="15366" width="15.625" style="3437" customWidth="1"/>
    <col min="15367" max="15368" width="12.875" style="3437" customWidth="1"/>
    <col min="15369" max="15369" width="12.75" style="3437" customWidth="1"/>
    <col min="15370" max="15370" width="13.875" style="3437" customWidth="1"/>
    <col min="15371" max="15371" width="14.625" style="3437" customWidth="1"/>
    <col min="15372" max="15616" width="9" style="3437"/>
    <col min="15617" max="15617" width="15.125" style="3437" customWidth="1"/>
    <col min="15618" max="15618" width="13.125" style="3437" customWidth="1"/>
    <col min="15619" max="15619" width="13.25" style="3437" customWidth="1"/>
    <col min="15620" max="15620" width="15.875" style="3437" customWidth="1"/>
    <col min="15621" max="15621" width="18.5" style="3437" customWidth="1"/>
    <col min="15622" max="15622" width="15.625" style="3437" customWidth="1"/>
    <col min="15623" max="15624" width="12.875" style="3437" customWidth="1"/>
    <col min="15625" max="15625" width="12.75" style="3437" customWidth="1"/>
    <col min="15626" max="15626" width="13.875" style="3437" customWidth="1"/>
    <col min="15627" max="15627" width="14.625" style="3437" customWidth="1"/>
    <col min="15628" max="15872" width="9" style="3437"/>
    <col min="15873" max="15873" width="15.125" style="3437" customWidth="1"/>
    <col min="15874" max="15874" width="13.125" style="3437" customWidth="1"/>
    <col min="15875" max="15875" width="13.25" style="3437" customWidth="1"/>
    <col min="15876" max="15876" width="15.875" style="3437" customWidth="1"/>
    <col min="15877" max="15877" width="18.5" style="3437" customWidth="1"/>
    <col min="15878" max="15878" width="15.625" style="3437" customWidth="1"/>
    <col min="15879" max="15880" width="12.875" style="3437" customWidth="1"/>
    <col min="15881" max="15881" width="12.75" style="3437" customWidth="1"/>
    <col min="15882" max="15882" width="13.875" style="3437" customWidth="1"/>
    <col min="15883" max="15883" width="14.625" style="3437" customWidth="1"/>
    <col min="15884" max="16128" width="9" style="3437"/>
    <col min="16129" max="16129" width="15.125" style="3437" customWidth="1"/>
    <col min="16130" max="16130" width="13.125" style="3437" customWidth="1"/>
    <col min="16131" max="16131" width="13.25" style="3437" customWidth="1"/>
    <col min="16132" max="16132" width="15.875" style="3437" customWidth="1"/>
    <col min="16133" max="16133" width="18.5" style="3437" customWidth="1"/>
    <col min="16134" max="16134" width="15.625" style="3437" customWidth="1"/>
    <col min="16135" max="16136" width="12.875" style="3437" customWidth="1"/>
    <col min="16137" max="16137" width="12.75" style="3437" customWidth="1"/>
    <col min="16138" max="16138" width="13.875" style="3437" customWidth="1"/>
    <col min="16139" max="16139" width="14.625" style="3437" customWidth="1"/>
    <col min="16140" max="16384" width="9" style="3437"/>
  </cols>
  <sheetData>
    <row r="1" spans="1:11" ht="35.1" customHeight="1">
      <c r="A1" s="4767" t="s">
        <v>2715</v>
      </c>
      <c r="B1" s="4768"/>
      <c r="C1" s="4768"/>
      <c r="D1" s="4768"/>
      <c r="E1" s="4769"/>
      <c r="F1" s="4770" t="s">
        <v>2716</v>
      </c>
      <c r="G1" s="4771"/>
      <c r="H1" s="4771"/>
      <c r="I1" s="4771"/>
      <c r="J1" s="4771"/>
      <c r="K1" s="4772"/>
    </row>
    <row r="2" spans="1:11" ht="24.95" customHeight="1">
      <c r="A2" s="3438" t="s">
        <v>2717</v>
      </c>
      <c r="B2" s="3439" t="s">
        <v>2718</v>
      </c>
      <c r="C2" s="3439" t="s">
        <v>2719</v>
      </c>
      <c r="D2" s="3440" t="s">
        <v>2720</v>
      </c>
      <c r="E2" s="3441" t="s">
        <v>2721</v>
      </c>
      <c r="F2" s="3442" t="s">
        <v>2717</v>
      </c>
      <c r="G2" s="3443" t="s">
        <v>2718</v>
      </c>
      <c r="H2" s="3443" t="s">
        <v>1778</v>
      </c>
      <c r="I2" s="3443" t="s">
        <v>2719</v>
      </c>
      <c r="J2" s="3468" t="s">
        <v>2720</v>
      </c>
      <c r="K2" s="3469" t="s">
        <v>2721</v>
      </c>
    </row>
    <row r="3" spans="1:11" ht="24.95" customHeight="1">
      <c r="A3" s="3444">
        <v>0.5</v>
      </c>
      <c r="B3" s="3445">
        <v>10</v>
      </c>
      <c r="C3" s="3445">
        <v>0.6</v>
      </c>
      <c r="D3" s="3446">
        <f t="shared" ref="D3:D11" si="0">A3*1000000/4*3.14*(B3/1000)*(B3/1000)*C3</f>
        <v>23.55</v>
      </c>
      <c r="E3" s="3447">
        <f t="shared" ref="E3:E11" si="1">D3/9.8</f>
        <v>2.4030612244898002</v>
      </c>
      <c r="F3" s="3448">
        <v>0.5</v>
      </c>
      <c r="G3" s="3449">
        <v>40</v>
      </c>
      <c r="H3" s="3449">
        <v>8</v>
      </c>
      <c r="I3" s="3449">
        <v>0.6</v>
      </c>
      <c r="J3" s="3470">
        <f t="shared" ref="J3:J11" si="2">F3*1000000/4*3.14*((G3/1000)*(G3/1000)-(H3/1000)*(H3/1000))*I3</f>
        <v>361.72800000000001</v>
      </c>
      <c r="K3" s="3471">
        <f t="shared" ref="K3:K11" si="3">J3/9.8</f>
        <v>36.911020408163303</v>
      </c>
    </row>
    <row r="4" spans="1:11" ht="24.95" customHeight="1">
      <c r="A4" s="3450">
        <v>0.6</v>
      </c>
      <c r="B4" s="3451">
        <v>20</v>
      </c>
      <c r="C4" s="3451">
        <v>1</v>
      </c>
      <c r="D4" s="3452">
        <f t="shared" si="0"/>
        <v>188.4</v>
      </c>
      <c r="E4" s="3453">
        <f t="shared" si="1"/>
        <v>19.224489795918402</v>
      </c>
      <c r="F4" s="3454">
        <v>0.5</v>
      </c>
      <c r="G4" s="3455">
        <v>25</v>
      </c>
      <c r="H4" s="3455">
        <v>10</v>
      </c>
      <c r="I4" s="3455">
        <v>0.6</v>
      </c>
      <c r="J4" s="3472">
        <f t="shared" si="2"/>
        <v>123.6375</v>
      </c>
      <c r="K4" s="3473">
        <f t="shared" si="3"/>
        <v>12.6160714285714</v>
      </c>
    </row>
    <row r="5" spans="1:11" ht="24.95" customHeight="1">
      <c r="A5" s="3456">
        <v>0.5</v>
      </c>
      <c r="B5" s="3457">
        <v>32</v>
      </c>
      <c r="C5" s="3457">
        <v>0.6</v>
      </c>
      <c r="D5" s="3458">
        <f t="shared" si="0"/>
        <v>241.15199999999999</v>
      </c>
      <c r="E5" s="3459">
        <f t="shared" si="1"/>
        <v>24.6073469387755</v>
      </c>
      <c r="F5" s="3460">
        <v>0.5</v>
      </c>
      <c r="G5" s="3461">
        <v>32</v>
      </c>
      <c r="H5" s="3461">
        <v>12</v>
      </c>
      <c r="I5" s="3461">
        <v>0.6</v>
      </c>
      <c r="J5" s="3474">
        <f t="shared" si="2"/>
        <v>207.24</v>
      </c>
      <c r="K5" s="3475">
        <f t="shared" si="3"/>
        <v>21.146938775510201</v>
      </c>
    </row>
    <row r="6" spans="1:11" ht="24.95" customHeight="1">
      <c r="A6" s="3450">
        <v>0.5</v>
      </c>
      <c r="B6" s="3451">
        <v>40</v>
      </c>
      <c r="C6" s="3451">
        <v>0.8</v>
      </c>
      <c r="D6" s="3452">
        <f t="shared" si="0"/>
        <v>502.4</v>
      </c>
      <c r="E6" s="3453">
        <f t="shared" si="1"/>
        <v>51.265306122448997</v>
      </c>
      <c r="F6" s="3454">
        <v>5.6</v>
      </c>
      <c r="G6" s="3455">
        <v>40</v>
      </c>
      <c r="H6" s="3455">
        <v>16</v>
      </c>
      <c r="I6" s="3455">
        <v>1</v>
      </c>
      <c r="J6" s="3472">
        <f t="shared" si="2"/>
        <v>5908.2240000000002</v>
      </c>
      <c r="K6" s="3473">
        <f t="shared" si="3"/>
        <v>602.88</v>
      </c>
    </row>
    <row r="7" spans="1:11" ht="24.95" customHeight="1">
      <c r="A7" s="3456">
        <v>0.5</v>
      </c>
      <c r="B7" s="3457">
        <v>50</v>
      </c>
      <c r="C7" s="3457">
        <v>0.5</v>
      </c>
      <c r="D7" s="3458">
        <f t="shared" si="0"/>
        <v>490.625</v>
      </c>
      <c r="E7" s="3459">
        <f t="shared" si="1"/>
        <v>50.063775510204103</v>
      </c>
      <c r="F7" s="3460">
        <v>0.5</v>
      </c>
      <c r="G7" s="3461">
        <v>50</v>
      </c>
      <c r="H7" s="3461">
        <v>20</v>
      </c>
      <c r="I7" s="3461">
        <v>0.5</v>
      </c>
      <c r="J7" s="3474">
        <f t="shared" si="2"/>
        <v>412.125</v>
      </c>
      <c r="K7" s="3475">
        <f t="shared" si="3"/>
        <v>42.053571428571402</v>
      </c>
    </row>
    <row r="8" spans="1:11" ht="24.95" customHeight="1">
      <c r="A8" s="3450">
        <v>0.5</v>
      </c>
      <c r="B8" s="3451">
        <v>63</v>
      </c>
      <c r="C8" s="3451">
        <v>0.8</v>
      </c>
      <c r="D8" s="3452">
        <f t="shared" si="0"/>
        <v>1246.2660000000001</v>
      </c>
      <c r="E8" s="3453">
        <f t="shared" si="1"/>
        <v>127.17</v>
      </c>
      <c r="F8" s="3454">
        <v>0.5</v>
      </c>
      <c r="G8" s="3455">
        <v>63</v>
      </c>
      <c r="H8" s="3455">
        <v>20</v>
      </c>
      <c r="I8" s="3455">
        <v>0.6</v>
      </c>
      <c r="J8" s="3472">
        <f t="shared" si="2"/>
        <v>840.49950000000001</v>
      </c>
      <c r="K8" s="3473">
        <f t="shared" si="3"/>
        <v>85.765255102040797</v>
      </c>
    </row>
    <row r="9" spans="1:11" ht="24.95" customHeight="1">
      <c r="A9" s="3456">
        <v>0.6</v>
      </c>
      <c r="B9" s="3457">
        <v>80</v>
      </c>
      <c r="C9" s="3457">
        <v>0.7</v>
      </c>
      <c r="D9" s="3458">
        <f t="shared" si="0"/>
        <v>2110.08</v>
      </c>
      <c r="E9" s="3459">
        <f t="shared" si="1"/>
        <v>215.314285714286</v>
      </c>
      <c r="F9" s="3460">
        <v>0.5</v>
      </c>
      <c r="G9" s="3461">
        <v>80</v>
      </c>
      <c r="H9" s="3461">
        <v>25</v>
      </c>
      <c r="I9" s="3461">
        <v>0.7</v>
      </c>
      <c r="J9" s="3474">
        <f t="shared" si="2"/>
        <v>1586.6812500000001</v>
      </c>
      <c r="K9" s="3475">
        <f t="shared" si="3"/>
        <v>161.90625</v>
      </c>
    </row>
    <row r="10" spans="1:11" ht="24.95" customHeight="1">
      <c r="A10" s="3450">
        <v>0.5</v>
      </c>
      <c r="B10" s="3451">
        <v>100</v>
      </c>
      <c r="C10" s="3451">
        <v>0.9</v>
      </c>
      <c r="D10" s="3452">
        <f t="shared" si="0"/>
        <v>3532.5</v>
      </c>
      <c r="E10" s="3453">
        <f t="shared" si="1"/>
        <v>360.459183673469</v>
      </c>
      <c r="F10" s="3454">
        <v>0.5</v>
      </c>
      <c r="G10" s="3455">
        <v>100</v>
      </c>
      <c r="H10" s="3455">
        <v>30</v>
      </c>
      <c r="I10" s="3455">
        <v>0.9</v>
      </c>
      <c r="J10" s="3472">
        <f t="shared" si="2"/>
        <v>3214.5749999999998</v>
      </c>
      <c r="K10" s="3473">
        <f t="shared" si="3"/>
        <v>328.017857142857</v>
      </c>
    </row>
    <row r="11" spans="1:11" ht="24.95" customHeight="1">
      <c r="A11" s="3462">
        <v>0.5</v>
      </c>
      <c r="B11" s="3463">
        <v>125</v>
      </c>
      <c r="C11" s="3463">
        <v>0.6</v>
      </c>
      <c r="D11" s="3464">
        <f t="shared" si="0"/>
        <v>3679.6875</v>
      </c>
      <c r="E11" s="3465">
        <f t="shared" si="1"/>
        <v>375.478316326531</v>
      </c>
      <c r="F11" s="3466">
        <v>0.5</v>
      </c>
      <c r="G11" s="3467">
        <v>125</v>
      </c>
      <c r="H11" s="3467">
        <v>36</v>
      </c>
      <c r="I11" s="3467">
        <v>0.6</v>
      </c>
      <c r="J11" s="3476">
        <f t="shared" si="2"/>
        <v>3374.4794999999999</v>
      </c>
      <c r="K11" s="3477">
        <f t="shared" si="3"/>
        <v>344.33464285714302</v>
      </c>
    </row>
  </sheetData>
  <mergeCells count="2">
    <mergeCell ref="A1:E1"/>
    <mergeCell ref="F1:K1"/>
  </mergeCells>
  <phoneticPr fontId="214" type="noConversion"/>
  <pageMargins left="0.75" right="0.75" top="1" bottom="1" header="0.5" footer="0.5"/>
  <pageSetup paperSize="9" orientation="portrait" horizontalDpi="1200" verticalDpi="1200"/>
  <headerFooter alignWithMargins="0"/>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IV111"/>
  <sheetViews>
    <sheetView zoomScale="130" zoomScaleNormal="130" workbookViewId="0">
      <selection sqref="A1:H1"/>
    </sheetView>
  </sheetViews>
  <sheetFormatPr defaultColWidth="9" defaultRowHeight="13.5"/>
  <cols>
    <col min="1" max="1" width="10.625" style="3410" customWidth="1"/>
    <col min="2" max="2" width="19.75" style="3410" customWidth="1"/>
    <col min="3" max="3" width="8.625" style="3410" customWidth="1"/>
    <col min="4" max="4" width="9" style="3410"/>
    <col min="5" max="8" width="9.125" style="3410" customWidth="1"/>
    <col min="9" max="9" width="15.625" style="3410" customWidth="1"/>
    <col min="10" max="12" width="9.125" style="3410" customWidth="1"/>
    <col min="13" max="247" width="9" style="3410"/>
    <col min="248" max="256" width="9" style="3411"/>
    <col min="257" max="257" width="10.625" style="3411" customWidth="1"/>
    <col min="258" max="258" width="19.75" style="3411" customWidth="1"/>
    <col min="259" max="259" width="8.625" style="3411" customWidth="1"/>
    <col min="260" max="260" width="9" style="3411"/>
    <col min="261" max="264" width="9.125" style="3411" customWidth="1"/>
    <col min="265" max="265" width="15.625" style="3411" customWidth="1"/>
    <col min="266" max="268" width="9.125" style="3411" customWidth="1"/>
    <col min="269" max="512" width="9" style="3411"/>
    <col min="513" max="513" width="10.625" style="3411" customWidth="1"/>
    <col min="514" max="514" width="19.75" style="3411" customWidth="1"/>
    <col min="515" max="515" width="8.625" style="3411" customWidth="1"/>
    <col min="516" max="516" width="9" style="3411"/>
    <col min="517" max="520" width="9.125" style="3411" customWidth="1"/>
    <col min="521" max="521" width="15.625" style="3411" customWidth="1"/>
    <col min="522" max="524" width="9.125" style="3411" customWidth="1"/>
    <col min="525" max="768" width="9" style="3411"/>
    <col min="769" max="769" width="10.625" style="3411" customWidth="1"/>
    <col min="770" max="770" width="19.75" style="3411" customWidth="1"/>
    <col min="771" max="771" width="8.625" style="3411" customWidth="1"/>
    <col min="772" max="772" width="9" style="3411"/>
    <col min="773" max="776" width="9.125" style="3411" customWidth="1"/>
    <col min="777" max="777" width="15.625" style="3411" customWidth="1"/>
    <col min="778" max="780" width="9.125" style="3411" customWidth="1"/>
    <col min="781" max="1024" width="9" style="3411"/>
    <col min="1025" max="1025" width="10.625" style="3411" customWidth="1"/>
    <col min="1026" max="1026" width="19.75" style="3411" customWidth="1"/>
    <col min="1027" max="1027" width="8.625" style="3411" customWidth="1"/>
    <col min="1028" max="1028" width="9" style="3411"/>
    <col min="1029" max="1032" width="9.125" style="3411" customWidth="1"/>
    <col min="1033" max="1033" width="15.625" style="3411" customWidth="1"/>
    <col min="1034" max="1036" width="9.125" style="3411" customWidth="1"/>
    <col min="1037" max="1280" width="9" style="3411"/>
    <col min="1281" max="1281" width="10.625" style="3411" customWidth="1"/>
    <col min="1282" max="1282" width="19.75" style="3411" customWidth="1"/>
    <col min="1283" max="1283" width="8.625" style="3411" customWidth="1"/>
    <col min="1284" max="1284" width="9" style="3411"/>
    <col min="1285" max="1288" width="9.125" style="3411" customWidth="1"/>
    <col min="1289" max="1289" width="15.625" style="3411" customWidth="1"/>
    <col min="1290" max="1292" width="9.125" style="3411" customWidth="1"/>
    <col min="1293" max="1536" width="9" style="3411"/>
    <col min="1537" max="1537" width="10.625" style="3411" customWidth="1"/>
    <col min="1538" max="1538" width="19.75" style="3411" customWidth="1"/>
    <col min="1539" max="1539" width="8.625" style="3411" customWidth="1"/>
    <col min="1540" max="1540" width="9" style="3411"/>
    <col min="1541" max="1544" width="9.125" style="3411" customWidth="1"/>
    <col min="1545" max="1545" width="15.625" style="3411" customWidth="1"/>
    <col min="1546" max="1548" width="9.125" style="3411" customWidth="1"/>
    <col min="1549" max="1792" width="9" style="3411"/>
    <col min="1793" max="1793" width="10.625" style="3411" customWidth="1"/>
    <col min="1794" max="1794" width="19.75" style="3411" customWidth="1"/>
    <col min="1795" max="1795" width="8.625" style="3411" customWidth="1"/>
    <col min="1796" max="1796" width="9" style="3411"/>
    <col min="1797" max="1800" width="9.125" style="3411" customWidth="1"/>
    <col min="1801" max="1801" width="15.625" style="3411" customWidth="1"/>
    <col min="1802" max="1804" width="9.125" style="3411" customWidth="1"/>
    <col min="1805" max="2048" width="9" style="3411"/>
    <col min="2049" max="2049" width="10.625" style="3411" customWidth="1"/>
    <col min="2050" max="2050" width="19.75" style="3411" customWidth="1"/>
    <col min="2051" max="2051" width="8.625" style="3411" customWidth="1"/>
    <col min="2052" max="2052" width="9" style="3411"/>
    <col min="2053" max="2056" width="9.125" style="3411" customWidth="1"/>
    <col min="2057" max="2057" width="15.625" style="3411" customWidth="1"/>
    <col min="2058" max="2060" width="9.125" style="3411" customWidth="1"/>
    <col min="2061" max="2304" width="9" style="3411"/>
    <col min="2305" max="2305" width="10.625" style="3411" customWidth="1"/>
    <col min="2306" max="2306" width="19.75" style="3411" customWidth="1"/>
    <col min="2307" max="2307" width="8.625" style="3411" customWidth="1"/>
    <col min="2308" max="2308" width="9" style="3411"/>
    <col min="2309" max="2312" width="9.125" style="3411" customWidth="1"/>
    <col min="2313" max="2313" width="15.625" style="3411" customWidth="1"/>
    <col min="2314" max="2316" width="9.125" style="3411" customWidth="1"/>
    <col min="2317" max="2560" width="9" style="3411"/>
    <col min="2561" max="2561" width="10.625" style="3411" customWidth="1"/>
    <col min="2562" max="2562" width="19.75" style="3411" customWidth="1"/>
    <col min="2563" max="2563" width="8.625" style="3411" customWidth="1"/>
    <col min="2564" max="2564" width="9" style="3411"/>
    <col min="2565" max="2568" width="9.125" style="3411" customWidth="1"/>
    <col min="2569" max="2569" width="15.625" style="3411" customWidth="1"/>
    <col min="2570" max="2572" width="9.125" style="3411" customWidth="1"/>
    <col min="2573" max="2816" width="9" style="3411"/>
    <col min="2817" max="2817" width="10.625" style="3411" customWidth="1"/>
    <col min="2818" max="2818" width="19.75" style="3411" customWidth="1"/>
    <col min="2819" max="2819" width="8.625" style="3411" customWidth="1"/>
    <col min="2820" max="2820" width="9" style="3411"/>
    <col min="2821" max="2824" width="9.125" style="3411" customWidth="1"/>
    <col min="2825" max="2825" width="15.625" style="3411" customWidth="1"/>
    <col min="2826" max="2828" width="9.125" style="3411" customWidth="1"/>
    <col min="2829" max="3072" width="9" style="3411"/>
    <col min="3073" max="3073" width="10.625" style="3411" customWidth="1"/>
    <col min="3074" max="3074" width="19.75" style="3411" customWidth="1"/>
    <col min="3075" max="3075" width="8.625" style="3411" customWidth="1"/>
    <col min="3076" max="3076" width="9" style="3411"/>
    <col min="3077" max="3080" width="9.125" style="3411" customWidth="1"/>
    <col min="3081" max="3081" width="15.625" style="3411" customWidth="1"/>
    <col min="3082" max="3084" width="9.125" style="3411" customWidth="1"/>
    <col min="3085" max="3328" width="9" style="3411"/>
    <col min="3329" max="3329" width="10.625" style="3411" customWidth="1"/>
    <col min="3330" max="3330" width="19.75" style="3411" customWidth="1"/>
    <col min="3331" max="3331" width="8.625" style="3411" customWidth="1"/>
    <col min="3332" max="3332" width="9" style="3411"/>
    <col min="3333" max="3336" width="9.125" style="3411" customWidth="1"/>
    <col min="3337" max="3337" width="15.625" style="3411" customWidth="1"/>
    <col min="3338" max="3340" width="9.125" style="3411" customWidth="1"/>
    <col min="3341" max="3584" width="9" style="3411"/>
    <col min="3585" max="3585" width="10.625" style="3411" customWidth="1"/>
    <col min="3586" max="3586" width="19.75" style="3411" customWidth="1"/>
    <col min="3587" max="3587" width="8.625" style="3411" customWidth="1"/>
    <col min="3588" max="3588" width="9" style="3411"/>
    <col min="3589" max="3592" width="9.125" style="3411" customWidth="1"/>
    <col min="3593" max="3593" width="15.625" style="3411" customWidth="1"/>
    <col min="3594" max="3596" width="9.125" style="3411" customWidth="1"/>
    <col min="3597" max="3840" width="9" style="3411"/>
    <col min="3841" max="3841" width="10.625" style="3411" customWidth="1"/>
    <col min="3842" max="3842" width="19.75" style="3411" customWidth="1"/>
    <col min="3843" max="3843" width="8.625" style="3411" customWidth="1"/>
    <col min="3844" max="3844" width="9" style="3411"/>
    <col min="3845" max="3848" width="9.125" style="3411" customWidth="1"/>
    <col min="3849" max="3849" width="15.625" style="3411" customWidth="1"/>
    <col min="3850" max="3852" width="9.125" style="3411" customWidth="1"/>
    <col min="3853" max="4096" width="9" style="3411"/>
    <col min="4097" max="4097" width="10.625" style="3411" customWidth="1"/>
    <col min="4098" max="4098" width="19.75" style="3411" customWidth="1"/>
    <col min="4099" max="4099" width="8.625" style="3411" customWidth="1"/>
    <col min="4100" max="4100" width="9" style="3411"/>
    <col min="4101" max="4104" width="9.125" style="3411" customWidth="1"/>
    <col min="4105" max="4105" width="15.625" style="3411" customWidth="1"/>
    <col min="4106" max="4108" width="9.125" style="3411" customWidth="1"/>
    <col min="4109" max="4352" width="9" style="3411"/>
    <col min="4353" max="4353" width="10.625" style="3411" customWidth="1"/>
    <col min="4354" max="4354" width="19.75" style="3411" customWidth="1"/>
    <col min="4355" max="4355" width="8.625" style="3411" customWidth="1"/>
    <col min="4356" max="4356" width="9" style="3411"/>
    <col min="4357" max="4360" width="9.125" style="3411" customWidth="1"/>
    <col min="4361" max="4361" width="15.625" style="3411" customWidth="1"/>
    <col min="4362" max="4364" width="9.125" style="3411" customWidth="1"/>
    <col min="4365" max="4608" width="9" style="3411"/>
    <col min="4609" max="4609" width="10.625" style="3411" customWidth="1"/>
    <col min="4610" max="4610" width="19.75" style="3411" customWidth="1"/>
    <col min="4611" max="4611" width="8.625" style="3411" customWidth="1"/>
    <col min="4612" max="4612" width="9" style="3411"/>
    <col min="4613" max="4616" width="9.125" style="3411" customWidth="1"/>
    <col min="4617" max="4617" width="15.625" style="3411" customWidth="1"/>
    <col min="4618" max="4620" width="9.125" style="3411" customWidth="1"/>
    <col min="4621" max="4864" width="9" style="3411"/>
    <col min="4865" max="4865" width="10.625" style="3411" customWidth="1"/>
    <col min="4866" max="4866" width="19.75" style="3411" customWidth="1"/>
    <col min="4867" max="4867" width="8.625" style="3411" customWidth="1"/>
    <col min="4868" max="4868" width="9" style="3411"/>
    <col min="4869" max="4872" width="9.125" style="3411" customWidth="1"/>
    <col min="4873" max="4873" width="15.625" style="3411" customWidth="1"/>
    <col min="4874" max="4876" width="9.125" style="3411" customWidth="1"/>
    <col min="4877" max="5120" width="9" style="3411"/>
    <col min="5121" max="5121" width="10.625" style="3411" customWidth="1"/>
    <col min="5122" max="5122" width="19.75" style="3411" customWidth="1"/>
    <col min="5123" max="5123" width="8.625" style="3411" customWidth="1"/>
    <col min="5124" max="5124" width="9" style="3411"/>
    <col min="5125" max="5128" width="9.125" style="3411" customWidth="1"/>
    <col min="5129" max="5129" width="15.625" style="3411" customWidth="1"/>
    <col min="5130" max="5132" width="9.125" style="3411" customWidth="1"/>
    <col min="5133" max="5376" width="9" style="3411"/>
    <col min="5377" max="5377" width="10.625" style="3411" customWidth="1"/>
    <col min="5378" max="5378" width="19.75" style="3411" customWidth="1"/>
    <col min="5379" max="5379" width="8.625" style="3411" customWidth="1"/>
    <col min="5380" max="5380" width="9" style="3411"/>
    <col min="5381" max="5384" width="9.125" style="3411" customWidth="1"/>
    <col min="5385" max="5385" width="15.625" style="3411" customWidth="1"/>
    <col min="5386" max="5388" width="9.125" style="3411" customWidth="1"/>
    <col min="5389" max="5632" width="9" style="3411"/>
    <col min="5633" max="5633" width="10.625" style="3411" customWidth="1"/>
    <col min="5634" max="5634" width="19.75" style="3411" customWidth="1"/>
    <col min="5635" max="5635" width="8.625" style="3411" customWidth="1"/>
    <col min="5636" max="5636" width="9" style="3411"/>
    <col min="5637" max="5640" width="9.125" style="3411" customWidth="1"/>
    <col min="5641" max="5641" width="15.625" style="3411" customWidth="1"/>
    <col min="5642" max="5644" width="9.125" style="3411" customWidth="1"/>
    <col min="5645" max="5888" width="9" style="3411"/>
    <col min="5889" max="5889" width="10.625" style="3411" customWidth="1"/>
    <col min="5890" max="5890" width="19.75" style="3411" customWidth="1"/>
    <col min="5891" max="5891" width="8.625" style="3411" customWidth="1"/>
    <col min="5892" max="5892" width="9" style="3411"/>
    <col min="5893" max="5896" width="9.125" style="3411" customWidth="1"/>
    <col min="5897" max="5897" width="15.625" style="3411" customWidth="1"/>
    <col min="5898" max="5900" width="9.125" style="3411" customWidth="1"/>
    <col min="5901" max="6144" width="9" style="3411"/>
    <col min="6145" max="6145" width="10.625" style="3411" customWidth="1"/>
    <col min="6146" max="6146" width="19.75" style="3411" customWidth="1"/>
    <col min="6147" max="6147" width="8.625" style="3411" customWidth="1"/>
    <col min="6148" max="6148" width="9" style="3411"/>
    <col min="6149" max="6152" width="9.125" style="3411" customWidth="1"/>
    <col min="6153" max="6153" width="15.625" style="3411" customWidth="1"/>
    <col min="6154" max="6156" width="9.125" style="3411" customWidth="1"/>
    <col min="6157" max="6400" width="9" style="3411"/>
    <col min="6401" max="6401" width="10.625" style="3411" customWidth="1"/>
    <col min="6402" max="6402" width="19.75" style="3411" customWidth="1"/>
    <col min="6403" max="6403" width="8.625" style="3411" customWidth="1"/>
    <col min="6404" max="6404" width="9" style="3411"/>
    <col min="6405" max="6408" width="9.125" style="3411" customWidth="1"/>
    <col min="6409" max="6409" width="15.625" style="3411" customWidth="1"/>
    <col min="6410" max="6412" width="9.125" style="3411" customWidth="1"/>
    <col min="6413" max="6656" width="9" style="3411"/>
    <col min="6657" max="6657" width="10.625" style="3411" customWidth="1"/>
    <col min="6658" max="6658" width="19.75" style="3411" customWidth="1"/>
    <col min="6659" max="6659" width="8.625" style="3411" customWidth="1"/>
    <col min="6660" max="6660" width="9" style="3411"/>
    <col min="6661" max="6664" width="9.125" style="3411" customWidth="1"/>
    <col min="6665" max="6665" width="15.625" style="3411" customWidth="1"/>
    <col min="6666" max="6668" width="9.125" style="3411" customWidth="1"/>
    <col min="6669" max="6912" width="9" style="3411"/>
    <col min="6913" max="6913" width="10.625" style="3411" customWidth="1"/>
    <col min="6914" max="6914" width="19.75" style="3411" customWidth="1"/>
    <col min="6915" max="6915" width="8.625" style="3411" customWidth="1"/>
    <col min="6916" max="6916" width="9" style="3411"/>
    <col min="6917" max="6920" width="9.125" style="3411" customWidth="1"/>
    <col min="6921" max="6921" width="15.625" style="3411" customWidth="1"/>
    <col min="6922" max="6924" width="9.125" style="3411" customWidth="1"/>
    <col min="6925" max="7168" width="9" style="3411"/>
    <col min="7169" max="7169" width="10.625" style="3411" customWidth="1"/>
    <col min="7170" max="7170" width="19.75" style="3411" customWidth="1"/>
    <col min="7171" max="7171" width="8.625" style="3411" customWidth="1"/>
    <col min="7172" max="7172" width="9" style="3411"/>
    <col min="7173" max="7176" width="9.125" style="3411" customWidth="1"/>
    <col min="7177" max="7177" width="15.625" style="3411" customWidth="1"/>
    <col min="7178" max="7180" width="9.125" style="3411" customWidth="1"/>
    <col min="7181" max="7424" width="9" style="3411"/>
    <col min="7425" max="7425" width="10.625" style="3411" customWidth="1"/>
    <col min="7426" max="7426" width="19.75" style="3411" customWidth="1"/>
    <col min="7427" max="7427" width="8.625" style="3411" customWidth="1"/>
    <col min="7428" max="7428" width="9" style="3411"/>
    <col min="7429" max="7432" width="9.125" style="3411" customWidth="1"/>
    <col min="7433" max="7433" width="15.625" style="3411" customWidth="1"/>
    <col min="7434" max="7436" width="9.125" style="3411" customWidth="1"/>
    <col min="7437" max="7680" width="9" style="3411"/>
    <col min="7681" max="7681" width="10.625" style="3411" customWidth="1"/>
    <col min="7682" max="7682" width="19.75" style="3411" customWidth="1"/>
    <col min="7683" max="7683" width="8.625" style="3411" customWidth="1"/>
    <col min="7684" max="7684" width="9" style="3411"/>
    <col min="7685" max="7688" width="9.125" style="3411" customWidth="1"/>
    <col min="7689" max="7689" width="15.625" style="3411" customWidth="1"/>
    <col min="7690" max="7692" width="9.125" style="3411" customWidth="1"/>
    <col min="7693" max="7936" width="9" style="3411"/>
    <col min="7937" max="7937" width="10.625" style="3411" customWidth="1"/>
    <col min="7938" max="7938" width="19.75" style="3411" customWidth="1"/>
    <col min="7939" max="7939" width="8.625" style="3411" customWidth="1"/>
    <col min="7940" max="7940" width="9" style="3411"/>
    <col min="7941" max="7944" width="9.125" style="3411" customWidth="1"/>
    <col min="7945" max="7945" width="15.625" style="3411" customWidth="1"/>
    <col min="7946" max="7948" width="9.125" style="3411" customWidth="1"/>
    <col min="7949" max="8192" width="9" style="3411"/>
    <col min="8193" max="8193" width="10.625" style="3411" customWidth="1"/>
    <col min="8194" max="8194" width="19.75" style="3411" customWidth="1"/>
    <col min="8195" max="8195" width="8.625" style="3411" customWidth="1"/>
    <col min="8196" max="8196" width="9" style="3411"/>
    <col min="8197" max="8200" width="9.125" style="3411" customWidth="1"/>
    <col min="8201" max="8201" width="15.625" style="3411" customWidth="1"/>
    <col min="8202" max="8204" width="9.125" style="3411" customWidth="1"/>
    <col min="8205" max="8448" width="9" style="3411"/>
    <col min="8449" max="8449" width="10.625" style="3411" customWidth="1"/>
    <col min="8450" max="8450" width="19.75" style="3411" customWidth="1"/>
    <col min="8451" max="8451" width="8.625" style="3411" customWidth="1"/>
    <col min="8452" max="8452" width="9" style="3411"/>
    <col min="8453" max="8456" width="9.125" style="3411" customWidth="1"/>
    <col min="8457" max="8457" width="15.625" style="3411" customWidth="1"/>
    <col min="8458" max="8460" width="9.125" style="3411" customWidth="1"/>
    <col min="8461" max="8704" width="9" style="3411"/>
    <col min="8705" max="8705" width="10.625" style="3411" customWidth="1"/>
    <col min="8706" max="8706" width="19.75" style="3411" customWidth="1"/>
    <col min="8707" max="8707" width="8.625" style="3411" customWidth="1"/>
    <col min="8708" max="8708" width="9" style="3411"/>
    <col min="8709" max="8712" width="9.125" style="3411" customWidth="1"/>
    <col min="8713" max="8713" width="15.625" style="3411" customWidth="1"/>
    <col min="8714" max="8716" width="9.125" style="3411" customWidth="1"/>
    <col min="8717" max="8960" width="9" style="3411"/>
    <col min="8961" max="8961" width="10.625" style="3411" customWidth="1"/>
    <col min="8962" max="8962" width="19.75" style="3411" customWidth="1"/>
    <col min="8963" max="8963" width="8.625" style="3411" customWidth="1"/>
    <col min="8964" max="8964" width="9" style="3411"/>
    <col min="8965" max="8968" width="9.125" style="3411" customWidth="1"/>
    <col min="8969" max="8969" width="15.625" style="3411" customWidth="1"/>
    <col min="8970" max="8972" width="9.125" style="3411" customWidth="1"/>
    <col min="8973" max="9216" width="9" style="3411"/>
    <col min="9217" max="9217" width="10.625" style="3411" customWidth="1"/>
    <col min="9218" max="9218" width="19.75" style="3411" customWidth="1"/>
    <col min="9219" max="9219" width="8.625" style="3411" customWidth="1"/>
    <col min="9220" max="9220" width="9" style="3411"/>
    <col min="9221" max="9224" width="9.125" style="3411" customWidth="1"/>
    <col min="9225" max="9225" width="15.625" style="3411" customWidth="1"/>
    <col min="9226" max="9228" width="9.125" style="3411" customWidth="1"/>
    <col min="9229" max="9472" width="9" style="3411"/>
    <col min="9473" max="9473" width="10.625" style="3411" customWidth="1"/>
    <col min="9474" max="9474" width="19.75" style="3411" customWidth="1"/>
    <col min="9475" max="9475" width="8.625" style="3411" customWidth="1"/>
    <col min="9476" max="9476" width="9" style="3411"/>
    <col min="9477" max="9480" width="9.125" style="3411" customWidth="1"/>
    <col min="9481" max="9481" width="15.625" style="3411" customWidth="1"/>
    <col min="9482" max="9484" width="9.125" style="3411" customWidth="1"/>
    <col min="9485" max="9728" width="9" style="3411"/>
    <col min="9729" max="9729" width="10.625" style="3411" customWidth="1"/>
    <col min="9730" max="9730" width="19.75" style="3411" customWidth="1"/>
    <col min="9731" max="9731" width="8.625" style="3411" customWidth="1"/>
    <col min="9732" max="9732" width="9" style="3411"/>
    <col min="9733" max="9736" width="9.125" style="3411" customWidth="1"/>
    <col min="9737" max="9737" width="15.625" style="3411" customWidth="1"/>
    <col min="9738" max="9740" width="9.125" style="3411" customWidth="1"/>
    <col min="9741" max="9984" width="9" style="3411"/>
    <col min="9985" max="9985" width="10.625" style="3411" customWidth="1"/>
    <col min="9986" max="9986" width="19.75" style="3411" customWidth="1"/>
    <col min="9987" max="9987" width="8.625" style="3411" customWidth="1"/>
    <col min="9988" max="9988" width="9" style="3411"/>
    <col min="9989" max="9992" width="9.125" style="3411" customWidth="1"/>
    <col min="9993" max="9993" width="15.625" style="3411" customWidth="1"/>
    <col min="9994" max="9996" width="9.125" style="3411" customWidth="1"/>
    <col min="9997" max="10240" width="9" style="3411"/>
    <col min="10241" max="10241" width="10.625" style="3411" customWidth="1"/>
    <col min="10242" max="10242" width="19.75" style="3411" customWidth="1"/>
    <col min="10243" max="10243" width="8.625" style="3411" customWidth="1"/>
    <col min="10244" max="10244" width="9" style="3411"/>
    <col min="10245" max="10248" width="9.125" style="3411" customWidth="1"/>
    <col min="10249" max="10249" width="15.625" style="3411" customWidth="1"/>
    <col min="10250" max="10252" width="9.125" style="3411" customWidth="1"/>
    <col min="10253" max="10496" width="9" style="3411"/>
    <col min="10497" max="10497" width="10.625" style="3411" customWidth="1"/>
    <col min="10498" max="10498" width="19.75" style="3411" customWidth="1"/>
    <col min="10499" max="10499" width="8.625" style="3411" customWidth="1"/>
    <col min="10500" max="10500" width="9" style="3411"/>
    <col min="10501" max="10504" width="9.125" style="3411" customWidth="1"/>
    <col min="10505" max="10505" width="15.625" style="3411" customWidth="1"/>
    <col min="10506" max="10508" width="9.125" style="3411" customWidth="1"/>
    <col min="10509" max="10752" width="9" style="3411"/>
    <col min="10753" max="10753" width="10.625" style="3411" customWidth="1"/>
    <col min="10754" max="10754" width="19.75" style="3411" customWidth="1"/>
    <col min="10755" max="10755" width="8.625" style="3411" customWidth="1"/>
    <col min="10756" max="10756" width="9" style="3411"/>
    <col min="10757" max="10760" width="9.125" style="3411" customWidth="1"/>
    <col min="10761" max="10761" width="15.625" style="3411" customWidth="1"/>
    <col min="10762" max="10764" width="9.125" style="3411" customWidth="1"/>
    <col min="10765" max="11008" width="9" style="3411"/>
    <col min="11009" max="11009" width="10.625" style="3411" customWidth="1"/>
    <col min="11010" max="11010" width="19.75" style="3411" customWidth="1"/>
    <col min="11011" max="11011" width="8.625" style="3411" customWidth="1"/>
    <col min="11012" max="11012" width="9" style="3411"/>
    <col min="11013" max="11016" width="9.125" style="3411" customWidth="1"/>
    <col min="11017" max="11017" width="15.625" style="3411" customWidth="1"/>
    <col min="11018" max="11020" width="9.125" style="3411" customWidth="1"/>
    <col min="11021" max="11264" width="9" style="3411"/>
    <col min="11265" max="11265" width="10.625" style="3411" customWidth="1"/>
    <col min="11266" max="11266" width="19.75" style="3411" customWidth="1"/>
    <col min="11267" max="11267" width="8.625" style="3411" customWidth="1"/>
    <col min="11268" max="11268" width="9" style="3411"/>
    <col min="11269" max="11272" width="9.125" style="3411" customWidth="1"/>
    <col min="11273" max="11273" width="15.625" style="3411" customWidth="1"/>
    <col min="11274" max="11276" width="9.125" style="3411" customWidth="1"/>
    <col min="11277" max="11520" width="9" style="3411"/>
    <col min="11521" max="11521" width="10.625" style="3411" customWidth="1"/>
    <col min="11522" max="11522" width="19.75" style="3411" customWidth="1"/>
    <col min="11523" max="11523" width="8.625" style="3411" customWidth="1"/>
    <col min="11524" max="11524" width="9" style="3411"/>
    <col min="11525" max="11528" width="9.125" style="3411" customWidth="1"/>
    <col min="11529" max="11529" width="15.625" style="3411" customWidth="1"/>
    <col min="11530" max="11532" width="9.125" style="3411" customWidth="1"/>
    <col min="11533" max="11776" width="9" style="3411"/>
    <col min="11777" max="11777" width="10.625" style="3411" customWidth="1"/>
    <col min="11778" max="11778" width="19.75" style="3411" customWidth="1"/>
    <col min="11779" max="11779" width="8.625" style="3411" customWidth="1"/>
    <col min="11780" max="11780" width="9" style="3411"/>
    <col min="11781" max="11784" width="9.125" style="3411" customWidth="1"/>
    <col min="11785" max="11785" width="15.625" style="3411" customWidth="1"/>
    <col min="11786" max="11788" width="9.125" style="3411" customWidth="1"/>
    <col min="11789" max="12032" width="9" style="3411"/>
    <col min="12033" max="12033" width="10.625" style="3411" customWidth="1"/>
    <col min="12034" max="12034" width="19.75" style="3411" customWidth="1"/>
    <col min="12035" max="12035" width="8.625" style="3411" customWidth="1"/>
    <col min="12036" max="12036" width="9" style="3411"/>
    <col min="12037" max="12040" width="9.125" style="3411" customWidth="1"/>
    <col min="12041" max="12041" width="15.625" style="3411" customWidth="1"/>
    <col min="12042" max="12044" width="9.125" style="3411" customWidth="1"/>
    <col min="12045" max="12288" width="9" style="3411"/>
    <col min="12289" max="12289" width="10.625" style="3411" customWidth="1"/>
    <col min="12290" max="12290" width="19.75" style="3411" customWidth="1"/>
    <col min="12291" max="12291" width="8.625" style="3411" customWidth="1"/>
    <col min="12292" max="12292" width="9" style="3411"/>
    <col min="12293" max="12296" width="9.125" style="3411" customWidth="1"/>
    <col min="12297" max="12297" width="15.625" style="3411" customWidth="1"/>
    <col min="12298" max="12300" width="9.125" style="3411" customWidth="1"/>
    <col min="12301" max="12544" width="9" style="3411"/>
    <col min="12545" max="12545" width="10.625" style="3411" customWidth="1"/>
    <col min="12546" max="12546" width="19.75" style="3411" customWidth="1"/>
    <col min="12547" max="12547" width="8.625" style="3411" customWidth="1"/>
    <col min="12548" max="12548" width="9" style="3411"/>
    <col min="12549" max="12552" width="9.125" style="3411" customWidth="1"/>
    <col min="12553" max="12553" width="15.625" style="3411" customWidth="1"/>
    <col min="12554" max="12556" width="9.125" style="3411" customWidth="1"/>
    <col min="12557" max="12800" width="9" style="3411"/>
    <col min="12801" max="12801" width="10.625" style="3411" customWidth="1"/>
    <col min="12802" max="12802" width="19.75" style="3411" customWidth="1"/>
    <col min="12803" max="12803" width="8.625" style="3411" customWidth="1"/>
    <col min="12804" max="12804" width="9" style="3411"/>
    <col min="12805" max="12808" width="9.125" style="3411" customWidth="1"/>
    <col min="12809" max="12809" width="15.625" style="3411" customWidth="1"/>
    <col min="12810" max="12812" width="9.125" style="3411" customWidth="1"/>
    <col min="12813" max="13056" width="9" style="3411"/>
    <col min="13057" max="13057" width="10.625" style="3411" customWidth="1"/>
    <col min="13058" max="13058" width="19.75" style="3411" customWidth="1"/>
    <col min="13059" max="13059" width="8.625" style="3411" customWidth="1"/>
    <col min="13060" max="13060" width="9" style="3411"/>
    <col min="13061" max="13064" width="9.125" style="3411" customWidth="1"/>
    <col min="13065" max="13065" width="15.625" style="3411" customWidth="1"/>
    <col min="13066" max="13068" width="9.125" style="3411" customWidth="1"/>
    <col min="13069" max="13312" width="9" style="3411"/>
    <col min="13313" max="13313" width="10.625" style="3411" customWidth="1"/>
    <col min="13314" max="13314" width="19.75" style="3411" customWidth="1"/>
    <col min="13315" max="13315" width="8.625" style="3411" customWidth="1"/>
    <col min="13316" max="13316" width="9" style="3411"/>
    <col min="13317" max="13320" width="9.125" style="3411" customWidth="1"/>
    <col min="13321" max="13321" width="15.625" style="3411" customWidth="1"/>
    <col min="13322" max="13324" width="9.125" style="3411" customWidth="1"/>
    <col min="13325" max="13568" width="9" style="3411"/>
    <col min="13569" max="13569" width="10.625" style="3411" customWidth="1"/>
    <col min="13570" max="13570" width="19.75" style="3411" customWidth="1"/>
    <col min="13571" max="13571" width="8.625" style="3411" customWidth="1"/>
    <col min="13572" max="13572" width="9" style="3411"/>
    <col min="13573" max="13576" width="9.125" style="3411" customWidth="1"/>
    <col min="13577" max="13577" width="15.625" style="3411" customWidth="1"/>
    <col min="13578" max="13580" width="9.125" style="3411" customWidth="1"/>
    <col min="13581" max="13824" width="9" style="3411"/>
    <col min="13825" max="13825" width="10.625" style="3411" customWidth="1"/>
    <col min="13826" max="13826" width="19.75" style="3411" customWidth="1"/>
    <col min="13827" max="13827" width="8.625" style="3411" customWidth="1"/>
    <col min="13828" max="13828" width="9" style="3411"/>
    <col min="13829" max="13832" width="9.125" style="3411" customWidth="1"/>
    <col min="13833" max="13833" width="15.625" style="3411" customWidth="1"/>
    <col min="13834" max="13836" width="9.125" style="3411" customWidth="1"/>
    <col min="13837" max="14080" width="9" style="3411"/>
    <col min="14081" max="14081" width="10.625" style="3411" customWidth="1"/>
    <col min="14082" max="14082" width="19.75" style="3411" customWidth="1"/>
    <col min="14083" max="14083" width="8.625" style="3411" customWidth="1"/>
    <col min="14084" max="14084" width="9" style="3411"/>
    <col min="14085" max="14088" width="9.125" style="3411" customWidth="1"/>
    <col min="14089" max="14089" width="15.625" style="3411" customWidth="1"/>
    <col min="14090" max="14092" width="9.125" style="3411" customWidth="1"/>
    <col min="14093" max="14336" width="9" style="3411"/>
    <col min="14337" max="14337" width="10.625" style="3411" customWidth="1"/>
    <col min="14338" max="14338" width="19.75" style="3411" customWidth="1"/>
    <col min="14339" max="14339" width="8.625" style="3411" customWidth="1"/>
    <col min="14340" max="14340" width="9" style="3411"/>
    <col min="14341" max="14344" width="9.125" style="3411" customWidth="1"/>
    <col min="14345" max="14345" width="15.625" style="3411" customWidth="1"/>
    <col min="14346" max="14348" width="9.125" style="3411" customWidth="1"/>
    <col min="14349" max="14592" width="9" style="3411"/>
    <col min="14593" max="14593" width="10.625" style="3411" customWidth="1"/>
    <col min="14594" max="14594" width="19.75" style="3411" customWidth="1"/>
    <col min="14595" max="14595" width="8.625" style="3411" customWidth="1"/>
    <col min="14596" max="14596" width="9" style="3411"/>
    <col min="14597" max="14600" width="9.125" style="3411" customWidth="1"/>
    <col min="14601" max="14601" width="15.625" style="3411" customWidth="1"/>
    <col min="14602" max="14604" width="9.125" style="3411" customWidth="1"/>
    <col min="14605" max="14848" width="9" style="3411"/>
    <col min="14849" max="14849" width="10.625" style="3411" customWidth="1"/>
    <col min="14850" max="14850" width="19.75" style="3411" customWidth="1"/>
    <col min="14851" max="14851" width="8.625" style="3411" customWidth="1"/>
    <col min="14852" max="14852" width="9" style="3411"/>
    <col min="14853" max="14856" width="9.125" style="3411" customWidth="1"/>
    <col min="14857" max="14857" width="15.625" style="3411" customWidth="1"/>
    <col min="14858" max="14860" width="9.125" style="3411" customWidth="1"/>
    <col min="14861" max="15104" width="9" style="3411"/>
    <col min="15105" max="15105" width="10.625" style="3411" customWidth="1"/>
    <col min="15106" max="15106" width="19.75" style="3411" customWidth="1"/>
    <col min="15107" max="15107" width="8.625" style="3411" customWidth="1"/>
    <col min="15108" max="15108" width="9" style="3411"/>
    <col min="15109" max="15112" width="9.125" style="3411" customWidth="1"/>
    <col min="15113" max="15113" width="15.625" style="3411" customWidth="1"/>
    <col min="15114" max="15116" width="9.125" style="3411" customWidth="1"/>
    <col min="15117" max="15360" width="9" style="3411"/>
    <col min="15361" max="15361" width="10.625" style="3411" customWidth="1"/>
    <col min="15362" max="15362" width="19.75" style="3411" customWidth="1"/>
    <col min="15363" max="15363" width="8.625" style="3411" customWidth="1"/>
    <col min="15364" max="15364" width="9" style="3411"/>
    <col min="15365" max="15368" width="9.125" style="3411" customWidth="1"/>
    <col min="15369" max="15369" width="15.625" style="3411" customWidth="1"/>
    <col min="15370" max="15372" width="9.125" style="3411" customWidth="1"/>
    <col min="15373" max="15616" width="9" style="3411"/>
    <col min="15617" max="15617" width="10.625" style="3411" customWidth="1"/>
    <col min="15618" max="15618" width="19.75" style="3411" customWidth="1"/>
    <col min="15619" max="15619" width="8.625" style="3411" customWidth="1"/>
    <col min="15620" max="15620" width="9" style="3411"/>
    <col min="15621" max="15624" width="9.125" style="3411" customWidth="1"/>
    <col min="15625" max="15625" width="15.625" style="3411" customWidth="1"/>
    <col min="15626" max="15628" width="9.125" style="3411" customWidth="1"/>
    <col min="15629" max="15872" width="9" style="3411"/>
    <col min="15873" max="15873" width="10.625" style="3411" customWidth="1"/>
    <col min="15874" max="15874" width="19.75" style="3411" customWidth="1"/>
    <col min="15875" max="15875" width="8.625" style="3411" customWidth="1"/>
    <col min="15876" max="15876" width="9" style="3411"/>
    <col min="15877" max="15880" width="9.125" style="3411" customWidth="1"/>
    <col min="15881" max="15881" width="15.625" style="3411" customWidth="1"/>
    <col min="15882" max="15884" width="9.125" style="3411" customWidth="1"/>
    <col min="15885" max="16128" width="9" style="3411"/>
    <col min="16129" max="16129" width="10.625" style="3411" customWidth="1"/>
    <col min="16130" max="16130" width="19.75" style="3411" customWidth="1"/>
    <col min="16131" max="16131" width="8.625" style="3411" customWidth="1"/>
    <col min="16132" max="16132" width="9" style="3411"/>
    <col min="16133" max="16136" width="9.125" style="3411" customWidth="1"/>
    <col min="16137" max="16137" width="15.625" style="3411" customWidth="1"/>
    <col min="16138" max="16140" width="9.125" style="3411" customWidth="1"/>
    <col min="16141" max="16384" width="9" style="3411"/>
  </cols>
  <sheetData>
    <row r="1" spans="1:256" ht="30" customHeight="1">
      <c r="A1" s="4776" t="s">
        <v>2722</v>
      </c>
      <c r="B1" s="4777"/>
      <c r="C1" s="4777"/>
      <c r="D1" s="4777"/>
      <c r="E1" s="4777"/>
      <c r="F1" s="4777"/>
      <c r="G1" s="4777"/>
      <c r="H1" s="4777"/>
    </row>
    <row r="2" spans="1:256" s="3409" customFormat="1" ht="20.100000000000001" customHeight="1">
      <c r="A2" s="4778" t="s">
        <v>2723</v>
      </c>
      <c r="B2" s="4778"/>
      <c r="C2" s="4778"/>
      <c r="D2" s="4778"/>
      <c r="E2" s="4778"/>
      <c r="F2" s="4778"/>
      <c r="G2" s="4778"/>
      <c r="H2" s="4778"/>
      <c r="I2" s="3410"/>
      <c r="J2" s="3410"/>
      <c r="K2" s="3410"/>
      <c r="L2" s="3410"/>
      <c r="M2" s="3410"/>
      <c r="N2" s="3410"/>
      <c r="O2" s="3410"/>
      <c r="P2" s="3410"/>
      <c r="Q2" s="3410"/>
      <c r="R2" s="3410"/>
      <c r="S2" s="3410"/>
      <c r="T2" s="3410"/>
      <c r="U2" s="3410"/>
      <c r="V2" s="3410"/>
      <c r="W2" s="3410"/>
      <c r="X2" s="3410"/>
      <c r="Y2" s="3410"/>
      <c r="Z2" s="3410"/>
      <c r="AA2" s="3410"/>
      <c r="AB2" s="3410"/>
      <c r="AC2" s="3410"/>
      <c r="AD2" s="3410"/>
      <c r="AE2" s="3410"/>
      <c r="AF2" s="3410"/>
      <c r="AG2" s="3410"/>
      <c r="AH2" s="3410"/>
      <c r="AI2" s="3410"/>
      <c r="AJ2" s="3410"/>
      <c r="AK2" s="3410"/>
      <c r="AL2" s="3410"/>
      <c r="AM2" s="3410"/>
      <c r="AN2" s="3410"/>
      <c r="AO2" s="3410"/>
      <c r="AP2" s="3410"/>
      <c r="AQ2" s="3410"/>
      <c r="AR2" s="3410"/>
      <c r="AS2" s="3410"/>
      <c r="AT2" s="3410"/>
      <c r="AU2" s="3410"/>
      <c r="AV2" s="3410"/>
      <c r="AW2" s="3410"/>
      <c r="AX2" s="3410"/>
      <c r="AY2" s="3410"/>
      <c r="AZ2" s="3410"/>
      <c r="BA2" s="3410"/>
      <c r="BB2" s="3410"/>
      <c r="BC2" s="3410"/>
      <c r="BD2" s="3410"/>
      <c r="BE2" s="3410"/>
      <c r="BF2" s="3410"/>
      <c r="BG2" s="3410"/>
      <c r="BH2" s="3410"/>
      <c r="BI2" s="3410"/>
      <c r="BJ2" s="3410"/>
      <c r="BK2" s="3410"/>
      <c r="BL2" s="3410"/>
      <c r="BM2" s="3410"/>
      <c r="BN2" s="3410"/>
      <c r="BO2" s="3410"/>
      <c r="BP2" s="3410"/>
      <c r="BQ2" s="3410"/>
      <c r="BR2" s="3410"/>
      <c r="BS2" s="3410"/>
      <c r="BT2" s="3410"/>
      <c r="BU2" s="3410"/>
      <c r="BV2" s="3410"/>
      <c r="BW2" s="3410"/>
      <c r="BX2" s="3410"/>
      <c r="BY2" s="3410"/>
      <c r="BZ2" s="3410"/>
      <c r="CA2" s="3410"/>
      <c r="CB2" s="3410"/>
      <c r="CC2" s="3410"/>
      <c r="CD2" s="3410"/>
      <c r="CE2" s="3410"/>
      <c r="CF2" s="3410"/>
      <c r="CG2" s="3410"/>
      <c r="CH2" s="3410"/>
      <c r="CI2" s="3410"/>
      <c r="CJ2" s="3410"/>
      <c r="CK2" s="3410"/>
      <c r="CL2" s="3410"/>
      <c r="CM2" s="3410"/>
      <c r="CN2" s="3410"/>
      <c r="CO2" s="3410"/>
      <c r="CP2" s="3410"/>
      <c r="CQ2" s="3410"/>
      <c r="CR2" s="3410"/>
      <c r="CS2" s="3410"/>
      <c r="CT2" s="3410"/>
      <c r="CU2" s="3410"/>
      <c r="CV2" s="3410"/>
      <c r="CW2" s="3410"/>
      <c r="CX2" s="3410"/>
      <c r="CY2" s="3410"/>
      <c r="CZ2" s="3410"/>
      <c r="DA2" s="3410"/>
      <c r="DB2" s="3410"/>
      <c r="DC2" s="3410"/>
      <c r="DD2" s="3410"/>
      <c r="DE2" s="3410"/>
      <c r="DF2" s="3410"/>
      <c r="DG2" s="3410"/>
      <c r="DH2" s="3410"/>
      <c r="DI2" s="3410"/>
      <c r="DJ2" s="3410"/>
      <c r="DK2" s="3410"/>
      <c r="DL2" s="3410"/>
      <c r="DM2" s="3410"/>
      <c r="DN2" s="3410"/>
      <c r="DO2" s="3410"/>
      <c r="DP2" s="3410"/>
      <c r="DQ2" s="3410"/>
      <c r="DR2" s="3410"/>
      <c r="DS2" s="3410"/>
      <c r="DT2" s="3410"/>
      <c r="DU2" s="3410"/>
      <c r="DV2" s="3410"/>
      <c r="DW2" s="3410"/>
      <c r="DX2" s="3410"/>
      <c r="DY2" s="3410"/>
      <c r="DZ2" s="3410"/>
      <c r="EA2" s="3410"/>
      <c r="EB2" s="3410"/>
      <c r="EC2" s="3410"/>
      <c r="ED2" s="3410"/>
      <c r="EE2" s="3410"/>
      <c r="EF2" s="3410"/>
      <c r="EG2" s="3410"/>
      <c r="EH2" s="3410"/>
      <c r="EI2" s="3410"/>
      <c r="EJ2" s="3410"/>
      <c r="EK2" s="3410"/>
      <c r="EL2" s="3410"/>
      <c r="EM2" s="3410"/>
      <c r="EN2" s="3410"/>
      <c r="EO2" s="3410"/>
      <c r="EP2" s="3410"/>
      <c r="EQ2" s="3410"/>
      <c r="ER2" s="3410"/>
      <c r="ES2" s="3410"/>
      <c r="ET2" s="3410"/>
      <c r="EU2" s="3410"/>
      <c r="EV2" s="3410"/>
      <c r="EW2" s="3410"/>
      <c r="EX2" s="3410"/>
      <c r="EY2" s="3410"/>
      <c r="EZ2" s="3410"/>
      <c r="FA2" s="3410"/>
      <c r="FB2" s="3410"/>
      <c r="FC2" s="3410"/>
      <c r="FD2" s="3410"/>
      <c r="FE2" s="3410"/>
      <c r="FF2" s="3410"/>
      <c r="FG2" s="3410"/>
      <c r="FH2" s="3410"/>
      <c r="FI2" s="3410"/>
      <c r="FJ2" s="3410"/>
      <c r="FK2" s="3410"/>
      <c r="FL2" s="3410"/>
      <c r="FM2" s="3410"/>
      <c r="FN2" s="3410"/>
      <c r="FO2" s="3410"/>
      <c r="FP2" s="3410"/>
      <c r="FQ2" s="3410"/>
      <c r="FR2" s="3410"/>
      <c r="FS2" s="3410"/>
      <c r="FT2" s="3410"/>
      <c r="FU2" s="3410"/>
      <c r="FV2" s="3410"/>
      <c r="FW2" s="3410"/>
      <c r="FX2" s="3410"/>
      <c r="FY2" s="3410"/>
      <c r="FZ2" s="3410"/>
      <c r="GA2" s="3410"/>
      <c r="GB2" s="3410"/>
      <c r="GC2" s="3410"/>
      <c r="GD2" s="3410"/>
      <c r="GE2" s="3410"/>
      <c r="GF2" s="3410"/>
      <c r="GG2" s="3410"/>
      <c r="GH2" s="3410"/>
      <c r="GI2" s="3410"/>
      <c r="GJ2" s="3410"/>
      <c r="GK2" s="3410"/>
      <c r="GL2" s="3410"/>
      <c r="GM2" s="3410"/>
      <c r="GN2" s="3410"/>
      <c r="GO2" s="3410"/>
      <c r="GP2" s="3410"/>
      <c r="GQ2" s="3410"/>
      <c r="GR2" s="3410"/>
      <c r="GS2" s="3410"/>
      <c r="GT2" s="3410"/>
      <c r="GU2" s="3410"/>
      <c r="GV2" s="3410"/>
      <c r="GW2" s="3410"/>
      <c r="GX2" s="3410"/>
      <c r="GY2" s="3410"/>
      <c r="GZ2" s="3410"/>
      <c r="HA2" s="3410"/>
      <c r="HB2" s="3410"/>
      <c r="HC2" s="3410"/>
      <c r="HD2" s="3410"/>
      <c r="HE2" s="3410"/>
      <c r="HF2" s="3410"/>
      <c r="HG2" s="3410"/>
      <c r="HH2" s="3410"/>
      <c r="HI2" s="3410"/>
      <c r="HJ2" s="3410"/>
      <c r="HK2" s="3410"/>
      <c r="HL2" s="3410"/>
      <c r="HM2" s="3410"/>
      <c r="HN2" s="3410"/>
      <c r="HO2" s="3410"/>
      <c r="HP2" s="3410"/>
      <c r="HQ2" s="3410"/>
      <c r="HR2" s="3410"/>
      <c r="HS2" s="3410"/>
      <c r="HT2" s="3410"/>
      <c r="HU2" s="3410"/>
      <c r="HV2" s="3410"/>
      <c r="HW2" s="3410"/>
      <c r="HX2" s="3410"/>
      <c r="HY2" s="3410"/>
      <c r="HZ2" s="3410"/>
      <c r="IA2" s="3410"/>
      <c r="IB2" s="3410"/>
      <c r="IC2" s="3410"/>
      <c r="ID2" s="3410"/>
      <c r="IE2" s="3410"/>
      <c r="IF2" s="3410"/>
      <c r="IG2" s="3410"/>
      <c r="IH2" s="3410"/>
      <c r="II2" s="3410"/>
      <c r="IJ2" s="3410"/>
      <c r="IK2" s="3410"/>
      <c r="IL2" s="3410"/>
      <c r="IM2" s="3410"/>
      <c r="IN2" s="3410"/>
      <c r="IO2" s="3410"/>
      <c r="IP2" s="3410"/>
      <c r="IQ2" s="3410"/>
      <c r="IR2" s="3410"/>
      <c r="IS2" s="3410"/>
      <c r="IT2" s="3410"/>
      <c r="IU2" s="3410"/>
      <c r="IV2" s="3410"/>
    </row>
    <row r="3" spans="1:256" s="3409" customFormat="1" ht="20.100000000000001" customHeight="1">
      <c r="A3" s="3410" t="s">
        <v>2724</v>
      </c>
      <c r="B3" s="3410"/>
      <c r="C3" s="3410"/>
      <c r="D3" s="3410"/>
      <c r="E3" s="3410"/>
      <c r="F3" s="3410"/>
      <c r="G3" s="3410"/>
      <c r="H3" s="3410"/>
      <c r="I3" s="3410"/>
      <c r="J3" s="3410"/>
      <c r="K3" s="3410"/>
      <c r="L3" s="3410"/>
      <c r="M3" s="3410"/>
      <c r="N3" s="3410"/>
      <c r="O3" s="3410"/>
      <c r="P3" s="3410"/>
      <c r="Q3" s="3410"/>
      <c r="R3" s="3410"/>
      <c r="S3" s="3410"/>
      <c r="T3" s="3410"/>
      <c r="U3" s="3410"/>
      <c r="V3" s="3410"/>
      <c r="W3" s="3410"/>
      <c r="X3" s="3410"/>
      <c r="Y3" s="3410"/>
      <c r="Z3" s="3410"/>
      <c r="AA3" s="3410"/>
      <c r="AB3" s="3410"/>
      <c r="AC3" s="3410"/>
      <c r="AD3" s="3410"/>
      <c r="AE3" s="3410"/>
      <c r="AF3" s="3410"/>
      <c r="AG3" s="3410"/>
      <c r="AH3" s="3410"/>
      <c r="AI3" s="3410"/>
      <c r="AJ3" s="3410"/>
      <c r="AK3" s="3410"/>
      <c r="AL3" s="3410"/>
      <c r="AM3" s="3410"/>
      <c r="AN3" s="3410"/>
      <c r="AO3" s="3410"/>
      <c r="AP3" s="3410"/>
      <c r="AQ3" s="3410"/>
      <c r="AR3" s="3410"/>
      <c r="AS3" s="3410"/>
      <c r="AT3" s="3410"/>
      <c r="AU3" s="3410"/>
      <c r="AV3" s="3410"/>
      <c r="AW3" s="3410"/>
      <c r="AX3" s="3410"/>
      <c r="AY3" s="3410"/>
      <c r="AZ3" s="3410"/>
      <c r="BA3" s="3410"/>
      <c r="BB3" s="3410"/>
      <c r="BC3" s="3410"/>
      <c r="BD3" s="3410"/>
      <c r="BE3" s="3410"/>
      <c r="BF3" s="3410"/>
      <c r="BG3" s="3410"/>
      <c r="BH3" s="3410"/>
      <c r="BI3" s="3410"/>
      <c r="BJ3" s="3410"/>
      <c r="BK3" s="3410"/>
      <c r="BL3" s="3410"/>
      <c r="BM3" s="3410"/>
      <c r="BN3" s="3410"/>
      <c r="BO3" s="3410"/>
      <c r="BP3" s="3410"/>
      <c r="BQ3" s="3410"/>
      <c r="BR3" s="3410"/>
      <c r="BS3" s="3410"/>
      <c r="BT3" s="3410"/>
      <c r="BU3" s="3410"/>
      <c r="BV3" s="3410"/>
      <c r="BW3" s="3410"/>
      <c r="BX3" s="3410"/>
      <c r="BY3" s="3410"/>
      <c r="BZ3" s="3410"/>
      <c r="CA3" s="3410"/>
      <c r="CB3" s="3410"/>
      <c r="CC3" s="3410"/>
      <c r="CD3" s="3410"/>
      <c r="CE3" s="3410"/>
      <c r="CF3" s="3410"/>
      <c r="CG3" s="3410"/>
      <c r="CH3" s="3410"/>
      <c r="CI3" s="3410"/>
      <c r="CJ3" s="3410"/>
      <c r="CK3" s="3410"/>
      <c r="CL3" s="3410"/>
      <c r="CM3" s="3410"/>
      <c r="CN3" s="3410"/>
      <c r="CO3" s="3410"/>
      <c r="CP3" s="3410"/>
      <c r="CQ3" s="3410"/>
      <c r="CR3" s="3410"/>
      <c r="CS3" s="3410"/>
      <c r="CT3" s="3410"/>
      <c r="CU3" s="3410"/>
      <c r="CV3" s="3410"/>
      <c r="CW3" s="3410"/>
      <c r="CX3" s="3410"/>
      <c r="CY3" s="3410"/>
      <c r="CZ3" s="3410"/>
      <c r="DA3" s="3410"/>
      <c r="DB3" s="3410"/>
      <c r="DC3" s="3410"/>
      <c r="DD3" s="3410"/>
      <c r="DE3" s="3410"/>
      <c r="DF3" s="3410"/>
      <c r="DG3" s="3410"/>
      <c r="DH3" s="3410"/>
      <c r="DI3" s="3410"/>
      <c r="DJ3" s="3410"/>
      <c r="DK3" s="3410"/>
      <c r="DL3" s="3410"/>
      <c r="DM3" s="3410"/>
      <c r="DN3" s="3410"/>
      <c r="DO3" s="3410"/>
      <c r="DP3" s="3410"/>
      <c r="DQ3" s="3410"/>
      <c r="DR3" s="3410"/>
      <c r="DS3" s="3410"/>
      <c r="DT3" s="3410"/>
      <c r="DU3" s="3410"/>
      <c r="DV3" s="3410"/>
      <c r="DW3" s="3410"/>
      <c r="DX3" s="3410"/>
      <c r="DY3" s="3410"/>
      <c r="DZ3" s="3410"/>
      <c r="EA3" s="3410"/>
      <c r="EB3" s="3410"/>
      <c r="EC3" s="3410"/>
      <c r="ED3" s="3410"/>
      <c r="EE3" s="3410"/>
      <c r="EF3" s="3410"/>
      <c r="EG3" s="3410"/>
      <c r="EH3" s="3410"/>
      <c r="EI3" s="3410"/>
      <c r="EJ3" s="3410"/>
      <c r="EK3" s="3410"/>
      <c r="EL3" s="3410"/>
      <c r="EM3" s="3410"/>
      <c r="EN3" s="3410"/>
      <c r="EO3" s="3410"/>
      <c r="EP3" s="3410"/>
      <c r="EQ3" s="3410"/>
      <c r="ER3" s="3410"/>
      <c r="ES3" s="3410"/>
      <c r="ET3" s="3410"/>
      <c r="EU3" s="3410"/>
      <c r="EV3" s="3410"/>
      <c r="EW3" s="3410"/>
      <c r="EX3" s="3410"/>
      <c r="EY3" s="3410"/>
      <c r="EZ3" s="3410"/>
      <c r="FA3" s="3410"/>
      <c r="FB3" s="3410"/>
      <c r="FC3" s="3410"/>
      <c r="FD3" s="3410"/>
      <c r="FE3" s="3410"/>
      <c r="FF3" s="3410"/>
      <c r="FG3" s="3410"/>
      <c r="FH3" s="3410"/>
      <c r="FI3" s="3410"/>
      <c r="FJ3" s="3410"/>
      <c r="FK3" s="3410"/>
      <c r="FL3" s="3410"/>
      <c r="FM3" s="3410"/>
      <c r="FN3" s="3410"/>
      <c r="FO3" s="3410"/>
      <c r="FP3" s="3410"/>
      <c r="FQ3" s="3410"/>
      <c r="FR3" s="3410"/>
      <c r="FS3" s="3410"/>
      <c r="FT3" s="3410"/>
      <c r="FU3" s="3410"/>
      <c r="FV3" s="3410"/>
      <c r="FW3" s="3410"/>
      <c r="FX3" s="3410"/>
      <c r="FY3" s="3410"/>
      <c r="FZ3" s="3410"/>
      <c r="GA3" s="3410"/>
      <c r="GB3" s="3410"/>
      <c r="GC3" s="3410"/>
      <c r="GD3" s="3410"/>
      <c r="GE3" s="3410"/>
      <c r="GF3" s="3410"/>
      <c r="GG3" s="3410"/>
      <c r="GH3" s="3410"/>
      <c r="GI3" s="3410"/>
      <c r="GJ3" s="3410"/>
      <c r="GK3" s="3410"/>
      <c r="GL3" s="3410"/>
      <c r="GM3" s="3410"/>
      <c r="GN3" s="3410"/>
      <c r="GO3" s="3410"/>
      <c r="GP3" s="3410"/>
      <c r="GQ3" s="3410"/>
      <c r="GR3" s="3410"/>
      <c r="GS3" s="3410"/>
      <c r="GT3" s="3410"/>
      <c r="GU3" s="3410"/>
      <c r="GV3" s="3410"/>
      <c r="GW3" s="3410"/>
      <c r="GX3" s="3410"/>
      <c r="GY3" s="3410"/>
      <c r="GZ3" s="3410"/>
      <c r="HA3" s="3410"/>
      <c r="HB3" s="3410"/>
      <c r="HC3" s="3410"/>
      <c r="HD3" s="3410"/>
      <c r="HE3" s="3410"/>
      <c r="HF3" s="3410"/>
      <c r="HG3" s="3410"/>
      <c r="HH3" s="3410"/>
      <c r="HI3" s="3410"/>
      <c r="HJ3" s="3410"/>
      <c r="HK3" s="3410"/>
      <c r="HL3" s="3410"/>
      <c r="HM3" s="3410"/>
      <c r="HN3" s="3410"/>
      <c r="HO3" s="3410"/>
      <c r="HP3" s="3410"/>
      <c r="HQ3" s="3410"/>
      <c r="HR3" s="3410"/>
      <c r="HS3" s="3410"/>
      <c r="HT3" s="3410"/>
      <c r="HU3" s="3410"/>
      <c r="HV3" s="3410"/>
      <c r="HW3" s="3410"/>
      <c r="HX3" s="3410"/>
      <c r="HY3" s="3410"/>
      <c r="HZ3" s="3410"/>
      <c r="IA3" s="3410"/>
      <c r="IB3" s="3410"/>
      <c r="IC3" s="3410"/>
      <c r="ID3" s="3410"/>
      <c r="IE3" s="3410"/>
      <c r="IF3" s="3410"/>
      <c r="IG3" s="3410"/>
      <c r="IH3" s="3410"/>
      <c r="II3" s="3410"/>
      <c r="IJ3" s="3410"/>
      <c r="IK3" s="3410"/>
      <c r="IL3" s="3410"/>
      <c r="IM3" s="3410"/>
      <c r="IN3" s="3410"/>
      <c r="IO3" s="3410"/>
      <c r="IP3" s="3410"/>
      <c r="IQ3" s="3410"/>
      <c r="IR3" s="3410"/>
      <c r="IS3" s="3410"/>
      <c r="IT3" s="3410"/>
      <c r="IU3" s="3410"/>
      <c r="IV3" s="3410"/>
    </row>
    <row r="4" spans="1:256" s="3409" customFormat="1" ht="20.100000000000001" customHeight="1">
      <c r="A4" s="3410" t="s">
        <v>2725</v>
      </c>
      <c r="B4" s="3410"/>
      <c r="C4" s="3410"/>
      <c r="D4" s="3410"/>
      <c r="E4" s="3410"/>
      <c r="F4" s="3410"/>
      <c r="G4" s="3410"/>
      <c r="H4" s="3410"/>
      <c r="I4" s="3423" t="s">
        <v>2726</v>
      </c>
      <c r="J4" s="3410"/>
      <c r="K4" s="3410"/>
      <c r="L4" s="3410"/>
      <c r="M4" s="3410"/>
      <c r="N4" s="3410"/>
      <c r="O4" s="3410"/>
      <c r="P4" s="3410"/>
      <c r="Q4" s="3410"/>
      <c r="R4" s="3410"/>
      <c r="S4" s="3410"/>
      <c r="T4" s="3410"/>
      <c r="U4" s="3410"/>
      <c r="V4" s="3410"/>
      <c r="W4" s="3410"/>
      <c r="X4" s="3410"/>
      <c r="Y4" s="3410"/>
      <c r="Z4" s="3410"/>
      <c r="AA4" s="3410"/>
      <c r="AB4" s="3410"/>
      <c r="AC4" s="3410"/>
      <c r="AD4" s="3410"/>
      <c r="AE4" s="3410"/>
      <c r="AF4" s="3410"/>
      <c r="AG4" s="3410"/>
      <c r="AH4" s="3410"/>
      <c r="AI4" s="3410"/>
      <c r="AJ4" s="3410"/>
      <c r="AK4" s="3410"/>
      <c r="AL4" s="3410"/>
      <c r="AM4" s="3410"/>
      <c r="AN4" s="3410"/>
      <c r="AO4" s="3410"/>
      <c r="AP4" s="3410"/>
      <c r="AQ4" s="3410"/>
      <c r="AR4" s="3410"/>
      <c r="AS4" s="3410"/>
      <c r="AT4" s="3410"/>
      <c r="AU4" s="3410"/>
      <c r="AV4" s="3410"/>
      <c r="AW4" s="3410"/>
      <c r="AX4" s="3410"/>
      <c r="AY4" s="3410"/>
      <c r="AZ4" s="3410"/>
      <c r="BA4" s="3410"/>
      <c r="BB4" s="3410"/>
      <c r="BC4" s="3410"/>
      <c r="BD4" s="3410"/>
      <c r="BE4" s="3410"/>
      <c r="BF4" s="3410"/>
      <c r="BG4" s="3410"/>
      <c r="BH4" s="3410"/>
      <c r="BI4" s="3410"/>
      <c r="BJ4" s="3410"/>
      <c r="BK4" s="3410"/>
      <c r="BL4" s="3410"/>
      <c r="BM4" s="3410"/>
      <c r="BN4" s="3410"/>
      <c r="BO4" s="3410"/>
      <c r="BP4" s="3410"/>
      <c r="BQ4" s="3410"/>
      <c r="BR4" s="3410"/>
      <c r="BS4" s="3410"/>
      <c r="BT4" s="3410"/>
      <c r="BU4" s="3410"/>
      <c r="BV4" s="3410"/>
      <c r="BW4" s="3410"/>
      <c r="BX4" s="3410"/>
      <c r="BY4" s="3410"/>
      <c r="BZ4" s="3410"/>
      <c r="CA4" s="3410"/>
      <c r="CB4" s="3410"/>
      <c r="CC4" s="3410"/>
      <c r="CD4" s="3410"/>
      <c r="CE4" s="3410"/>
      <c r="CF4" s="3410"/>
      <c r="CG4" s="3410"/>
      <c r="CH4" s="3410"/>
      <c r="CI4" s="3410"/>
      <c r="CJ4" s="3410"/>
      <c r="CK4" s="3410"/>
      <c r="CL4" s="3410"/>
      <c r="CM4" s="3410"/>
      <c r="CN4" s="3410"/>
      <c r="CO4" s="3410"/>
      <c r="CP4" s="3410"/>
      <c r="CQ4" s="3410"/>
      <c r="CR4" s="3410"/>
      <c r="CS4" s="3410"/>
      <c r="CT4" s="3410"/>
      <c r="CU4" s="3410"/>
      <c r="CV4" s="3410"/>
      <c r="CW4" s="3410"/>
      <c r="CX4" s="3410"/>
      <c r="CY4" s="3410"/>
      <c r="CZ4" s="3410"/>
      <c r="DA4" s="3410"/>
      <c r="DB4" s="3410"/>
      <c r="DC4" s="3410"/>
      <c r="DD4" s="3410"/>
      <c r="DE4" s="3410"/>
      <c r="DF4" s="3410"/>
      <c r="DG4" s="3410"/>
      <c r="DH4" s="3410"/>
      <c r="DI4" s="3410"/>
      <c r="DJ4" s="3410"/>
      <c r="DK4" s="3410"/>
      <c r="DL4" s="3410"/>
      <c r="DM4" s="3410"/>
      <c r="DN4" s="3410"/>
      <c r="DO4" s="3410"/>
      <c r="DP4" s="3410"/>
      <c r="DQ4" s="3410"/>
      <c r="DR4" s="3410"/>
      <c r="DS4" s="3410"/>
      <c r="DT4" s="3410"/>
      <c r="DU4" s="3410"/>
      <c r="DV4" s="3410"/>
      <c r="DW4" s="3410"/>
      <c r="DX4" s="3410"/>
      <c r="DY4" s="3410"/>
      <c r="DZ4" s="3410"/>
      <c r="EA4" s="3410"/>
      <c r="EB4" s="3410"/>
      <c r="EC4" s="3410"/>
      <c r="ED4" s="3410"/>
      <c r="EE4" s="3410"/>
      <c r="EF4" s="3410"/>
      <c r="EG4" s="3410"/>
      <c r="EH4" s="3410"/>
      <c r="EI4" s="3410"/>
      <c r="EJ4" s="3410"/>
      <c r="EK4" s="3410"/>
      <c r="EL4" s="3410"/>
      <c r="EM4" s="3410"/>
      <c r="EN4" s="3410"/>
      <c r="EO4" s="3410"/>
      <c r="EP4" s="3410"/>
      <c r="EQ4" s="3410"/>
      <c r="ER4" s="3410"/>
      <c r="ES4" s="3410"/>
      <c r="ET4" s="3410"/>
      <c r="EU4" s="3410"/>
      <c r="EV4" s="3410"/>
      <c r="EW4" s="3410"/>
      <c r="EX4" s="3410"/>
      <c r="EY4" s="3410"/>
      <c r="EZ4" s="3410"/>
      <c r="FA4" s="3410"/>
      <c r="FB4" s="3410"/>
      <c r="FC4" s="3410"/>
      <c r="FD4" s="3410"/>
      <c r="FE4" s="3410"/>
      <c r="FF4" s="3410"/>
      <c r="FG4" s="3410"/>
      <c r="FH4" s="3410"/>
      <c r="FI4" s="3410"/>
      <c r="FJ4" s="3410"/>
      <c r="FK4" s="3410"/>
      <c r="FL4" s="3410"/>
      <c r="FM4" s="3410"/>
      <c r="FN4" s="3410"/>
      <c r="FO4" s="3410"/>
      <c r="FP4" s="3410"/>
      <c r="FQ4" s="3410"/>
      <c r="FR4" s="3410"/>
      <c r="FS4" s="3410"/>
      <c r="FT4" s="3410"/>
      <c r="FU4" s="3410"/>
      <c r="FV4" s="3410"/>
      <c r="FW4" s="3410"/>
      <c r="FX4" s="3410"/>
      <c r="FY4" s="3410"/>
      <c r="FZ4" s="3410"/>
      <c r="GA4" s="3410"/>
      <c r="GB4" s="3410"/>
      <c r="GC4" s="3410"/>
      <c r="GD4" s="3410"/>
      <c r="GE4" s="3410"/>
      <c r="GF4" s="3410"/>
      <c r="GG4" s="3410"/>
      <c r="GH4" s="3410"/>
      <c r="GI4" s="3410"/>
      <c r="GJ4" s="3410"/>
      <c r="GK4" s="3410"/>
      <c r="GL4" s="3410"/>
      <c r="GM4" s="3410"/>
      <c r="GN4" s="3410"/>
      <c r="GO4" s="3410"/>
      <c r="GP4" s="3410"/>
      <c r="GQ4" s="3410"/>
      <c r="GR4" s="3410"/>
      <c r="GS4" s="3410"/>
      <c r="GT4" s="3410"/>
      <c r="GU4" s="3410"/>
      <c r="GV4" s="3410"/>
      <c r="GW4" s="3410"/>
      <c r="GX4" s="3410"/>
      <c r="GY4" s="3410"/>
      <c r="GZ4" s="3410"/>
      <c r="HA4" s="3410"/>
      <c r="HB4" s="3410"/>
      <c r="HC4" s="3410"/>
      <c r="HD4" s="3410"/>
      <c r="HE4" s="3410"/>
      <c r="HF4" s="3410"/>
      <c r="HG4" s="3410"/>
      <c r="HH4" s="3410"/>
      <c r="HI4" s="3410"/>
      <c r="HJ4" s="3410"/>
      <c r="HK4" s="3410"/>
      <c r="HL4" s="3410"/>
      <c r="HM4" s="3410"/>
      <c r="HN4" s="3410"/>
      <c r="HO4" s="3410"/>
      <c r="HP4" s="3410"/>
      <c r="HQ4" s="3410"/>
      <c r="HR4" s="3410"/>
      <c r="HS4" s="3410"/>
      <c r="HT4" s="3410"/>
      <c r="HU4" s="3410"/>
      <c r="HV4" s="3410"/>
      <c r="HW4" s="3410"/>
      <c r="HX4" s="3410"/>
      <c r="HY4" s="3410"/>
      <c r="HZ4" s="3410"/>
      <c r="IA4" s="3410"/>
      <c r="IB4" s="3410"/>
      <c r="IC4" s="3410"/>
      <c r="ID4" s="3410"/>
      <c r="IE4" s="3410"/>
      <c r="IF4" s="3410"/>
      <c r="IG4" s="3410"/>
      <c r="IH4" s="3410"/>
      <c r="II4" s="3410"/>
      <c r="IJ4" s="3410"/>
      <c r="IK4" s="3410"/>
      <c r="IL4" s="3410"/>
      <c r="IM4" s="3410"/>
      <c r="IN4" s="3410"/>
      <c r="IO4" s="3410"/>
      <c r="IP4" s="3410"/>
      <c r="IQ4" s="3410"/>
      <c r="IR4" s="3410"/>
      <c r="IS4" s="3410"/>
      <c r="IT4" s="3410"/>
      <c r="IU4" s="3410"/>
      <c r="IV4" s="3410"/>
    </row>
    <row r="5" spans="1:256" s="3409" customFormat="1" ht="20.100000000000001" customHeight="1">
      <c r="A5" s="3410"/>
      <c r="B5" s="3410"/>
      <c r="C5" s="3410"/>
      <c r="D5" s="3410"/>
      <c r="E5" s="3410"/>
      <c r="F5" s="3410"/>
      <c r="G5" s="3410"/>
      <c r="H5" s="3410"/>
      <c r="I5" s="3424">
        <v>2</v>
      </c>
      <c r="J5" s="3410"/>
      <c r="K5" s="3410"/>
      <c r="L5" s="3410"/>
      <c r="M5" s="3410"/>
      <c r="N5" s="3410"/>
      <c r="O5" s="3410"/>
      <c r="P5" s="3410"/>
      <c r="Q5" s="3410"/>
      <c r="R5" s="3410"/>
      <c r="S5" s="3410"/>
      <c r="T5" s="3410"/>
      <c r="U5" s="3410"/>
      <c r="V5" s="3410"/>
      <c r="W5" s="3410"/>
      <c r="X5" s="3410"/>
      <c r="Y5" s="3410"/>
      <c r="Z5" s="3410"/>
      <c r="AA5" s="3410"/>
      <c r="AB5" s="3410"/>
      <c r="AC5" s="3410"/>
      <c r="AD5" s="3410"/>
      <c r="AE5" s="3410"/>
      <c r="AF5" s="3410"/>
      <c r="AG5" s="3410"/>
      <c r="AH5" s="3410"/>
      <c r="AI5" s="3410"/>
      <c r="AJ5" s="3410"/>
      <c r="AK5" s="3410"/>
      <c r="AL5" s="3410"/>
      <c r="AM5" s="3410"/>
      <c r="AN5" s="3410"/>
      <c r="AO5" s="3410"/>
      <c r="AP5" s="3410"/>
      <c r="AQ5" s="3410"/>
      <c r="AR5" s="3410"/>
      <c r="AS5" s="3410"/>
      <c r="AT5" s="3410"/>
      <c r="AU5" s="3410"/>
      <c r="AV5" s="3410"/>
      <c r="AW5" s="3410"/>
      <c r="AX5" s="3410"/>
      <c r="AY5" s="3410"/>
      <c r="AZ5" s="3410"/>
      <c r="BA5" s="3410"/>
      <c r="BB5" s="3410"/>
      <c r="BC5" s="3410"/>
      <c r="BD5" s="3410"/>
      <c r="BE5" s="3410"/>
      <c r="BF5" s="3410"/>
      <c r="BG5" s="3410"/>
      <c r="BH5" s="3410"/>
      <c r="BI5" s="3410"/>
      <c r="BJ5" s="3410"/>
      <c r="BK5" s="3410"/>
      <c r="BL5" s="3410"/>
      <c r="BM5" s="3410"/>
      <c r="BN5" s="3410"/>
      <c r="BO5" s="3410"/>
      <c r="BP5" s="3410"/>
      <c r="BQ5" s="3410"/>
      <c r="BR5" s="3410"/>
      <c r="BS5" s="3410"/>
      <c r="BT5" s="3410"/>
      <c r="BU5" s="3410"/>
      <c r="BV5" s="3410"/>
      <c r="BW5" s="3410"/>
      <c r="BX5" s="3410"/>
      <c r="BY5" s="3410"/>
      <c r="BZ5" s="3410"/>
      <c r="CA5" s="3410"/>
      <c r="CB5" s="3410"/>
      <c r="CC5" s="3410"/>
      <c r="CD5" s="3410"/>
      <c r="CE5" s="3410"/>
      <c r="CF5" s="3410"/>
      <c r="CG5" s="3410"/>
      <c r="CH5" s="3410"/>
      <c r="CI5" s="3410"/>
      <c r="CJ5" s="3410"/>
      <c r="CK5" s="3410"/>
      <c r="CL5" s="3410"/>
      <c r="CM5" s="3410"/>
      <c r="CN5" s="3410"/>
      <c r="CO5" s="3410"/>
      <c r="CP5" s="3410"/>
      <c r="CQ5" s="3410"/>
      <c r="CR5" s="3410"/>
      <c r="CS5" s="3410"/>
      <c r="CT5" s="3410"/>
      <c r="CU5" s="3410"/>
      <c r="CV5" s="3410"/>
      <c r="CW5" s="3410"/>
      <c r="CX5" s="3410"/>
      <c r="CY5" s="3410"/>
      <c r="CZ5" s="3410"/>
      <c r="DA5" s="3410"/>
      <c r="DB5" s="3410"/>
      <c r="DC5" s="3410"/>
      <c r="DD5" s="3410"/>
      <c r="DE5" s="3410"/>
      <c r="DF5" s="3410"/>
      <c r="DG5" s="3410"/>
      <c r="DH5" s="3410"/>
      <c r="DI5" s="3410"/>
      <c r="DJ5" s="3410"/>
      <c r="DK5" s="3410"/>
      <c r="DL5" s="3410"/>
      <c r="DM5" s="3410"/>
      <c r="DN5" s="3410"/>
      <c r="DO5" s="3410"/>
      <c r="DP5" s="3410"/>
      <c r="DQ5" s="3410"/>
      <c r="DR5" s="3410"/>
      <c r="DS5" s="3410"/>
      <c r="DT5" s="3410"/>
      <c r="DU5" s="3410"/>
      <c r="DV5" s="3410"/>
      <c r="DW5" s="3410"/>
      <c r="DX5" s="3410"/>
      <c r="DY5" s="3410"/>
      <c r="DZ5" s="3410"/>
      <c r="EA5" s="3410"/>
      <c r="EB5" s="3410"/>
      <c r="EC5" s="3410"/>
      <c r="ED5" s="3410"/>
      <c r="EE5" s="3410"/>
      <c r="EF5" s="3410"/>
      <c r="EG5" s="3410"/>
      <c r="EH5" s="3410"/>
      <c r="EI5" s="3410"/>
      <c r="EJ5" s="3410"/>
      <c r="EK5" s="3410"/>
      <c r="EL5" s="3410"/>
      <c r="EM5" s="3410"/>
      <c r="EN5" s="3410"/>
      <c r="EO5" s="3410"/>
      <c r="EP5" s="3410"/>
      <c r="EQ5" s="3410"/>
      <c r="ER5" s="3410"/>
      <c r="ES5" s="3410"/>
      <c r="ET5" s="3410"/>
      <c r="EU5" s="3410"/>
      <c r="EV5" s="3410"/>
      <c r="EW5" s="3410"/>
      <c r="EX5" s="3410"/>
      <c r="EY5" s="3410"/>
      <c r="EZ5" s="3410"/>
      <c r="FA5" s="3410"/>
      <c r="FB5" s="3410"/>
      <c r="FC5" s="3410"/>
      <c r="FD5" s="3410"/>
      <c r="FE5" s="3410"/>
      <c r="FF5" s="3410"/>
      <c r="FG5" s="3410"/>
      <c r="FH5" s="3410"/>
      <c r="FI5" s="3410"/>
      <c r="FJ5" s="3410"/>
      <c r="FK5" s="3410"/>
      <c r="FL5" s="3410"/>
      <c r="FM5" s="3410"/>
      <c r="FN5" s="3410"/>
      <c r="FO5" s="3410"/>
      <c r="FP5" s="3410"/>
      <c r="FQ5" s="3410"/>
      <c r="FR5" s="3410"/>
      <c r="FS5" s="3410"/>
      <c r="FT5" s="3410"/>
      <c r="FU5" s="3410"/>
      <c r="FV5" s="3410"/>
      <c r="FW5" s="3410"/>
      <c r="FX5" s="3410"/>
      <c r="FY5" s="3410"/>
      <c r="FZ5" s="3410"/>
      <c r="GA5" s="3410"/>
      <c r="GB5" s="3410"/>
      <c r="GC5" s="3410"/>
      <c r="GD5" s="3410"/>
      <c r="GE5" s="3410"/>
      <c r="GF5" s="3410"/>
      <c r="GG5" s="3410"/>
      <c r="GH5" s="3410"/>
      <c r="GI5" s="3410"/>
      <c r="GJ5" s="3410"/>
      <c r="GK5" s="3410"/>
      <c r="GL5" s="3410"/>
      <c r="GM5" s="3410"/>
      <c r="GN5" s="3410"/>
      <c r="GO5" s="3410"/>
      <c r="GP5" s="3410"/>
      <c r="GQ5" s="3410"/>
      <c r="GR5" s="3410"/>
      <c r="GS5" s="3410"/>
      <c r="GT5" s="3410"/>
      <c r="GU5" s="3410"/>
      <c r="GV5" s="3410"/>
      <c r="GW5" s="3410"/>
      <c r="GX5" s="3410"/>
      <c r="GY5" s="3410"/>
      <c r="GZ5" s="3410"/>
      <c r="HA5" s="3410"/>
      <c r="HB5" s="3410"/>
      <c r="HC5" s="3410"/>
      <c r="HD5" s="3410"/>
      <c r="HE5" s="3410"/>
      <c r="HF5" s="3410"/>
      <c r="HG5" s="3410"/>
      <c r="HH5" s="3410"/>
      <c r="HI5" s="3410"/>
      <c r="HJ5" s="3410"/>
      <c r="HK5" s="3410"/>
      <c r="HL5" s="3410"/>
      <c r="HM5" s="3410"/>
      <c r="HN5" s="3410"/>
      <c r="HO5" s="3410"/>
      <c r="HP5" s="3410"/>
      <c r="HQ5" s="3410"/>
      <c r="HR5" s="3410"/>
      <c r="HS5" s="3410"/>
      <c r="HT5" s="3410"/>
      <c r="HU5" s="3410"/>
      <c r="HV5" s="3410"/>
      <c r="HW5" s="3410"/>
      <c r="HX5" s="3410"/>
      <c r="HY5" s="3410"/>
      <c r="HZ5" s="3410"/>
      <c r="IA5" s="3410"/>
      <c r="IB5" s="3410"/>
      <c r="IC5" s="3410"/>
      <c r="ID5" s="3410"/>
      <c r="IE5" s="3410"/>
      <c r="IF5" s="3410"/>
      <c r="IG5" s="3410"/>
      <c r="IH5" s="3410"/>
      <c r="II5" s="3410"/>
      <c r="IJ5" s="3410"/>
      <c r="IK5" s="3410"/>
      <c r="IL5" s="3410"/>
      <c r="IM5" s="3410"/>
      <c r="IN5" s="3410"/>
      <c r="IO5" s="3410"/>
      <c r="IP5" s="3410"/>
      <c r="IQ5" s="3410"/>
      <c r="IR5" s="3410"/>
      <c r="IS5" s="3410"/>
      <c r="IT5" s="3410"/>
      <c r="IU5" s="3410"/>
      <c r="IV5" s="3410"/>
    </row>
    <row r="6" spans="1:256" s="3409" customFormat="1" ht="20.100000000000001" customHeight="1">
      <c r="A6" s="3410"/>
      <c r="B6" s="3410"/>
      <c r="C6" s="3410"/>
      <c r="D6" s="3410"/>
      <c r="E6" s="3410"/>
      <c r="F6" s="3410"/>
      <c r="G6" s="3410"/>
      <c r="H6" s="3410"/>
      <c r="I6" s="3424">
        <v>4</v>
      </c>
      <c r="J6" s="3410"/>
      <c r="K6" s="3410"/>
      <c r="L6" s="3410"/>
      <c r="M6" s="3410"/>
      <c r="N6" s="3410"/>
      <c r="O6" s="3410"/>
      <c r="P6" s="3410"/>
      <c r="Q6" s="3410"/>
      <c r="R6" s="3410"/>
      <c r="S6" s="3410"/>
      <c r="T6" s="3410"/>
      <c r="U6" s="3410"/>
      <c r="V6" s="3410"/>
      <c r="W6" s="3410"/>
      <c r="X6" s="3410"/>
      <c r="Y6" s="3410"/>
      <c r="Z6" s="3410"/>
      <c r="AA6" s="3410"/>
      <c r="AB6" s="3410"/>
      <c r="AC6" s="3410"/>
      <c r="AD6" s="3410"/>
      <c r="AE6" s="3410"/>
      <c r="AF6" s="3410"/>
      <c r="AG6" s="3410"/>
      <c r="AH6" s="3410"/>
      <c r="AI6" s="3410"/>
      <c r="AJ6" s="3410"/>
      <c r="AK6" s="3410"/>
      <c r="AL6" s="3410"/>
      <c r="AM6" s="3410"/>
      <c r="AN6" s="3410"/>
      <c r="AO6" s="3410"/>
      <c r="AP6" s="3410"/>
      <c r="AQ6" s="3410"/>
      <c r="AR6" s="3410"/>
      <c r="AS6" s="3410"/>
      <c r="AT6" s="3410"/>
      <c r="AU6" s="3410"/>
      <c r="AV6" s="3410"/>
      <c r="AW6" s="3410"/>
      <c r="AX6" s="3410"/>
      <c r="AY6" s="3410"/>
      <c r="AZ6" s="3410"/>
      <c r="BA6" s="3410"/>
      <c r="BB6" s="3410"/>
      <c r="BC6" s="3410"/>
      <c r="BD6" s="3410"/>
      <c r="BE6" s="3410"/>
      <c r="BF6" s="3410"/>
      <c r="BG6" s="3410"/>
      <c r="BH6" s="3410"/>
      <c r="BI6" s="3410"/>
      <c r="BJ6" s="3410"/>
      <c r="BK6" s="3410"/>
      <c r="BL6" s="3410"/>
      <c r="BM6" s="3410"/>
      <c r="BN6" s="3410"/>
      <c r="BO6" s="3410"/>
      <c r="BP6" s="3410"/>
      <c r="BQ6" s="3410"/>
      <c r="BR6" s="3410"/>
      <c r="BS6" s="3410"/>
      <c r="BT6" s="3410"/>
      <c r="BU6" s="3410"/>
      <c r="BV6" s="3410"/>
      <c r="BW6" s="3410"/>
      <c r="BX6" s="3410"/>
      <c r="BY6" s="3410"/>
      <c r="BZ6" s="3410"/>
      <c r="CA6" s="3410"/>
      <c r="CB6" s="3410"/>
      <c r="CC6" s="3410"/>
      <c r="CD6" s="3410"/>
      <c r="CE6" s="3410"/>
      <c r="CF6" s="3410"/>
      <c r="CG6" s="3410"/>
      <c r="CH6" s="3410"/>
      <c r="CI6" s="3410"/>
      <c r="CJ6" s="3410"/>
      <c r="CK6" s="3410"/>
      <c r="CL6" s="3410"/>
      <c r="CM6" s="3410"/>
      <c r="CN6" s="3410"/>
      <c r="CO6" s="3410"/>
      <c r="CP6" s="3410"/>
      <c r="CQ6" s="3410"/>
      <c r="CR6" s="3410"/>
      <c r="CS6" s="3410"/>
      <c r="CT6" s="3410"/>
      <c r="CU6" s="3410"/>
      <c r="CV6" s="3410"/>
      <c r="CW6" s="3410"/>
      <c r="CX6" s="3410"/>
      <c r="CY6" s="3410"/>
      <c r="CZ6" s="3410"/>
      <c r="DA6" s="3410"/>
      <c r="DB6" s="3410"/>
      <c r="DC6" s="3410"/>
      <c r="DD6" s="3410"/>
      <c r="DE6" s="3410"/>
      <c r="DF6" s="3410"/>
      <c r="DG6" s="3410"/>
      <c r="DH6" s="3410"/>
      <c r="DI6" s="3410"/>
      <c r="DJ6" s="3410"/>
      <c r="DK6" s="3410"/>
      <c r="DL6" s="3410"/>
      <c r="DM6" s="3410"/>
      <c r="DN6" s="3410"/>
      <c r="DO6" s="3410"/>
      <c r="DP6" s="3410"/>
      <c r="DQ6" s="3410"/>
      <c r="DR6" s="3410"/>
      <c r="DS6" s="3410"/>
      <c r="DT6" s="3410"/>
      <c r="DU6" s="3410"/>
      <c r="DV6" s="3410"/>
      <c r="DW6" s="3410"/>
      <c r="DX6" s="3410"/>
      <c r="DY6" s="3410"/>
      <c r="DZ6" s="3410"/>
      <c r="EA6" s="3410"/>
      <c r="EB6" s="3410"/>
      <c r="EC6" s="3410"/>
      <c r="ED6" s="3410"/>
      <c r="EE6" s="3410"/>
      <c r="EF6" s="3410"/>
      <c r="EG6" s="3410"/>
      <c r="EH6" s="3410"/>
      <c r="EI6" s="3410"/>
      <c r="EJ6" s="3410"/>
      <c r="EK6" s="3410"/>
      <c r="EL6" s="3410"/>
      <c r="EM6" s="3410"/>
      <c r="EN6" s="3410"/>
      <c r="EO6" s="3410"/>
      <c r="EP6" s="3410"/>
      <c r="EQ6" s="3410"/>
      <c r="ER6" s="3410"/>
      <c r="ES6" s="3410"/>
      <c r="ET6" s="3410"/>
      <c r="EU6" s="3410"/>
      <c r="EV6" s="3410"/>
      <c r="EW6" s="3410"/>
      <c r="EX6" s="3410"/>
      <c r="EY6" s="3410"/>
      <c r="EZ6" s="3410"/>
      <c r="FA6" s="3410"/>
      <c r="FB6" s="3410"/>
      <c r="FC6" s="3410"/>
      <c r="FD6" s="3410"/>
      <c r="FE6" s="3410"/>
      <c r="FF6" s="3410"/>
      <c r="FG6" s="3410"/>
      <c r="FH6" s="3410"/>
      <c r="FI6" s="3410"/>
      <c r="FJ6" s="3410"/>
      <c r="FK6" s="3410"/>
      <c r="FL6" s="3410"/>
      <c r="FM6" s="3410"/>
      <c r="FN6" s="3410"/>
      <c r="FO6" s="3410"/>
      <c r="FP6" s="3410"/>
      <c r="FQ6" s="3410"/>
      <c r="FR6" s="3410"/>
      <c r="FS6" s="3410"/>
      <c r="FT6" s="3410"/>
      <c r="FU6" s="3410"/>
      <c r="FV6" s="3410"/>
      <c r="FW6" s="3410"/>
      <c r="FX6" s="3410"/>
      <c r="FY6" s="3410"/>
      <c r="FZ6" s="3410"/>
      <c r="GA6" s="3410"/>
      <c r="GB6" s="3410"/>
      <c r="GC6" s="3410"/>
      <c r="GD6" s="3410"/>
      <c r="GE6" s="3410"/>
      <c r="GF6" s="3410"/>
      <c r="GG6" s="3410"/>
      <c r="GH6" s="3410"/>
      <c r="GI6" s="3410"/>
      <c r="GJ6" s="3410"/>
      <c r="GK6" s="3410"/>
      <c r="GL6" s="3410"/>
      <c r="GM6" s="3410"/>
      <c r="GN6" s="3410"/>
      <c r="GO6" s="3410"/>
      <c r="GP6" s="3410"/>
      <c r="GQ6" s="3410"/>
      <c r="GR6" s="3410"/>
      <c r="GS6" s="3410"/>
      <c r="GT6" s="3410"/>
      <c r="GU6" s="3410"/>
      <c r="GV6" s="3410"/>
      <c r="GW6" s="3410"/>
      <c r="GX6" s="3410"/>
      <c r="GY6" s="3410"/>
      <c r="GZ6" s="3410"/>
      <c r="HA6" s="3410"/>
      <c r="HB6" s="3410"/>
      <c r="HC6" s="3410"/>
      <c r="HD6" s="3410"/>
      <c r="HE6" s="3410"/>
      <c r="HF6" s="3410"/>
      <c r="HG6" s="3410"/>
      <c r="HH6" s="3410"/>
      <c r="HI6" s="3410"/>
      <c r="HJ6" s="3410"/>
      <c r="HK6" s="3410"/>
      <c r="HL6" s="3410"/>
      <c r="HM6" s="3410"/>
      <c r="HN6" s="3410"/>
      <c r="HO6" s="3410"/>
      <c r="HP6" s="3410"/>
      <c r="HQ6" s="3410"/>
      <c r="HR6" s="3410"/>
      <c r="HS6" s="3410"/>
      <c r="HT6" s="3410"/>
      <c r="HU6" s="3410"/>
      <c r="HV6" s="3410"/>
      <c r="HW6" s="3410"/>
      <c r="HX6" s="3410"/>
      <c r="HY6" s="3410"/>
      <c r="HZ6" s="3410"/>
      <c r="IA6" s="3410"/>
      <c r="IB6" s="3410"/>
      <c r="IC6" s="3410"/>
      <c r="ID6" s="3410"/>
      <c r="IE6" s="3410"/>
      <c r="IF6" s="3410"/>
      <c r="IG6" s="3410"/>
      <c r="IH6" s="3410"/>
      <c r="II6" s="3410"/>
      <c r="IJ6" s="3410"/>
      <c r="IK6" s="3410"/>
      <c r="IL6" s="3410"/>
      <c r="IM6" s="3410"/>
      <c r="IN6" s="3410"/>
      <c r="IO6" s="3410"/>
      <c r="IP6" s="3410"/>
      <c r="IQ6" s="3410"/>
      <c r="IR6" s="3410"/>
      <c r="IS6" s="3410"/>
      <c r="IT6" s="3410"/>
      <c r="IU6" s="3410"/>
      <c r="IV6" s="3410"/>
    </row>
    <row r="7" spans="1:256" s="3409" customFormat="1" ht="20.100000000000001" customHeight="1">
      <c r="A7" s="3410" t="s">
        <v>2727</v>
      </c>
      <c r="B7" s="3410" t="s">
        <v>2728</v>
      </c>
      <c r="C7" s="3410"/>
      <c r="D7" s="3410"/>
      <c r="E7" s="3410"/>
      <c r="F7" s="3410"/>
      <c r="G7" s="3410"/>
      <c r="H7" s="3410"/>
      <c r="I7" s="3424">
        <v>6</v>
      </c>
      <c r="J7" s="3410"/>
      <c r="K7" s="3410"/>
      <c r="L7" s="3410"/>
      <c r="M7" s="3410"/>
      <c r="N7" s="3410"/>
      <c r="O7" s="3410"/>
      <c r="P7" s="3410"/>
      <c r="Q7" s="3410"/>
      <c r="R7" s="3410"/>
      <c r="S7" s="3410"/>
      <c r="T7" s="3410"/>
      <c r="U7" s="3410"/>
      <c r="V7" s="3410"/>
      <c r="W7" s="3410"/>
      <c r="X7" s="3410"/>
      <c r="Y7" s="3410"/>
      <c r="Z7" s="3410"/>
      <c r="AA7" s="3410"/>
      <c r="AB7" s="3410"/>
      <c r="AC7" s="3410"/>
      <c r="AD7" s="3410"/>
      <c r="AE7" s="3410"/>
      <c r="AF7" s="3410"/>
      <c r="AG7" s="3410"/>
      <c r="AH7" s="3410"/>
      <c r="AI7" s="3410"/>
      <c r="AJ7" s="3410"/>
      <c r="AK7" s="3410"/>
      <c r="AL7" s="3410"/>
      <c r="AM7" s="3410"/>
      <c r="AN7" s="3410"/>
      <c r="AO7" s="3410"/>
      <c r="AP7" s="3410"/>
      <c r="AQ7" s="3410"/>
      <c r="AR7" s="3410"/>
      <c r="AS7" s="3410"/>
      <c r="AT7" s="3410"/>
      <c r="AU7" s="3410"/>
      <c r="AV7" s="3410"/>
      <c r="AW7" s="3410"/>
      <c r="AX7" s="3410"/>
      <c r="AY7" s="3410"/>
      <c r="AZ7" s="3410"/>
      <c r="BA7" s="3410"/>
      <c r="BB7" s="3410"/>
      <c r="BC7" s="3410"/>
      <c r="BD7" s="3410"/>
      <c r="BE7" s="3410"/>
      <c r="BF7" s="3410"/>
      <c r="BG7" s="3410"/>
      <c r="BH7" s="3410"/>
      <c r="BI7" s="3410"/>
      <c r="BJ7" s="3410"/>
      <c r="BK7" s="3410"/>
      <c r="BL7" s="3410"/>
      <c r="BM7" s="3410"/>
      <c r="BN7" s="3410"/>
      <c r="BO7" s="3410"/>
      <c r="BP7" s="3410"/>
      <c r="BQ7" s="3410"/>
      <c r="BR7" s="3410"/>
      <c r="BS7" s="3410"/>
      <c r="BT7" s="3410"/>
      <c r="BU7" s="3410"/>
      <c r="BV7" s="3410"/>
      <c r="BW7" s="3410"/>
      <c r="BX7" s="3410"/>
      <c r="BY7" s="3410"/>
      <c r="BZ7" s="3410"/>
      <c r="CA7" s="3410"/>
      <c r="CB7" s="3410"/>
      <c r="CC7" s="3410"/>
      <c r="CD7" s="3410"/>
      <c r="CE7" s="3410"/>
      <c r="CF7" s="3410"/>
      <c r="CG7" s="3410"/>
      <c r="CH7" s="3410"/>
      <c r="CI7" s="3410"/>
      <c r="CJ7" s="3410"/>
      <c r="CK7" s="3410"/>
      <c r="CL7" s="3410"/>
      <c r="CM7" s="3410"/>
      <c r="CN7" s="3410"/>
      <c r="CO7" s="3410"/>
      <c r="CP7" s="3410"/>
      <c r="CQ7" s="3410"/>
      <c r="CR7" s="3410"/>
      <c r="CS7" s="3410"/>
      <c r="CT7" s="3410"/>
      <c r="CU7" s="3410"/>
      <c r="CV7" s="3410"/>
      <c r="CW7" s="3410"/>
      <c r="CX7" s="3410"/>
      <c r="CY7" s="3410"/>
      <c r="CZ7" s="3410"/>
      <c r="DA7" s="3410"/>
      <c r="DB7" s="3410"/>
      <c r="DC7" s="3410"/>
      <c r="DD7" s="3410"/>
      <c r="DE7" s="3410"/>
      <c r="DF7" s="3410"/>
      <c r="DG7" s="3410"/>
      <c r="DH7" s="3410"/>
      <c r="DI7" s="3410"/>
      <c r="DJ7" s="3410"/>
      <c r="DK7" s="3410"/>
      <c r="DL7" s="3410"/>
      <c r="DM7" s="3410"/>
      <c r="DN7" s="3410"/>
      <c r="DO7" s="3410"/>
      <c r="DP7" s="3410"/>
      <c r="DQ7" s="3410"/>
      <c r="DR7" s="3410"/>
      <c r="DS7" s="3410"/>
      <c r="DT7" s="3410"/>
      <c r="DU7" s="3410"/>
      <c r="DV7" s="3410"/>
      <c r="DW7" s="3410"/>
      <c r="DX7" s="3410"/>
      <c r="DY7" s="3410"/>
      <c r="DZ7" s="3410"/>
      <c r="EA7" s="3410"/>
      <c r="EB7" s="3410"/>
      <c r="EC7" s="3410"/>
      <c r="ED7" s="3410"/>
      <c r="EE7" s="3410"/>
      <c r="EF7" s="3410"/>
      <c r="EG7" s="3410"/>
      <c r="EH7" s="3410"/>
      <c r="EI7" s="3410"/>
      <c r="EJ7" s="3410"/>
      <c r="EK7" s="3410"/>
      <c r="EL7" s="3410"/>
      <c r="EM7" s="3410"/>
      <c r="EN7" s="3410"/>
      <c r="EO7" s="3410"/>
      <c r="EP7" s="3410"/>
      <c r="EQ7" s="3410"/>
      <c r="ER7" s="3410"/>
      <c r="ES7" s="3410"/>
      <c r="ET7" s="3410"/>
      <c r="EU7" s="3410"/>
      <c r="EV7" s="3410"/>
      <c r="EW7" s="3410"/>
      <c r="EX7" s="3410"/>
      <c r="EY7" s="3410"/>
      <c r="EZ7" s="3410"/>
      <c r="FA7" s="3410"/>
      <c r="FB7" s="3410"/>
      <c r="FC7" s="3410"/>
      <c r="FD7" s="3410"/>
      <c r="FE7" s="3410"/>
      <c r="FF7" s="3410"/>
      <c r="FG7" s="3410"/>
      <c r="FH7" s="3410"/>
      <c r="FI7" s="3410"/>
      <c r="FJ7" s="3410"/>
      <c r="FK7" s="3410"/>
      <c r="FL7" s="3410"/>
      <c r="FM7" s="3410"/>
      <c r="FN7" s="3410"/>
      <c r="FO7" s="3410"/>
      <c r="FP7" s="3410"/>
      <c r="FQ7" s="3410"/>
      <c r="FR7" s="3410"/>
      <c r="FS7" s="3410"/>
      <c r="FT7" s="3410"/>
      <c r="FU7" s="3410"/>
      <c r="FV7" s="3410"/>
      <c r="FW7" s="3410"/>
      <c r="FX7" s="3410"/>
      <c r="FY7" s="3410"/>
      <c r="FZ7" s="3410"/>
      <c r="GA7" s="3410"/>
      <c r="GB7" s="3410"/>
      <c r="GC7" s="3410"/>
      <c r="GD7" s="3410"/>
      <c r="GE7" s="3410"/>
      <c r="GF7" s="3410"/>
      <c r="GG7" s="3410"/>
      <c r="GH7" s="3410"/>
      <c r="GI7" s="3410"/>
      <c r="GJ7" s="3410"/>
      <c r="GK7" s="3410"/>
      <c r="GL7" s="3410"/>
      <c r="GM7" s="3410"/>
      <c r="GN7" s="3410"/>
      <c r="GO7" s="3410"/>
      <c r="GP7" s="3410"/>
      <c r="GQ7" s="3410"/>
      <c r="GR7" s="3410"/>
      <c r="GS7" s="3410"/>
      <c r="GT7" s="3410"/>
      <c r="GU7" s="3410"/>
      <c r="GV7" s="3410"/>
      <c r="GW7" s="3410"/>
      <c r="GX7" s="3410"/>
      <c r="GY7" s="3410"/>
      <c r="GZ7" s="3410"/>
      <c r="HA7" s="3410"/>
      <c r="HB7" s="3410"/>
      <c r="HC7" s="3410"/>
      <c r="HD7" s="3410"/>
      <c r="HE7" s="3410"/>
      <c r="HF7" s="3410"/>
      <c r="HG7" s="3410"/>
      <c r="HH7" s="3410"/>
      <c r="HI7" s="3410"/>
      <c r="HJ7" s="3410"/>
      <c r="HK7" s="3410"/>
      <c r="HL7" s="3410"/>
      <c r="HM7" s="3410"/>
      <c r="HN7" s="3410"/>
      <c r="HO7" s="3410"/>
      <c r="HP7" s="3410"/>
      <c r="HQ7" s="3410"/>
      <c r="HR7" s="3410"/>
      <c r="HS7" s="3410"/>
      <c r="HT7" s="3410"/>
      <c r="HU7" s="3410"/>
      <c r="HV7" s="3410"/>
      <c r="HW7" s="3410"/>
      <c r="HX7" s="3410"/>
      <c r="HY7" s="3410"/>
      <c r="HZ7" s="3410"/>
      <c r="IA7" s="3410"/>
      <c r="IB7" s="3410"/>
      <c r="IC7" s="3410"/>
      <c r="ID7" s="3410"/>
      <c r="IE7" s="3410"/>
      <c r="IF7" s="3410"/>
      <c r="IG7" s="3410"/>
      <c r="IH7" s="3410"/>
      <c r="II7" s="3410"/>
      <c r="IJ7" s="3410"/>
      <c r="IK7" s="3410"/>
      <c r="IL7" s="3410"/>
      <c r="IM7" s="3410"/>
      <c r="IN7" s="3410"/>
      <c r="IO7" s="3410"/>
      <c r="IP7" s="3410"/>
      <c r="IQ7" s="3410"/>
      <c r="IR7" s="3410"/>
      <c r="IS7" s="3410"/>
      <c r="IT7" s="3410"/>
      <c r="IU7" s="3410"/>
      <c r="IV7" s="3410"/>
    </row>
    <row r="8" spans="1:256" s="3409" customFormat="1" ht="20.100000000000001" customHeight="1">
      <c r="A8" s="3410"/>
      <c r="B8" s="3410" t="s">
        <v>2729</v>
      </c>
      <c r="C8" s="3410"/>
      <c r="D8" s="3410"/>
      <c r="E8" s="3410"/>
      <c r="F8" s="3410"/>
      <c r="G8" s="3410"/>
      <c r="H8" s="3410"/>
      <c r="I8" s="3424">
        <v>8</v>
      </c>
      <c r="J8" s="3410"/>
      <c r="K8" s="3410"/>
      <c r="L8" s="3410"/>
      <c r="M8" s="3410"/>
      <c r="N8" s="3410"/>
      <c r="O8" s="3410"/>
      <c r="P8" s="3410"/>
      <c r="Q8" s="3410"/>
      <c r="R8" s="3410"/>
      <c r="S8" s="3410"/>
      <c r="T8" s="3410"/>
      <c r="U8" s="3410"/>
      <c r="V8" s="3410"/>
      <c r="W8" s="3410"/>
      <c r="X8" s="3410"/>
      <c r="Y8" s="3410"/>
      <c r="Z8" s="3410"/>
      <c r="AA8" s="3410"/>
      <c r="AB8" s="3410"/>
      <c r="AC8" s="3410"/>
      <c r="AD8" s="3410"/>
      <c r="AE8" s="3410"/>
      <c r="AF8" s="3410"/>
      <c r="AG8" s="3410"/>
      <c r="AH8" s="3410"/>
      <c r="AI8" s="3410"/>
      <c r="AJ8" s="3410"/>
      <c r="AK8" s="3410"/>
      <c r="AL8" s="3410"/>
      <c r="AM8" s="3410"/>
      <c r="AN8" s="3410"/>
      <c r="AO8" s="3410"/>
      <c r="AP8" s="3410"/>
      <c r="AQ8" s="3410"/>
      <c r="AR8" s="3410"/>
      <c r="AS8" s="3410"/>
      <c r="AT8" s="3410"/>
      <c r="AU8" s="3410"/>
      <c r="AV8" s="3410"/>
      <c r="AW8" s="3410"/>
      <c r="AX8" s="3410"/>
      <c r="AY8" s="3410"/>
      <c r="AZ8" s="3410"/>
      <c r="BA8" s="3410"/>
      <c r="BB8" s="3410"/>
      <c r="BC8" s="3410"/>
      <c r="BD8" s="3410"/>
      <c r="BE8" s="3410"/>
      <c r="BF8" s="3410"/>
      <c r="BG8" s="3410"/>
      <c r="BH8" s="3410"/>
      <c r="BI8" s="3410"/>
      <c r="BJ8" s="3410"/>
      <c r="BK8" s="3410"/>
      <c r="BL8" s="3410"/>
      <c r="BM8" s="3410"/>
      <c r="BN8" s="3410"/>
      <c r="BO8" s="3410"/>
      <c r="BP8" s="3410"/>
      <c r="BQ8" s="3410"/>
      <c r="BR8" s="3410"/>
      <c r="BS8" s="3410"/>
      <c r="BT8" s="3410"/>
      <c r="BU8" s="3410"/>
      <c r="BV8" s="3410"/>
      <c r="BW8" s="3410"/>
      <c r="BX8" s="3410"/>
      <c r="BY8" s="3410"/>
      <c r="BZ8" s="3410"/>
      <c r="CA8" s="3410"/>
      <c r="CB8" s="3410"/>
      <c r="CC8" s="3410"/>
      <c r="CD8" s="3410"/>
      <c r="CE8" s="3410"/>
      <c r="CF8" s="3410"/>
      <c r="CG8" s="3410"/>
      <c r="CH8" s="3410"/>
      <c r="CI8" s="3410"/>
      <c r="CJ8" s="3410"/>
      <c r="CK8" s="3410"/>
      <c r="CL8" s="3410"/>
      <c r="CM8" s="3410"/>
      <c r="CN8" s="3410"/>
      <c r="CO8" s="3410"/>
      <c r="CP8" s="3410"/>
      <c r="CQ8" s="3410"/>
      <c r="CR8" s="3410"/>
      <c r="CS8" s="3410"/>
      <c r="CT8" s="3410"/>
      <c r="CU8" s="3410"/>
      <c r="CV8" s="3410"/>
      <c r="CW8" s="3410"/>
      <c r="CX8" s="3410"/>
      <c r="CY8" s="3410"/>
      <c r="CZ8" s="3410"/>
      <c r="DA8" s="3410"/>
      <c r="DB8" s="3410"/>
      <c r="DC8" s="3410"/>
      <c r="DD8" s="3410"/>
      <c r="DE8" s="3410"/>
      <c r="DF8" s="3410"/>
      <c r="DG8" s="3410"/>
      <c r="DH8" s="3410"/>
      <c r="DI8" s="3410"/>
      <c r="DJ8" s="3410"/>
      <c r="DK8" s="3410"/>
      <c r="DL8" s="3410"/>
      <c r="DM8" s="3410"/>
      <c r="DN8" s="3410"/>
      <c r="DO8" s="3410"/>
      <c r="DP8" s="3410"/>
      <c r="DQ8" s="3410"/>
      <c r="DR8" s="3410"/>
      <c r="DS8" s="3410"/>
      <c r="DT8" s="3410"/>
      <c r="DU8" s="3410"/>
      <c r="DV8" s="3410"/>
      <c r="DW8" s="3410"/>
      <c r="DX8" s="3410"/>
      <c r="DY8" s="3410"/>
      <c r="DZ8" s="3410"/>
      <c r="EA8" s="3410"/>
      <c r="EB8" s="3410"/>
      <c r="EC8" s="3410"/>
      <c r="ED8" s="3410"/>
      <c r="EE8" s="3410"/>
      <c r="EF8" s="3410"/>
      <c r="EG8" s="3410"/>
      <c r="EH8" s="3410"/>
      <c r="EI8" s="3410"/>
      <c r="EJ8" s="3410"/>
      <c r="EK8" s="3410"/>
      <c r="EL8" s="3410"/>
      <c r="EM8" s="3410"/>
      <c r="EN8" s="3410"/>
      <c r="EO8" s="3410"/>
      <c r="EP8" s="3410"/>
      <c r="EQ8" s="3410"/>
      <c r="ER8" s="3410"/>
      <c r="ES8" s="3410"/>
      <c r="ET8" s="3410"/>
      <c r="EU8" s="3410"/>
      <c r="EV8" s="3410"/>
      <c r="EW8" s="3410"/>
      <c r="EX8" s="3410"/>
      <c r="EY8" s="3410"/>
      <c r="EZ8" s="3410"/>
      <c r="FA8" s="3410"/>
      <c r="FB8" s="3410"/>
      <c r="FC8" s="3410"/>
      <c r="FD8" s="3410"/>
      <c r="FE8" s="3410"/>
      <c r="FF8" s="3410"/>
      <c r="FG8" s="3410"/>
      <c r="FH8" s="3410"/>
      <c r="FI8" s="3410"/>
      <c r="FJ8" s="3410"/>
      <c r="FK8" s="3410"/>
      <c r="FL8" s="3410"/>
      <c r="FM8" s="3410"/>
      <c r="FN8" s="3410"/>
      <c r="FO8" s="3410"/>
      <c r="FP8" s="3410"/>
      <c r="FQ8" s="3410"/>
      <c r="FR8" s="3410"/>
      <c r="FS8" s="3410"/>
      <c r="FT8" s="3410"/>
      <c r="FU8" s="3410"/>
      <c r="FV8" s="3410"/>
      <c r="FW8" s="3410"/>
      <c r="FX8" s="3410"/>
      <c r="FY8" s="3410"/>
      <c r="FZ8" s="3410"/>
      <c r="GA8" s="3410"/>
      <c r="GB8" s="3410"/>
      <c r="GC8" s="3410"/>
      <c r="GD8" s="3410"/>
      <c r="GE8" s="3410"/>
      <c r="GF8" s="3410"/>
      <c r="GG8" s="3410"/>
      <c r="GH8" s="3410"/>
      <c r="GI8" s="3410"/>
      <c r="GJ8" s="3410"/>
      <c r="GK8" s="3410"/>
      <c r="GL8" s="3410"/>
      <c r="GM8" s="3410"/>
      <c r="GN8" s="3410"/>
      <c r="GO8" s="3410"/>
      <c r="GP8" s="3410"/>
      <c r="GQ8" s="3410"/>
      <c r="GR8" s="3410"/>
      <c r="GS8" s="3410"/>
      <c r="GT8" s="3410"/>
      <c r="GU8" s="3410"/>
      <c r="GV8" s="3410"/>
      <c r="GW8" s="3410"/>
      <c r="GX8" s="3410"/>
      <c r="GY8" s="3410"/>
      <c r="GZ8" s="3410"/>
      <c r="HA8" s="3410"/>
      <c r="HB8" s="3410"/>
      <c r="HC8" s="3410"/>
      <c r="HD8" s="3410"/>
      <c r="HE8" s="3410"/>
      <c r="HF8" s="3410"/>
      <c r="HG8" s="3410"/>
      <c r="HH8" s="3410"/>
      <c r="HI8" s="3410"/>
      <c r="HJ8" s="3410"/>
      <c r="HK8" s="3410"/>
      <c r="HL8" s="3410"/>
      <c r="HM8" s="3410"/>
      <c r="HN8" s="3410"/>
      <c r="HO8" s="3410"/>
      <c r="HP8" s="3410"/>
      <c r="HQ8" s="3410"/>
      <c r="HR8" s="3410"/>
      <c r="HS8" s="3410"/>
      <c r="HT8" s="3410"/>
      <c r="HU8" s="3410"/>
      <c r="HV8" s="3410"/>
      <c r="HW8" s="3410"/>
      <c r="HX8" s="3410"/>
      <c r="HY8" s="3410"/>
      <c r="HZ8" s="3410"/>
      <c r="IA8" s="3410"/>
      <c r="IB8" s="3410"/>
      <c r="IC8" s="3410"/>
      <c r="ID8" s="3410"/>
      <c r="IE8" s="3410"/>
      <c r="IF8" s="3410"/>
      <c r="IG8" s="3410"/>
      <c r="IH8" s="3410"/>
      <c r="II8" s="3410"/>
      <c r="IJ8" s="3410"/>
      <c r="IK8" s="3410"/>
      <c r="IL8" s="3410"/>
      <c r="IM8" s="3410"/>
      <c r="IN8" s="3410"/>
      <c r="IO8" s="3410"/>
      <c r="IP8" s="3410"/>
      <c r="IQ8" s="3410"/>
      <c r="IR8" s="3410"/>
      <c r="IS8" s="3410"/>
      <c r="IT8" s="3410"/>
      <c r="IU8" s="3410"/>
      <c r="IV8" s="3410"/>
    </row>
    <row r="9" spans="1:256" s="3409" customFormat="1" ht="20.100000000000001" customHeight="1">
      <c r="A9" s="3410"/>
      <c r="B9" s="3410" t="s">
        <v>2730</v>
      </c>
      <c r="C9" s="3410"/>
      <c r="D9" s="3410"/>
      <c r="E9" s="3410"/>
      <c r="F9" s="3410"/>
      <c r="G9" s="3410"/>
      <c r="H9" s="3410"/>
      <c r="I9" s="3424">
        <v>10</v>
      </c>
      <c r="J9" s="3410"/>
      <c r="K9" s="3410"/>
      <c r="L9" s="3410"/>
      <c r="M9" s="3410"/>
      <c r="N9" s="3410"/>
      <c r="O9" s="3410"/>
      <c r="P9" s="3410"/>
      <c r="Q9" s="3410"/>
      <c r="R9" s="3410"/>
      <c r="S9" s="3410"/>
      <c r="T9" s="3410"/>
      <c r="U9" s="3410"/>
      <c r="V9" s="3410"/>
      <c r="W9" s="3410"/>
      <c r="X9" s="3410"/>
      <c r="Y9" s="3410"/>
      <c r="Z9" s="3410"/>
      <c r="AA9" s="3410"/>
      <c r="AB9" s="3410"/>
      <c r="AC9" s="3410"/>
      <c r="AD9" s="3410"/>
      <c r="AE9" s="3410"/>
      <c r="AF9" s="3410"/>
      <c r="AG9" s="3410"/>
      <c r="AH9" s="3410"/>
      <c r="AI9" s="3410"/>
      <c r="AJ9" s="3410"/>
      <c r="AK9" s="3410"/>
      <c r="AL9" s="3410"/>
      <c r="AM9" s="3410"/>
      <c r="AN9" s="3410"/>
      <c r="AO9" s="3410"/>
      <c r="AP9" s="3410"/>
      <c r="AQ9" s="3410"/>
      <c r="AR9" s="3410"/>
      <c r="AS9" s="3410"/>
      <c r="AT9" s="3410"/>
      <c r="AU9" s="3410"/>
      <c r="AV9" s="3410"/>
      <c r="AW9" s="3410"/>
      <c r="AX9" s="3410"/>
      <c r="AY9" s="3410"/>
      <c r="AZ9" s="3410"/>
      <c r="BA9" s="3410"/>
      <c r="BB9" s="3410"/>
      <c r="BC9" s="3410"/>
      <c r="BD9" s="3410"/>
      <c r="BE9" s="3410"/>
      <c r="BF9" s="3410"/>
      <c r="BG9" s="3410"/>
      <c r="BH9" s="3410"/>
      <c r="BI9" s="3410"/>
      <c r="BJ9" s="3410"/>
      <c r="BK9" s="3410"/>
      <c r="BL9" s="3410"/>
      <c r="BM9" s="3410"/>
      <c r="BN9" s="3410"/>
      <c r="BO9" s="3410"/>
      <c r="BP9" s="3410"/>
      <c r="BQ9" s="3410"/>
      <c r="BR9" s="3410"/>
      <c r="BS9" s="3410"/>
      <c r="BT9" s="3410"/>
      <c r="BU9" s="3410"/>
      <c r="BV9" s="3410"/>
      <c r="BW9" s="3410"/>
      <c r="BX9" s="3410"/>
      <c r="BY9" s="3410"/>
      <c r="BZ9" s="3410"/>
      <c r="CA9" s="3410"/>
      <c r="CB9" s="3410"/>
      <c r="CC9" s="3410"/>
      <c r="CD9" s="3410"/>
      <c r="CE9" s="3410"/>
      <c r="CF9" s="3410"/>
      <c r="CG9" s="3410"/>
      <c r="CH9" s="3410"/>
      <c r="CI9" s="3410"/>
      <c r="CJ9" s="3410"/>
      <c r="CK9" s="3410"/>
      <c r="CL9" s="3410"/>
      <c r="CM9" s="3410"/>
      <c r="CN9" s="3410"/>
      <c r="CO9" s="3410"/>
      <c r="CP9" s="3410"/>
      <c r="CQ9" s="3410"/>
      <c r="CR9" s="3410"/>
      <c r="CS9" s="3410"/>
      <c r="CT9" s="3410"/>
      <c r="CU9" s="3410"/>
      <c r="CV9" s="3410"/>
      <c r="CW9" s="3410"/>
      <c r="CX9" s="3410"/>
      <c r="CY9" s="3410"/>
      <c r="CZ9" s="3410"/>
      <c r="DA9" s="3410"/>
      <c r="DB9" s="3410"/>
      <c r="DC9" s="3410"/>
      <c r="DD9" s="3410"/>
      <c r="DE9" s="3410"/>
      <c r="DF9" s="3410"/>
      <c r="DG9" s="3410"/>
      <c r="DH9" s="3410"/>
      <c r="DI9" s="3410"/>
      <c r="DJ9" s="3410"/>
      <c r="DK9" s="3410"/>
      <c r="DL9" s="3410"/>
      <c r="DM9" s="3410"/>
      <c r="DN9" s="3410"/>
      <c r="DO9" s="3410"/>
      <c r="DP9" s="3410"/>
      <c r="DQ9" s="3410"/>
      <c r="DR9" s="3410"/>
      <c r="DS9" s="3410"/>
      <c r="DT9" s="3410"/>
      <c r="DU9" s="3410"/>
      <c r="DV9" s="3410"/>
      <c r="DW9" s="3410"/>
      <c r="DX9" s="3410"/>
      <c r="DY9" s="3410"/>
      <c r="DZ9" s="3410"/>
      <c r="EA9" s="3410"/>
      <c r="EB9" s="3410"/>
      <c r="EC9" s="3410"/>
      <c r="ED9" s="3410"/>
      <c r="EE9" s="3410"/>
      <c r="EF9" s="3410"/>
      <c r="EG9" s="3410"/>
      <c r="EH9" s="3410"/>
      <c r="EI9" s="3410"/>
      <c r="EJ9" s="3410"/>
      <c r="EK9" s="3410"/>
      <c r="EL9" s="3410"/>
      <c r="EM9" s="3410"/>
      <c r="EN9" s="3410"/>
      <c r="EO9" s="3410"/>
      <c r="EP9" s="3410"/>
      <c r="EQ9" s="3410"/>
      <c r="ER9" s="3410"/>
      <c r="ES9" s="3410"/>
      <c r="ET9" s="3410"/>
      <c r="EU9" s="3410"/>
      <c r="EV9" s="3410"/>
      <c r="EW9" s="3410"/>
      <c r="EX9" s="3410"/>
      <c r="EY9" s="3410"/>
      <c r="EZ9" s="3410"/>
      <c r="FA9" s="3410"/>
      <c r="FB9" s="3410"/>
      <c r="FC9" s="3410"/>
      <c r="FD9" s="3410"/>
      <c r="FE9" s="3410"/>
      <c r="FF9" s="3410"/>
      <c r="FG9" s="3410"/>
      <c r="FH9" s="3410"/>
      <c r="FI9" s="3410"/>
      <c r="FJ9" s="3410"/>
      <c r="FK9" s="3410"/>
      <c r="FL9" s="3410"/>
      <c r="FM9" s="3410"/>
      <c r="FN9" s="3410"/>
      <c r="FO9" s="3410"/>
      <c r="FP9" s="3410"/>
      <c r="FQ9" s="3410"/>
      <c r="FR9" s="3410"/>
      <c r="FS9" s="3410"/>
      <c r="FT9" s="3410"/>
      <c r="FU9" s="3410"/>
      <c r="FV9" s="3410"/>
      <c r="FW9" s="3410"/>
      <c r="FX9" s="3410"/>
      <c r="FY9" s="3410"/>
      <c r="FZ9" s="3410"/>
      <c r="GA9" s="3410"/>
      <c r="GB9" s="3410"/>
      <c r="GC9" s="3410"/>
      <c r="GD9" s="3410"/>
      <c r="GE9" s="3410"/>
      <c r="GF9" s="3410"/>
      <c r="GG9" s="3410"/>
      <c r="GH9" s="3410"/>
      <c r="GI9" s="3410"/>
      <c r="GJ9" s="3410"/>
      <c r="GK9" s="3410"/>
      <c r="GL9" s="3410"/>
      <c r="GM9" s="3410"/>
      <c r="GN9" s="3410"/>
      <c r="GO9" s="3410"/>
      <c r="GP9" s="3410"/>
      <c r="GQ9" s="3410"/>
      <c r="GR9" s="3410"/>
      <c r="GS9" s="3410"/>
      <c r="GT9" s="3410"/>
      <c r="GU9" s="3410"/>
      <c r="GV9" s="3410"/>
      <c r="GW9" s="3410"/>
      <c r="GX9" s="3410"/>
      <c r="GY9" s="3410"/>
      <c r="GZ9" s="3410"/>
      <c r="HA9" s="3410"/>
      <c r="HB9" s="3410"/>
      <c r="HC9" s="3410"/>
      <c r="HD9" s="3410"/>
      <c r="HE9" s="3410"/>
      <c r="HF9" s="3410"/>
      <c r="HG9" s="3410"/>
      <c r="HH9" s="3410"/>
      <c r="HI9" s="3410"/>
      <c r="HJ9" s="3410"/>
      <c r="HK9" s="3410"/>
      <c r="HL9" s="3410"/>
      <c r="HM9" s="3410"/>
      <c r="HN9" s="3410"/>
      <c r="HO9" s="3410"/>
      <c r="HP9" s="3410"/>
      <c r="HQ9" s="3410"/>
      <c r="HR9" s="3410"/>
      <c r="HS9" s="3410"/>
      <c r="HT9" s="3410"/>
      <c r="HU9" s="3410"/>
      <c r="HV9" s="3410"/>
      <c r="HW9" s="3410"/>
      <c r="HX9" s="3410"/>
      <c r="HY9" s="3410"/>
      <c r="HZ9" s="3410"/>
      <c r="IA9" s="3410"/>
      <c r="IB9" s="3410"/>
      <c r="IC9" s="3410"/>
      <c r="ID9" s="3410"/>
      <c r="IE9" s="3410"/>
      <c r="IF9" s="3410"/>
      <c r="IG9" s="3410"/>
      <c r="IH9" s="3410"/>
      <c r="II9" s="3410"/>
      <c r="IJ9" s="3410"/>
      <c r="IK9" s="3410"/>
      <c r="IL9" s="3410"/>
      <c r="IM9" s="3410"/>
      <c r="IN9" s="3410"/>
      <c r="IO9" s="3410"/>
      <c r="IP9" s="3410"/>
      <c r="IQ9" s="3410"/>
      <c r="IR9" s="3410"/>
      <c r="IS9" s="3410"/>
      <c r="IT9" s="3410"/>
      <c r="IU9" s="3410"/>
      <c r="IV9" s="3410"/>
    </row>
    <row r="10" spans="1:256" s="3409" customFormat="1" ht="20.100000000000001" customHeight="1">
      <c r="A10" s="3410"/>
      <c r="B10" s="3410" t="s">
        <v>2731</v>
      </c>
      <c r="C10" s="3410"/>
      <c r="D10" s="3410"/>
      <c r="E10" s="3410"/>
      <c r="F10" s="3410"/>
      <c r="G10" s="3410"/>
      <c r="H10" s="3410"/>
      <c r="I10" s="3424">
        <v>13</v>
      </c>
      <c r="J10" s="3410"/>
      <c r="K10" s="3410"/>
      <c r="L10" s="3410"/>
      <c r="M10" s="3410"/>
      <c r="N10" s="3410"/>
      <c r="O10" s="3410"/>
      <c r="P10" s="3410"/>
      <c r="Q10" s="3410"/>
      <c r="R10" s="3410"/>
      <c r="S10" s="3410"/>
      <c r="T10" s="3410"/>
      <c r="U10" s="3410"/>
      <c r="V10" s="3410"/>
      <c r="W10" s="3410"/>
      <c r="X10" s="3410"/>
      <c r="Y10" s="3410"/>
      <c r="Z10" s="3410"/>
      <c r="AA10" s="3410"/>
      <c r="AB10" s="3410"/>
      <c r="AC10" s="3410"/>
      <c r="AD10" s="3410"/>
      <c r="AE10" s="3410"/>
      <c r="AF10" s="3410"/>
      <c r="AG10" s="3410"/>
      <c r="AH10" s="3410"/>
      <c r="AI10" s="3410"/>
      <c r="AJ10" s="3410"/>
      <c r="AK10" s="3410"/>
      <c r="AL10" s="3410"/>
      <c r="AM10" s="3410"/>
      <c r="AN10" s="3410"/>
      <c r="AO10" s="3410"/>
      <c r="AP10" s="3410"/>
      <c r="AQ10" s="3410"/>
      <c r="AR10" s="3410"/>
      <c r="AS10" s="3410"/>
      <c r="AT10" s="3410"/>
      <c r="AU10" s="3410"/>
      <c r="AV10" s="3410"/>
      <c r="AW10" s="3410"/>
      <c r="AX10" s="3410"/>
      <c r="AY10" s="3410"/>
      <c r="AZ10" s="3410"/>
      <c r="BA10" s="3410"/>
      <c r="BB10" s="3410"/>
      <c r="BC10" s="3410"/>
      <c r="BD10" s="3410"/>
      <c r="BE10" s="3410"/>
      <c r="BF10" s="3410"/>
      <c r="BG10" s="3410"/>
      <c r="BH10" s="3410"/>
      <c r="BI10" s="3410"/>
      <c r="BJ10" s="3410"/>
      <c r="BK10" s="3410"/>
      <c r="BL10" s="3410"/>
      <c r="BM10" s="3410"/>
      <c r="BN10" s="3410"/>
      <c r="BO10" s="3410"/>
      <c r="BP10" s="3410"/>
      <c r="BQ10" s="3410"/>
      <c r="BR10" s="3410"/>
      <c r="BS10" s="3410"/>
      <c r="BT10" s="3410"/>
      <c r="BU10" s="3410"/>
      <c r="BV10" s="3410"/>
      <c r="BW10" s="3410"/>
      <c r="BX10" s="3410"/>
      <c r="BY10" s="3410"/>
      <c r="BZ10" s="3410"/>
      <c r="CA10" s="3410"/>
      <c r="CB10" s="3410"/>
      <c r="CC10" s="3410"/>
      <c r="CD10" s="3410"/>
      <c r="CE10" s="3410"/>
      <c r="CF10" s="3410"/>
      <c r="CG10" s="3410"/>
      <c r="CH10" s="3410"/>
      <c r="CI10" s="3410"/>
      <c r="CJ10" s="3410"/>
      <c r="CK10" s="3410"/>
      <c r="CL10" s="3410"/>
      <c r="CM10" s="3410"/>
      <c r="CN10" s="3410"/>
      <c r="CO10" s="3410"/>
      <c r="CP10" s="3410"/>
      <c r="CQ10" s="3410"/>
      <c r="CR10" s="3410"/>
      <c r="CS10" s="3410"/>
      <c r="CT10" s="3410"/>
      <c r="CU10" s="3410"/>
      <c r="CV10" s="3410"/>
      <c r="CW10" s="3410"/>
      <c r="CX10" s="3410"/>
      <c r="CY10" s="3410"/>
      <c r="CZ10" s="3410"/>
      <c r="DA10" s="3410"/>
      <c r="DB10" s="3410"/>
      <c r="DC10" s="3410"/>
      <c r="DD10" s="3410"/>
      <c r="DE10" s="3410"/>
      <c r="DF10" s="3410"/>
      <c r="DG10" s="3410"/>
      <c r="DH10" s="3410"/>
      <c r="DI10" s="3410"/>
      <c r="DJ10" s="3410"/>
      <c r="DK10" s="3410"/>
      <c r="DL10" s="3410"/>
      <c r="DM10" s="3410"/>
      <c r="DN10" s="3410"/>
      <c r="DO10" s="3410"/>
      <c r="DP10" s="3410"/>
      <c r="DQ10" s="3410"/>
      <c r="DR10" s="3410"/>
      <c r="DS10" s="3410"/>
      <c r="DT10" s="3410"/>
      <c r="DU10" s="3410"/>
      <c r="DV10" s="3410"/>
      <c r="DW10" s="3410"/>
      <c r="DX10" s="3410"/>
      <c r="DY10" s="3410"/>
      <c r="DZ10" s="3410"/>
      <c r="EA10" s="3410"/>
      <c r="EB10" s="3410"/>
      <c r="EC10" s="3410"/>
      <c r="ED10" s="3410"/>
      <c r="EE10" s="3410"/>
      <c r="EF10" s="3410"/>
      <c r="EG10" s="3410"/>
      <c r="EH10" s="3410"/>
      <c r="EI10" s="3410"/>
      <c r="EJ10" s="3410"/>
      <c r="EK10" s="3410"/>
      <c r="EL10" s="3410"/>
      <c r="EM10" s="3410"/>
      <c r="EN10" s="3410"/>
      <c r="EO10" s="3410"/>
      <c r="EP10" s="3410"/>
      <c r="EQ10" s="3410"/>
      <c r="ER10" s="3410"/>
      <c r="ES10" s="3410"/>
      <c r="ET10" s="3410"/>
      <c r="EU10" s="3410"/>
      <c r="EV10" s="3410"/>
      <c r="EW10" s="3410"/>
      <c r="EX10" s="3410"/>
      <c r="EY10" s="3410"/>
      <c r="EZ10" s="3410"/>
      <c r="FA10" s="3410"/>
      <c r="FB10" s="3410"/>
      <c r="FC10" s="3410"/>
      <c r="FD10" s="3410"/>
      <c r="FE10" s="3410"/>
      <c r="FF10" s="3410"/>
      <c r="FG10" s="3410"/>
      <c r="FH10" s="3410"/>
      <c r="FI10" s="3410"/>
      <c r="FJ10" s="3410"/>
      <c r="FK10" s="3410"/>
      <c r="FL10" s="3410"/>
      <c r="FM10" s="3410"/>
      <c r="FN10" s="3410"/>
      <c r="FO10" s="3410"/>
      <c r="FP10" s="3410"/>
      <c r="FQ10" s="3410"/>
      <c r="FR10" s="3410"/>
      <c r="FS10" s="3410"/>
      <c r="FT10" s="3410"/>
      <c r="FU10" s="3410"/>
      <c r="FV10" s="3410"/>
      <c r="FW10" s="3410"/>
      <c r="FX10" s="3410"/>
      <c r="FY10" s="3410"/>
      <c r="FZ10" s="3410"/>
      <c r="GA10" s="3410"/>
      <c r="GB10" s="3410"/>
      <c r="GC10" s="3410"/>
      <c r="GD10" s="3410"/>
      <c r="GE10" s="3410"/>
      <c r="GF10" s="3410"/>
      <c r="GG10" s="3410"/>
      <c r="GH10" s="3410"/>
      <c r="GI10" s="3410"/>
      <c r="GJ10" s="3410"/>
      <c r="GK10" s="3410"/>
      <c r="GL10" s="3410"/>
      <c r="GM10" s="3410"/>
      <c r="GN10" s="3410"/>
      <c r="GO10" s="3410"/>
      <c r="GP10" s="3410"/>
      <c r="GQ10" s="3410"/>
      <c r="GR10" s="3410"/>
      <c r="GS10" s="3410"/>
      <c r="GT10" s="3410"/>
      <c r="GU10" s="3410"/>
      <c r="GV10" s="3410"/>
      <c r="GW10" s="3410"/>
      <c r="GX10" s="3410"/>
      <c r="GY10" s="3410"/>
      <c r="GZ10" s="3410"/>
      <c r="HA10" s="3410"/>
      <c r="HB10" s="3410"/>
      <c r="HC10" s="3410"/>
      <c r="HD10" s="3410"/>
      <c r="HE10" s="3410"/>
      <c r="HF10" s="3410"/>
      <c r="HG10" s="3410"/>
      <c r="HH10" s="3410"/>
      <c r="HI10" s="3410"/>
      <c r="HJ10" s="3410"/>
      <c r="HK10" s="3410"/>
      <c r="HL10" s="3410"/>
      <c r="HM10" s="3410"/>
      <c r="HN10" s="3410"/>
      <c r="HO10" s="3410"/>
      <c r="HP10" s="3410"/>
      <c r="HQ10" s="3410"/>
      <c r="HR10" s="3410"/>
      <c r="HS10" s="3410"/>
      <c r="HT10" s="3410"/>
      <c r="HU10" s="3410"/>
      <c r="HV10" s="3410"/>
      <c r="HW10" s="3410"/>
      <c r="HX10" s="3410"/>
      <c r="HY10" s="3410"/>
      <c r="HZ10" s="3410"/>
      <c r="IA10" s="3410"/>
      <c r="IB10" s="3410"/>
      <c r="IC10" s="3410"/>
      <c r="ID10" s="3410"/>
      <c r="IE10" s="3410"/>
      <c r="IF10" s="3410"/>
      <c r="IG10" s="3410"/>
      <c r="IH10" s="3410"/>
      <c r="II10" s="3410"/>
      <c r="IJ10" s="3410"/>
      <c r="IK10" s="3410"/>
      <c r="IL10" s="3410"/>
      <c r="IM10" s="3410"/>
      <c r="IN10" s="3410"/>
      <c r="IO10" s="3410"/>
      <c r="IP10" s="3410"/>
      <c r="IQ10" s="3410"/>
      <c r="IR10" s="3410"/>
      <c r="IS10" s="3410"/>
      <c r="IT10" s="3410"/>
      <c r="IU10" s="3410"/>
      <c r="IV10" s="3410"/>
    </row>
    <row r="11" spans="1:256" s="3409" customFormat="1" ht="20.100000000000001" customHeight="1">
      <c r="A11" s="3412" t="s">
        <v>2675</v>
      </c>
      <c r="B11" s="3413" t="s">
        <v>2676</v>
      </c>
      <c r="C11" s="3410"/>
      <c r="D11" s="3410"/>
      <c r="E11" s="3410"/>
      <c r="F11" s="3410"/>
      <c r="G11" s="3410"/>
      <c r="H11" s="3410"/>
      <c r="I11" s="3424">
        <v>16</v>
      </c>
      <c r="J11" s="3410"/>
      <c r="K11" s="3410"/>
      <c r="L11" s="3410"/>
      <c r="M11" s="3410"/>
      <c r="N11" s="3410"/>
      <c r="O11" s="3410"/>
      <c r="P11" s="3410"/>
      <c r="Q11" s="3410"/>
      <c r="R11" s="3410"/>
      <c r="S11" s="3410"/>
      <c r="T11" s="3410"/>
      <c r="U11" s="3410"/>
      <c r="V11" s="3410"/>
      <c r="W11" s="3410"/>
      <c r="X11" s="3410"/>
      <c r="Y11" s="3410"/>
      <c r="Z11" s="3410"/>
      <c r="AA11" s="3410"/>
      <c r="AB11" s="3410"/>
      <c r="AC11" s="3410"/>
      <c r="AD11" s="3410"/>
      <c r="AE11" s="3410"/>
      <c r="AF11" s="3410"/>
      <c r="AG11" s="3410"/>
      <c r="AH11" s="3410"/>
      <c r="AI11" s="3410"/>
      <c r="AJ11" s="3410"/>
      <c r="AK11" s="3410"/>
      <c r="AL11" s="3410"/>
      <c r="AM11" s="3410"/>
      <c r="AN11" s="3410"/>
      <c r="AO11" s="3410"/>
      <c r="AP11" s="3410"/>
      <c r="AQ11" s="3410"/>
      <c r="AR11" s="3410"/>
      <c r="AS11" s="3410"/>
      <c r="AT11" s="3410"/>
      <c r="AU11" s="3410"/>
      <c r="AV11" s="3410"/>
      <c r="AW11" s="3410"/>
      <c r="AX11" s="3410"/>
      <c r="AY11" s="3410"/>
      <c r="AZ11" s="3410"/>
      <c r="BA11" s="3410"/>
      <c r="BB11" s="3410"/>
      <c r="BC11" s="3410"/>
      <c r="BD11" s="3410"/>
      <c r="BE11" s="3410"/>
      <c r="BF11" s="3410"/>
      <c r="BG11" s="3410"/>
      <c r="BH11" s="3410"/>
      <c r="BI11" s="3410"/>
      <c r="BJ11" s="3410"/>
      <c r="BK11" s="3410"/>
      <c r="BL11" s="3410"/>
      <c r="BM11" s="3410"/>
      <c r="BN11" s="3410"/>
      <c r="BO11" s="3410"/>
      <c r="BP11" s="3410"/>
      <c r="BQ11" s="3410"/>
      <c r="BR11" s="3410"/>
      <c r="BS11" s="3410"/>
      <c r="BT11" s="3410"/>
      <c r="BU11" s="3410"/>
      <c r="BV11" s="3410"/>
      <c r="BW11" s="3410"/>
      <c r="BX11" s="3410"/>
      <c r="BY11" s="3410"/>
      <c r="BZ11" s="3410"/>
      <c r="CA11" s="3410"/>
      <c r="CB11" s="3410"/>
      <c r="CC11" s="3410"/>
      <c r="CD11" s="3410"/>
      <c r="CE11" s="3410"/>
      <c r="CF11" s="3410"/>
      <c r="CG11" s="3410"/>
      <c r="CH11" s="3410"/>
      <c r="CI11" s="3410"/>
      <c r="CJ11" s="3410"/>
      <c r="CK11" s="3410"/>
      <c r="CL11" s="3410"/>
      <c r="CM11" s="3410"/>
      <c r="CN11" s="3410"/>
      <c r="CO11" s="3410"/>
      <c r="CP11" s="3410"/>
      <c r="CQ11" s="3410"/>
      <c r="CR11" s="3410"/>
      <c r="CS11" s="3410"/>
      <c r="CT11" s="3410"/>
      <c r="CU11" s="3410"/>
      <c r="CV11" s="3410"/>
      <c r="CW11" s="3410"/>
      <c r="CX11" s="3410"/>
      <c r="CY11" s="3410"/>
      <c r="CZ11" s="3410"/>
      <c r="DA11" s="3410"/>
      <c r="DB11" s="3410"/>
      <c r="DC11" s="3410"/>
      <c r="DD11" s="3410"/>
      <c r="DE11" s="3410"/>
      <c r="DF11" s="3410"/>
      <c r="DG11" s="3410"/>
      <c r="DH11" s="3410"/>
      <c r="DI11" s="3410"/>
      <c r="DJ11" s="3410"/>
      <c r="DK11" s="3410"/>
      <c r="DL11" s="3410"/>
      <c r="DM11" s="3410"/>
      <c r="DN11" s="3410"/>
      <c r="DO11" s="3410"/>
      <c r="DP11" s="3410"/>
      <c r="DQ11" s="3410"/>
      <c r="DR11" s="3410"/>
      <c r="DS11" s="3410"/>
      <c r="DT11" s="3410"/>
      <c r="DU11" s="3410"/>
      <c r="DV11" s="3410"/>
      <c r="DW11" s="3410"/>
      <c r="DX11" s="3410"/>
      <c r="DY11" s="3410"/>
      <c r="DZ11" s="3410"/>
      <c r="EA11" s="3410"/>
      <c r="EB11" s="3410"/>
      <c r="EC11" s="3410"/>
      <c r="ED11" s="3410"/>
      <c r="EE11" s="3410"/>
      <c r="EF11" s="3410"/>
      <c r="EG11" s="3410"/>
      <c r="EH11" s="3410"/>
      <c r="EI11" s="3410"/>
      <c r="EJ11" s="3410"/>
      <c r="EK11" s="3410"/>
      <c r="EL11" s="3410"/>
      <c r="EM11" s="3410"/>
      <c r="EN11" s="3410"/>
      <c r="EO11" s="3410"/>
      <c r="EP11" s="3410"/>
      <c r="EQ11" s="3410"/>
      <c r="ER11" s="3410"/>
      <c r="ES11" s="3410"/>
      <c r="ET11" s="3410"/>
      <c r="EU11" s="3410"/>
      <c r="EV11" s="3410"/>
      <c r="EW11" s="3410"/>
      <c r="EX11" s="3410"/>
      <c r="EY11" s="3410"/>
      <c r="EZ11" s="3410"/>
      <c r="FA11" s="3410"/>
      <c r="FB11" s="3410"/>
      <c r="FC11" s="3410"/>
      <c r="FD11" s="3410"/>
      <c r="FE11" s="3410"/>
      <c r="FF11" s="3410"/>
      <c r="FG11" s="3410"/>
      <c r="FH11" s="3410"/>
      <c r="FI11" s="3410"/>
      <c r="FJ11" s="3410"/>
      <c r="FK11" s="3410"/>
      <c r="FL11" s="3410"/>
      <c r="FM11" s="3410"/>
      <c r="FN11" s="3410"/>
      <c r="FO11" s="3410"/>
      <c r="FP11" s="3410"/>
      <c r="FQ11" s="3410"/>
      <c r="FR11" s="3410"/>
      <c r="FS11" s="3410"/>
      <c r="FT11" s="3410"/>
      <c r="FU11" s="3410"/>
      <c r="FV11" s="3410"/>
      <c r="FW11" s="3410"/>
      <c r="FX11" s="3410"/>
      <c r="FY11" s="3410"/>
      <c r="FZ11" s="3410"/>
      <c r="GA11" s="3410"/>
      <c r="GB11" s="3410"/>
      <c r="GC11" s="3410"/>
      <c r="GD11" s="3410"/>
      <c r="GE11" s="3410"/>
      <c r="GF11" s="3410"/>
      <c r="GG11" s="3410"/>
      <c r="GH11" s="3410"/>
      <c r="GI11" s="3410"/>
      <c r="GJ11" s="3410"/>
      <c r="GK11" s="3410"/>
      <c r="GL11" s="3410"/>
      <c r="GM11" s="3410"/>
      <c r="GN11" s="3410"/>
      <c r="GO11" s="3410"/>
      <c r="GP11" s="3410"/>
      <c r="GQ11" s="3410"/>
      <c r="GR11" s="3410"/>
      <c r="GS11" s="3410"/>
      <c r="GT11" s="3410"/>
      <c r="GU11" s="3410"/>
      <c r="GV11" s="3410"/>
      <c r="GW11" s="3410"/>
      <c r="GX11" s="3410"/>
      <c r="GY11" s="3410"/>
      <c r="GZ11" s="3410"/>
      <c r="HA11" s="3410"/>
      <c r="HB11" s="3410"/>
      <c r="HC11" s="3410"/>
      <c r="HD11" s="3410"/>
      <c r="HE11" s="3410"/>
      <c r="HF11" s="3410"/>
      <c r="HG11" s="3410"/>
      <c r="HH11" s="3410"/>
      <c r="HI11" s="3410"/>
      <c r="HJ11" s="3410"/>
      <c r="HK11" s="3410"/>
      <c r="HL11" s="3410"/>
      <c r="HM11" s="3410"/>
      <c r="HN11" s="3410"/>
      <c r="HO11" s="3410"/>
      <c r="HP11" s="3410"/>
      <c r="HQ11" s="3410"/>
      <c r="HR11" s="3410"/>
      <c r="HS11" s="3410"/>
      <c r="HT11" s="3410"/>
      <c r="HU11" s="3410"/>
      <c r="HV11" s="3410"/>
      <c r="HW11" s="3410"/>
      <c r="HX11" s="3410"/>
      <c r="HY11" s="3410"/>
      <c r="HZ11" s="3410"/>
      <c r="IA11" s="3410"/>
      <c r="IB11" s="3410"/>
      <c r="IC11" s="3410"/>
      <c r="ID11" s="3410"/>
      <c r="IE11" s="3410"/>
      <c r="IF11" s="3410"/>
      <c r="IG11" s="3410"/>
      <c r="IH11" s="3410"/>
      <c r="II11" s="3410"/>
      <c r="IJ11" s="3410"/>
      <c r="IK11" s="3410"/>
      <c r="IL11" s="3410"/>
      <c r="IM11" s="3410"/>
      <c r="IN11" s="3410"/>
      <c r="IO11" s="3410"/>
      <c r="IP11" s="3410"/>
      <c r="IQ11" s="3410"/>
      <c r="IR11" s="3410"/>
      <c r="IS11" s="3410"/>
      <c r="IT11" s="3410"/>
      <c r="IU11" s="3410"/>
      <c r="IV11" s="3410"/>
    </row>
    <row r="12" spans="1:256" s="3409" customFormat="1" ht="20.100000000000001" customHeight="1">
      <c r="A12" s="3414" t="s">
        <v>2677</v>
      </c>
      <c r="B12" s="3415" t="s">
        <v>2732</v>
      </c>
      <c r="C12" s="3416">
        <v>20</v>
      </c>
      <c r="D12" s="3410" t="s">
        <v>2733</v>
      </c>
      <c r="E12" s="3417">
        <f>C12*9.8</f>
        <v>196</v>
      </c>
      <c r="F12" s="3410" t="s">
        <v>464</v>
      </c>
      <c r="G12" s="3410"/>
      <c r="H12" s="3410"/>
      <c r="I12" s="3424">
        <v>20</v>
      </c>
      <c r="J12" s="3410"/>
      <c r="K12" s="3410"/>
      <c r="L12" s="3410"/>
      <c r="M12" s="3410"/>
      <c r="N12" s="3410"/>
      <c r="O12" s="3410"/>
      <c r="P12" s="3410"/>
      <c r="Q12" s="3410"/>
      <c r="R12" s="3410"/>
      <c r="S12" s="3410"/>
      <c r="T12" s="3410"/>
      <c r="U12" s="3410"/>
      <c r="V12" s="3410"/>
      <c r="W12" s="3410"/>
      <c r="X12" s="3410"/>
      <c r="Y12" s="3410"/>
      <c r="Z12" s="3410"/>
      <c r="AA12" s="3410"/>
      <c r="AB12" s="3410"/>
      <c r="AC12" s="3410"/>
      <c r="AD12" s="3410"/>
      <c r="AE12" s="3410"/>
      <c r="AF12" s="3410"/>
      <c r="AG12" s="3410"/>
      <c r="AH12" s="3410"/>
      <c r="AI12" s="3410"/>
      <c r="AJ12" s="3410"/>
      <c r="AK12" s="3410"/>
      <c r="AL12" s="3410"/>
      <c r="AM12" s="3410"/>
      <c r="AN12" s="3410"/>
      <c r="AO12" s="3410"/>
      <c r="AP12" s="3410"/>
      <c r="AQ12" s="3410"/>
      <c r="AR12" s="3410"/>
      <c r="AS12" s="3410"/>
      <c r="AT12" s="3410"/>
      <c r="AU12" s="3410"/>
      <c r="AV12" s="3410"/>
      <c r="AW12" s="3410"/>
      <c r="AX12" s="3410"/>
      <c r="AY12" s="3410"/>
      <c r="AZ12" s="3410"/>
      <c r="BA12" s="3410"/>
      <c r="BB12" s="3410"/>
      <c r="BC12" s="3410"/>
      <c r="BD12" s="3410"/>
      <c r="BE12" s="3410"/>
      <c r="BF12" s="3410"/>
      <c r="BG12" s="3410"/>
      <c r="BH12" s="3410"/>
      <c r="BI12" s="3410"/>
      <c r="BJ12" s="3410"/>
      <c r="BK12" s="3410"/>
      <c r="BL12" s="3410"/>
      <c r="BM12" s="3410"/>
      <c r="BN12" s="3410"/>
      <c r="BO12" s="3410"/>
      <c r="BP12" s="3410"/>
      <c r="BQ12" s="3410"/>
      <c r="BR12" s="3410"/>
      <c r="BS12" s="3410"/>
      <c r="BT12" s="3410"/>
      <c r="BU12" s="3410"/>
      <c r="BV12" s="3410"/>
      <c r="BW12" s="3410"/>
      <c r="BX12" s="3410"/>
      <c r="BY12" s="3410"/>
      <c r="BZ12" s="3410"/>
      <c r="CA12" s="3410"/>
      <c r="CB12" s="3410"/>
      <c r="CC12" s="3410"/>
      <c r="CD12" s="3410"/>
      <c r="CE12" s="3410"/>
      <c r="CF12" s="3410"/>
      <c r="CG12" s="3410"/>
      <c r="CH12" s="3410"/>
      <c r="CI12" s="3410"/>
      <c r="CJ12" s="3410"/>
      <c r="CK12" s="3410"/>
      <c r="CL12" s="3410"/>
      <c r="CM12" s="3410"/>
      <c r="CN12" s="3410"/>
      <c r="CO12" s="3410"/>
      <c r="CP12" s="3410"/>
      <c r="CQ12" s="3410"/>
      <c r="CR12" s="3410"/>
      <c r="CS12" s="3410"/>
      <c r="CT12" s="3410"/>
      <c r="CU12" s="3410"/>
      <c r="CV12" s="3410"/>
      <c r="CW12" s="3410"/>
      <c r="CX12" s="3410"/>
      <c r="CY12" s="3410"/>
      <c r="CZ12" s="3410"/>
      <c r="DA12" s="3410"/>
      <c r="DB12" s="3410"/>
      <c r="DC12" s="3410"/>
      <c r="DD12" s="3410"/>
      <c r="DE12" s="3410"/>
      <c r="DF12" s="3410"/>
      <c r="DG12" s="3410"/>
      <c r="DH12" s="3410"/>
      <c r="DI12" s="3410"/>
      <c r="DJ12" s="3410"/>
      <c r="DK12" s="3410"/>
      <c r="DL12" s="3410"/>
      <c r="DM12" s="3410"/>
      <c r="DN12" s="3410"/>
      <c r="DO12" s="3410"/>
      <c r="DP12" s="3410"/>
      <c r="DQ12" s="3410"/>
      <c r="DR12" s="3410"/>
      <c r="DS12" s="3410"/>
      <c r="DT12" s="3410"/>
      <c r="DU12" s="3410"/>
      <c r="DV12" s="3410"/>
      <c r="DW12" s="3410"/>
      <c r="DX12" s="3410"/>
      <c r="DY12" s="3410"/>
      <c r="DZ12" s="3410"/>
      <c r="EA12" s="3410"/>
      <c r="EB12" s="3410"/>
      <c r="EC12" s="3410"/>
      <c r="ED12" s="3410"/>
      <c r="EE12" s="3410"/>
      <c r="EF12" s="3410"/>
      <c r="EG12" s="3410"/>
      <c r="EH12" s="3410"/>
      <c r="EI12" s="3410"/>
      <c r="EJ12" s="3410"/>
      <c r="EK12" s="3410"/>
      <c r="EL12" s="3410"/>
      <c r="EM12" s="3410"/>
      <c r="EN12" s="3410"/>
      <c r="EO12" s="3410"/>
      <c r="EP12" s="3410"/>
      <c r="EQ12" s="3410"/>
      <c r="ER12" s="3410"/>
      <c r="ES12" s="3410"/>
      <c r="ET12" s="3410"/>
      <c r="EU12" s="3410"/>
      <c r="EV12" s="3410"/>
      <c r="EW12" s="3410"/>
      <c r="EX12" s="3410"/>
      <c r="EY12" s="3410"/>
      <c r="EZ12" s="3410"/>
      <c r="FA12" s="3410"/>
      <c r="FB12" s="3410"/>
      <c r="FC12" s="3410"/>
      <c r="FD12" s="3410"/>
      <c r="FE12" s="3410"/>
      <c r="FF12" s="3410"/>
      <c r="FG12" s="3410"/>
      <c r="FH12" s="3410"/>
      <c r="FI12" s="3410"/>
      <c r="FJ12" s="3410"/>
      <c r="FK12" s="3410"/>
      <c r="FL12" s="3410"/>
      <c r="FM12" s="3410"/>
      <c r="FN12" s="3410"/>
      <c r="FO12" s="3410"/>
      <c r="FP12" s="3410"/>
      <c r="FQ12" s="3410"/>
      <c r="FR12" s="3410"/>
      <c r="FS12" s="3410"/>
      <c r="FT12" s="3410"/>
      <c r="FU12" s="3410"/>
      <c r="FV12" s="3410"/>
      <c r="FW12" s="3410"/>
      <c r="FX12" s="3410"/>
      <c r="FY12" s="3410"/>
      <c r="FZ12" s="3410"/>
      <c r="GA12" s="3410"/>
      <c r="GB12" s="3410"/>
      <c r="GC12" s="3410"/>
      <c r="GD12" s="3410"/>
      <c r="GE12" s="3410"/>
      <c r="GF12" s="3410"/>
      <c r="GG12" s="3410"/>
      <c r="GH12" s="3410"/>
      <c r="GI12" s="3410"/>
      <c r="GJ12" s="3410"/>
      <c r="GK12" s="3410"/>
      <c r="GL12" s="3410"/>
      <c r="GM12" s="3410"/>
      <c r="GN12" s="3410"/>
      <c r="GO12" s="3410"/>
      <c r="GP12" s="3410"/>
      <c r="GQ12" s="3410"/>
      <c r="GR12" s="3410"/>
      <c r="GS12" s="3410"/>
      <c r="GT12" s="3410"/>
      <c r="GU12" s="3410"/>
      <c r="GV12" s="3410"/>
      <c r="GW12" s="3410"/>
      <c r="GX12" s="3410"/>
      <c r="GY12" s="3410"/>
      <c r="GZ12" s="3410"/>
      <c r="HA12" s="3410"/>
      <c r="HB12" s="3410"/>
      <c r="HC12" s="3410"/>
      <c r="HD12" s="3410"/>
      <c r="HE12" s="3410"/>
      <c r="HF12" s="3410"/>
      <c r="HG12" s="3410"/>
      <c r="HH12" s="3410"/>
      <c r="HI12" s="3410"/>
      <c r="HJ12" s="3410"/>
      <c r="HK12" s="3410"/>
      <c r="HL12" s="3410"/>
      <c r="HM12" s="3410"/>
      <c r="HN12" s="3410"/>
      <c r="HO12" s="3410"/>
      <c r="HP12" s="3410"/>
      <c r="HQ12" s="3410"/>
      <c r="HR12" s="3410"/>
      <c r="HS12" s="3410"/>
      <c r="HT12" s="3410"/>
      <c r="HU12" s="3410"/>
      <c r="HV12" s="3410"/>
      <c r="HW12" s="3410"/>
      <c r="HX12" s="3410"/>
      <c r="HY12" s="3410"/>
      <c r="HZ12" s="3410"/>
      <c r="IA12" s="3410"/>
      <c r="IB12" s="3410"/>
      <c r="IC12" s="3410"/>
      <c r="ID12" s="3410"/>
      <c r="IE12" s="3410"/>
      <c r="IF12" s="3410"/>
      <c r="IG12" s="3410"/>
      <c r="IH12" s="3410"/>
      <c r="II12" s="3410"/>
      <c r="IJ12" s="3410"/>
      <c r="IK12" s="3410"/>
      <c r="IL12" s="3410"/>
      <c r="IM12" s="3410"/>
      <c r="IN12" s="3410"/>
      <c r="IO12" s="3410"/>
      <c r="IP12" s="3410"/>
      <c r="IQ12" s="3410"/>
      <c r="IR12" s="3410"/>
      <c r="IS12" s="3410"/>
      <c r="IT12" s="3410"/>
      <c r="IU12" s="3410"/>
      <c r="IV12" s="3410"/>
    </row>
    <row r="13" spans="1:256" s="3409" customFormat="1" ht="20.100000000000001" customHeight="1">
      <c r="A13" s="3414" t="s">
        <v>2680</v>
      </c>
      <c r="B13" s="3415" t="s">
        <v>2734</v>
      </c>
      <c r="C13" s="3416">
        <v>4</v>
      </c>
      <c r="D13" s="3410"/>
      <c r="E13" s="3410"/>
      <c r="F13" s="3410"/>
      <c r="G13" s="3410"/>
      <c r="H13" s="3410"/>
      <c r="I13" s="3424">
        <v>25</v>
      </c>
      <c r="J13" s="3410"/>
      <c r="K13" s="3410"/>
      <c r="L13" s="3410"/>
      <c r="M13" s="3410"/>
      <c r="N13" s="3410"/>
      <c r="O13" s="3410"/>
      <c r="P13" s="3410"/>
      <c r="Q13" s="3410"/>
      <c r="R13" s="3410"/>
      <c r="S13" s="3410"/>
      <c r="T13" s="3410"/>
      <c r="U13" s="3410"/>
      <c r="V13" s="3410"/>
      <c r="W13" s="3410"/>
      <c r="X13" s="3410"/>
      <c r="Y13" s="3410"/>
      <c r="Z13" s="3410"/>
      <c r="AA13" s="3410"/>
      <c r="AB13" s="3410"/>
      <c r="AC13" s="3410"/>
      <c r="AD13" s="3410"/>
      <c r="AE13" s="3410"/>
      <c r="AF13" s="3410"/>
      <c r="AG13" s="3410"/>
      <c r="AH13" s="3410"/>
      <c r="AI13" s="3410"/>
      <c r="AJ13" s="3410"/>
      <c r="AK13" s="3410"/>
      <c r="AL13" s="3410"/>
      <c r="AM13" s="3410"/>
      <c r="AN13" s="3410"/>
      <c r="AO13" s="3410"/>
      <c r="AP13" s="3410"/>
      <c r="AQ13" s="3410"/>
      <c r="AR13" s="3410"/>
      <c r="AS13" s="3410"/>
      <c r="AT13" s="3410"/>
      <c r="AU13" s="3410"/>
      <c r="AV13" s="3410"/>
      <c r="AW13" s="3410"/>
      <c r="AX13" s="3410"/>
      <c r="AY13" s="3410"/>
      <c r="AZ13" s="3410"/>
      <c r="BA13" s="3410"/>
      <c r="BB13" s="3410"/>
      <c r="BC13" s="3410"/>
      <c r="BD13" s="3410"/>
      <c r="BE13" s="3410"/>
      <c r="BF13" s="3410"/>
      <c r="BG13" s="3410"/>
      <c r="BH13" s="3410"/>
      <c r="BI13" s="3410"/>
      <c r="BJ13" s="3410"/>
      <c r="BK13" s="3410"/>
      <c r="BL13" s="3410"/>
      <c r="BM13" s="3410"/>
      <c r="BN13" s="3410"/>
      <c r="BO13" s="3410"/>
      <c r="BP13" s="3410"/>
      <c r="BQ13" s="3410"/>
      <c r="BR13" s="3410"/>
      <c r="BS13" s="3410"/>
      <c r="BT13" s="3410"/>
      <c r="BU13" s="3410"/>
      <c r="BV13" s="3410"/>
      <c r="BW13" s="3410"/>
      <c r="BX13" s="3410"/>
      <c r="BY13" s="3410"/>
      <c r="BZ13" s="3410"/>
      <c r="CA13" s="3410"/>
      <c r="CB13" s="3410"/>
      <c r="CC13" s="3410"/>
      <c r="CD13" s="3410"/>
      <c r="CE13" s="3410"/>
      <c r="CF13" s="3410"/>
      <c r="CG13" s="3410"/>
      <c r="CH13" s="3410"/>
      <c r="CI13" s="3410"/>
      <c r="CJ13" s="3410"/>
      <c r="CK13" s="3410"/>
      <c r="CL13" s="3410"/>
      <c r="CM13" s="3410"/>
      <c r="CN13" s="3410"/>
      <c r="CO13" s="3410"/>
      <c r="CP13" s="3410"/>
      <c r="CQ13" s="3410"/>
      <c r="CR13" s="3410"/>
      <c r="CS13" s="3410"/>
      <c r="CT13" s="3410"/>
      <c r="CU13" s="3410"/>
      <c r="CV13" s="3410"/>
      <c r="CW13" s="3410"/>
      <c r="CX13" s="3410"/>
      <c r="CY13" s="3410"/>
      <c r="CZ13" s="3410"/>
      <c r="DA13" s="3410"/>
      <c r="DB13" s="3410"/>
      <c r="DC13" s="3410"/>
      <c r="DD13" s="3410"/>
      <c r="DE13" s="3410"/>
      <c r="DF13" s="3410"/>
      <c r="DG13" s="3410"/>
      <c r="DH13" s="3410"/>
      <c r="DI13" s="3410"/>
      <c r="DJ13" s="3410"/>
      <c r="DK13" s="3410"/>
      <c r="DL13" s="3410"/>
      <c r="DM13" s="3410"/>
      <c r="DN13" s="3410"/>
      <c r="DO13" s="3410"/>
      <c r="DP13" s="3410"/>
      <c r="DQ13" s="3410"/>
      <c r="DR13" s="3410"/>
      <c r="DS13" s="3410"/>
      <c r="DT13" s="3410"/>
      <c r="DU13" s="3410"/>
      <c r="DV13" s="3410"/>
      <c r="DW13" s="3410"/>
      <c r="DX13" s="3410"/>
      <c r="DY13" s="3410"/>
      <c r="DZ13" s="3410"/>
      <c r="EA13" s="3410"/>
      <c r="EB13" s="3410"/>
      <c r="EC13" s="3410"/>
      <c r="ED13" s="3410"/>
      <c r="EE13" s="3410"/>
      <c r="EF13" s="3410"/>
      <c r="EG13" s="3410"/>
      <c r="EH13" s="3410"/>
      <c r="EI13" s="3410"/>
      <c r="EJ13" s="3410"/>
      <c r="EK13" s="3410"/>
      <c r="EL13" s="3410"/>
      <c r="EM13" s="3410"/>
      <c r="EN13" s="3410"/>
      <c r="EO13" s="3410"/>
      <c r="EP13" s="3410"/>
      <c r="EQ13" s="3410"/>
      <c r="ER13" s="3410"/>
      <c r="ES13" s="3410"/>
      <c r="ET13" s="3410"/>
      <c r="EU13" s="3410"/>
      <c r="EV13" s="3410"/>
      <c r="EW13" s="3410"/>
      <c r="EX13" s="3410"/>
      <c r="EY13" s="3410"/>
      <c r="EZ13" s="3410"/>
      <c r="FA13" s="3410"/>
      <c r="FB13" s="3410"/>
      <c r="FC13" s="3410"/>
      <c r="FD13" s="3410"/>
      <c r="FE13" s="3410"/>
      <c r="FF13" s="3410"/>
      <c r="FG13" s="3410"/>
      <c r="FH13" s="3410"/>
      <c r="FI13" s="3410"/>
      <c r="FJ13" s="3410"/>
      <c r="FK13" s="3410"/>
      <c r="FL13" s="3410"/>
      <c r="FM13" s="3410"/>
      <c r="FN13" s="3410"/>
      <c r="FO13" s="3410"/>
      <c r="FP13" s="3410"/>
      <c r="FQ13" s="3410"/>
      <c r="FR13" s="3410"/>
      <c r="FS13" s="3410"/>
      <c r="FT13" s="3410"/>
      <c r="FU13" s="3410"/>
      <c r="FV13" s="3410"/>
      <c r="FW13" s="3410"/>
      <c r="FX13" s="3410"/>
      <c r="FY13" s="3410"/>
      <c r="FZ13" s="3410"/>
      <c r="GA13" s="3410"/>
      <c r="GB13" s="3410"/>
      <c r="GC13" s="3410"/>
      <c r="GD13" s="3410"/>
      <c r="GE13" s="3410"/>
      <c r="GF13" s="3410"/>
      <c r="GG13" s="3410"/>
      <c r="GH13" s="3410"/>
      <c r="GI13" s="3410"/>
      <c r="GJ13" s="3410"/>
      <c r="GK13" s="3410"/>
      <c r="GL13" s="3410"/>
      <c r="GM13" s="3410"/>
      <c r="GN13" s="3410"/>
      <c r="GO13" s="3410"/>
      <c r="GP13" s="3410"/>
      <c r="GQ13" s="3410"/>
      <c r="GR13" s="3410"/>
      <c r="GS13" s="3410"/>
      <c r="GT13" s="3410"/>
      <c r="GU13" s="3410"/>
      <c r="GV13" s="3410"/>
      <c r="GW13" s="3410"/>
      <c r="GX13" s="3410"/>
      <c r="GY13" s="3410"/>
      <c r="GZ13" s="3410"/>
      <c r="HA13" s="3410"/>
      <c r="HB13" s="3410"/>
      <c r="HC13" s="3410"/>
      <c r="HD13" s="3410"/>
      <c r="HE13" s="3410"/>
      <c r="HF13" s="3410"/>
      <c r="HG13" s="3410"/>
      <c r="HH13" s="3410"/>
      <c r="HI13" s="3410"/>
      <c r="HJ13" s="3410"/>
      <c r="HK13" s="3410"/>
      <c r="HL13" s="3410"/>
      <c r="HM13" s="3410"/>
      <c r="HN13" s="3410"/>
      <c r="HO13" s="3410"/>
      <c r="HP13" s="3410"/>
      <c r="HQ13" s="3410"/>
      <c r="HR13" s="3410"/>
      <c r="HS13" s="3410"/>
      <c r="HT13" s="3410"/>
      <c r="HU13" s="3410"/>
      <c r="HV13" s="3410"/>
      <c r="HW13" s="3410"/>
      <c r="HX13" s="3410"/>
      <c r="HY13" s="3410"/>
      <c r="HZ13" s="3410"/>
      <c r="IA13" s="3410"/>
      <c r="IB13" s="3410"/>
      <c r="IC13" s="3410"/>
      <c r="ID13" s="3410"/>
      <c r="IE13" s="3410"/>
      <c r="IF13" s="3410"/>
      <c r="IG13" s="3410"/>
      <c r="IH13" s="3410"/>
      <c r="II13" s="3410"/>
      <c r="IJ13" s="3410"/>
      <c r="IK13" s="3410"/>
      <c r="IL13" s="3410"/>
      <c r="IM13" s="3410"/>
      <c r="IN13" s="3410"/>
      <c r="IO13" s="3410"/>
      <c r="IP13" s="3410"/>
      <c r="IQ13" s="3410"/>
      <c r="IR13" s="3410"/>
      <c r="IS13" s="3410"/>
      <c r="IT13" s="3410"/>
      <c r="IU13" s="3410"/>
      <c r="IV13" s="3410"/>
    </row>
    <row r="14" spans="1:256" s="3409" customFormat="1" ht="20.100000000000001" customHeight="1">
      <c r="A14" s="3414" t="s">
        <v>2683</v>
      </c>
      <c r="B14" s="3415" t="s">
        <v>2735</v>
      </c>
      <c r="C14" s="3416">
        <v>4</v>
      </c>
      <c r="D14" s="3410"/>
      <c r="E14" s="3410"/>
      <c r="F14" s="3410"/>
      <c r="G14" s="3410"/>
      <c r="H14" s="3410"/>
      <c r="I14" s="3424">
        <v>32</v>
      </c>
      <c r="J14" s="3410"/>
      <c r="K14" s="3410"/>
      <c r="L14" s="3410"/>
      <c r="M14" s="3410"/>
      <c r="N14" s="3410"/>
      <c r="O14" s="3410"/>
      <c r="P14" s="3410"/>
      <c r="Q14" s="3410"/>
      <c r="R14" s="3410"/>
      <c r="S14" s="3410"/>
      <c r="T14" s="3410"/>
      <c r="U14" s="3410"/>
      <c r="V14" s="3410"/>
      <c r="W14" s="3410"/>
      <c r="X14" s="3410"/>
      <c r="Y14" s="3410"/>
      <c r="Z14" s="3410"/>
      <c r="AA14" s="3410"/>
      <c r="AB14" s="3410"/>
      <c r="AC14" s="3410"/>
      <c r="AD14" s="3410"/>
      <c r="AE14" s="3410"/>
      <c r="AF14" s="3410"/>
      <c r="AG14" s="3410"/>
      <c r="AH14" s="3410"/>
      <c r="AI14" s="3410"/>
      <c r="AJ14" s="3410"/>
      <c r="AK14" s="3410"/>
      <c r="AL14" s="3410"/>
      <c r="AM14" s="3410"/>
      <c r="AN14" s="3410"/>
      <c r="AO14" s="3410"/>
      <c r="AP14" s="3410"/>
      <c r="AQ14" s="3410"/>
      <c r="AR14" s="3410"/>
      <c r="AS14" s="3410"/>
      <c r="AT14" s="3410"/>
      <c r="AU14" s="3410"/>
      <c r="AV14" s="3410"/>
      <c r="AW14" s="3410"/>
      <c r="AX14" s="3410"/>
      <c r="AY14" s="3410"/>
      <c r="AZ14" s="3410"/>
      <c r="BA14" s="3410"/>
      <c r="BB14" s="3410"/>
      <c r="BC14" s="3410"/>
      <c r="BD14" s="3410"/>
      <c r="BE14" s="3410"/>
      <c r="BF14" s="3410"/>
      <c r="BG14" s="3410"/>
      <c r="BH14" s="3410"/>
      <c r="BI14" s="3410"/>
      <c r="BJ14" s="3410"/>
      <c r="BK14" s="3410"/>
      <c r="BL14" s="3410"/>
      <c r="BM14" s="3410"/>
      <c r="BN14" s="3410"/>
      <c r="BO14" s="3410"/>
      <c r="BP14" s="3410"/>
      <c r="BQ14" s="3410"/>
      <c r="BR14" s="3410"/>
      <c r="BS14" s="3410"/>
      <c r="BT14" s="3410"/>
      <c r="BU14" s="3410"/>
      <c r="BV14" s="3410"/>
      <c r="BW14" s="3410"/>
      <c r="BX14" s="3410"/>
      <c r="BY14" s="3410"/>
      <c r="BZ14" s="3410"/>
      <c r="CA14" s="3410"/>
      <c r="CB14" s="3410"/>
      <c r="CC14" s="3410"/>
      <c r="CD14" s="3410"/>
      <c r="CE14" s="3410"/>
      <c r="CF14" s="3410"/>
      <c r="CG14" s="3410"/>
      <c r="CH14" s="3410"/>
      <c r="CI14" s="3410"/>
      <c r="CJ14" s="3410"/>
      <c r="CK14" s="3410"/>
      <c r="CL14" s="3410"/>
      <c r="CM14" s="3410"/>
      <c r="CN14" s="3410"/>
      <c r="CO14" s="3410"/>
      <c r="CP14" s="3410"/>
      <c r="CQ14" s="3410"/>
      <c r="CR14" s="3410"/>
      <c r="CS14" s="3410"/>
      <c r="CT14" s="3410"/>
      <c r="CU14" s="3410"/>
      <c r="CV14" s="3410"/>
      <c r="CW14" s="3410"/>
      <c r="CX14" s="3410"/>
      <c r="CY14" s="3410"/>
      <c r="CZ14" s="3410"/>
      <c r="DA14" s="3410"/>
      <c r="DB14" s="3410"/>
      <c r="DC14" s="3410"/>
      <c r="DD14" s="3410"/>
      <c r="DE14" s="3410"/>
      <c r="DF14" s="3410"/>
      <c r="DG14" s="3410"/>
      <c r="DH14" s="3410"/>
      <c r="DI14" s="3410"/>
      <c r="DJ14" s="3410"/>
      <c r="DK14" s="3410"/>
      <c r="DL14" s="3410"/>
      <c r="DM14" s="3410"/>
      <c r="DN14" s="3410"/>
      <c r="DO14" s="3410"/>
      <c r="DP14" s="3410"/>
      <c r="DQ14" s="3410"/>
      <c r="DR14" s="3410"/>
      <c r="DS14" s="3410"/>
      <c r="DT14" s="3410"/>
      <c r="DU14" s="3410"/>
      <c r="DV14" s="3410"/>
      <c r="DW14" s="3410"/>
      <c r="DX14" s="3410"/>
      <c r="DY14" s="3410"/>
      <c r="DZ14" s="3410"/>
      <c r="EA14" s="3410"/>
      <c r="EB14" s="3410"/>
      <c r="EC14" s="3410"/>
      <c r="ED14" s="3410"/>
      <c r="EE14" s="3410"/>
      <c r="EF14" s="3410"/>
      <c r="EG14" s="3410"/>
      <c r="EH14" s="3410"/>
      <c r="EI14" s="3410"/>
      <c r="EJ14" s="3410"/>
      <c r="EK14" s="3410"/>
      <c r="EL14" s="3410"/>
      <c r="EM14" s="3410"/>
      <c r="EN14" s="3410"/>
      <c r="EO14" s="3410"/>
      <c r="EP14" s="3410"/>
      <c r="EQ14" s="3410"/>
      <c r="ER14" s="3410"/>
      <c r="ES14" s="3410"/>
      <c r="ET14" s="3410"/>
      <c r="EU14" s="3410"/>
      <c r="EV14" s="3410"/>
      <c r="EW14" s="3410"/>
      <c r="EX14" s="3410"/>
      <c r="EY14" s="3410"/>
      <c r="EZ14" s="3410"/>
      <c r="FA14" s="3410"/>
      <c r="FB14" s="3410"/>
      <c r="FC14" s="3410"/>
      <c r="FD14" s="3410"/>
      <c r="FE14" s="3410"/>
      <c r="FF14" s="3410"/>
      <c r="FG14" s="3410"/>
      <c r="FH14" s="3410"/>
      <c r="FI14" s="3410"/>
      <c r="FJ14" s="3410"/>
      <c r="FK14" s="3410"/>
      <c r="FL14" s="3410"/>
      <c r="FM14" s="3410"/>
      <c r="FN14" s="3410"/>
      <c r="FO14" s="3410"/>
      <c r="FP14" s="3410"/>
      <c r="FQ14" s="3410"/>
      <c r="FR14" s="3410"/>
      <c r="FS14" s="3410"/>
      <c r="FT14" s="3410"/>
      <c r="FU14" s="3410"/>
      <c r="FV14" s="3410"/>
      <c r="FW14" s="3410"/>
      <c r="FX14" s="3410"/>
      <c r="FY14" s="3410"/>
      <c r="FZ14" s="3410"/>
      <c r="GA14" s="3410"/>
      <c r="GB14" s="3410"/>
      <c r="GC14" s="3410"/>
      <c r="GD14" s="3410"/>
      <c r="GE14" s="3410"/>
      <c r="GF14" s="3410"/>
      <c r="GG14" s="3410"/>
      <c r="GH14" s="3410"/>
      <c r="GI14" s="3410"/>
      <c r="GJ14" s="3410"/>
      <c r="GK14" s="3410"/>
      <c r="GL14" s="3410"/>
      <c r="GM14" s="3410"/>
      <c r="GN14" s="3410"/>
      <c r="GO14" s="3410"/>
      <c r="GP14" s="3410"/>
      <c r="GQ14" s="3410"/>
      <c r="GR14" s="3410"/>
      <c r="GS14" s="3410"/>
      <c r="GT14" s="3410"/>
      <c r="GU14" s="3410"/>
      <c r="GV14" s="3410"/>
      <c r="GW14" s="3410"/>
      <c r="GX14" s="3410"/>
      <c r="GY14" s="3410"/>
      <c r="GZ14" s="3410"/>
      <c r="HA14" s="3410"/>
      <c r="HB14" s="3410"/>
      <c r="HC14" s="3410"/>
      <c r="HD14" s="3410"/>
      <c r="HE14" s="3410"/>
      <c r="HF14" s="3410"/>
      <c r="HG14" s="3410"/>
      <c r="HH14" s="3410"/>
      <c r="HI14" s="3410"/>
      <c r="HJ14" s="3410"/>
      <c r="HK14" s="3410"/>
      <c r="HL14" s="3410"/>
      <c r="HM14" s="3410"/>
      <c r="HN14" s="3410"/>
      <c r="HO14" s="3410"/>
      <c r="HP14" s="3410"/>
      <c r="HQ14" s="3410"/>
      <c r="HR14" s="3410"/>
      <c r="HS14" s="3410"/>
      <c r="HT14" s="3410"/>
      <c r="HU14" s="3410"/>
      <c r="HV14" s="3410"/>
      <c r="HW14" s="3410"/>
      <c r="HX14" s="3410"/>
      <c r="HY14" s="3410"/>
      <c r="HZ14" s="3410"/>
      <c r="IA14" s="3410"/>
      <c r="IB14" s="3410"/>
      <c r="IC14" s="3410"/>
      <c r="ID14" s="3410"/>
      <c r="IE14" s="3410"/>
      <c r="IF14" s="3410"/>
      <c r="IG14" s="3410"/>
      <c r="IH14" s="3410"/>
      <c r="II14" s="3410"/>
      <c r="IJ14" s="3410"/>
      <c r="IK14" s="3410"/>
      <c r="IL14" s="3410"/>
      <c r="IM14" s="3410"/>
      <c r="IN14" s="3410"/>
      <c r="IO14" s="3410"/>
      <c r="IP14" s="3410"/>
      <c r="IQ14" s="3410"/>
      <c r="IR14" s="3410"/>
      <c r="IS14" s="3410"/>
      <c r="IT14" s="3410"/>
      <c r="IU14" s="3410"/>
      <c r="IV14" s="3410"/>
    </row>
    <row r="15" spans="1:256" s="3409" customFormat="1" ht="20.100000000000001" customHeight="1">
      <c r="A15" s="3414" t="s">
        <v>2686</v>
      </c>
      <c r="B15" s="3415" t="s">
        <v>2736</v>
      </c>
      <c r="C15" s="3418">
        <v>0.06</v>
      </c>
      <c r="D15" s="3410" t="s">
        <v>1755</v>
      </c>
      <c r="E15" s="3410" t="s">
        <v>2737</v>
      </c>
      <c r="F15" s="3410"/>
      <c r="G15" s="3410"/>
      <c r="H15" s="3410"/>
      <c r="I15" s="3424">
        <v>40</v>
      </c>
      <c r="J15" s="3410"/>
      <c r="K15" s="3410"/>
      <c r="L15" s="3410"/>
      <c r="M15" s="3410"/>
      <c r="N15" s="3410"/>
      <c r="O15" s="3410"/>
      <c r="P15" s="3410"/>
      <c r="Q15" s="3410"/>
      <c r="R15" s="3410"/>
      <c r="S15" s="3410"/>
      <c r="T15" s="3410"/>
      <c r="U15" s="3410"/>
      <c r="V15" s="3410"/>
      <c r="W15" s="3410"/>
      <c r="X15" s="3410"/>
      <c r="Y15" s="3410"/>
      <c r="Z15" s="3410"/>
      <c r="AA15" s="3410"/>
      <c r="AB15" s="3410"/>
      <c r="AC15" s="3410"/>
      <c r="AD15" s="3410"/>
      <c r="AE15" s="3410"/>
      <c r="AF15" s="3410"/>
      <c r="AG15" s="3410"/>
      <c r="AH15" s="3410"/>
      <c r="AI15" s="3410"/>
      <c r="AJ15" s="3410"/>
      <c r="AK15" s="3410"/>
      <c r="AL15" s="3410"/>
      <c r="AM15" s="3410"/>
      <c r="AN15" s="3410"/>
      <c r="AO15" s="3410"/>
      <c r="AP15" s="3410"/>
      <c r="AQ15" s="3410"/>
      <c r="AR15" s="3410"/>
      <c r="AS15" s="3410"/>
      <c r="AT15" s="3410"/>
      <c r="AU15" s="3410"/>
      <c r="AV15" s="3410"/>
      <c r="AW15" s="3410"/>
      <c r="AX15" s="3410"/>
      <c r="AY15" s="3410"/>
      <c r="AZ15" s="3410"/>
      <c r="BA15" s="3410"/>
      <c r="BB15" s="3410"/>
      <c r="BC15" s="3410"/>
      <c r="BD15" s="3410"/>
      <c r="BE15" s="3410"/>
      <c r="BF15" s="3410"/>
      <c r="BG15" s="3410"/>
      <c r="BH15" s="3410"/>
      <c r="BI15" s="3410"/>
      <c r="BJ15" s="3410"/>
      <c r="BK15" s="3410"/>
      <c r="BL15" s="3410"/>
      <c r="BM15" s="3410"/>
      <c r="BN15" s="3410"/>
      <c r="BO15" s="3410"/>
      <c r="BP15" s="3410"/>
      <c r="BQ15" s="3410"/>
      <c r="BR15" s="3410"/>
      <c r="BS15" s="3410"/>
      <c r="BT15" s="3410"/>
      <c r="BU15" s="3410"/>
      <c r="BV15" s="3410"/>
      <c r="BW15" s="3410"/>
      <c r="BX15" s="3410"/>
      <c r="BY15" s="3410"/>
      <c r="BZ15" s="3410"/>
      <c r="CA15" s="3410"/>
      <c r="CB15" s="3410"/>
      <c r="CC15" s="3410"/>
      <c r="CD15" s="3410"/>
      <c r="CE15" s="3410"/>
      <c r="CF15" s="3410"/>
      <c r="CG15" s="3410"/>
      <c r="CH15" s="3410"/>
      <c r="CI15" s="3410"/>
      <c r="CJ15" s="3410"/>
      <c r="CK15" s="3410"/>
      <c r="CL15" s="3410"/>
      <c r="CM15" s="3410"/>
      <c r="CN15" s="3410"/>
      <c r="CO15" s="3410"/>
      <c r="CP15" s="3410"/>
      <c r="CQ15" s="3410"/>
      <c r="CR15" s="3410"/>
      <c r="CS15" s="3410"/>
      <c r="CT15" s="3410"/>
      <c r="CU15" s="3410"/>
      <c r="CV15" s="3410"/>
      <c r="CW15" s="3410"/>
      <c r="CX15" s="3410"/>
      <c r="CY15" s="3410"/>
      <c r="CZ15" s="3410"/>
      <c r="DA15" s="3410"/>
      <c r="DB15" s="3410"/>
      <c r="DC15" s="3410"/>
      <c r="DD15" s="3410"/>
      <c r="DE15" s="3410"/>
      <c r="DF15" s="3410"/>
      <c r="DG15" s="3410"/>
      <c r="DH15" s="3410"/>
      <c r="DI15" s="3410"/>
      <c r="DJ15" s="3410"/>
      <c r="DK15" s="3410"/>
      <c r="DL15" s="3410"/>
      <c r="DM15" s="3410"/>
      <c r="DN15" s="3410"/>
      <c r="DO15" s="3410"/>
      <c r="DP15" s="3410"/>
      <c r="DQ15" s="3410"/>
      <c r="DR15" s="3410"/>
      <c r="DS15" s="3410"/>
      <c r="DT15" s="3410"/>
      <c r="DU15" s="3410"/>
      <c r="DV15" s="3410"/>
      <c r="DW15" s="3410"/>
      <c r="DX15" s="3410"/>
      <c r="DY15" s="3410"/>
      <c r="DZ15" s="3410"/>
      <c r="EA15" s="3410"/>
      <c r="EB15" s="3410"/>
      <c r="EC15" s="3410"/>
      <c r="ED15" s="3410"/>
      <c r="EE15" s="3410"/>
      <c r="EF15" s="3410"/>
      <c r="EG15" s="3410"/>
      <c r="EH15" s="3410"/>
      <c r="EI15" s="3410"/>
      <c r="EJ15" s="3410"/>
      <c r="EK15" s="3410"/>
      <c r="EL15" s="3410"/>
      <c r="EM15" s="3410"/>
      <c r="EN15" s="3410"/>
      <c r="EO15" s="3410"/>
      <c r="EP15" s="3410"/>
      <c r="EQ15" s="3410"/>
      <c r="ER15" s="3410"/>
      <c r="ES15" s="3410"/>
      <c r="ET15" s="3410"/>
      <c r="EU15" s="3410"/>
      <c r="EV15" s="3410"/>
      <c r="EW15" s="3410"/>
      <c r="EX15" s="3410"/>
      <c r="EY15" s="3410"/>
      <c r="EZ15" s="3410"/>
      <c r="FA15" s="3410"/>
      <c r="FB15" s="3410"/>
      <c r="FC15" s="3410"/>
      <c r="FD15" s="3410"/>
      <c r="FE15" s="3410"/>
      <c r="FF15" s="3410"/>
      <c r="FG15" s="3410"/>
      <c r="FH15" s="3410"/>
      <c r="FI15" s="3410"/>
      <c r="FJ15" s="3410"/>
      <c r="FK15" s="3410"/>
      <c r="FL15" s="3410"/>
      <c r="FM15" s="3410"/>
      <c r="FN15" s="3410"/>
      <c r="FO15" s="3410"/>
      <c r="FP15" s="3410"/>
      <c r="FQ15" s="3410"/>
      <c r="FR15" s="3410"/>
      <c r="FS15" s="3410"/>
      <c r="FT15" s="3410"/>
      <c r="FU15" s="3410"/>
      <c r="FV15" s="3410"/>
      <c r="FW15" s="3410"/>
      <c r="FX15" s="3410"/>
      <c r="FY15" s="3410"/>
      <c r="FZ15" s="3410"/>
      <c r="GA15" s="3410"/>
      <c r="GB15" s="3410"/>
      <c r="GC15" s="3410"/>
      <c r="GD15" s="3410"/>
      <c r="GE15" s="3410"/>
      <c r="GF15" s="3410"/>
      <c r="GG15" s="3410"/>
      <c r="GH15" s="3410"/>
      <c r="GI15" s="3410"/>
      <c r="GJ15" s="3410"/>
      <c r="GK15" s="3410"/>
      <c r="GL15" s="3410"/>
      <c r="GM15" s="3410"/>
      <c r="GN15" s="3410"/>
      <c r="GO15" s="3410"/>
      <c r="GP15" s="3410"/>
      <c r="GQ15" s="3410"/>
      <c r="GR15" s="3410"/>
      <c r="GS15" s="3410"/>
      <c r="GT15" s="3410"/>
      <c r="GU15" s="3410"/>
      <c r="GV15" s="3410"/>
      <c r="GW15" s="3410"/>
      <c r="GX15" s="3410"/>
      <c r="GY15" s="3410"/>
      <c r="GZ15" s="3410"/>
      <c r="HA15" s="3410"/>
      <c r="HB15" s="3410"/>
      <c r="HC15" s="3410"/>
      <c r="HD15" s="3410"/>
      <c r="HE15" s="3410"/>
      <c r="HF15" s="3410"/>
      <c r="HG15" s="3410"/>
      <c r="HH15" s="3410"/>
      <c r="HI15" s="3410"/>
      <c r="HJ15" s="3410"/>
      <c r="HK15" s="3410"/>
      <c r="HL15" s="3410"/>
      <c r="HM15" s="3410"/>
      <c r="HN15" s="3410"/>
      <c r="HO15" s="3410"/>
      <c r="HP15" s="3410"/>
      <c r="HQ15" s="3410"/>
      <c r="HR15" s="3410"/>
      <c r="HS15" s="3410"/>
      <c r="HT15" s="3410"/>
      <c r="HU15" s="3410"/>
      <c r="HV15" s="3410"/>
      <c r="HW15" s="3410"/>
      <c r="HX15" s="3410"/>
      <c r="HY15" s="3410"/>
      <c r="HZ15" s="3410"/>
      <c r="IA15" s="3410"/>
      <c r="IB15" s="3410"/>
      <c r="IC15" s="3410"/>
      <c r="ID15" s="3410"/>
      <c r="IE15" s="3410"/>
      <c r="IF15" s="3410"/>
      <c r="IG15" s="3410"/>
      <c r="IH15" s="3410"/>
      <c r="II15" s="3410"/>
      <c r="IJ15" s="3410"/>
      <c r="IK15" s="3410"/>
      <c r="IL15" s="3410"/>
      <c r="IM15" s="3410"/>
      <c r="IN15" s="3410"/>
      <c r="IO15" s="3410"/>
      <c r="IP15" s="3410"/>
      <c r="IQ15" s="3410"/>
      <c r="IR15" s="3410"/>
      <c r="IS15" s="3410"/>
      <c r="IT15" s="3410"/>
      <c r="IU15" s="3410"/>
      <c r="IV15" s="3410"/>
    </row>
    <row r="16" spans="1:256" s="3409" customFormat="1" ht="20.100000000000001" customHeight="1">
      <c r="A16" s="3412" t="s">
        <v>2696</v>
      </c>
      <c r="B16" s="3413" t="s">
        <v>2738</v>
      </c>
      <c r="C16" s="3410"/>
      <c r="D16" s="3410"/>
      <c r="E16" s="3410"/>
      <c r="F16" s="3410"/>
      <c r="G16" s="3410"/>
      <c r="H16" s="3410"/>
      <c r="I16" s="3424">
        <v>50</v>
      </c>
      <c r="J16" s="3410"/>
      <c r="K16" s="3410"/>
      <c r="L16" s="3410"/>
      <c r="M16" s="3410"/>
      <c r="N16" s="3410"/>
      <c r="O16" s="3410"/>
      <c r="P16" s="3410"/>
      <c r="Q16" s="3410"/>
      <c r="R16" s="3410"/>
      <c r="S16" s="3410"/>
      <c r="T16" s="3410"/>
      <c r="U16" s="3410"/>
      <c r="V16" s="3410"/>
      <c r="W16" s="3410"/>
      <c r="X16" s="3410"/>
      <c r="Y16" s="3410"/>
      <c r="Z16" s="3410"/>
      <c r="AA16" s="3410"/>
      <c r="AB16" s="3410"/>
      <c r="AC16" s="3410"/>
      <c r="AD16" s="3410"/>
      <c r="AE16" s="3410"/>
      <c r="AF16" s="3410"/>
      <c r="AG16" s="3410"/>
      <c r="AH16" s="3410"/>
      <c r="AI16" s="3410"/>
      <c r="AJ16" s="3410"/>
      <c r="AK16" s="3410"/>
      <c r="AL16" s="3410"/>
      <c r="AM16" s="3410"/>
      <c r="AN16" s="3410"/>
      <c r="AO16" s="3410"/>
      <c r="AP16" s="3410"/>
      <c r="AQ16" s="3410"/>
      <c r="AR16" s="3410"/>
      <c r="AS16" s="3410"/>
      <c r="AT16" s="3410"/>
      <c r="AU16" s="3410"/>
      <c r="AV16" s="3410"/>
      <c r="AW16" s="3410"/>
      <c r="AX16" s="3410"/>
      <c r="AY16" s="3410"/>
      <c r="AZ16" s="3410"/>
      <c r="BA16" s="3410"/>
      <c r="BB16" s="3410"/>
      <c r="BC16" s="3410"/>
      <c r="BD16" s="3410"/>
      <c r="BE16" s="3410"/>
      <c r="BF16" s="3410"/>
      <c r="BG16" s="3410"/>
      <c r="BH16" s="3410"/>
      <c r="BI16" s="3410"/>
      <c r="BJ16" s="3410"/>
      <c r="BK16" s="3410"/>
      <c r="BL16" s="3410"/>
      <c r="BM16" s="3410"/>
      <c r="BN16" s="3410"/>
      <c r="BO16" s="3410"/>
      <c r="BP16" s="3410"/>
      <c r="BQ16" s="3410"/>
      <c r="BR16" s="3410"/>
      <c r="BS16" s="3410"/>
      <c r="BT16" s="3410"/>
      <c r="BU16" s="3410"/>
      <c r="BV16" s="3410"/>
      <c r="BW16" s="3410"/>
      <c r="BX16" s="3410"/>
      <c r="BY16" s="3410"/>
      <c r="BZ16" s="3410"/>
      <c r="CA16" s="3410"/>
      <c r="CB16" s="3410"/>
      <c r="CC16" s="3410"/>
      <c r="CD16" s="3410"/>
      <c r="CE16" s="3410"/>
      <c r="CF16" s="3410"/>
      <c r="CG16" s="3410"/>
      <c r="CH16" s="3410"/>
      <c r="CI16" s="3410"/>
      <c r="CJ16" s="3410"/>
      <c r="CK16" s="3410"/>
      <c r="CL16" s="3410"/>
      <c r="CM16" s="3410"/>
      <c r="CN16" s="3410"/>
      <c r="CO16" s="3410"/>
      <c r="CP16" s="3410"/>
      <c r="CQ16" s="3410"/>
      <c r="CR16" s="3410"/>
      <c r="CS16" s="3410"/>
      <c r="CT16" s="3410"/>
      <c r="CU16" s="3410"/>
      <c r="CV16" s="3410"/>
      <c r="CW16" s="3410"/>
      <c r="CX16" s="3410"/>
      <c r="CY16" s="3410"/>
      <c r="CZ16" s="3410"/>
      <c r="DA16" s="3410"/>
      <c r="DB16" s="3410"/>
      <c r="DC16" s="3410"/>
      <c r="DD16" s="3410"/>
      <c r="DE16" s="3410"/>
      <c r="DF16" s="3410"/>
      <c r="DG16" s="3410"/>
      <c r="DH16" s="3410"/>
      <c r="DI16" s="3410"/>
      <c r="DJ16" s="3410"/>
      <c r="DK16" s="3410"/>
      <c r="DL16" s="3410"/>
      <c r="DM16" s="3410"/>
      <c r="DN16" s="3410"/>
      <c r="DO16" s="3410"/>
      <c r="DP16" s="3410"/>
      <c r="DQ16" s="3410"/>
      <c r="DR16" s="3410"/>
      <c r="DS16" s="3410"/>
      <c r="DT16" s="3410"/>
      <c r="DU16" s="3410"/>
      <c r="DV16" s="3410"/>
      <c r="DW16" s="3410"/>
      <c r="DX16" s="3410"/>
      <c r="DY16" s="3410"/>
      <c r="DZ16" s="3410"/>
      <c r="EA16" s="3410"/>
      <c r="EB16" s="3410"/>
      <c r="EC16" s="3410"/>
      <c r="ED16" s="3410"/>
      <c r="EE16" s="3410"/>
      <c r="EF16" s="3410"/>
      <c r="EG16" s="3410"/>
      <c r="EH16" s="3410"/>
      <c r="EI16" s="3410"/>
      <c r="EJ16" s="3410"/>
      <c r="EK16" s="3410"/>
      <c r="EL16" s="3410"/>
      <c r="EM16" s="3410"/>
      <c r="EN16" s="3410"/>
      <c r="EO16" s="3410"/>
      <c r="EP16" s="3410"/>
      <c r="EQ16" s="3410"/>
      <c r="ER16" s="3410"/>
      <c r="ES16" s="3410"/>
      <c r="ET16" s="3410"/>
      <c r="EU16" s="3410"/>
      <c r="EV16" s="3410"/>
      <c r="EW16" s="3410"/>
      <c r="EX16" s="3410"/>
      <c r="EY16" s="3410"/>
      <c r="EZ16" s="3410"/>
      <c r="FA16" s="3410"/>
      <c r="FB16" s="3410"/>
      <c r="FC16" s="3410"/>
      <c r="FD16" s="3410"/>
      <c r="FE16" s="3410"/>
      <c r="FF16" s="3410"/>
      <c r="FG16" s="3410"/>
      <c r="FH16" s="3410"/>
      <c r="FI16" s="3410"/>
      <c r="FJ16" s="3410"/>
      <c r="FK16" s="3410"/>
      <c r="FL16" s="3410"/>
      <c r="FM16" s="3410"/>
      <c r="FN16" s="3410"/>
      <c r="FO16" s="3410"/>
      <c r="FP16" s="3410"/>
      <c r="FQ16" s="3410"/>
      <c r="FR16" s="3410"/>
      <c r="FS16" s="3410"/>
      <c r="FT16" s="3410"/>
      <c r="FU16" s="3410"/>
      <c r="FV16" s="3410"/>
      <c r="FW16" s="3410"/>
      <c r="FX16" s="3410"/>
      <c r="FY16" s="3410"/>
      <c r="FZ16" s="3410"/>
      <c r="GA16" s="3410"/>
      <c r="GB16" s="3410"/>
      <c r="GC16" s="3410"/>
      <c r="GD16" s="3410"/>
      <c r="GE16" s="3410"/>
      <c r="GF16" s="3410"/>
      <c r="GG16" s="3410"/>
      <c r="GH16" s="3410"/>
      <c r="GI16" s="3410"/>
      <c r="GJ16" s="3410"/>
      <c r="GK16" s="3410"/>
      <c r="GL16" s="3410"/>
      <c r="GM16" s="3410"/>
      <c r="GN16" s="3410"/>
      <c r="GO16" s="3410"/>
      <c r="GP16" s="3410"/>
      <c r="GQ16" s="3410"/>
      <c r="GR16" s="3410"/>
      <c r="GS16" s="3410"/>
      <c r="GT16" s="3410"/>
      <c r="GU16" s="3410"/>
      <c r="GV16" s="3410"/>
      <c r="GW16" s="3410"/>
      <c r="GX16" s="3410"/>
      <c r="GY16" s="3410"/>
      <c r="GZ16" s="3410"/>
      <c r="HA16" s="3410"/>
      <c r="HB16" s="3410"/>
      <c r="HC16" s="3410"/>
      <c r="HD16" s="3410"/>
      <c r="HE16" s="3410"/>
      <c r="HF16" s="3410"/>
      <c r="HG16" s="3410"/>
      <c r="HH16" s="3410"/>
      <c r="HI16" s="3410"/>
      <c r="HJ16" s="3410"/>
      <c r="HK16" s="3410"/>
      <c r="HL16" s="3410"/>
      <c r="HM16" s="3410"/>
      <c r="HN16" s="3410"/>
      <c r="HO16" s="3410"/>
      <c r="HP16" s="3410"/>
      <c r="HQ16" s="3410"/>
      <c r="HR16" s="3410"/>
      <c r="HS16" s="3410"/>
      <c r="HT16" s="3410"/>
      <c r="HU16" s="3410"/>
      <c r="HV16" s="3410"/>
      <c r="HW16" s="3410"/>
      <c r="HX16" s="3410"/>
      <c r="HY16" s="3410"/>
      <c r="HZ16" s="3410"/>
      <c r="IA16" s="3410"/>
      <c r="IB16" s="3410"/>
      <c r="IC16" s="3410"/>
      <c r="ID16" s="3410"/>
      <c r="IE16" s="3410"/>
      <c r="IF16" s="3410"/>
      <c r="IG16" s="3410"/>
      <c r="IH16" s="3410"/>
      <c r="II16" s="3410"/>
      <c r="IJ16" s="3410"/>
      <c r="IK16" s="3410"/>
      <c r="IL16" s="3410"/>
      <c r="IM16" s="3410"/>
      <c r="IN16" s="3410"/>
      <c r="IO16" s="3410"/>
      <c r="IP16" s="3410"/>
      <c r="IQ16" s="3410"/>
      <c r="IR16" s="3410"/>
      <c r="IS16" s="3410"/>
      <c r="IT16" s="3410"/>
      <c r="IU16" s="3410"/>
      <c r="IV16" s="3410"/>
    </row>
    <row r="17" spans="1:256" s="3409" customFormat="1" ht="20.100000000000001" customHeight="1">
      <c r="A17" s="3414" t="s">
        <v>2677</v>
      </c>
      <c r="B17" s="3419" t="s">
        <v>2739</v>
      </c>
      <c r="C17" s="3420">
        <f>ROUND(SQRT(4*E12*C13/PI()/C14/C15),0)</f>
        <v>64</v>
      </c>
      <c r="D17" s="3410" t="s">
        <v>234</v>
      </c>
      <c r="E17" s="3410"/>
      <c r="F17" s="3410"/>
      <c r="G17" s="3410"/>
      <c r="H17" s="3410"/>
      <c r="I17" s="3424">
        <v>63</v>
      </c>
      <c r="J17" s="3410"/>
      <c r="K17" s="3410"/>
      <c r="L17" s="3410"/>
      <c r="M17" s="3410"/>
      <c r="N17" s="3410"/>
      <c r="O17" s="3410"/>
      <c r="P17" s="3410"/>
      <c r="Q17" s="3410"/>
      <c r="R17" s="3410"/>
      <c r="S17" s="3410"/>
      <c r="T17" s="3410"/>
      <c r="U17" s="3410"/>
      <c r="V17" s="3410"/>
      <c r="W17" s="3410"/>
      <c r="X17" s="3410"/>
      <c r="Y17" s="3410"/>
      <c r="Z17" s="3410"/>
      <c r="AA17" s="3410"/>
      <c r="AB17" s="3410"/>
      <c r="AC17" s="3410"/>
      <c r="AD17" s="3410"/>
      <c r="AE17" s="3410"/>
      <c r="AF17" s="3410"/>
      <c r="AG17" s="3410"/>
      <c r="AH17" s="3410"/>
      <c r="AI17" s="3410"/>
      <c r="AJ17" s="3410"/>
      <c r="AK17" s="3410"/>
      <c r="AL17" s="3410"/>
      <c r="AM17" s="3410"/>
      <c r="AN17" s="3410"/>
      <c r="AO17" s="3410"/>
      <c r="AP17" s="3410"/>
      <c r="AQ17" s="3410"/>
      <c r="AR17" s="3410"/>
      <c r="AS17" s="3410"/>
      <c r="AT17" s="3410"/>
      <c r="AU17" s="3410"/>
      <c r="AV17" s="3410"/>
      <c r="AW17" s="3410"/>
      <c r="AX17" s="3410"/>
      <c r="AY17" s="3410"/>
      <c r="AZ17" s="3410"/>
      <c r="BA17" s="3410"/>
      <c r="BB17" s="3410"/>
      <c r="BC17" s="3410"/>
      <c r="BD17" s="3410"/>
      <c r="BE17" s="3410"/>
      <c r="BF17" s="3410"/>
      <c r="BG17" s="3410"/>
      <c r="BH17" s="3410"/>
      <c r="BI17" s="3410"/>
      <c r="BJ17" s="3410"/>
      <c r="BK17" s="3410"/>
      <c r="BL17" s="3410"/>
      <c r="BM17" s="3410"/>
      <c r="BN17" s="3410"/>
      <c r="BO17" s="3410"/>
      <c r="BP17" s="3410"/>
      <c r="BQ17" s="3410"/>
      <c r="BR17" s="3410"/>
      <c r="BS17" s="3410"/>
      <c r="BT17" s="3410"/>
      <c r="BU17" s="3410"/>
      <c r="BV17" s="3410"/>
      <c r="BW17" s="3410"/>
      <c r="BX17" s="3410"/>
      <c r="BY17" s="3410"/>
      <c r="BZ17" s="3410"/>
      <c r="CA17" s="3410"/>
      <c r="CB17" s="3410"/>
      <c r="CC17" s="3410"/>
      <c r="CD17" s="3410"/>
      <c r="CE17" s="3410"/>
      <c r="CF17" s="3410"/>
      <c r="CG17" s="3410"/>
      <c r="CH17" s="3410"/>
      <c r="CI17" s="3410"/>
      <c r="CJ17" s="3410"/>
      <c r="CK17" s="3410"/>
      <c r="CL17" s="3410"/>
      <c r="CM17" s="3410"/>
      <c r="CN17" s="3410"/>
      <c r="CO17" s="3410"/>
      <c r="CP17" s="3410"/>
      <c r="CQ17" s="3410"/>
      <c r="CR17" s="3410"/>
      <c r="CS17" s="3410"/>
      <c r="CT17" s="3410"/>
      <c r="CU17" s="3410"/>
      <c r="CV17" s="3410"/>
      <c r="CW17" s="3410"/>
      <c r="CX17" s="3410"/>
      <c r="CY17" s="3410"/>
      <c r="CZ17" s="3410"/>
      <c r="DA17" s="3410"/>
      <c r="DB17" s="3410"/>
      <c r="DC17" s="3410"/>
      <c r="DD17" s="3410"/>
      <c r="DE17" s="3410"/>
      <c r="DF17" s="3410"/>
      <c r="DG17" s="3410"/>
      <c r="DH17" s="3410"/>
      <c r="DI17" s="3410"/>
      <c r="DJ17" s="3410"/>
      <c r="DK17" s="3410"/>
      <c r="DL17" s="3410"/>
      <c r="DM17" s="3410"/>
      <c r="DN17" s="3410"/>
      <c r="DO17" s="3410"/>
      <c r="DP17" s="3410"/>
      <c r="DQ17" s="3410"/>
      <c r="DR17" s="3410"/>
      <c r="DS17" s="3410"/>
      <c r="DT17" s="3410"/>
      <c r="DU17" s="3410"/>
      <c r="DV17" s="3410"/>
      <c r="DW17" s="3410"/>
      <c r="DX17" s="3410"/>
      <c r="DY17" s="3410"/>
      <c r="DZ17" s="3410"/>
      <c r="EA17" s="3410"/>
      <c r="EB17" s="3410"/>
      <c r="EC17" s="3410"/>
      <c r="ED17" s="3410"/>
      <c r="EE17" s="3410"/>
      <c r="EF17" s="3410"/>
      <c r="EG17" s="3410"/>
      <c r="EH17" s="3410"/>
      <c r="EI17" s="3410"/>
      <c r="EJ17" s="3410"/>
      <c r="EK17" s="3410"/>
      <c r="EL17" s="3410"/>
      <c r="EM17" s="3410"/>
      <c r="EN17" s="3410"/>
      <c r="EO17" s="3410"/>
      <c r="EP17" s="3410"/>
      <c r="EQ17" s="3410"/>
      <c r="ER17" s="3410"/>
      <c r="ES17" s="3410"/>
      <c r="ET17" s="3410"/>
      <c r="EU17" s="3410"/>
      <c r="EV17" s="3410"/>
      <c r="EW17" s="3410"/>
      <c r="EX17" s="3410"/>
      <c r="EY17" s="3410"/>
      <c r="EZ17" s="3410"/>
      <c r="FA17" s="3410"/>
      <c r="FB17" s="3410"/>
      <c r="FC17" s="3410"/>
      <c r="FD17" s="3410"/>
      <c r="FE17" s="3410"/>
      <c r="FF17" s="3410"/>
      <c r="FG17" s="3410"/>
      <c r="FH17" s="3410"/>
      <c r="FI17" s="3410"/>
      <c r="FJ17" s="3410"/>
      <c r="FK17" s="3410"/>
      <c r="FL17" s="3410"/>
      <c r="FM17" s="3410"/>
      <c r="FN17" s="3410"/>
      <c r="FO17" s="3410"/>
      <c r="FP17" s="3410"/>
      <c r="FQ17" s="3410"/>
      <c r="FR17" s="3410"/>
      <c r="FS17" s="3410"/>
      <c r="FT17" s="3410"/>
      <c r="FU17" s="3410"/>
      <c r="FV17" s="3410"/>
      <c r="FW17" s="3410"/>
      <c r="FX17" s="3410"/>
      <c r="FY17" s="3410"/>
      <c r="FZ17" s="3410"/>
      <c r="GA17" s="3410"/>
      <c r="GB17" s="3410"/>
      <c r="GC17" s="3410"/>
      <c r="GD17" s="3410"/>
      <c r="GE17" s="3410"/>
      <c r="GF17" s="3410"/>
      <c r="GG17" s="3410"/>
      <c r="GH17" s="3410"/>
      <c r="GI17" s="3410"/>
      <c r="GJ17" s="3410"/>
      <c r="GK17" s="3410"/>
      <c r="GL17" s="3410"/>
      <c r="GM17" s="3410"/>
      <c r="GN17" s="3410"/>
      <c r="GO17" s="3410"/>
      <c r="GP17" s="3410"/>
      <c r="GQ17" s="3410"/>
      <c r="GR17" s="3410"/>
      <c r="GS17" s="3410"/>
      <c r="GT17" s="3410"/>
      <c r="GU17" s="3410"/>
      <c r="GV17" s="3410"/>
      <c r="GW17" s="3410"/>
      <c r="GX17" s="3410"/>
      <c r="GY17" s="3410"/>
      <c r="GZ17" s="3410"/>
      <c r="HA17" s="3410"/>
      <c r="HB17" s="3410"/>
      <c r="HC17" s="3410"/>
      <c r="HD17" s="3410"/>
      <c r="HE17" s="3410"/>
      <c r="HF17" s="3410"/>
      <c r="HG17" s="3410"/>
      <c r="HH17" s="3410"/>
      <c r="HI17" s="3410"/>
      <c r="HJ17" s="3410"/>
      <c r="HK17" s="3410"/>
      <c r="HL17" s="3410"/>
      <c r="HM17" s="3410"/>
      <c r="HN17" s="3410"/>
      <c r="HO17" s="3410"/>
      <c r="HP17" s="3410"/>
      <c r="HQ17" s="3410"/>
      <c r="HR17" s="3410"/>
      <c r="HS17" s="3410"/>
      <c r="HT17" s="3410"/>
      <c r="HU17" s="3410"/>
      <c r="HV17" s="3410"/>
      <c r="HW17" s="3410"/>
      <c r="HX17" s="3410"/>
      <c r="HY17" s="3410"/>
      <c r="HZ17" s="3410"/>
      <c r="IA17" s="3410"/>
      <c r="IB17" s="3410"/>
      <c r="IC17" s="3410"/>
      <c r="ID17" s="3410"/>
      <c r="IE17" s="3410"/>
      <c r="IF17" s="3410"/>
      <c r="IG17" s="3410"/>
      <c r="IH17" s="3410"/>
      <c r="II17" s="3410"/>
      <c r="IJ17" s="3410"/>
      <c r="IK17" s="3410"/>
      <c r="IL17" s="3410"/>
      <c r="IM17" s="3410"/>
      <c r="IN17" s="3410"/>
      <c r="IO17" s="3410"/>
      <c r="IP17" s="3410"/>
      <c r="IQ17" s="3410"/>
      <c r="IR17" s="3410"/>
      <c r="IS17" s="3410"/>
      <c r="IT17" s="3410"/>
      <c r="IU17" s="3410"/>
      <c r="IV17" s="3410"/>
    </row>
    <row r="18" spans="1:256" s="3409" customFormat="1" ht="20.100000000000001" customHeight="1">
      <c r="A18" s="3414" t="s">
        <v>2680</v>
      </c>
      <c r="B18" s="3415" t="s">
        <v>2740</v>
      </c>
      <c r="C18" s="3420">
        <f>VLOOKUP(C17,I5:I20,1,TRUE)</f>
        <v>63</v>
      </c>
      <c r="D18" s="3410" t="s">
        <v>234</v>
      </c>
      <c r="E18" s="3410"/>
      <c r="F18" s="3410"/>
      <c r="G18" s="3410"/>
      <c r="H18" s="3410"/>
      <c r="I18" s="3424">
        <v>80</v>
      </c>
      <c r="J18" s="3410"/>
      <c r="K18" s="3410"/>
      <c r="L18" s="3410"/>
      <c r="M18" s="3410"/>
      <c r="N18" s="3410"/>
      <c r="O18" s="3410"/>
      <c r="P18" s="3410"/>
      <c r="Q18" s="3410"/>
      <c r="R18" s="3410"/>
      <c r="S18" s="3410"/>
      <c r="T18" s="3410"/>
      <c r="U18" s="3410"/>
      <c r="V18" s="3410"/>
      <c r="W18" s="3410"/>
      <c r="X18" s="3410"/>
      <c r="Y18" s="3410"/>
      <c r="Z18" s="3410"/>
      <c r="AA18" s="3410"/>
      <c r="AB18" s="3410"/>
      <c r="AC18" s="3410"/>
      <c r="AD18" s="3410"/>
      <c r="AE18" s="3410"/>
      <c r="AF18" s="3410"/>
      <c r="AG18" s="3410"/>
      <c r="AH18" s="3410"/>
      <c r="AI18" s="3410"/>
      <c r="AJ18" s="3410"/>
      <c r="AK18" s="3410"/>
      <c r="AL18" s="3410"/>
      <c r="AM18" s="3410"/>
      <c r="AN18" s="3410"/>
      <c r="AO18" s="3410"/>
      <c r="AP18" s="3410"/>
      <c r="AQ18" s="3410"/>
      <c r="AR18" s="3410"/>
      <c r="AS18" s="3410"/>
      <c r="AT18" s="3410"/>
      <c r="AU18" s="3410"/>
      <c r="AV18" s="3410"/>
      <c r="AW18" s="3410"/>
      <c r="AX18" s="3410"/>
      <c r="AY18" s="3410"/>
      <c r="AZ18" s="3410"/>
      <c r="BA18" s="3410"/>
      <c r="BB18" s="3410"/>
      <c r="BC18" s="3410"/>
      <c r="BD18" s="3410"/>
      <c r="BE18" s="3410"/>
      <c r="BF18" s="3410"/>
      <c r="BG18" s="3410"/>
      <c r="BH18" s="3410"/>
      <c r="BI18" s="3410"/>
      <c r="BJ18" s="3410"/>
      <c r="BK18" s="3410"/>
      <c r="BL18" s="3410"/>
      <c r="BM18" s="3410"/>
      <c r="BN18" s="3410"/>
      <c r="BO18" s="3410"/>
      <c r="BP18" s="3410"/>
      <c r="BQ18" s="3410"/>
      <c r="BR18" s="3410"/>
      <c r="BS18" s="3410"/>
      <c r="BT18" s="3410"/>
      <c r="BU18" s="3410"/>
      <c r="BV18" s="3410"/>
      <c r="BW18" s="3410"/>
      <c r="BX18" s="3410"/>
      <c r="BY18" s="3410"/>
      <c r="BZ18" s="3410"/>
      <c r="CA18" s="3410"/>
      <c r="CB18" s="3410"/>
      <c r="CC18" s="3410"/>
      <c r="CD18" s="3410"/>
      <c r="CE18" s="3410"/>
      <c r="CF18" s="3410"/>
      <c r="CG18" s="3410"/>
      <c r="CH18" s="3410"/>
      <c r="CI18" s="3410"/>
      <c r="CJ18" s="3410"/>
      <c r="CK18" s="3410"/>
      <c r="CL18" s="3410"/>
      <c r="CM18" s="3410"/>
      <c r="CN18" s="3410"/>
      <c r="CO18" s="3410"/>
      <c r="CP18" s="3410"/>
      <c r="CQ18" s="3410"/>
      <c r="CR18" s="3410"/>
      <c r="CS18" s="3410"/>
      <c r="CT18" s="3410"/>
      <c r="CU18" s="3410"/>
      <c r="CV18" s="3410"/>
      <c r="CW18" s="3410"/>
      <c r="CX18" s="3410"/>
      <c r="CY18" s="3410"/>
      <c r="CZ18" s="3410"/>
      <c r="DA18" s="3410"/>
      <c r="DB18" s="3410"/>
      <c r="DC18" s="3410"/>
      <c r="DD18" s="3410"/>
      <c r="DE18" s="3410"/>
      <c r="DF18" s="3410"/>
      <c r="DG18" s="3410"/>
      <c r="DH18" s="3410"/>
      <c r="DI18" s="3410"/>
      <c r="DJ18" s="3410"/>
      <c r="DK18" s="3410"/>
      <c r="DL18" s="3410"/>
      <c r="DM18" s="3410"/>
      <c r="DN18" s="3410"/>
      <c r="DO18" s="3410"/>
      <c r="DP18" s="3410"/>
      <c r="DQ18" s="3410"/>
      <c r="DR18" s="3410"/>
      <c r="DS18" s="3410"/>
      <c r="DT18" s="3410"/>
      <c r="DU18" s="3410"/>
      <c r="DV18" s="3410"/>
      <c r="DW18" s="3410"/>
      <c r="DX18" s="3410"/>
      <c r="DY18" s="3410"/>
      <c r="DZ18" s="3410"/>
      <c r="EA18" s="3410"/>
      <c r="EB18" s="3410"/>
      <c r="EC18" s="3410"/>
      <c r="ED18" s="3410"/>
      <c r="EE18" s="3410"/>
      <c r="EF18" s="3410"/>
      <c r="EG18" s="3410"/>
      <c r="EH18" s="3410"/>
      <c r="EI18" s="3410"/>
      <c r="EJ18" s="3410"/>
      <c r="EK18" s="3410"/>
      <c r="EL18" s="3410"/>
      <c r="EM18" s="3410"/>
      <c r="EN18" s="3410"/>
      <c r="EO18" s="3410"/>
      <c r="EP18" s="3410"/>
      <c r="EQ18" s="3410"/>
      <c r="ER18" s="3410"/>
      <c r="ES18" s="3410"/>
      <c r="ET18" s="3410"/>
      <c r="EU18" s="3410"/>
      <c r="EV18" s="3410"/>
      <c r="EW18" s="3410"/>
      <c r="EX18" s="3410"/>
      <c r="EY18" s="3410"/>
      <c r="EZ18" s="3410"/>
      <c r="FA18" s="3410"/>
      <c r="FB18" s="3410"/>
      <c r="FC18" s="3410"/>
      <c r="FD18" s="3410"/>
      <c r="FE18" s="3410"/>
      <c r="FF18" s="3410"/>
      <c r="FG18" s="3410"/>
      <c r="FH18" s="3410"/>
      <c r="FI18" s="3410"/>
      <c r="FJ18" s="3410"/>
      <c r="FK18" s="3410"/>
      <c r="FL18" s="3410"/>
      <c r="FM18" s="3410"/>
      <c r="FN18" s="3410"/>
      <c r="FO18" s="3410"/>
      <c r="FP18" s="3410"/>
      <c r="FQ18" s="3410"/>
      <c r="FR18" s="3410"/>
      <c r="FS18" s="3410"/>
      <c r="FT18" s="3410"/>
      <c r="FU18" s="3410"/>
      <c r="FV18" s="3410"/>
      <c r="FW18" s="3410"/>
      <c r="FX18" s="3410"/>
      <c r="FY18" s="3410"/>
      <c r="FZ18" s="3410"/>
      <c r="GA18" s="3410"/>
      <c r="GB18" s="3410"/>
      <c r="GC18" s="3410"/>
      <c r="GD18" s="3410"/>
      <c r="GE18" s="3410"/>
      <c r="GF18" s="3410"/>
      <c r="GG18" s="3410"/>
      <c r="GH18" s="3410"/>
      <c r="GI18" s="3410"/>
      <c r="GJ18" s="3410"/>
      <c r="GK18" s="3410"/>
      <c r="GL18" s="3410"/>
      <c r="GM18" s="3410"/>
      <c r="GN18" s="3410"/>
      <c r="GO18" s="3410"/>
      <c r="GP18" s="3410"/>
      <c r="GQ18" s="3410"/>
      <c r="GR18" s="3410"/>
      <c r="GS18" s="3410"/>
      <c r="GT18" s="3410"/>
      <c r="GU18" s="3410"/>
      <c r="GV18" s="3410"/>
      <c r="GW18" s="3410"/>
      <c r="GX18" s="3410"/>
      <c r="GY18" s="3410"/>
      <c r="GZ18" s="3410"/>
      <c r="HA18" s="3410"/>
      <c r="HB18" s="3410"/>
      <c r="HC18" s="3410"/>
      <c r="HD18" s="3410"/>
      <c r="HE18" s="3410"/>
      <c r="HF18" s="3410"/>
      <c r="HG18" s="3410"/>
      <c r="HH18" s="3410"/>
      <c r="HI18" s="3410"/>
      <c r="HJ18" s="3410"/>
      <c r="HK18" s="3410"/>
      <c r="HL18" s="3410"/>
      <c r="HM18" s="3410"/>
      <c r="HN18" s="3410"/>
      <c r="HO18" s="3410"/>
      <c r="HP18" s="3410"/>
      <c r="HQ18" s="3410"/>
      <c r="HR18" s="3410"/>
      <c r="HS18" s="3410"/>
      <c r="HT18" s="3410"/>
      <c r="HU18" s="3410"/>
      <c r="HV18" s="3410"/>
      <c r="HW18" s="3410"/>
      <c r="HX18" s="3410"/>
      <c r="HY18" s="3410"/>
      <c r="HZ18" s="3410"/>
      <c r="IA18" s="3410"/>
      <c r="IB18" s="3410"/>
      <c r="IC18" s="3410"/>
      <c r="ID18" s="3410"/>
      <c r="IE18" s="3410"/>
      <c r="IF18" s="3410"/>
      <c r="IG18" s="3410"/>
      <c r="IH18" s="3410"/>
      <c r="II18" s="3410"/>
      <c r="IJ18" s="3410"/>
      <c r="IK18" s="3410"/>
      <c r="IL18" s="3410"/>
      <c r="IM18" s="3410"/>
      <c r="IN18" s="3410"/>
      <c r="IO18" s="3410"/>
      <c r="IP18" s="3410"/>
      <c r="IQ18" s="3410"/>
      <c r="IR18" s="3410"/>
      <c r="IS18" s="3410"/>
      <c r="IT18" s="3410"/>
      <c r="IU18" s="3410"/>
      <c r="IV18" s="3410"/>
    </row>
    <row r="19" spans="1:256" s="3409" customFormat="1" ht="20.100000000000001" customHeight="1">
      <c r="A19" s="3412" t="s">
        <v>2741</v>
      </c>
      <c r="B19" s="3413" t="s">
        <v>2742</v>
      </c>
      <c r="C19" s="3410"/>
      <c r="D19" s="3410"/>
      <c r="E19" s="3410"/>
      <c r="F19" s="3410"/>
      <c r="G19" s="3410"/>
      <c r="H19" s="3410"/>
      <c r="I19" s="3424">
        <v>100</v>
      </c>
      <c r="J19" s="3410"/>
      <c r="K19" s="3410"/>
      <c r="L19" s="3410"/>
      <c r="M19" s="3410"/>
      <c r="N19" s="3410"/>
      <c r="O19" s="3410"/>
      <c r="P19" s="3410"/>
      <c r="Q19" s="3410"/>
      <c r="R19" s="3410"/>
      <c r="S19" s="3410"/>
      <c r="T19" s="3410"/>
      <c r="U19" s="3410"/>
      <c r="V19" s="3410"/>
      <c r="W19" s="3410"/>
      <c r="X19" s="3410"/>
      <c r="Y19" s="3410"/>
      <c r="Z19" s="3410"/>
      <c r="AA19" s="3410"/>
      <c r="AB19" s="3410"/>
      <c r="AC19" s="3410"/>
      <c r="AD19" s="3410"/>
      <c r="AE19" s="3410"/>
      <c r="AF19" s="3410"/>
      <c r="AG19" s="3410"/>
      <c r="AH19" s="3410"/>
      <c r="AI19" s="3410"/>
      <c r="AJ19" s="3410"/>
      <c r="AK19" s="3410"/>
      <c r="AL19" s="3410"/>
      <c r="AM19" s="3410"/>
      <c r="AN19" s="3410"/>
      <c r="AO19" s="3410"/>
      <c r="AP19" s="3410"/>
      <c r="AQ19" s="3410"/>
      <c r="AR19" s="3410"/>
      <c r="AS19" s="3410"/>
      <c r="AT19" s="3410"/>
      <c r="AU19" s="3410"/>
      <c r="AV19" s="3410"/>
      <c r="AW19" s="3410"/>
      <c r="AX19" s="3410"/>
      <c r="AY19" s="3410"/>
      <c r="AZ19" s="3410"/>
      <c r="BA19" s="3410"/>
      <c r="BB19" s="3410"/>
      <c r="BC19" s="3410"/>
      <c r="BD19" s="3410"/>
      <c r="BE19" s="3410"/>
      <c r="BF19" s="3410"/>
      <c r="BG19" s="3410"/>
      <c r="BH19" s="3410"/>
      <c r="BI19" s="3410"/>
      <c r="BJ19" s="3410"/>
      <c r="BK19" s="3410"/>
      <c r="BL19" s="3410"/>
      <c r="BM19" s="3410"/>
      <c r="BN19" s="3410"/>
      <c r="BO19" s="3410"/>
      <c r="BP19" s="3410"/>
      <c r="BQ19" s="3410"/>
      <c r="BR19" s="3410"/>
      <c r="BS19" s="3410"/>
      <c r="BT19" s="3410"/>
      <c r="BU19" s="3410"/>
      <c r="BV19" s="3410"/>
      <c r="BW19" s="3410"/>
      <c r="BX19" s="3410"/>
      <c r="BY19" s="3410"/>
      <c r="BZ19" s="3410"/>
      <c r="CA19" s="3410"/>
      <c r="CB19" s="3410"/>
      <c r="CC19" s="3410"/>
      <c r="CD19" s="3410"/>
      <c r="CE19" s="3410"/>
      <c r="CF19" s="3410"/>
      <c r="CG19" s="3410"/>
      <c r="CH19" s="3410"/>
      <c r="CI19" s="3410"/>
      <c r="CJ19" s="3410"/>
      <c r="CK19" s="3410"/>
      <c r="CL19" s="3410"/>
      <c r="CM19" s="3410"/>
      <c r="CN19" s="3410"/>
      <c r="CO19" s="3410"/>
      <c r="CP19" s="3410"/>
      <c r="CQ19" s="3410"/>
      <c r="CR19" s="3410"/>
      <c r="CS19" s="3410"/>
      <c r="CT19" s="3410"/>
      <c r="CU19" s="3410"/>
      <c r="CV19" s="3410"/>
      <c r="CW19" s="3410"/>
      <c r="CX19" s="3410"/>
      <c r="CY19" s="3410"/>
      <c r="CZ19" s="3410"/>
      <c r="DA19" s="3410"/>
      <c r="DB19" s="3410"/>
      <c r="DC19" s="3410"/>
      <c r="DD19" s="3410"/>
      <c r="DE19" s="3410"/>
      <c r="DF19" s="3410"/>
      <c r="DG19" s="3410"/>
      <c r="DH19" s="3410"/>
      <c r="DI19" s="3410"/>
      <c r="DJ19" s="3410"/>
      <c r="DK19" s="3410"/>
      <c r="DL19" s="3410"/>
      <c r="DM19" s="3410"/>
      <c r="DN19" s="3410"/>
      <c r="DO19" s="3410"/>
      <c r="DP19" s="3410"/>
      <c r="DQ19" s="3410"/>
      <c r="DR19" s="3410"/>
      <c r="DS19" s="3410"/>
      <c r="DT19" s="3410"/>
      <c r="DU19" s="3410"/>
      <c r="DV19" s="3410"/>
      <c r="DW19" s="3410"/>
      <c r="DX19" s="3410"/>
      <c r="DY19" s="3410"/>
      <c r="DZ19" s="3410"/>
      <c r="EA19" s="3410"/>
      <c r="EB19" s="3410"/>
      <c r="EC19" s="3410"/>
      <c r="ED19" s="3410"/>
      <c r="EE19" s="3410"/>
      <c r="EF19" s="3410"/>
      <c r="EG19" s="3410"/>
      <c r="EH19" s="3410"/>
      <c r="EI19" s="3410"/>
      <c r="EJ19" s="3410"/>
      <c r="EK19" s="3410"/>
      <c r="EL19" s="3410"/>
      <c r="EM19" s="3410"/>
      <c r="EN19" s="3410"/>
      <c r="EO19" s="3410"/>
      <c r="EP19" s="3410"/>
      <c r="EQ19" s="3410"/>
      <c r="ER19" s="3410"/>
      <c r="ES19" s="3410"/>
      <c r="ET19" s="3410"/>
      <c r="EU19" s="3410"/>
      <c r="EV19" s="3410"/>
      <c r="EW19" s="3410"/>
      <c r="EX19" s="3410"/>
      <c r="EY19" s="3410"/>
      <c r="EZ19" s="3410"/>
      <c r="FA19" s="3410"/>
      <c r="FB19" s="3410"/>
      <c r="FC19" s="3410"/>
      <c r="FD19" s="3410"/>
      <c r="FE19" s="3410"/>
      <c r="FF19" s="3410"/>
      <c r="FG19" s="3410"/>
      <c r="FH19" s="3410"/>
      <c r="FI19" s="3410"/>
      <c r="FJ19" s="3410"/>
      <c r="FK19" s="3410"/>
      <c r="FL19" s="3410"/>
      <c r="FM19" s="3410"/>
      <c r="FN19" s="3410"/>
      <c r="FO19" s="3410"/>
      <c r="FP19" s="3410"/>
      <c r="FQ19" s="3410"/>
      <c r="FR19" s="3410"/>
      <c r="FS19" s="3410"/>
      <c r="FT19" s="3410"/>
      <c r="FU19" s="3410"/>
      <c r="FV19" s="3410"/>
      <c r="FW19" s="3410"/>
      <c r="FX19" s="3410"/>
      <c r="FY19" s="3410"/>
      <c r="FZ19" s="3410"/>
      <c r="GA19" s="3410"/>
      <c r="GB19" s="3410"/>
      <c r="GC19" s="3410"/>
      <c r="GD19" s="3410"/>
      <c r="GE19" s="3410"/>
      <c r="GF19" s="3410"/>
      <c r="GG19" s="3410"/>
      <c r="GH19" s="3410"/>
      <c r="GI19" s="3410"/>
      <c r="GJ19" s="3410"/>
      <c r="GK19" s="3410"/>
      <c r="GL19" s="3410"/>
      <c r="GM19" s="3410"/>
      <c r="GN19" s="3410"/>
      <c r="GO19" s="3410"/>
      <c r="GP19" s="3410"/>
      <c r="GQ19" s="3410"/>
      <c r="GR19" s="3410"/>
      <c r="GS19" s="3410"/>
      <c r="GT19" s="3410"/>
      <c r="GU19" s="3410"/>
      <c r="GV19" s="3410"/>
      <c r="GW19" s="3410"/>
      <c r="GX19" s="3410"/>
      <c r="GY19" s="3410"/>
      <c r="GZ19" s="3410"/>
      <c r="HA19" s="3410"/>
      <c r="HB19" s="3410"/>
      <c r="HC19" s="3410"/>
      <c r="HD19" s="3410"/>
      <c r="HE19" s="3410"/>
      <c r="HF19" s="3410"/>
      <c r="HG19" s="3410"/>
      <c r="HH19" s="3410"/>
      <c r="HI19" s="3410"/>
      <c r="HJ19" s="3410"/>
      <c r="HK19" s="3410"/>
      <c r="HL19" s="3410"/>
      <c r="HM19" s="3410"/>
      <c r="HN19" s="3410"/>
      <c r="HO19" s="3410"/>
      <c r="HP19" s="3410"/>
      <c r="HQ19" s="3410"/>
      <c r="HR19" s="3410"/>
      <c r="HS19" s="3410"/>
      <c r="HT19" s="3410"/>
      <c r="HU19" s="3410"/>
      <c r="HV19" s="3410"/>
      <c r="HW19" s="3410"/>
      <c r="HX19" s="3410"/>
      <c r="HY19" s="3410"/>
      <c r="HZ19" s="3410"/>
      <c r="IA19" s="3410"/>
      <c r="IB19" s="3410"/>
      <c r="IC19" s="3410"/>
      <c r="ID19" s="3410"/>
      <c r="IE19" s="3410"/>
      <c r="IF19" s="3410"/>
      <c r="IG19" s="3410"/>
      <c r="IH19" s="3410"/>
      <c r="II19" s="3410"/>
      <c r="IJ19" s="3410"/>
      <c r="IK19" s="3410"/>
      <c r="IL19" s="3410"/>
      <c r="IM19" s="3410"/>
      <c r="IN19" s="3410"/>
      <c r="IO19" s="3410"/>
      <c r="IP19" s="3410"/>
      <c r="IQ19" s="3410"/>
      <c r="IR19" s="3410"/>
      <c r="IS19" s="3410"/>
      <c r="IT19" s="3410"/>
      <c r="IU19" s="3410"/>
      <c r="IV19" s="3410"/>
    </row>
    <row r="20" spans="1:256" s="3409" customFormat="1" ht="20.100000000000001" customHeight="1">
      <c r="A20" s="3410"/>
      <c r="B20" s="3415" t="s">
        <v>1858</v>
      </c>
      <c r="C20" s="3421">
        <f>ROUND(4*E12*C13/PI()/C18/C18/C14,3)</f>
        <v>6.3E-2</v>
      </c>
      <c r="D20" s="3410" t="s">
        <v>1755</v>
      </c>
      <c r="E20" s="3410"/>
      <c r="F20" s="3410"/>
      <c r="G20" s="3410"/>
      <c r="H20" s="3410"/>
      <c r="I20" s="3424">
        <v>125</v>
      </c>
      <c r="J20" s="3410"/>
      <c r="K20" s="3410"/>
      <c r="L20" s="3410"/>
      <c r="M20" s="3410"/>
      <c r="N20" s="3410"/>
      <c r="O20" s="3410"/>
      <c r="P20" s="3410"/>
      <c r="Q20" s="3410"/>
      <c r="R20" s="3410"/>
      <c r="S20" s="3410"/>
      <c r="T20" s="3410"/>
      <c r="U20" s="3410"/>
      <c r="V20" s="3410"/>
      <c r="W20" s="3410"/>
      <c r="X20" s="3410"/>
      <c r="Y20" s="3410"/>
      <c r="Z20" s="3410"/>
      <c r="AA20" s="3410"/>
      <c r="AB20" s="3410"/>
      <c r="AC20" s="3410"/>
      <c r="AD20" s="3410"/>
      <c r="AE20" s="3410"/>
      <c r="AF20" s="3410"/>
      <c r="AG20" s="3410"/>
      <c r="AH20" s="3410"/>
      <c r="AI20" s="3410"/>
      <c r="AJ20" s="3410"/>
      <c r="AK20" s="3410"/>
      <c r="AL20" s="3410"/>
      <c r="AM20" s="3410"/>
      <c r="AN20" s="3410"/>
      <c r="AO20" s="3410"/>
      <c r="AP20" s="3410"/>
      <c r="AQ20" s="3410"/>
      <c r="AR20" s="3410"/>
      <c r="AS20" s="3410"/>
      <c r="AT20" s="3410"/>
      <c r="AU20" s="3410"/>
      <c r="AV20" s="3410"/>
      <c r="AW20" s="3410"/>
      <c r="AX20" s="3410"/>
      <c r="AY20" s="3410"/>
      <c r="AZ20" s="3410"/>
      <c r="BA20" s="3410"/>
      <c r="BB20" s="3410"/>
      <c r="BC20" s="3410"/>
      <c r="BD20" s="3410"/>
      <c r="BE20" s="3410"/>
      <c r="BF20" s="3410"/>
      <c r="BG20" s="3410"/>
      <c r="BH20" s="3410"/>
      <c r="BI20" s="3410"/>
      <c r="BJ20" s="3410"/>
      <c r="BK20" s="3410"/>
      <c r="BL20" s="3410"/>
      <c r="BM20" s="3410"/>
      <c r="BN20" s="3410"/>
      <c r="BO20" s="3410"/>
      <c r="BP20" s="3410"/>
      <c r="BQ20" s="3410"/>
      <c r="BR20" s="3410"/>
      <c r="BS20" s="3410"/>
      <c r="BT20" s="3410"/>
      <c r="BU20" s="3410"/>
      <c r="BV20" s="3410"/>
      <c r="BW20" s="3410"/>
      <c r="BX20" s="3410"/>
      <c r="BY20" s="3410"/>
      <c r="BZ20" s="3410"/>
      <c r="CA20" s="3410"/>
      <c r="CB20" s="3410"/>
      <c r="CC20" s="3410"/>
      <c r="CD20" s="3410"/>
      <c r="CE20" s="3410"/>
      <c r="CF20" s="3410"/>
      <c r="CG20" s="3410"/>
      <c r="CH20" s="3410"/>
      <c r="CI20" s="3410"/>
      <c r="CJ20" s="3410"/>
      <c r="CK20" s="3410"/>
      <c r="CL20" s="3410"/>
      <c r="CM20" s="3410"/>
      <c r="CN20" s="3410"/>
      <c r="CO20" s="3410"/>
      <c r="CP20" s="3410"/>
      <c r="CQ20" s="3410"/>
      <c r="CR20" s="3410"/>
      <c r="CS20" s="3410"/>
      <c r="CT20" s="3410"/>
      <c r="CU20" s="3410"/>
      <c r="CV20" s="3410"/>
      <c r="CW20" s="3410"/>
      <c r="CX20" s="3410"/>
      <c r="CY20" s="3410"/>
      <c r="CZ20" s="3410"/>
      <c r="DA20" s="3410"/>
      <c r="DB20" s="3410"/>
      <c r="DC20" s="3410"/>
      <c r="DD20" s="3410"/>
      <c r="DE20" s="3410"/>
      <c r="DF20" s="3410"/>
      <c r="DG20" s="3410"/>
      <c r="DH20" s="3410"/>
      <c r="DI20" s="3410"/>
      <c r="DJ20" s="3410"/>
      <c r="DK20" s="3410"/>
      <c r="DL20" s="3410"/>
      <c r="DM20" s="3410"/>
      <c r="DN20" s="3410"/>
      <c r="DO20" s="3410"/>
      <c r="DP20" s="3410"/>
      <c r="DQ20" s="3410"/>
      <c r="DR20" s="3410"/>
      <c r="DS20" s="3410"/>
      <c r="DT20" s="3410"/>
      <c r="DU20" s="3410"/>
      <c r="DV20" s="3410"/>
      <c r="DW20" s="3410"/>
      <c r="DX20" s="3410"/>
      <c r="DY20" s="3410"/>
      <c r="DZ20" s="3410"/>
      <c r="EA20" s="3410"/>
      <c r="EB20" s="3410"/>
      <c r="EC20" s="3410"/>
      <c r="ED20" s="3410"/>
      <c r="EE20" s="3410"/>
      <c r="EF20" s="3410"/>
      <c r="EG20" s="3410"/>
      <c r="EH20" s="3410"/>
      <c r="EI20" s="3410"/>
      <c r="EJ20" s="3410"/>
      <c r="EK20" s="3410"/>
      <c r="EL20" s="3410"/>
      <c r="EM20" s="3410"/>
      <c r="EN20" s="3410"/>
      <c r="EO20" s="3410"/>
      <c r="EP20" s="3410"/>
      <c r="EQ20" s="3410"/>
      <c r="ER20" s="3410"/>
      <c r="ES20" s="3410"/>
      <c r="ET20" s="3410"/>
      <c r="EU20" s="3410"/>
      <c r="EV20" s="3410"/>
      <c r="EW20" s="3410"/>
      <c r="EX20" s="3410"/>
      <c r="EY20" s="3410"/>
      <c r="EZ20" s="3410"/>
      <c r="FA20" s="3410"/>
      <c r="FB20" s="3410"/>
      <c r="FC20" s="3410"/>
      <c r="FD20" s="3410"/>
      <c r="FE20" s="3410"/>
      <c r="FF20" s="3410"/>
      <c r="FG20" s="3410"/>
      <c r="FH20" s="3410"/>
      <c r="FI20" s="3410"/>
      <c r="FJ20" s="3410"/>
      <c r="FK20" s="3410"/>
      <c r="FL20" s="3410"/>
      <c r="FM20" s="3410"/>
      <c r="FN20" s="3410"/>
      <c r="FO20" s="3410"/>
      <c r="FP20" s="3410"/>
      <c r="FQ20" s="3410"/>
      <c r="FR20" s="3410"/>
      <c r="FS20" s="3410"/>
      <c r="FT20" s="3410"/>
      <c r="FU20" s="3410"/>
      <c r="FV20" s="3410"/>
      <c r="FW20" s="3410"/>
      <c r="FX20" s="3410"/>
      <c r="FY20" s="3410"/>
      <c r="FZ20" s="3410"/>
      <c r="GA20" s="3410"/>
      <c r="GB20" s="3410"/>
      <c r="GC20" s="3410"/>
      <c r="GD20" s="3410"/>
      <c r="GE20" s="3410"/>
      <c r="GF20" s="3410"/>
      <c r="GG20" s="3410"/>
      <c r="GH20" s="3410"/>
      <c r="GI20" s="3410"/>
      <c r="GJ20" s="3410"/>
      <c r="GK20" s="3410"/>
      <c r="GL20" s="3410"/>
      <c r="GM20" s="3410"/>
      <c r="GN20" s="3410"/>
      <c r="GO20" s="3410"/>
      <c r="GP20" s="3410"/>
      <c r="GQ20" s="3410"/>
      <c r="GR20" s="3410"/>
      <c r="GS20" s="3410"/>
      <c r="GT20" s="3410"/>
      <c r="GU20" s="3410"/>
      <c r="GV20" s="3410"/>
      <c r="GW20" s="3410"/>
      <c r="GX20" s="3410"/>
      <c r="GY20" s="3410"/>
      <c r="GZ20" s="3410"/>
      <c r="HA20" s="3410"/>
      <c r="HB20" s="3410"/>
      <c r="HC20" s="3410"/>
      <c r="HD20" s="3410"/>
      <c r="HE20" s="3410"/>
      <c r="HF20" s="3410"/>
      <c r="HG20" s="3410"/>
      <c r="HH20" s="3410"/>
      <c r="HI20" s="3410"/>
      <c r="HJ20" s="3410"/>
      <c r="HK20" s="3410"/>
      <c r="HL20" s="3410"/>
      <c r="HM20" s="3410"/>
      <c r="HN20" s="3410"/>
      <c r="HO20" s="3410"/>
      <c r="HP20" s="3410"/>
      <c r="HQ20" s="3410"/>
      <c r="HR20" s="3410"/>
      <c r="HS20" s="3410"/>
      <c r="HT20" s="3410"/>
      <c r="HU20" s="3410"/>
      <c r="HV20" s="3410"/>
      <c r="HW20" s="3410"/>
      <c r="HX20" s="3410"/>
      <c r="HY20" s="3410"/>
      <c r="HZ20" s="3410"/>
      <c r="IA20" s="3410"/>
      <c r="IB20" s="3410"/>
      <c r="IC20" s="3410"/>
      <c r="ID20" s="3410"/>
      <c r="IE20" s="3410"/>
      <c r="IF20" s="3410"/>
      <c r="IG20" s="3410"/>
      <c r="IH20" s="3410"/>
      <c r="II20" s="3410"/>
      <c r="IJ20" s="3410"/>
      <c r="IK20" s="3410"/>
      <c r="IL20" s="3410"/>
      <c r="IM20" s="3410"/>
      <c r="IN20" s="3410"/>
      <c r="IO20" s="3410"/>
      <c r="IP20" s="3410"/>
      <c r="IQ20" s="3410"/>
      <c r="IR20" s="3410"/>
      <c r="IS20" s="3410"/>
      <c r="IT20" s="3410"/>
      <c r="IU20" s="3410"/>
      <c r="IV20" s="3410"/>
    </row>
    <row r="21" spans="1:256" s="3409" customFormat="1" ht="20.100000000000001" customHeight="1">
      <c r="A21" s="3410"/>
      <c r="B21" s="3410"/>
      <c r="C21" s="3410"/>
      <c r="D21" s="3410"/>
      <c r="E21" s="3410"/>
      <c r="F21" s="3410"/>
      <c r="G21" s="3410"/>
      <c r="H21" s="3410"/>
      <c r="I21" s="3410"/>
      <c r="J21" s="3410"/>
      <c r="K21" s="3410"/>
      <c r="L21" s="3410"/>
      <c r="M21" s="3410"/>
      <c r="N21" s="3410"/>
      <c r="O21" s="3410"/>
      <c r="P21" s="3410"/>
      <c r="Q21" s="3410"/>
      <c r="R21" s="3410"/>
      <c r="S21" s="3410"/>
      <c r="T21" s="3410"/>
      <c r="U21" s="3410"/>
      <c r="V21" s="3410"/>
      <c r="W21" s="3410"/>
      <c r="X21" s="3410"/>
      <c r="Y21" s="3410"/>
      <c r="Z21" s="3410"/>
      <c r="AA21" s="3410"/>
      <c r="AB21" s="3410"/>
      <c r="AC21" s="3410"/>
      <c r="AD21" s="3410"/>
      <c r="AE21" s="3410"/>
      <c r="AF21" s="3410"/>
      <c r="AG21" s="3410"/>
      <c r="AH21" s="3410"/>
      <c r="AI21" s="3410"/>
      <c r="AJ21" s="3410"/>
      <c r="AK21" s="3410"/>
      <c r="AL21" s="3410"/>
      <c r="AM21" s="3410"/>
      <c r="AN21" s="3410"/>
      <c r="AO21" s="3410"/>
      <c r="AP21" s="3410"/>
      <c r="AQ21" s="3410"/>
      <c r="AR21" s="3410"/>
      <c r="AS21" s="3410"/>
      <c r="AT21" s="3410"/>
      <c r="AU21" s="3410"/>
      <c r="AV21" s="3410"/>
      <c r="AW21" s="3410"/>
      <c r="AX21" s="3410"/>
      <c r="AY21" s="3410"/>
      <c r="AZ21" s="3410"/>
      <c r="BA21" s="3410"/>
      <c r="BB21" s="3410"/>
      <c r="BC21" s="3410"/>
      <c r="BD21" s="3410"/>
      <c r="BE21" s="3410"/>
      <c r="BF21" s="3410"/>
      <c r="BG21" s="3410"/>
      <c r="BH21" s="3410"/>
      <c r="BI21" s="3410"/>
      <c r="BJ21" s="3410"/>
      <c r="BK21" s="3410"/>
      <c r="BL21" s="3410"/>
      <c r="BM21" s="3410"/>
      <c r="BN21" s="3410"/>
      <c r="BO21" s="3410"/>
      <c r="BP21" s="3410"/>
      <c r="BQ21" s="3410"/>
      <c r="BR21" s="3410"/>
      <c r="BS21" s="3410"/>
      <c r="BT21" s="3410"/>
      <c r="BU21" s="3410"/>
      <c r="BV21" s="3410"/>
      <c r="BW21" s="3410"/>
      <c r="BX21" s="3410"/>
      <c r="BY21" s="3410"/>
      <c r="BZ21" s="3410"/>
      <c r="CA21" s="3410"/>
      <c r="CB21" s="3410"/>
      <c r="CC21" s="3410"/>
      <c r="CD21" s="3410"/>
      <c r="CE21" s="3410"/>
      <c r="CF21" s="3410"/>
      <c r="CG21" s="3410"/>
      <c r="CH21" s="3410"/>
      <c r="CI21" s="3410"/>
      <c r="CJ21" s="3410"/>
      <c r="CK21" s="3410"/>
      <c r="CL21" s="3410"/>
      <c r="CM21" s="3410"/>
      <c r="CN21" s="3410"/>
      <c r="CO21" s="3410"/>
      <c r="CP21" s="3410"/>
      <c r="CQ21" s="3410"/>
      <c r="CR21" s="3410"/>
      <c r="CS21" s="3410"/>
      <c r="CT21" s="3410"/>
      <c r="CU21" s="3410"/>
      <c r="CV21" s="3410"/>
      <c r="CW21" s="3410"/>
      <c r="CX21" s="3410"/>
      <c r="CY21" s="3410"/>
      <c r="CZ21" s="3410"/>
      <c r="DA21" s="3410"/>
      <c r="DB21" s="3410"/>
      <c r="DC21" s="3410"/>
      <c r="DD21" s="3410"/>
      <c r="DE21" s="3410"/>
      <c r="DF21" s="3410"/>
      <c r="DG21" s="3410"/>
      <c r="DH21" s="3410"/>
      <c r="DI21" s="3410"/>
      <c r="DJ21" s="3410"/>
      <c r="DK21" s="3410"/>
      <c r="DL21" s="3410"/>
      <c r="DM21" s="3410"/>
      <c r="DN21" s="3410"/>
      <c r="DO21" s="3410"/>
      <c r="DP21" s="3410"/>
      <c r="DQ21" s="3410"/>
      <c r="DR21" s="3410"/>
      <c r="DS21" s="3410"/>
      <c r="DT21" s="3410"/>
      <c r="DU21" s="3410"/>
      <c r="DV21" s="3410"/>
      <c r="DW21" s="3410"/>
      <c r="DX21" s="3410"/>
      <c r="DY21" s="3410"/>
      <c r="DZ21" s="3410"/>
      <c r="EA21" s="3410"/>
      <c r="EB21" s="3410"/>
      <c r="EC21" s="3410"/>
      <c r="ED21" s="3410"/>
      <c r="EE21" s="3410"/>
      <c r="EF21" s="3410"/>
      <c r="EG21" s="3410"/>
      <c r="EH21" s="3410"/>
      <c r="EI21" s="3410"/>
      <c r="EJ21" s="3410"/>
      <c r="EK21" s="3410"/>
      <c r="EL21" s="3410"/>
      <c r="EM21" s="3410"/>
      <c r="EN21" s="3410"/>
      <c r="EO21" s="3410"/>
      <c r="EP21" s="3410"/>
      <c r="EQ21" s="3410"/>
      <c r="ER21" s="3410"/>
      <c r="ES21" s="3410"/>
      <c r="ET21" s="3410"/>
      <c r="EU21" s="3410"/>
      <c r="EV21" s="3410"/>
      <c r="EW21" s="3410"/>
      <c r="EX21" s="3410"/>
      <c r="EY21" s="3410"/>
      <c r="EZ21" s="3410"/>
      <c r="FA21" s="3410"/>
      <c r="FB21" s="3410"/>
      <c r="FC21" s="3410"/>
      <c r="FD21" s="3410"/>
      <c r="FE21" s="3410"/>
      <c r="FF21" s="3410"/>
      <c r="FG21" s="3410"/>
      <c r="FH21" s="3410"/>
      <c r="FI21" s="3410"/>
      <c r="FJ21" s="3410"/>
      <c r="FK21" s="3410"/>
      <c r="FL21" s="3410"/>
      <c r="FM21" s="3410"/>
      <c r="FN21" s="3410"/>
      <c r="FO21" s="3410"/>
      <c r="FP21" s="3410"/>
      <c r="FQ21" s="3410"/>
      <c r="FR21" s="3410"/>
      <c r="FS21" s="3410"/>
      <c r="FT21" s="3410"/>
      <c r="FU21" s="3410"/>
      <c r="FV21" s="3410"/>
      <c r="FW21" s="3410"/>
      <c r="FX21" s="3410"/>
      <c r="FY21" s="3410"/>
      <c r="FZ21" s="3410"/>
      <c r="GA21" s="3410"/>
      <c r="GB21" s="3410"/>
      <c r="GC21" s="3410"/>
      <c r="GD21" s="3410"/>
      <c r="GE21" s="3410"/>
      <c r="GF21" s="3410"/>
      <c r="GG21" s="3410"/>
      <c r="GH21" s="3410"/>
      <c r="GI21" s="3410"/>
      <c r="GJ21" s="3410"/>
      <c r="GK21" s="3410"/>
      <c r="GL21" s="3410"/>
      <c r="GM21" s="3410"/>
      <c r="GN21" s="3410"/>
      <c r="GO21" s="3410"/>
      <c r="GP21" s="3410"/>
      <c r="GQ21" s="3410"/>
      <c r="GR21" s="3410"/>
      <c r="GS21" s="3410"/>
      <c r="GT21" s="3410"/>
      <c r="GU21" s="3410"/>
      <c r="GV21" s="3410"/>
      <c r="GW21" s="3410"/>
      <c r="GX21" s="3410"/>
      <c r="GY21" s="3410"/>
      <c r="GZ21" s="3410"/>
      <c r="HA21" s="3410"/>
      <c r="HB21" s="3410"/>
      <c r="HC21" s="3410"/>
      <c r="HD21" s="3410"/>
      <c r="HE21" s="3410"/>
      <c r="HF21" s="3410"/>
      <c r="HG21" s="3410"/>
      <c r="HH21" s="3410"/>
      <c r="HI21" s="3410"/>
      <c r="HJ21" s="3410"/>
      <c r="HK21" s="3410"/>
      <c r="HL21" s="3410"/>
      <c r="HM21" s="3410"/>
      <c r="HN21" s="3410"/>
      <c r="HO21" s="3410"/>
      <c r="HP21" s="3410"/>
      <c r="HQ21" s="3410"/>
      <c r="HR21" s="3410"/>
      <c r="HS21" s="3410"/>
      <c r="HT21" s="3410"/>
      <c r="HU21" s="3410"/>
      <c r="HV21" s="3410"/>
      <c r="HW21" s="3410"/>
      <c r="HX21" s="3410"/>
      <c r="HY21" s="3410"/>
      <c r="HZ21" s="3410"/>
      <c r="IA21" s="3410"/>
      <c r="IB21" s="3410"/>
      <c r="IC21" s="3410"/>
      <c r="ID21" s="3410"/>
      <c r="IE21" s="3410"/>
      <c r="IF21" s="3410"/>
      <c r="IG21" s="3410"/>
      <c r="IH21" s="3410"/>
      <c r="II21" s="3410"/>
      <c r="IJ21" s="3410"/>
      <c r="IK21" s="3410"/>
      <c r="IL21" s="3410"/>
      <c r="IM21" s="3410"/>
      <c r="IN21" s="3410"/>
      <c r="IO21" s="3410"/>
      <c r="IP21" s="3410"/>
      <c r="IQ21" s="3410"/>
      <c r="IR21" s="3410"/>
      <c r="IS21" s="3410"/>
      <c r="IT21" s="3410"/>
      <c r="IU21" s="3410"/>
      <c r="IV21" s="3410"/>
    </row>
    <row r="22" spans="1:256" s="3409" customFormat="1" ht="20.100000000000001" customHeight="1">
      <c r="A22" s="4778" t="s">
        <v>2743</v>
      </c>
      <c r="B22" s="4778"/>
      <c r="C22" s="4778"/>
      <c r="D22" s="4778"/>
      <c r="E22" s="4778"/>
      <c r="F22" s="4778"/>
      <c r="G22" s="4778"/>
      <c r="H22" s="4778"/>
      <c r="I22" s="3410"/>
      <c r="J22" s="3410"/>
      <c r="K22" s="3410"/>
      <c r="L22" s="3410"/>
      <c r="M22" s="3410"/>
      <c r="N22" s="3410"/>
      <c r="O22" s="3410"/>
      <c r="P22" s="3410"/>
      <c r="Q22" s="3410"/>
      <c r="R22" s="3410"/>
      <c r="S22" s="3410"/>
      <c r="T22" s="3410"/>
      <c r="U22" s="3410"/>
      <c r="V22" s="3410"/>
      <c r="W22" s="3410"/>
      <c r="X22" s="3410"/>
      <c r="Y22" s="3410"/>
      <c r="Z22" s="3410"/>
      <c r="AA22" s="3410"/>
      <c r="AB22" s="3410"/>
      <c r="AC22" s="3410"/>
      <c r="AD22" s="3410"/>
      <c r="AE22" s="3410"/>
      <c r="AF22" s="3410"/>
      <c r="AG22" s="3410"/>
      <c r="AH22" s="3410"/>
      <c r="AI22" s="3410"/>
      <c r="AJ22" s="3410"/>
      <c r="AK22" s="3410"/>
      <c r="AL22" s="3410"/>
      <c r="AM22" s="3410"/>
      <c r="AN22" s="3410"/>
      <c r="AO22" s="3410"/>
      <c r="AP22" s="3410"/>
      <c r="AQ22" s="3410"/>
      <c r="AR22" s="3410"/>
      <c r="AS22" s="3410"/>
      <c r="AT22" s="3410"/>
      <c r="AU22" s="3410"/>
      <c r="AV22" s="3410"/>
      <c r="AW22" s="3410"/>
      <c r="AX22" s="3410"/>
      <c r="AY22" s="3410"/>
      <c r="AZ22" s="3410"/>
      <c r="BA22" s="3410"/>
      <c r="BB22" s="3410"/>
      <c r="BC22" s="3410"/>
      <c r="BD22" s="3410"/>
      <c r="BE22" s="3410"/>
      <c r="BF22" s="3410"/>
      <c r="BG22" s="3410"/>
      <c r="BH22" s="3410"/>
      <c r="BI22" s="3410"/>
      <c r="BJ22" s="3410"/>
      <c r="BK22" s="3410"/>
      <c r="BL22" s="3410"/>
      <c r="BM22" s="3410"/>
      <c r="BN22" s="3410"/>
      <c r="BO22" s="3410"/>
      <c r="BP22" s="3410"/>
      <c r="BQ22" s="3410"/>
      <c r="BR22" s="3410"/>
      <c r="BS22" s="3410"/>
      <c r="BT22" s="3410"/>
      <c r="BU22" s="3410"/>
      <c r="BV22" s="3410"/>
      <c r="BW22" s="3410"/>
      <c r="BX22" s="3410"/>
      <c r="BY22" s="3410"/>
      <c r="BZ22" s="3410"/>
      <c r="CA22" s="3410"/>
      <c r="CB22" s="3410"/>
      <c r="CC22" s="3410"/>
      <c r="CD22" s="3410"/>
      <c r="CE22" s="3410"/>
      <c r="CF22" s="3410"/>
      <c r="CG22" s="3410"/>
      <c r="CH22" s="3410"/>
      <c r="CI22" s="3410"/>
      <c r="CJ22" s="3410"/>
      <c r="CK22" s="3410"/>
      <c r="CL22" s="3410"/>
      <c r="CM22" s="3410"/>
      <c r="CN22" s="3410"/>
      <c r="CO22" s="3410"/>
      <c r="CP22" s="3410"/>
      <c r="CQ22" s="3410"/>
      <c r="CR22" s="3410"/>
      <c r="CS22" s="3410"/>
      <c r="CT22" s="3410"/>
      <c r="CU22" s="3410"/>
      <c r="CV22" s="3410"/>
      <c r="CW22" s="3410"/>
      <c r="CX22" s="3410"/>
      <c r="CY22" s="3410"/>
      <c r="CZ22" s="3410"/>
      <c r="DA22" s="3410"/>
      <c r="DB22" s="3410"/>
      <c r="DC22" s="3410"/>
      <c r="DD22" s="3410"/>
      <c r="DE22" s="3410"/>
      <c r="DF22" s="3410"/>
      <c r="DG22" s="3410"/>
      <c r="DH22" s="3410"/>
      <c r="DI22" s="3410"/>
      <c r="DJ22" s="3410"/>
      <c r="DK22" s="3410"/>
      <c r="DL22" s="3410"/>
      <c r="DM22" s="3410"/>
      <c r="DN22" s="3410"/>
      <c r="DO22" s="3410"/>
      <c r="DP22" s="3410"/>
      <c r="DQ22" s="3410"/>
      <c r="DR22" s="3410"/>
      <c r="DS22" s="3410"/>
      <c r="DT22" s="3410"/>
      <c r="DU22" s="3410"/>
      <c r="DV22" s="3410"/>
      <c r="DW22" s="3410"/>
      <c r="DX22" s="3410"/>
      <c r="DY22" s="3410"/>
      <c r="DZ22" s="3410"/>
      <c r="EA22" s="3410"/>
      <c r="EB22" s="3410"/>
      <c r="EC22" s="3410"/>
      <c r="ED22" s="3410"/>
      <c r="EE22" s="3410"/>
      <c r="EF22" s="3410"/>
      <c r="EG22" s="3410"/>
      <c r="EH22" s="3410"/>
      <c r="EI22" s="3410"/>
      <c r="EJ22" s="3410"/>
      <c r="EK22" s="3410"/>
      <c r="EL22" s="3410"/>
      <c r="EM22" s="3410"/>
      <c r="EN22" s="3410"/>
      <c r="EO22" s="3410"/>
      <c r="EP22" s="3410"/>
      <c r="EQ22" s="3410"/>
      <c r="ER22" s="3410"/>
      <c r="ES22" s="3410"/>
      <c r="ET22" s="3410"/>
      <c r="EU22" s="3410"/>
      <c r="EV22" s="3410"/>
      <c r="EW22" s="3410"/>
      <c r="EX22" s="3410"/>
      <c r="EY22" s="3410"/>
      <c r="EZ22" s="3410"/>
      <c r="FA22" s="3410"/>
      <c r="FB22" s="3410"/>
      <c r="FC22" s="3410"/>
      <c r="FD22" s="3410"/>
      <c r="FE22" s="3410"/>
      <c r="FF22" s="3410"/>
      <c r="FG22" s="3410"/>
      <c r="FH22" s="3410"/>
      <c r="FI22" s="3410"/>
      <c r="FJ22" s="3410"/>
      <c r="FK22" s="3410"/>
      <c r="FL22" s="3410"/>
      <c r="FM22" s="3410"/>
      <c r="FN22" s="3410"/>
      <c r="FO22" s="3410"/>
      <c r="FP22" s="3410"/>
      <c r="FQ22" s="3410"/>
      <c r="FR22" s="3410"/>
      <c r="FS22" s="3410"/>
      <c r="FT22" s="3410"/>
      <c r="FU22" s="3410"/>
      <c r="FV22" s="3410"/>
      <c r="FW22" s="3410"/>
      <c r="FX22" s="3410"/>
      <c r="FY22" s="3410"/>
      <c r="FZ22" s="3410"/>
      <c r="GA22" s="3410"/>
      <c r="GB22" s="3410"/>
      <c r="GC22" s="3410"/>
      <c r="GD22" s="3410"/>
      <c r="GE22" s="3410"/>
      <c r="GF22" s="3410"/>
      <c r="GG22" s="3410"/>
      <c r="GH22" s="3410"/>
      <c r="GI22" s="3410"/>
      <c r="GJ22" s="3410"/>
      <c r="GK22" s="3410"/>
      <c r="GL22" s="3410"/>
      <c r="GM22" s="3410"/>
      <c r="GN22" s="3410"/>
      <c r="GO22" s="3410"/>
      <c r="GP22" s="3410"/>
      <c r="GQ22" s="3410"/>
      <c r="GR22" s="3410"/>
      <c r="GS22" s="3410"/>
      <c r="GT22" s="3410"/>
      <c r="GU22" s="3410"/>
      <c r="GV22" s="3410"/>
      <c r="GW22" s="3410"/>
      <c r="GX22" s="3410"/>
      <c r="GY22" s="3410"/>
      <c r="GZ22" s="3410"/>
      <c r="HA22" s="3410"/>
      <c r="HB22" s="3410"/>
      <c r="HC22" s="3410"/>
      <c r="HD22" s="3410"/>
      <c r="HE22" s="3410"/>
      <c r="HF22" s="3410"/>
      <c r="HG22" s="3410"/>
      <c r="HH22" s="3410"/>
      <c r="HI22" s="3410"/>
      <c r="HJ22" s="3410"/>
      <c r="HK22" s="3410"/>
      <c r="HL22" s="3410"/>
      <c r="HM22" s="3410"/>
      <c r="HN22" s="3410"/>
      <c r="HO22" s="3410"/>
      <c r="HP22" s="3410"/>
      <c r="HQ22" s="3410"/>
      <c r="HR22" s="3410"/>
      <c r="HS22" s="3410"/>
      <c r="HT22" s="3410"/>
      <c r="HU22" s="3410"/>
      <c r="HV22" s="3410"/>
      <c r="HW22" s="3410"/>
      <c r="HX22" s="3410"/>
      <c r="HY22" s="3410"/>
      <c r="HZ22" s="3410"/>
      <c r="IA22" s="3410"/>
      <c r="IB22" s="3410"/>
      <c r="IC22" s="3410"/>
      <c r="ID22" s="3410"/>
      <c r="IE22" s="3410"/>
      <c r="IF22" s="3410"/>
      <c r="IG22" s="3410"/>
      <c r="IH22" s="3410"/>
      <c r="II22" s="3410"/>
      <c r="IJ22" s="3410"/>
      <c r="IK22" s="3410"/>
      <c r="IL22" s="3410"/>
      <c r="IM22" s="3410"/>
      <c r="IN22" s="3410"/>
      <c r="IO22" s="3410"/>
      <c r="IP22" s="3410"/>
      <c r="IQ22" s="3410"/>
      <c r="IR22" s="3410"/>
      <c r="IS22" s="3410"/>
      <c r="IT22" s="3410"/>
      <c r="IU22" s="3410"/>
      <c r="IV22" s="3410"/>
    </row>
    <row r="23" spans="1:256" s="3409" customFormat="1" ht="20.100000000000001" customHeight="1">
      <c r="A23" s="3412" t="s">
        <v>2675</v>
      </c>
      <c r="B23" s="3410" t="s">
        <v>2744</v>
      </c>
      <c r="C23" s="3410"/>
      <c r="D23" s="3410"/>
      <c r="E23" s="3410"/>
      <c r="F23" s="3410"/>
      <c r="G23" s="3410"/>
      <c r="H23" s="3410"/>
      <c r="I23" s="3410"/>
      <c r="J23" s="3410"/>
      <c r="K23" s="3410"/>
      <c r="L23" s="3410"/>
      <c r="M23" s="3410"/>
      <c r="N23" s="3410"/>
      <c r="O23" s="3410"/>
      <c r="P23" s="3410"/>
      <c r="Q23" s="3410"/>
      <c r="R23" s="3410"/>
      <c r="S23" s="3410"/>
      <c r="T23" s="3410"/>
      <c r="U23" s="3410"/>
      <c r="V23" s="3410"/>
      <c r="W23" s="3410"/>
      <c r="X23" s="3410"/>
      <c r="Y23" s="3410"/>
      <c r="Z23" s="3410"/>
      <c r="AA23" s="3410"/>
      <c r="AB23" s="3410"/>
      <c r="AC23" s="3410"/>
      <c r="AD23" s="3410"/>
      <c r="AE23" s="3410"/>
      <c r="AF23" s="3410"/>
      <c r="AG23" s="3410"/>
      <c r="AH23" s="3410"/>
      <c r="AI23" s="3410"/>
      <c r="AJ23" s="3410"/>
      <c r="AK23" s="3410"/>
      <c r="AL23" s="3410"/>
      <c r="AM23" s="3410"/>
      <c r="AN23" s="3410"/>
      <c r="AO23" s="3410"/>
      <c r="AP23" s="3410"/>
      <c r="AQ23" s="3410"/>
      <c r="AR23" s="3410"/>
      <c r="AS23" s="3410"/>
      <c r="AT23" s="3410"/>
      <c r="AU23" s="3410"/>
      <c r="AV23" s="3410"/>
      <c r="AW23" s="3410"/>
      <c r="AX23" s="3410"/>
      <c r="AY23" s="3410"/>
      <c r="AZ23" s="3410"/>
      <c r="BA23" s="3410"/>
      <c r="BB23" s="3410"/>
      <c r="BC23" s="3410"/>
      <c r="BD23" s="3410"/>
      <c r="BE23" s="3410"/>
      <c r="BF23" s="3410"/>
      <c r="BG23" s="3410"/>
      <c r="BH23" s="3410"/>
      <c r="BI23" s="3410"/>
      <c r="BJ23" s="3410"/>
      <c r="BK23" s="3410"/>
      <c r="BL23" s="3410"/>
      <c r="BM23" s="3410"/>
      <c r="BN23" s="3410"/>
      <c r="BO23" s="3410"/>
      <c r="BP23" s="3410"/>
      <c r="BQ23" s="3410"/>
      <c r="BR23" s="3410"/>
      <c r="BS23" s="3410"/>
      <c r="BT23" s="3410"/>
      <c r="BU23" s="3410"/>
      <c r="BV23" s="3410"/>
      <c r="BW23" s="3410"/>
      <c r="BX23" s="3410"/>
      <c r="BY23" s="3410"/>
      <c r="BZ23" s="3410"/>
      <c r="CA23" s="3410"/>
      <c r="CB23" s="3410"/>
      <c r="CC23" s="3410"/>
      <c r="CD23" s="3410"/>
      <c r="CE23" s="3410"/>
      <c r="CF23" s="3410"/>
      <c r="CG23" s="3410"/>
      <c r="CH23" s="3410"/>
      <c r="CI23" s="3410"/>
      <c r="CJ23" s="3410"/>
      <c r="CK23" s="3410"/>
      <c r="CL23" s="3410"/>
      <c r="CM23" s="3410"/>
      <c r="CN23" s="3410"/>
      <c r="CO23" s="3410"/>
      <c r="CP23" s="3410"/>
      <c r="CQ23" s="3410"/>
      <c r="CR23" s="3410"/>
      <c r="CS23" s="3410"/>
      <c r="CT23" s="3410"/>
      <c r="CU23" s="3410"/>
      <c r="CV23" s="3410"/>
      <c r="CW23" s="3410"/>
      <c r="CX23" s="3410"/>
      <c r="CY23" s="3410"/>
      <c r="CZ23" s="3410"/>
      <c r="DA23" s="3410"/>
      <c r="DB23" s="3410"/>
      <c r="DC23" s="3410"/>
      <c r="DD23" s="3410"/>
      <c r="DE23" s="3410"/>
      <c r="DF23" s="3410"/>
      <c r="DG23" s="3410"/>
      <c r="DH23" s="3410"/>
      <c r="DI23" s="3410"/>
      <c r="DJ23" s="3410"/>
      <c r="DK23" s="3410"/>
      <c r="DL23" s="3410"/>
      <c r="DM23" s="3410"/>
      <c r="DN23" s="3410"/>
      <c r="DO23" s="3410"/>
      <c r="DP23" s="3410"/>
      <c r="DQ23" s="3410"/>
      <c r="DR23" s="3410"/>
      <c r="DS23" s="3410"/>
      <c r="DT23" s="3410"/>
      <c r="DU23" s="3410"/>
      <c r="DV23" s="3410"/>
      <c r="DW23" s="3410"/>
      <c r="DX23" s="3410"/>
      <c r="DY23" s="3410"/>
      <c r="DZ23" s="3410"/>
      <c r="EA23" s="3410"/>
      <c r="EB23" s="3410"/>
      <c r="EC23" s="3410"/>
      <c r="ED23" s="3410"/>
      <c r="EE23" s="3410"/>
      <c r="EF23" s="3410"/>
      <c r="EG23" s="3410"/>
      <c r="EH23" s="3410"/>
      <c r="EI23" s="3410"/>
      <c r="EJ23" s="3410"/>
      <c r="EK23" s="3410"/>
      <c r="EL23" s="3410"/>
      <c r="EM23" s="3410"/>
      <c r="EN23" s="3410"/>
      <c r="EO23" s="3410"/>
      <c r="EP23" s="3410"/>
      <c r="EQ23" s="3410"/>
      <c r="ER23" s="3410"/>
      <c r="ES23" s="3410"/>
      <c r="ET23" s="3410"/>
      <c r="EU23" s="3410"/>
      <c r="EV23" s="3410"/>
      <c r="EW23" s="3410"/>
      <c r="EX23" s="3410"/>
      <c r="EY23" s="3410"/>
      <c r="EZ23" s="3410"/>
      <c r="FA23" s="3410"/>
      <c r="FB23" s="3410"/>
      <c r="FC23" s="3410"/>
      <c r="FD23" s="3410"/>
      <c r="FE23" s="3410"/>
      <c r="FF23" s="3410"/>
      <c r="FG23" s="3410"/>
      <c r="FH23" s="3410"/>
      <c r="FI23" s="3410"/>
      <c r="FJ23" s="3410"/>
      <c r="FK23" s="3410"/>
      <c r="FL23" s="3410"/>
      <c r="FM23" s="3410"/>
      <c r="FN23" s="3410"/>
      <c r="FO23" s="3410"/>
      <c r="FP23" s="3410"/>
      <c r="FQ23" s="3410"/>
      <c r="FR23" s="3410"/>
      <c r="FS23" s="3410"/>
      <c r="FT23" s="3410"/>
      <c r="FU23" s="3410"/>
      <c r="FV23" s="3410"/>
      <c r="FW23" s="3410"/>
      <c r="FX23" s="3410"/>
      <c r="FY23" s="3410"/>
      <c r="FZ23" s="3410"/>
      <c r="GA23" s="3410"/>
      <c r="GB23" s="3410"/>
      <c r="GC23" s="3410"/>
      <c r="GD23" s="3410"/>
      <c r="GE23" s="3410"/>
      <c r="GF23" s="3410"/>
      <c r="GG23" s="3410"/>
      <c r="GH23" s="3410"/>
      <c r="GI23" s="3410"/>
      <c r="GJ23" s="3410"/>
      <c r="GK23" s="3410"/>
      <c r="GL23" s="3410"/>
      <c r="GM23" s="3410"/>
      <c r="GN23" s="3410"/>
      <c r="GO23" s="3410"/>
      <c r="GP23" s="3410"/>
      <c r="GQ23" s="3410"/>
      <c r="GR23" s="3410"/>
      <c r="GS23" s="3410"/>
      <c r="GT23" s="3410"/>
      <c r="GU23" s="3410"/>
      <c r="GV23" s="3410"/>
      <c r="GW23" s="3410"/>
      <c r="GX23" s="3410"/>
      <c r="GY23" s="3410"/>
      <c r="GZ23" s="3410"/>
      <c r="HA23" s="3410"/>
      <c r="HB23" s="3410"/>
      <c r="HC23" s="3410"/>
      <c r="HD23" s="3410"/>
      <c r="HE23" s="3410"/>
      <c r="HF23" s="3410"/>
      <c r="HG23" s="3410"/>
      <c r="HH23" s="3410"/>
      <c r="HI23" s="3410"/>
      <c r="HJ23" s="3410"/>
      <c r="HK23" s="3410"/>
      <c r="HL23" s="3410"/>
      <c r="HM23" s="3410"/>
      <c r="HN23" s="3410"/>
      <c r="HO23" s="3410"/>
      <c r="HP23" s="3410"/>
      <c r="HQ23" s="3410"/>
      <c r="HR23" s="3410"/>
      <c r="HS23" s="3410"/>
      <c r="HT23" s="3410"/>
      <c r="HU23" s="3410"/>
      <c r="HV23" s="3410"/>
      <c r="HW23" s="3410"/>
      <c r="HX23" s="3410"/>
      <c r="HY23" s="3410"/>
      <c r="HZ23" s="3410"/>
      <c r="IA23" s="3410"/>
      <c r="IB23" s="3410"/>
      <c r="IC23" s="3410"/>
      <c r="ID23" s="3410"/>
      <c r="IE23" s="3410"/>
      <c r="IF23" s="3410"/>
      <c r="IG23" s="3410"/>
      <c r="IH23" s="3410"/>
      <c r="II23" s="3410"/>
      <c r="IJ23" s="3410"/>
      <c r="IK23" s="3410"/>
      <c r="IL23" s="3410"/>
      <c r="IM23" s="3410"/>
      <c r="IN23" s="3410"/>
      <c r="IO23" s="3410"/>
      <c r="IP23" s="3410"/>
      <c r="IQ23" s="3410"/>
      <c r="IR23" s="3410"/>
      <c r="IS23" s="3410"/>
      <c r="IT23" s="3410"/>
      <c r="IU23" s="3410"/>
      <c r="IV23" s="3410"/>
    </row>
    <row r="24" spans="1:256" s="3409" customFormat="1" ht="20.100000000000001" customHeight="1">
      <c r="A24" s="3410"/>
      <c r="B24" s="3410" t="s">
        <v>2745</v>
      </c>
      <c r="C24" s="3410"/>
      <c r="D24" s="3410"/>
      <c r="E24" s="3410"/>
      <c r="F24" s="3410"/>
      <c r="G24" s="3410"/>
      <c r="H24" s="3410"/>
      <c r="I24" s="3410"/>
      <c r="J24" s="3410"/>
      <c r="K24" s="3410"/>
      <c r="L24" s="3410"/>
      <c r="M24" s="3410"/>
      <c r="N24" s="3410"/>
      <c r="O24" s="3410"/>
      <c r="P24" s="3410"/>
      <c r="Q24" s="3410"/>
      <c r="R24" s="3410"/>
      <c r="S24" s="3410"/>
      <c r="T24" s="3410"/>
      <c r="U24" s="3410"/>
      <c r="V24" s="3410"/>
      <c r="W24" s="3410"/>
      <c r="X24" s="3410"/>
      <c r="Y24" s="3410"/>
      <c r="Z24" s="3410"/>
      <c r="AA24" s="3410"/>
      <c r="AB24" s="3410"/>
      <c r="AC24" s="3410"/>
      <c r="AD24" s="3410"/>
      <c r="AE24" s="3410"/>
      <c r="AF24" s="3410"/>
      <c r="AG24" s="3410"/>
      <c r="AH24" s="3410"/>
      <c r="AI24" s="3410"/>
      <c r="AJ24" s="3410"/>
      <c r="AK24" s="3410"/>
      <c r="AL24" s="3410"/>
      <c r="AM24" s="3410"/>
      <c r="AN24" s="3410"/>
      <c r="AO24" s="3410"/>
      <c r="AP24" s="3410"/>
      <c r="AQ24" s="3410"/>
      <c r="AR24" s="3410"/>
      <c r="AS24" s="3410"/>
      <c r="AT24" s="3410"/>
      <c r="AU24" s="3410"/>
      <c r="AV24" s="3410"/>
      <c r="AW24" s="3410"/>
      <c r="AX24" s="3410"/>
      <c r="AY24" s="3410"/>
      <c r="AZ24" s="3410"/>
      <c r="BA24" s="3410"/>
      <c r="BB24" s="3410"/>
      <c r="BC24" s="3410"/>
      <c r="BD24" s="3410"/>
      <c r="BE24" s="3410"/>
      <c r="BF24" s="3410"/>
      <c r="BG24" s="3410"/>
      <c r="BH24" s="3410"/>
      <c r="BI24" s="3410"/>
      <c r="BJ24" s="3410"/>
      <c r="BK24" s="3410"/>
      <c r="BL24" s="3410"/>
      <c r="BM24" s="3410"/>
      <c r="BN24" s="3410"/>
      <c r="BO24" s="3410"/>
      <c r="BP24" s="3410"/>
      <c r="BQ24" s="3410"/>
      <c r="BR24" s="3410"/>
      <c r="BS24" s="3410"/>
      <c r="BT24" s="3410"/>
      <c r="BU24" s="3410"/>
      <c r="BV24" s="3410"/>
      <c r="BW24" s="3410"/>
      <c r="BX24" s="3410"/>
      <c r="BY24" s="3410"/>
      <c r="BZ24" s="3410"/>
      <c r="CA24" s="3410"/>
      <c r="CB24" s="3410"/>
      <c r="CC24" s="3410"/>
      <c r="CD24" s="3410"/>
      <c r="CE24" s="3410"/>
      <c r="CF24" s="3410"/>
      <c r="CG24" s="3410"/>
      <c r="CH24" s="3410"/>
      <c r="CI24" s="3410"/>
      <c r="CJ24" s="3410"/>
      <c r="CK24" s="3410"/>
      <c r="CL24" s="3410"/>
      <c r="CM24" s="3410"/>
      <c r="CN24" s="3410"/>
      <c r="CO24" s="3410"/>
      <c r="CP24" s="3410"/>
      <c r="CQ24" s="3410"/>
      <c r="CR24" s="3410"/>
      <c r="CS24" s="3410"/>
      <c r="CT24" s="3410"/>
      <c r="CU24" s="3410"/>
      <c r="CV24" s="3410"/>
      <c r="CW24" s="3410"/>
      <c r="CX24" s="3410"/>
      <c r="CY24" s="3410"/>
      <c r="CZ24" s="3410"/>
      <c r="DA24" s="3410"/>
      <c r="DB24" s="3410"/>
      <c r="DC24" s="3410"/>
      <c r="DD24" s="3410"/>
      <c r="DE24" s="3410"/>
      <c r="DF24" s="3410"/>
      <c r="DG24" s="3410"/>
      <c r="DH24" s="3410"/>
      <c r="DI24" s="3410"/>
      <c r="DJ24" s="3410"/>
      <c r="DK24" s="3410"/>
      <c r="DL24" s="3410"/>
      <c r="DM24" s="3410"/>
      <c r="DN24" s="3410"/>
      <c r="DO24" s="3410"/>
      <c r="DP24" s="3410"/>
      <c r="DQ24" s="3410"/>
      <c r="DR24" s="3410"/>
      <c r="DS24" s="3410"/>
      <c r="DT24" s="3410"/>
      <c r="DU24" s="3410"/>
      <c r="DV24" s="3410"/>
      <c r="DW24" s="3410"/>
      <c r="DX24" s="3410"/>
      <c r="DY24" s="3410"/>
      <c r="DZ24" s="3410"/>
      <c r="EA24" s="3410"/>
      <c r="EB24" s="3410"/>
      <c r="EC24" s="3410"/>
      <c r="ED24" s="3410"/>
      <c r="EE24" s="3410"/>
      <c r="EF24" s="3410"/>
      <c r="EG24" s="3410"/>
      <c r="EH24" s="3410"/>
      <c r="EI24" s="3410"/>
      <c r="EJ24" s="3410"/>
      <c r="EK24" s="3410"/>
      <c r="EL24" s="3410"/>
      <c r="EM24" s="3410"/>
      <c r="EN24" s="3410"/>
      <c r="EO24" s="3410"/>
      <c r="EP24" s="3410"/>
      <c r="EQ24" s="3410"/>
      <c r="ER24" s="3410"/>
      <c r="ES24" s="3410"/>
      <c r="ET24" s="3410"/>
      <c r="EU24" s="3410"/>
      <c r="EV24" s="3410"/>
      <c r="EW24" s="3410"/>
      <c r="EX24" s="3410"/>
      <c r="EY24" s="3410"/>
      <c r="EZ24" s="3410"/>
      <c r="FA24" s="3410"/>
      <c r="FB24" s="3410"/>
      <c r="FC24" s="3410"/>
      <c r="FD24" s="3410"/>
      <c r="FE24" s="3410"/>
      <c r="FF24" s="3410"/>
      <c r="FG24" s="3410"/>
      <c r="FH24" s="3410"/>
      <c r="FI24" s="3410"/>
      <c r="FJ24" s="3410"/>
      <c r="FK24" s="3410"/>
      <c r="FL24" s="3410"/>
      <c r="FM24" s="3410"/>
      <c r="FN24" s="3410"/>
      <c r="FO24" s="3410"/>
      <c r="FP24" s="3410"/>
      <c r="FQ24" s="3410"/>
      <c r="FR24" s="3410"/>
      <c r="FS24" s="3410"/>
      <c r="FT24" s="3410"/>
      <c r="FU24" s="3410"/>
      <c r="FV24" s="3410"/>
      <c r="FW24" s="3410"/>
      <c r="FX24" s="3410"/>
      <c r="FY24" s="3410"/>
      <c r="FZ24" s="3410"/>
      <c r="GA24" s="3410"/>
      <c r="GB24" s="3410"/>
      <c r="GC24" s="3410"/>
      <c r="GD24" s="3410"/>
      <c r="GE24" s="3410"/>
      <c r="GF24" s="3410"/>
      <c r="GG24" s="3410"/>
      <c r="GH24" s="3410"/>
      <c r="GI24" s="3410"/>
      <c r="GJ24" s="3410"/>
      <c r="GK24" s="3410"/>
      <c r="GL24" s="3410"/>
      <c r="GM24" s="3410"/>
      <c r="GN24" s="3410"/>
      <c r="GO24" s="3410"/>
      <c r="GP24" s="3410"/>
      <c r="GQ24" s="3410"/>
      <c r="GR24" s="3410"/>
      <c r="GS24" s="3410"/>
      <c r="GT24" s="3410"/>
      <c r="GU24" s="3410"/>
      <c r="GV24" s="3410"/>
      <c r="GW24" s="3410"/>
      <c r="GX24" s="3410"/>
      <c r="GY24" s="3410"/>
      <c r="GZ24" s="3410"/>
      <c r="HA24" s="3410"/>
      <c r="HB24" s="3410"/>
      <c r="HC24" s="3410"/>
      <c r="HD24" s="3410"/>
      <c r="HE24" s="3410"/>
      <c r="HF24" s="3410"/>
      <c r="HG24" s="3410"/>
      <c r="HH24" s="3410"/>
      <c r="HI24" s="3410"/>
      <c r="HJ24" s="3410"/>
      <c r="HK24" s="3410"/>
      <c r="HL24" s="3410"/>
      <c r="HM24" s="3410"/>
      <c r="HN24" s="3410"/>
      <c r="HO24" s="3410"/>
      <c r="HP24" s="3410"/>
      <c r="HQ24" s="3410"/>
      <c r="HR24" s="3410"/>
      <c r="HS24" s="3410"/>
      <c r="HT24" s="3410"/>
      <c r="HU24" s="3410"/>
      <c r="HV24" s="3410"/>
      <c r="HW24" s="3410"/>
      <c r="HX24" s="3410"/>
      <c r="HY24" s="3410"/>
      <c r="HZ24" s="3410"/>
      <c r="IA24" s="3410"/>
      <c r="IB24" s="3410"/>
      <c r="IC24" s="3410"/>
      <c r="ID24" s="3410"/>
      <c r="IE24" s="3410"/>
      <c r="IF24" s="3410"/>
      <c r="IG24" s="3410"/>
      <c r="IH24" s="3410"/>
      <c r="II24" s="3410"/>
      <c r="IJ24" s="3410"/>
      <c r="IK24" s="3410"/>
      <c r="IL24" s="3410"/>
      <c r="IM24" s="3410"/>
      <c r="IN24" s="3410"/>
      <c r="IO24" s="3410"/>
      <c r="IP24" s="3410"/>
      <c r="IQ24" s="3410"/>
      <c r="IR24" s="3410"/>
      <c r="IS24" s="3410"/>
      <c r="IT24" s="3410"/>
      <c r="IU24" s="3410"/>
      <c r="IV24" s="3410"/>
    </row>
    <row r="25" spans="1:256" s="3409" customFormat="1" ht="20.100000000000001" customHeight="1">
      <c r="A25" s="3410" t="s">
        <v>2746</v>
      </c>
      <c r="B25" s="3410"/>
      <c r="C25" s="3410"/>
      <c r="D25" s="3410"/>
      <c r="E25" s="3410"/>
      <c r="F25" s="3410"/>
      <c r="G25" s="3410"/>
      <c r="H25" s="3410"/>
      <c r="I25" s="3410"/>
      <c r="J25" s="3410"/>
      <c r="K25" s="3410"/>
      <c r="L25" s="3410"/>
      <c r="M25" s="3410"/>
      <c r="N25" s="3410"/>
      <c r="O25" s="3410"/>
      <c r="P25" s="3410"/>
      <c r="Q25" s="3410"/>
      <c r="R25" s="3410"/>
      <c r="S25" s="3410"/>
      <c r="T25" s="3410"/>
      <c r="U25" s="3410"/>
      <c r="V25" s="3410"/>
      <c r="W25" s="3410"/>
      <c r="X25" s="3410"/>
      <c r="Y25" s="3410"/>
      <c r="Z25" s="3410"/>
      <c r="AA25" s="3410"/>
      <c r="AB25" s="3410"/>
      <c r="AC25" s="3410"/>
      <c r="AD25" s="3410"/>
      <c r="AE25" s="3410"/>
      <c r="AF25" s="3410"/>
      <c r="AG25" s="3410"/>
      <c r="AH25" s="3410"/>
      <c r="AI25" s="3410"/>
      <c r="AJ25" s="3410"/>
      <c r="AK25" s="3410"/>
      <c r="AL25" s="3410"/>
      <c r="AM25" s="3410"/>
      <c r="AN25" s="3410"/>
      <c r="AO25" s="3410"/>
      <c r="AP25" s="3410"/>
      <c r="AQ25" s="3410"/>
      <c r="AR25" s="3410"/>
      <c r="AS25" s="3410"/>
      <c r="AT25" s="3410"/>
      <c r="AU25" s="3410"/>
      <c r="AV25" s="3410"/>
      <c r="AW25" s="3410"/>
      <c r="AX25" s="3410"/>
      <c r="AY25" s="3410"/>
      <c r="AZ25" s="3410"/>
      <c r="BA25" s="3410"/>
      <c r="BB25" s="3410"/>
      <c r="BC25" s="3410"/>
      <c r="BD25" s="3410"/>
      <c r="BE25" s="3410"/>
      <c r="BF25" s="3410"/>
      <c r="BG25" s="3410"/>
      <c r="BH25" s="3410"/>
      <c r="BI25" s="3410"/>
      <c r="BJ25" s="3410"/>
      <c r="BK25" s="3410"/>
      <c r="BL25" s="3410"/>
      <c r="BM25" s="3410"/>
      <c r="BN25" s="3410"/>
      <c r="BO25" s="3410"/>
      <c r="BP25" s="3410"/>
      <c r="BQ25" s="3410"/>
      <c r="BR25" s="3410"/>
      <c r="BS25" s="3410"/>
      <c r="BT25" s="3410"/>
      <c r="BU25" s="3410"/>
      <c r="BV25" s="3410"/>
      <c r="BW25" s="3410"/>
      <c r="BX25" s="3410"/>
      <c r="BY25" s="3410"/>
      <c r="BZ25" s="3410"/>
      <c r="CA25" s="3410"/>
      <c r="CB25" s="3410"/>
      <c r="CC25" s="3410"/>
      <c r="CD25" s="3410"/>
      <c r="CE25" s="3410"/>
      <c r="CF25" s="3410"/>
      <c r="CG25" s="3410"/>
      <c r="CH25" s="3410"/>
      <c r="CI25" s="3410"/>
      <c r="CJ25" s="3410"/>
      <c r="CK25" s="3410"/>
      <c r="CL25" s="3410"/>
      <c r="CM25" s="3410"/>
      <c r="CN25" s="3410"/>
      <c r="CO25" s="3410"/>
      <c r="CP25" s="3410"/>
      <c r="CQ25" s="3410"/>
      <c r="CR25" s="3410"/>
      <c r="CS25" s="3410"/>
      <c r="CT25" s="3410"/>
      <c r="CU25" s="3410"/>
      <c r="CV25" s="3410"/>
      <c r="CW25" s="3410"/>
      <c r="CX25" s="3410"/>
      <c r="CY25" s="3410"/>
      <c r="CZ25" s="3410"/>
      <c r="DA25" s="3410"/>
      <c r="DB25" s="3410"/>
      <c r="DC25" s="3410"/>
      <c r="DD25" s="3410"/>
      <c r="DE25" s="3410"/>
      <c r="DF25" s="3410"/>
      <c r="DG25" s="3410"/>
      <c r="DH25" s="3410"/>
      <c r="DI25" s="3410"/>
      <c r="DJ25" s="3410"/>
      <c r="DK25" s="3410"/>
      <c r="DL25" s="3410"/>
      <c r="DM25" s="3410"/>
      <c r="DN25" s="3410"/>
      <c r="DO25" s="3410"/>
      <c r="DP25" s="3410"/>
      <c r="DQ25" s="3410"/>
      <c r="DR25" s="3410"/>
      <c r="DS25" s="3410"/>
      <c r="DT25" s="3410"/>
      <c r="DU25" s="3410"/>
      <c r="DV25" s="3410"/>
      <c r="DW25" s="3410"/>
      <c r="DX25" s="3410"/>
      <c r="DY25" s="3410"/>
      <c r="DZ25" s="3410"/>
      <c r="EA25" s="3410"/>
      <c r="EB25" s="3410"/>
      <c r="EC25" s="3410"/>
      <c r="ED25" s="3410"/>
      <c r="EE25" s="3410"/>
      <c r="EF25" s="3410"/>
      <c r="EG25" s="3410"/>
      <c r="EH25" s="3410"/>
      <c r="EI25" s="3410"/>
      <c r="EJ25" s="3410"/>
      <c r="EK25" s="3410"/>
      <c r="EL25" s="3410"/>
      <c r="EM25" s="3410"/>
      <c r="EN25" s="3410"/>
      <c r="EO25" s="3410"/>
      <c r="EP25" s="3410"/>
      <c r="EQ25" s="3410"/>
      <c r="ER25" s="3410"/>
      <c r="ES25" s="3410"/>
      <c r="ET25" s="3410"/>
      <c r="EU25" s="3410"/>
      <c r="EV25" s="3410"/>
      <c r="EW25" s="3410"/>
      <c r="EX25" s="3410"/>
      <c r="EY25" s="3410"/>
      <c r="EZ25" s="3410"/>
      <c r="FA25" s="3410"/>
      <c r="FB25" s="3410"/>
      <c r="FC25" s="3410"/>
      <c r="FD25" s="3410"/>
      <c r="FE25" s="3410"/>
      <c r="FF25" s="3410"/>
      <c r="FG25" s="3410"/>
      <c r="FH25" s="3410"/>
      <c r="FI25" s="3410"/>
      <c r="FJ25" s="3410"/>
      <c r="FK25" s="3410"/>
      <c r="FL25" s="3410"/>
      <c r="FM25" s="3410"/>
      <c r="FN25" s="3410"/>
      <c r="FO25" s="3410"/>
      <c r="FP25" s="3410"/>
      <c r="FQ25" s="3410"/>
      <c r="FR25" s="3410"/>
      <c r="FS25" s="3410"/>
      <c r="FT25" s="3410"/>
      <c r="FU25" s="3410"/>
      <c r="FV25" s="3410"/>
      <c r="FW25" s="3410"/>
      <c r="FX25" s="3410"/>
      <c r="FY25" s="3410"/>
      <c r="FZ25" s="3410"/>
      <c r="GA25" s="3410"/>
      <c r="GB25" s="3410"/>
      <c r="GC25" s="3410"/>
      <c r="GD25" s="3410"/>
      <c r="GE25" s="3410"/>
      <c r="GF25" s="3410"/>
      <c r="GG25" s="3410"/>
      <c r="GH25" s="3410"/>
      <c r="GI25" s="3410"/>
      <c r="GJ25" s="3410"/>
      <c r="GK25" s="3410"/>
      <c r="GL25" s="3410"/>
      <c r="GM25" s="3410"/>
      <c r="GN25" s="3410"/>
      <c r="GO25" s="3410"/>
      <c r="GP25" s="3410"/>
      <c r="GQ25" s="3410"/>
      <c r="GR25" s="3410"/>
      <c r="GS25" s="3410"/>
      <c r="GT25" s="3410"/>
      <c r="GU25" s="3410"/>
      <c r="GV25" s="3410"/>
      <c r="GW25" s="3410"/>
      <c r="GX25" s="3410"/>
      <c r="GY25" s="3410"/>
      <c r="GZ25" s="3410"/>
      <c r="HA25" s="3410"/>
      <c r="HB25" s="3410"/>
      <c r="HC25" s="3410"/>
      <c r="HD25" s="3410"/>
      <c r="HE25" s="3410"/>
      <c r="HF25" s="3410"/>
      <c r="HG25" s="3410"/>
      <c r="HH25" s="3410"/>
      <c r="HI25" s="3410"/>
      <c r="HJ25" s="3410"/>
      <c r="HK25" s="3410"/>
      <c r="HL25" s="3410"/>
      <c r="HM25" s="3410"/>
      <c r="HN25" s="3410"/>
      <c r="HO25" s="3410"/>
      <c r="HP25" s="3410"/>
      <c r="HQ25" s="3410"/>
      <c r="HR25" s="3410"/>
      <c r="HS25" s="3410"/>
      <c r="HT25" s="3410"/>
      <c r="HU25" s="3410"/>
      <c r="HV25" s="3410"/>
      <c r="HW25" s="3410"/>
      <c r="HX25" s="3410"/>
      <c r="HY25" s="3410"/>
      <c r="HZ25" s="3410"/>
      <c r="IA25" s="3410"/>
      <c r="IB25" s="3410"/>
      <c r="IC25" s="3410"/>
      <c r="ID25" s="3410"/>
      <c r="IE25" s="3410"/>
      <c r="IF25" s="3410"/>
      <c r="IG25" s="3410"/>
      <c r="IH25" s="3410"/>
      <c r="II25" s="3410"/>
      <c r="IJ25" s="3410"/>
      <c r="IK25" s="3410"/>
      <c r="IL25" s="3410"/>
      <c r="IM25" s="3410"/>
      <c r="IN25" s="3410"/>
      <c r="IO25" s="3410"/>
      <c r="IP25" s="3410"/>
      <c r="IQ25" s="3410"/>
      <c r="IR25" s="3410"/>
      <c r="IS25" s="3410"/>
      <c r="IT25" s="3410"/>
      <c r="IU25" s="3410"/>
      <c r="IV25" s="3410"/>
    </row>
    <row r="26" spans="1:256" s="3409" customFormat="1" ht="20.100000000000001" customHeight="1">
      <c r="A26" s="3410"/>
      <c r="B26" s="3410" t="s">
        <v>2747</v>
      </c>
      <c r="C26" s="3410"/>
      <c r="D26" s="3410"/>
      <c r="E26" s="3410"/>
      <c r="F26" s="3410"/>
      <c r="G26" s="3410"/>
      <c r="H26" s="3410"/>
      <c r="I26" s="3410"/>
      <c r="J26" s="3410"/>
      <c r="K26" s="3410"/>
      <c r="L26" s="3410"/>
      <c r="M26" s="3410"/>
      <c r="N26" s="3410"/>
      <c r="O26" s="3410"/>
      <c r="P26" s="3410"/>
      <c r="Q26" s="3410"/>
      <c r="R26" s="3410"/>
      <c r="S26" s="3410"/>
      <c r="T26" s="3410"/>
      <c r="U26" s="3410"/>
      <c r="V26" s="3410"/>
      <c r="W26" s="3410"/>
      <c r="X26" s="3410"/>
      <c r="Y26" s="3410"/>
      <c r="Z26" s="3410"/>
      <c r="AA26" s="3410"/>
      <c r="AB26" s="3410"/>
      <c r="AC26" s="3410"/>
      <c r="AD26" s="3410"/>
      <c r="AE26" s="3410"/>
      <c r="AF26" s="3410"/>
      <c r="AG26" s="3410"/>
      <c r="AH26" s="3410"/>
      <c r="AI26" s="3410"/>
      <c r="AJ26" s="3410"/>
      <c r="AK26" s="3410"/>
      <c r="AL26" s="3410"/>
      <c r="AM26" s="3410"/>
      <c r="AN26" s="3410"/>
      <c r="AO26" s="3410"/>
      <c r="AP26" s="3410"/>
      <c r="AQ26" s="3410"/>
      <c r="AR26" s="3410"/>
      <c r="AS26" s="3410"/>
      <c r="AT26" s="3410"/>
      <c r="AU26" s="3410"/>
      <c r="AV26" s="3410"/>
      <c r="AW26" s="3410"/>
      <c r="AX26" s="3410"/>
      <c r="AY26" s="3410"/>
      <c r="AZ26" s="3410"/>
      <c r="BA26" s="3410"/>
      <c r="BB26" s="3410"/>
      <c r="BC26" s="3410"/>
      <c r="BD26" s="3410"/>
      <c r="BE26" s="3410"/>
      <c r="BF26" s="3410"/>
      <c r="BG26" s="3410"/>
      <c r="BH26" s="3410"/>
      <c r="BI26" s="3410"/>
      <c r="BJ26" s="3410"/>
      <c r="BK26" s="3410"/>
      <c r="BL26" s="3410"/>
      <c r="BM26" s="3410"/>
      <c r="BN26" s="3410"/>
      <c r="BO26" s="3410"/>
      <c r="BP26" s="3410"/>
      <c r="BQ26" s="3410"/>
      <c r="BR26" s="3410"/>
      <c r="BS26" s="3410"/>
      <c r="BT26" s="3410"/>
      <c r="BU26" s="3410"/>
      <c r="BV26" s="3410"/>
      <c r="BW26" s="3410"/>
      <c r="BX26" s="3410"/>
      <c r="BY26" s="3410"/>
      <c r="BZ26" s="3410"/>
      <c r="CA26" s="3410"/>
      <c r="CB26" s="3410"/>
      <c r="CC26" s="3410"/>
      <c r="CD26" s="3410"/>
      <c r="CE26" s="3410"/>
      <c r="CF26" s="3410"/>
      <c r="CG26" s="3410"/>
      <c r="CH26" s="3410"/>
      <c r="CI26" s="3410"/>
      <c r="CJ26" s="3410"/>
      <c r="CK26" s="3410"/>
      <c r="CL26" s="3410"/>
      <c r="CM26" s="3410"/>
      <c r="CN26" s="3410"/>
      <c r="CO26" s="3410"/>
      <c r="CP26" s="3410"/>
      <c r="CQ26" s="3410"/>
      <c r="CR26" s="3410"/>
      <c r="CS26" s="3410"/>
      <c r="CT26" s="3410"/>
      <c r="CU26" s="3410"/>
      <c r="CV26" s="3410"/>
      <c r="CW26" s="3410"/>
      <c r="CX26" s="3410"/>
      <c r="CY26" s="3410"/>
      <c r="CZ26" s="3410"/>
      <c r="DA26" s="3410"/>
      <c r="DB26" s="3410"/>
      <c r="DC26" s="3410"/>
      <c r="DD26" s="3410"/>
      <c r="DE26" s="3410"/>
      <c r="DF26" s="3410"/>
      <c r="DG26" s="3410"/>
      <c r="DH26" s="3410"/>
      <c r="DI26" s="3410"/>
      <c r="DJ26" s="3410"/>
      <c r="DK26" s="3410"/>
      <c r="DL26" s="3410"/>
      <c r="DM26" s="3410"/>
      <c r="DN26" s="3410"/>
      <c r="DO26" s="3410"/>
      <c r="DP26" s="3410"/>
      <c r="DQ26" s="3410"/>
      <c r="DR26" s="3410"/>
      <c r="DS26" s="3410"/>
      <c r="DT26" s="3410"/>
      <c r="DU26" s="3410"/>
      <c r="DV26" s="3410"/>
      <c r="DW26" s="3410"/>
      <c r="DX26" s="3410"/>
      <c r="DY26" s="3410"/>
      <c r="DZ26" s="3410"/>
      <c r="EA26" s="3410"/>
      <c r="EB26" s="3410"/>
      <c r="EC26" s="3410"/>
      <c r="ED26" s="3410"/>
      <c r="EE26" s="3410"/>
      <c r="EF26" s="3410"/>
      <c r="EG26" s="3410"/>
      <c r="EH26" s="3410"/>
      <c r="EI26" s="3410"/>
      <c r="EJ26" s="3410"/>
      <c r="EK26" s="3410"/>
      <c r="EL26" s="3410"/>
      <c r="EM26" s="3410"/>
      <c r="EN26" s="3410"/>
      <c r="EO26" s="3410"/>
      <c r="EP26" s="3410"/>
      <c r="EQ26" s="3410"/>
      <c r="ER26" s="3410"/>
      <c r="ES26" s="3410"/>
      <c r="ET26" s="3410"/>
      <c r="EU26" s="3410"/>
      <c r="EV26" s="3410"/>
      <c r="EW26" s="3410"/>
      <c r="EX26" s="3410"/>
      <c r="EY26" s="3410"/>
      <c r="EZ26" s="3410"/>
      <c r="FA26" s="3410"/>
      <c r="FB26" s="3410"/>
      <c r="FC26" s="3410"/>
      <c r="FD26" s="3410"/>
      <c r="FE26" s="3410"/>
      <c r="FF26" s="3410"/>
      <c r="FG26" s="3410"/>
      <c r="FH26" s="3410"/>
      <c r="FI26" s="3410"/>
      <c r="FJ26" s="3410"/>
      <c r="FK26" s="3410"/>
      <c r="FL26" s="3410"/>
      <c r="FM26" s="3410"/>
      <c r="FN26" s="3410"/>
      <c r="FO26" s="3410"/>
      <c r="FP26" s="3410"/>
      <c r="FQ26" s="3410"/>
      <c r="FR26" s="3410"/>
      <c r="FS26" s="3410"/>
      <c r="FT26" s="3410"/>
      <c r="FU26" s="3410"/>
      <c r="FV26" s="3410"/>
      <c r="FW26" s="3410"/>
      <c r="FX26" s="3410"/>
      <c r="FY26" s="3410"/>
      <c r="FZ26" s="3410"/>
      <c r="GA26" s="3410"/>
      <c r="GB26" s="3410"/>
      <c r="GC26" s="3410"/>
      <c r="GD26" s="3410"/>
      <c r="GE26" s="3410"/>
      <c r="GF26" s="3410"/>
      <c r="GG26" s="3410"/>
      <c r="GH26" s="3410"/>
      <c r="GI26" s="3410"/>
      <c r="GJ26" s="3410"/>
      <c r="GK26" s="3410"/>
      <c r="GL26" s="3410"/>
      <c r="GM26" s="3410"/>
      <c r="GN26" s="3410"/>
      <c r="GO26" s="3410"/>
      <c r="GP26" s="3410"/>
      <c r="GQ26" s="3410"/>
      <c r="GR26" s="3410"/>
      <c r="GS26" s="3410"/>
      <c r="GT26" s="3410"/>
      <c r="GU26" s="3410"/>
      <c r="GV26" s="3410"/>
      <c r="GW26" s="3410"/>
      <c r="GX26" s="3410"/>
      <c r="GY26" s="3410"/>
      <c r="GZ26" s="3410"/>
      <c r="HA26" s="3410"/>
      <c r="HB26" s="3410"/>
      <c r="HC26" s="3410"/>
      <c r="HD26" s="3410"/>
      <c r="HE26" s="3410"/>
      <c r="HF26" s="3410"/>
      <c r="HG26" s="3410"/>
      <c r="HH26" s="3410"/>
      <c r="HI26" s="3410"/>
      <c r="HJ26" s="3410"/>
      <c r="HK26" s="3410"/>
      <c r="HL26" s="3410"/>
      <c r="HM26" s="3410"/>
      <c r="HN26" s="3410"/>
      <c r="HO26" s="3410"/>
      <c r="HP26" s="3410"/>
      <c r="HQ26" s="3410"/>
      <c r="HR26" s="3410"/>
      <c r="HS26" s="3410"/>
      <c r="HT26" s="3410"/>
      <c r="HU26" s="3410"/>
      <c r="HV26" s="3410"/>
      <c r="HW26" s="3410"/>
      <c r="HX26" s="3410"/>
      <c r="HY26" s="3410"/>
      <c r="HZ26" s="3410"/>
      <c r="IA26" s="3410"/>
      <c r="IB26" s="3410"/>
      <c r="IC26" s="3410"/>
      <c r="ID26" s="3410"/>
      <c r="IE26" s="3410"/>
      <c r="IF26" s="3410"/>
      <c r="IG26" s="3410"/>
      <c r="IH26" s="3410"/>
      <c r="II26" s="3410"/>
      <c r="IJ26" s="3410"/>
      <c r="IK26" s="3410"/>
      <c r="IL26" s="3410"/>
      <c r="IM26" s="3410"/>
      <c r="IN26" s="3410"/>
      <c r="IO26" s="3410"/>
      <c r="IP26" s="3410"/>
      <c r="IQ26" s="3410"/>
      <c r="IR26" s="3410"/>
      <c r="IS26" s="3410"/>
      <c r="IT26" s="3410"/>
      <c r="IU26" s="3410"/>
      <c r="IV26" s="3410"/>
    </row>
    <row r="27" spans="1:256" s="3409" customFormat="1" ht="20.100000000000001" customHeight="1">
      <c r="A27" s="3410"/>
      <c r="B27" s="3410"/>
      <c r="C27" s="3410"/>
      <c r="D27" s="3410"/>
      <c r="E27" s="3410"/>
      <c r="F27" s="3410"/>
      <c r="G27" s="3410"/>
      <c r="H27" s="3410"/>
      <c r="I27" s="3410"/>
      <c r="J27" s="3410"/>
      <c r="K27" s="3410"/>
      <c r="L27" s="3410"/>
      <c r="M27" s="3410"/>
      <c r="N27" s="3410"/>
      <c r="O27" s="3410"/>
      <c r="P27" s="3410"/>
      <c r="Q27" s="3410"/>
      <c r="R27" s="3410"/>
      <c r="S27" s="3410"/>
      <c r="T27" s="3410"/>
      <c r="U27" s="3410"/>
      <c r="V27" s="3410"/>
      <c r="W27" s="3410"/>
      <c r="X27" s="3410"/>
      <c r="Y27" s="3410"/>
      <c r="Z27" s="3410"/>
      <c r="AA27" s="3410"/>
      <c r="AB27" s="3410"/>
      <c r="AC27" s="3410"/>
      <c r="AD27" s="3410"/>
      <c r="AE27" s="3410"/>
      <c r="AF27" s="3410"/>
      <c r="AG27" s="3410"/>
      <c r="AH27" s="3410"/>
      <c r="AI27" s="3410"/>
      <c r="AJ27" s="3410"/>
      <c r="AK27" s="3410"/>
      <c r="AL27" s="3410"/>
      <c r="AM27" s="3410"/>
      <c r="AN27" s="3410"/>
      <c r="AO27" s="3410"/>
      <c r="AP27" s="3410"/>
      <c r="AQ27" s="3410"/>
      <c r="AR27" s="3410"/>
      <c r="AS27" s="3410"/>
      <c r="AT27" s="3410"/>
      <c r="AU27" s="3410"/>
      <c r="AV27" s="3410"/>
      <c r="AW27" s="3410"/>
      <c r="AX27" s="3410"/>
      <c r="AY27" s="3410"/>
      <c r="AZ27" s="3410"/>
      <c r="BA27" s="3410"/>
      <c r="BB27" s="3410"/>
      <c r="BC27" s="3410"/>
      <c r="BD27" s="3410"/>
      <c r="BE27" s="3410"/>
      <c r="BF27" s="3410"/>
      <c r="BG27" s="3410"/>
      <c r="BH27" s="3410"/>
      <c r="BI27" s="3410"/>
      <c r="BJ27" s="3410"/>
      <c r="BK27" s="3410"/>
      <c r="BL27" s="3410"/>
      <c r="BM27" s="3410"/>
      <c r="BN27" s="3410"/>
      <c r="BO27" s="3410"/>
      <c r="BP27" s="3410"/>
      <c r="BQ27" s="3410"/>
      <c r="BR27" s="3410"/>
      <c r="BS27" s="3410"/>
      <c r="BT27" s="3410"/>
      <c r="BU27" s="3410"/>
      <c r="BV27" s="3410"/>
      <c r="BW27" s="3410"/>
      <c r="BX27" s="3410"/>
      <c r="BY27" s="3410"/>
      <c r="BZ27" s="3410"/>
      <c r="CA27" s="3410"/>
      <c r="CB27" s="3410"/>
      <c r="CC27" s="3410"/>
      <c r="CD27" s="3410"/>
      <c r="CE27" s="3410"/>
      <c r="CF27" s="3410"/>
      <c r="CG27" s="3410"/>
      <c r="CH27" s="3410"/>
      <c r="CI27" s="3410"/>
      <c r="CJ27" s="3410"/>
      <c r="CK27" s="3410"/>
      <c r="CL27" s="3410"/>
      <c r="CM27" s="3410"/>
      <c r="CN27" s="3410"/>
      <c r="CO27" s="3410"/>
      <c r="CP27" s="3410"/>
      <c r="CQ27" s="3410"/>
      <c r="CR27" s="3410"/>
      <c r="CS27" s="3410"/>
      <c r="CT27" s="3410"/>
      <c r="CU27" s="3410"/>
      <c r="CV27" s="3410"/>
      <c r="CW27" s="3410"/>
      <c r="CX27" s="3410"/>
      <c r="CY27" s="3410"/>
      <c r="CZ27" s="3410"/>
      <c r="DA27" s="3410"/>
      <c r="DB27" s="3410"/>
      <c r="DC27" s="3410"/>
      <c r="DD27" s="3410"/>
      <c r="DE27" s="3410"/>
      <c r="DF27" s="3410"/>
      <c r="DG27" s="3410"/>
      <c r="DH27" s="3410"/>
      <c r="DI27" s="3410"/>
      <c r="DJ27" s="3410"/>
      <c r="DK27" s="3410"/>
      <c r="DL27" s="3410"/>
      <c r="DM27" s="3410"/>
      <c r="DN27" s="3410"/>
      <c r="DO27" s="3410"/>
      <c r="DP27" s="3410"/>
      <c r="DQ27" s="3410"/>
      <c r="DR27" s="3410"/>
      <c r="DS27" s="3410"/>
      <c r="DT27" s="3410"/>
      <c r="DU27" s="3410"/>
      <c r="DV27" s="3410"/>
      <c r="DW27" s="3410"/>
      <c r="DX27" s="3410"/>
      <c r="DY27" s="3410"/>
      <c r="DZ27" s="3410"/>
      <c r="EA27" s="3410"/>
      <c r="EB27" s="3410"/>
      <c r="EC27" s="3410"/>
      <c r="ED27" s="3410"/>
      <c r="EE27" s="3410"/>
      <c r="EF27" s="3410"/>
      <c r="EG27" s="3410"/>
      <c r="EH27" s="3410"/>
      <c r="EI27" s="3410"/>
      <c r="EJ27" s="3410"/>
      <c r="EK27" s="3410"/>
      <c r="EL27" s="3410"/>
      <c r="EM27" s="3410"/>
      <c r="EN27" s="3410"/>
      <c r="EO27" s="3410"/>
      <c r="EP27" s="3410"/>
      <c r="EQ27" s="3410"/>
      <c r="ER27" s="3410"/>
      <c r="ES27" s="3410"/>
      <c r="ET27" s="3410"/>
      <c r="EU27" s="3410"/>
      <c r="EV27" s="3410"/>
      <c r="EW27" s="3410"/>
      <c r="EX27" s="3410"/>
      <c r="EY27" s="3410"/>
      <c r="EZ27" s="3410"/>
      <c r="FA27" s="3410"/>
      <c r="FB27" s="3410"/>
      <c r="FC27" s="3410"/>
      <c r="FD27" s="3410"/>
      <c r="FE27" s="3410"/>
      <c r="FF27" s="3410"/>
      <c r="FG27" s="3410"/>
      <c r="FH27" s="3410"/>
      <c r="FI27" s="3410"/>
      <c r="FJ27" s="3410"/>
      <c r="FK27" s="3410"/>
      <c r="FL27" s="3410"/>
      <c r="FM27" s="3410"/>
      <c r="FN27" s="3410"/>
      <c r="FO27" s="3410"/>
      <c r="FP27" s="3410"/>
      <c r="FQ27" s="3410"/>
      <c r="FR27" s="3410"/>
      <c r="FS27" s="3410"/>
      <c r="FT27" s="3410"/>
      <c r="FU27" s="3410"/>
      <c r="FV27" s="3410"/>
      <c r="FW27" s="3410"/>
      <c r="FX27" s="3410"/>
      <c r="FY27" s="3410"/>
      <c r="FZ27" s="3410"/>
      <c r="GA27" s="3410"/>
      <c r="GB27" s="3410"/>
      <c r="GC27" s="3410"/>
      <c r="GD27" s="3410"/>
      <c r="GE27" s="3410"/>
      <c r="GF27" s="3410"/>
      <c r="GG27" s="3410"/>
      <c r="GH27" s="3410"/>
      <c r="GI27" s="3410"/>
      <c r="GJ27" s="3410"/>
      <c r="GK27" s="3410"/>
      <c r="GL27" s="3410"/>
      <c r="GM27" s="3410"/>
      <c r="GN27" s="3410"/>
      <c r="GO27" s="3410"/>
      <c r="GP27" s="3410"/>
      <c r="GQ27" s="3410"/>
      <c r="GR27" s="3410"/>
      <c r="GS27" s="3410"/>
      <c r="GT27" s="3410"/>
      <c r="GU27" s="3410"/>
      <c r="GV27" s="3410"/>
      <c r="GW27" s="3410"/>
      <c r="GX27" s="3410"/>
      <c r="GY27" s="3410"/>
      <c r="GZ27" s="3410"/>
      <c r="HA27" s="3410"/>
      <c r="HB27" s="3410"/>
      <c r="HC27" s="3410"/>
      <c r="HD27" s="3410"/>
      <c r="HE27" s="3410"/>
      <c r="HF27" s="3410"/>
      <c r="HG27" s="3410"/>
      <c r="HH27" s="3410"/>
      <c r="HI27" s="3410"/>
      <c r="HJ27" s="3410"/>
      <c r="HK27" s="3410"/>
      <c r="HL27" s="3410"/>
      <c r="HM27" s="3410"/>
      <c r="HN27" s="3410"/>
      <c r="HO27" s="3410"/>
      <c r="HP27" s="3410"/>
      <c r="HQ27" s="3410"/>
      <c r="HR27" s="3410"/>
      <c r="HS27" s="3410"/>
      <c r="HT27" s="3410"/>
      <c r="HU27" s="3410"/>
      <c r="HV27" s="3410"/>
      <c r="HW27" s="3410"/>
      <c r="HX27" s="3410"/>
      <c r="HY27" s="3410"/>
      <c r="HZ27" s="3410"/>
      <c r="IA27" s="3410"/>
      <c r="IB27" s="3410"/>
      <c r="IC27" s="3410"/>
      <c r="ID27" s="3410"/>
      <c r="IE27" s="3410"/>
      <c r="IF27" s="3410"/>
      <c r="IG27" s="3410"/>
      <c r="IH27" s="3410"/>
      <c r="II27" s="3410"/>
      <c r="IJ27" s="3410"/>
      <c r="IK27" s="3410"/>
      <c r="IL27" s="3410"/>
      <c r="IM27" s="3410"/>
      <c r="IN27" s="3410"/>
      <c r="IO27" s="3410"/>
      <c r="IP27" s="3410"/>
      <c r="IQ27" s="3410"/>
      <c r="IR27" s="3410"/>
      <c r="IS27" s="3410"/>
      <c r="IT27" s="3410"/>
      <c r="IU27" s="3410"/>
      <c r="IV27" s="3410"/>
    </row>
    <row r="28" spans="1:256" s="3409" customFormat="1" ht="20.100000000000001" customHeight="1">
      <c r="A28" s="3410"/>
      <c r="B28" s="3410"/>
      <c r="C28" s="3410"/>
      <c r="D28" s="3410"/>
      <c r="E28" s="3410"/>
      <c r="F28" s="3410"/>
      <c r="G28" s="3410"/>
      <c r="H28" s="3410"/>
      <c r="I28" s="3410"/>
      <c r="J28" s="3410"/>
      <c r="K28" s="3410"/>
      <c r="L28" s="3410"/>
      <c r="M28" s="3410"/>
      <c r="N28" s="3410"/>
      <c r="O28" s="3410"/>
      <c r="P28" s="3410"/>
      <c r="Q28" s="3410"/>
      <c r="R28" s="3410"/>
      <c r="S28" s="3410"/>
      <c r="T28" s="3410"/>
      <c r="U28" s="3410"/>
      <c r="V28" s="3410"/>
      <c r="W28" s="3410"/>
      <c r="X28" s="3410"/>
      <c r="Y28" s="3410"/>
      <c r="Z28" s="3410"/>
      <c r="AA28" s="3410"/>
      <c r="AB28" s="3410"/>
      <c r="AC28" s="3410"/>
      <c r="AD28" s="3410"/>
      <c r="AE28" s="3410"/>
      <c r="AF28" s="3410"/>
      <c r="AG28" s="3410"/>
      <c r="AH28" s="3410"/>
      <c r="AI28" s="3410"/>
      <c r="AJ28" s="3410"/>
      <c r="AK28" s="3410"/>
      <c r="AL28" s="3410"/>
      <c r="AM28" s="3410"/>
      <c r="AN28" s="3410"/>
      <c r="AO28" s="3410"/>
      <c r="AP28" s="3410"/>
      <c r="AQ28" s="3410"/>
      <c r="AR28" s="3410"/>
      <c r="AS28" s="3410"/>
      <c r="AT28" s="3410"/>
      <c r="AU28" s="3410"/>
      <c r="AV28" s="3410"/>
      <c r="AW28" s="3410"/>
      <c r="AX28" s="3410"/>
      <c r="AY28" s="3410"/>
      <c r="AZ28" s="3410"/>
      <c r="BA28" s="3410"/>
      <c r="BB28" s="3410"/>
      <c r="BC28" s="3410"/>
      <c r="BD28" s="3410"/>
      <c r="BE28" s="3410"/>
      <c r="BF28" s="3410"/>
      <c r="BG28" s="3410"/>
      <c r="BH28" s="3410"/>
      <c r="BI28" s="3410"/>
      <c r="BJ28" s="3410"/>
      <c r="BK28" s="3410"/>
      <c r="BL28" s="3410"/>
      <c r="BM28" s="3410"/>
      <c r="BN28" s="3410"/>
      <c r="BO28" s="3410"/>
      <c r="BP28" s="3410"/>
      <c r="BQ28" s="3410"/>
      <c r="BR28" s="3410"/>
      <c r="BS28" s="3410"/>
      <c r="BT28" s="3410"/>
      <c r="BU28" s="3410"/>
      <c r="BV28" s="3410"/>
      <c r="BW28" s="3410"/>
      <c r="BX28" s="3410"/>
      <c r="BY28" s="3410"/>
      <c r="BZ28" s="3410"/>
      <c r="CA28" s="3410"/>
      <c r="CB28" s="3410"/>
      <c r="CC28" s="3410"/>
      <c r="CD28" s="3410"/>
      <c r="CE28" s="3410"/>
      <c r="CF28" s="3410"/>
      <c r="CG28" s="3410"/>
      <c r="CH28" s="3410"/>
      <c r="CI28" s="3410"/>
      <c r="CJ28" s="3410"/>
      <c r="CK28" s="3410"/>
      <c r="CL28" s="3410"/>
      <c r="CM28" s="3410"/>
      <c r="CN28" s="3410"/>
      <c r="CO28" s="3410"/>
      <c r="CP28" s="3410"/>
      <c r="CQ28" s="3410"/>
      <c r="CR28" s="3410"/>
      <c r="CS28" s="3410"/>
      <c r="CT28" s="3410"/>
      <c r="CU28" s="3410"/>
      <c r="CV28" s="3410"/>
      <c r="CW28" s="3410"/>
      <c r="CX28" s="3410"/>
      <c r="CY28" s="3410"/>
      <c r="CZ28" s="3410"/>
      <c r="DA28" s="3410"/>
      <c r="DB28" s="3410"/>
      <c r="DC28" s="3410"/>
      <c r="DD28" s="3410"/>
      <c r="DE28" s="3410"/>
      <c r="DF28" s="3410"/>
      <c r="DG28" s="3410"/>
      <c r="DH28" s="3410"/>
      <c r="DI28" s="3410"/>
      <c r="DJ28" s="3410"/>
      <c r="DK28" s="3410"/>
      <c r="DL28" s="3410"/>
      <c r="DM28" s="3410"/>
      <c r="DN28" s="3410"/>
      <c r="DO28" s="3410"/>
      <c r="DP28" s="3410"/>
      <c r="DQ28" s="3410"/>
      <c r="DR28" s="3410"/>
      <c r="DS28" s="3410"/>
      <c r="DT28" s="3410"/>
      <c r="DU28" s="3410"/>
      <c r="DV28" s="3410"/>
      <c r="DW28" s="3410"/>
      <c r="DX28" s="3410"/>
      <c r="DY28" s="3410"/>
      <c r="DZ28" s="3410"/>
      <c r="EA28" s="3410"/>
      <c r="EB28" s="3410"/>
      <c r="EC28" s="3410"/>
      <c r="ED28" s="3410"/>
      <c r="EE28" s="3410"/>
      <c r="EF28" s="3410"/>
      <c r="EG28" s="3410"/>
      <c r="EH28" s="3410"/>
      <c r="EI28" s="3410"/>
      <c r="EJ28" s="3410"/>
      <c r="EK28" s="3410"/>
      <c r="EL28" s="3410"/>
      <c r="EM28" s="3410"/>
      <c r="EN28" s="3410"/>
      <c r="EO28" s="3410"/>
      <c r="EP28" s="3410"/>
      <c r="EQ28" s="3410"/>
      <c r="ER28" s="3410"/>
      <c r="ES28" s="3410"/>
      <c r="ET28" s="3410"/>
      <c r="EU28" s="3410"/>
      <c r="EV28" s="3410"/>
      <c r="EW28" s="3410"/>
      <c r="EX28" s="3410"/>
      <c r="EY28" s="3410"/>
      <c r="EZ28" s="3410"/>
      <c r="FA28" s="3410"/>
      <c r="FB28" s="3410"/>
      <c r="FC28" s="3410"/>
      <c r="FD28" s="3410"/>
      <c r="FE28" s="3410"/>
      <c r="FF28" s="3410"/>
      <c r="FG28" s="3410"/>
      <c r="FH28" s="3410"/>
      <c r="FI28" s="3410"/>
      <c r="FJ28" s="3410"/>
      <c r="FK28" s="3410"/>
      <c r="FL28" s="3410"/>
      <c r="FM28" s="3410"/>
      <c r="FN28" s="3410"/>
      <c r="FO28" s="3410"/>
      <c r="FP28" s="3410"/>
      <c r="FQ28" s="3410"/>
      <c r="FR28" s="3410"/>
      <c r="FS28" s="3410"/>
      <c r="FT28" s="3410"/>
      <c r="FU28" s="3410"/>
      <c r="FV28" s="3410"/>
      <c r="FW28" s="3410"/>
      <c r="FX28" s="3410"/>
      <c r="FY28" s="3410"/>
      <c r="FZ28" s="3410"/>
      <c r="GA28" s="3410"/>
      <c r="GB28" s="3410"/>
      <c r="GC28" s="3410"/>
      <c r="GD28" s="3410"/>
      <c r="GE28" s="3410"/>
      <c r="GF28" s="3410"/>
      <c r="GG28" s="3410"/>
      <c r="GH28" s="3410"/>
      <c r="GI28" s="3410"/>
      <c r="GJ28" s="3410"/>
      <c r="GK28" s="3410"/>
      <c r="GL28" s="3410"/>
      <c r="GM28" s="3410"/>
      <c r="GN28" s="3410"/>
      <c r="GO28" s="3410"/>
      <c r="GP28" s="3410"/>
      <c r="GQ28" s="3410"/>
      <c r="GR28" s="3410"/>
      <c r="GS28" s="3410"/>
      <c r="GT28" s="3410"/>
      <c r="GU28" s="3410"/>
      <c r="GV28" s="3410"/>
      <c r="GW28" s="3410"/>
      <c r="GX28" s="3410"/>
      <c r="GY28" s="3410"/>
      <c r="GZ28" s="3410"/>
      <c r="HA28" s="3410"/>
      <c r="HB28" s="3410"/>
      <c r="HC28" s="3410"/>
      <c r="HD28" s="3410"/>
      <c r="HE28" s="3410"/>
      <c r="HF28" s="3410"/>
      <c r="HG28" s="3410"/>
      <c r="HH28" s="3410"/>
      <c r="HI28" s="3410"/>
      <c r="HJ28" s="3410"/>
      <c r="HK28" s="3410"/>
      <c r="HL28" s="3410"/>
      <c r="HM28" s="3410"/>
      <c r="HN28" s="3410"/>
      <c r="HO28" s="3410"/>
      <c r="HP28" s="3410"/>
      <c r="HQ28" s="3410"/>
      <c r="HR28" s="3410"/>
      <c r="HS28" s="3410"/>
      <c r="HT28" s="3410"/>
      <c r="HU28" s="3410"/>
      <c r="HV28" s="3410"/>
      <c r="HW28" s="3410"/>
      <c r="HX28" s="3410"/>
      <c r="HY28" s="3410"/>
      <c r="HZ28" s="3410"/>
      <c r="IA28" s="3410"/>
      <c r="IB28" s="3410"/>
      <c r="IC28" s="3410"/>
      <c r="ID28" s="3410"/>
      <c r="IE28" s="3410"/>
      <c r="IF28" s="3410"/>
      <c r="IG28" s="3410"/>
      <c r="IH28" s="3410"/>
      <c r="II28" s="3410"/>
      <c r="IJ28" s="3410"/>
      <c r="IK28" s="3410"/>
      <c r="IL28" s="3410"/>
      <c r="IM28" s="3410"/>
      <c r="IN28" s="3410"/>
      <c r="IO28" s="3410"/>
      <c r="IP28" s="3410"/>
      <c r="IQ28" s="3410"/>
      <c r="IR28" s="3410"/>
      <c r="IS28" s="3410"/>
      <c r="IT28" s="3410"/>
      <c r="IU28" s="3410"/>
      <c r="IV28" s="3410"/>
    </row>
    <row r="29" spans="1:256" s="3409" customFormat="1" ht="20.100000000000001" customHeight="1">
      <c r="A29" s="3410"/>
      <c r="B29" s="3410"/>
      <c r="C29" s="3410"/>
      <c r="D29" s="3410"/>
      <c r="E29" s="3410"/>
      <c r="F29" s="3410"/>
      <c r="G29" s="3410"/>
      <c r="H29" s="3410"/>
      <c r="I29" s="3410"/>
      <c r="J29" s="3410"/>
      <c r="K29" s="3410"/>
      <c r="L29" s="3410"/>
      <c r="M29" s="3410"/>
      <c r="N29" s="3410"/>
      <c r="O29" s="3410"/>
      <c r="P29" s="3410"/>
      <c r="Q29" s="3410"/>
      <c r="R29" s="3410"/>
      <c r="S29" s="3410"/>
      <c r="T29" s="3410"/>
      <c r="U29" s="3410"/>
      <c r="V29" s="3410"/>
      <c r="W29" s="3410"/>
      <c r="X29" s="3410"/>
      <c r="Y29" s="3410"/>
      <c r="Z29" s="3410"/>
      <c r="AA29" s="3410"/>
      <c r="AB29" s="3410"/>
      <c r="AC29" s="3410"/>
      <c r="AD29" s="3410"/>
      <c r="AE29" s="3410"/>
      <c r="AF29" s="3410"/>
      <c r="AG29" s="3410"/>
      <c r="AH29" s="3410"/>
      <c r="AI29" s="3410"/>
      <c r="AJ29" s="3410"/>
      <c r="AK29" s="3410"/>
      <c r="AL29" s="3410"/>
      <c r="AM29" s="3410"/>
      <c r="AN29" s="3410"/>
      <c r="AO29" s="3410"/>
      <c r="AP29" s="3410"/>
      <c r="AQ29" s="3410"/>
      <c r="AR29" s="3410"/>
      <c r="AS29" s="3410"/>
      <c r="AT29" s="3410"/>
      <c r="AU29" s="3410"/>
      <c r="AV29" s="3410"/>
      <c r="AW29" s="3410"/>
      <c r="AX29" s="3410"/>
      <c r="AY29" s="3410"/>
      <c r="AZ29" s="3410"/>
      <c r="BA29" s="3410"/>
      <c r="BB29" s="3410"/>
      <c r="BC29" s="3410"/>
      <c r="BD29" s="3410"/>
      <c r="BE29" s="3410"/>
      <c r="BF29" s="3410"/>
      <c r="BG29" s="3410"/>
      <c r="BH29" s="3410"/>
      <c r="BI29" s="3410"/>
      <c r="BJ29" s="3410"/>
      <c r="BK29" s="3410"/>
      <c r="BL29" s="3410"/>
      <c r="BM29" s="3410"/>
      <c r="BN29" s="3410"/>
      <c r="BO29" s="3410"/>
      <c r="BP29" s="3410"/>
      <c r="BQ29" s="3410"/>
      <c r="BR29" s="3410"/>
      <c r="BS29" s="3410"/>
      <c r="BT29" s="3410"/>
      <c r="BU29" s="3410"/>
      <c r="BV29" s="3410"/>
      <c r="BW29" s="3410"/>
      <c r="BX29" s="3410"/>
      <c r="BY29" s="3410"/>
      <c r="BZ29" s="3410"/>
      <c r="CA29" s="3410"/>
      <c r="CB29" s="3410"/>
      <c r="CC29" s="3410"/>
      <c r="CD29" s="3410"/>
      <c r="CE29" s="3410"/>
      <c r="CF29" s="3410"/>
      <c r="CG29" s="3410"/>
      <c r="CH29" s="3410"/>
      <c r="CI29" s="3410"/>
      <c r="CJ29" s="3410"/>
      <c r="CK29" s="3410"/>
      <c r="CL29" s="3410"/>
      <c r="CM29" s="3410"/>
      <c r="CN29" s="3410"/>
      <c r="CO29" s="3410"/>
      <c r="CP29" s="3410"/>
      <c r="CQ29" s="3410"/>
      <c r="CR29" s="3410"/>
      <c r="CS29" s="3410"/>
      <c r="CT29" s="3410"/>
      <c r="CU29" s="3410"/>
      <c r="CV29" s="3410"/>
      <c r="CW29" s="3410"/>
      <c r="CX29" s="3410"/>
      <c r="CY29" s="3410"/>
      <c r="CZ29" s="3410"/>
      <c r="DA29" s="3410"/>
      <c r="DB29" s="3410"/>
      <c r="DC29" s="3410"/>
      <c r="DD29" s="3410"/>
      <c r="DE29" s="3410"/>
      <c r="DF29" s="3410"/>
      <c r="DG29" s="3410"/>
      <c r="DH29" s="3410"/>
      <c r="DI29" s="3410"/>
      <c r="DJ29" s="3410"/>
      <c r="DK29" s="3410"/>
      <c r="DL29" s="3410"/>
      <c r="DM29" s="3410"/>
      <c r="DN29" s="3410"/>
      <c r="DO29" s="3410"/>
      <c r="DP29" s="3410"/>
      <c r="DQ29" s="3410"/>
      <c r="DR29" s="3410"/>
      <c r="DS29" s="3410"/>
      <c r="DT29" s="3410"/>
      <c r="DU29" s="3410"/>
      <c r="DV29" s="3410"/>
      <c r="DW29" s="3410"/>
      <c r="DX29" s="3410"/>
      <c r="DY29" s="3410"/>
      <c r="DZ29" s="3410"/>
      <c r="EA29" s="3410"/>
      <c r="EB29" s="3410"/>
      <c r="EC29" s="3410"/>
      <c r="ED29" s="3410"/>
      <c r="EE29" s="3410"/>
      <c r="EF29" s="3410"/>
      <c r="EG29" s="3410"/>
      <c r="EH29" s="3410"/>
      <c r="EI29" s="3410"/>
      <c r="EJ29" s="3410"/>
      <c r="EK29" s="3410"/>
      <c r="EL29" s="3410"/>
      <c r="EM29" s="3410"/>
      <c r="EN29" s="3410"/>
      <c r="EO29" s="3410"/>
      <c r="EP29" s="3410"/>
      <c r="EQ29" s="3410"/>
      <c r="ER29" s="3410"/>
      <c r="ES29" s="3410"/>
      <c r="ET29" s="3410"/>
      <c r="EU29" s="3410"/>
      <c r="EV29" s="3410"/>
      <c r="EW29" s="3410"/>
      <c r="EX29" s="3410"/>
      <c r="EY29" s="3410"/>
      <c r="EZ29" s="3410"/>
      <c r="FA29" s="3410"/>
      <c r="FB29" s="3410"/>
      <c r="FC29" s="3410"/>
      <c r="FD29" s="3410"/>
      <c r="FE29" s="3410"/>
      <c r="FF29" s="3410"/>
      <c r="FG29" s="3410"/>
      <c r="FH29" s="3410"/>
      <c r="FI29" s="3410"/>
      <c r="FJ29" s="3410"/>
      <c r="FK29" s="3410"/>
      <c r="FL29" s="3410"/>
      <c r="FM29" s="3410"/>
      <c r="FN29" s="3410"/>
      <c r="FO29" s="3410"/>
      <c r="FP29" s="3410"/>
      <c r="FQ29" s="3410"/>
      <c r="FR29" s="3410"/>
      <c r="FS29" s="3410"/>
      <c r="FT29" s="3410"/>
      <c r="FU29" s="3410"/>
      <c r="FV29" s="3410"/>
      <c r="FW29" s="3410"/>
      <c r="FX29" s="3410"/>
      <c r="FY29" s="3410"/>
      <c r="FZ29" s="3410"/>
      <c r="GA29" s="3410"/>
      <c r="GB29" s="3410"/>
      <c r="GC29" s="3410"/>
      <c r="GD29" s="3410"/>
      <c r="GE29" s="3410"/>
      <c r="GF29" s="3410"/>
      <c r="GG29" s="3410"/>
      <c r="GH29" s="3410"/>
      <c r="GI29" s="3410"/>
      <c r="GJ29" s="3410"/>
      <c r="GK29" s="3410"/>
      <c r="GL29" s="3410"/>
      <c r="GM29" s="3410"/>
      <c r="GN29" s="3410"/>
      <c r="GO29" s="3410"/>
      <c r="GP29" s="3410"/>
      <c r="GQ29" s="3410"/>
      <c r="GR29" s="3410"/>
      <c r="GS29" s="3410"/>
      <c r="GT29" s="3410"/>
      <c r="GU29" s="3410"/>
      <c r="GV29" s="3410"/>
      <c r="GW29" s="3410"/>
      <c r="GX29" s="3410"/>
      <c r="GY29" s="3410"/>
      <c r="GZ29" s="3410"/>
      <c r="HA29" s="3410"/>
      <c r="HB29" s="3410"/>
      <c r="HC29" s="3410"/>
      <c r="HD29" s="3410"/>
      <c r="HE29" s="3410"/>
      <c r="HF29" s="3410"/>
      <c r="HG29" s="3410"/>
      <c r="HH29" s="3410"/>
      <c r="HI29" s="3410"/>
      <c r="HJ29" s="3410"/>
      <c r="HK29" s="3410"/>
      <c r="HL29" s="3410"/>
      <c r="HM29" s="3410"/>
      <c r="HN29" s="3410"/>
      <c r="HO29" s="3410"/>
      <c r="HP29" s="3410"/>
      <c r="HQ29" s="3410"/>
      <c r="HR29" s="3410"/>
      <c r="HS29" s="3410"/>
      <c r="HT29" s="3410"/>
      <c r="HU29" s="3410"/>
      <c r="HV29" s="3410"/>
      <c r="HW29" s="3410"/>
      <c r="HX29" s="3410"/>
      <c r="HY29" s="3410"/>
      <c r="HZ29" s="3410"/>
      <c r="IA29" s="3410"/>
      <c r="IB29" s="3410"/>
      <c r="IC29" s="3410"/>
      <c r="ID29" s="3410"/>
      <c r="IE29" s="3410"/>
      <c r="IF29" s="3410"/>
      <c r="IG29" s="3410"/>
      <c r="IH29" s="3410"/>
      <c r="II29" s="3410"/>
      <c r="IJ29" s="3410"/>
      <c r="IK29" s="3410"/>
      <c r="IL29" s="3410"/>
      <c r="IM29" s="3410"/>
      <c r="IN29" s="3410"/>
      <c r="IO29" s="3410"/>
      <c r="IP29" s="3410"/>
      <c r="IQ29" s="3410"/>
      <c r="IR29" s="3410"/>
      <c r="IS29" s="3410"/>
      <c r="IT29" s="3410"/>
      <c r="IU29" s="3410"/>
      <c r="IV29" s="3410"/>
    </row>
    <row r="30" spans="1:256" s="3409" customFormat="1" ht="20.100000000000001" customHeight="1">
      <c r="A30" s="3410"/>
      <c r="B30" s="3410"/>
      <c r="C30" s="3410"/>
      <c r="D30" s="3410"/>
      <c r="E30" s="3410"/>
      <c r="F30" s="3410"/>
      <c r="G30" s="3410"/>
      <c r="H30" s="3410"/>
      <c r="I30" s="3410"/>
      <c r="J30" s="3410"/>
      <c r="K30" s="3410"/>
      <c r="L30" s="3410"/>
      <c r="M30" s="3410"/>
      <c r="N30" s="3410"/>
      <c r="O30" s="3410"/>
      <c r="P30" s="3410"/>
      <c r="Q30" s="3410"/>
      <c r="R30" s="3410"/>
      <c r="S30" s="3410"/>
      <c r="T30" s="3410"/>
      <c r="U30" s="3410"/>
      <c r="V30" s="3410"/>
      <c r="W30" s="3410"/>
      <c r="X30" s="3410"/>
      <c r="Y30" s="3410"/>
      <c r="Z30" s="3410"/>
      <c r="AA30" s="3410"/>
      <c r="AB30" s="3410"/>
      <c r="AC30" s="3410"/>
      <c r="AD30" s="3410"/>
      <c r="AE30" s="3410"/>
      <c r="AF30" s="3410"/>
      <c r="AG30" s="3410"/>
      <c r="AH30" s="3410"/>
      <c r="AI30" s="3410"/>
      <c r="AJ30" s="3410"/>
      <c r="AK30" s="3410"/>
      <c r="AL30" s="3410"/>
      <c r="AM30" s="3410"/>
      <c r="AN30" s="3410"/>
      <c r="AO30" s="3410"/>
      <c r="AP30" s="3410"/>
      <c r="AQ30" s="3410"/>
      <c r="AR30" s="3410"/>
      <c r="AS30" s="3410"/>
      <c r="AT30" s="3410"/>
      <c r="AU30" s="3410"/>
      <c r="AV30" s="3410"/>
      <c r="AW30" s="3410"/>
      <c r="AX30" s="3410"/>
      <c r="AY30" s="3410"/>
      <c r="AZ30" s="3410"/>
      <c r="BA30" s="3410"/>
      <c r="BB30" s="3410"/>
      <c r="BC30" s="3410"/>
      <c r="BD30" s="3410"/>
      <c r="BE30" s="3410"/>
      <c r="BF30" s="3410"/>
      <c r="BG30" s="3410"/>
      <c r="BH30" s="3410"/>
      <c r="BI30" s="3410"/>
      <c r="BJ30" s="3410"/>
      <c r="BK30" s="3410"/>
      <c r="BL30" s="3410"/>
      <c r="BM30" s="3410"/>
      <c r="BN30" s="3410"/>
      <c r="BO30" s="3410"/>
      <c r="BP30" s="3410"/>
      <c r="BQ30" s="3410"/>
      <c r="BR30" s="3410"/>
      <c r="BS30" s="3410"/>
      <c r="BT30" s="3410"/>
      <c r="BU30" s="3410"/>
      <c r="BV30" s="3410"/>
      <c r="BW30" s="3410"/>
      <c r="BX30" s="3410"/>
      <c r="BY30" s="3410"/>
      <c r="BZ30" s="3410"/>
      <c r="CA30" s="3410"/>
      <c r="CB30" s="3410"/>
      <c r="CC30" s="3410"/>
      <c r="CD30" s="3410"/>
      <c r="CE30" s="3410"/>
      <c r="CF30" s="3410"/>
      <c r="CG30" s="3410"/>
      <c r="CH30" s="3410"/>
      <c r="CI30" s="3410"/>
      <c r="CJ30" s="3410"/>
      <c r="CK30" s="3410"/>
      <c r="CL30" s="3410"/>
      <c r="CM30" s="3410"/>
      <c r="CN30" s="3410"/>
      <c r="CO30" s="3410"/>
      <c r="CP30" s="3410"/>
      <c r="CQ30" s="3410"/>
      <c r="CR30" s="3410"/>
      <c r="CS30" s="3410"/>
      <c r="CT30" s="3410"/>
      <c r="CU30" s="3410"/>
      <c r="CV30" s="3410"/>
      <c r="CW30" s="3410"/>
      <c r="CX30" s="3410"/>
      <c r="CY30" s="3410"/>
      <c r="CZ30" s="3410"/>
      <c r="DA30" s="3410"/>
      <c r="DB30" s="3410"/>
      <c r="DC30" s="3410"/>
      <c r="DD30" s="3410"/>
      <c r="DE30" s="3410"/>
      <c r="DF30" s="3410"/>
      <c r="DG30" s="3410"/>
      <c r="DH30" s="3410"/>
      <c r="DI30" s="3410"/>
      <c r="DJ30" s="3410"/>
      <c r="DK30" s="3410"/>
      <c r="DL30" s="3410"/>
      <c r="DM30" s="3410"/>
      <c r="DN30" s="3410"/>
      <c r="DO30" s="3410"/>
      <c r="DP30" s="3410"/>
      <c r="DQ30" s="3410"/>
      <c r="DR30" s="3410"/>
      <c r="DS30" s="3410"/>
      <c r="DT30" s="3410"/>
      <c r="DU30" s="3410"/>
      <c r="DV30" s="3410"/>
      <c r="DW30" s="3410"/>
      <c r="DX30" s="3410"/>
      <c r="DY30" s="3410"/>
      <c r="DZ30" s="3410"/>
      <c r="EA30" s="3410"/>
      <c r="EB30" s="3410"/>
      <c r="EC30" s="3410"/>
      <c r="ED30" s="3410"/>
      <c r="EE30" s="3410"/>
      <c r="EF30" s="3410"/>
      <c r="EG30" s="3410"/>
      <c r="EH30" s="3410"/>
      <c r="EI30" s="3410"/>
      <c r="EJ30" s="3410"/>
      <c r="EK30" s="3410"/>
      <c r="EL30" s="3410"/>
      <c r="EM30" s="3410"/>
      <c r="EN30" s="3410"/>
      <c r="EO30" s="3410"/>
      <c r="EP30" s="3410"/>
      <c r="EQ30" s="3410"/>
      <c r="ER30" s="3410"/>
      <c r="ES30" s="3410"/>
      <c r="ET30" s="3410"/>
      <c r="EU30" s="3410"/>
      <c r="EV30" s="3410"/>
      <c r="EW30" s="3410"/>
      <c r="EX30" s="3410"/>
      <c r="EY30" s="3410"/>
      <c r="EZ30" s="3410"/>
      <c r="FA30" s="3410"/>
      <c r="FB30" s="3410"/>
      <c r="FC30" s="3410"/>
      <c r="FD30" s="3410"/>
      <c r="FE30" s="3410"/>
      <c r="FF30" s="3410"/>
      <c r="FG30" s="3410"/>
      <c r="FH30" s="3410"/>
      <c r="FI30" s="3410"/>
      <c r="FJ30" s="3410"/>
      <c r="FK30" s="3410"/>
      <c r="FL30" s="3410"/>
      <c r="FM30" s="3410"/>
      <c r="FN30" s="3410"/>
      <c r="FO30" s="3410"/>
      <c r="FP30" s="3410"/>
      <c r="FQ30" s="3410"/>
      <c r="FR30" s="3410"/>
      <c r="FS30" s="3410"/>
      <c r="FT30" s="3410"/>
      <c r="FU30" s="3410"/>
      <c r="FV30" s="3410"/>
      <c r="FW30" s="3410"/>
      <c r="FX30" s="3410"/>
      <c r="FY30" s="3410"/>
      <c r="FZ30" s="3410"/>
      <c r="GA30" s="3410"/>
      <c r="GB30" s="3410"/>
      <c r="GC30" s="3410"/>
      <c r="GD30" s="3410"/>
      <c r="GE30" s="3410"/>
      <c r="GF30" s="3410"/>
      <c r="GG30" s="3410"/>
      <c r="GH30" s="3410"/>
      <c r="GI30" s="3410"/>
      <c r="GJ30" s="3410"/>
      <c r="GK30" s="3410"/>
      <c r="GL30" s="3410"/>
      <c r="GM30" s="3410"/>
      <c r="GN30" s="3410"/>
      <c r="GO30" s="3410"/>
      <c r="GP30" s="3410"/>
      <c r="GQ30" s="3410"/>
      <c r="GR30" s="3410"/>
      <c r="GS30" s="3410"/>
      <c r="GT30" s="3410"/>
      <c r="GU30" s="3410"/>
      <c r="GV30" s="3410"/>
      <c r="GW30" s="3410"/>
      <c r="GX30" s="3410"/>
      <c r="GY30" s="3410"/>
      <c r="GZ30" s="3410"/>
      <c r="HA30" s="3410"/>
      <c r="HB30" s="3410"/>
      <c r="HC30" s="3410"/>
      <c r="HD30" s="3410"/>
      <c r="HE30" s="3410"/>
      <c r="HF30" s="3410"/>
      <c r="HG30" s="3410"/>
      <c r="HH30" s="3410"/>
      <c r="HI30" s="3410"/>
      <c r="HJ30" s="3410"/>
      <c r="HK30" s="3410"/>
      <c r="HL30" s="3410"/>
      <c r="HM30" s="3410"/>
      <c r="HN30" s="3410"/>
      <c r="HO30" s="3410"/>
      <c r="HP30" s="3410"/>
      <c r="HQ30" s="3410"/>
      <c r="HR30" s="3410"/>
      <c r="HS30" s="3410"/>
      <c r="HT30" s="3410"/>
      <c r="HU30" s="3410"/>
      <c r="HV30" s="3410"/>
      <c r="HW30" s="3410"/>
      <c r="HX30" s="3410"/>
      <c r="HY30" s="3410"/>
      <c r="HZ30" s="3410"/>
      <c r="IA30" s="3410"/>
      <c r="IB30" s="3410"/>
      <c r="IC30" s="3410"/>
      <c r="ID30" s="3410"/>
      <c r="IE30" s="3410"/>
      <c r="IF30" s="3410"/>
      <c r="IG30" s="3410"/>
      <c r="IH30" s="3410"/>
      <c r="II30" s="3410"/>
      <c r="IJ30" s="3410"/>
      <c r="IK30" s="3410"/>
      <c r="IL30" s="3410"/>
      <c r="IM30" s="3410"/>
      <c r="IN30" s="3410"/>
      <c r="IO30" s="3410"/>
      <c r="IP30" s="3410"/>
      <c r="IQ30" s="3410"/>
      <c r="IR30" s="3410"/>
      <c r="IS30" s="3410"/>
      <c r="IT30" s="3410"/>
      <c r="IU30" s="3410"/>
      <c r="IV30" s="3410"/>
    </row>
    <row r="31" spans="1:256" s="3409" customFormat="1" ht="20.100000000000001" customHeight="1">
      <c r="A31" s="3410"/>
      <c r="B31" s="3410"/>
      <c r="C31" s="3410"/>
      <c r="D31" s="3410"/>
      <c r="E31" s="3410"/>
      <c r="F31" s="3410"/>
      <c r="G31" s="3410"/>
      <c r="H31" s="3410"/>
      <c r="I31" s="3410"/>
      <c r="J31" s="3410"/>
      <c r="K31" s="3410"/>
      <c r="L31" s="3410"/>
      <c r="M31" s="3410"/>
      <c r="N31" s="3410"/>
      <c r="O31" s="3410"/>
      <c r="P31" s="3410"/>
      <c r="Q31" s="3410"/>
      <c r="R31" s="3410"/>
      <c r="S31" s="3410"/>
      <c r="T31" s="3410"/>
      <c r="U31" s="3410"/>
      <c r="V31" s="3410"/>
      <c r="W31" s="3410"/>
      <c r="X31" s="3410"/>
      <c r="Y31" s="3410"/>
      <c r="Z31" s="3410"/>
      <c r="AA31" s="3410"/>
      <c r="AB31" s="3410"/>
      <c r="AC31" s="3410"/>
      <c r="AD31" s="3410"/>
      <c r="AE31" s="3410"/>
      <c r="AF31" s="3410"/>
      <c r="AG31" s="3410"/>
      <c r="AH31" s="3410"/>
      <c r="AI31" s="3410"/>
      <c r="AJ31" s="3410"/>
      <c r="AK31" s="3410"/>
      <c r="AL31" s="3410"/>
      <c r="AM31" s="3410"/>
      <c r="AN31" s="3410"/>
      <c r="AO31" s="3410"/>
      <c r="AP31" s="3410"/>
      <c r="AQ31" s="3410"/>
      <c r="AR31" s="3410"/>
      <c r="AS31" s="3410"/>
      <c r="AT31" s="3410"/>
      <c r="AU31" s="3410"/>
      <c r="AV31" s="3410"/>
      <c r="AW31" s="3410"/>
      <c r="AX31" s="3410"/>
      <c r="AY31" s="3410"/>
      <c r="AZ31" s="3410"/>
      <c r="BA31" s="3410"/>
      <c r="BB31" s="3410"/>
      <c r="BC31" s="3410"/>
      <c r="BD31" s="3410"/>
      <c r="BE31" s="3410"/>
      <c r="BF31" s="3410"/>
      <c r="BG31" s="3410"/>
      <c r="BH31" s="3410"/>
      <c r="BI31" s="3410"/>
      <c r="BJ31" s="3410"/>
      <c r="BK31" s="3410"/>
      <c r="BL31" s="3410"/>
      <c r="BM31" s="3410"/>
      <c r="BN31" s="3410"/>
      <c r="BO31" s="3410"/>
      <c r="BP31" s="3410"/>
      <c r="BQ31" s="3410"/>
      <c r="BR31" s="3410"/>
      <c r="BS31" s="3410"/>
      <c r="BT31" s="3410"/>
      <c r="BU31" s="3410"/>
      <c r="BV31" s="3410"/>
      <c r="BW31" s="3410"/>
      <c r="BX31" s="3410"/>
      <c r="BY31" s="3410"/>
      <c r="BZ31" s="3410"/>
      <c r="CA31" s="3410"/>
      <c r="CB31" s="3410"/>
      <c r="CC31" s="3410"/>
      <c r="CD31" s="3410"/>
      <c r="CE31" s="3410"/>
      <c r="CF31" s="3410"/>
      <c r="CG31" s="3410"/>
      <c r="CH31" s="3410"/>
      <c r="CI31" s="3410"/>
      <c r="CJ31" s="3410"/>
      <c r="CK31" s="3410"/>
      <c r="CL31" s="3410"/>
      <c r="CM31" s="3410"/>
      <c r="CN31" s="3410"/>
      <c r="CO31" s="3410"/>
      <c r="CP31" s="3410"/>
      <c r="CQ31" s="3410"/>
      <c r="CR31" s="3410"/>
      <c r="CS31" s="3410"/>
      <c r="CT31" s="3410"/>
      <c r="CU31" s="3410"/>
      <c r="CV31" s="3410"/>
      <c r="CW31" s="3410"/>
      <c r="CX31" s="3410"/>
      <c r="CY31" s="3410"/>
      <c r="CZ31" s="3410"/>
      <c r="DA31" s="3410"/>
      <c r="DB31" s="3410"/>
      <c r="DC31" s="3410"/>
      <c r="DD31" s="3410"/>
      <c r="DE31" s="3410"/>
      <c r="DF31" s="3410"/>
      <c r="DG31" s="3410"/>
      <c r="DH31" s="3410"/>
      <c r="DI31" s="3410"/>
      <c r="DJ31" s="3410"/>
      <c r="DK31" s="3410"/>
      <c r="DL31" s="3410"/>
      <c r="DM31" s="3410"/>
      <c r="DN31" s="3410"/>
      <c r="DO31" s="3410"/>
      <c r="DP31" s="3410"/>
      <c r="DQ31" s="3410"/>
      <c r="DR31" s="3410"/>
      <c r="DS31" s="3410"/>
      <c r="DT31" s="3410"/>
      <c r="DU31" s="3410"/>
      <c r="DV31" s="3410"/>
      <c r="DW31" s="3410"/>
      <c r="DX31" s="3410"/>
      <c r="DY31" s="3410"/>
      <c r="DZ31" s="3410"/>
      <c r="EA31" s="3410"/>
      <c r="EB31" s="3410"/>
      <c r="EC31" s="3410"/>
      <c r="ED31" s="3410"/>
      <c r="EE31" s="3410"/>
      <c r="EF31" s="3410"/>
      <c r="EG31" s="3410"/>
      <c r="EH31" s="3410"/>
      <c r="EI31" s="3410"/>
      <c r="EJ31" s="3410"/>
      <c r="EK31" s="3410"/>
      <c r="EL31" s="3410"/>
      <c r="EM31" s="3410"/>
      <c r="EN31" s="3410"/>
      <c r="EO31" s="3410"/>
      <c r="EP31" s="3410"/>
      <c r="EQ31" s="3410"/>
      <c r="ER31" s="3410"/>
      <c r="ES31" s="3410"/>
      <c r="ET31" s="3410"/>
      <c r="EU31" s="3410"/>
      <c r="EV31" s="3410"/>
      <c r="EW31" s="3410"/>
      <c r="EX31" s="3410"/>
      <c r="EY31" s="3410"/>
      <c r="EZ31" s="3410"/>
      <c r="FA31" s="3410"/>
      <c r="FB31" s="3410"/>
      <c r="FC31" s="3410"/>
      <c r="FD31" s="3410"/>
      <c r="FE31" s="3410"/>
      <c r="FF31" s="3410"/>
      <c r="FG31" s="3410"/>
      <c r="FH31" s="3410"/>
      <c r="FI31" s="3410"/>
      <c r="FJ31" s="3410"/>
      <c r="FK31" s="3410"/>
      <c r="FL31" s="3410"/>
      <c r="FM31" s="3410"/>
      <c r="FN31" s="3410"/>
      <c r="FO31" s="3410"/>
      <c r="FP31" s="3410"/>
      <c r="FQ31" s="3410"/>
      <c r="FR31" s="3410"/>
      <c r="FS31" s="3410"/>
      <c r="FT31" s="3410"/>
      <c r="FU31" s="3410"/>
      <c r="FV31" s="3410"/>
      <c r="FW31" s="3410"/>
      <c r="FX31" s="3410"/>
      <c r="FY31" s="3410"/>
      <c r="FZ31" s="3410"/>
      <c r="GA31" s="3410"/>
      <c r="GB31" s="3410"/>
      <c r="GC31" s="3410"/>
      <c r="GD31" s="3410"/>
      <c r="GE31" s="3410"/>
      <c r="GF31" s="3410"/>
      <c r="GG31" s="3410"/>
      <c r="GH31" s="3410"/>
      <c r="GI31" s="3410"/>
      <c r="GJ31" s="3410"/>
      <c r="GK31" s="3410"/>
      <c r="GL31" s="3410"/>
      <c r="GM31" s="3410"/>
      <c r="GN31" s="3410"/>
      <c r="GO31" s="3410"/>
      <c r="GP31" s="3410"/>
      <c r="GQ31" s="3410"/>
      <c r="GR31" s="3410"/>
      <c r="GS31" s="3410"/>
      <c r="GT31" s="3410"/>
      <c r="GU31" s="3410"/>
      <c r="GV31" s="3410"/>
      <c r="GW31" s="3410"/>
      <c r="GX31" s="3410"/>
      <c r="GY31" s="3410"/>
      <c r="GZ31" s="3410"/>
      <c r="HA31" s="3410"/>
      <c r="HB31" s="3410"/>
      <c r="HC31" s="3410"/>
      <c r="HD31" s="3410"/>
      <c r="HE31" s="3410"/>
      <c r="HF31" s="3410"/>
      <c r="HG31" s="3410"/>
      <c r="HH31" s="3410"/>
      <c r="HI31" s="3410"/>
      <c r="HJ31" s="3410"/>
      <c r="HK31" s="3410"/>
      <c r="HL31" s="3410"/>
      <c r="HM31" s="3410"/>
      <c r="HN31" s="3410"/>
      <c r="HO31" s="3410"/>
      <c r="HP31" s="3410"/>
      <c r="HQ31" s="3410"/>
      <c r="HR31" s="3410"/>
      <c r="HS31" s="3410"/>
      <c r="HT31" s="3410"/>
      <c r="HU31" s="3410"/>
      <c r="HV31" s="3410"/>
      <c r="HW31" s="3410"/>
      <c r="HX31" s="3410"/>
      <c r="HY31" s="3410"/>
      <c r="HZ31" s="3410"/>
      <c r="IA31" s="3410"/>
      <c r="IB31" s="3410"/>
      <c r="IC31" s="3410"/>
      <c r="ID31" s="3410"/>
      <c r="IE31" s="3410"/>
      <c r="IF31" s="3410"/>
      <c r="IG31" s="3410"/>
      <c r="IH31" s="3410"/>
      <c r="II31" s="3410"/>
      <c r="IJ31" s="3410"/>
      <c r="IK31" s="3410"/>
      <c r="IL31" s="3410"/>
      <c r="IM31" s="3410"/>
      <c r="IN31" s="3410"/>
      <c r="IO31" s="3410"/>
      <c r="IP31" s="3410"/>
      <c r="IQ31" s="3410"/>
      <c r="IR31" s="3410"/>
      <c r="IS31" s="3410"/>
      <c r="IT31" s="3410"/>
      <c r="IU31" s="3410"/>
      <c r="IV31" s="3410"/>
    </row>
    <row r="32" spans="1:256" s="3409" customFormat="1" ht="20.100000000000001" customHeight="1">
      <c r="A32" s="3410"/>
      <c r="B32" s="3410"/>
      <c r="C32" s="3410"/>
      <c r="D32" s="3410"/>
      <c r="E32" s="3410"/>
      <c r="F32" s="3410"/>
      <c r="G32" s="3410"/>
      <c r="H32" s="3410"/>
      <c r="I32" s="3410"/>
      <c r="J32" s="3410"/>
      <c r="K32" s="3410"/>
      <c r="L32" s="3410"/>
      <c r="M32" s="3410"/>
      <c r="N32" s="3410"/>
      <c r="O32" s="3410"/>
      <c r="P32" s="3410"/>
      <c r="Q32" s="3410"/>
      <c r="R32" s="3410"/>
      <c r="S32" s="3410"/>
      <c r="T32" s="3410"/>
      <c r="U32" s="3410"/>
      <c r="V32" s="3410"/>
      <c r="W32" s="3410"/>
      <c r="X32" s="3410"/>
      <c r="Y32" s="3410"/>
      <c r="Z32" s="3410"/>
      <c r="AA32" s="3410"/>
      <c r="AB32" s="3410"/>
      <c r="AC32" s="3410"/>
      <c r="AD32" s="3410"/>
      <c r="AE32" s="3410"/>
      <c r="AF32" s="3410"/>
      <c r="AG32" s="3410"/>
      <c r="AH32" s="3410"/>
      <c r="AI32" s="3410"/>
      <c r="AJ32" s="3410"/>
      <c r="AK32" s="3410"/>
      <c r="AL32" s="3410"/>
      <c r="AM32" s="3410"/>
      <c r="AN32" s="3410"/>
      <c r="AO32" s="3410"/>
      <c r="AP32" s="3410"/>
      <c r="AQ32" s="3410"/>
      <c r="AR32" s="3410"/>
      <c r="AS32" s="3410"/>
      <c r="AT32" s="3410"/>
      <c r="AU32" s="3410"/>
      <c r="AV32" s="3410"/>
      <c r="AW32" s="3410"/>
      <c r="AX32" s="3410"/>
      <c r="AY32" s="3410"/>
      <c r="AZ32" s="3410"/>
      <c r="BA32" s="3410"/>
      <c r="BB32" s="3410"/>
      <c r="BC32" s="3410"/>
      <c r="BD32" s="3410"/>
      <c r="BE32" s="3410"/>
      <c r="BF32" s="3410"/>
      <c r="BG32" s="3410"/>
      <c r="BH32" s="3410"/>
      <c r="BI32" s="3410"/>
      <c r="BJ32" s="3410"/>
      <c r="BK32" s="3410"/>
      <c r="BL32" s="3410"/>
      <c r="BM32" s="3410"/>
      <c r="BN32" s="3410"/>
      <c r="BO32" s="3410"/>
      <c r="BP32" s="3410"/>
      <c r="BQ32" s="3410"/>
      <c r="BR32" s="3410"/>
      <c r="BS32" s="3410"/>
      <c r="BT32" s="3410"/>
      <c r="BU32" s="3410"/>
      <c r="BV32" s="3410"/>
      <c r="BW32" s="3410"/>
      <c r="BX32" s="3410"/>
      <c r="BY32" s="3410"/>
      <c r="BZ32" s="3410"/>
      <c r="CA32" s="3410"/>
      <c r="CB32" s="3410"/>
      <c r="CC32" s="3410"/>
      <c r="CD32" s="3410"/>
      <c r="CE32" s="3410"/>
      <c r="CF32" s="3410"/>
      <c r="CG32" s="3410"/>
      <c r="CH32" s="3410"/>
      <c r="CI32" s="3410"/>
      <c r="CJ32" s="3410"/>
      <c r="CK32" s="3410"/>
      <c r="CL32" s="3410"/>
      <c r="CM32" s="3410"/>
      <c r="CN32" s="3410"/>
      <c r="CO32" s="3410"/>
      <c r="CP32" s="3410"/>
      <c r="CQ32" s="3410"/>
      <c r="CR32" s="3410"/>
      <c r="CS32" s="3410"/>
      <c r="CT32" s="3410"/>
      <c r="CU32" s="3410"/>
      <c r="CV32" s="3410"/>
      <c r="CW32" s="3410"/>
      <c r="CX32" s="3410"/>
      <c r="CY32" s="3410"/>
      <c r="CZ32" s="3410"/>
      <c r="DA32" s="3410"/>
      <c r="DB32" s="3410"/>
      <c r="DC32" s="3410"/>
      <c r="DD32" s="3410"/>
      <c r="DE32" s="3410"/>
      <c r="DF32" s="3410"/>
      <c r="DG32" s="3410"/>
      <c r="DH32" s="3410"/>
      <c r="DI32" s="3410"/>
      <c r="DJ32" s="3410"/>
      <c r="DK32" s="3410"/>
      <c r="DL32" s="3410"/>
      <c r="DM32" s="3410"/>
      <c r="DN32" s="3410"/>
      <c r="DO32" s="3410"/>
      <c r="DP32" s="3410"/>
      <c r="DQ32" s="3410"/>
      <c r="DR32" s="3410"/>
      <c r="DS32" s="3410"/>
      <c r="DT32" s="3410"/>
      <c r="DU32" s="3410"/>
      <c r="DV32" s="3410"/>
      <c r="DW32" s="3410"/>
      <c r="DX32" s="3410"/>
      <c r="DY32" s="3410"/>
      <c r="DZ32" s="3410"/>
      <c r="EA32" s="3410"/>
      <c r="EB32" s="3410"/>
      <c r="EC32" s="3410"/>
      <c r="ED32" s="3410"/>
      <c r="EE32" s="3410"/>
      <c r="EF32" s="3410"/>
      <c r="EG32" s="3410"/>
      <c r="EH32" s="3410"/>
      <c r="EI32" s="3410"/>
      <c r="EJ32" s="3410"/>
      <c r="EK32" s="3410"/>
      <c r="EL32" s="3410"/>
      <c r="EM32" s="3410"/>
      <c r="EN32" s="3410"/>
      <c r="EO32" s="3410"/>
      <c r="EP32" s="3410"/>
      <c r="EQ32" s="3410"/>
      <c r="ER32" s="3410"/>
      <c r="ES32" s="3410"/>
      <c r="ET32" s="3410"/>
      <c r="EU32" s="3410"/>
      <c r="EV32" s="3410"/>
      <c r="EW32" s="3410"/>
      <c r="EX32" s="3410"/>
      <c r="EY32" s="3410"/>
      <c r="EZ32" s="3410"/>
      <c r="FA32" s="3410"/>
      <c r="FB32" s="3410"/>
      <c r="FC32" s="3410"/>
      <c r="FD32" s="3410"/>
      <c r="FE32" s="3410"/>
      <c r="FF32" s="3410"/>
      <c r="FG32" s="3410"/>
      <c r="FH32" s="3410"/>
      <c r="FI32" s="3410"/>
      <c r="FJ32" s="3410"/>
      <c r="FK32" s="3410"/>
      <c r="FL32" s="3410"/>
      <c r="FM32" s="3410"/>
      <c r="FN32" s="3410"/>
      <c r="FO32" s="3410"/>
      <c r="FP32" s="3410"/>
      <c r="FQ32" s="3410"/>
      <c r="FR32" s="3410"/>
      <c r="FS32" s="3410"/>
      <c r="FT32" s="3410"/>
      <c r="FU32" s="3410"/>
      <c r="FV32" s="3410"/>
      <c r="FW32" s="3410"/>
      <c r="FX32" s="3410"/>
      <c r="FY32" s="3410"/>
      <c r="FZ32" s="3410"/>
      <c r="GA32" s="3410"/>
      <c r="GB32" s="3410"/>
      <c r="GC32" s="3410"/>
      <c r="GD32" s="3410"/>
      <c r="GE32" s="3410"/>
      <c r="GF32" s="3410"/>
      <c r="GG32" s="3410"/>
      <c r="GH32" s="3410"/>
      <c r="GI32" s="3410"/>
      <c r="GJ32" s="3410"/>
      <c r="GK32" s="3410"/>
      <c r="GL32" s="3410"/>
      <c r="GM32" s="3410"/>
      <c r="GN32" s="3410"/>
      <c r="GO32" s="3410"/>
      <c r="GP32" s="3410"/>
      <c r="GQ32" s="3410"/>
      <c r="GR32" s="3410"/>
      <c r="GS32" s="3410"/>
      <c r="GT32" s="3410"/>
      <c r="GU32" s="3410"/>
      <c r="GV32" s="3410"/>
      <c r="GW32" s="3410"/>
      <c r="GX32" s="3410"/>
      <c r="GY32" s="3410"/>
      <c r="GZ32" s="3410"/>
      <c r="HA32" s="3410"/>
      <c r="HB32" s="3410"/>
      <c r="HC32" s="3410"/>
      <c r="HD32" s="3410"/>
      <c r="HE32" s="3410"/>
      <c r="HF32" s="3410"/>
      <c r="HG32" s="3410"/>
      <c r="HH32" s="3410"/>
      <c r="HI32" s="3410"/>
      <c r="HJ32" s="3410"/>
      <c r="HK32" s="3410"/>
      <c r="HL32" s="3410"/>
      <c r="HM32" s="3410"/>
      <c r="HN32" s="3410"/>
      <c r="HO32" s="3410"/>
      <c r="HP32" s="3410"/>
      <c r="HQ32" s="3410"/>
      <c r="HR32" s="3410"/>
      <c r="HS32" s="3410"/>
      <c r="HT32" s="3410"/>
      <c r="HU32" s="3410"/>
      <c r="HV32" s="3410"/>
      <c r="HW32" s="3410"/>
      <c r="HX32" s="3410"/>
      <c r="HY32" s="3410"/>
      <c r="HZ32" s="3410"/>
      <c r="IA32" s="3410"/>
      <c r="IB32" s="3410"/>
      <c r="IC32" s="3410"/>
      <c r="ID32" s="3410"/>
      <c r="IE32" s="3410"/>
      <c r="IF32" s="3410"/>
      <c r="IG32" s="3410"/>
      <c r="IH32" s="3410"/>
      <c r="II32" s="3410"/>
      <c r="IJ32" s="3410"/>
      <c r="IK32" s="3410"/>
      <c r="IL32" s="3410"/>
      <c r="IM32" s="3410"/>
      <c r="IN32" s="3410"/>
      <c r="IO32" s="3410"/>
      <c r="IP32" s="3410"/>
      <c r="IQ32" s="3410"/>
      <c r="IR32" s="3410"/>
      <c r="IS32" s="3410"/>
      <c r="IT32" s="3410"/>
      <c r="IU32" s="3410"/>
      <c r="IV32" s="3410"/>
    </row>
    <row r="33" spans="1:256" s="3409" customFormat="1" ht="20.100000000000001" customHeight="1">
      <c r="A33" s="3410"/>
      <c r="B33" s="3410"/>
      <c r="C33" s="3410"/>
      <c r="D33" s="3410"/>
      <c r="E33" s="3410"/>
      <c r="F33" s="3410"/>
      <c r="G33" s="3410"/>
      <c r="H33" s="3410"/>
      <c r="I33" s="3410"/>
      <c r="J33" s="3410"/>
      <c r="K33" s="3410"/>
      <c r="L33" s="3410"/>
      <c r="M33" s="3410"/>
      <c r="N33" s="3410"/>
      <c r="O33" s="3410"/>
      <c r="P33" s="3410"/>
      <c r="Q33" s="3410"/>
      <c r="R33" s="3410"/>
      <c r="S33" s="3410"/>
      <c r="T33" s="3410"/>
      <c r="U33" s="3410"/>
      <c r="V33" s="3410"/>
      <c r="W33" s="3410"/>
      <c r="X33" s="3410"/>
      <c r="Y33" s="3410"/>
      <c r="Z33" s="3410"/>
      <c r="AA33" s="3410"/>
      <c r="AB33" s="3410"/>
      <c r="AC33" s="3410"/>
      <c r="AD33" s="3410"/>
      <c r="AE33" s="3410"/>
      <c r="AF33" s="3410"/>
      <c r="AG33" s="3410"/>
      <c r="AH33" s="3410"/>
      <c r="AI33" s="3410"/>
      <c r="AJ33" s="3410"/>
      <c r="AK33" s="3410"/>
      <c r="AL33" s="3410"/>
      <c r="AM33" s="3410"/>
      <c r="AN33" s="3410"/>
      <c r="AO33" s="3410"/>
      <c r="AP33" s="3410"/>
      <c r="AQ33" s="3410"/>
      <c r="AR33" s="3410"/>
      <c r="AS33" s="3410"/>
      <c r="AT33" s="3410"/>
      <c r="AU33" s="3410"/>
      <c r="AV33" s="3410"/>
      <c r="AW33" s="3410"/>
      <c r="AX33" s="3410"/>
      <c r="AY33" s="3410"/>
      <c r="AZ33" s="3410"/>
      <c r="BA33" s="3410"/>
      <c r="BB33" s="3410"/>
      <c r="BC33" s="3410"/>
      <c r="BD33" s="3410"/>
      <c r="BE33" s="3410"/>
      <c r="BF33" s="3410"/>
      <c r="BG33" s="3410"/>
      <c r="BH33" s="3410"/>
      <c r="BI33" s="3410"/>
      <c r="BJ33" s="3410"/>
      <c r="BK33" s="3410"/>
      <c r="BL33" s="3410"/>
      <c r="BM33" s="3410"/>
      <c r="BN33" s="3410"/>
      <c r="BO33" s="3410"/>
      <c r="BP33" s="3410"/>
      <c r="BQ33" s="3410"/>
      <c r="BR33" s="3410"/>
      <c r="BS33" s="3410"/>
      <c r="BT33" s="3410"/>
      <c r="BU33" s="3410"/>
      <c r="BV33" s="3410"/>
      <c r="BW33" s="3410"/>
      <c r="BX33" s="3410"/>
      <c r="BY33" s="3410"/>
      <c r="BZ33" s="3410"/>
      <c r="CA33" s="3410"/>
      <c r="CB33" s="3410"/>
      <c r="CC33" s="3410"/>
      <c r="CD33" s="3410"/>
      <c r="CE33" s="3410"/>
      <c r="CF33" s="3410"/>
      <c r="CG33" s="3410"/>
      <c r="CH33" s="3410"/>
      <c r="CI33" s="3410"/>
      <c r="CJ33" s="3410"/>
      <c r="CK33" s="3410"/>
      <c r="CL33" s="3410"/>
      <c r="CM33" s="3410"/>
      <c r="CN33" s="3410"/>
      <c r="CO33" s="3410"/>
      <c r="CP33" s="3410"/>
      <c r="CQ33" s="3410"/>
      <c r="CR33" s="3410"/>
      <c r="CS33" s="3410"/>
      <c r="CT33" s="3410"/>
      <c r="CU33" s="3410"/>
      <c r="CV33" s="3410"/>
      <c r="CW33" s="3410"/>
      <c r="CX33" s="3410"/>
      <c r="CY33" s="3410"/>
      <c r="CZ33" s="3410"/>
      <c r="DA33" s="3410"/>
      <c r="DB33" s="3410"/>
      <c r="DC33" s="3410"/>
      <c r="DD33" s="3410"/>
      <c r="DE33" s="3410"/>
      <c r="DF33" s="3410"/>
      <c r="DG33" s="3410"/>
      <c r="DH33" s="3410"/>
      <c r="DI33" s="3410"/>
      <c r="DJ33" s="3410"/>
      <c r="DK33" s="3410"/>
      <c r="DL33" s="3410"/>
      <c r="DM33" s="3410"/>
      <c r="DN33" s="3410"/>
      <c r="DO33" s="3410"/>
      <c r="DP33" s="3410"/>
      <c r="DQ33" s="3410"/>
      <c r="DR33" s="3410"/>
      <c r="DS33" s="3410"/>
      <c r="DT33" s="3410"/>
      <c r="DU33" s="3410"/>
      <c r="DV33" s="3410"/>
      <c r="DW33" s="3410"/>
      <c r="DX33" s="3410"/>
      <c r="DY33" s="3410"/>
      <c r="DZ33" s="3410"/>
      <c r="EA33" s="3410"/>
      <c r="EB33" s="3410"/>
      <c r="EC33" s="3410"/>
      <c r="ED33" s="3410"/>
      <c r="EE33" s="3410"/>
      <c r="EF33" s="3410"/>
      <c r="EG33" s="3410"/>
      <c r="EH33" s="3410"/>
      <c r="EI33" s="3410"/>
      <c r="EJ33" s="3410"/>
      <c r="EK33" s="3410"/>
      <c r="EL33" s="3410"/>
      <c r="EM33" s="3410"/>
      <c r="EN33" s="3410"/>
      <c r="EO33" s="3410"/>
      <c r="EP33" s="3410"/>
      <c r="EQ33" s="3410"/>
      <c r="ER33" s="3410"/>
      <c r="ES33" s="3410"/>
      <c r="ET33" s="3410"/>
      <c r="EU33" s="3410"/>
      <c r="EV33" s="3410"/>
      <c r="EW33" s="3410"/>
      <c r="EX33" s="3410"/>
      <c r="EY33" s="3410"/>
      <c r="EZ33" s="3410"/>
      <c r="FA33" s="3410"/>
      <c r="FB33" s="3410"/>
      <c r="FC33" s="3410"/>
      <c r="FD33" s="3410"/>
      <c r="FE33" s="3410"/>
      <c r="FF33" s="3410"/>
      <c r="FG33" s="3410"/>
      <c r="FH33" s="3410"/>
      <c r="FI33" s="3410"/>
      <c r="FJ33" s="3410"/>
      <c r="FK33" s="3410"/>
      <c r="FL33" s="3410"/>
      <c r="FM33" s="3410"/>
      <c r="FN33" s="3410"/>
      <c r="FO33" s="3410"/>
      <c r="FP33" s="3410"/>
      <c r="FQ33" s="3410"/>
      <c r="FR33" s="3410"/>
      <c r="FS33" s="3410"/>
      <c r="FT33" s="3410"/>
      <c r="FU33" s="3410"/>
      <c r="FV33" s="3410"/>
      <c r="FW33" s="3410"/>
      <c r="FX33" s="3410"/>
      <c r="FY33" s="3410"/>
      <c r="FZ33" s="3410"/>
      <c r="GA33" s="3410"/>
      <c r="GB33" s="3410"/>
      <c r="GC33" s="3410"/>
      <c r="GD33" s="3410"/>
      <c r="GE33" s="3410"/>
      <c r="GF33" s="3410"/>
      <c r="GG33" s="3410"/>
      <c r="GH33" s="3410"/>
      <c r="GI33" s="3410"/>
      <c r="GJ33" s="3410"/>
      <c r="GK33" s="3410"/>
      <c r="GL33" s="3410"/>
      <c r="GM33" s="3410"/>
      <c r="GN33" s="3410"/>
      <c r="GO33" s="3410"/>
      <c r="GP33" s="3410"/>
      <c r="GQ33" s="3410"/>
      <c r="GR33" s="3410"/>
      <c r="GS33" s="3410"/>
      <c r="GT33" s="3410"/>
      <c r="GU33" s="3410"/>
      <c r="GV33" s="3410"/>
      <c r="GW33" s="3410"/>
      <c r="GX33" s="3410"/>
      <c r="GY33" s="3410"/>
      <c r="GZ33" s="3410"/>
      <c r="HA33" s="3410"/>
      <c r="HB33" s="3410"/>
      <c r="HC33" s="3410"/>
      <c r="HD33" s="3410"/>
      <c r="HE33" s="3410"/>
      <c r="HF33" s="3410"/>
      <c r="HG33" s="3410"/>
      <c r="HH33" s="3410"/>
      <c r="HI33" s="3410"/>
      <c r="HJ33" s="3410"/>
      <c r="HK33" s="3410"/>
      <c r="HL33" s="3410"/>
      <c r="HM33" s="3410"/>
      <c r="HN33" s="3410"/>
      <c r="HO33" s="3410"/>
      <c r="HP33" s="3410"/>
      <c r="HQ33" s="3410"/>
      <c r="HR33" s="3410"/>
      <c r="HS33" s="3410"/>
      <c r="HT33" s="3410"/>
      <c r="HU33" s="3410"/>
      <c r="HV33" s="3410"/>
      <c r="HW33" s="3410"/>
      <c r="HX33" s="3410"/>
      <c r="HY33" s="3410"/>
      <c r="HZ33" s="3410"/>
      <c r="IA33" s="3410"/>
      <c r="IB33" s="3410"/>
      <c r="IC33" s="3410"/>
      <c r="ID33" s="3410"/>
      <c r="IE33" s="3410"/>
      <c r="IF33" s="3410"/>
      <c r="IG33" s="3410"/>
      <c r="IH33" s="3410"/>
      <c r="II33" s="3410"/>
      <c r="IJ33" s="3410"/>
      <c r="IK33" s="3410"/>
      <c r="IL33" s="3410"/>
      <c r="IM33" s="3410"/>
      <c r="IN33" s="3410"/>
      <c r="IO33" s="3410"/>
      <c r="IP33" s="3410"/>
      <c r="IQ33" s="3410"/>
      <c r="IR33" s="3410"/>
      <c r="IS33" s="3410"/>
      <c r="IT33" s="3410"/>
      <c r="IU33" s="3410"/>
      <c r="IV33" s="3410"/>
    </row>
    <row r="34" spans="1:256" s="3409" customFormat="1" ht="20.100000000000001" customHeight="1">
      <c r="A34" s="3410"/>
      <c r="B34" s="3410"/>
      <c r="C34" s="3410"/>
      <c r="D34" s="3410"/>
      <c r="E34" s="3410"/>
      <c r="F34" s="3410"/>
      <c r="G34" s="3410"/>
      <c r="H34" s="3410"/>
      <c r="I34" s="3410"/>
      <c r="J34" s="3410"/>
      <c r="K34" s="3410"/>
      <c r="L34" s="3410"/>
      <c r="M34" s="3410"/>
      <c r="N34" s="3410"/>
      <c r="O34" s="3410"/>
      <c r="P34" s="3410"/>
      <c r="Q34" s="3410"/>
      <c r="R34" s="3410"/>
      <c r="S34" s="3410"/>
      <c r="T34" s="3410"/>
      <c r="U34" s="3410"/>
      <c r="V34" s="3410"/>
      <c r="W34" s="3410"/>
      <c r="X34" s="3410"/>
      <c r="Y34" s="3410"/>
      <c r="Z34" s="3410"/>
      <c r="AA34" s="3410"/>
      <c r="AB34" s="3410"/>
      <c r="AC34" s="3410"/>
      <c r="AD34" s="3410"/>
      <c r="AE34" s="3410"/>
      <c r="AF34" s="3410"/>
      <c r="AG34" s="3410"/>
      <c r="AH34" s="3410"/>
      <c r="AI34" s="3410"/>
      <c r="AJ34" s="3410"/>
      <c r="AK34" s="3410"/>
      <c r="AL34" s="3410"/>
      <c r="AM34" s="3410"/>
      <c r="AN34" s="3410"/>
      <c r="AO34" s="3410"/>
      <c r="AP34" s="3410"/>
      <c r="AQ34" s="3410"/>
      <c r="AR34" s="3410"/>
      <c r="AS34" s="3410"/>
      <c r="AT34" s="3410"/>
      <c r="AU34" s="3410"/>
      <c r="AV34" s="3410"/>
      <c r="AW34" s="3410"/>
      <c r="AX34" s="3410"/>
      <c r="AY34" s="3410"/>
      <c r="AZ34" s="3410"/>
      <c r="BA34" s="3410"/>
      <c r="BB34" s="3410"/>
      <c r="BC34" s="3410"/>
      <c r="BD34" s="3410"/>
      <c r="BE34" s="3410"/>
      <c r="BF34" s="3410"/>
      <c r="BG34" s="3410"/>
      <c r="BH34" s="3410"/>
      <c r="BI34" s="3410"/>
      <c r="BJ34" s="3410"/>
      <c r="BK34" s="3410"/>
      <c r="BL34" s="3410"/>
      <c r="BM34" s="3410"/>
      <c r="BN34" s="3410"/>
      <c r="BO34" s="3410"/>
      <c r="BP34" s="3410"/>
      <c r="BQ34" s="3410"/>
      <c r="BR34" s="3410"/>
      <c r="BS34" s="3410"/>
      <c r="BT34" s="3410"/>
      <c r="BU34" s="3410"/>
      <c r="BV34" s="3410"/>
      <c r="BW34" s="3410"/>
      <c r="BX34" s="3410"/>
      <c r="BY34" s="3410"/>
      <c r="BZ34" s="3410"/>
      <c r="CA34" s="3410"/>
      <c r="CB34" s="3410"/>
      <c r="CC34" s="3410"/>
      <c r="CD34" s="3410"/>
      <c r="CE34" s="3410"/>
      <c r="CF34" s="3410"/>
      <c r="CG34" s="3410"/>
      <c r="CH34" s="3410"/>
      <c r="CI34" s="3410"/>
      <c r="CJ34" s="3410"/>
      <c r="CK34" s="3410"/>
      <c r="CL34" s="3410"/>
      <c r="CM34" s="3410"/>
      <c r="CN34" s="3410"/>
      <c r="CO34" s="3410"/>
      <c r="CP34" s="3410"/>
      <c r="CQ34" s="3410"/>
      <c r="CR34" s="3410"/>
      <c r="CS34" s="3410"/>
      <c r="CT34" s="3410"/>
      <c r="CU34" s="3410"/>
      <c r="CV34" s="3410"/>
      <c r="CW34" s="3410"/>
      <c r="CX34" s="3410"/>
      <c r="CY34" s="3410"/>
      <c r="CZ34" s="3410"/>
      <c r="DA34" s="3410"/>
      <c r="DB34" s="3410"/>
      <c r="DC34" s="3410"/>
      <c r="DD34" s="3410"/>
      <c r="DE34" s="3410"/>
      <c r="DF34" s="3410"/>
      <c r="DG34" s="3410"/>
      <c r="DH34" s="3410"/>
      <c r="DI34" s="3410"/>
      <c r="DJ34" s="3410"/>
      <c r="DK34" s="3410"/>
      <c r="DL34" s="3410"/>
      <c r="DM34" s="3410"/>
      <c r="DN34" s="3410"/>
      <c r="DO34" s="3410"/>
      <c r="DP34" s="3410"/>
      <c r="DQ34" s="3410"/>
      <c r="DR34" s="3410"/>
      <c r="DS34" s="3410"/>
      <c r="DT34" s="3410"/>
      <c r="DU34" s="3410"/>
      <c r="DV34" s="3410"/>
      <c r="DW34" s="3410"/>
      <c r="DX34" s="3410"/>
      <c r="DY34" s="3410"/>
      <c r="DZ34" s="3410"/>
      <c r="EA34" s="3410"/>
      <c r="EB34" s="3410"/>
      <c r="EC34" s="3410"/>
      <c r="ED34" s="3410"/>
      <c r="EE34" s="3410"/>
      <c r="EF34" s="3410"/>
      <c r="EG34" s="3410"/>
      <c r="EH34" s="3410"/>
      <c r="EI34" s="3410"/>
      <c r="EJ34" s="3410"/>
      <c r="EK34" s="3410"/>
      <c r="EL34" s="3410"/>
      <c r="EM34" s="3410"/>
      <c r="EN34" s="3410"/>
      <c r="EO34" s="3410"/>
      <c r="EP34" s="3410"/>
      <c r="EQ34" s="3410"/>
      <c r="ER34" s="3410"/>
      <c r="ES34" s="3410"/>
      <c r="ET34" s="3410"/>
      <c r="EU34" s="3410"/>
      <c r="EV34" s="3410"/>
      <c r="EW34" s="3410"/>
      <c r="EX34" s="3410"/>
      <c r="EY34" s="3410"/>
      <c r="EZ34" s="3410"/>
      <c r="FA34" s="3410"/>
      <c r="FB34" s="3410"/>
      <c r="FC34" s="3410"/>
      <c r="FD34" s="3410"/>
      <c r="FE34" s="3410"/>
      <c r="FF34" s="3410"/>
      <c r="FG34" s="3410"/>
      <c r="FH34" s="3410"/>
      <c r="FI34" s="3410"/>
      <c r="FJ34" s="3410"/>
      <c r="FK34" s="3410"/>
      <c r="FL34" s="3410"/>
      <c r="FM34" s="3410"/>
      <c r="FN34" s="3410"/>
      <c r="FO34" s="3410"/>
      <c r="FP34" s="3410"/>
      <c r="FQ34" s="3410"/>
      <c r="FR34" s="3410"/>
      <c r="FS34" s="3410"/>
      <c r="FT34" s="3410"/>
      <c r="FU34" s="3410"/>
      <c r="FV34" s="3410"/>
      <c r="FW34" s="3410"/>
      <c r="FX34" s="3410"/>
      <c r="FY34" s="3410"/>
      <c r="FZ34" s="3410"/>
      <c r="GA34" s="3410"/>
      <c r="GB34" s="3410"/>
      <c r="GC34" s="3410"/>
      <c r="GD34" s="3410"/>
      <c r="GE34" s="3410"/>
      <c r="GF34" s="3410"/>
      <c r="GG34" s="3410"/>
      <c r="GH34" s="3410"/>
      <c r="GI34" s="3410"/>
      <c r="GJ34" s="3410"/>
      <c r="GK34" s="3410"/>
      <c r="GL34" s="3410"/>
      <c r="GM34" s="3410"/>
      <c r="GN34" s="3410"/>
      <c r="GO34" s="3410"/>
      <c r="GP34" s="3410"/>
      <c r="GQ34" s="3410"/>
      <c r="GR34" s="3410"/>
      <c r="GS34" s="3410"/>
      <c r="GT34" s="3410"/>
      <c r="GU34" s="3410"/>
      <c r="GV34" s="3410"/>
      <c r="GW34" s="3410"/>
      <c r="GX34" s="3410"/>
      <c r="GY34" s="3410"/>
      <c r="GZ34" s="3410"/>
      <c r="HA34" s="3410"/>
      <c r="HB34" s="3410"/>
      <c r="HC34" s="3410"/>
      <c r="HD34" s="3410"/>
      <c r="HE34" s="3410"/>
      <c r="HF34" s="3410"/>
      <c r="HG34" s="3410"/>
      <c r="HH34" s="3410"/>
      <c r="HI34" s="3410"/>
      <c r="HJ34" s="3410"/>
      <c r="HK34" s="3410"/>
      <c r="HL34" s="3410"/>
      <c r="HM34" s="3410"/>
      <c r="HN34" s="3410"/>
      <c r="HO34" s="3410"/>
      <c r="HP34" s="3410"/>
      <c r="HQ34" s="3410"/>
      <c r="HR34" s="3410"/>
      <c r="HS34" s="3410"/>
      <c r="HT34" s="3410"/>
      <c r="HU34" s="3410"/>
      <c r="HV34" s="3410"/>
      <c r="HW34" s="3410"/>
      <c r="HX34" s="3410"/>
      <c r="HY34" s="3410"/>
      <c r="HZ34" s="3410"/>
      <c r="IA34" s="3410"/>
      <c r="IB34" s="3410"/>
      <c r="IC34" s="3410"/>
      <c r="ID34" s="3410"/>
      <c r="IE34" s="3410"/>
      <c r="IF34" s="3410"/>
      <c r="IG34" s="3410"/>
      <c r="IH34" s="3410"/>
      <c r="II34" s="3410"/>
      <c r="IJ34" s="3410"/>
      <c r="IK34" s="3410"/>
      <c r="IL34" s="3410"/>
      <c r="IM34" s="3410"/>
      <c r="IN34" s="3410"/>
      <c r="IO34" s="3410"/>
      <c r="IP34" s="3410"/>
      <c r="IQ34" s="3410"/>
      <c r="IR34" s="3410"/>
      <c r="IS34" s="3410"/>
      <c r="IT34" s="3410"/>
      <c r="IU34" s="3410"/>
      <c r="IV34" s="3410"/>
    </row>
    <row r="35" spans="1:256" s="3409" customFormat="1" ht="20.100000000000001" customHeight="1">
      <c r="A35" s="3410"/>
      <c r="B35" s="3410"/>
      <c r="C35" s="3410"/>
      <c r="D35" s="3410"/>
      <c r="E35" s="3410"/>
      <c r="F35" s="3410"/>
      <c r="G35" s="3410"/>
      <c r="H35" s="3410"/>
      <c r="I35" s="3410"/>
      <c r="J35" s="3410"/>
      <c r="K35" s="3410"/>
      <c r="L35" s="3410"/>
      <c r="M35" s="3410"/>
      <c r="N35" s="3410"/>
      <c r="O35" s="3410"/>
      <c r="P35" s="3410"/>
      <c r="Q35" s="3410"/>
      <c r="R35" s="3410"/>
      <c r="S35" s="3410"/>
      <c r="T35" s="3410"/>
      <c r="U35" s="3410"/>
      <c r="V35" s="3410"/>
      <c r="W35" s="3410"/>
      <c r="X35" s="3410"/>
      <c r="Y35" s="3410"/>
      <c r="Z35" s="3410"/>
      <c r="AA35" s="3410"/>
      <c r="AB35" s="3410"/>
      <c r="AC35" s="3410"/>
      <c r="AD35" s="3410"/>
      <c r="AE35" s="3410"/>
      <c r="AF35" s="3410"/>
      <c r="AG35" s="3410"/>
      <c r="AH35" s="3410"/>
      <c r="AI35" s="3410"/>
      <c r="AJ35" s="3410"/>
      <c r="AK35" s="3410"/>
      <c r="AL35" s="3410"/>
      <c r="AM35" s="3410"/>
      <c r="AN35" s="3410"/>
      <c r="AO35" s="3410"/>
      <c r="AP35" s="3410"/>
      <c r="AQ35" s="3410"/>
      <c r="AR35" s="3410"/>
      <c r="AS35" s="3410"/>
      <c r="AT35" s="3410"/>
      <c r="AU35" s="3410"/>
      <c r="AV35" s="3410"/>
      <c r="AW35" s="3410"/>
      <c r="AX35" s="3410"/>
      <c r="AY35" s="3410"/>
      <c r="AZ35" s="3410"/>
      <c r="BA35" s="3410"/>
      <c r="BB35" s="3410"/>
      <c r="BC35" s="3410"/>
      <c r="BD35" s="3410"/>
      <c r="BE35" s="3410"/>
      <c r="BF35" s="3410"/>
      <c r="BG35" s="3410"/>
      <c r="BH35" s="3410"/>
      <c r="BI35" s="3410"/>
      <c r="BJ35" s="3410"/>
      <c r="BK35" s="3410"/>
      <c r="BL35" s="3410"/>
      <c r="BM35" s="3410"/>
      <c r="BN35" s="3410"/>
      <c r="BO35" s="3410"/>
      <c r="BP35" s="3410"/>
      <c r="BQ35" s="3410"/>
      <c r="BR35" s="3410"/>
      <c r="BS35" s="3410"/>
      <c r="BT35" s="3410"/>
      <c r="BU35" s="3410"/>
      <c r="BV35" s="3410"/>
      <c r="BW35" s="3410"/>
      <c r="BX35" s="3410"/>
      <c r="BY35" s="3410"/>
      <c r="BZ35" s="3410"/>
      <c r="CA35" s="3410"/>
      <c r="CB35" s="3410"/>
      <c r="CC35" s="3410"/>
      <c r="CD35" s="3410"/>
      <c r="CE35" s="3410"/>
      <c r="CF35" s="3410"/>
      <c r="CG35" s="3410"/>
      <c r="CH35" s="3410"/>
      <c r="CI35" s="3410"/>
      <c r="CJ35" s="3410"/>
      <c r="CK35" s="3410"/>
      <c r="CL35" s="3410"/>
      <c r="CM35" s="3410"/>
      <c r="CN35" s="3410"/>
      <c r="CO35" s="3410"/>
      <c r="CP35" s="3410"/>
      <c r="CQ35" s="3410"/>
      <c r="CR35" s="3410"/>
      <c r="CS35" s="3410"/>
      <c r="CT35" s="3410"/>
      <c r="CU35" s="3410"/>
      <c r="CV35" s="3410"/>
      <c r="CW35" s="3410"/>
      <c r="CX35" s="3410"/>
      <c r="CY35" s="3410"/>
      <c r="CZ35" s="3410"/>
      <c r="DA35" s="3410"/>
      <c r="DB35" s="3410"/>
      <c r="DC35" s="3410"/>
      <c r="DD35" s="3410"/>
      <c r="DE35" s="3410"/>
      <c r="DF35" s="3410"/>
      <c r="DG35" s="3410"/>
      <c r="DH35" s="3410"/>
      <c r="DI35" s="3410"/>
      <c r="DJ35" s="3410"/>
      <c r="DK35" s="3410"/>
      <c r="DL35" s="3410"/>
      <c r="DM35" s="3410"/>
      <c r="DN35" s="3410"/>
      <c r="DO35" s="3410"/>
      <c r="DP35" s="3410"/>
      <c r="DQ35" s="3410"/>
      <c r="DR35" s="3410"/>
      <c r="DS35" s="3410"/>
      <c r="DT35" s="3410"/>
      <c r="DU35" s="3410"/>
      <c r="DV35" s="3410"/>
      <c r="DW35" s="3410"/>
      <c r="DX35" s="3410"/>
      <c r="DY35" s="3410"/>
      <c r="DZ35" s="3410"/>
      <c r="EA35" s="3410"/>
      <c r="EB35" s="3410"/>
      <c r="EC35" s="3410"/>
      <c r="ED35" s="3410"/>
      <c r="EE35" s="3410"/>
      <c r="EF35" s="3410"/>
      <c r="EG35" s="3410"/>
      <c r="EH35" s="3410"/>
      <c r="EI35" s="3410"/>
      <c r="EJ35" s="3410"/>
      <c r="EK35" s="3410"/>
      <c r="EL35" s="3410"/>
      <c r="EM35" s="3410"/>
      <c r="EN35" s="3410"/>
      <c r="EO35" s="3410"/>
      <c r="EP35" s="3410"/>
      <c r="EQ35" s="3410"/>
      <c r="ER35" s="3410"/>
      <c r="ES35" s="3410"/>
      <c r="ET35" s="3410"/>
      <c r="EU35" s="3410"/>
      <c r="EV35" s="3410"/>
      <c r="EW35" s="3410"/>
      <c r="EX35" s="3410"/>
      <c r="EY35" s="3410"/>
      <c r="EZ35" s="3410"/>
      <c r="FA35" s="3410"/>
      <c r="FB35" s="3410"/>
      <c r="FC35" s="3410"/>
      <c r="FD35" s="3410"/>
      <c r="FE35" s="3410"/>
      <c r="FF35" s="3410"/>
      <c r="FG35" s="3410"/>
      <c r="FH35" s="3410"/>
      <c r="FI35" s="3410"/>
      <c r="FJ35" s="3410"/>
      <c r="FK35" s="3410"/>
      <c r="FL35" s="3410"/>
      <c r="FM35" s="3410"/>
      <c r="FN35" s="3410"/>
      <c r="FO35" s="3410"/>
      <c r="FP35" s="3410"/>
      <c r="FQ35" s="3410"/>
      <c r="FR35" s="3410"/>
      <c r="FS35" s="3410"/>
      <c r="FT35" s="3410"/>
      <c r="FU35" s="3410"/>
      <c r="FV35" s="3410"/>
      <c r="FW35" s="3410"/>
      <c r="FX35" s="3410"/>
      <c r="FY35" s="3410"/>
      <c r="FZ35" s="3410"/>
      <c r="GA35" s="3410"/>
      <c r="GB35" s="3410"/>
      <c r="GC35" s="3410"/>
      <c r="GD35" s="3410"/>
      <c r="GE35" s="3410"/>
      <c r="GF35" s="3410"/>
      <c r="GG35" s="3410"/>
      <c r="GH35" s="3410"/>
      <c r="GI35" s="3410"/>
      <c r="GJ35" s="3410"/>
      <c r="GK35" s="3410"/>
      <c r="GL35" s="3410"/>
      <c r="GM35" s="3410"/>
      <c r="GN35" s="3410"/>
      <c r="GO35" s="3410"/>
      <c r="GP35" s="3410"/>
      <c r="GQ35" s="3410"/>
      <c r="GR35" s="3410"/>
      <c r="GS35" s="3410"/>
      <c r="GT35" s="3410"/>
      <c r="GU35" s="3410"/>
      <c r="GV35" s="3410"/>
      <c r="GW35" s="3410"/>
      <c r="GX35" s="3410"/>
      <c r="GY35" s="3410"/>
      <c r="GZ35" s="3410"/>
      <c r="HA35" s="3410"/>
      <c r="HB35" s="3410"/>
      <c r="HC35" s="3410"/>
      <c r="HD35" s="3410"/>
      <c r="HE35" s="3410"/>
      <c r="HF35" s="3410"/>
      <c r="HG35" s="3410"/>
      <c r="HH35" s="3410"/>
      <c r="HI35" s="3410"/>
      <c r="HJ35" s="3410"/>
      <c r="HK35" s="3410"/>
      <c r="HL35" s="3410"/>
      <c r="HM35" s="3410"/>
      <c r="HN35" s="3410"/>
      <c r="HO35" s="3410"/>
      <c r="HP35" s="3410"/>
      <c r="HQ35" s="3410"/>
      <c r="HR35" s="3410"/>
      <c r="HS35" s="3410"/>
      <c r="HT35" s="3410"/>
      <c r="HU35" s="3410"/>
      <c r="HV35" s="3410"/>
      <c r="HW35" s="3410"/>
      <c r="HX35" s="3410"/>
      <c r="HY35" s="3410"/>
      <c r="HZ35" s="3410"/>
      <c r="IA35" s="3410"/>
      <c r="IB35" s="3410"/>
      <c r="IC35" s="3410"/>
      <c r="ID35" s="3410"/>
      <c r="IE35" s="3410"/>
      <c r="IF35" s="3410"/>
      <c r="IG35" s="3410"/>
      <c r="IH35" s="3410"/>
      <c r="II35" s="3410"/>
      <c r="IJ35" s="3410"/>
      <c r="IK35" s="3410"/>
      <c r="IL35" s="3410"/>
      <c r="IM35" s="3410"/>
      <c r="IN35" s="3410"/>
      <c r="IO35" s="3410"/>
      <c r="IP35" s="3410"/>
      <c r="IQ35" s="3410"/>
      <c r="IR35" s="3410"/>
      <c r="IS35" s="3410"/>
      <c r="IT35" s="3410"/>
      <c r="IU35" s="3410"/>
      <c r="IV35" s="3410"/>
    </row>
    <row r="36" spans="1:256" s="3409" customFormat="1" ht="20.100000000000001" customHeight="1">
      <c r="A36" s="3410"/>
      <c r="B36" s="3410"/>
      <c r="C36" s="3410"/>
      <c r="D36" s="3410"/>
      <c r="E36" s="3410"/>
      <c r="F36" s="3410"/>
      <c r="G36" s="3410"/>
      <c r="H36" s="3410"/>
      <c r="I36" s="3410"/>
      <c r="J36" s="3410"/>
      <c r="K36" s="3410"/>
      <c r="L36" s="3410"/>
      <c r="M36" s="3410"/>
      <c r="N36" s="3410"/>
      <c r="O36" s="3410"/>
      <c r="P36" s="3410"/>
      <c r="Q36" s="3410"/>
      <c r="R36" s="3410"/>
      <c r="S36" s="3410"/>
      <c r="T36" s="3410"/>
      <c r="U36" s="3410"/>
      <c r="V36" s="3410"/>
      <c r="W36" s="3410"/>
      <c r="X36" s="3410"/>
      <c r="Y36" s="3410"/>
      <c r="Z36" s="3410"/>
      <c r="AA36" s="3410"/>
      <c r="AB36" s="3410"/>
      <c r="AC36" s="3410"/>
      <c r="AD36" s="3410"/>
      <c r="AE36" s="3410"/>
      <c r="AF36" s="3410"/>
      <c r="AG36" s="3410"/>
      <c r="AH36" s="3410"/>
      <c r="AI36" s="3410"/>
      <c r="AJ36" s="3410"/>
      <c r="AK36" s="3410"/>
      <c r="AL36" s="3410"/>
      <c r="AM36" s="3410"/>
      <c r="AN36" s="3410"/>
      <c r="AO36" s="3410"/>
      <c r="AP36" s="3410"/>
      <c r="AQ36" s="3410"/>
      <c r="AR36" s="3410"/>
      <c r="AS36" s="3410"/>
      <c r="AT36" s="3410"/>
      <c r="AU36" s="3410"/>
      <c r="AV36" s="3410"/>
      <c r="AW36" s="3410"/>
      <c r="AX36" s="3410"/>
      <c r="AY36" s="3410"/>
      <c r="AZ36" s="3410"/>
      <c r="BA36" s="3410"/>
      <c r="BB36" s="3410"/>
      <c r="BC36" s="3410"/>
      <c r="BD36" s="3410"/>
      <c r="BE36" s="3410"/>
      <c r="BF36" s="3410"/>
      <c r="BG36" s="3410"/>
      <c r="BH36" s="3410"/>
      <c r="BI36" s="3410"/>
      <c r="BJ36" s="3410"/>
      <c r="BK36" s="3410"/>
      <c r="BL36" s="3410"/>
      <c r="BM36" s="3410"/>
      <c r="BN36" s="3410"/>
      <c r="BO36" s="3410"/>
      <c r="BP36" s="3410"/>
      <c r="BQ36" s="3410"/>
      <c r="BR36" s="3410"/>
      <c r="BS36" s="3410"/>
      <c r="BT36" s="3410"/>
      <c r="BU36" s="3410"/>
      <c r="BV36" s="3410"/>
      <c r="BW36" s="3410"/>
      <c r="BX36" s="3410"/>
      <c r="BY36" s="3410"/>
      <c r="BZ36" s="3410"/>
      <c r="CA36" s="3410"/>
      <c r="CB36" s="3410"/>
      <c r="CC36" s="3410"/>
      <c r="CD36" s="3410"/>
      <c r="CE36" s="3410"/>
      <c r="CF36" s="3410"/>
      <c r="CG36" s="3410"/>
      <c r="CH36" s="3410"/>
      <c r="CI36" s="3410"/>
      <c r="CJ36" s="3410"/>
      <c r="CK36" s="3410"/>
      <c r="CL36" s="3410"/>
      <c r="CM36" s="3410"/>
      <c r="CN36" s="3410"/>
      <c r="CO36" s="3410"/>
      <c r="CP36" s="3410"/>
      <c r="CQ36" s="3410"/>
      <c r="CR36" s="3410"/>
      <c r="CS36" s="3410"/>
      <c r="CT36" s="3410"/>
      <c r="CU36" s="3410"/>
      <c r="CV36" s="3410"/>
      <c r="CW36" s="3410"/>
      <c r="CX36" s="3410"/>
      <c r="CY36" s="3410"/>
      <c r="CZ36" s="3410"/>
      <c r="DA36" s="3410"/>
      <c r="DB36" s="3410"/>
      <c r="DC36" s="3410"/>
      <c r="DD36" s="3410"/>
      <c r="DE36" s="3410"/>
      <c r="DF36" s="3410"/>
      <c r="DG36" s="3410"/>
      <c r="DH36" s="3410"/>
      <c r="DI36" s="3410"/>
      <c r="DJ36" s="3410"/>
      <c r="DK36" s="3410"/>
      <c r="DL36" s="3410"/>
      <c r="DM36" s="3410"/>
      <c r="DN36" s="3410"/>
      <c r="DO36" s="3410"/>
      <c r="DP36" s="3410"/>
      <c r="DQ36" s="3410"/>
      <c r="DR36" s="3410"/>
      <c r="DS36" s="3410"/>
      <c r="DT36" s="3410"/>
      <c r="DU36" s="3410"/>
      <c r="DV36" s="3410"/>
      <c r="DW36" s="3410"/>
      <c r="DX36" s="3410"/>
      <c r="DY36" s="3410"/>
      <c r="DZ36" s="3410"/>
      <c r="EA36" s="3410"/>
      <c r="EB36" s="3410"/>
      <c r="EC36" s="3410"/>
      <c r="ED36" s="3410"/>
      <c r="EE36" s="3410"/>
      <c r="EF36" s="3410"/>
      <c r="EG36" s="3410"/>
      <c r="EH36" s="3410"/>
      <c r="EI36" s="3410"/>
      <c r="EJ36" s="3410"/>
      <c r="EK36" s="3410"/>
      <c r="EL36" s="3410"/>
      <c r="EM36" s="3410"/>
      <c r="EN36" s="3410"/>
      <c r="EO36" s="3410"/>
      <c r="EP36" s="3410"/>
      <c r="EQ36" s="3410"/>
      <c r="ER36" s="3410"/>
      <c r="ES36" s="3410"/>
      <c r="ET36" s="3410"/>
      <c r="EU36" s="3410"/>
      <c r="EV36" s="3410"/>
      <c r="EW36" s="3410"/>
      <c r="EX36" s="3410"/>
      <c r="EY36" s="3410"/>
      <c r="EZ36" s="3410"/>
      <c r="FA36" s="3410"/>
      <c r="FB36" s="3410"/>
      <c r="FC36" s="3410"/>
      <c r="FD36" s="3410"/>
      <c r="FE36" s="3410"/>
      <c r="FF36" s="3410"/>
      <c r="FG36" s="3410"/>
      <c r="FH36" s="3410"/>
      <c r="FI36" s="3410"/>
      <c r="FJ36" s="3410"/>
      <c r="FK36" s="3410"/>
      <c r="FL36" s="3410"/>
      <c r="FM36" s="3410"/>
      <c r="FN36" s="3410"/>
      <c r="FO36" s="3410"/>
      <c r="FP36" s="3410"/>
      <c r="FQ36" s="3410"/>
      <c r="FR36" s="3410"/>
      <c r="FS36" s="3410"/>
      <c r="FT36" s="3410"/>
      <c r="FU36" s="3410"/>
      <c r="FV36" s="3410"/>
      <c r="FW36" s="3410"/>
      <c r="FX36" s="3410"/>
      <c r="FY36" s="3410"/>
      <c r="FZ36" s="3410"/>
      <c r="GA36" s="3410"/>
      <c r="GB36" s="3410"/>
      <c r="GC36" s="3410"/>
      <c r="GD36" s="3410"/>
      <c r="GE36" s="3410"/>
      <c r="GF36" s="3410"/>
      <c r="GG36" s="3410"/>
      <c r="GH36" s="3410"/>
      <c r="GI36" s="3410"/>
      <c r="GJ36" s="3410"/>
      <c r="GK36" s="3410"/>
      <c r="GL36" s="3410"/>
      <c r="GM36" s="3410"/>
      <c r="GN36" s="3410"/>
      <c r="GO36" s="3410"/>
      <c r="GP36" s="3410"/>
      <c r="GQ36" s="3410"/>
      <c r="GR36" s="3410"/>
      <c r="GS36" s="3410"/>
      <c r="GT36" s="3410"/>
      <c r="GU36" s="3410"/>
      <c r="GV36" s="3410"/>
      <c r="GW36" s="3410"/>
      <c r="GX36" s="3410"/>
      <c r="GY36" s="3410"/>
      <c r="GZ36" s="3410"/>
      <c r="HA36" s="3410"/>
      <c r="HB36" s="3410"/>
      <c r="HC36" s="3410"/>
      <c r="HD36" s="3410"/>
      <c r="HE36" s="3410"/>
      <c r="HF36" s="3410"/>
      <c r="HG36" s="3410"/>
      <c r="HH36" s="3410"/>
      <c r="HI36" s="3410"/>
      <c r="HJ36" s="3410"/>
      <c r="HK36" s="3410"/>
      <c r="HL36" s="3410"/>
      <c r="HM36" s="3410"/>
      <c r="HN36" s="3410"/>
      <c r="HO36" s="3410"/>
      <c r="HP36" s="3410"/>
      <c r="HQ36" s="3410"/>
      <c r="HR36" s="3410"/>
      <c r="HS36" s="3410"/>
      <c r="HT36" s="3410"/>
      <c r="HU36" s="3410"/>
      <c r="HV36" s="3410"/>
      <c r="HW36" s="3410"/>
      <c r="HX36" s="3410"/>
      <c r="HY36" s="3410"/>
      <c r="HZ36" s="3410"/>
      <c r="IA36" s="3410"/>
      <c r="IB36" s="3410"/>
      <c r="IC36" s="3410"/>
      <c r="ID36" s="3410"/>
      <c r="IE36" s="3410"/>
      <c r="IF36" s="3410"/>
      <c r="IG36" s="3410"/>
      <c r="IH36" s="3410"/>
      <c r="II36" s="3410"/>
      <c r="IJ36" s="3410"/>
      <c r="IK36" s="3410"/>
      <c r="IL36" s="3410"/>
      <c r="IM36" s="3410"/>
      <c r="IN36" s="3410"/>
      <c r="IO36" s="3410"/>
      <c r="IP36" s="3410"/>
      <c r="IQ36" s="3410"/>
      <c r="IR36" s="3410"/>
      <c r="IS36" s="3410"/>
      <c r="IT36" s="3410"/>
      <c r="IU36" s="3410"/>
      <c r="IV36" s="3410"/>
    </row>
    <row r="37" spans="1:256" s="3409" customFormat="1" ht="20.100000000000001" customHeight="1">
      <c r="A37" s="3410"/>
      <c r="B37" s="3410"/>
      <c r="C37" s="3410"/>
      <c r="D37" s="3410"/>
      <c r="E37" s="3410"/>
      <c r="F37" s="3410"/>
      <c r="G37" s="3410"/>
      <c r="H37" s="3410"/>
      <c r="I37" s="3410"/>
      <c r="J37" s="3410"/>
      <c r="K37" s="3410"/>
      <c r="L37" s="3410"/>
      <c r="M37" s="3410"/>
      <c r="N37" s="3410"/>
      <c r="O37" s="3410"/>
      <c r="P37" s="3410"/>
      <c r="Q37" s="3410"/>
      <c r="R37" s="3410"/>
      <c r="S37" s="3410"/>
      <c r="T37" s="3410"/>
      <c r="U37" s="3410"/>
      <c r="V37" s="3410"/>
      <c r="W37" s="3410"/>
      <c r="X37" s="3410"/>
      <c r="Y37" s="3410"/>
      <c r="Z37" s="3410"/>
      <c r="AA37" s="3410"/>
      <c r="AB37" s="3410"/>
      <c r="AC37" s="3410"/>
      <c r="AD37" s="3410"/>
      <c r="AE37" s="3410"/>
      <c r="AF37" s="3410"/>
      <c r="AG37" s="3410"/>
      <c r="AH37" s="3410"/>
      <c r="AI37" s="3410"/>
      <c r="AJ37" s="3410"/>
      <c r="AK37" s="3410"/>
      <c r="AL37" s="3410"/>
      <c r="AM37" s="3410"/>
      <c r="AN37" s="3410"/>
      <c r="AO37" s="3410"/>
      <c r="AP37" s="3410"/>
      <c r="AQ37" s="3410"/>
      <c r="AR37" s="3410"/>
      <c r="AS37" s="3410"/>
      <c r="AT37" s="3410"/>
      <c r="AU37" s="3410"/>
      <c r="AV37" s="3410"/>
      <c r="AW37" s="3410"/>
      <c r="AX37" s="3410"/>
      <c r="AY37" s="3410"/>
      <c r="AZ37" s="3410"/>
      <c r="BA37" s="3410"/>
      <c r="BB37" s="3410"/>
      <c r="BC37" s="3410"/>
      <c r="BD37" s="3410"/>
      <c r="BE37" s="3410"/>
      <c r="BF37" s="3410"/>
      <c r="BG37" s="3410"/>
      <c r="BH37" s="3410"/>
      <c r="BI37" s="3410"/>
      <c r="BJ37" s="3410"/>
      <c r="BK37" s="3410"/>
      <c r="BL37" s="3410"/>
      <c r="BM37" s="3410"/>
      <c r="BN37" s="3410"/>
      <c r="BO37" s="3410"/>
      <c r="BP37" s="3410"/>
      <c r="BQ37" s="3410"/>
      <c r="BR37" s="3410"/>
      <c r="BS37" s="3410"/>
      <c r="BT37" s="3410"/>
      <c r="BU37" s="3410"/>
      <c r="BV37" s="3410"/>
      <c r="BW37" s="3410"/>
      <c r="BX37" s="3410"/>
      <c r="BY37" s="3410"/>
      <c r="BZ37" s="3410"/>
      <c r="CA37" s="3410"/>
      <c r="CB37" s="3410"/>
      <c r="CC37" s="3410"/>
      <c r="CD37" s="3410"/>
      <c r="CE37" s="3410"/>
      <c r="CF37" s="3410"/>
      <c r="CG37" s="3410"/>
      <c r="CH37" s="3410"/>
      <c r="CI37" s="3410"/>
      <c r="CJ37" s="3410"/>
      <c r="CK37" s="3410"/>
      <c r="CL37" s="3410"/>
      <c r="CM37" s="3410"/>
      <c r="CN37" s="3410"/>
      <c r="CO37" s="3410"/>
      <c r="CP37" s="3410"/>
      <c r="CQ37" s="3410"/>
      <c r="CR37" s="3410"/>
      <c r="CS37" s="3410"/>
      <c r="CT37" s="3410"/>
      <c r="CU37" s="3410"/>
      <c r="CV37" s="3410"/>
      <c r="CW37" s="3410"/>
      <c r="CX37" s="3410"/>
      <c r="CY37" s="3410"/>
      <c r="CZ37" s="3410"/>
      <c r="DA37" s="3410"/>
      <c r="DB37" s="3410"/>
      <c r="DC37" s="3410"/>
      <c r="DD37" s="3410"/>
      <c r="DE37" s="3410"/>
      <c r="DF37" s="3410"/>
      <c r="DG37" s="3410"/>
      <c r="DH37" s="3410"/>
      <c r="DI37" s="3410"/>
      <c r="DJ37" s="3410"/>
      <c r="DK37" s="3410"/>
      <c r="DL37" s="3410"/>
      <c r="DM37" s="3410"/>
      <c r="DN37" s="3410"/>
      <c r="DO37" s="3410"/>
      <c r="DP37" s="3410"/>
      <c r="DQ37" s="3410"/>
      <c r="DR37" s="3410"/>
      <c r="DS37" s="3410"/>
      <c r="DT37" s="3410"/>
      <c r="DU37" s="3410"/>
      <c r="DV37" s="3410"/>
      <c r="DW37" s="3410"/>
      <c r="DX37" s="3410"/>
      <c r="DY37" s="3410"/>
      <c r="DZ37" s="3410"/>
      <c r="EA37" s="3410"/>
      <c r="EB37" s="3410"/>
      <c r="EC37" s="3410"/>
      <c r="ED37" s="3410"/>
      <c r="EE37" s="3410"/>
      <c r="EF37" s="3410"/>
      <c r="EG37" s="3410"/>
      <c r="EH37" s="3410"/>
      <c r="EI37" s="3410"/>
      <c r="EJ37" s="3410"/>
      <c r="EK37" s="3410"/>
      <c r="EL37" s="3410"/>
      <c r="EM37" s="3410"/>
      <c r="EN37" s="3410"/>
      <c r="EO37" s="3410"/>
      <c r="EP37" s="3410"/>
      <c r="EQ37" s="3410"/>
      <c r="ER37" s="3410"/>
      <c r="ES37" s="3410"/>
      <c r="ET37" s="3410"/>
      <c r="EU37" s="3410"/>
      <c r="EV37" s="3410"/>
      <c r="EW37" s="3410"/>
      <c r="EX37" s="3410"/>
      <c r="EY37" s="3410"/>
      <c r="EZ37" s="3410"/>
      <c r="FA37" s="3410"/>
      <c r="FB37" s="3410"/>
      <c r="FC37" s="3410"/>
      <c r="FD37" s="3410"/>
      <c r="FE37" s="3410"/>
      <c r="FF37" s="3410"/>
      <c r="FG37" s="3410"/>
      <c r="FH37" s="3410"/>
      <c r="FI37" s="3410"/>
      <c r="FJ37" s="3410"/>
      <c r="FK37" s="3410"/>
      <c r="FL37" s="3410"/>
      <c r="FM37" s="3410"/>
      <c r="FN37" s="3410"/>
      <c r="FO37" s="3410"/>
      <c r="FP37" s="3410"/>
      <c r="FQ37" s="3410"/>
      <c r="FR37" s="3410"/>
      <c r="FS37" s="3410"/>
      <c r="FT37" s="3410"/>
      <c r="FU37" s="3410"/>
      <c r="FV37" s="3410"/>
      <c r="FW37" s="3410"/>
      <c r="FX37" s="3410"/>
      <c r="FY37" s="3410"/>
      <c r="FZ37" s="3410"/>
      <c r="GA37" s="3410"/>
      <c r="GB37" s="3410"/>
      <c r="GC37" s="3410"/>
      <c r="GD37" s="3410"/>
      <c r="GE37" s="3410"/>
      <c r="GF37" s="3410"/>
      <c r="GG37" s="3410"/>
      <c r="GH37" s="3410"/>
      <c r="GI37" s="3410"/>
      <c r="GJ37" s="3410"/>
      <c r="GK37" s="3410"/>
      <c r="GL37" s="3410"/>
      <c r="GM37" s="3410"/>
      <c r="GN37" s="3410"/>
      <c r="GO37" s="3410"/>
      <c r="GP37" s="3410"/>
      <c r="GQ37" s="3410"/>
      <c r="GR37" s="3410"/>
      <c r="GS37" s="3410"/>
      <c r="GT37" s="3410"/>
      <c r="GU37" s="3410"/>
      <c r="GV37" s="3410"/>
      <c r="GW37" s="3410"/>
      <c r="GX37" s="3410"/>
      <c r="GY37" s="3410"/>
      <c r="GZ37" s="3410"/>
      <c r="HA37" s="3410"/>
      <c r="HB37" s="3410"/>
      <c r="HC37" s="3410"/>
      <c r="HD37" s="3410"/>
      <c r="HE37" s="3410"/>
      <c r="HF37" s="3410"/>
      <c r="HG37" s="3410"/>
      <c r="HH37" s="3410"/>
      <c r="HI37" s="3410"/>
      <c r="HJ37" s="3410"/>
      <c r="HK37" s="3410"/>
      <c r="HL37" s="3410"/>
      <c r="HM37" s="3410"/>
      <c r="HN37" s="3410"/>
      <c r="HO37" s="3410"/>
      <c r="HP37" s="3410"/>
      <c r="HQ37" s="3410"/>
      <c r="HR37" s="3410"/>
      <c r="HS37" s="3410"/>
      <c r="HT37" s="3410"/>
      <c r="HU37" s="3410"/>
      <c r="HV37" s="3410"/>
      <c r="HW37" s="3410"/>
      <c r="HX37" s="3410"/>
      <c r="HY37" s="3410"/>
      <c r="HZ37" s="3410"/>
      <c r="IA37" s="3410"/>
      <c r="IB37" s="3410"/>
      <c r="IC37" s="3410"/>
      <c r="ID37" s="3410"/>
      <c r="IE37" s="3410"/>
      <c r="IF37" s="3410"/>
      <c r="IG37" s="3410"/>
      <c r="IH37" s="3410"/>
      <c r="II37" s="3410"/>
      <c r="IJ37" s="3410"/>
      <c r="IK37" s="3410"/>
      <c r="IL37" s="3410"/>
      <c r="IM37" s="3410"/>
      <c r="IN37" s="3410"/>
      <c r="IO37" s="3410"/>
      <c r="IP37" s="3410"/>
      <c r="IQ37" s="3410"/>
      <c r="IR37" s="3410"/>
      <c r="IS37" s="3410"/>
      <c r="IT37" s="3410"/>
      <c r="IU37" s="3410"/>
      <c r="IV37" s="3410"/>
    </row>
    <row r="38" spans="1:256" s="3409" customFormat="1" ht="20.100000000000001" customHeight="1">
      <c r="A38" s="3410"/>
      <c r="B38" s="3410"/>
      <c r="C38" s="3410"/>
      <c r="D38" s="3410"/>
      <c r="E38" s="3410"/>
      <c r="F38" s="3410"/>
      <c r="G38" s="3410"/>
      <c r="H38" s="3410"/>
      <c r="I38" s="3410"/>
      <c r="J38" s="3410"/>
      <c r="K38" s="3410"/>
      <c r="L38" s="3410"/>
      <c r="M38" s="3410"/>
      <c r="N38" s="3410"/>
      <c r="O38" s="3410"/>
      <c r="P38" s="3410"/>
      <c r="Q38" s="3410"/>
      <c r="R38" s="3410"/>
      <c r="S38" s="3410"/>
      <c r="T38" s="3410"/>
      <c r="U38" s="3410"/>
      <c r="V38" s="3410"/>
      <c r="W38" s="3410"/>
      <c r="X38" s="3410"/>
      <c r="Y38" s="3410"/>
      <c r="Z38" s="3410"/>
      <c r="AA38" s="3410"/>
      <c r="AB38" s="3410"/>
      <c r="AC38" s="3410"/>
      <c r="AD38" s="3410"/>
      <c r="AE38" s="3410"/>
      <c r="AF38" s="3410"/>
      <c r="AG38" s="3410"/>
      <c r="AH38" s="3410"/>
      <c r="AI38" s="3410"/>
      <c r="AJ38" s="3410"/>
      <c r="AK38" s="3410"/>
      <c r="AL38" s="3410"/>
      <c r="AM38" s="3410"/>
      <c r="AN38" s="3410"/>
      <c r="AO38" s="3410"/>
      <c r="AP38" s="3410"/>
      <c r="AQ38" s="3410"/>
      <c r="AR38" s="3410"/>
      <c r="AS38" s="3410"/>
      <c r="AT38" s="3410"/>
      <c r="AU38" s="3410"/>
      <c r="AV38" s="3410"/>
      <c r="AW38" s="3410"/>
      <c r="AX38" s="3410"/>
      <c r="AY38" s="3410"/>
      <c r="AZ38" s="3410"/>
      <c r="BA38" s="3410"/>
      <c r="BB38" s="3410"/>
      <c r="BC38" s="3410"/>
      <c r="BD38" s="3410"/>
      <c r="BE38" s="3410"/>
      <c r="BF38" s="3410"/>
      <c r="BG38" s="3410"/>
      <c r="BH38" s="3410"/>
      <c r="BI38" s="3410"/>
      <c r="BJ38" s="3410"/>
      <c r="BK38" s="3410"/>
      <c r="BL38" s="3410"/>
      <c r="BM38" s="3410"/>
      <c r="BN38" s="3410"/>
      <c r="BO38" s="3410"/>
      <c r="BP38" s="3410"/>
      <c r="BQ38" s="3410"/>
      <c r="BR38" s="3410"/>
      <c r="BS38" s="3410"/>
      <c r="BT38" s="3410"/>
      <c r="BU38" s="3410"/>
      <c r="BV38" s="3410"/>
      <c r="BW38" s="3410"/>
      <c r="BX38" s="3410"/>
      <c r="BY38" s="3410"/>
      <c r="BZ38" s="3410"/>
      <c r="CA38" s="3410"/>
      <c r="CB38" s="3410"/>
      <c r="CC38" s="3410"/>
      <c r="CD38" s="3410"/>
      <c r="CE38" s="3410"/>
      <c r="CF38" s="3410"/>
      <c r="CG38" s="3410"/>
      <c r="CH38" s="3410"/>
      <c r="CI38" s="3410"/>
      <c r="CJ38" s="3410"/>
      <c r="CK38" s="3410"/>
      <c r="CL38" s="3410"/>
      <c r="CM38" s="3410"/>
      <c r="CN38" s="3410"/>
      <c r="CO38" s="3410"/>
      <c r="CP38" s="3410"/>
      <c r="CQ38" s="3410"/>
      <c r="CR38" s="3410"/>
      <c r="CS38" s="3410"/>
      <c r="CT38" s="3410"/>
      <c r="CU38" s="3410"/>
      <c r="CV38" s="3410"/>
      <c r="CW38" s="3410"/>
      <c r="CX38" s="3410"/>
      <c r="CY38" s="3410"/>
      <c r="CZ38" s="3410"/>
      <c r="DA38" s="3410"/>
      <c r="DB38" s="3410"/>
      <c r="DC38" s="3410"/>
      <c r="DD38" s="3410"/>
      <c r="DE38" s="3410"/>
      <c r="DF38" s="3410"/>
      <c r="DG38" s="3410"/>
      <c r="DH38" s="3410"/>
      <c r="DI38" s="3410"/>
      <c r="DJ38" s="3410"/>
      <c r="DK38" s="3410"/>
      <c r="DL38" s="3410"/>
      <c r="DM38" s="3410"/>
      <c r="DN38" s="3410"/>
      <c r="DO38" s="3410"/>
      <c r="DP38" s="3410"/>
      <c r="DQ38" s="3410"/>
      <c r="DR38" s="3410"/>
      <c r="DS38" s="3410"/>
      <c r="DT38" s="3410"/>
      <c r="DU38" s="3410"/>
      <c r="DV38" s="3410"/>
      <c r="DW38" s="3410"/>
      <c r="DX38" s="3410"/>
      <c r="DY38" s="3410"/>
      <c r="DZ38" s="3410"/>
      <c r="EA38" s="3410"/>
      <c r="EB38" s="3410"/>
      <c r="EC38" s="3410"/>
      <c r="ED38" s="3410"/>
      <c r="EE38" s="3410"/>
      <c r="EF38" s="3410"/>
      <c r="EG38" s="3410"/>
      <c r="EH38" s="3410"/>
      <c r="EI38" s="3410"/>
      <c r="EJ38" s="3410"/>
      <c r="EK38" s="3410"/>
      <c r="EL38" s="3410"/>
      <c r="EM38" s="3410"/>
      <c r="EN38" s="3410"/>
      <c r="EO38" s="3410"/>
      <c r="EP38" s="3410"/>
      <c r="EQ38" s="3410"/>
      <c r="ER38" s="3410"/>
      <c r="ES38" s="3410"/>
      <c r="ET38" s="3410"/>
      <c r="EU38" s="3410"/>
      <c r="EV38" s="3410"/>
      <c r="EW38" s="3410"/>
      <c r="EX38" s="3410"/>
      <c r="EY38" s="3410"/>
      <c r="EZ38" s="3410"/>
      <c r="FA38" s="3410"/>
      <c r="FB38" s="3410"/>
      <c r="FC38" s="3410"/>
      <c r="FD38" s="3410"/>
      <c r="FE38" s="3410"/>
      <c r="FF38" s="3410"/>
      <c r="FG38" s="3410"/>
      <c r="FH38" s="3410"/>
      <c r="FI38" s="3410"/>
      <c r="FJ38" s="3410"/>
      <c r="FK38" s="3410"/>
      <c r="FL38" s="3410"/>
      <c r="FM38" s="3410"/>
      <c r="FN38" s="3410"/>
      <c r="FO38" s="3410"/>
      <c r="FP38" s="3410"/>
      <c r="FQ38" s="3410"/>
      <c r="FR38" s="3410"/>
      <c r="FS38" s="3410"/>
      <c r="FT38" s="3410"/>
      <c r="FU38" s="3410"/>
      <c r="FV38" s="3410"/>
      <c r="FW38" s="3410"/>
      <c r="FX38" s="3410"/>
      <c r="FY38" s="3410"/>
      <c r="FZ38" s="3410"/>
      <c r="GA38" s="3410"/>
      <c r="GB38" s="3410"/>
      <c r="GC38" s="3410"/>
      <c r="GD38" s="3410"/>
      <c r="GE38" s="3410"/>
      <c r="GF38" s="3410"/>
      <c r="GG38" s="3410"/>
      <c r="GH38" s="3410"/>
      <c r="GI38" s="3410"/>
      <c r="GJ38" s="3410"/>
      <c r="GK38" s="3410"/>
      <c r="GL38" s="3410"/>
      <c r="GM38" s="3410"/>
      <c r="GN38" s="3410"/>
      <c r="GO38" s="3410"/>
      <c r="GP38" s="3410"/>
      <c r="GQ38" s="3410"/>
      <c r="GR38" s="3410"/>
      <c r="GS38" s="3410"/>
      <c r="GT38" s="3410"/>
      <c r="GU38" s="3410"/>
      <c r="GV38" s="3410"/>
      <c r="GW38" s="3410"/>
      <c r="GX38" s="3410"/>
      <c r="GY38" s="3410"/>
      <c r="GZ38" s="3410"/>
      <c r="HA38" s="3410"/>
      <c r="HB38" s="3410"/>
      <c r="HC38" s="3410"/>
      <c r="HD38" s="3410"/>
      <c r="HE38" s="3410"/>
      <c r="HF38" s="3410"/>
      <c r="HG38" s="3410"/>
      <c r="HH38" s="3410"/>
      <c r="HI38" s="3410"/>
      <c r="HJ38" s="3410"/>
      <c r="HK38" s="3410"/>
      <c r="HL38" s="3410"/>
      <c r="HM38" s="3410"/>
      <c r="HN38" s="3410"/>
      <c r="HO38" s="3410"/>
      <c r="HP38" s="3410"/>
      <c r="HQ38" s="3410"/>
      <c r="HR38" s="3410"/>
      <c r="HS38" s="3410"/>
      <c r="HT38" s="3410"/>
      <c r="HU38" s="3410"/>
      <c r="HV38" s="3410"/>
      <c r="HW38" s="3410"/>
      <c r="HX38" s="3410"/>
      <c r="HY38" s="3410"/>
      <c r="HZ38" s="3410"/>
      <c r="IA38" s="3410"/>
      <c r="IB38" s="3410"/>
      <c r="IC38" s="3410"/>
      <c r="ID38" s="3410"/>
      <c r="IE38" s="3410"/>
      <c r="IF38" s="3410"/>
      <c r="IG38" s="3410"/>
      <c r="IH38" s="3410"/>
      <c r="II38" s="3410"/>
      <c r="IJ38" s="3410"/>
      <c r="IK38" s="3410"/>
      <c r="IL38" s="3410"/>
      <c r="IM38" s="3410"/>
      <c r="IN38" s="3410"/>
      <c r="IO38" s="3410"/>
      <c r="IP38" s="3410"/>
      <c r="IQ38" s="3410"/>
      <c r="IR38" s="3410"/>
      <c r="IS38" s="3410"/>
      <c r="IT38" s="3410"/>
      <c r="IU38" s="3410"/>
      <c r="IV38" s="3410"/>
    </row>
    <row r="39" spans="1:256" s="3409" customFormat="1" ht="20.100000000000001" customHeight="1">
      <c r="A39" s="3410"/>
      <c r="B39" s="3410"/>
      <c r="C39" s="3410"/>
      <c r="D39" s="3410"/>
      <c r="E39" s="3410"/>
      <c r="F39" s="3410"/>
      <c r="G39" s="3410"/>
      <c r="H39" s="3410"/>
      <c r="I39" s="3410"/>
      <c r="J39" s="3410"/>
      <c r="K39" s="3410"/>
      <c r="L39" s="3410"/>
      <c r="M39" s="3410"/>
      <c r="N39" s="3410"/>
      <c r="O39" s="3410"/>
      <c r="P39" s="3410"/>
      <c r="Q39" s="3410"/>
      <c r="R39" s="3410"/>
      <c r="S39" s="3410"/>
      <c r="T39" s="3410"/>
      <c r="U39" s="3410"/>
      <c r="V39" s="3410"/>
      <c r="W39" s="3410"/>
      <c r="X39" s="3410"/>
      <c r="Y39" s="3410"/>
      <c r="Z39" s="3410"/>
      <c r="AA39" s="3410"/>
      <c r="AB39" s="3410"/>
      <c r="AC39" s="3410"/>
      <c r="AD39" s="3410"/>
      <c r="AE39" s="3410"/>
      <c r="AF39" s="3410"/>
      <c r="AG39" s="3410"/>
      <c r="AH39" s="3410"/>
      <c r="AI39" s="3410"/>
      <c r="AJ39" s="3410"/>
      <c r="AK39" s="3410"/>
      <c r="AL39" s="3410"/>
      <c r="AM39" s="3410"/>
      <c r="AN39" s="3410"/>
      <c r="AO39" s="3410"/>
      <c r="AP39" s="3410"/>
      <c r="AQ39" s="3410"/>
      <c r="AR39" s="3410"/>
      <c r="AS39" s="3410"/>
      <c r="AT39" s="3410"/>
      <c r="AU39" s="3410"/>
      <c r="AV39" s="3410"/>
      <c r="AW39" s="3410"/>
      <c r="AX39" s="3410"/>
      <c r="AY39" s="3410"/>
      <c r="AZ39" s="3410"/>
      <c r="BA39" s="3410"/>
      <c r="BB39" s="3410"/>
      <c r="BC39" s="3410"/>
      <c r="BD39" s="3410"/>
      <c r="BE39" s="3410"/>
      <c r="BF39" s="3410"/>
      <c r="BG39" s="3410"/>
      <c r="BH39" s="3410"/>
      <c r="BI39" s="3410"/>
      <c r="BJ39" s="3410"/>
      <c r="BK39" s="3410"/>
      <c r="BL39" s="3410"/>
      <c r="BM39" s="3410"/>
      <c r="BN39" s="3410"/>
      <c r="BO39" s="3410"/>
      <c r="BP39" s="3410"/>
      <c r="BQ39" s="3410"/>
      <c r="BR39" s="3410"/>
      <c r="BS39" s="3410"/>
      <c r="BT39" s="3410"/>
      <c r="BU39" s="3410"/>
      <c r="BV39" s="3410"/>
      <c r="BW39" s="3410"/>
      <c r="BX39" s="3410"/>
      <c r="BY39" s="3410"/>
      <c r="BZ39" s="3410"/>
      <c r="CA39" s="3410"/>
      <c r="CB39" s="3410"/>
      <c r="CC39" s="3410"/>
      <c r="CD39" s="3410"/>
      <c r="CE39" s="3410"/>
      <c r="CF39" s="3410"/>
      <c r="CG39" s="3410"/>
      <c r="CH39" s="3410"/>
      <c r="CI39" s="3410"/>
      <c r="CJ39" s="3410"/>
      <c r="CK39" s="3410"/>
      <c r="CL39" s="3410"/>
      <c r="CM39" s="3410"/>
      <c r="CN39" s="3410"/>
      <c r="CO39" s="3410"/>
      <c r="CP39" s="3410"/>
      <c r="CQ39" s="3410"/>
      <c r="CR39" s="3410"/>
      <c r="CS39" s="3410"/>
      <c r="CT39" s="3410"/>
      <c r="CU39" s="3410"/>
      <c r="CV39" s="3410"/>
      <c r="CW39" s="3410"/>
      <c r="CX39" s="3410"/>
      <c r="CY39" s="3410"/>
      <c r="CZ39" s="3410"/>
      <c r="DA39" s="3410"/>
      <c r="DB39" s="3410"/>
      <c r="DC39" s="3410"/>
      <c r="DD39" s="3410"/>
      <c r="DE39" s="3410"/>
      <c r="DF39" s="3410"/>
      <c r="DG39" s="3410"/>
      <c r="DH39" s="3410"/>
      <c r="DI39" s="3410"/>
      <c r="DJ39" s="3410"/>
      <c r="DK39" s="3410"/>
      <c r="DL39" s="3410"/>
      <c r="DM39" s="3410"/>
      <c r="DN39" s="3410"/>
      <c r="DO39" s="3410"/>
      <c r="DP39" s="3410"/>
      <c r="DQ39" s="3410"/>
      <c r="DR39" s="3410"/>
      <c r="DS39" s="3410"/>
      <c r="DT39" s="3410"/>
      <c r="DU39" s="3410"/>
      <c r="DV39" s="3410"/>
      <c r="DW39" s="3410"/>
      <c r="DX39" s="3410"/>
      <c r="DY39" s="3410"/>
      <c r="DZ39" s="3410"/>
      <c r="EA39" s="3410"/>
      <c r="EB39" s="3410"/>
      <c r="EC39" s="3410"/>
      <c r="ED39" s="3410"/>
      <c r="EE39" s="3410"/>
      <c r="EF39" s="3410"/>
      <c r="EG39" s="3410"/>
      <c r="EH39" s="3410"/>
      <c r="EI39" s="3410"/>
      <c r="EJ39" s="3410"/>
      <c r="EK39" s="3410"/>
      <c r="EL39" s="3410"/>
      <c r="EM39" s="3410"/>
      <c r="EN39" s="3410"/>
      <c r="EO39" s="3410"/>
      <c r="EP39" s="3410"/>
      <c r="EQ39" s="3410"/>
      <c r="ER39" s="3410"/>
      <c r="ES39" s="3410"/>
      <c r="ET39" s="3410"/>
      <c r="EU39" s="3410"/>
      <c r="EV39" s="3410"/>
      <c r="EW39" s="3410"/>
      <c r="EX39" s="3410"/>
      <c r="EY39" s="3410"/>
      <c r="EZ39" s="3410"/>
      <c r="FA39" s="3410"/>
      <c r="FB39" s="3410"/>
      <c r="FC39" s="3410"/>
      <c r="FD39" s="3410"/>
      <c r="FE39" s="3410"/>
      <c r="FF39" s="3410"/>
      <c r="FG39" s="3410"/>
      <c r="FH39" s="3410"/>
      <c r="FI39" s="3410"/>
      <c r="FJ39" s="3410"/>
      <c r="FK39" s="3410"/>
      <c r="FL39" s="3410"/>
      <c r="FM39" s="3410"/>
      <c r="FN39" s="3410"/>
      <c r="FO39" s="3410"/>
      <c r="FP39" s="3410"/>
      <c r="FQ39" s="3410"/>
      <c r="FR39" s="3410"/>
      <c r="FS39" s="3410"/>
      <c r="FT39" s="3410"/>
      <c r="FU39" s="3410"/>
      <c r="FV39" s="3410"/>
      <c r="FW39" s="3410"/>
      <c r="FX39" s="3410"/>
      <c r="FY39" s="3410"/>
      <c r="FZ39" s="3410"/>
      <c r="GA39" s="3410"/>
      <c r="GB39" s="3410"/>
      <c r="GC39" s="3410"/>
      <c r="GD39" s="3410"/>
      <c r="GE39" s="3410"/>
      <c r="GF39" s="3410"/>
      <c r="GG39" s="3410"/>
      <c r="GH39" s="3410"/>
      <c r="GI39" s="3410"/>
      <c r="GJ39" s="3410"/>
      <c r="GK39" s="3410"/>
      <c r="GL39" s="3410"/>
      <c r="GM39" s="3410"/>
      <c r="GN39" s="3410"/>
      <c r="GO39" s="3410"/>
      <c r="GP39" s="3410"/>
      <c r="GQ39" s="3410"/>
      <c r="GR39" s="3410"/>
      <c r="GS39" s="3410"/>
      <c r="GT39" s="3410"/>
      <c r="GU39" s="3410"/>
      <c r="GV39" s="3410"/>
      <c r="GW39" s="3410"/>
      <c r="GX39" s="3410"/>
      <c r="GY39" s="3410"/>
      <c r="GZ39" s="3410"/>
      <c r="HA39" s="3410"/>
      <c r="HB39" s="3410"/>
      <c r="HC39" s="3410"/>
      <c r="HD39" s="3410"/>
      <c r="HE39" s="3410"/>
      <c r="HF39" s="3410"/>
      <c r="HG39" s="3410"/>
      <c r="HH39" s="3410"/>
      <c r="HI39" s="3410"/>
      <c r="HJ39" s="3410"/>
      <c r="HK39" s="3410"/>
      <c r="HL39" s="3410"/>
      <c r="HM39" s="3410"/>
      <c r="HN39" s="3410"/>
      <c r="HO39" s="3410"/>
      <c r="HP39" s="3410"/>
      <c r="HQ39" s="3410"/>
      <c r="HR39" s="3410"/>
      <c r="HS39" s="3410"/>
      <c r="HT39" s="3410"/>
      <c r="HU39" s="3410"/>
      <c r="HV39" s="3410"/>
      <c r="HW39" s="3410"/>
      <c r="HX39" s="3410"/>
      <c r="HY39" s="3410"/>
      <c r="HZ39" s="3410"/>
      <c r="IA39" s="3410"/>
      <c r="IB39" s="3410"/>
      <c r="IC39" s="3410"/>
      <c r="ID39" s="3410"/>
      <c r="IE39" s="3410"/>
      <c r="IF39" s="3410"/>
      <c r="IG39" s="3410"/>
      <c r="IH39" s="3410"/>
      <c r="II39" s="3410"/>
      <c r="IJ39" s="3410"/>
      <c r="IK39" s="3410"/>
      <c r="IL39" s="3410"/>
      <c r="IM39" s="3410"/>
      <c r="IN39" s="3410"/>
      <c r="IO39" s="3410"/>
      <c r="IP39" s="3410"/>
      <c r="IQ39" s="3410"/>
      <c r="IR39" s="3410"/>
      <c r="IS39" s="3410"/>
      <c r="IT39" s="3410"/>
      <c r="IU39" s="3410"/>
      <c r="IV39" s="3410"/>
    </row>
    <row r="40" spans="1:256" s="3409" customFormat="1" ht="20.100000000000001" customHeight="1">
      <c r="A40" s="3410"/>
      <c r="B40" s="3410"/>
      <c r="C40" s="3410"/>
      <c r="D40" s="3410"/>
      <c r="E40" s="3410"/>
      <c r="F40" s="3410"/>
      <c r="G40" s="3410"/>
      <c r="H40" s="3410"/>
      <c r="I40" s="3410"/>
      <c r="J40" s="3410"/>
      <c r="K40" s="3410"/>
      <c r="L40" s="3410"/>
      <c r="M40" s="3410"/>
      <c r="N40" s="3410"/>
      <c r="O40" s="3410"/>
      <c r="P40" s="3410"/>
      <c r="Q40" s="3410"/>
      <c r="R40" s="3410"/>
      <c r="S40" s="3410"/>
      <c r="T40" s="3410"/>
      <c r="U40" s="3410"/>
      <c r="V40" s="3410"/>
      <c r="W40" s="3410"/>
      <c r="X40" s="3410"/>
      <c r="Y40" s="3410"/>
      <c r="Z40" s="3410"/>
      <c r="AA40" s="3410"/>
      <c r="AB40" s="3410"/>
      <c r="AC40" s="3410"/>
      <c r="AD40" s="3410"/>
      <c r="AE40" s="3410"/>
      <c r="AF40" s="3410"/>
      <c r="AG40" s="3410"/>
      <c r="AH40" s="3410"/>
      <c r="AI40" s="3410"/>
      <c r="AJ40" s="3410"/>
      <c r="AK40" s="3410"/>
      <c r="AL40" s="3410"/>
      <c r="AM40" s="3410"/>
      <c r="AN40" s="3410"/>
      <c r="AO40" s="3410"/>
      <c r="AP40" s="3410"/>
      <c r="AQ40" s="3410"/>
      <c r="AR40" s="3410"/>
      <c r="AS40" s="3410"/>
      <c r="AT40" s="3410"/>
      <c r="AU40" s="3410"/>
      <c r="AV40" s="3410"/>
      <c r="AW40" s="3410"/>
      <c r="AX40" s="3410"/>
      <c r="AY40" s="3410"/>
      <c r="AZ40" s="3410"/>
      <c r="BA40" s="3410"/>
      <c r="BB40" s="3410"/>
      <c r="BC40" s="3410"/>
      <c r="BD40" s="3410"/>
      <c r="BE40" s="3410"/>
      <c r="BF40" s="3410"/>
      <c r="BG40" s="3410"/>
      <c r="BH40" s="3410"/>
      <c r="BI40" s="3410"/>
      <c r="BJ40" s="3410"/>
      <c r="BK40" s="3410"/>
      <c r="BL40" s="3410"/>
      <c r="BM40" s="3410"/>
      <c r="BN40" s="3410"/>
      <c r="BO40" s="3410"/>
      <c r="BP40" s="3410"/>
      <c r="BQ40" s="3410"/>
      <c r="BR40" s="3410"/>
      <c r="BS40" s="3410"/>
      <c r="BT40" s="3410"/>
      <c r="BU40" s="3410"/>
      <c r="BV40" s="3410"/>
      <c r="BW40" s="3410"/>
      <c r="BX40" s="3410"/>
      <c r="BY40" s="3410"/>
      <c r="BZ40" s="3410"/>
      <c r="CA40" s="3410"/>
      <c r="CB40" s="3410"/>
      <c r="CC40" s="3410"/>
      <c r="CD40" s="3410"/>
      <c r="CE40" s="3410"/>
      <c r="CF40" s="3410"/>
      <c r="CG40" s="3410"/>
      <c r="CH40" s="3410"/>
      <c r="CI40" s="3410"/>
      <c r="CJ40" s="3410"/>
      <c r="CK40" s="3410"/>
      <c r="CL40" s="3410"/>
      <c r="CM40" s="3410"/>
      <c r="CN40" s="3410"/>
      <c r="CO40" s="3410"/>
      <c r="CP40" s="3410"/>
      <c r="CQ40" s="3410"/>
      <c r="CR40" s="3410"/>
      <c r="CS40" s="3410"/>
      <c r="CT40" s="3410"/>
      <c r="CU40" s="3410"/>
      <c r="CV40" s="3410"/>
      <c r="CW40" s="3410"/>
      <c r="CX40" s="3410"/>
      <c r="CY40" s="3410"/>
      <c r="CZ40" s="3410"/>
      <c r="DA40" s="3410"/>
      <c r="DB40" s="3410"/>
      <c r="DC40" s="3410"/>
      <c r="DD40" s="3410"/>
      <c r="DE40" s="3410"/>
      <c r="DF40" s="3410"/>
      <c r="DG40" s="3410"/>
      <c r="DH40" s="3410"/>
      <c r="DI40" s="3410"/>
      <c r="DJ40" s="3410"/>
      <c r="DK40" s="3410"/>
      <c r="DL40" s="3410"/>
      <c r="DM40" s="3410"/>
      <c r="DN40" s="3410"/>
      <c r="DO40" s="3410"/>
      <c r="DP40" s="3410"/>
      <c r="DQ40" s="3410"/>
      <c r="DR40" s="3410"/>
      <c r="DS40" s="3410"/>
      <c r="DT40" s="3410"/>
      <c r="DU40" s="3410"/>
      <c r="DV40" s="3410"/>
      <c r="DW40" s="3410"/>
      <c r="DX40" s="3410"/>
      <c r="DY40" s="3410"/>
      <c r="DZ40" s="3410"/>
      <c r="EA40" s="3410"/>
      <c r="EB40" s="3410"/>
      <c r="EC40" s="3410"/>
      <c r="ED40" s="3410"/>
      <c r="EE40" s="3410"/>
      <c r="EF40" s="3410"/>
      <c r="EG40" s="3410"/>
      <c r="EH40" s="3410"/>
      <c r="EI40" s="3410"/>
      <c r="EJ40" s="3410"/>
      <c r="EK40" s="3410"/>
      <c r="EL40" s="3410"/>
      <c r="EM40" s="3410"/>
      <c r="EN40" s="3410"/>
      <c r="EO40" s="3410"/>
      <c r="EP40" s="3410"/>
      <c r="EQ40" s="3410"/>
      <c r="ER40" s="3410"/>
      <c r="ES40" s="3410"/>
      <c r="ET40" s="3410"/>
      <c r="EU40" s="3410"/>
      <c r="EV40" s="3410"/>
      <c r="EW40" s="3410"/>
      <c r="EX40" s="3410"/>
      <c r="EY40" s="3410"/>
      <c r="EZ40" s="3410"/>
      <c r="FA40" s="3410"/>
      <c r="FB40" s="3410"/>
      <c r="FC40" s="3410"/>
      <c r="FD40" s="3410"/>
      <c r="FE40" s="3410"/>
      <c r="FF40" s="3410"/>
      <c r="FG40" s="3410"/>
      <c r="FH40" s="3410"/>
      <c r="FI40" s="3410"/>
      <c r="FJ40" s="3410"/>
      <c r="FK40" s="3410"/>
      <c r="FL40" s="3410"/>
      <c r="FM40" s="3410"/>
      <c r="FN40" s="3410"/>
      <c r="FO40" s="3410"/>
      <c r="FP40" s="3410"/>
      <c r="FQ40" s="3410"/>
      <c r="FR40" s="3410"/>
      <c r="FS40" s="3410"/>
      <c r="FT40" s="3410"/>
      <c r="FU40" s="3410"/>
      <c r="FV40" s="3410"/>
      <c r="FW40" s="3410"/>
      <c r="FX40" s="3410"/>
      <c r="FY40" s="3410"/>
      <c r="FZ40" s="3410"/>
      <c r="GA40" s="3410"/>
      <c r="GB40" s="3410"/>
      <c r="GC40" s="3410"/>
      <c r="GD40" s="3410"/>
      <c r="GE40" s="3410"/>
      <c r="GF40" s="3410"/>
      <c r="GG40" s="3410"/>
      <c r="GH40" s="3410"/>
      <c r="GI40" s="3410"/>
      <c r="GJ40" s="3410"/>
      <c r="GK40" s="3410"/>
      <c r="GL40" s="3410"/>
      <c r="GM40" s="3410"/>
      <c r="GN40" s="3410"/>
      <c r="GO40" s="3410"/>
      <c r="GP40" s="3410"/>
      <c r="GQ40" s="3410"/>
      <c r="GR40" s="3410"/>
      <c r="GS40" s="3410"/>
      <c r="GT40" s="3410"/>
      <c r="GU40" s="3410"/>
      <c r="GV40" s="3410"/>
      <c r="GW40" s="3410"/>
      <c r="GX40" s="3410"/>
      <c r="GY40" s="3410"/>
      <c r="GZ40" s="3410"/>
      <c r="HA40" s="3410"/>
      <c r="HB40" s="3410"/>
      <c r="HC40" s="3410"/>
      <c r="HD40" s="3410"/>
      <c r="HE40" s="3410"/>
      <c r="HF40" s="3410"/>
      <c r="HG40" s="3410"/>
      <c r="HH40" s="3410"/>
      <c r="HI40" s="3410"/>
      <c r="HJ40" s="3410"/>
      <c r="HK40" s="3410"/>
      <c r="HL40" s="3410"/>
      <c r="HM40" s="3410"/>
      <c r="HN40" s="3410"/>
      <c r="HO40" s="3410"/>
      <c r="HP40" s="3410"/>
      <c r="HQ40" s="3410"/>
      <c r="HR40" s="3410"/>
      <c r="HS40" s="3410"/>
      <c r="HT40" s="3410"/>
      <c r="HU40" s="3410"/>
      <c r="HV40" s="3410"/>
      <c r="HW40" s="3410"/>
      <c r="HX40" s="3410"/>
      <c r="HY40" s="3410"/>
      <c r="HZ40" s="3410"/>
      <c r="IA40" s="3410"/>
      <c r="IB40" s="3410"/>
      <c r="IC40" s="3410"/>
      <c r="ID40" s="3410"/>
      <c r="IE40" s="3410"/>
      <c r="IF40" s="3410"/>
      <c r="IG40" s="3410"/>
      <c r="IH40" s="3410"/>
      <c r="II40" s="3410"/>
      <c r="IJ40" s="3410"/>
      <c r="IK40" s="3410"/>
      <c r="IL40" s="3410"/>
      <c r="IM40" s="3410"/>
      <c r="IN40" s="3410"/>
      <c r="IO40" s="3410"/>
      <c r="IP40" s="3410"/>
      <c r="IQ40" s="3410"/>
      <c r="IR40" s="3410"/>
      <c r="IS40" s="3410"/>
      <c r="IT40" s="3410"/>
      <c r="IU40" s="3410"/>
      <c r="IV40" s="3410"/>
    </row>
    <row r="41" spans="1:256" s="3409" customFormat="1" ht="20.100000000000001" customHeight="1">
      <c r="A41" s="3410"/>
      <c r="B41" s="3410"/>
      <c r="C41" s="3410"/>
      <c r="D41" s="3410"/>
      <c r="E41" s="3410"/>
      <c r="F41" s="3410"/>
      <c r="G41" s="3410"/>
      <c r="H41" s="3410"/>
      <c r="I41" s="3410"/>
      <c r="J41" s="3410"/>
      <c r="K41" s="3410"/>
      <c r="L41" s="3410"/>
      <c r="M41" s="3410"/>
      <c r="N41" s="3410"/>
      <c r="O41" s="3410"/>
      <c r="P41" s="3410"/>
      <c r="Q41" s="3410"/>
      <c r="R41" s="3410"/>
      <c r="S41" s="3410"/>
      <c r="T41" s="3410"/>
      <c r="U41" s="3410"/>
      <c r="V41" s="3410"/>
      <c r="W41" s="3410"/>
      <c r="X41" s="3410"/>
      <c r="Y41" s="3410"/>
      <c r="Z41" s="3410"/>
      <c r="AA41" s="3410"/>
      <c r="AB41" s="3410"/>
      <c r="AC41" s="3410"/>
      <c r="AD41" s="3410"/>
      <c r="AE41" s="3410"/>
      <c r="AF41" s="3410"/>
      <c r="AG41" s="3410"/>
      <c r="AH41" s="3410"/>
      <c r="AI41" s="3410"/>
      <c r="AJ41" s="3410"/>
      <c r="AK41" s="3410"/>
      <c r="AL41" s="3410"/>
      <c r="AM41" s="3410"/>
      <c r="AN41" s="3410"/>
      <c r="AO41" s="3410"/>
      <c r="AP41" s="3410"/>
      <c r="AQ41" s="3410"/>
      <c r="AR41" s="3410"/>
      <c r="AS41" s="3410"/>
      <c r="AT41" s="3410"/>
      <c r="AU41" s="3410"/>
      <c r="AV41" s="3410"/>
      <c r="AW41" s="3410"/>
      <c r="AX41" s="3410"/>
      <c r="AY41" s="3410"/>
      <c r="AZ41" s="3410"/>
      <c r="BA41" s="3410"/>
      <c r="BB41" s="3410"/>
      <c r="BC41" s="3410"/>
      <c r="BD41" s="3410"/>
      <c r="BE41" s="3410"/>
      <c r="BF41" s="3410"/>
      <c r="BG41" s="3410"/>
      <c r="BH41" s="3410"/>
      <c r="BI41" s="3410"/>
      <c r="BJ41" s="3410"/>
      <c r="BK41" s="3410"/>
      <c r="BL41" s="3410"/>
      <c r="BM41" s="3410"/>
      <c r="BN41" s="3410"/>
      <c r="BO41" s="3410"/>
      <c r="BP41" s="3410"/>
      <c r="BQ41" s="3410"/>
      <c r="BR41" s="3410"/>
      <c r="BS41" s="3410"/>
      <c r="BT41" s="3410"/>
      <c r="BU41" s="3410"/>
      <c r="BV41" s="3410"/>
      <c r="BW41" s="3410"/>
      <c r="BX41" s="3410"/>
      <c r="BY41" s="3410"/>
      <c r="BZ41" s="3410"/>
      <c r="CA41" s="3410"/>
      <c r="CB41" s="3410"/>
      <c r="CC41" s="3410"/>
      <c r="CD41" s="3410"/>
      <c r="CE41" s="3410"/>
      <c r="CF41" s="3410"/>
      <c r="CG41" s="3410"/>
      <c r="CH41" s="3410"/>
      <c r="CI41" s="3410"/>
      <c r="CJ41" s="3410"/>
      <c r="CK41" s="3410"/>
      <c r="CL41" s="3410"/>
      <c r="CM41" s="3410"/>
      <c r="CN41" s="3410"/>
      <c r="CO41" s="3410"/>
      <c r="CP41" s="3410"/>
      <c r="CQ41" s="3410"/>
      <c r="CR41" s="3410"/>
      <c r="CS41" s="3410"/>
      <c r="CT41" s="3410"/>
      <c r="CU41" s="3410"/>
      <c r="CV41" s="3410"/>
      <c r="CW41" s="3410"/>
      <c r="CX41" s="3410"/>
      <c r="CY41" s="3410"/>
      <c r="CZ41" s="3410"/>
      <c r="DA41" s="3410"/>
      <c r="DB41" s="3410"/>
      <c r="DC41" s="3410"/>
      <c r="DD41" s="3410"/>
      <c r="DE41" s="3410"/>
      <c r="DF41" s="3410"/>
      <c r="DG41" s="3410"/>
      <c r="DH41" s="3410"/>
      <c r="DI41" s="3410"/>
      <c r="DJ41" s="3410"/>
      <c r="DK41" s="3410"/>
      <c r="DL41" s="3410"/>
      <c r="DM41" s="3410"/>
      <c r="DN41" s="3410"/>
      <c r="DO41" s="3410"/>
      <c r="DP41" s="3410"/>
      <c r="DQ41" s="3410"/>
      <c r="DR41" s="3410"/>
      <c r="DS41" s="3410"/>
      <c r="DT41" s="3410"/>
      <c r="DU41" s="3410"/>
      <c r="DV41" s="3410"/>
      <c r="DW41" s="3410"/>
      <c r="DX41" s="3410"/>
      <c r="DY41" s="3410"/>
      <c r="DZ41" s="3410"/>
      <c r="EA41" s="3410"/>
      <c r="EB41" s="3410"/>
      <c r="EC41" s="3410"/>
      <c r="ED41" s="3410"/>
      <c r="EE41" s="3410"/>
      <c r="EF41" s="3410"/>
      <c r="EG41" s="3410"/>
      <c r="EH41" s="3410"/>
      <c r="EI41" s="3410"/>
      <c r="EJ41" s="3410"/>
      <c r="EK41" s="3410"/>
      <c r="EL41" s="3410"/>
      <c r="EM41" s="3410"/>
      <c r="EN41" s="3410"/>
      <c r="EO41" s="3410"/>
      <c r="EP41" s="3410"/>
      <c r="EQ41" s="3410"/>
      <c r="ER41" s="3410"/>
      <c r="ES41" s="3410"/>
      <c r="ET41" s="3410"/>
      <c r="EU41" s="3410"/>
      <c r="EV41" s="3410"/>
      <c r="EW41" s="3410"/>
      <c r="EX41" s="3410"/>
      <c r="EY41" s="3410"/>
      <c r="EZ41" s="3410"/>
      <c r="FA41" s="3410"/>
      <c r="FB41" s="3410"/>
      <c r="FC41" s="3410"/>
      <c r="FD41" s="3410"/>
      <c r="FE41" s="3410"/>
      <c r="FF41" s="3410"/>
      <c r="FG41" s="3410"/>
      <c r="FH41" s="3410"/>
      <c r="FI41" s="3410"/>
      <c r="FJ41" s="3410"/>
      <c r="FK41" s="3410"/>
      <c r="FL41" s="3410"/>
      <c r="FM41" s="3410"/>
      <c r="FN41" s="3410"/>
      <c r="FO41" s="3410"/>
      <c r="FP41" s="3410"/>
      <c r="FQ41" s="3410"/>
      <c r="FR41" s="3410"/>
      <c r="FS41" s="3410"/>
      <c r="FT41" s="3410"/>
      <c r="FU41" s="3410"/>
      <c r="FV41" s="3410"/>
      <c r="FW41" s="3410"/>
      <c r="FX41" s="3410"/>
      <c r="FY41" s="3410"/>
      <c r="FZ41" s="3410"/>
      <c r="GA41" s="3410"/>
      <c r="GB41" s="3410"/>
      <c r="GC41" s="3410"/>
      <c r="GD41" s="3410"/>
      <c r="GE41" s="3410"/>
      <c r="GF41" s="3410"/>
      <c r="GG41" s="3410"/>
      <c r="GH41" s="3410"/>
      <c r="GI41" s="3410"/>
      <c r="GJ41" s="3410"/>
      <c r="GK41" s="3410"/>
      <c r="GL41" s="3410"/>
      <c r="GM41" s="3410"/>
      <c r="GN41" s="3410"/>
      <c r="GO41" s="3410"/>
      <c r="GP41" s="3410"/>
      <c r="GQ41" s="3410"/>
      <c r="GR41" s="3410"/>
      <c r="GS41" s="3410"/>
      <c r="GT41" s="3410"/>
      <c r="GU41" s="3410"/>
      <c r="GV41" s="3410"/>
      <c r="GW41" s="3410"/>
      <c r="GX41" s="3410"/>
      <c r="GY41" s="3410"/>
      <c r="GZ41" s="3410"/>
      <c r="HA41" s="3410"/>
      <c r="HB41" s="3410"/>
      <c r="HC41" s="3410"/>
      <c r="HD41" s="3410"/>
      <c r="HE41" s="3410"/>
      <c r="HF41" s="3410"/>
      <c r="HG41" s="3410"/>
      <c r="HH41" s="3410"/>
      <c r="HI41" s="3410"/>
      <c r="HJ41" s="3410"/>
      <c r="HK41" s="3410"/>
      <c r="HL41" s="3410"/>
      <c r="HM41" s="3410"/>
      <c r="HN41" s="3410"/>
      <c r="HO41" s="3410"/>
      <c r="HP41" s="3410"/>
      <c r="HQ41" s="3410"/>
      <c r="HR41" s="3410"/>
      <c r="HS41" s="3410"/>
      <c r="HT41" s="3410"/>
      <c r="HU41" s="3410"/>
      <c r="HV41" s="3410"/>
      <c r="HW41" s="3410"/>
      <c r="HX41" s="3410"/>
      <c r="HY41" s="3410"/>
      <c r="HZ41" s="3410"/>
      <c r="IA41" s="3410"/>
      <c r="IB41" s="3410"/>
      <c r="IC41" s="3410"/>
      <c r="ID41" s="3410"/>
      <c r="IE41" s="3410"/>
      <c r="IF41" s="3410"/>
      <c r="IG41" s="3410"/>
      <c r="IH41" s="3410"/>
      <c r="II41" s="3410"/>
      <c r="IJ41" s="3410"/>
      <c r="IK41" s="3410"/>
      <c r="IL41" s="3410"/>
      <c r="IM41" s="3410"/>
      <c r="IN41" s="3410"/>
      <c r="IO41" s="3410"/>
      <c r="IP41" s="3410"/>
      <c r="IQ41" s="3410"/>
      <c r="IR41" s="3410"/>
      <c r="IS41" s="3410"/>
      <c r="IT41" s="3410"/>
      <c r="IU41" s="3410"/>
      <c r="IV41" s="3410"/>
    </row>
    <row r="42" spans="1:256" s="3409" customFormat="1" ht="20.100000000000001" customHeight="1">
      <c r="A42" s="3414" t="s">
        <v>2677</v>
      </c>
      <c r="B42" s="3410" t="s">
        <v>2748</v>
      </c>
      <c r="C42" s="3410"/>
      <c r="D42" s="3410"/>
      <c r="E42" s="3410"/>
      <c r="F42" s="3410"/>
      <c r="G42" s="3410"/>
      <c r="H42" s="3410"/>
      <c r="I42" s="3410"/>
      <c r="J42" s="3410"/>
      <c r="K42" s="3410"/>
      <c r="L42" s="3410"/>
      <c r="M42" s="3410"/>
      <c r="N42" s="3410"/>
      <c r="O42" s="3410"/>
      <c r="P42" s="3410"/>
      <c r="Q42" s="3410"/>
      <c r="R42" s="3410"/>
      <c r="S42" s="3410"/>
      <c r="T42" s="3410"/>
      <c r="U42" s="3410"/>
      <c r="V42" s="3410"/>
      <c r="W42" s="3410"/>
      <c r="X42" s="3410"/>
      <c r="Y42" s="3410"/>
      <c r="Z42" s="3410"/>
      <c r="AA42" s="3410"/>
      <c r="AB42" s="3410"/>
      <c r="AC42" s="3410"/>
      <c r="AD42" s="3410"/>
      <c r="AE42" s="3410"/>
      <c r="AF42" s="3410"/>
      <c r="AG42" s="3410"/>
      <c r="AH42" s="3410"/>
      <c r="AI42" s="3410"/>
      <c r="AJ42" s="3410"/>
      <c r="AK42" s="3410"/>
      <c r="AL42" s="3410"/>
      <c r="AM42" s="3410"/>
      <c r="AN42" s="3410"/>
      <c r="AO42" s="3410"/>
      <c r="AP42" s="3410"/>
      <c r="AQ42" s="3410"/>
      <c r="AR42" s="3410"/>
      <c r="AS42" s="3410"/>
      <c r="AT42" s="3410"/>
      <c r="AU42" s="3410"/>
      <c r="AV42" s="3410"/>
      <c r="AW42" s="3410"/>
      <c r="AX42" s="3410"/>
      <c r="AY42" s="3410"/>
      <c r="AZ42" s="3410"/>
      <c r="BA42" s="3410"/>
      <c r="BB42" s="3410"/>
      <c r="BC42" s="3410"/>
      <c r="BD42" s="3410"/>
      <c r="BE42" s="3410"/>
      <c r="BF42" s="3410"/>
      <c r="BG42" s="3410"/>
      <c r="BH42" s="3410"/>
      <c r="BI42" s="3410"/>
      <c r="BJ42" s="3410"/>
      <c r="BK42" s="3410"/>
      <c r="BL42" s="3410"/>
      <c r="BM42" s="3410"/>
      <c r="BN42" s="3410"/>
      <c r="BO42" s="3410"/>
      <c r="BP42" s="3410"/>
      <c r="BQ42" s="3410"/>
      <c r="BR42" s="3410"/>
      <c r="BS42" s="3410"/>
      <c r="BT42" s="3410"/>
      <c r="BU42" s="3410"/>
      <c r="BV42" s="3410"/>
      <c r="BW42" s="3410"/>
      <c r="BX42" s="3410"/>
      <c r="BY42" s="3410"/>
      <c r="BZ42" s="3410"/>
      <c r="CA42" s="3410"/>
      <c r="CB42" s="3410"/>
      <c r="CC42" s="3410"/>
      <c r="CD42" s="3410"/>
      <c r="CE42" s="3410"/>
      <c r="CF42" s="3410"/>
      <c r="CG42" s="3410"/>
      <c r="CH42" s="3410"/>
      <c r="CI42" s="3410"/>
      <c r="CJ42" s="3410"/>
      <c r="CK42" s="3410"/>
      <c r="CL42" s="3410"/>
      <c r="CM42" s="3410"/>
      <c r="CN42" s="3410"/>
      <c r="CO42" s="3410"/>
      <c r="CP42" s="3410"/>
      <c r="CQ42" s="3410"/>
      <c r="CR42" s="3410"/>
      <c r="CS42" s="3410"/>
      <c r="CT42" s="3410"/>
      <c r="CU42" s="3410"/>
      <c r="CV42" s="3410"/>
      <c r="CW42" s="3410"/>
      <c r="CX42" s="3410"/>
      <c r="CY42" s="3410"/>
      <c r="CZ42" s="3410"/>
      <c r="DA42" s="3410"/>
      <c r="DB42" s="3410"/>
      <c r="DC42" s="3410"/>
      <c r="DD42" s="3410"/>
      <c r="DE42" s="3410"/>
      <c r="DF42" s="3410"/>
      <c r="DG42" s="3410"/>
      <c r="DH42" s="3410"/>
      <c r="DI42" s="3410"/>
      <c r="DJ42" s="3410"/>
      <c r="DK42" s="3410"/>
      <c r="DL42" s="3410"/>
      <c r="DM42" s="3410"/>
      <c r="DN42" s="3410"/>
      <c r="DO42" s="3410"/>
      <c r="DP42" s="3410"/>
      <c r="DQ42" s="3410"/>
      <c r="DR42" s="3410"/>
      <c r="DS42" s="3410"/>
      <c r="DT42" s="3410"/>
      <c r="DU42" s="3410"/>
      <c r="DV42" s="3410"/>
      <c r="DW42" s="3410"/>
      <c r="DX42" s="3410"/>
      <c r="DY42" s="3410"/>
      <c r="DZ42" s="3410"/>
      <c r="EA42" s="3410"/>
      <c r="EB42" s="3410"/>
      <c r="EC42" s="3410"/>
      <c r="ED42" s="3410"/>
      <c r="EE42" s="3410"/>
      <c r="EF42" s="3410"/>
      <c r="EG42" s="3410"/>
      <c r="EH42" s="3410"/>
      <c r="EI42" s="3410"/>
      <c r="EJ42" s="3410"/>
      <c r="EK42" s="3410"/>
      <c r="EL42" s="3410"/>
      <c r="EM42" s="3410"/>
      <c r="EN42" s="3410"/>
      <c r="EO42" s="3410"/>
      <c r="EP42" s="3410"/>
      <c r="EQ42" s="3410"/>
      <c r="ER42" s="3410"/>
      <c r="ES42" s="3410"/>
      <c r="ET42" s="3410"/>
      <c r="EU42" s="3410"/>
      <c r="EV42" s="3410"/>
      <c r="EW42" s="3410"/>
      <c r="EX42" s="3410"/>
      <c r="EY42" s="3410"/>
      <c r="EZ42" s="3410"/>
      <c r="FA42" s="3410"/>
      <c r="FB42" s="3410"/>
      <c r="FC42" s="3410"/>
      <c r="FD42" s="3410"/>
      <c r="FE42" s="3410"/>
      <c r="FF42" s="3410"/>
      <c r="FG42" s="3410"/>
      <c r="FH42" s="3410"/>
      <c r="FI42" s="3410"/>
      <c r="FJ42" s="3410"/>
      <c r="FK42" s="3410"/>
      <c r="FL42" s="3410"/>
      <c r="FM42" s="3410"/>
      <c r="FN42" s="3410"/>
      <c r="FO42" s="3410"/>
      <c r="FP42" s="3410"/>
      <c r="FQ42" s="3410"/>
      <c r="FR42" s="3410"/>
      <c r="FS42" s="3410"/>
      <c r="FT42" s="3410"/>
      <c r="FU42" s="3410"/>
      <c r="FV42" s="3410"/>
      <c r="FW42" s="3410"/>
      <c r="FX42" s="3410"/>
      <c r="FY42" s="3410"/>
      <c r="FZ42" s="3410"/>
      <c r="GA42" s="3410"/>
      <c r="GB42" s="3410"/>
      <c r="GC42" s="3410"/>
      <c r="GD42" s="3410"/>
      <c r="GE42" s="3410"/>
      <c r="GF42" s="3410"/>
      <c r="GG42" s="3410"/>
      <c r="GH42" s="3410"/>
      <c r="GI42" s="3410"/>
      <c r="GJ42" s="3410"/>
      <c r="GK42" s="3410"/>
      <c r="GL42" s="3410"/>
      <c r="GM42" s="3410"/>
      <c r="GN42" s="3410"/>
      <c r="GO42" s="3410"/>
      <c r="GP42" s="3410"/>
      <c r="GQ42" s="3410"/>
      <c r="GR42" s="3410"/>
      <c r="GS42" s="3410"/>
      <c r="GT42" s="3410"/>
      <c r="GU42" s="3410"/>
      <c r="GV42" s="3410"/>
      <c r="GW42" s="3410"/>
      <c r="GX42" s="3410"/>
      <c r="GY42" s="3410"/>
      <c r="GZ42" s="3410"/>
      <c r="HA42" s="3410"/>
      <c r="HB42" s="3410"/>
      <c r="HC42" s="3410"/>
      <c r="HD42" s="3410"/>
      <c r="HE42" s="3410"/>
      <c r="HF42" s="3410"/>
      <c r="HG42" s="3410"/>
      <c r="HH42" s="3410"/>
      <c r="HI42" s="3410"/>
      <c r="HJ42" s="3410"/>
      <c r="HK42" s="3410"/>
      <c r="HL42" s="3410"/>
      <c r="HM42" s="3410"/>
      <c r="HN42" s="3410"/>
      <c r="HO42" s="3410"/>
      <c r="HP42" s="3410"/>
      <c r="HQ42" s="3410"/>
      <c r="HR42" s="3410"/>
      <c r="HS42" s="3410"/>
      <c r="HT42" s="3410"/>
      <c r="HU42" s="3410"/>
      <c r="HV42" s="3410"/>
      <c r="HW42" s="3410"/>
      <c r="HX42" s="3410"/>
      <c r="HY42" s="3410"/>
      <c r="HZ42" s="3410"/>
      <c r="IA42" s="3410"/>
      <c r="IB42" s="3410"/>
      <c r="IC42" s="3410"/>
      <c r="ID42" s="3410"/>
      <c r="IE42" s="3410"/>
      <c r="IF42" s="3410"/>
      <c r="IG42" s="3410"/>
      <c r="IH42" s="3410"/>
      <c r="II42" s="3410"/>
      <c r="IJ42" s="3410"/>
      <c r="IK42" s="3410"/>
      <c r="IL42" s="3410"/>
      <c r="IM42" s="3410"/>
      <c r="IN42" s="3410"/>
      <c r="IO42" s="3410"/>
      <c r="IP42" s="3410"/>
      <c r="IQ42" s="3410"/>
      <c r="IR42" s="3410"/>
      <c r="IS42" s="3410"/>
      <c r="IT42" s="3410"/>
      <c r="IU42" s="3410"/>
      <c r="IV42" s="3410"/>
    </row>
    <row r="43" spans="1:256" s="3409" customFormat="1" ht="20.100000000000001" customHeight="1">
      <c r="A43" s="3410"/>
      <c r="B43" s="3415" t="s">
        <v>2749</v>
      </c>
      <c r="C43" s="3416">
        <v>88</v>
      </c>
      <c r="D43" s="3410" t="s">
        <v>2750</v>
      </c>
      <c r="E43" s="3421">
        <f>C43/1000</f>
        <v>8.7999999999999995E-2</v>
      </c>
      <c r="F43" s="3410" t="s">
        <v>1755</v>
      </c>
      <c r="G43" s="3410"/>
      <c r="H43" s="3410"/>
      <c r="I43" s="3410"/>
      <c r="J43" s="3410"/>
      <c r="K43" s="3410"/>
      <c r="L43" s="3410"/>
      <c r="M43" s="3410"/>
      <c r="N43" s="3410"/>
      <c r="O43" s="3410"/>
      <c r="P43" s="3410"/>
      <c r="Q43" s="3410"/>
      <c r="R43" s="3410"/>
      <c r="S43" s="3410"/>
      <c r="T43" s="3410"/>
      <c r="U43" s="3410"/>
      <c r="V43" s="3410"/>
      <c r="W43" s="3410"/>
      <c r="X43" s="3410"/>
      <c r="Y43" s="3410"/>
      <c r="Z43" s="3410"/>
      <c r="AA43" s="3410"/>
      <c r="AB43" s="3410"/>
      <c r="AC43" s="3410"/>
      <c r="AD43" s="3410"/>
      <c r="AE43" s="3410"/>
      <c r="AF43" s="3410"/>
      <c r="AG43" s="3410"/>
      <c r="AH43" s="3410"/>
      <c r="AI43" s="3410"/>
      <c r="AJ43" s="3410"/>
      <c r="AK43" s="3410"/>
      <c r="AL43" s="3410"/>
      <c r="AM43" s="3410"/>
      <c r="AN43" s="3410"/>
      <c r="AO43" s="3410"/>
      <c r="AP43" s="3410"/>
      <c r="AQ43" s="3410"/>
      <c r="AR43" s="3410"/>
      <c r="AS43" s="3410"/>
      <c r="AT43" s="3410"/>
      <c r="AU43" s="3410"/>
      <c r="AV43" s="3410"/>
      <c r="AW43" s="3410"/>
      <c r="AX43" s="3410"/>
      <c r="AY43" s="3410"/>
      <c r="AZ43" s="3410"/>
      <c r="BA43" s="3410"/>
      <c r="BB43" s="3410"/>
      <c r="BC43" s="3410"/>
      <c r="BD43" s="3410"/>
      <c r="BE43" s="3410"/>
      <c r="BF43" s="3410"/>
      <c r="BG43" s="3410"/>
      <c r="BH43" s="3410"/>
      <c r="BI43" s="3410"/>
      <c r="BJ43" s="3410"/>
      <c r="BK43" s="3410"/>
      <c r="BL43" s="3410"/>
      <c r="BM43" s="3410"/>
      <c r="BN43" s="3410"/>
      <c r="BO43" s="3410"/>
      <c r="BP43" s="3410"/>
      <c r="BQ43" s="3410"/>
      <c r="BR43" s="3410"/>
      <c r="BS43" s="3410"/>
      <c r="BT43" s="3410"/>
      <c r="BU43" s="3410"/>
      <c r="BV43" s="3410"/>
      <c r="BW43" s="3410"/>
      <c r="BX43" s="3410"/>
      <c r="BY43" s="3410"/>
      <c r="BZ43" s="3410"/>
      <c r="CA43" s="3410"/>
      <c r="CB43" s="3410"/>
      <c r="CC43" s="3410"/>
      <c r="CD43" s="3410"/>
      <c r="CE43" s="3410"/>
      <c r="CF43" s="3410"/>
      <c r="CG43" s="3410"/>
      <c r="CH43" s="3410"/>
      <c r="CI43" s="3410"/>
      <c r="CJ43" s="3410"/>
      <c r="CK43" s="3410"/>
      <c r="CL43" s="3410"/>
      <c r="CM43" s="3410"/>
      <c r="CN43" s="3410"/>
      <c r="CO43" s="3410"/>
      <c r="CP43" s="3410"/>
      <c r="CQ43" s="3410"/>
      <c r="CR43" s="3410"/>
      <c r="CS43" s="3410"/>
      <c r="CT43" s="3410"/>
      <c r="CU43" s="3410"/>
      <c r="CV43" s="3410"/>
      <c r="CW43" s="3410"/>
      <c r="CX43" s="3410"/>
      <c r="CY43" s="3410"/>
      <c r="CZ43" s="3410"/>
      <c r="DA43" s="3410"/>
      <c r="DB43" s="3410"/>
      <c r="DC43" s="3410"/>
      <c r="DD43" s="3410"/>
      <c r="DE43" s="3410"/>
      <c r="DF43" s="3410"/>
      <c r="DG43" s="3410"/>
      <c r="DH43" s="3410"/>
      <c r="DI43" s="3410"/>
      <c r="DJ43" s="3410"/>
      <c r="DK43" s="3410"/>
      <c r="DL43" s="3410"/>
      <c r="DM43" s="3410"/>
      <c r="DN43" s="3410"/>
      <c r="DO43" s="3410"/>
      <c r="DP43" s="3410"/>
      <c r="DQ43" s="3410"/>
      <c r="DR43" s="3410"/>
      <c r="DS43" s="3410"/>
      <c r="DT43" s="3410"/>
      <c r="DU43" s="3410"/>
      <c r="DV43" s="3410"/>
      <c r="DW43" s="3410"/>
      <c r="DX43" s="3410"/>
      <c r="DY43" s="3410"/>
      <c r="DZ43" s="3410"/>
      <c r="EA43" s="3410"/>
      <c r="EB43" s="3410"/>
      <c r="EC43" s="3410"/>
      <c r="ED43" s="3410"/>
      <c r="EE43" s="3410"/>
      <c r="EF43" s="3410"/>
      <c r="EG43" s="3410"/>
      <c r="EH43" s="3410"/>
      <c r="EI43" s="3410"/>
      <c r="EJ43" s="3410"/>
      <c r="EK43" s="3410"/>
      <c r="EL43" s="3410"/>
      <c r="EM43" s="3410"/>
      <c r="EN43" s="3410"/>
      <c r="EO43" s="3410"/>
      <c r="EP43" s="3410"/>
      <c r="EQ43" s="3410"/>
      <c r="ER43" s="3410"/>
      <c r="ES43" s="3410"/>
      <c r="ET43" s="3410"/>
      <c r="EU43" s="3410"/>
      <c r="EV43" s="3410"/>
      <c r="EW43" s="3410"/>
      <c r="EX43" s="3410"/>
      <c r="EY43" s="3410"/>
      <c r="EZ43" s="3410"/>
      <c r="FA43" s="3410"/>
      <c r="FB43" s="3410"/>
      <c r="FC43" s="3410"/>
      <c r="FD43" s="3410"/>
      <c r="FE43" s="3410"/>
      <c r="FF43" s="3410"/>
      <c r="FG43" s="3410"/>
      <c r="FH43" s="3410"/>
      <c r="FI43" s="3410"/>
      <c r="FJ43" s="3410"/>
      <c r="FK43" s="3410"/>
      <c r="FL43" s="3410"/>
      <c r="FM43" s="3410"/>
      <c r="FN43" s="3410"/>
      <c r="FO43" s="3410"/>
      <c r="FP43" s="3410"/>
      <c r="FQ43" s="3410"/>
      <c r="FR43" s="3410"/>
      <c r="FS43" s="3410"/>
      <c r="FT43" s="3410"/>
      <c r="FU43" s="3410"/>
      <c r="FV43" s="3410"/>
      <c r="FW43" s="3410"/>
      <c r="FX43" s="3410"/>
      <c r="FY43" s="3410"/>
      <c r="FZ43" s="3410"/>
      <c r="GA43" s="3410"/>
      <c r="GB43" s="3410"/>
      <c r="GC43" s="3410"/>
      <c r="GD43" s="3410"/>
      <c r="GE43" s="3410"/>
      <c r="GF43" s="3410"/>
      <c r="GG43" s="3410"/>
      <c r="GH43" s="3410"/>
      <c r="GI43" s="3410"/>
      <c r="GJ43" s="3410"/>
      <c r="GK43" s="3410"/>
      <c r="GL43" s="3410"/>
      <c r="GM43" s="3410"/>
      <c r="GN43" s="3410"/>
      <c r="GO43" s="3410"/>
      <c r="GP43" s="3410"/>
      <c r="GQ43" s="3410"/>
      <c r="GR43" s="3410"/>
      <c r="GS43" s="3410"/>
      <c r="GT43" s="3410"/>
      <c r="GU43" s="3410"/>
      <c r="GV43" s="3410"/>
      <c r="GW43" s="3410"/>
      <c r="GX43" s="3410"/>
      <c r="GY43" s="3410"/>
      <c r="GZ43" s="3410"/>
      <c r="HA43" s="3410"/>
      <c r="HB43" s="3410"/>
      <c r="HC43" s="3410"/>
      <c r="HD43" s="3410"/>
      <c r="HE43" s="3410"/>
      <c r="HF43" s="3410"/>
      <c r="HG43" s="3410"/>
      <c r="HH43" s="3410"/>
      <c r="HI43" s="3410"/>
      <c r="HJ43" s="3410"/>
      <c r="HK43" s="3410"/>
      <c r="HL43" s="3410"/>
      <c r="HM43" s="3410"/>
      <c r="HN43" s="3410"/>
      <c r="HO43" s="3410"/>
      <c r="HP43" s="3410"/>
      <c r="HQ43" s="3410"/>
      <c r="HR43" s="3410"/>
      <c r="HS43" s="3410"/>
      <c r="HT43" s="3410"/>
      <c r="HU43" s="3410"/>
      <c r="HV43" s="3410"/>
      <c r="HW43" s="3410"/>
      <c r="HX43" s="3410"/>
      <c r="HY43" s="3410"/>
      <c r="HZ43" s="3410"/>
      <c r="IA43" s="3410"/>
      <c r="IB43" s="3410"/>
      <c r="IC43" s="3410"/>
      <c r="ID43" s="3410"/>
      <c r="IE43" s="3410"/>
      <c r="IF43" s="3410"/>
      <c r="IG43" s="3410"/>
      <c r="IH43" s="3410"/>
      <c r="II43" s="3410"/>
      <c r="IJ43" s="3410"/>
      <c r="IK43" s="3410"/>
      <c r="IL43" s="3410"/>
      <c r="IM43" s="3410"/>
      <c r="IN43" s="3410"/>
      <c r="IO43" s="3410"/>
      <c r="IP43" s="3410"/>
      <c r="IQ43" s="3410"/>
      <c r="IR43" s="3410"/>
      <c r="IS43" s="3410"/>
      <c r="IT43" s="3410"/>
      <c r="IU43" s="3410"/>
      <c r="IV43" s="3410"/>
    </row>
    <row r="44" spans="1:256" s="3409" customFormat="1" ht="20.100000000000001" customHeight="1">
      <c r="A44" s="3410"/>
      <c r="B44" s="3415" t="s">
        <v>2751</v>
      </c>
      <c r="C44" s="3420">
        <f>ROUND(C20/E43,2)</f>
        <v>0.72</v>
      </c>
      <c r="D44" s="3410" t="s">
        <v>2752</v>
      </c>
      <c r="E44" s="3415"/>
      <c r="F44" s="3410"/>
      <c r="G44" s="3410"/>
      <c r="H44" s="3410"/>
      <c r="I44" s="3410"/>
      <c r="J44" s="3410"/>
      <c r="K44" s="3410"/>
      <c r="L44" s="3410"/>
      <c r="M44" s="3410"/>
      <c r="N44" s="3410"/>
      <c r="O44" s="3410"/>
      <c r="P44" s="3410"/>
      <c r="Q44" s="3410"/>
      <c r="R44" s="3410"/>
      <c r="S44" s="3410"/>
      <c r="T44" s="3410"/>
      <c r="U44" s="3410"/>
      <c r="V44" s="3410"/>
      <c r="W44" s="3410"/>
      <c r="X44" s="3410"/>
      <c r="Y44" s="3410"/>
      <c r="Z44" s="3410"/>
      <c r="AA44" s="3410"/>
      <c r="AB44" s="3410"/>
      <c r="AC44" s="3410"/>
      <c r="AD44" s="3410"/>
      <c r="AE44" s="3410"/>
      <c r="AF44" s="3410"/>
      <c r="AG44" s="3410"/>
      <c r="AH44" s="3410"/>
      <c r="AI44" s="3410"/>
      <c r="AJ44" s="3410"/>
      <c r="AK44" s="3410"/>
      <c r="AL44" s="3410"/>
      <c r="AM44" s="3410"/>
      <c r="AN44" s="3410"/>
      <c r="AO44" s="3410"/>
      <c r="AP44" s="3410"/>
      <c r="AQ44" s="3410"/>
      <c r="AR44" s="3410"/>
      <c r="AS44" s="3410"/>
      <c r="AT44" s="3410"/>
      <c r="AU44" s="3410"/>
      <c r="AV44" s="3410"/>
      <c r="AW44" s="3410"/>
      <c r="AX44" s="3410"/>
      <c r="AY44" s="3410"/>
      <c r="AZ44" s="3410"/>
      <c r="BA44" s="3410"/>
      <c r="BB44" s="3410"/>
      <c r="BC44" s="3410"/>
      <c r="BD44" s="3410"/>
      <c r="BE44" s="3410"/>
      <c r="BF44" s="3410"/>
      <c r="BG44" s="3410"/>
      <c r="BH44" s="3410"/>
      <c r="BI44" s="3410"/>
      <c r="BJ44" s="3410"/>
      <c r="BK44" s="3410"/>
      <c r="BL44" s="3410"/>
      <c r="BM44" s="3410"/>
      <c r="BN44" s="3410"/>
      <c r="BO44" s="3410"/>
      <c r="BP44" s="3410"/>
      <c r="BQ44" s="3410"/>
      <c r="BR44" s="3410"/>
      <c r="BS44" s="3410"/>
      <c r="BT44" s="3410"/>
      <c r="BU44" s="3410"/>
      <c r="BV44" s="3410"/>
      <c r="BW44" s="3410"/>
      <c r="BX44" s="3410"/>
      <c r="BY44" s="3410"/>
      <c r="BZ44" s="3410"/>
      <c r="CA44" s="3410"/>
      <c r="CB44" s="3410"/>
      <c r="CC44" s="3410"/>
      <c r="CD44" s="3410"/>
      <c r="CE44" s="3410"/>
      <c r="CF44" s="3410"/>
      <c r="CG44" s="3410"/>
      <c r="CH44" s="3410"/>
      <c r="CI44" s="3410"/>
      <c r="CJ44" s="3410"/>
      <c r="CK44" s="3410"/>
      <c r="CL44" s="3410"/>
      <c r="CM44" s="3410"/>
      <c r="CN44" s="3410"/>
      <c r="CO44" s="3410"/>
      <c r="CP44" s="3410"/>
      <c r="CQ44" s="3410"/>
      <c r="CR44" s="3410"/>
      <c r="CS44" s="3410"/>
      <c r="CT44" s="3410"/>
      <c r="CU44" s="3410"/>
      <c r="CV44" s="3410"/>
      <c r="CW44" s="3410"/>
      <c r="CX44" s="3410"/>
      <c r="CY44" s="3410"/>
      <c r="CZ44" s="3410"/>
      <c r="DA44" s="3410"/>
      <c r="DB44" s="3410"/>
      <c r="DC44" s="3410"/>
      <c r="DD44" s="3410"/>
      <c r="DE44" s="3410"/>
      <c r="DF44" s="3410"/>
      <c r="DG44" s="3410"/>
      <c r="DH44" s="3410"/>
      <c r="DI44" s="3410"/>
      <c r="DJ44" s="3410"/>
      <c r="DK44" s="3410"/>
      <c r="DL44" s="3410"/>
      <c r="DM44" s="3410"/>
      <c r="DN44" s="3410"/>
      <c r="DO44" s="3410"/>
      <c r="DP44" s="3410"/>
      <c r="DQ44" s="3410"/>
      <c r="DR44" s="3410"/>
      <c r="DS44" s="3410"/>
      <c r="DT44" s="3410"/>
      <c r="DU44" s="3410"/>
      <c r="DV44" s="3410"/>
      <c r="DW44" s="3410"/>
      <c r="DX44" s="3410"/>
      <c r="DY44" s="3410"/>
      <c r="DZ44" s="3410"/>
      <c r="EA44" s="3410"/>
      <c r="EB44" s="3410"/>
      <c r="EC44" s="3410"/>
      <c r="ED44" s="3410"/>
      <c r="EE44" s="3410"/>
      <c r="EF44" s="3410"/>
      <c r="EG44" s="3410"/>
      <c r="EH44" s="3410"/>
      <c r="EI44" s="3410"/>
      <c r="EJ44" s="3410"/>
      <c r="EK44" s="3410"/>
      <c r="EL44" s="3410"/>
      <c r="EM44" s="3410"/>
      <c r="EN44" s="3410"/>
      <c r="EO44" s="3410"/>
      <c r="EP44" s="3410"/>
      <c r="EQ44" s="3410"/>
      <c r="ER44" s="3410"/>
      <c r="ES44" s="3410"/>
      <c r="ET44" s="3410"/>
      <c r="EU44" s="3410"/>
      <c r="EV44" s="3410"/>
      <c r="EW44" s="3410"/>
      <c r="EX44" s="3410"/>
      <c r="EY44" s="3410"/>
      <c r="EZ44" s="3410"/>
      <c r="FA44" s="3410"/>
      <c r="FB44" s="3410"/>
      <c r="FC44" s="3410"/>
      <c r="FD44" s="3410"/>
      <c r="FE44" s="3410"/>
      <c r="FF44" s="3410"/>
      <c r="FG44" s="3410"/>
      <c r="FH44" s="3410"/>
      <c r="FI44" s="3410"/>
      <c r="FJ44" s="3410"/>
      <c r="FK44" s="3410"/>
      <c r="FL44" s="3410"/>
      <c r="FM44" s="3410"/>
      <c r="FN44" s="3410"/>
      <c r="FO44" s="3410"/>
      <c r="FP44" s="3410"/>
      <c r="FQ44" s="3410"/>
      <c r="FR44" s="3410"/>
      <c r="FS44" s="3410"/>
      <c r="FT44" s="3410"/>
      <c r="FU44" s="3410"/>
      <c r="FV44" s="3410"/>
      <c r="FW44" s="3410"/>
      <c r="FX44" s="3410"/>
      <c r="FY44" s="3410"/>
      <c r="FZ44" s="3410"/>
      <c r="GA44" s="3410"/>
      <c r="GB44" s="3410"/>
      <c r="GC44" s="3410"/>
      <c r="GD44" s="3410"/>
      <c r="GE44" s="3410"/>
      <c r="GF44" s="3410"/>
      <c r="GG44" s="3410"/>
      <c r="GH44" s="3410"/>
      <c r="GI44" s="3410"/>
      <c r="GJ44" s="3410"/>
      <c r="GK44" s="3410"/>
      <c r="GL44" s="3410"/>
      <c r="GM44" s="3410"/>
      <c r="GN44" s="3410"/>
      <c r="GO44" s="3410"/>
      <c r="GP44" s="3410"/>
      <c r="GQ44" s="3410"/>
      <c r="GR44" s="3410"/>
      <c r="GS44" s="3410"/>
      <c r="GT44" s="3410"/>
      <c r="GU44" s="3410"/>
      <c r="GV44" s="3410"/>
      <c r="GW44" s="3410"/>
      <c r="GX44" s="3410"/>
      <c r="GY44" s="3410"/>
      <c r="GZ44" s="3410"/>
      <c r="HA44" s="3410"/>
      <c r="HB44" s="3410"/>
      <c r="HC44" s="3410"/>
      <c r="HD44" s="3410"/>
      <c r="HE44" s="3410"/>
      <c r="HF44" s="3410"/>
      <c r="HG44" s="3410"/>
      <c r="HH44" s="3410"/>
      <c r="HI44" s="3410"/>
      <c r="HJ44" s="3410"/>
      <c r="HK44" s="3410"/>
      <c r="HL44" s="3410"/>
      <c r="HM44" s="3410"/>
      <c r="HN44" s="3410"/>
      <c r="HO44" s="3410"/>
      <c r="HP44" s="3410"/>
      <c r="HQ44" s="3410"/>
      <c r="HR44" s="3410"/>
      <c r="HS44" s="3410"/>
      <c r="HT44" s="3410"/>
      <c r="HU44" s="3410"/>
      <c r="HV44" s="3410"/>
      <c r="HW44" s="3410"/>
      <c r="HX44" s="3410"/>
      <c r="HY44" s="3410"/>
      <c r="HZ44" s="3410"/>
      <c r="IA44" s="3410"/>
      <c r="IB44" s="3410"/>
      <c r="IC44" s="3410"/>
      <c r="ID44" s="3410"/>
      <c r="IE44" s="3410"/>
      <c r="IF44" s="3410"/>
      <c r="IG44" s="3410"/>
      <c r="IH44" s="3410"/>
      <c r="II44" s="3410"/>
      <c r="IJ44" s="3410"/>
      <c r="IK44" s="3410"/>
      <c r="IL44" s="3410"/>
      <c r="IM44" s="3410"/>
      <c r="IN44" s="3410"/>
      <c r="IO44" s="3410"/>
      <c r="IP44" s="3410"/>
      <c r="IQ44" s="3410"/>
      <c r="IR44" s="3410"/>
      <c r="IS44" s="3410"/>
      <c r="IT44" s="3410"/>
      <c r="IU44" s="3410"/>
      <c r="IV44" s="3410"/>
    </row>
    <row r="45" spans="1:256" s="3409" customFormat="1" ht="20.100000000000001" customHeight="1">
      <c r="A45" s="3414" t="s">
        <v>2680</v>
      </c>
      <c r="B45" s="3410" t="s">
        <v>2753</v>
      </c>
      <c r="C45" s="3414"/>
      <c r="D45" s="3410"/>
      <c r="E45" s="3410"/>
      <c r="F45" s="3410"/>
      <c r="G45" s="3410"/>
      <c r="H45" s="3410"/>
      <c r="I45" s="3410"/>
      <c r="J45" s="3410"/>
      <c r="K45" s="3410"/>
      <c r="L45" s="3410"/>
      <c r="M45" s="3410"/>
      <c r="N45" s="3410"/>
      <c r="O45" s="3410"/>
      <c r="P45" s="3410"/>
      <c r="Q45" s="3410"/>
      <c r="R45" s="3410"/>
      <c r="S45" s="3410"/>
      <c r="T45" s="3410"/>
      <c r="U45" s="3410"/>
      <c r="V45" s="3410"/>
      <c r="W45" s="3410"/>
      <c r="X45" s="3410"/>
      <c r="Y45" s="3410"/>
      <c r="Z45" s="3410"/>
      <c r="AA45" s="3410"/>
      <c r="AB45" s="3410"/>
      <c r="AC45" s="3410"/>
      <c r="AD45" s="3410"/>
      <c r="AE45" s="3410"/>
      <c r="AF45" s="3410"/>
      <c r="AG45" s="3410"/>
      <c r="AH45" s="3410"/>
      <c r="AI45" s="3410"/>
      <c r="AJ45" s="3410"/>
      <c r="AK45" s="3410"/>
      <c r="AL45" s="3410"/>
      <c r="AM45" s="3410"/>
      <c r="AN45" s="3410"/>
      <c r="AO45" s="3410"/>
      <c r="AP45" s="3410"/>
      <c r="AQ45" s="3410"/>
      <c r="AR45" s="3410"/>
      <c r="AS45" s="3410"/>
      <c r="AT45" s="3410"/>
      <c r="AU45" s="3410"/>
      <c r="AV45" s="3410"/>
      <c r="AW45" s="3410"/>
      <c r="AX45" s="3410"/>
      <c r="AY45" s="3410"/>
      <c r="AZ45" s="3410"/>
      <c r="BA45" s="3410"/>
      <c r="BB45" s="3410"/>
      <c r="BC45" s="3410"/>
      <c r="BD45" s="3410"/>
      <c r="BE45" s="3410"/>
      <c r="BF45" s="3410"/>
      <c r="BG45" s="3410"/>
      <c r="BH45" s="3410"/>
      <c r="BI45" s="3410"/>
      <c r="BJ45" s="3410"/>
      <c r="BK45" s="3410"/>
      <c r="BL45" s="3410"/>
      <c r="BM45" s="3410"/>
      <c r="BN45" s="3410"/>
      <c r="BO45" s="3410"/>
      <c r="BP45" s="3410"/>
      <c r="BQ45" s="3410"/>
      <c r="BR45" s="3410"/>
      <c r="BS45" s="3410"/>
      <c r="BT45" s="3410"/>
      <c r="BU45" s="3410"/>
      <c r="BV45" s="3410"/>
      <c r="BW45" s="3410"/>
      <c r="BX45" s="3410"/>
      <c r="BY45" s="3410"/>
      <c r="BZ45" s="3410"/>
      <c r="CA45" s="3410"/>
      <c r="CB45" s="3410"/>
      <c r="CC45" s="3410"/>
      <c r="CD45" s="3410"/>
      <c r="CE45" s="3410"/>
      <c r="CF45" s="3410"/>
      <c r="CG45" s="3410"/>
      <c r="CH45" s="3410"/>
      <c r="CI45" s="3410"/>
      <c r="CJ45" s="3410"/>
      <c r="CK45" s="3410"/>
      <c r="CL45" s="3410"/>
      <c r="CM45" s="3410"/>
      <c r="CN45" s="3410"/>
      <c r="CO45" s="3410"/>
      <c r="CP45" s="3410"/>
      <c r="CQ45" s="3410"/>
      <c r="CR45" s="3410"/>
      <c r="CS45" s="3410"/>
      <c r="CT45" s="3410"/>
      <c r="CU45" s="3410"/>
      <c r="CV45" s="3410"/>
      <c r="CW45" s="3410"/>
      <c r="CX45" s="3410"/>
      <c r="CY45" s="3410"/>
      <c r="CZ45" s="3410"/>
      <c r="DA45" s="3410"/>
      <c r="DB45" s="3410"/>
      <c r="DC45" s="3410"/>
      <c r="DD45" s="3410"/>
      <c r="DE45" s="3410"/>
      <c r="DF45" s="3410"/>
      <c r="DG45" s="3410"/>
      <c r="DH45" s="3410"/>
      <c r="DI45" s="3410"/>
      <c r="DJ45" s="3410"/>
      <c r="DK45" s="3410"/>
      <c r="DL45" s="3410"/>
      <c r="DM45" s="3410"/>
      <c r="DN45" s="3410"/>
      <c r="DO45" s="3410"/>
      <c r="DP45" s="3410"/>
      <c r="DQ45" s="3410"/>
      <c r="DR45" s="3410"/>
      <c r="DS45" s="3410"/>
      <c r="DT45" s="3410"/>
      <c r="DU45" s="3410"/>
      <c r="DV45" s="3410"/>
      <c r="DW45" s="3410"/>
      <c r="DX45" s="3410"/>
      <c r="DY45" s="3410"/>
      <c r="DZ45" s="3410"/>
      <c r="EA45" s="3410"/>
      <c r="EB45" s="3410"/>
      <c r="EC45" s="3410"/>
      <c r="ED45" s="3410"/>
      <c r="EE45" s="3410"/>
      <c r="EF45" s="3410"/>
      <c r="EG45" s="3410"/>
      <c r="EH45" s="3410"/>
      <c r="EI45" s="3410"/>
      <c r="EJ45" s="3410"/>
      <c r="EK45" s="3410"/>
      <c r="EL45" s="3410"/>
      <c r="EM45" s="3410"/>
      <c r="EN45" s="3410"/>
      <c r="EO45" s="3410"/>
      <c r="EP45" s="3410"/>
      <c r="EQ45" s="3410"/>
      <c r="ER45" s="3410"/>
      <c r="ES45" s="3410"/>
      <c r="ET45" s="3410"/>
      <c r="EU45" s="3410"/>
      <c r="EV45" s="3410"/>
      <c r="EW45" s="3410"/>
      <c r="EX45" s="3410"/>
      <c r="EY45" s="3410"/>
      <c r="EZ45" s="3410"/>
      <c r="FA45" s="3410"/>
      <c r="FB45" s="3410"/>
      <c r="FC45" s="3410"/>
      <c r="FD45" s="3410"/>
      <c r="FE45" s="3410"/>
      <c r="FF45" s="3410"/>
      <c r="FG45" s="3410"/>
      <c r="FH45" s="3410"/>
      <c r="FI45" s="3410"/>
      <c r="FJ45" s="3410"/>
      <c r="FK45" s="3410"/>
      <c r="FL45" s="3410"/>
      <c r="FM45" s="3410"/>
      <c r="FN45" s="3410"/>
      <c r="FO45" s="3410"/>
      <c r="FP45" s="3410"/>
      <c r="FQ45" s="3410"/>
      <c r="FR45" s="3410"/>
      <c r="FS45" s="3410"/>
      <c r="FT45" s="3410"/>
      <c r="FU45" s="3410"/>
      <c r="FV45" s="3410"/>
      <c r="FW45" s="3410"/>
      <c r="FX45" s="3410"/>
      <c r="FY45" s="3410"/>
      <c r="FZ45" s="3410"/>
      <c r="GA45" s="3410"/>
      <c r="GB45" s="3410"/>
      <c r="GC45" s="3410"/>
      <c r="GD45" s="3410"/>
      <c r="GE45" s="3410"/>
      <c r="GF45" s="3410"/>
      <c r="GG45" s="3410"/>
      <c r="GH45" s="3410"/>
      <c r="GI45" s="3410"/>
      <c r="GJ45" s="3410"/>
      <c r="GK45" s="3410"/>
      <c r="GL45" s="3410"/>
      <c r="GM45" s="3410"/>
      <c r="GN45" s="3410"/>
      <c r="GO45" s="3410"/>
      <c r="GP45" s="3410"/>
      <c r="GQ45" s="3410"/>
      <c r="GR45" s="3410"/>
      <c r="GS45" s="3410"/>
      <c r="GT45" s="3410"/>
      <c r="GU45" s="3410"/>
      <c r="GV45" s="3410"/>
      <c r="GW45" s="3410"/>
      <c r="GX45" s="3410"/>
      <c r="GY45" s="3410"/>
      <c r="GZ45" s="3410"/>
      <c r="HA45" s="3410"/>
      <c r="HB45" s="3410"/>
      <c r="HC45" s="3410"/>
      <c r="HD45" s="3410"/>
      <c r="HE45" s="3410"/>
      <c r="HF45" s="3410"/>
      <c r="HG45" s="3410"/>
      <c r="HH45" s="3410"/>
      <c r="HI45" s="3410"/>
      <c r="HJ45" s="3410"/>
      <c r="HK45" s="3410"/>
      <c r="HL45" s="3410"/>
      <c r="HM45" s="3410"/>
      <c r="HN45" s="3410"/>
      <c r="HO45" s="3410"/>
      <c r="HP45" s="3410"/>
      <c r="HQ45" s="3410"/>
      <c r="HR45" s="3410"/>
      <c r="HS45" s="3410"/>
      <c r="HT45" s="3410"/>
      <c r="HU45" s="3410"/>
      <c r="HV45" s="3410"/>
      <c r="HW45" s="3410"/>
      <c r="HX45" s="3410"/>
      <c r="HY45" s="3410"/>
      <c r="HZ45" s="3410"/>
      <c r="IA45" s="3410"/>
      <c r="IB45" s="3410"/>
      <c r="IC45" s="3410"/>
      <c r="ID45" s="3410"/>
      <c r="IE45" s="3410"/>
      <c r="IF45" s="3410"/>
      <c r="IG45" s="3410"/>
      <c r="IH45" s="3410"/>
      <c r="II45" s="3410"/>
      <c r="IJ45" s="3410"/>
      <c r="IK45" s="3410"/>
      <c r="IL45" s="3410"/>
      <c r="IM45" s="3410"/>
      <c r="IN45" s="3410"/>
      <c r="IO45" s="3410"/>
      <c r="IP45" s="3410"/>
      <c r="IQ45" s="3410"/>
      <c r="IR45" s="3410"/>
      <c r="IS45" s="3410"/>
      <c r="IT45" s="3410"/>
      <c r="IU45" s="3410"/>
      <c r="IV45" s="3410"/>
    </row>
    <row r="46" spans="1:256" s="3409" customFormat="1" ht="20.100000000000001" customHeight="1">
      <c r="A46" s="3410"/>
      <c r="B46" s="3415" t="s">
        <v>2754</v>
      </c>
      <c r="C46" s="3416">
        <v>1.41</v>
      </c>
      <c r="D46" s="3410" t="s">
        <v>2755</v>
      </c>
      <c r="E46" s="3410" t="s">
        <v>2756</v>
      </c>
      <c r="F46" s="3410"/>
      <c r="G46" s="3410"/>
      <c r="H46" s="3410"/>
      <c r="I46" s="3410"/>
      <c r="J46" s="3410"/>
      <c r="K46" s="3410"/>
      <c r="L46" s="3410"/>
      <c r="M46" s="3410"/>
      <c r="N46" s="3410"/>
      <c r="O46" s="3410"/>
      <c r="P46" s="3410"/>
      <c r="Q46" s="3410"/>
      <c r="R46" s="3410"/>
      <c r="S46" s="3410"/>
      <c r="T46" s="3410"/>
      <c r="U46" s="3410"/>
      <c r="V46" s="3410"/>
      <c r="W46" s="3410"/>
      <c r="X46" s="3410"/>
      <c r="Y46" s="3410"/>
      <c r="Z46" s="3410"/>
      <c r="AA46" s="3410"/>
      <c r="AB46" s="3410"/>
      <c r="AC46" s="3410"/>
      <c r="AD46" s="3410"/>
      <c r="AE46" s="3410"/>
      <c r="AF46" s="3410"/>
      <c r="AG46" s="3410"/>
      <c r="AH46" s="3410"/>
      <c r="AI46" s="3410"/>
      <c r="AJ46" s="3410"/>
      <c r="AK46" s="3410"/>
      <c r="AL46" s="3410"/>
      <c r="AM46" s="3410"/>
      <c r="AN46" s="3410"/>
      <c r="AO46" s="3410"/>
      <c r="AP46" s="3410"/>
      <c r="AQ46" s="3410"/>
      <c r="AR46" s="3410"/>
      <c r="AS46" s="3410"/>
      <c r="AT46" s="3410"/>
      <c r="AU46" s="3410"/>
      <c r="AV46" s="3410"/>
      <c r="AW46" s="3410"/>
      <c r="AX46" s="3410"/>
      <c r="AY46" s="3410"/>
      <c r="AZ46" s="3410"/>
      <c r="BA46" s="3410"/>
      <c r="BB46" s="3410"/>
      <c r="BC46" s="3410"/>
      <c r="BD46" s="3410"/>
      <c r="BE46" s="3410"/>
      <c r="BF46" s="3410"/>
      <c r="BG46" s="3410"/>
      <c r="BH46" s="3410"/>
      <c r="BI46" s="3410"/>
      <c r="BJ46" s="3410"/>
      <c r="BK46" s="3410"/>
      <c r="BL46" s="3410"/>
      <c r="BM46" s="3410"/>
      <c r="BN46" s="3410"/>
      <c r="BO46" s="3410"/>
      <c r="BP46" s="3410"/>
      <c r="BQ46" s="3410"/>
      <c r="BR46" s="3410"/>
      <c r="BS46" s="3410"/>
      <c r="BT46" s="3410"/>
      <c r="BU46" s="3410"/>
      <c r="BV46" s="3410"/>
      <c r="BW46" s="3410"/>
      <c r="BX46" s="3410"/>
      <c r="BY46" s="3410"/>
      <c r="BZ46" s="3410"/>
      <c r="CA46" s="3410"/>
      <c r="CB46" s="3410"/>
      <c r="CC46" s="3410"/>
      <c r="CD46" s="3410"/>
      <c r="CE46" s="3410"/>
      <c r="CF46" s="3410"/>
      <c r="CG46" s="3410"/>
      <c r="CH46" s="3410"/>
      <c r="CI46" s="3410"/>
      <c r="CJ46" s="3410"/>
      <c r="CK46" s="3410"/>
      <c r="CL46" s="3410"/>
      <c r="CM46" s="3410"/>
      <c r="CN46" s="3410"/>
      <c r="CO46" s="3410"/>
      <c r="CP46" s="3410"/>
      <c r="CQ46" s="3410"/>
      <c r="CR46" s="3410"/>
      <c r="CS46" s="3410"/>
      <c r="CT46" s="3410"/>
      <c r="CU46" s="3410"/>
      <c r="CV46" s="3410"/>
      <c r="CW46" s="3410"/>
      <c r="CX46" s="3410"/>
      <c r="CY46" s="3410"/>
      <c r="CZ46" s="3410"/>
      <c r="DA46" s="3410"/>
      <c r="DB46" s="3410"/>
      <c r="DC46" s="3410"/>
      <c r="DD46" s="3410"/>
      <c r="DE46" s="3410"/>
      <c r="DF46" s="3410"/>
      <c r="DG46" s="3410"/>
      <c r="DH46" s="3410"/>
      <c r="DI46" s="3410"/>
      <c r="DJ46" s="3410"/>
      <c r="DK46" s="3410"/>
      <c r="DL46" s="3410"/>
      <c r="DM46" s="3410"/>
      <c r="DN46" s="3410"/>
      <c r="DO46" s="3410"/>
      <c r="DP46" s="3410"/>
      <c r="DQ46" s="3410"/>
      <c r="DR46" s="3410"/>
      <c r="DS46" s="3410"/>
      <c r="DT46" s="3410"/>
      <c r="DU46" s="3410"/>
      <c r="DV46" s="3410"/>
      <c r="DW46" s="3410"/>
      <c r="DX46" s="3410"/>
      <c r="DY46" s="3410"/>
      <c r="DZ46" s="3410"/>
      <c r="EA46" s="3410"/>
      <c r="EB46" s="3410"/>
      <c r="EC46" s="3410"/>
      <c r="ED46" s="3410"/>
      <c r="EE46" s="3410"/>
      <c r="EF46" s="3410"/>
      <c r="EG46" s="3410"/>
      <c r="EH46" s="3410"/>
      <c r="EI46" s="3410"/>
      <c r="EJ46" s="3410"/>
      <c r="EK46" s="3410"/>
      <c r="EL46" s="3410"/>
      <c r="EM46" s="3410"/>
      <c r="EN46" s="3410"/>
      <c r="EO46" s="3410"/>
      <c r="EP46" s="3410"/>
      <c r="EQ46" s="3410"/>
      <c r="ER46" s="3410"/>
      <c r="ES46" s="3410"/>
      <c r="ET46" s="3410"/>
      <c r="EU46" s="3410"/>
      <c r="EV46" s="3410"/>
      <c r="EW46" s="3410"/>
      <c r="EX46" s="3410"/>
      <c r="EY46" s="3410"/>
      <c r="EZ46" s="3410"/>
      <c r="FA46" s="3410"/>
      <c r="FB46" s="3410"/>
      <c r="FC46" s="3410"/>
      <c r="FD46" s="3410"/>
      <c r="FE46" s="3410"/>
      <c r="FF46" s="3410"/>
      <c r="FG46" s="3410"/>
      <c r="FH46" s="3410"/>
      <c r="FI46" s="3410"/>
      <c r="FJ46" s="3410"/>
      <c r="FK46" s="3410"/>
      <c r="FL46" s="3410"/>
      <c r="FM46" s="3410"/>
      <c r="FN46" s="3410"/>
      <c r="FO46" s="3410"/>
      <c r="FP46" s="3410"/>
      <c r="FQ46" s="3410"/>
      <c r="FR46" s="3410"/>
      <c r="FS46" s="3410"/>
      <c r="FT46" s="3410"/>
      <c r="FU46" s="3410"/>
      <c r="FV46" s="3410"/>
      <c r="FW46" s="3410"/>
      <c r="FX46" s="3410"/>
      <c r="FY46" s="3410"/>
      <c r="FZ46" s="3410"/>
      <c r="GA46" s="3410"/>
      <c r="GB46" s="3410"/>
      <c r="GC46" s="3410"/>
      <c r="GD46" s="3410"/>
      <c r="GE46" s="3410"/>
      <c r="GF46" s="3410"/>
      <c r="GG46" s="3410"/>
      <c r="GH46" s="3410"/>
      <c r="GI46" s="3410"/>
      <c r="GJ46" s="3410"/>
      <c r="GK46" s="3410"/>
      <c r="GL46" s="3410"/>
      <c r="GM46" s="3410"/>
      <c r="GN46" s="3410"/>
      <c r="GO46" s="3410"/>
      <c r="GP46" s="3410"/>
      <c r="GQ46" s="3410"/>
      <c r="GR46" s="3410"/>
      <c r="GS46" s="3410"/>
      <c r="GT46" s="3410"/>
      <c r="GU46" s="3410"/>
      <c r="GV46" s="3410"/>
      <c r="GW46" s="3410"/>
      <c r="GX46" s="3410"/>
      <c r="GY46" s="3410"/>
      <c r="GZ46" s="3410"/>
      <c r="HA46" s="3410"/>
      <c r="HB46" s="3410"/>
      <c r="HC46" s="3410"/>
      <c r="HD46" s="3410"/>
      <c r="HE46" s="3410"/>
      <c r="HF46" s="3410"/>
      <c r="HG46" s="3410"/>
      <c r="HH46" s="3410"/>
      <c r="HI46" s="3410"/>
      <c r="HJ46" s="3410"/>
      <c r="HK46" s="3410"/>
      <c r="HL46" s="3410"/>
      <c r="HM46" s="3410"/>
      <c r="HN46" s="3410"/>
      <c r="HO46" s="3410"/>
      <c r="HP46" s="3410"/>
      <c r="HQ46" s="3410"/>
      <c r="HR46" s="3410"/>
      <c r="HS46" s="3410"/>
      <c r="HT46" s="3410"/>
      <c r="HU46" s="3410"/>
      <c r="HV46" s="3410"/>
      <c r="HW46" s="3410"/>
      <c r="HX46" s="3410"/>
      <c r="HY46" s="3410"/>
      <c r="HZ46" s="3410"/>
      <c r="IA46" s="3410"/>
      <c r="IB46" s="3410"/>
      <c r="IC46" s="3410"/>
      <c r="ID46" s="3410"/>
      <c r="IE46" s="3410"/>
      <c r="IF46" s="3410"/>
      <c r="IG46" s="3410"/>
      <c r="IH46" s="3410"/>
      <c r="II46" s="3410"/>
      <c r="IJ46" s="3410"/>
      <c r="IK46" s="3410"/>
      <c r="IL46" s="3410"/>
      <c r="IM46" s="3410"/>
      <c r="IN46" s="3410"/>
      <c r="IO46" s="3410"/>
      <c r="IP46" s="3410"/>
      <c r="IQ46" s="3410"/>
      <c r="IR46" s="3410"/>
      <c r="IS46" s="3410"/>
      <c r="IT46" s="3410"/>
      <c r="IU46" s="3410"/>
      <c r="IV46" s="3410"/>
    </row>
    <row r="47" spans="1:256" s="3409" customFormat="1" ht="20.100000000000001" customHeight="1">
      <c r="A47" s="3412" t="s">
        <v>2696</v>
      </c>
      <c r="B47" s="4773" t="s">
        <v>2757</v>
      </c>
      <c r="C47" s="4773"/>
      <c r="D47" s="4773"/>
      <c r="E47" s="4773"/>
      <c r="F47" s="4773"/>
      <c r="G47" s="4773"/>
      <c r="H47" s="4773"/>
      <c r="I47" s="3410"/>
      <c r="J47" s="3410"/>
      <c r="K47" s="3410"/>
      <c r="L47" s="3410"/>
      <c r="M47" s="3410"/>
      <c r="N47" s="3410"/>
      <c r="O47" s="3410"/>
      <c r="P47" s="3410"/>
      <c r="Q47" s="3410"/>
      <c r="R47" s="3410"/>
      <c r="S47" s="3410"/>
      <c r="T47" s="3410"/>
      <c r="U47" s="3410"/>
      <c r="V47" s="3410"/>
      <c r="W47" s="3410"/>
      <c r="X47" s="3410"/>
      <c r="Y47" s="3410"/>
      <c r="Z47" s="3410"/>
      <c r="AA47" s="3410"/>
      <c r="AB47" s="3410"/>
      <c r="AC47" s="3410"/>
      <c r="AD47" s="3410"/>
      <c r="AE47" s="3410"/>
      <c r="AF47" s="3410"/>
      <c r="AG47" s="3410"/>
      <c r="AH47" s="3410"/>
      <c r="AI47" s="3410"/>
      <c r="AJ47" s="3410"/>
      <c r="AK47" s="3410"/>
      <c r="AL47" s="3410"/>
      <c r="AM47" s="3410"/>
      <c r="AN47" s="3410"/>
      <c r="AO47" s="3410"/>
      <c r="AP47" s="3410"/>
      <c r="AQ47" s="3410"/>
      <c r="AR47" s="3410"/>
      <c r="AS47" s="3410"/>
      <c r="AT47" s="3410"/>
      <c r="AU47" s="3410"/>
      <c r="AV47" s="3410"/>
      <c r="AW47" s="3410"/>
      <c r="AX47" s="3410"/>
      <c r="AY47" s="3410"/>
      <c r="AZ47" s="3410"/>
      <c r="BA47" s="3410"/>
      <c r="BB47" s="3410"/>
      <c r="BC47" s="3410"/>
      <c r="BD47" s="3410"/>
      <c r="BE47" s="3410"/>
      <c r="BF47" s="3410"/>
      <c r="BG47" s="3410"/>
      <c r="BH47" s="3410"/>
      <c r="BI47" s="3410"/>
      <c r="BJ47" s="3410"/>
      <c r="BK47" s="3410"/>
      <c r="BL47" s="3410"/>
      <c r="BM47" s="3410"/>
      <c r="BN47" s="3410"/>
      <c r="BO47" s="3410"/>
      <c r="BP47" s="3410"/>
      <c r="BQ47" s="3410"/>
      <c r="BR47" s="3410"/>
      <c r="BS47" s="3410"/>
      <c r="BT47" s="3410"/>
      <c r="BU47" s="3410"/>
      <c r="BV47" s="3410"/>
      <c r="BW47" s="3410"/>
      <c r="BX47" s="3410"/>
      <c r="BY47" s="3410"/>
      <c r="BZ47" s="3410"/>
      <c r="CA47" s="3410"/>
      <c r="CB47" s="3410"/>
      <c r="CC47" s="3410"/>
      <c r="CD47" s="3410"/>
      <c r="CE47" s="3410"/>
      <c r="CF47" s="3410"/>
      <c r="CG47" s="3410"/>
      <c r="CH47" s="3410"/>
      <c r="CI47" s="3410"/>
      <c r="CJ47" s="3410"/>
      <c r="CK47" s="3410"/>
      <c r="CL47" s="3410"/>
      <c r="CM47" s="3410"/>
      <c r="CN47" s="3410"/>
      <c r="CO47" s="3410"/>
      <c r="CP47" s="3410"/>
      <c r="CQ47" s="3410"/>
      <c r="CR47" s="3410"/>
      <c r="CS47" s="3410"/>
      <c r="CT47" s="3410"/>
      <c r="CU47" s="3410"/>
      <c r="CV47" s="3410"/>
      <c r="CW47" s="3410"/>
      <c r="CX47" s="3410"/>
      <c r="CY47" s="3410"/>
      <c r="CZ47" s="3410"/>
      <c r="DA47" s="3410"/>
      <c r="DB47" s="3410"/>
      <c r="DC47" s="3410"/>
      <c r="DD47" s="3410"/>
      <c r="DE47" s="3410"/>
      <c r="DF47" s="3410"/>
      <c r="DG47" s="3410"/>
      <c r="DH47" s="3410"/>
      <c r="DI47" s="3410"/>
      <c r="DJ47" s="3410"/>
      <c r="DK47" s="3410"/>
      <c r="DL47" s="3410"/>
      <c r="DM47" s="3410"/>
      <c r="DN47" s="3410"/>
      <c r="DO47" s="3410"/>
      <c r="DP47" s="3410"/>
      <c r="DQ47" s="3410"/>
      <c r="DR47" s="3410"/>
      <c r="DS47" s="3410"/>
      <c r="DT47" s="3410"/>
      <c r="DU47" s="3410"/>
      <c r="DV47" s="3410"/>
      <c r="DW47" s="3410"/>
      <c r="DX47" s="3410"/>
      <c r="DY47" s="3410"/>
      <c r="DZ47" s="3410"/>
      <c r="EA47" s="3410"/>
      <c r="EB47" s="3410"/>
      <c r="EC47" s="3410"/>
      <c r="ED47" s="3410"/>
      <c r="EE47" s="3410"/>
      <c r="EF47" s="3410"/>
      <c r="EG47" s="3410"/>
      <c r="EH47" s="3410"/>
      <c r="EI47" s="3410"/>
      <c r="EJ47" s="3410"/>
      <c r="EK47" s="3410"/>
      <c r="EL47" s="3410"/>
      <c r="EM47" s="3410"/>
      <c r="EN47" s="3410"/>
      <c r="EO47" s="3410"/>
      <c r="EP47" s="3410"/>
      <c r="EQ47" s="3410"/>
      <c r="ER47" s="3410"/>
      <c r="ES47" s="3410"/>
      <c r="ET47" s="3410"/>
      <c r="EU47" s="3410"/>
      <c r="EV47" s="3410"/>
      <c r="EW47" s="3410"/>
      <c r="EX47" s="3410"/>
      <c r="EY47" s="3410"/>
      <c r="EZ47" s="3410"/>
      <c r="FA47" s="3410"/>
      <c r="FB47" s="3410"/>
      <c r="FC47" s="3410"/>
      <c r="FD47" s="3410"/>
      <c r="FE47" s="3410"/>
      <c r="FF47" s="3410"/>
      <c r="FG47" s="3410"/>
      <c r="FH47" s="3410"/>
      <c r="FI47" s="3410"/>
      <c r="FJ47" s="3410"/>
      <c r="FK47" s="3410"/>
      <c r="FL47" s="3410"/>
      <c r="FM47" s="3410"/>
      <c r="FN47" s="3410"/>
      <c r="FO47" s="3410"/>
      <c r="FP47" s="3410"/>
      <c r="FQ47" s="3410"/>
      <c r="FR47" s="3410"/>
      <c r="FS47" s="3410"/>
      <c r="FT47" s="3410"/>
      <c r="FU47" s="3410"/>
      <c r="FV47" s="3410"/>
      <c r="FW47" s="3410"/>
      <c r="FX47" s="3410"/>
      <c r="FY47" s="3410"/>
      <c r="FZ47" s="3410"/>
      <c r="GA47" s="3410"/>
      <c r="GB47" s="3410"/>
      <c r="GC47" s="3410"/>
      <c r="GD47" s="3410"/>
      <c r="GE47" s="3410"/>
      <c r="GF47" s="3410"/>
      <c r="GG47" s="3410"/>
      <c r="GH47" s="3410"/>
      <c r="GI47" s="3410"/>
      <c r="GJ47" s="3410"/>
      <c r="GK47" s="3410"/>
      <c r="GL47" s="3410"/>
      <c r="GM47" s="3410"/>
      <c r="GN47" s="3410"/>
      <c r="GO47" s="3410"/>
      <c r="GP47" s="3410"/>
      <c r="GQ47" s="3410"/>
      <c r="GR47" s="3410"/>
      <c r="GS47" s="3410"/>
      <c r="GT47" s="3410"/>
      <c r="GU47" s="3410"/>
      <c r="GV47" s="3410"/>
      <c r="GW47" s="3410"/>
      <c r="GX47" s="3410"/>
      <c r="GY47" s="3410"/>
      <c r="GZ47" s="3410"/>
      <c r="HA47" s="3410"/>
      <c r="HB47" s="3410"/>
      <c r="HC47" s="3410"/>
      <c r="HD47" s="3410"/>
      <c r="HE47" s="3410"/>
      <c r="HF47" s="3410"/>
      <c r="HG47" s="3410"/>
      <c r="HH47" s="3410"/>
      <c r="HI47" s="3410"/>
      <c r="HJ47" s="3410"/>
      <c r="HK47" s="3410"/>
      <c r="HL47" s="3410"/>
      <c r="HM47" s="3410"/>
      <c r="HN47" s="3410"/>
      <c r="HO47" s="3410"/>
      <c r="HP47" s="3410"/>
      <c r="HQ47" s="3410"/>
      <c r="HR47" s="3410"/>
      <c r="HS47" s="3410"/>
      <c r="HT47" s="3410"/>
      <c r="HU47" s="3410"/>
      <c r="HV47" s="3410"/>
      <c r="HW47" s="3410"/>
      <c r="HX47" s="3410"/>
      <c r="HY47" s="3410"/>
      <c r="HZ47" s="3410"/>
      <c r="IA47" s="3410"/>
      <c r="IB47" s="3410"/>
      <c r="IC47" s="3410"/>
      <c r="ID47" s="3410"/>
      <c r="IE47" s="3410"/>
      <c r="IF47" s="3410"/>
      <c r="IG47" s="3410"/>
      <c r="IH47" s="3410"/>
      <c r="II47" s="3410"/>
      <c r="IJ47" s="3410"/>
      <c r="IK47" s="3410"/>
      <c r="IL47" s="3410"/>
      <c r="IM47" s="3410"/>
      <c r="IN47" s="3410"/>
      <c r="IO47" s="3410"/>
      <c r="IP47" s="3410"/>
      <c r="IQ47" s="3410"/>
      <c r="IR47" s="3410"/>
      <c r="IS47" s="3410"/>
      <c r="IT47" s="3410"/>
      <c r="IU47" s="3410"/>
      <c r="IV47" s="3410"/>
    </row>
    <row r="48" spans="1:256" s="3409" customFormat="1" ht="20.100000000000001" customHeight="1">
      <c r="A48" s="3410"/>
      <c r="B48" s="3410" t="s">
        <v>2758</v>
      </c>
      <c r="C48" s="3410"/>
      <c r="D48" s="3410"/>
      <c r="E48" s="3410"/>
      <c r="F48" s="3410"/>
      <c r="G48" s="3410"/>
      <c r="H48" s="3410"/>
      <c r="I48" s="3410"/>
      <c r="J48" s="3410"/>
      <c r="K48" s="3410"/>
      <c r="L48" s="3410"/>
      <c r="M48" s="3410"/>
      <c r="N48" s="3410"/>
      <c r="O48" s="3410"/>
      <c r="P48" s="3410"/>
      <c r="Q48" s="3410"/>
      <c r="R48" s="3410"/>
      <c r="S48" s="3410"/>
      <c r="T48" s="3410"/>
      <c r="U48" s="3410"/>
      <c r="V48" s="3410"/>
      <c r="W48" s="3410"/>
      <c r="X48" s="3410"/>
      <c r="Y48" s="3410"/>
      <c r="Z48" s="3410"/>
      <c r="AA48" s="3410"/>
      <c r="AB48" s="3410"/>
      <c r="AC48" s="3410"/>
      <c r="AD48" s="3410"/>
      <c r="AE48" s="3410"/>
      <c r="AF48" s="3410"/>
      <c r="AG48" s="3410"/>
      <c r="AH48" s="3410"/>
      <c r="AI48" s="3410"/>
      <c r="AJ48" s="3410"/>
      <c r="AK48" s="3410"/>
      <c r="AL48" s="3410"/>
      <c r="AM48" s="3410"/>
      <c r="AN48" s="3410"/>
      <c r="AO48" s="3410"/>
      <c r="AP48" s="3410"/>
      <c r="AQ48" s="3410"/>
      <c r="AR48" s="3410"/>
      <c r="AS48" s="3410"/>
      <c r="AT48" s="3410"/>
      <c r="AU48" s="3410"/>
      <c r="AV48" s="3410"/>
      <c r="AW48" s="3410"/>
      <c r="AX48" s="3410"/>
      <c r="AY48" s="3410"/>
      <c r="AZ48" s="3410"/>
      <c r="BA48" s="3410"/>
      <c r="BB48" s="3410"/>
      <c r="BC48" s="3410"/>
      <c r="BD48" s="3410"/>
      <c r="BE48" s="3410"/>
      <c r="BF48" s="3410"/>
      <c r="BG48" s="3410"/>
      <c r="BH48" s="3410"/>
      <c r="BI48" s="3410"/>
      <c r="BJ48" s="3410"/>
      <c r="BK48" s="3410"/>
      <c r="BL48" s="3410"/>
      <c r="BM48" s="3410"/>
      <c r="BN48" s="3410"/>
      <c r="BO48" s="3410"/>
      <c r="BP48" s="3410"/>
      <c r="BQ48" s="3410"/>
      <c r="BR48" s="3410"/>
      <c r="BS48" s="3410"/>
      <c r="BT48" s="3410"/>
      <c r="BU48" s="3410"/>
      <c r="BV48" s="3410"/>
      <c r="BW48" s="3410"/>
      <c r="BX48" s="3410"/>
      <c r="BY48" s="3410"/>
      <c r="BZ48" s="3410"/>
      <c r="CA48" s="3410"/>
      <c r="CB48" s="3410"/>
      <c r="CC48" s="3410"/>
      <c r="CD48" s="3410"/>
      <c r="CE48" s="3410"/>
      <c r="CF48" s="3410"/>
      <c r="CG48" s="3410"/>
      <c r="CH48" s="3410"/>
      <c r="CI48" s="3410"/>
      <c r="CJ48" s="3410"/>
      <c r="CK48" s="3410"/>
      <c r="CL48" s="3410"/>
      <c r="CM48" s="3410"/>
      <c r="CN48" s="3410"/>
      <c r="CO48" s="3410"/>
      <c r="CP48" s="3410"/>
      <c r="CQ48" s="3410"/>
      <c r="CR48" s="3410"/>
      <c r="CS48" s="3410"/>
      <c r="CT48" s="3410"/>
      <c r="CU48" s="3410"/>
      <c r="CV48" s="3410"/>
      <c r="CW48" s="3410"/>
      <c r="CX48" s="3410"/>
      <c r="CY48" s="3410"/>
      <c r="CZ48" s="3410"/>
      <c r="DA48" s="3410"/>
      <c r="DB48" s="3410"/>
      <c r="DC48" s="3410"/>
      <c r="DD48" s="3410"/>
      <c r="DE48" s="3410"/>
      <c r="DF48" s="3410"/>
      <c r="DG48" s="3410"/>
      <c r="DH48" s="3410"/>
      <c r="DI48" s="3410"/>
      <c r="DJ48" s="3410"/>
      <c r="DK48" s="3410"/>
      <c r="DL48" s="3410"/>
      <c r="DM48" s="3410"/>
      <c r="DN48" s="3410"/>
      <c r="DO48" s="3410"/>
      <c r="DP48" s="3410"/>
      <c r="DQ48" s="3410"/>
      <c r="DR48" s="3410"/>
      <c r="DS48" s="3410"/>
      <c r="DT48" s="3410"/>
      <c r="DU48" s="3410"/>
      <c r="DV48" s="3410"/>
      <c r="DW48" s="3410"/>
      <c r="DX48" s="3410"/>
      <c r="DY48" s="3410"/>
      <c r="DZ48" s="3410"/>
      <c r="EA48" s="3410"/>
      <c r="EB48" s="3410"/>
      <c r="EC48" s="3410"/>
      <c r="ED48" s="3410"/>
      <c r="EE48" s="3410"/>
      <c r="EF48" s="3410"/>
      <c r="EG48" s="3410"/>
      <c r="EH48" s="3410"/>
      <c r="EI48" s="3410"/>
      <c r="EJ48" s="3410"/>
      <c r="EK48" s="3410"/>
      <c r="EL48" s="3410"/>
      <c r="EM48" s="3410"/>
      <c r="EN48" s="3410"/>
      <c r="EO48" s="3410"/>
      <c r="EP48" s="3410"/>
      <c r="EQ48" s="3410"/>
      <c r="ER48" s="3410"/>
      <c r="ES48" s="3410"/>
      <c r="ET48" s="3410"/>
      <c r="EU48" s="3410"/>
      <c r="EV48" s="3410"/>
      <c r="EW48" s="3410"/>
      <c r="EX48" s="3410"/>
      <c r="EY48" s="3410"/>
      <c r="EZ48" s="3410"/>
      <c r="FA48" s="3410"/>
      <c r="FB48" s="3410"/>
      <c r="FC48" s="3410"/>
      <c r="FD48" s="3410"/>
      <c r="FE48" s="3410"/>
      <c r="FF48" s="3410"/>
      <c r="FG48" s="3410"/>
      <c r="FH48" s="3410"/>
      <c r="FI48" s="3410"/>
      <c r="FJ48" s="3410"/>
      <c r="FK48" s="3410"/>
      <c r="FL48" s="3410"/>
      <c r="FM48" s="3410"/>
      <c r="FN48" s="3410"/>
      <c r="FO48" s="3410"/>
      <c r="FP48" s="3410"/>
      <c r="FQ48" s="3410"/>
      <c r="FR48" s="3410"/>
      <c r="FS48" s="3410"/>
      <c r="FT48" s="3410"/>
      <c r="FU48" s="3410"/>
      <c r="FV48" s="3410"/>
      <c r="FW48" s="3410"/>
      <c r="FX48" s="3410"/>
      <c r="FY48" s="3410"/>
      <c r="FZ48" s="3410"/>
      <c r="GA48" s="3410"/>
      <c r="GB48" s="3410"/>
      <c r="GC48" s="3410"/>
      <c r="GD48" s="3410"/>
      <c r="GE48" s="3410"/>
      <c r="GF48" s="3410"/>
      <c r="GG48" s="3410"/>
      <c r="GH48" s="3410"/>
      <c r="GI48" s="3410"/>
      <c r="GJ48" s="3410"/>
      <c r="GK48" s="3410"/>
      <c r="GL48" s="3410"/>
      <c r="GM48" s="3410"/>
      <c r="GN48" s="3410"/>
      <c r="GO48" s="3410"/>
      <c r="GP48" s="3410"/>
      <c r="GQ48" s="3410"/>
      <c r="GR48" s="3410"/>
      <c r="GS48" s="3410"/>
      <c r="GT48" s="3410"/>
      <c r="GU48" s="3410"/>
      <c r="GV48" s="3410"/>
      <c r="GW48" s="3410"/>
      <c r="GX48" s="3410"/>
      <c r="GY48" s="3410"/>
      <c r="GZ48" s="3410"/>
      <c r="HA48" s="3410"/>
      <c r="HB48" s="3410"/>
      <c r="HC48" s="3410"/>
      <c r="HD48" s="3410"/>
      <c r="HE48" s="3410"/>
      <c r="HF48" s="3410"/>
      <c r="HG48" s="3410"/>
      <c r="HH48" s="3410"/>
      <c r="HI48" s="3410"/>
      <c r="HJ48" s="3410"/>
      <c r="HK48" s="3410"/>
      <c r="HL48" s="3410"/>
      <c r="HM48" s="3410"/>
      <c r="HN48" s="3410"/>
      <c r="HO48" s="3410"/>
      <c r="HP48" s="3410"/>
      <c r="HQ48" s="3410"/>
      <c r="HR48" s="3410"/>
      <c r="HS48" s="3410"/>
      <c r="HT48" s="3410"/>
      <c r="HU48" s="3410"/>
      <c r="HV48" s="3410"/>
      <c r="HW48" s="3410"/>
      <c r="HX48" s="3410"/>
      <c r="HY48" s="3410"/>
      <c r="HZ48" s="3410"/>
      <c r="IA48" s="3410"/>
      <c r="IB48" s="3410"/>
      <c r="IC48" s="3410"/>
      <c r="ID48" s="3410"/>
      <c r="IE48" s="3410"/>
      <c r="IF48" s="3410"/>
      <c r="IG48" s="3410"/>
      <c r="IH48" s="3410"/>
      <c r="II48" s="3410"/>
      <c r="IJ48" s="3410"/>
      <c r="IK48" s="3410"/>
      <c r="IL48" s="3410"/>
      <c r="IM48" s="3410"/>
      <c r="IN48" s="3410"/>
      <c r="IO48" s="3410"/>
      <c r="IP48" s="3410"/>
      <c r="IQ48" s="3410"/>
      <c r="IR48" s="3410"/>
      <c r="IS48" s="3410"/>
      <c r="IT48" s="3410"/>
      <c r="IU48" s="3410"/>
      <c r="IV48" s="3410"/>
    </row>
    <row r="49" spans="1:256" s="3409" customFormat="1" ht="20.100000000000001" customHeight="1">
      <c r="A49" s="3410" t="s">
        <v>2759</v>
      </c>
      <c r="B49" s="3410"/>
      <c r="C49" s="3410"/>
      <c r="D49" s="3410"/>
      <c r="E49" s="3410"/>
      <c r="F49" s="3410"/>
      <c r="G49" s="3410"/>
      <c r="H49" s="3410"/>
      <c r="I49" s="3410"/>
      <c r="J49" s="3410"/>
      <c r="K49" s="3410"/>
      <c r="L49" s="3410"/>
      <c r="M49" s="3410"/>
      <c r="N49" s="3410"/>
      <c r="O49" s="3410"/>
      <c r="P49" s="3410"/>
      <c r="Q49" s="3410"/>
      <c r="R49" s="3410"/>
      <c r="S49" s="3410"/>
      <c r="T49" s="3410"/>
      <c r="U49" s="3410"/>
      <c r="V49" s="3410"/>
      <c r="W49" s="3410"/>
      <c r="X49" s="3410"/>
      <c r="Y49" s="3410"/>
      <c r="Z49" s="3410"/>
      <c r="AA49" s="3410"/>
      <c r="AB49" s="3410"/>
      <c r="AC49" s="3410"/>
      <c r="AD49" s="3410"/>
      <c r="AE49" s="3410"/>
      <c r="AF49" s="3410"/>
      <c r="AG49" s="3410"/>
      <c r="AH49" s="3410"/>
      <c r="AI49" s="3410"/>
      <c r="AJ49" s="3410"/>
      <c r="AK49" s="3410"/>
      <c r="AL49" s="3410"/>
      <c r="AM49" s="3410"/>
      <c r="AN49" s="3410"/>
      <c r="AO49" s="3410"/>
      <c r="AP49" s="3410"/>
      <c r="AQ49" s="3410"/>
      <c r="AR49" s="3410"/>
      <c r="AS49" s="3410"/>
      <c r="AT49" s="3410"/>
      <c r="AU49" s="3410"/>
      <c r="AV49" s="3410"/>
      <c r="AW49" s="3410"/>
      <c r="AX49" s="3410"/>
      <c r="AY49" s="3410"/>
      <c r="AZ49" s="3410"/>
      <c r="BA49" s="3410"/>
      <c r="BB49" s="3410"/>
      <c r="BC49" s="3410"/>
      <c r="BD49" s="3410"/>
      <c r="BE49" s="3410"/>
      <c r="BF49" s="3410"/>
      <c r="BG49" s="3410"/>
      <c r="BH49" s="3410"/>
      <c r="BI49" s="3410"/>
      <c r="BJ49" s="3410"/>
      <c r="BK49" s="3410"/>
      <c r="BL49" s="3410"/>
      <c r="BM49" s="3410"/>
      <c r="BN49" s="3410"/>
      <c r="BO49" s="3410"/>
      <c r="BP49" s="3410"/>
      <c r="BQ49" s="3410"/>
      <c r="BR49" s="3410"/>
      <c r="BS49" s="3410"/>
      <c r="BT49" s="3410"/>
      <c r="BU49" s="3410"/>
      <c r="BV49" s="3410"/>
      <c r="BW49" s="3410"/>
      <c r="BX49" s="3410"/>
      <c r="BY49" s="3410"/>
      <c r="BZ49" s="3410"/>
      <c r="CA49" s="3410"/>
      <c r="CB49" s="3410"/>
      <c r="CC49" s="3410"/>
      <c r="CD49" s="3410"/>
      <c r="CE49" s="3410"/>
      <c r="CF49" s="3410"/>
      <c r="CG49" s="3410"/>
      <c r="CH49" s="3410"/>
      <c r="CI49" s="3410"/>
      <c r="CJ49" s="3410"/>
      <c r="CK49" s="3410"/>
      <c r="CL49" s="3410"/>
      <c r="CM49" s="3410"/>
      <c r="CN49" s="3410"/>
      <c r="CO49" s="3410"/>
      <c r="CP49" s="3410"/>
      <c r="CQ49" s="3410"/>
      <c r="CR49" s="3410"/>
      <c r="CS49" s="3410"/>
      <c r="CT49" s="3410"/>
      <c r="CU49" s="3410"/>
      <c r="CV49" s="3410"/>
      <c r="CW49" s="3410"/>
      <c r="CX49" s="3410"/>
      <c r="CY49" s="3410"/>
      <c r="CZ49" s="3410"/>
      <c r="DA49" s="3410"/>
      <c r="DB49" s="3410"/>
      <c r="DC49" s="3410"/>
      <c r="DD49" s="3410"/>
      <c r="DE49" s="3410"/>
      <c r="DF49" s="3410"/>
      <c r="DG49" s="3410"/>
      <c r="DH49" s="3410"/>
      <c r="DI49" s="3410"/>
      <c r="DJ49" s="3410"/>
      <c r="DK49" s="3410"/>
      <c r="DL49" s="3410"/>
      <c r="DM49" s="3410"/>
      <c r="DN49" s="3410"/>
      <c r="DO49" s="3410"/>
      <c r="DP49" s="3410"/>
      <c r="DQ49" s="3410"/>
      <c r="DR49" s="3410"/>
      <c r="DS49" s="3410"/>
      <c r="DT49" s="3410"/>
      <c r="DU49" s="3410"/>
      <c r="DV49" s="3410"/>
      <c r="DW49" s="3410"/>
      <c r="DX49" s="3410"/>
      <c r="DY49" s="3410"/>
      <c r="DZ49" s="3410"/>
      <c r="EA49" s="3410"/>
      <c r="EB49" s="3410"/>
      <c r="EC49" s="3410"/>
      <c r="ED49" s="3410"/>
      <c r="EE49" s="3410"/>
      <c r="EF49" s="3410"/>
      <c r="EG49" s="3410"/>
      <c r="EH49" s="3410"/>
      <c r="EI49" s="3410"/>
      <c r="EJ49" s="3410"/>
      <c r="EK49" s="3410"/>
      <c r="EL49" s="3410"/>
      <c r="EM49" s="3410"/>
      <c r="EN49" s="3410"/>
      <c r="EO49" s="3410"/>
      <c r="EP49" s="3410"/>
      <c r="EQ49" s="3410"/>
      <c r="ER49" s="3410"/>
      <c r="ES49" s="3410"/>
      <c r="ET49" s="3410"/>
      <c r="EU49" s="3410"/>
      <c r="EV49" s="3410"/>
      <c r="EW49" s="3410"/>
      <c r="EX49" s="3410"/>
      <c r="EY49" s="3410"/>
      <c r="EZ49" s="3410"/>
      <c r="FA49" s="3410"/>
      <c r="FB49" s="3410"/>
      <c r="FC49" s="3410"/>
      <c r="FD49" s="3410"/>
      <c r="FE49" s="3410"/>
      <c r="FF49" s="3410"/>
      <c r="FG49" s="3410"/>
      <c r="FH49" s="3410"/>
      <c r="FI49" s="3410"/>
      <c r="FJ49" s="3410"/>
      <c r="FK49" s="3410"/>
      <c r="FL49" s="3410"/>
      <c r="FM49" s="3410"/>
      <c r="FN49" s="3410"/>
      <c r="FO49" s="3410"/>
      <c r="FP49" s="3410"/>
      <c r="FQ49" s="3410"/>
      <c r="FR49" s="3410"/>
      <c r="FS49" s="3410"/>
      <c r="FT49" s="3410"/>
      <c r="FU49" s="3410"/>
      <c r="FV49" s="3410"/>
      <c r="FW49" s="3410"/>
      <c r="FX49" s="3410"/>
      <c r="FY49" s="3410"/>
      <c r="FZ49" s="3410"/>
      <c r="GA49" s="3410"/>
      <c r="GB49" s="3410"/>
      <c r="GC49" s="3410"/>
      <c r="GD49" s="3410"/>
      <c r="GE49" s="3410"/>
      <c r="GF49" s="3410"/>
      <c r="GG49" s="3410"/>
      <c r="GH49" s="3410"/>
      <c r="GI49" s="3410"/>
      <c r="GJ49" s="3410"/>
      <c r="GK49" s="3410"/>
      <c r="GL49" s="3410"/>
      <c r="GM49" s="3410"/>
      <c r="GN49" s="3410"/>
      <c r="GO49" s="3410"/>
      <c r="GP49" s="3410"/>
      <c r="GQ49" s="3410"/>
      <c r="GR49" s="3410"/>
      <c r="GS49" s="3410"/>
      <c r="GT49" s="3410"/>
      <c r="GU49" s="3410"/>
      <c r="GV49" s="3410"/>
      <c r="GW49" s="3410"/>
      <c r="GX49" s="3410"/>
      <c r="GY49" s="3410"/>
      <c r="GZ49" s="3410"/>
      <c r="HA49" s="3410"/>
      <c r="HB49" s="3410"/>
      <c r="HC49" s="3410"/>
      <c r="HD49" s="3410"/>
      <c r="HE49" s="3410"/>
      <c r="HF49" s="3410"/>
      <c r="HG49" s="3410"/>
      <c r="HH49" s="3410"/>
      <c r="HI49" s="3410"/>
      <c r="HJ49" s="3410"/>
      <c r="HK49" s="3410"/>
      <c r="HL49" s="3410"/>
      <c r="HM49" s="3410"/>
      <c r="HN49" s="3410"/>
      <c r="HO49" s="3410"/>
      <c r="HP49" s="3410"/>
      <c r="HQ49" s="3410"/>
      <c r="HR49" s="3410"/>
      <c r="HS49" s="3410"/>
      <c r="HT49" s="3410"/>
      <c r="HU49" s="3410"/>
      <c r="HV49" s="3410"/>
      <c r="HW49" s="3410"/>
      <c r="HX49" s="3410"/>
      <c r="HY49" s="3410"/>
      <c r="HZ49" s="3410"/>
      <c r="IA49" s="3410"/>
      <c r="IB49" s="3410"/>
      <c r="IC49" s="3410"/>
      <c r="ID49" s="3410"/>
      <c r="IE49" s="3410"/>
      <c r="IF49" s="3410"/>
      <c r="IG49" s="3410"/>
      <c r="IH49" s="3410"/>
      <c r="II49" s="3410"/>
      <c r="IJ49" s="3410"/>
      <c r="IK49" s="3410"/>
      <c r="IL49" s="3410"/>
      <c r="IM49" s="3410"/>
      <c r="IN49" s="3410"/>
      <c r="IO49" s="3410"/>
      <c r="IP49" s="3410"/>
      <c r="IQ49" s="3410"/>
      <c r="IR49" s="3410"/>
      <c r="IS49" s="3410"/>
      <c r="IT49" s="3410"/>
      <c r="IU49" s="3410"/>
      <c r="IV49" s="3410"/>
    </row>
    <row r="50" spans="1:256" s="3409" customFormat="1" ht="20.100000000000001" customHeight="1">
      <c r="A50" s="3410"/>
      <c r="B50" s="3410" t="s">
        <v>2760</v>
      </c>
      <c r="C50" s="3410" t="s">
        <v>2761</v>
      </c>
      <c r="D50" s="3410"/>
      <c r="E50" s="3410"/>
      <c r="F50" s="3410"/>
      <c r="G50" s="3410"/>
      <c r="H50" s="3410"/>
      <c r="I50" s="3410"/>
      <c r="J50" s="3410"/>
      <c r="K50" s="3410"/>
      <c r="L50" s="3410"/>
      <c r="M50" s="3410"/>
      <c r="N50" s="3410"/>
      <c r="O50" s="3410"/>
      <c r="P50" s="3410"/>
      <c r="Q50" s="3410"/>
      <c r="R50" s="3410"/>
      <c r="S50" s="3410"/>
      <c r="T50" s="3410"/>
      <c r="U50" s="3410"/>
      <c r="V50" s="3410"/>
      <c r="W50" s="3410"/>
      <c r="X50" s="3410"/>
      <c r="Y50" s="3410"/>
      <c r="Z50" s="3410"/>
      <c r="AA50" s="3410"/>
      <c r="AB50" s="3410"/>
      <c r="AC50" s="3410"/>
      <c r="AD50" s="3410"/>
      <c r="AE50" s="3410"/>
      <c r="AF50" s="3410"/>
      <c r="AG50" s="3410"/>
      <c r="AH50" s="3410"/>
      <c r="AI50" s="3410"/>
      <c r="AJ50" s="3410"/>
      <c r="AK50" s="3410"/>
      <c r="AL50" s="3410"/>
      <c r="AM50" s="3410"/>
      <c r="AN50" s="3410"/>
      <c r="AO50" s="3410"/>
      <c r="AP50" s="3410"/>
      <c r="AQ50" s="3410"/>
      <c r="AR50" s="3410"/>
      <c r="AS50" s="3410"/>
      <c r="AT50" s="3410"/>
      <c r="AU50" s="3410"/>
      <c r="AV50" s="3410"/>
      <c r="AW50" s="3410"/>
      <c r="AX50" s="3410"/>
      <c r="AY50" s="3410"/>
      <c r="AZ50" s="3410"/>
      <c r="BA50" s="3410"/>
      <c r="BB50" s="3410"/>
      <c r="BC50" s="3410"/>
      <c r="BD50" s="3410"/>
      <c r="BE50" s="3410"/>
      <c r="BF50" s="3410"/>
      <c r="BG50" s="3410"/>
      <c r="BH50" s="3410"/>
      <c r="BI50" s="3410"/>
      <c r="BJ50" s="3410"/>
      <c r="BK50" s="3410"/>
      <c r="BL50" s="3410"/>
      <c r="BM50" s="3410"/>
      <c r="BN50" s="3410"/>
      <c r="BO50" s="3410"/>
      <c r="BP50" s="3410"/>
      <c r="BQ50" s="3410"/>
      <c r="BR50" s="3410"/>
      <c r="BS50" s="3410"/>
      <c r="BT50" s="3410"/>
      <c r="BU50" s="3410"/>
      <c r="BV50" s="3410"/>
      <c r="BW50" s="3410"/>
      <c r="BX50" s="3410"/>
      <c r="BY50" s="3410"/>
      <c r="BZ50" s="3410"/>
      <c r="CA50" s="3410"/>
      <c r="CB50" s="3410"/>
      <c r="CC50" s="3410"/>
      <c r="CD50" s="3410"/>
      <c r="CE50" s="3410"/>
      <c r="CF50" s="3410"/>
      <c r="CG50" s="3410"/>
      <c r="CH50" s="3410"/>
      <c r="CI50" s="3410"/>
      <c r="CJ50" s="3410"/>
      <c r="CK50" s="3410"/>
      <c r="CL50" s="3410"/>
      <c r="CM50" s="3410"/>
      <c r="CN50" s="3410"/>
      <c r="CO50" s="3410"/>
      <c r="CP50" s="3410"/>
      <c r="CQ50" s="3410"/>
      <c r="CR50" s="3410"/>
      <c r="CS50" s="3410"/>
      <c r="CT50" s="3410"/>
      <c r="CU50" s="3410"/>
      <c r="CV50" s="3410"/>
      <c r="CW50" s="3410"/>
      <c r="CX50" s="3410"/>
      <c r="CY50" s="3410"/>
      <c r="CZ50" s="3410"/>
      <c r="DA50" s="3410"/>
      <c r="DB50" s="3410"/>
      <c r="DC50" s="3410"/>
      <c r="DD50" s="3410"/>
      <c r="DE50" s="3410"/>
      <c r="DF50" s="3410"/>
      <c r="DG50" s="3410"/>
      <c r="DH50" s="3410"/>
      <c r="DI50" s="3410"/>
      <c r="DJ50" s="3410"/>
      <c r="DK50" s="3410"/>
      <c r="DL50" s="3410"/>
      <c r="DM50" s="3410"/>
      <c r="DN50" s="3410"/>
      <c r="DO50" s="3410"/>
      <c r="DP50" s="3410"/>
      <c r="DQ50" s="3410"/>
      <c r="DR50" s="3410"/>
      <c r="DS50" s="3410"/>
      <c r="DT50" s="3410"/>
      <c r="DU50" s="3410"/>
      <c r="DV50" s="3410"/>
      <c r="DW50" s="3410"/>
      <c r="DX50" s="3410"/>
      <c r="DY50" s="3410"/>
      <c r="DZ50" s="3410"/>
      <c r="EA50" s="3410"/>
      <c r="EB50" s="3410"/>
      <c r="EC50" s="3410"/>
      <c r="ED50" s="3410"/>
      <c r="EE50" s="3410"/>
      <c r="EF50" s="3410"/>
      <c r="EG50" s="3410"/>
      <c r="EH50" s="3410"/>
      <c r="EI50" s="3410"/>
      <c r="EJ50" s="3410"/>
      <c r="EK50" s="3410"/>
      <c r="EL50" s="3410"/>
      <c r="EM50" s="3410"/>
      <c r="EN50" s="3410"/>
      <c r="EO50" s="3410"/>
      <c r="EP50" s="3410"/>
      <c r="EQ50" s="3410"/>
      <c r="ER50" s="3410"/>
      <c r="ES50" s="3410"/>
      <c r="ET50" s="3410"/>
      <c r="EU50" s="3410"/>
      <c r="EV50" s="3410"/>
      <c r="EW50" s="3410"/>
      <c r="EX50" s="3410"/>
      <c r="EY50" s="3410"/>
      <c r="EZ50" s="3410"/>
      <c r="FA50" s="3410"/>
      <c r="FB50" s="3410"/>
      <c r="FC50" s="3410"/>
      <c r="FD50" s="3410"/>
      <c r="FE50" s="3410"/>
      <c r="FF50" s="3410"/>
      <c r="FG50" s="3410"/>
      <c r="FH50" s="3410"/>
      <c r="FI50" s="3410"/>
      <c r="FJ50" s="3410"/>
      <c r="FK50" s="3410"/>
      <c r="FL50" s="3410"/>
      <c r="FM50" s="3410"/>
      <c r="FN50" s="3410"/>
      <c r="FO50" s="3410"/>
      <c r="FP50" s="3410"/>
      <c r="FQ50" s="3410"/>
      <c r="FR50" s="3410"/>
      <c r="FS50" s="3410"/>
      <c r="FT50" s="3410"/>
      <c r="FU50" s="3410"/>
      <c r="FV50" s="3410"/>
      <c r="FW50" s="3410"/>
      <c r="FX50" s="3410"/>
      <c r="FY50" s="3410"/>
      <c r="FZ50" s="3410"/>
      <c r="GA50" s="3410"/>
      <c r="GB50" s="3410"/>
      <c r="GC50" s="3410"/>
      <c r="GD50" s="3410"/>
      <c r="GE50" s="3410"/>
      <c r="GF50" s="3410"/>
      <c r="GG50" s="3410"/>
      <c r="GH50" s="3410"/>
      <c r="GI50" s="3410"/>
      <c r="GJ50" s="3410"/>
      <c r="GK50" s="3410"/>
      <c r="GL50" s="3410"/>
      <c r="GM50" s="3410"/>
      <c r="GN50" s="3410"/>
      <c r="GO50" s="3410"/>
      <c r="GP50" s="3410"/>
      <c r="GQ50" s="3410"/>
      <c r="GR50" s="3410"/>
      <c r="GS50" s="3410"/>
      <c r="GT50" s="3410"/>
      <c r="GU50" s="3410"/>
      <c r="GV50" s="3410"/>
      <c r="GW50" s="3410"/>
      <c r="GX50" s="3410"/>
      <c r="GY50" s="3410"/>
      <c r="GZ50" s="3410"/>
      <c r="HA50" s="3410"/>
      <c r="HB50" s="3410"/>
      <c r="HC50" s="3410"/>
      <c r="HD50" s="3410"/>
      <c r="HE50" s="3410"/>
      <c r="HF50" s="3410"/>
      <c r="HG50" s="3410"/>
      <c r="HH50" s="3410"/>
      <c r="HI50" s="3410"/>
      <c r="HJ50" s="3410"/>
      <c r="HK50" s="3410"/>
      <c r="HL50" s="3410"/>
      <c r="HM50" s="3410"/>
      <c r="HN50" s="3410"/>
      <c r="HO50" s="3410"/>
      <c r="HP50" s="3410"/>
      <c r="HQ50" s="3410"/>
      <c r="HR50" s="3410"/>
      <c r="HS50" s="3410"/>
      <c r="HT50" s="3410"/>
      <c r="HU50" s="3410"/>
      <c r="HV50" s="3410"/>
      <c r="HW50" s="3410"/>
      <c r="HX50" s="3410"/>
      <c r="HY50" s="3410"/>
      <c r="HZ50" s="3410"/>
      <c r="IA50" s="3410"/>
      <c r="IB50" s="3410"/>
      <c r="IC50" s="3410"/>
      <c r="ID50" s="3410"/>
      <c r="IE50" s="3410"/>
      <c r="IF50" s="3410"/>
      <c r="IG50" s="3410"/>
      <c r="IH50" s="3410"/>
      <c r="II50" s="3410"/>
      <c r="IJ50" s="3410"/>
      <c r="IK50" s="3410"/>
      <c r="IL50" s="3410"/>
      <c r="IM50" s="3410"/>
      <c r="IN50" s="3410"/>
      <c r="IO50" s="3410"/>
      <c r="IP50" s="3410"/>
      <c r="IQ50" s="3410"/>
      <c r="IR50" s="3410"/>
      <c r="IS50" s="3410"/>
      <c r="IT50" s="3410"/>
      <c r="IU50" s="3410"/>
      <c r="IV50" s="3410"/>
    </row>
    <row r="51" spans="1:256" s="3409" customFormat="1" ht="20.100000000000001" customHeight="1">
      <c r="A51" s="3410" t="s">
        <v>2727</v>
      </c>
      <c r="B51" s="3410" t="s">
        <v>2762</v>
      </c>
      <c r="C51" s="3410"/>
      <c r="D51" s="3410"/>
      <c r="E51" s="3410"/>
      <c r="F51" s="3410"/>
      <c r="G51" s="3410"/>
      <c r="H51" s="3410"/>
      <c r="I51" s="3410"/>
      <c r="J51" s="3410"/>
      <c r="K51" s="3410"/>
      <c r="L51" s="3410"/>
      <c r="M51" s="3410"/>
      <c r="N51" s="3410"/>
      <c r="O51" s="3410"/>
      <c r="P51" s="3410"/>
      <c r="Q51" s="3410"/>
      <c r="R51" s="3410"/>
      <c r="S51" s="3410"/>
      <c r="T51" s="3410"/>
      <c r="U51" s="3410"/>
      <c r="V51" s="3410"/>
      <c r="W51" s="3410"/>
      <c r="X51" s="3410"/>
      <c r="Y51" s="3410"/>
      <c r="Z51" s="3410"/>
      <c r="AA51" s="3410"/>
      <c r="AB51" s="3410"/>
      <c r="AC51" s="3410"/>
      <c r="AD51" s="3410"/>
      <c r="AE51" s="3410"/>
      <c r="AF51" s="3410"/>
      <c r="AG51" s="3410"/>
      <c r="AH51" s="3410"/>
      <c r="AI51" s="3410"/>
      <c r="AJ51" s="3410"/>
      <c r="AK51" s="3410"/>
      <c r="AL51" s="3410"/>
      <c r="AM51" s="3410"/>
      <c r="AN51" s="3410"/>
      <c r="AO51" s="3410"/>
      <c r="AP51" s="3410"/>
      <c r="AQ51" s="3410"/>
      <c r="AR51" s="3410"/>
      <c r="AS51" s="3410"/>
      <c r="AT51" s="3410"/>
      <c r="AU51" s="3410"/>
      <c r="AV51" s="3410"/>
      <c r="AW51" s="3410"/>
      <c r="AX51" s="3410"/>
      <c r="AY51" s="3410"/>
      <c r="AZ51" s="3410"/>
      <c r="BA51" s="3410"/>
      <c r="BB51" s="3410"/>
      <c r="BC51" s="3410"/>
      <c r="BD51" s="3410"/>
      <c r="BE51" s="3410"/>
      <c r="BF51" s="3410"/>
      <c r="BG51" s="3410"/>
      <c r="BH51" s="3410"/>
      <c r="BI51" s="3410"/>
      <c r="BJ51" s="3410"/>
      <c r="BK51" s="3410"/>
      <c r="BL51" s="3410"/>
      <c r="BM51" s="3410"/>
      <c r="BN51" s="3410"/>
      <c r="BO51" s="3410"/>
      <c r="BP51" s="3410"/>
      <c r="BQ51" s="3410"/>
      <c r="BR51" s="3410"/>
      <c r="BS51" s="3410"/>
      <c r="BT51" s="3410"/>
      <c r="BU51" s="3410"/>
      <c r="BV51" s="3410"/>
      <c r="BW51" s="3410"/>
      <c r="BX51" s="3410"/>
      <c r="BY51" s="3410"/>
      <c r="BZ51" s="3410"/>
      <c r="CA51" s="3410"/>
      <c r="CB51" s="3410"/>
      <c r="CC51" s="3410"/>
      <c r="CD51" s="3410"/>
      <c r="CE51" s="3410"/>
      <c r="CF51" s="3410"/>
      <c r="CG51" s="3410"/>
      <c r="CH51" s="3410"/>
      <c r="CI51" s="3410"/>
      <c r="CJ51" s="3410"/>
      <c r="CK51" s="3410"/>
      <c r="CL51" s="3410"/>
      <c r="CM51" s="3410"/>
      <c r="CN51" s="3410"/>
      <c r="CO51" s="3410"/>
      <c r="CP51" s="3410"/>
      <c r="CQ51" s="3410"/>
      <c r="CR51" s="3410"/>
      <c r="CS51" s="3410"/>
      <c r="CT51" s="3410"/>
      <c r="CU51" s="3410"/>
      <c r="CV51" s="3410"/>
      <c r="CW51" s="3410"/>
      <c r="CX51" s="3410"/>
      <c r="CY51" s="3410"/>
      <c r="CZ51" s="3410"/>
      <c r="DA51" s="3410"/>
      <c r="DB51" s="3410"/>
      <c r="DC51" s="3410"/>
      <c r="DD51" s="3410"/>
      <c r="DE51" s="3410"/>
      <c r="DF51" s="3410"/>
      <c r="DG51" s="3410"/>
      <c r="DH51" s="3410"/>
      <c r="DI51" s="3410"/>
      <c r="DJ51" s="3410"/>
      <c r="DK51" s="3410"/>
      <c r="DL51" s="3410"/>
      <c r="DM51" s="3410"/>
      <c r="DN51" s="3410"/>
      <c r="DO51" s="3410"/>
      <c r="DP51" s="3410"/>
      <c r="DQ51" s="3410"/>
      <c r="DR51" s="3410"/>
      <c r="DS51" s="3410"/>
      <c r="DT51" s="3410"/>
      <c r="DU51" s="3410"/>
      <c r="DV51" s="3410"/>
      <c r="DW51" s="3410"/>
      <c r="DX51" s="3410"/>
      <c r="DY51" s="3410"/>
      <c r="DZ51" s="3410"/>
      <c r="EA51" s="3410"/>
      <c r="EB51" s="3410"/>
      <c r="EC51" s="3410"/>
      <c r="ED51" s="3410"/>
      <c r="EE51" s="3410"/>
      <c r="EF51" s="3410"/>
      <c r="EG51" s="3410"/>
      <c r="EH51" s="3410"/>
      <c r="EI51" s="3410"/>
      <c r="EJ51" s="3410"/>
      <c r="EK51" s="3410"/>
      <c r="EL51" s="3410"/>
      <c r="EM51" s="3410"/>
      <c r="EN51" s="3410"/>
      <c r="EO51" s="3410"/>
      <c r="EP51" s="3410"/>
      <c r="EQ51" s="3410"/>
      <c r="ER51" s="3410"/>
      <c r="ES51" s="3410"/>
      <c r="ET51" s="3410"/>
      <c r="EU51" s="3410"/>
      <c r="EV51" s="3410"/>
      <c r="EW51" s="3410"/>
      <c r="EX51" s="3410"/>
      <c r="EY51" s="3410"/>
      <c r="EZ51" s="3410"/>
      <c r="FA51" s="3410"/>
      <c r="FB51" s="3410"/>
      <c r="FC51" s="3410"/>
      <c r="FD51" s="3410"/>
      <c r="FE51" s="3410"/>
      <c r="FF51" s="3410"/>
      <c r="FG51" s="3410"/>
      <c r="FH51" s="3410"/>
      <c r="FI51" s="3410"/>
      <c r="FJ51" s="3410"/>
      <c r="FK51" s="3410"/>
      <c r="FL51" s="3410"/>
      <c r="FM51" s="3410"/>
      <c r="FN51" s="3410"/>
      <c r="FO51" s="3410"/>
      <c r="FP51" s="3410"/>
      <c r="FQ51" s="3410"/>
      <c r="FR51" s="3410"/>
      <c r="FS51" s="3410"/>
      <c r="FT51" s="3410"/>
      <c r="FU51" s="3410"/>
      <c r="FV51" s="3410"/>
      <c r="FW51" s="3410"/>
      <c r="FX51" s="3410"/>
      <c r="FY51" s="3410"/>
      <c r="FZ51" s="3410"/>
      <c r="GA51" s="3410"/>
      <c r="GB51" s="3410"/>
      <c r="GC51" s="3410"/>
      <c r="GD51" s="3410"/>
      <c r="GE51" s="3410"/>
      <c r="GF51" s="3410"/>
      <c r="GG51" s="3410"/>
      <c r="GH51" s="3410"/>
      <c r="GI51" s="3410"/>
      <c r="GJ51" s="3410"/>
      <c r="GK51" s="3410"/>
      <c r="GL51" s="3410"/>
      <c r="GM51" s="3410"/>
      <c r="GN51" s="3410"/>
      <c r="GO51" s="3410"/>
      <c r="GP51" s="3410"/>
      <c r="GQ51" s="3410"/>
      <c r="GR51" s="3410"/>
      <c r="GS51" s="3410"/>
      <c r="GT51" s="3410"/>
      <c r="GU51" s="3410"/>
      <c r="GV51" s="3410"/>
      <c r="GW51" s="3410"/>
      <c r="GX51" s="3410"/>
      <c r="GY51" s="3410"/>
      <c r="GZ51" s="3410"/>
      <c r="HA51" s="3410"/>
      <c r="HB51" s="3410"/>
      <c r="HC51" s="3410"/>
      <c r="HD51" s="3410"/>
      <c r="HE51" s="3410"/>
      <c r="HF51" s="3410"/>
      <c r="HG51" s="3410"/>
      <c r="HH51" s="3410"/>
      <c r="HI51" s="3410"/>
      <c r="HJ51" s="3410"/>
      <c r="HK51" s="3410"/>
      <c r="HL51" s="3410"/>
      <c r="HM51" s="3410"/>
      <c r="HN51" s="3410"/>
      <c r="HO51" s="3410"/>
      <c r="HP51" s="3410"/>
      <c r="HQ51" s="3410"/>
      <c r="HR51" s="3410"/>
      <c r="HS51" s="3410"/>
      <c r="HT51" s="3410"/>
      <c r="HU51" s="3410"/>
      <c r="HV51" s="3410"/>
      <c r="HW51" s="3410"/>
      <c r="HX51" s="3410"/>
      <c r="HY51" s="3410"/>
      <c r="HZ51" s="3410"/>
      <c r="IA51" s="3410"/>
      <c r="IB51" s="3410"/>
      <c r="IC51" s="3410"/>
      <c r="ID51" s="3410"/>
      <c r="IE51" s="3410"/>
      <c r="IF51" s="3410"/>
      <c r="IG51" s="3410"/>
      <c r="IH51" s="3410"/>
      <c r="II51" s="3410"/>
      <c r="IJ51" s="3410"/>
      <c r="IK51" s="3410"/>
      <c r="IL51" s="3410"/>
      <c r="IM51" s="3410"/>
      <c r="IN51" s="3410"/>
      <c r="IO51" s="3410"/>
      <c r="IP51" s="3410"/>
      <c r="IQ51" s="3410"/>
      <c r="IR51" s="3410"/>
      <c r="IS51" s="3410"/>
      <c r="IT51" s="3410"/>
      <c r="IU51" s="3410"/>
      <c r="IV51" s="3410"/>
    </row>
    <row r="52" spans="1:256" s="3409" customFormat="1" ht="20.100000000000001" customHeight="1">
      <c r="A52" s="3410"/>
      <c r="B52" s="3410" t="s">
        <v>2763</v>
      </c>
      <c r="C52" s="3410"/>
      <c r="D52" s="3410"/>
      <c r="E52" s="3410"/>
      <c r="F52" s="3410"/>
      <c r="G52" s="3410"/>
      <c r="H52" s="3410"/>
      <c r="I52" s="3410"/>
      <c r="J52" s="3410"/>
      <c r="K52" s="3410"/>
      <c r="L52" s="3410"/>
      <c r="M52" s="3410"/>
      <c r="N52" s="3410"/>
      <c r="O52" s="3410"/>
      <c r="P52" s="3410"/>
      <c r="Q52" s="3410"/>
      <c r="R52" s="3410"/>
      <c r="S52" s="3410"/>
      <c r="T52" s="3410"/>
      <c r="U52" s="3410"/>
      <c r="V52" s="3410"/>
      <c r="W52" s="3410"/>
      <c r="X52" s="3410"/>
      <c r="Y52" s="3410"/>
      <c r="Z52" s="3410"/>
      <c r="AA52" s="3410"/>
      <c r="AB52" s="3410"/>
      <c r="AC52" s="3410"/>
      <c r="AD52" s="3410"/>
      <c r="AE52" s="3410"/>
      <c r="AF52" s="3410"/>
      <c r="AG52" s="3410"/>
      <c r="AH52" s="3410"/>
      <c r="AI52" s="3410"/>
      <c r="AJ52" s="3410"/>
      <c r="AK52" s="3410"/>
      <c r="AL52" s="3410"/>
      <c r="AM52" s="3410"/>
      <c r="AN52" s="3410"/>
      <c r="AO52" s="3410"/>
      <c r="AP52" s="3410"/>
      <c r="AQ52" s="3410"/>
      <c r="AR52" s="3410"/>
      <c r="AS52" s="3410"/>
      <c r="AT52" s="3410"/>
      <c r="AU52" s="3410"/>
      <c r="AV52" s="3410"/>
      <c r="AW52" s="3410"/>
      <c r="AX52" s="3410"/>
      <c r="AY52" s="3410"/>
      <c r="AZ52" s="3410"/>
      <c r="BA52" s="3410"/>
      <c r="BB52" s="3410"/>
      <c r="BC52" s="3410"/>
      <c r="BD52" s="3410"/>
      <c r="BE52" s="3410"/>
      <c r="BF52" s="3410"/>
      <c r="BG52" s="3410"/>
      <c r="BH52" s="3410"/>
      <c r="BI52" s="3410"/>
      <c r="BJ52" s="3410"/>
      <c r="BK52" s="3410"/>
      <c r="BL52" s="3410"/>
      <c r="BM52" s="3410"/>
      <c r="BN52" s="3410"/>
      <c r="BO52" s="3410"/>
      <c r="BP52" s="3410"/>
      <c r="BQ52" s="3410"/>
      <c r="BR52" s="3410"/>
      <c r="BS52" s="3410"/>
      <c r="BT52" s="3410"/>
      <c r="BU52" s="3410"/>
      <c r="BV52" s="3410"/>
      <c r="BW52" s="3410"/>
      <c r="BX52" s="3410"/>
      <c r="BY52" s="3410"/>
      <c r="BZ52" s="3410"/>
      <c r="CA52" s="3410"/>
      <c r="CB52" s="3410"/>
      <c r="CC52" s="3410"/>
      <c r="CD52" s="3410"/>
      <c r="CE52" s="3410"/>
      <c r="CF52" s="3410"/>
      <c r="CG52" s="3410"/>
      <c r="CH52" s="3410"/>
      <c r="CI52" s="3410"/>
      <c r="CJ52" s="3410"/>
      <c r="CK52" s="3410"/>
      <c r="CL52" s="3410"/>
      <c r="CM52" s="3410"/>
      <c r="CN52" s="3410"/>
      <c r="CO52" s="3410"/>
      <c r="CP52" s="3410"/>
      <c r="CQ52" s="3410"/>
      <c r="CR52" s="3410"/>
      <c r="CS52" s="3410"/>
      <c r="CT52" s="3410"/>
      <c r="CU52" s="3410"/>
      <c r="CV52" s="3410"/>
      <c r="CW52" s="3410"/>
      <c r="CX52" s="3410"/>
      <c r="CY52" s="3410"/>
      <c r="CZ52" s="3410"/>
      <c r="DA52" s="3410"/>
      <c r="DB52" s="3410"/>
      <c r="DC52" s="3410"/>
      <c r="DD52" s="3410"/>
      <c r="DE52" s="3410"/>
      <c r="DF52" s="3410"/>
      <c r="DG52" s="3410"/>
      <c r="DH52" s="3410"/>
      <c r="DI52" s="3410"/>
      <c r="DJ52" s="3410"/>
      <c r="DK52" s="3410"/>
      <c r="DL52" s="3410"/>
      <c r="DM52" s="3410"/>
      <c r="DN52" s="3410"/>
      <c r="DO52" s="3410"/>
      <c r="DP52" s="3410"/>
      <c r="DQ52" s="3410"/>
      <c r="DR52" s="3410"/>
      <c r="DS52" s="3410"/>
      <c r="DT52" s="3410"/>
      <c r="DU52" s="3410"/>
      <c r="DV52" s="3410"/>
      <c r="DW52" s="3410"/>
      <c r="DX52" s="3410"/>
      <c r="DY52" s="3410"/>
      <c r="DZ52" s="3410"/>
      <c r="EA52" s="3410"/>
      <c r="EB52" s="3410"/>
      <c r="EC52" s="3410"/>
      <c r="ED52" s="3410"/>
      <c r="EE52" s="3410"/>
      <c r="EF52" s="3410"/>
      <c r="EG52" s="3410"/>
      <c r="EH52" s="3410"/>
      <c r="EI52" s="3410"/>
      <c r="EJ52" s="3410"/>
      <c r="EK52" s="3410"/>
      <c r="EL52" s="3410"/>
      <c r="EM52" s="3410"/>
      <c r="EN52" s="3410"/>
      <c r="EO52" s="3410"/>
      <c r="EP52" s="3410"/>
      <c r="EQ52" s="3410"/>
      <c r="ER52" s="3410"/>
      <c r="ES52" s="3410"/>
      <c r="ET52" s="3410"/>
      <c r="EU52" s="3410"/>
      <c r="EV52" s="3410"/>
      <c r="EW52" s="3410"/>
      <c r="EX52" s="3410"/>
      <c r="EY52" s="3410"/>
      <c r="EZ52" s="3410"/>
      <c r="FA52" s="3410"/>
      <c r="FB52" s="3410"/>
      <c r="FC52" s="3410"/>
      <c r="FD52" s="3410"/>
      <c r="FE52" s="3410"/>
      <c r="FF52" s="3410"/>
      <c r="FG52" s="3410"/>
      <c r="FH52" s="3410"/>
      <c r="FI52" s="3410"/>
      <c r="FJ52" s="3410"/>
      <c r="FK52" s="3410"/>
      <c r="FL52" s="3410"/>
      <c r="FM52" s="3410"/>
      <c r="FN52" s="3410"/>
      <c r="FO52" s="3410"/>
      <c r="FP52" s="3410"/>
      <c r="FQ52" s="3410"/>
      <c r="FR52" s="3410"/>
      <c r="FS52" s="3410"/>
      <c r="FT52" s="3410"/>
      <c r="FU52" s="3410"/>
      <c r="FV52" s="3410"/>
      <c r="FW52" s="3410"/>
      <c r="FX52" s="3410"/>
      <c r="FY52" s="3410"/>
      <c r="FZ52" s="3410"/>
      <c r="GA52" s="3410"/>
      <c r="GB52" s="3410"/>
      <c r="GC52" s="3410"/>
      <c r="GD52" s="3410"/>
      <c r="GE52" s="3410"/>
      <c r="GF52" s="3410"/>
      <c r="GG52" s="3410"/>
      <c r="GH52" s="3410"/>
      <c r="GI52" s="3410"/>
      <c r="GJ52" s="3410"/>
      <c r="GK52" s="3410"/>
      <c r="GL52" s="3410"/>
      <c r="GM52" s="3410"/>
      <c r="GN52" s="3410"/>
      <c r="GO52" s="3410"/>
      <c r="GP52" s="3410"/>
      <c r="GQ52" s="3410"/>
      <c r="GR52" s="3410"/>
      <c r="GS52" s="3410"/>
      <c r="GT52" s="3410"/>
      <c r="GU52" s="3410"/>
      <c r="GV52" s="3410"/>
      <c r="GW52" s="3410"/>
      <c r="GX52" s="3410"/>
      <c r="GY52" s="3410"/>
      <c r="GZ52" s="3410"/>
      <c r="HA52" s="3410"/>
      <c r="HB52" s="3410"/>
      <c r="HC52" s="3410"/>
      <c r="HD52" s="3410"/>
      <c r="HE52" s="3410"/>
      <c r="HF52" s="3410"/>
      <c r="HG52" s="3410"/>
      <c r="HH52" s="3410"/>
      <c r="HI52" s="3410"/>
      <c r="HJ52" s="3410"/>
      <c r="HK52" s="3410"/>
      <c r="HL52" s="3410"/>
      <c r="HM52" s="3410"/>
      <c r="HN52" s="3410"/>
      <c r="HO52" s="3410"/>
      <c r="HP52" s="3410"/>
      <c r="HQ52" s="3410"/>
      <c r="HR52" s="3410"/>
      <c r="HS52" s="3410"/>
      <c r="HT52" s="3410"/>
      <c r="HU52" s="3410"/>
      <c r="HV52" s="3410"/>
      <c r="HW52" s="3410"/>
      <c r="HX52" s="3410"/>
      <c r="HY52" s="3410"/>
      <c r="HZ52" s="3410"/>
      <c r="IA52" s="3410"/>
      <c r="IB52" s="3410"/>
      <c r="IC52" s="3410"/>
      <c r="ID52" s="3410"/>
      <c r="IE52" s="3410"/>
      <c r="IF52" s="3410"/>
      <c r="IG52" s="3410"/>
      <c r="IH52" s="3410"/>
      <c r="II52" s="3410"/>
      <c r="IJ52" s="3410"/>
      <c r="IK52" s="3410"/>
      <c r="IL52" s="3410"/>
      <c r="IM52" s="3410"/>
      <c r="IN52" s="3410"/>
      <c r="IO52" s="3410"/>
      <c r="IP52" s="3410"/>
      <c r="IQ52" s="3410"/>
      <c r="IR52" s="3410"/>
      <c r="IS52" s="3410"/>
      <c r="IT52" s="3410"/>
      <c r="IU52" s="3410"/>
      <c r="IV52" s="3410"/>
    </row>
    <row r="53" spans="1:256" s="3409" customFormat="1" ht="20.100000000000001" customHeight="1">
      <c r="A53" s="3410"/>
      <c r="B53" s="3410"/>
      <c r="C53" s="3410"/>
      <c r="D53" s="3410"/>
      <c r="E53" s="3410"/>
      <c r="F53" s="3410"/>
      <c r="G53" s="3410"/>
      <c r="H53" s="3410"/>
      <c r="I53" s="3410"/>
      <c r="J53" s="3410"/>
      <c r="K53" s="3410"/>
      <c r="L53" s="3410"/>
      <c r="M53" s="3410"/>
      <c r="N53" s="3410"/>
      <c r="O53" s="3410"/>
      <c r="P53" s="3410"/>
      <c r="Q53" s="3410"/>
      <c r="R53" s="3410"/>
      <c r="S53" s="3410"/>
      <c r="T53" s="3410"/>
      <c r="U53" s="3410"/>
      <c r="V53" s="3410"/>
      <c r="W53" s="3410"/>
      <c r="X53" s="3410"/>
      <c r="Y53" s="3410"/>
      <c r="Z53" s="3410"/>
      <c r="AA53" s="3410"/>
      <c r="AB53" s="3410"/>
      <c r="AC53" s="3410"/>
      <c r="AD53" s="3410"/>
      <c r="AE53" s="3410"/>
      <c r="AF53" s="3410"/>
      <c r="AG53" s="3410"/>
      <c r="AH53" s="3410"/>
      <c r="AI53" s="3410"/>
      <c r="AJ53" s="3410"/>
      <c r="AK53" s="3410"/>
      <c r="AL53" s="3410"/>
      <c r="AM53" s="3410"/>
      <c r="AN53" s="3410"/>
      <c r="AO53" s="3410"/>
      <c r="AP53" s="3410"/>
      <c r="AQ53" s="3410"/>
      <c r="AR53" s="3410"/>
      <c r="AS53" s="3410"/>
      <c r="AT53" s="3410"/>
      <c r="AU53" s="3410"/>
      <c r="AV53" s="3410"/>
      <c r="AW53" s="3410"/>
      <c r="AX53" s="3410"/>
      <c r="AY53" s="3410"/>
      <c r="AZ53" s="3410"/>
      <c r="BA53" s="3410"/>
      <c r="BB53" s="3410"/>
      <c r="BC53" s="3410"/>
      <c r="BD53" s="3410"/>
      <c r="BE53" s="3410"/>
      <c r="BF53" s="3410"/>
      <c r="BG53" s="3410"/>
      <c r="BH53" s="3410"/>
      <c r="BI53" s="3410"/>
      <c r="BJ53" s="3410"/>
      <c r="BK53" s="3410"/>
      <c r="BL53" s="3410"/>
      <c r="BM53" s="3410"/>
      <c r="BN53" s="3410"/>
      <c r="BO53" s="3410"/>
      <c r="BP53" s="3410"/>
      <c r="BQ53" s="3410"/>
      <c r="BR53" s="3410"/>
      <c r="BS53" s="3410"/>
      <c r="BT53" s="3410"/>
      <c r="BU53" s="3410"/>
      <c r="BV53" s="3410"/>
      <c r="BW53" s="3410"/>
      <c r="BX53" s="3410"/>
      <c r="BY53" s="3410"/>
      <c r="BZ53" s="3410"/>
      <c r="CA53" s="3410"/>
      <c r="CB53" s="3410"/>
      <c r="CC53" s="3410"/>
      <c r="CD53" s="3410"/>
      <c r="CE53" s="3410"/>
      <c r="CF53" s="3410"/>
      <c r="CG53" s="3410"/>
      <c r="CH53" s="3410"/>
      <c r="CI53" s="3410"/>
      <c r="CJ53" s="3410"/>
      <c r="CK53" s="3410"/>
      <c r="CL53" s="3410"/>
      <c r="CM53" s="3410"/>
      <c r="CN53" s="3410"/>
      <c r="CO53" s="3410"/>
      <c r="CP53" s="3410"/>
      <c r="CQ53" s="3410"/>
      <c r="CR53" s="3410"/>
      <c r="CS53" s="3410"/>
      <c r="CT53" s="3410"/>
      <c r="CU53" s="3410"/>
      <c r="CV53" s="3410"/>
      <c r="CW53" s="3410"/>
      <c r="CX53" s="3410"/>
      <c r="CY53" s="3410"/>
      <c r="CZ53" s="3410"/>
      <c r="DA53" s="3410"/>
      <c r="DB53" s="3410"/>
      <c r="DC53" s="3410"/>
      <c r="DD53" s="3410"/>
      <c r="DE53" s="3410"/>
      <c r="DF53" s="3410"/>
      <c r="DG53" s="3410"/>
      <c r="DH53" s="3410"/>
      <c r="DI53" s="3410"/>
      <c r="DJ53" s="3410"/>
      <c r="DK53" s="3410"/>
      <c r="DL53" s="3410"/>
      <c r="DM53" s="3410"/>
      <c r="DN53" s="3410"/>
      <c r="DO53" s="3410"/>
      <c r="DP53" s="3410"/>
      <c r="DQ53" s="3410"/>
      <c r="DR53" s="3410"/>
      <c r="DS53" s="3410"/>
      <c r="DT53" s="3410"/>
      <c r="DU53" s="3410"/>
      <c r="DV53" s="3410"/>
      <c r="DW53" s="3410"/>
      <c r="DX53" s="3410"/>
      <c r="DY53" s="3410"/>
      <c r="DZ53" s="3410"/>
      <c r="EA53" s="3410"/>
      <c r="EB53" s="3410"/>
      <c r="EC53" s="3410"/>
      <c r="ED53" s="3410"/>
      <c r="EE53" s="3410"/>
      <c r="EF53" s="3410"/>
      <c r="EG53" s="3410"/>
      <c r="EH53" s="3410"/>
      <c r="EI53" s="3410"/>
      <c r="EJ53" s="3410"/>
      <c r="EK53" s="3410"/>
      <c r="EL53" s="3410"/>
      <c r="EM53" s="3410"/>
      <c r="EN53" s="3410"/>
      <c r="EO53" s="3410"/>
      <c r="EP53" s="3410"/>
      <c r="EQ53" s="3410"/>
      <c r="ER53" s="3410"/>
      <c r="ES53" s="3410"/>
      <c r="ET53" s="3410"/>
      <c r="EU53" s="3410"/>
      <c r="EV53" s="3410"/>
      <c r="EW53" s="3410"/>
      <c r="EX53" s="3410"/>
      <c r="EY53" s="3410"/>
      <c r="EZ53" s="3410"/>
      <c r="FA53" s="3410"/>
      <c r="FB53" s="3410"/>
      <c r="FC53" s="3410"/>
      <c r="FD53" s="3410"/>
      <c r="FE53" s="3410"/>
      <c r="FF53" s="3410"/>
      <c r="FG53" s="3410"/>
      <c r="FH53" s="3410"/>
      <c r="FI53" s="3410"/>
      <c r="FJ53" s="3410"/>
      <c r="FK53" s="3410"/>
      <c r="FL53" s="3410"/>
      <c r="FM53" s="3410"/>
      <c r="FN53" s="3410"/>
      <c r="FO53" s="3410"/>
      <c r="FP53" s="3410"/>
      <c r="FQ53" s="3410"/>
      <c r="FR53" s="3410"/>
      <c r="FS53" s="3410"/>
      <c r="FT53" s="3410"/>
      <c r="FU53" s="3410"/>
      <c r="FV53" s="3410"/>
      <c r="FW53" s="3410"/>
      <c r="FX53" s="3410"/>
      <c r="FY53" s="3410"/>
      <c r="FZ53" s="3410"/>
      <c r="GA53" s="3410"/>
      <c r="GB53" s="3410"/>
      <c r="GC53" s="3410"/>
      <c r="GD53" s="3410"/>
      <c r="GE53" s="3410"/>
      <c r="GF53" s="3410"/>
      <c r="GG53" s="3410"/>
      <c r="GH53" s="3410"/>
      <c r="GI53" s="3410"/>
      <c r="GJ53" s="3410"/>
      <c r="GK53" s="3410"/>
      <c r="GL53" s="3410"/>
      <c r="GM53" s="3410"/>
      <c r="GN53" s="3410"/>
      <c r="GO53" s="3410"/>
      <c r="GP53" s="3410"/>
      <c r="GQ53" s="3410"/>
      <c r="GR53" s="3410"/>
      <c r="GS53" s="3410"/>
      <c r="GT53" s="3410"/>
      <c r="GU53" s="3410"/>
      <c r="GV53" s="3410"/>
      <c r="GW53" s="3410"/>
      <c r="GX53" s="3410"/>
      <c r="GY53" s="3410"/>
      <c r="GZ53" s="3410"/>
      <c r="HA53" s="3410"/>
      <c r="HB53" s="3410"/>
      <c r="HC53" s="3410"/>
      <c r="HD53" s="3410"/>
      <c r="HE53" s="3410"/>
      <c r="HF53" s="3410"/>
      <c r="HG53" s="3410"/>
      <c r="HH53" s="3410"/>
      <c r="HI53" s="3410"/>
      <c r="HJ53" s="3410"/>
      <c r="HK53" s="3410"/>
      <c r="HL53" s="3410"/>
      <c r="HM53" s="3410"/>
      <c r="HN53" s="3410"/>
      <c r="HO53" s="3410"/>
      <c r="HP53" s="3410"/>
      <c r="HQ53" s="3410"/>
      <c r="HR53" s="3410"/>
      <c r="HS53" s="3410"/>
      <c r="HT53" s="3410"/>
      <c r="HU53" s="3410"/>
      <c r="HV53" s="3410"/>
      <c r="HW53" s="3410"/>
      <c r="HX53" s="3410"/>
      <c r="HY53" s="3410"/>
      <c r="HZ53" s="3410"/>
      <c r="IA53" s="3410"/>
      <c r="IB53" s="3410"/>
      <c r="IC53" s="3410"/>
      <c r="ID53" s="3410"/>
      <c r="IE53" s="3410"/>
      <c r="IF53" s="3410"/>
      <c r="IG53" s="3410"/>
      <c r="IH53" s="3410"/>
      <c r="II53" s="3410"/>
      <c r="IJ53" s="3410"/>
      <c r="IK53" s="3410"/>
      <c r="IL53" s="3410"/>
      <c r="IM53" s="3410"/>
      <c r="IN53" s="3410"/>
      <c r="IO53" s="3410"/>
      <c r="IP53" s="3410"/>
      <c r="IQ53" s="3410"/>
      <c r="IR53" s="3410"/>
      <c r="IS53" s="3410"/>
      <c r="IT53" s="3410"/>
      <c r="IU53" s="3410"/>
      <c r="IV53" s="3410"/>
    </row>
    <row r="54" spans="1:256" s="3409" customFormat="1" ht="20.100000000000001" customHeight="1">
      <c r="A54" s="3410"/>
      <c r="B54" s="3410"/>
      <c r="C54" s="3410"/>
      <c r="D54" s="4779" t="s">
        <v>2764</v>
      </c>
      <c r="E54" s="4779"/>
      <c r="F54" s="4779"/>
      <c r="G54" s="4779"/>
      <c r="H54" s="4779"/>
      <c r="I54" s="4779"/>
      <c r="J54" s="4779"/>
      <c r="K54" s="4779"/>
      <c r="L54" s="4779"/>
      <c r="M54" s="3410"/>
      <c r="N54" s="3410"/>
      <c r="O54" s="3410"/>
      <c r="P54" s="3410"/>
      <c r="Q54" s="3410"/>
      <c r="R54" s="3410"/>
      <c r="S54" s="3410"/>
      <c r="T54" s="3410"/>
      <c r="U54" s="3410"/>
      <c r="V54" s="3410"/>
      <c r="W54" s="3410"/>
      <c r="X54" s="3410"/>
      <c r="Y54" s="3410"/>
      <c r="Z54" s="3410"/>
      <c r="AA54" s="3410"/>
      <c r="AB54" s="3410"/>
      <c r="AC54" s="3410"/>
      <c r="AD54" s="3410"/>
      <c r="AE54" s="3410"/>
      <c r="AF54" s="3410"/>
      <c r="AG54" s="3410"/>
      <c r="AH54" s="3410"/>
      <c r="AI54" s="3410"/>
      <c r="AJ54" s="3410"/>
      <c r="AK54" s="3410"/>
      <c r="AL54" s="3410"/>
      <c r="AM54" s="3410"/>
      <c r="AN54" s="3410"/>
      <c r="AO54" s="3410"/>
      <c r="AP54" s="3410"/>
      <c r="AQ54" s="3410"/>
      <c r="AR54" s="3410"/>
      <c r="AS54" s="3410"/>
      <c r="AT54" s="3410"/>
      <c r="AU54" s="3410"/>
      <c r="AV54" s="3410"/>
      <c r="AW54" s="3410"/>
      <c r="AX54" s="3410"/>
      <c r="AY54" s="3410"/>
      <c r="AZ54" s="3410"/>
      <c r="BA54" s="3410"/>
      <c r="BB54" s="3410"/>
      <c r="BC54" s="3410"/>
      <c r="BD54" s="3410"/>
      <c r="BE54" s="3410"/>
      <c r="BF54" s="3410"/>
      <c r="BG54" s="3410"/>
      <c r="BH54" s="3410"/>
      <c r="BI54" s="3410"/>
      <c r="BJ54" s="3410"/>
      <c r="BK54" s="3410"/>
      <c r="BL54" s="3410"/>
      <c r="BM54" s="3410"/>
      <c r="BN54" s="3410"/>
      <c r="BO54" s="3410"/>
      <c r="BP54" s="3410"/>
      <c r="BQ54" s="3410"/>
      <c r="BR54" s="3410"/>
      <c r="BS54" s="3410"/>
      <c r="BT54" s="3410"/>
      <c r="BU54" s="3410"/>
      <c r="BV54" s="3410"/>
      <c r="BW54" s="3410"/>
      <c r="BX54" s="3410"/>
      <c r="BY54" s="3410"/>
      <c r="BZ54" s="3410"/>
      <c r="CA54" s="3410"/>
      <c r="CB54" s="3410"/>
      <c r="CC54" s="3410"/>
      <c r="CD54" s="3410"/>
      <c r="CE54" s="3410"/>
      <c r="CF54" s="3410"/>
      <c r="CG54" s="3410"/>
      <c r="CH54" s="3410"/>
      <c r="CI54" s="3410"/>
      <c r="CJ54" s="3410"/>
      <c r="CK54" s="3410"/>
      <c r="CL54" s="3410"/>
      <c r="CM54" s="3410"/>
      <c r="CN54" s="3410"/>
      <c r="CO54" s="3410"/>
      <c r="CP54" s="3410"/>
      <c r="CQ54" s="3410"/>
      <c r="CR54" s="3410"/>
      <c r="CS54" s="3410"/>
      <c r="CT54" s="3410"/>
      <c r="CU54" s="3410"/>
      <c r="CV54" s="3410"/>
      <c r="CW54" s="3410"/>
      <c r="CX54" s="3410"/>
      <c r="CY54" s="3410"/>
      <c r="CZ54" s="3410"/>
      <c r="DA54" s="3410"/>
      <c r="DB54" s="3410"/>
      <c r="DC54" s="3410"/>
      <c r="DD54" s="3410"/>
      <c r="DE54" s="3410"/>
      <c r="DF54" s="3410"/>
      <c r="DG54" s="3410"/>
      <c r="DH54" s="3410"/>
      <c r="DI54" s="3410"/>
      <c r="DJ54" s="3410"/>
      <c r="DK54" s="3410"/>
      <c r="DL54" s="3410"/>
      <c r="DM54" s="3410"/>
      <c r="DN54" s="3410"/>
      <c r="DO54" s="3410"/>
      <c r="DP54" s="3410"/>
      <c r="DQ54" s="3410"/>
      <c r="DR54" s="3410"/>
      <c r="DS54" s="3410"/>
      <c r="DT54" s="3410"/>
      <c r="DU54" s="3410"/>
      <c r="DV54" s="3410"/>
      <c r="DW54" s="3410"/>
      <c r="DX54" s="3410"/>
      <c r="DY54" s="3410"/>
      <c r="DZ54" s="3410"/>
      <c r="EA54" s="3410"/>
      <c r="EB54" s="3410"/>
      <c r="EC54" s="3410"/>
      <c r="ED54" s="3410"/>
      <c r="EE54" s="3410"/>
      <c r="EF54" s="3410"/>
      <c r="EG54" s="3410"/>
      <c r="EH54" s="3410"/>
      <c r="EI54" s="3410"/>
      <c r="EJ54" s="3410"/>
      <c r="EK54" s="3410"/>
      <c r="EL54" s="3410"/>
      <c r="EM54" s="3410"/>
      <c r="EN54" s="3410"/>
      <c r="EO54" s="3410"/>
      <c r="EP54" s="3410"/>
      <c r="EQ54" s="3410"/>
      <c r="ER54" s="3410"/>
      <c r="ES54" s="3410"/>
      <c r="ET54" s="3410"/>
      <c r="EU54" s="3410"/>
      <c r="EV54" s="3410"/>
      <c r="EW54" s="3410"/>
      <c r="EX54" s="3410"/>
      <c r="EY54" s="3410"/>
      <c r="EZ54" s="3410"/>
      <c r="FA54" s="3410"/>
      <c r="FB54" s="3410"/>
      <c r="FC54" s="3410"/>
      <c r="FD54" s="3410"/>
      <c r="FE54" s="3410"/>
      <c r="FF54" s="3410"/>
      <c r="FG54" s="3410"/>
      <c r="FH54" s="3410"/>
      <c r="FI54" s="3410"/>
      <c r="FJ54" s="3410"/>
      <c r="FK54" s="3410"/>
      <c r="FL54" s="3410"/>
      <c r="FM54" s="3410"/>
      <c r="FN54" s="3410"/>
      <c r="FO54" s="3410"/>
      <c r="FP54" s="3410"/>
      <c r="FQ54" s="3410"/>
      <c r="FR54" s="3410"/>
      <c r="FS54" s="3410"/>
      <c r="FT54" s="3410"/>
      <c r="FU54" s="3410"/>
      <c r="FV54" s="3410"/>
      <c r="FW54" s="3410"/>
      <c r="FX54" s="3410"/>
      <c r="FY54" s="3410"/>
      <c r="FZ54" s="3410"/>
      <c r="GA54" s="3410"/>
      <c r="GB54" s="3410"/>
      <c r="GC54" s="3410"/>
      <c r="GD54" s="3410"/>
      <c r="GE54" s="3410"/>
      <c r="GF54" s="3410"/>
      <c r="GG54" s="3410"/>
      <c r="GH54" s="3410"/>
      <c r="GI54" s="3410"/>
      <c r="GJ54" s="3410"/>
      <c r="GK54" s="3410"/>
      <c r="GL54" s="3410"/>
      <c r="GM54" s="3410"/>
      <c r="GN54" s="3410"/>
      <c r="GO54" s="3410"/>
      <c r="GP54" s="3410"/>
      <c r="GQ54" s="3410"/>
      <c r="GR54" s="3410"/>
      <c r="GS54" s="3410"/>
      <c r="GT54" s="3410"/>
      <c r="GU54" s="3410"/>
      <c r="GV54" s="3410"/>
      <c r="GW54" s="3410"/>
      <c r="GX54" s="3410"/>
      <c r="GY54" s="3410"/>
      <c r="GZ54" s="3410"/>
      <c r="HA54" s="3410"/>
      <c r="HB54" s="3410"/>
      <c r="HC54" s="3410"/>
      <c r="HD54" s="3410"/>
      <c r="HE54" s="3410"/>
      <c r="HF54" s="3410"/>
      <c r="HG54" s="3410"/>
      <c r="HH54" s="3410"/>
      <c r="HI54" s="3410"/>
      <c r="HJ54" s="3410"/>
      <c r="HK54" s="3410"/>
      <c r="HL54" s="3410"/>
      <c r="HM54" s="3410"/>
      <c r="HN54" s="3410"/>
      <c r="HO54" s="3410"/>
      <c r="HP54" s="3410"/>
      <c r="HQ54" s="3410"/>
      <c r="HR54" s="3410"/>
      <c r="HS54" s="3410"/>
      <c r="HT54" s="3410"/>
      <c r="HU54" s="3410"/>
      <c r="HV54" s="3410"/>
      <c r="HW54" s="3410"/>
      <c r="HX54" s="3410"/>
      <c r="HY54" s="3410"/>
      <c r="HZ54" s="3410"/>
      <c r="IA54" s="3410"/>
      <c r="IB54" s="3410"/>
      <c r="IC54" s="3410"/>
      <c r="ID54" s="3410"/>
      <c r="IE54" s="3410"/>
      <c r="IF54" s="3410"/>
      <c r="IG54" s="3410"/>
      <c r="IH54" s="3410"/>
      <c r="II54" s="3410"/>
      <c r="IJ54" s="3410"/>
      <c r="IK54" s="3410"/>
      <c r="IL54" s="3410"/>
      <c r="IM54" s="3410"/>
      <c r="IN54" s="3410"/>
      <c r="IO54" s="3410"/>
      <c r="IP54" s="3410"/>
      <c r="IQ54" s="3410"/>
      <c r="IR54" s="3410"/>
      <c r="IS54" s="3410"/>
      <c r="IT54" s="3410"/>
      <c r="IU54" s="3410"/>
      <c r="IV54" s="3410"/>
    </row>
    <row r="55" spans="1:256" s="3409" customFormat="1" ht="20.100000000000001" customHeight="1">
      <c r="A55" s="3410"/>
      <c r="B55" s="3410" t="s">
        <v>2765</v>
      </c>
      <c r="C55" s="3410"/>
      <c r="D55" s="3423" t="s">
        <v>2525</v>
      </c>
      <c r="E55" s="3422">
        <v>4</v>
      </c>
      <c r="F55" s="3422">
        <v>4</v>
      </c>
      <c r="G55" s="3422">
        <v>6</v>
      </c>
      <c r="H55" s="3422">
        <v>8</v>
      </c>
      <c r="I55" s="3422">
        <v>10</v>
      </c>
      <c r="J55" s="3422">
        <v>10</v>
      </c>
      <c r="K55" s="3422">
        <v>12</v>
      </c>
      <c r="L55" s="3422">
        <v>12</v>
      </c>
      <c r="M55" s="3410"/>
      <c r="N55" s="3410"/>
      <c r="O55" s="3410"/>
      <c r="P55" s="3410"/>
      <c r="Q55" s="3410"/>
      <c r="R55" s="3410"/>
      <c r="S55" s="3410"/>
      <c r="T55" s="3410"/>
      <c r="U55" s="3410"/>
      <c r="V55" s="3410"/>
      <c r="W55" s="3410"/>
      <c r="X55" s="3410"/>
      <c r="Y55" s="3410"/>
      <c r="Z55" s="3410"/>
      <c r="AA55" s="3410"/>
      <c r="AB55" s="3410"/>
      <c r="AC55" s="3410"/>
      <c r="AD55" s="3410"/>
      <c r="AE55" s="3410"/>
      <c r="AF55" s="3410"/>
      <c r="AG55" s="3410"/>
      <c r="AH55" s="3410"/>
      <c r="AI55" s="3410"/>
      <c r="AJ55" s="3410"/>
      <c r="AK55" s="3410"/>
      <c r="AL55" s="3410"/>
      <c r="AM55" s="3410"/>
      <c r="AN55" s="3410"/>
      <c r="AO55" s="3410"/>
      <c r="AP55" s="3410"/>
      <c r="AQ55" s="3410"/>
      <c r="AR55" s="3410"/>
      <c r="AS55" s="3410"/>
      <c r="AT55" s="3410"/>
      <c r="AU55" s="3410"/>
      <c r="AV55" s="3410"/>
      <c r="AW55" s="3410"/>
      <c r="AX55" s="3410"/>
      <c r="AY55" s="3410"/>
      <c r="AZ55" s="3410"/>
      <c r="BA55" s="3410"/>
      <c r="BB55" s="3410"/>
      <c r="BC55" s="3410"/>
      <c r="BD55" s="3410"/>
      <c r="BE55" s="3410"/>
      <c r="BF55" s="3410"/>
      <c r="BG55" s="3410"/>
      <c r="BH55" s="3410"/>
      <c r="BI55" s="3410"/>
      <c r="BJ55" s="3410"/>
      <c r="BK55" s="3410"/>
      <c r="BL55" s="3410"/>
      <c r="BM55" s="3410"/>
      <c r="BN55" s="3410"/>
      <c r="BO55" s="3410"/>
      <c r="BP55" s="3410"/>
      <c r="BQ55" s="3410"/>
      <c r="BR55" s="3410"/>
      <c r="BS55" s="3410"/>
      <c r="BT55" s="3410"/>
      <c r="BU55" s="3410"/>
      <c r="BV55" s="3410"/>
      <c r="BW55" s="3410"/>
      <c r="BX55" s="3410"/>
      <c r="BY55" s="3410"/>
      <c r="BZ55" s="3410"/>
      <c r="CA55" s="3410"/>
      <c r="CB55" s="3410"/>
      <c r="CC55" s="3410"/>
      <c r="CD55" s="3410"/>
      <c r="CE55" s="3410"/>
      <c r="CF55" s="3410"/>
      <c r="CG55" s="3410"/>
      <c r="CH55" s="3410"/>
      <c r="CI55" s="3410"/>
      <c r="CJ55" s="3410"/>
      <c r="CK55" s="3410"/>
      <c r="CL55" s="3410"/>
      <c r="CM55" s="3410"/>
      <c r="CN55" s="3410"/>
      <c r="CO55" s="3410"/>
      <c r="CP55" s="3410"/>
      <c r="CQ55" s="3410"/>
      <c r="CR55" s="3410"/>
      <c r="CS55" s="3410"/>
      <c r="CT55" s="3410"/>
      <c r="CU55" s="3410"/>
      <c r="CV55" s="3410"/>
      <c r="CW55" s="3410"/>
      <c r="CX55" s="3410"/>
      <c r="CY55" s="3410"/>
      <c r="CZ55" s="3410"/>
      <c r="DA55" s="3410"/>
      <c r="DB55" s="3410"/>
      <c r="DC55" s="3410"/>
      <c r="DD55" s="3410"/>
      <c r="DE55" s="3410"/>
      <c r="DF55" s="3410"/>
      <c r="DG55" s="3410"/>
      <c r="DH55" s="3410"/>
      <c r="DI55" s="3410"/>
      <c r="DJ55" s="3410"/>
      <c r="DK55" s="3410"/>
      <c r="DL55" s="3410"/>
      <c r="DM55" s="3410"/>
      <c r="DN55" s="3410"/>
      <c r="DO55" s="3410"/>
      <c r="DP55" s="3410"/>
      <c r="DQ55" s="3410"/>
      <c r="DR55" s="3410"/>
      <c r="DS55" s="3410"/>
      <c r="DT55" s="3410"/>
      <c r="DU55" s="3410"/>
      <c r="DV55" s="3410"/>
      <c r="DW55" s="3410"/>
      <c r="DX55" s="3410"/>
      <c r="DY55" s="3410"/>
      <c r="DZ55" s="3410"/>
      <c r="EA55" s="3410"/>
      <c r="EB55" s="3410"/>
      <c r="EC55" s="3410"/>
      <c r="ED55" s="3410"/>
      <c r="EE55" s="3410"/>
      <c r="EF55" s="3410"/>
      <c r="EG55" s="3410"/>
      <c r="EH55" s="3410"/>
      <c r="EI55" s="3410"/>
      <c r="EJ55" s="3410"/>
      <c r="EK55" s="3410"/>
      <c r="EL55" s="3410"/>
      <c r="EM55" s="3410"/>
      <c r="EN55" s="3410"/>
      <c r="EO55" s="3410"/>
      <c r="EP55" s="3410"/>
      <c r="EQ55" s="3410"/>
      <c r="ER55" s="3410"/>
      <c r="ES55" s="3410"/>
      <c r="ET55" s="3410"/>
      <c r="EU55" s="3410"/>
      <c r="EV55" s="3410"/>
      <c r="EW55" s="3410"/>
      <c r="EX55" s="3410"/>
      <c r="EY55" s="3410"/>
      <c r="EZ55" s="3410"/>
      <c r="FA55" s="3410"/>
      <c r="FB55" s="3410"/>
      <c r="FC55" s="3410"/>
      <c r="FD55" s="3410"/>
      <c r="FE55" s="3410"/>
      <c r="FF55" s="3410"/>
      <c r="FG55" s="3410"/>
      <c r="FH55" s="3410"/>
      <c r="FI55" s="3410"/>
      <c r="FJ55" s="3410"/>
      <c r="FK55" s="3410"/>
      <c r="FL55" s="3410"/>
      <c r="FM55" s="3410"/>
      <c r="FN55" s="3410"/>
      <c r="FO55" s="3410"/>
      <c r="FP55" s="3410"/>
      <c r="FQ55" s="3410"/>
      <c r="FR55" s="3410"/>
      <c r="FS55" s="3410"/>
      <c r="FT55" s="3410"/>
      <c r="FU55" s="3410"/>
      <c r="FV55" s="3410"/>
      <c r="FW55" s="3410"/>
      <c r="FX55" s="3410"/>
      <c r="FY55" s="3410"/>
      <c r="FZ55" s="3410"/>
      <c r="GA55" s="3410"/>
      <c r="GB55" s="3410"/>
      <c r="GC55" s="3410"/>
      <c r="GD55" s="3410"/>
      <c r="GE55" s="3410"/>
      <c r="GF55" s="3410"/>
      <c r="GG55" s="3410"/>
      <c r="GH55" s="3410"/>
      <c r="GI55" s="3410"/>
      <c r="GJ55" s="3410"/>
      <c r="GK55" s="3410"/>
      <c r="GL55" s="3410"/>
      <c r="GM55" s="3410"/>
      <c r="GN55" s="3410"/>
      <c r="GO55" s="3410"/>
      <c r="GP55" s="3410"/>
      <c r="GQ55" s="3410"/>
      <c r="GR55" s="3410"/>
      <c r="GS55" s="3410"/>
      <c r="GT55" s="3410"/>
      <c r="GU55" s="3410"/>
      <c r="GV55" s="3410"/>
      <c r="GW55" s="3410"/>
      <c r="GX55" s="3410"/>
      <c r="GY55" s="3410"/>
      <c r="GZ55" s="3410"/>
      <c r="HA55" s="3410"/>
      <c r="HB55" s="3410"/>
      <c r="HC55" s="3410"/>
      <c r="HD55" s="3410"/>
      <c r="HE55" s="3410"/>
      <c r="HF55" s="3410"/>
      <c r="HG55" s="3410"/>
      <c r="HH55" s="3410"/>
      <c r="HI55" s="3410"/>
      <c r="HJ55" s="3410"/>
      <c r="HK55" s="3410"/>
      <c r="HL55" s="3410"/>
      <c r="HM55" s="3410"/>
      <c r="HN55" s="3410"/>
      <c r="HO55" s="3410"/>
      <c r="HP55" s="3410"/>
      <c r="HQ55" s="3410"/>
      <c r="HR55" s="3410"/>
      <c r="HS55" s="3410"/>
      <c r="HT55" s="3410"/>
      <c r="HU55" s="3410"/>
      <c r="HV55" s="3410"/>
      <c r="HW55" s="3410"/>
      <c r="HX55" s="3410"/>
      <c r="HY55" s="3410"/>
      <c r="HZ55" s="3410"/>
      <c r="IA55" s="3410"/>
      <c r="IB55" s="3410"/>
      <c r="IC55" s="3410"/>
      <c r="ID55" s="3410"/>
      <c r="IE55" s="3410"/>
      <c r="IF55" s="3410"/>
      <c r="IG55" s="3410"/>
      <c r="IH55" s="3410"/>
      <c r="II55" s="3410"/>
      <c r="IJ55" s="3410"/>
      <c r="IK55" s="3410"/>
      <c r="IL55" s="3410"/>
      <c r="IM55" s="3410"/>
      <c r="IN55" s="3410"/>
      <c r="IO55" s="3410"/>
      <c r="IP55" s="3410"/>
      <c r="IQ55" s="3410"/>
      <c r="IR55" s="3410"/>
      <c r="IS55" s="3410"/>
      <c r="IT55" s="3410"/>
      <c r="IU55" s="3410"/>
      <c r="IV55" s="3410"/>
    </row>
    <row r="56" spans="1:256" ht="20.100000000000001" customHeight="1">
      <c r="B56" s="3410" t="s">
        <v>2766</v>
      </c>
      <c r="D56" s="3423" t="s">
        <v>2526</v>
      </c>
      <c r="E56" s="3422">
        <v>2</v>
      </c>
      <c r="F56" s="3422">
        <v>2.5</v>
      </c>
      <c r="G56" s="3422">
        <v>4</v>
      </c>
      <c r="H56" s="3422">
        <v>6</v>
      </c>
      <c r="I56" s="3422">
        <v>7.5</v>
      </c>
      <c r="J56" s="3422">
        <v>8</v>
      </c>
      <c r="K56" s="3422">
        <v>9</v>
      </c>
      <c r="L56" s="3422">
        <v>10</v>
      </c>
    </row>
    <row r="57" spans="1:256" ht="20.100000000000001" customHeight="1"/>
    <row r="58" spans="1:256" ht="20.100000000000001" customHeight="1">
      <c r="B58" s="3415" t="s">
        <v>2767</v>
      </c>
      <c r="C58" s="3416">
        <v>4</v>
      </c>
      <c r="D58" s="3410" t="s">
        <v>234</v>
      </c>
    </row>
    <row r="59" spans="1:256" ht="20.100000000000001" customHeight="1">
      <c r="B59" s="3415" t="s">
        <v>2768</v>
      </c>
      <c r="C59" s="3416">
        <v>1</v>
      </c>
      <c r="D59" s="3410" t="s">
        <v>408</v>
      </c>
    </row>
    <row r="60" spans="1:256" ht="20.100000000000001" customHeight="1">
      <c r="B60" s="3415" t="s">
        <v>2769</v>
      </c>
      <c r="C60" s="3418">
        <v>0.1</v>
      </c>
      <c r="D60" s="3410" t="s">
        <v>1167</v>
      </c>
    </row>
    <row r="61" spans="1:256" ht="20.100000000000001" customHeight="1">
      <c r="B61" s="3415" t="s">
        <v>2770</v>
      </c>
      <c r="C61" s="3420">
        <f>C46*60*C60/1</f>
        <v>8.4600000000000009</v>
      </c>
      <c r="D61" s="3410" t="s">
        <v>2771</v>
      </c>
    </row>
    <row r="62" spans="1:256" ht="20.100000000000001" customHeight="1">
      <c r="A62" s="3412" t="s">
        <v>2741</v>
      </c>
      <c r="B62" s="4773" t="s">
        <v>2772</v>
      </c>
      <c r="C62" s="4773"/>
      <c r="D62" s="4773"/>
      <c r="E62" s="4773"/>
      <c r="F62" s="4773"/>
      <c r="G62" s="4773"/>
      <c r="H62" s="4773"/>
    </row>
    <row r="63" spans="1:256" ht="20.100000000000001" customHeight="1">
      <c r="B63" s="3415" t="s">
        <v>2773</v>
      </c>
      <c r="C63" s="3421">
        <f>2*C61</f>
        <v>16.920000000000002</v>
      </c>
      <c r="D63" s="3410" t="s">
        <v>2771</v>
      </c>
    </row>
    <row r="64" spans="1:256" ht="20.100000000000001" customHeight="1">
      <c r="A64" s="4774" t="s">
        <v>2774</v>
      </c>
      <c r="B64" s="4774"/>
      <c r="C64" s="4775" t="s">
        <v>2775</v>
      </c>
      <c r="D64" s="4775"/>
      <c r="E64" s="3421">
        <f>C43</f>
        <v>88</v>
      </c>
      <c r="F64" s="3410" t="s">
        <v>1748</v>
      </c>
    </row>
    <row r="65" spans="1:8" ht="20.100000000000001" customHeight="1">
      <c r="A65" s="3425"/>
      <c r="C65" s="4775" t="s">
        <v>2776</v>
      </c>
      <c r="D65" s="4775"/>
      <c r="E65" s="3421">
        <f>C61</f>
        <v>8.4600000000000009</v>
      </c>
      <c r="F65" s="3410" t="s">
        <v>2771</v>
      </c>
    </row>
    <row r="66" spans="1:8" ht="20.100000000000001" customHeight="1">
      <c r="A66" s="3412" t="s">
        <v>2777</v>
      </c>
      <c r="B66" s="4773" t="s">
        <v>2778</v>
      </c>
      <c r="C66" s="4773"/>
      <c r="D66" s="4773"/>
      <c r="E66" s="4773"/>
      <c r="F66" s="4773"/>
      <c r="G66" s="4773"/>
      <c r="H66" s="4773"/>
    </row>
    <row r="67" spans="1:8" ht="20.100000000000001" customHeight="1">
      <c r="A67" s="3426" t="s">
        <v>2779</v>
      </c>
      <c r="C67" s="3427">
        <v>29</v>
      </c>
      <c r="D67" s="3428" t="s">
        <v>2771</v>
      </c>
    </row>
    <row r="68" spans="1:8" ht="20.100000000000001" customHeight="1">
      <c r="A68" s="3410" t="s">
        <v>2780</v>
      </c>
      <c r="B68" s="3410" t="s">
        <v>2781</v>
      </c>
      <c r="C68" s="3429">
        <f>C46*60*C60/C67</f>
        <v>0.29172413793103402</v>
      </c>
      <c r="D68" s="3428" t="s">
        <v>2685</v>
      </c>
    </row>
    <row r="69" spans="1:8" ht="20.100000000000001" customHeight="1">
      <c r="A69" s="3412" t="s">
        <v>2782</v>
      </c>
      <c r="B69" s="4773" t="s">
        <v>2783</v>
      </c>
      <c r="C69" s="4773"/>
      <c r="D69" s="4773"/>
      <c r="E69" s="4773"/>
      <c r="F69" s="4773"/>
      <c r="G69" s="4773"/>
      <c r="H69" s="4773"/>
    </row>
    <row r="70" spans="1:8" ht="20.100000000000001" customHeight="1">
      <c r="A70" s="3430"/>
      <c r="B70" s="3410" t="s">
        <v>2784</v>
      </c>
      <c r="C70" s="3428"/>
      <c r="D70" s="3431">
        <v>6.7</v>
      </c>
      <c r="E70" s="3410" t="s">
        <v>2785</v>
      </c>
    </row>
    <row r="71" spans="1:8" ht="20.100000000000001" customHeight="1">
      <c r="A71" s="3430"/>
      <c r="B71" s="3410" t="s">
        <v>2786</v>
      </c>
      <c r="C71" s="3428"/>
      <c r="D71" s="3429">
        <f>11.1*6.7/2</f>
        <v>37.185000000000002</v>
      </c>
      <c r="E71" s="3410" t="s">
        <v>2771</v>
      </c>
    </row>
    <row r="72" spans="1:8" ht="20.100000000000001" customHeight="1">
      <c r="B72" s="3410" t="s">
        <v>2787</v>
      </c>
      <c r="C72" s="3432"/>
      <c r="D72" s="3410" t="s">
        <v>2788</v>
      </c>
    </row>
    <row r="73" spans="1:8" ht="20.100000000000001" customHeight="1">
      <c r="A73" s="3433" t="s">
        <v>2789</v>
      </c>
    </row>
    <row r="74" spans="1:8" ht="20.100000000000001" customHeight="1">
      <c r="B74" s="3410" t="s">
        <v>2790</v>
      </c>
    </row>
    <row r="75" spans="1:8" ht="20.100000000000001" customHeight="1">
      <c r="B75" s="3410" t="s">
        <v>2791</v>
      </c>
    </row>
    <row r="76" spans="1:8" ht="20.100000000000001" customHeight="1">
      <c r="B76" s="3410" t="s">
        <v>2792</v>
      </c>
    </row>
    <row r="77" spans="1:8" ht="20.100000000000001" customHeight="1"/>
    <row r="78" spans="1:8" ht="20.100000000000001" customHeight="1"/>
    <row r="79" spans="1:8" ht="20.100000000000001" customHeight="1"/>
    <row r="80" spans="1:8"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sheetData>
  <mergeCells count="11">
    <mergeCell ref="A1:H1"/>
    <mergeCell ref="A2:H2"/>
    <mergeCell ref="A22:H22"/>
    <mergeCell ref="B47:H47"/>
    <mergeCell ref="D54:L54"/>
    <mergeCell ref="B69:H69"/>
    <mergeCell ref="B62:H62"/>
    <mergeCell ref="A64:B64"/>
    <mergeCell ref="C64:D64"/>
    <mergeCell ref="C65:D65"/>
    <mergeCell ref="B66:H66"/>
  </mergeCells>
  <phoneticPr fontId="214" type="noConversion"/>
  <conditionalFormatting sqref="C72">
    <cfRule type="expression" dxfId="1" priority="1" stopIfTrue="1">
      <formula>D71&gt;C63</formula>
    </cfRule>
  </conditionalFormatting>
  <dataValidations count="2">
    <dataValidation type="list" allowBlank="1" showInputMessage="1" showErrorMessage="1" sqref="C1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xr:uid="{00000000-0002-0000-2500-000000000000}">
      <formula1>"4,8"</formula1>
    </dataValidation>
    <dataValidation type="list" allowBlank="1" showInputMessage="1" showErrorMessage="1" sqref="C58 IY58 SU58 ACQ58 AMM58 AWI58 BGE58 BQA58 BZW58 CJS58 CTO58 DDK58 DNG58 DXC58 EGY58 EQU58 FAQ58 FKM58 FUI58 GEE58 GOA58 GXW58 HHS58 HRO58 IBK58 ILG58 IVC58 JEY58 JOU58 JYQ58 KIM58 KSI58 LCE58 LMA58 LVW58 MFS58 MPO58 MZK58 NJG58 NTC58 OCY58 OMU58 OWQ58 PGM58 PQI58 QAE58 QKA58 QTW58 RDS58 RNO58 RXK58 SHG58 SRC58 TAY58 TKU58 TUQ58 UEM58 UOI58 UYE58 VIA58 VRW58 WBS58 WLO58 WVK58 C65594 IY65594 SU65594 ACQ65594 AMM65594 AWI65594 BGE65594 BQA65594 BZW65594 CJS65594 CTO65594 DDK65594 DNG65594 DXC65594 EGY65594 EQU65594 FAQ65594 FKM65594 FUI65594 GEE65594 GOA65594 GXW65594 HHS65594 HRO65594 IBK65594 ILG65594 IVC65594 JEY65594 JOU65594 JYQ65594 KIM65594 KSI65594 LCE65594 LMA65594 LVW65594 MFS65594 MPO65594 MZK65594 NJG65594 NTC65594 OCY65594 OMU65594 OWQ65594 PGM65594 PQI65594 QAE65594 QKA65594 QTW65594 RDS65594 RNO65594 RXK65594 SHG65594 SRC65594 TAY65594 TKU65594 TUQ65594 UEM65594 UOI65594 UYE65594 VIA65594 VRW65594 WBS65594 WLO65594 WVK65594 C131130 IY131130 SU131130 ACQ131130 AMM131130 AWI131130 BGE131130 BQA131130 BZW131130 CJS131130 CTO131130 DDK131130 DNG131130 DXC131130 EGY131130 EQU131130 FAQ131130 FKM131130 FUI131130 GEE131130 GOA131130 GXW131130 HHS131130 HRO131130 IBK131130 ILG131130 IVC131130 JEY131130 JOU131130 JYQ131130 KIM131130 KSI131130 LCE131130 LMA131130 LVW131130 MFS131130 MPO131130 MZK131130 NJG131130 NTC131130 OCY131130 OMU131130 OWQ131130 PGM131130 PQI131130 QAE131130 QKA131130 QTW131130 RDS131130 RNO131130 RXK131130 SHG131130 SRC131130 TAY131130 TKU131130 TUQ131130 UEM131130 UOI131130 UYE131130 VIA131130 VRW131130 WBS131130 WLO131130 WVK131130 C196666 IY196666 SU196666 ACQ196666 AMM196666 AWI196666 BGE196666 BQA196666 BZW196666 CJS196666 CTO196666 DDK196666 DNG196666 DXC196666 EGY196666 EQU196666 FAQ196666 FKM196666 FUI196666 GEE196666 GOA196666 GXW196666 HHS196666 HRO196666 IBK196666 ILG196666 IVC196666 JEY196666 JOU196666 JYQ196666 KIM196666 KSI196666 LCE196666 LMA196666 LVW196666 MFS196666 MPO196666 MZK196666 NJG196666 NTC196666 OCY196666 OMU196666 OWQ196666 PGM196666 PQI196666 QAE196666 QKA196666 QTW196666 RDS196666 RNO196666 RXK196666 SHG196666 SRC196666 TAY196666 TKU196666 TUQ196666 UEM196666 UOI196666 UYE196666 VIA196666 VRW196666 WBS196666 WLO196666 WVK196666 C262202 IY262202 SU262202 ACQ262202 AMM262202 AWI262202 BGE262202 BQA262202 BZW262202 CJS262202 CTO262202 DDK262202 DNG262202 DXC262202 EGY262202 EQU262202 FAQ262202 FKM262202 FUI262202 GEE262202 GOA262202 GXW262202 HHS262202 HRO262202 IBK262202 ILG262202 IVC262202 JEY262202 JOU262202 JYQ262202 KIM262202 KSI262202 LCE262202 LMA262202 LVW262202 MFS262202 MPO262202 MZK262202 NJG262202 NTC262202 OCY262202 OMU262202 OWQ262202 PGM262202 PQI262202 QAE262202 QKA262202 QTW262202 RDS262202 RNO262202 RXK262202 SHG262202 SRC262202 TAY262202 TKU262202 TUQ262202 UEM262202 UOI262202 UYE262202 VIA262202 VRW262202 WBS262202 WLO262202 WVK262202 C327738 IY327738 SU327738 ACQ327738 AMM327738 AWI327738 BGE327738 BQA327738 BZW327738 CJS327738 CTO327738 DDK327738 DNG327738 DXC327738 EGY327738 EQU327738 FAQ327738 FKM327738 FUI327738 GEE327738 GOA327738 GXW327738 HHS327738 HRO327738 IBK327738 ILG327738 IVC327738 JEY327738 JOU327738 JYQ327738 KIM327738 KSI327738 LCE327738 LMA327738 LVW327738 MFS327738 MPO327738 MZK327738 NJG327738 NTC327738 OCY327738 OMU327738 OWQ327738 PGM327738 PQI327738 QAE327738 QKA327738 QTW327738 RDS327738 RNO327738 RXK327738 SHG327738 SRC327738 TAY327738 TKU327738 TUQ327738 UEM327738 UOI327738 UYE327738 VIA327738 VRW327738 WBS327738 WLO327738 WVK327738 C393274 IY393274 SU393274 ACQ393274 AMM393274 AWI393274 BGE393274 BQA393274 BZW393274 CJS393274 CTO393274 DDK393274 DNG393274 DXC393274 EGY393274 EQU393274 FAQ393274 FKM393274 FUI393274 GEE393274 GOA393274 GXW393274 HHS393274 HRO393274 IBK393274 ILG393274 IVC393274 JEY393274 JOU393274 JYQ393274 KIM393274 KSI393274 LCE393274 LMA393274 LVW393274 MFS393274 MPO393274 MZK393274 NJG393274 NTC393274 OCY393274 OMU393274 OWQ393274 PGM393274 PQI393274 QAE393274 QKA393274 QTW393274 RDS393274 RNO393274 RXK393274 SHG393274 SRC393274 TAY393274 TKU393274 TUQ393274 UEM393274 UOI393274 UYE393274 VIA393274 VRW393274 WBS393274 WLO393274 WVK393274 C458810 IY458810 SU458810 ACQ458810 AMM458810 AWI458810 BGE458810 BQA458810 BZW458810 CJS458810 CTO458810 DDK458810 DNG458810 DXC458810 EGY458810 EQU458810 FAQ458810 FKM458810 FUI458810 GEE458810 GOA458810 GXW458810 HHS458810 HRO458810 IBK458810 ILG458810 IVC458810 JEY458810 JOU458810 JYQ458810 KIM458810 KSI458810 LCE458810 LMA458810 LVW458810 MFS458810 MPO458810 MZK458810 NJG458810 NTC458810 OCY458810 OMU458810 OWQ458810 PGM458810 PQI458810 QAE458810 QKA458810 QTW458810 RDS458810 RNO458810 RXK458810 SHG458810 SRC458810 TAY458810 TKU458810 TUQ458810 UEM458810 UOI458810 UYE458810 VIA458810 VRW458810 WBS458810 WLO458810 WVK458810 C524346 IY524346 SU524346 ACQ524346 AMM524346 AWI524346 BGE524346 BQA524346 BZW524346 CJS524346 CTO524346 DDK524346 DNG524346 DXC524346 EGY524346 EQU524346 FAQ524346 FKM524346 FUI524346 GEE524346 GOA524346 GXW524346 HHS524346 HRO524346 IBK524346 ILG524346 IVC524346 JEY524346 JOU524346 JYQ524346 KIM524346 KSI524346 LCE524346 LMA524346 LVW524346 MFS524346 MPO524346 MZK524346 NJG524346 NTC524346 OCY524346 OMU524346 OWQ524346 PGM524346 PQI524346 QAE524346 QKA524346 QTW524346 RDS524346 RNO524346 RXK524346 SHG524346 SRC524346 TAY524346 TKU524346 TUQ524346 UEM524346 UOI524346 UYE524346 VIA524346 VRW524346 WBS524346 WLO524346 WVK524346 C589882 IY589882 SU589882 ACQ589882 AMM589882 AWI589882 BGE589882 BQA589882 BZW589882 CJS589882 CTO589882 DDK589882 DNG589882 DXC589882 EGY589882 EQU589882 FAQ589882 FKM589882 FUI589882 GEE589882 GOA589882 GXW589882 HHS589882 HRO589882 IBK589882 ILG589882 IVC589882 JEY589882 JOU589882 JYQ589882 KIM589882 KSI589882 LCE589882 LMA589882 LVW589882 MFS589882 MPO589882 MZK589882 NJG589882 NTC589882 OCY589882 OMU589882 OWQ589882 PGM589882 PQI589882 QAE589882 QKA589882 QTW589882 RDS589882 RNO589882 RXK589882 SHG589882 SRC589882 TAY589882 TKU589882 TUQ589882 UEM589882 UOI589882 UYE589882 VIA589882 VRW589882 WBS589882 WLO589882 WVK589882 C655418 IY655418 SU655418 ACQ655418 AMM655418 AWI655418 BGE655418 BQA655418 BZW655418 CJS655418 CTO655418 DDK655418 DNG655418 DXC655418 EGY655418 EQU655418 FAQ655418 FKM655418 FUI655418 GEE655418 GOA655418 GXW655418 HHS655418 HRO655418 IBK655418 ILG655418 IVC655418 JEY655418 JOU655418 JYQ655418 KIM655418 KSI655418 LCE655418 LMA655418 LVW655418 MFS655418 MPO655418 MZK655418 NJG655418 NTC655418 OCY655418 OMU655418 OWQ655418 PGM655418 PQI655418 QAE655418 QKA655418 QTW655418 RDS655418 RNO655418 RXK655418 SHG655418 SRC655418 TAY655418 TKU655418 TUQ655418 UEM655418 UOI655418 UYE655418 VIA655418 VRW655418 WBS655418 WLO655418 WVK655418 C720954 IY720954 SU720954 ACQ720954 AMM720954 AWI720954 BGE720954 BQA720954 BZW720954 CJS720954 CTO720954 DDK720954 DNG720954 DXC720954 EGY720954 EQU720954 FAQ720954 FKM720954 FUI720954 GEE720954 GOA720954 GXW720954 HHS720954 HRO720954 IBK720954 ILG720954 IVC720954 JEY720954 JOU720954 JYQ720954 KIM720954 KSI720954 LCE720954 LMA720954 LVW720954 MFS720954 MPO720954 MZK720954 NJG720954 NTC720954 OCY720954 OMU720954 OWQ720954 PGM720954 PQI720954 QAE720954 QKA720954 QTW720954 RDS720954 RNO720954 RXK720954 SHG720954 SRC720954 TAY720954 TKU720954 TUQ720954 UEM720954 UOI720954 UYE720954 VIA720954 VRW720954 WBS720954 WLO720954 WVK720954 C786490 IY786490 SU786490 ACQ786490 AMM786490 AWI786490 BGE786490 BQA786490 BZW786490 CJS786490 CTO786490 DDK786490 DNG786490 DXC786490 EGY786490 EQU786490 FAQ786490 FKM786490 FUI786490 GEE786490 GOA786490 GXW786490 HHS786490 HRO786490 IBK786490 ILG786490 IVC786490 JEY786490 JOU786490 JYQ786490 KIM786490 KSI786490 LCE786490 LMA786490 LVW786490 MFS786490 MPO786490 MZK786490 NJG786490 NTC786490 OCY786490 OMU786490 OWQ786490 PGM786490 PQI786490 QAE786490 QKA786490 QTW786490 RDS786490 RNO786490 RXK786490 SHG786490 SRC786490 TAY786490 TKU786490 TUQ786490 UEM786490 UOI786490 UYE786490 VIA786490 VRW786490 WBS786490 WLO786490 WVK786490 C852026 IY852026 SU852026 ACQ852026 AMM852026 AWI852026 BGE852026 BQA852026 BZW852026 CJS852026 CTO852026 DDK852026 DNG852026 DXC852026 EGY852026 EQU852026 FAQ852026 FKM852026 FUI852026 GEE852026 GOA852026 GXW852026 HHS852026 HRO852026 IBK852026 ILG852026 IVC852026 JEY852026 JOU852026 JYQ852026 KIM852026 KSI852026 LCE852026 LMA852026 LVW852026 MFS852026 MPO852026 MZK852026 NJG852026 NTC852026 OCY852026 OMU852026 OWQ852026 PGM852026 PQI852026 QAE852026 QKA852026 QTW852026 RDS852026 RNO852026 RXK852026 SHG852026 SRC852026 TAY852026 TKU852026 TUQ852026 UEM852026 UOI852026 UYE852026 VIA852026 VRW852026 WBS852026 WLO852026 WVK852026 C917562 IY917562 SU917562 ACQ917562 AMM917562 AWI917562 BGE917562 BQA917562 BZW917562 CJS917562 CTO917562 DDK917562 DNG917562 DXC917562 EGY917562 EQU917562 FAQ917562 FKM917562 FUI917562 GEE917562 GOA917562 GXW917562 HHS917562 HRO917562 IBK917562 ILG917562 IVC917562 JEY917562 JOU917562 JYQ917562 KIM917562 KSI917562 LCE917562 LMA917562 LVW917562 MFS917562 MPO917562 MZK917562 NJG917562 NTC917562 OCY917562 OMU917562 OWQ917562 PGM917562 PQI917562 QAE917562 QKA917562 QTW917562 RDS917562 RNO917562 RXK917562 SHG917562 SRC917562 TAY917562 TKU917562 TUQ917562 UEM917562 UOI917562 UYE917562 VIA917562 VRW917562 WBS917562 WLO917562 WVK917562 C983098 IY983098 SU983098 ACQ983098 AMM983098 AWI983098 BGE983098 BQA983098 BZW983098 CJS983098 CTO983098 DDK983098 DNG983098 DXC983098 EGY983098 EQU983098 FAQ983098 FKM983098 FUI983098 GEE983098 GOA983098 GXW983098 HHS983098 HRO983098 IBK983098 ILG983098 IVC983098 JEY983098 JOU983098 JYQ983098 KIM983098 KSI983098 LCE983098 LMA983098 LVW983098 MFS983098 MPO983098 MZK983098 NJG983098 NTC983098 OCY983098 OMU983098 OWQ983098 PGM983098 PQI983098 QAE983098 QKA983098 QTW983098 RDS983098 RNO983098 RXK983098 SHG983098 SRC983098 TAY983098 TKU983098 TUQ983098 UEM983098 UOI983098 UYE983098 VIA983098 VRW983098 WBS983098 WLO983098 WVK983098" xr:uid="{00000000-0002-0000-2500-000001000000}">
      <formula1>$E$56:$L$56</formula1>
    </dataValidation>
  </dataValidations>
  <pageMargins left="0.75" right="0.75" top="1" bottom="1" header="0.51" footer="0.51"/>
  <pageSetup paperSize="9" orientation="portrait"/>
  <drawing r:id="rId1"/>
  <legacyDrawing r:id="rId2"/>
  <oleObjects>
    <mc:AlternateContent xmlns:mc="http://schemas.openxmlformats.org/markup-compatibility/2006">
      <mc:Choice Requires="x14">
        <oleObject progId="Equation.3" shapeId="1315841" r:id="rId3">
          <objectPr defaultSize="0" altText="" r:id="rId4">
            <anchor moveWithCells="1">
              <from>
                <xdr:col>1</xdr:col>
                <xdr:colOff>19050</xdr:colOff>
                <xdr:row>4</xdr:row>
                <xdr:rowOff>28575</xdr:rowOff>
              </from>
              <to>
                <xdr:col>1</xdr:col>
                <xdr:colOff>971550</xdr:colOff>
                <xdr:row>5</xdr:row>
                <xdr:rowOff>238125</xdr:rowOff>
              </to>
            </anchor>
          </objectPr>
        </oleObject>
      </mc:Choice>
      <mc:Fallback>
        <oleObject progId="Equation.3" shapeId="1315841" r:id="rId3"/>
      </mc:Fallback>
    </mc:AlternateContent>
    <mc:AlternateContent xmlns:mc="http://schemas.openxmlformats.org/markup-compatibility/2006">
      <mc:Choice Requires="x14">
        <oleObject progId="Equation.3" shapeId="1315842" r:id="rId5">
          <objectPr defaultSize="0" altText="" r:id="rId6">
            <anchor moveWithCells="1">
              <from>
                <xdr:col>3</xdr:col>
                <xdr:colOff>638175</xdr:colOff>
                <xdr:row>18</xdr:row>
                <xdr:rowOff>228600</xdr:rowOff>
              </from>
              <to>
                <xdr:col>4</xdr:col>
                <xdr:colOff>600075</xdr:colOff>
                <xdr:row>20</xdr:row>
                <xdr:rowOff>114300</xdr:rowOff>
              </to>
            </anchor>
          </objectPr>
        </oleObject>
      </mc:Choice>
      <mc:Fallback>
        <oleObject progId="Equation.3" shapeId="1315842" r:id="rId5"/>
      </mc:Fallback>
    </mc:AlternateContent>
    <mc:AlternateContent xmlns:mc="http://schemas.openxmlformats.org/markup-compatibility/2006">
      <mc:Choice Requires="x14">
        <oleObject progId="Equation.3" shapeId="1315843" r:id="rId7">
          <objectPr defaultSize="0" altText="" r:id="rId8">
            <anchor moveWithCells="1">
              <from>
                <xdr:col>1</xdr:col>
                <xdr:colOff>47625</xdr:colOff>
                <xdr:row>52</xdr:row>
                <xdr:rowOff>38100</xdr:rowOff>
              </from>
              <to>
                <xdr:col>1</xdr:col>
                <xdr:colOff>895350</xdr:colOff>
                <xdr:row>53</xdr:row>
                <xdr:rowOff>180975</xdr:rowOff>
              </to>
            </anchor>
          </objectPr>
        </oleObject>
      </mc:Choice>
      <mc:Fallback>
        <oleObject progId="Equation.3" shapeId="1315843" r:id="rId7"/>
      </mc:Fallback>
    </mc:AlternateContent>
    <mc:AlternateContent xmlns:mc="http://schemas.openxmlformats.org/markup-compatibility/2006">
      <mc:Choice Requires="x14">
        <oleObject progId="Equation.KSEE3" shapeId="1315844" r:id="rId9">
          <objectPr defaultSize="0" altText="" r:id="rId10">
            <anchor moveWithCells="1">
              <from>
                <xdr:col>4</xdr:col>
                <xdr:colOff>533400</xdr:colOff>
                <xdr:row>70</xdr:row>
                <xdr:rowOff>28575</xdr:rowOff>
              </from>
              <to>
                <xdr:col>6</xdr:col>
                <xdr:colOff>66675</xdr:colOff>
                <xdr:row>71</xdr:row>
                <xdr:rowOff>19050</xdr:rowOff>
              </to>
            </anchor>
          </objectPr>
        </oleObject>
      </mc:Choice>
      <mc:Fallback>
        <oleObject progId="Equation.KSEE3" shapeId="1315844" r:id="rId9"/>
      </mc:Fallback>
    </mc:AlternateContent>
  </oleObjec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AE586"/>
  <sheetViews>
    <sheetView workbookViewId="0">
      <selection activeCell="L15" sqref="L15"/>
    </sheetView>
  </sheetViews>
  <sheetFormatPr defaultColWidth="9" defaultRowHeight="15.75"/>
  <cols>
    <col min="1" max="1" width="18.625" style="2860" customWidth="1"/>
    <col min="2" max="2" width="5.75" style="3273" customWidth="1"/>
    <col min="3" max="3" width="12.625" style="3042" customWidth="1"/>
    <col min="4" max="4" width="5.75" style="2860" customWidth="1"/>
    <col min="5" max="5" width="12.625" style="3042" customWidth="1"/>
    <col min="6" max="6" width="5.75" style="2860" customWidth="1"/>
    <col min="7" max="7" width="12.625" style="3042" customWidth="1"/>
    <col min="8" max="8" width="5.75" style="2860" customWidth="1"/>
    <col min="9" max="11" width="9.625" style="3042" customWidth="1"/>
    <col min="12" max="13" width="9.625" style="2860" customWidth="1"/>
    <col min="14" max="16" width="8.75" style="2860" customWidth="1"/>
    <col min="17" max="17" width="9" style="2860"/>
    <col min="18" max="256" width="9" style="2694"/>
    <col min="257" max="257" width="18.625" style="2694" customWidth="1"/>
    <col min="258" max="258" width="5.75" style="2694" customWidth="1"/>
    <col min="259" max="259" width="12.625" style="2694" customWidth="1"/>
    <col min="260" max="260" width="5.75" style="2694" customWidth="1"/>
    <col min="261" max="261" width="12.625" style="2694" customWidth="1"/>
    <col min="262" max="262" width="5.75" style="2694" customWidth="1"/>
    <col min="263" max="263" width="12.625" style="2694" customWidth="1"/>
    <col min="264" max="264" width="5.75" style="2694" customWidth="1"/>
    <col min="265" max="269" width="9.625" style="2694" customWidth="1"/>
    <col min="270" max="272" width="8.75" style="2694" customWidth="1"/>
    <col min="273" max="512" width="9" style="2694"/>
    <col min="513" max="513" width="18.625" style="2694" customWidth="1"/>
    <col min="514" max="514" width="5.75" style="2694" customWidth="1"/>
    <col min="515" max="515" width="12.625" style="2694" customWidth="1"/>
    <col min="516" max="516" width="5.75" style="2694" customWidth="1"/>
    <col min="517" max="517" width="12.625" style="2694" customWidth="1"/>
    <col min="518" max="518" width="5.75" style="2694" customWidth="1"/>
    <col min="519" max="519" width="12.625" style="2694" customWidth="1"/>
    <col min="520" max="520" width="5.75" style="2694" customWidth="1"/>
    <col min="521" max="525" width="9.625" style="2694" customWidth="1"/>
    <col min="526" max="528" width="8.75" style="2694" customWidth="1"/>
    <col min="529" max="768" width="9" style="2694"/>
    <col min="769" max="769" width="18.625" style="2694" customWidth="1"/>
    <col min="770" max="770" width="5.75" style="2694" customWidth="1"/>
    <col min="771" max="771" width="12.625" style="2694" customWidth="1"/>
    <col min="772" max="772" width="5.75" style="2694" customWidth="1"/>
    <col min="773" max="773" width="12.625" style="2694" customWidth="1"/>
    <col min="774" max="774" width="5.75" style="2694" customWidth="1"/>
    <col min="775" max="775" width="12.625" style="2694" customWidth="1"/>
    <col min="776" max="776" width="5.75" style="2694" customWidth="1"/>
    <col min="777" max="781" width="9.625" style="2694" customWidth="1"/>
    <col min="782" max="784" width="8.75" style="2694" customWidth="1"/>
    <col min="785" max="1024" width="9" style="2694"/>
    <col min="1025" max="1025" width="18.625" style="2694" customWidth="1"/>
    <col min="1026" max="1026" width="5.75" style="2694" customWidth="1"/>
    <col min="1027" max="1027" width="12.625" style="2694" customWidth="1"/>
    <col min="1028" max="1028" width="5.75" style="2694" customWidth="1"/>
    <col min="1029" max="1029" width="12.625" style="2694" customWidth="1"/>
    <col min="1030" max="1030" width="5.75" style="2694" customWidth="1"/>
    <col min="1031" max="1031" width="12.625" style="2694" customWidth="1"/>
    <col min="1032" max="1032" width="5.75" style="2694" customWidth="1"/>
    <col min="1033" max="1037" width="9.625" style="2694" customWidth="1"/>
    <col min="1038" max="1040" width="8.75" style="2694" customWidth="1"/>
    <col min="1041" max="1280" width="9" style="2694"/>
    <col min="1281" max="1281" width="18.625" style="2694" customWidth="1"/>
    <col min="1282" max="1282" width="5.75" style="2694" customWidth="1"/>
    <col min="1283" max="1283" width="12.625" style="2694" customWidth="1"/>
    <col min="1284" max="1284" width="5.75" style="2694" customWidth="1"/>
    <col min="1285" max="1285" width="12.625" style="2694" customWidth="1"/>
    <col min="1286" max="1286" width="5.75" style="2694" customWidth="1"/>
    <col min="1287" max="1287" width="12.625" style="2694" customWidth="1"/>
    <col min="1288" max="1288" width="5.75" style="2694" customWidth="1"/>
    <col min="1289" max="1293" width="9.625" style="2694" customWidth="1"/>
    <col min="1294" max="1296" width="8.75" style="2694" customWidth="1"/>
    <col min="1297" max="1536" width="9" style="2694"/>
    <col min="1537" max="1537" width="18.625" style="2694" customWidth="1"/>
    <col min="1538" max="1538" width="5.75" style="2694" customWidth="1"/>
    <col min="1539" max="1539" width="12.625" style="2694" customWidth="1"/>
    <col min="1540" max="1540" width="5.75" style="2694" customWidth="1"/>
    <col min="1541" max="1541" width="12.625" style="2694" customWidth="1"/>
    <col min="1542" max="1542" width="5.75" style="2694" customWidth="1"/>
    <col min="1543" max="1543" width="12.625" style="2694" customWidth="1"/>
    <col min="1544" max="1544" width="5.75" style="2694" customWidth="1"/>
    <col min="1545" max="1549" width="9.625" style="2694" customWidth="1"/>
    <col min="1550" max="1552" width="8.75" style="2694" customWidth="1"/>
    <col min="1553" max="1792" width="9" style="2694"/>
    <col min="1793" max="1793" width="18.625" style="2694" customWidth="1"/>
    <col min="1794" max="1794" width="5.75" style="2694" customWidth="1"/>
    <col min="1795" max="1795" width="12.625" style="2694" customWidth="1"/>
    <col min="1796" max="1796" width="5.75" style="2694" customWidth="1"/>
    <col min="1797" max="1797" width="12.625" style="2694" customWidth="1"/>
    <col min="1798" max="1798" width="5.75" style="2694" customWidth="1"/>
    <col min="1799" max="1799" width="12.625" style="2694" customWidth="1"/>
    <col min="1800" max="1800" width="5.75" style="2694" customWidth="1"/>
    <col min="1801" max="1805" width="9.625" style="2694" customWidth="1"/>
    <col min="1806" max="1808" width="8.75" style="2694" customWidth="1"/>
    <col min="1809" max="2048" width="9" style="2694"/>
    <col min="2049" max="2049" width="18.625" style="2694" customWidth="1"/>
    <col min="2050" max="2050" width="5.75" style="2694" customWidth="1"/>
    <col min="2051" max="2051" width="12.625" style="2694" customWidth="1"/>
    <col min="2052" max="2052" width="5.75" style="2694" customWidth="1"/>
    <col min="2053" max="2053" width="12.625" style="2694" customWidth="1"/>
    <col min="2054" max="2054" width="5.75" style="2694" customWidth="1"/>
    <col min="2055" max="2055" width="12.625" style="2694" customWidth="1"/>
    <col min="2056" max="2056" width="5.75" style="2694" customWidth="1"/>
    <col min="2057" max="2061" width="9.625" style="2694" customWidth="1"/>
    <col min="2062" max="2064" width="8.75" style="2694" customWidth="1"/>
    <col min="2065" max="2304" width="9" style="2694"/>
    <col min="2305" max="2305" width="18.625" style="2694" customWidth="1"/>
    <col min="2306" max="2306" width="5.75" style="2694" customWidth="1"/>
    <col min="2307" max="2307" width="12.625" style="2694" customWidth="1"/>
    <col min="2308" max="2308" width="5.75" style="2694" customWidth="1"/>
    <col min="2309" max="2309" width="12.625" style="2694" customWidth="1"/>
    <col min="2310" max="2310" width="5.75" style="2694" customWidth="1"/>
    <col min="2311" max="2311" width="12.625" style="2694" customWidth="1"/>
    <col min="2312" max="2312" width="5.75" style="2694" customWidth="1"/>
    <col min="2313" max="2317" width="9.625" style="2694" customWidth="1"/>
    <col min="2318" max="2320" width="8.75" style="2694" customWidth="1"/>
    <col min="2321" max="2560" width="9" style="2694"/>
    <col min="2561" max="2561" width="18.625" style="2694" customWidth="1"/>
    <col min="2562" max="2562" width="5.75" style="2694" customWidth="1"/>
    <col min="2563" max="2563" width="12.625" style="2694" customWidth="1"/>
    <col min="2564" max="2564" width="5.75" style="2694" customWidth="1"/>
    <col min="2565" max="2565" width="12.625" style="2694" customWidth="1"/>
    <col min="2566" max="2566" width="5.75" style="2694" customWidth="1"/>
    <col min="2567" max="2567" width="12.625" style="2694" customWidth="1"/>
    <col min="2568" max="2568" width="5.75" style="2694" customWidth="1"/>
    <col min="2569" max="2573" width="9.625" style="2694" customWidth="1"/>
    <col min="2574" max="2576" width="8.75" style="2694" customWidth="1"/>
    <col min="2577" max="2816" width="9" style="2694"/>
    <col min="2817" max="2817" width="18.625" style="2694" customWidth="1"/>
    <col min="2818" max="2818" width="5.75" style="2694" customWidth="1"/>
    <col min="2819" max="2819" width="12.625" style="2694" customWidth="1"/>
    <col min="2820" max="2820" width="5.75" style="2694" customWidth="1"/>
    <col min="2821" max="2821" width="12.625" style="2694" customWidth="1"/>
    <col min="2822" max="2822" width="5.75" style="2694" customWidth="1"/>
    <col min="2823" max="2823" width="12.625" style="2694" customWidth="1"/>
    <col min="2824" max="2824" width="5.75" style="2694" customWidth="1"/>
    <col min="2825" max="2829" width="9.625" style="2694" customWidth="1"/>
    <col min="2830" max="2832" width="8.75" style="2694" customWidth="1"/>
    <col min="2833" max="3072" width="9" style="2694"/>
    <col min="3073" max="3073" width="18.625" style="2694" customWidth="1"/>
    <col min="3074" max="3074" width="5.75" style="2694" customWidth="1"/>
    <col min="3075" max="3075" width="12.625" style="2694" customWidth="1"/>
    <col min="3076" max="3076" width="5.75" style="2694" customWidth="1"/>
    <col min="3077" max="3077" width="12.625" style="2694" customWidth="1"/>
    <col min="3078" max="3078" width="5.75" style="2694" customWidth="1"/>
    <col min="3079" max="3079" width="12.625" style="2694" customWidth="1"/>
    <col min="3080" max="3080" width="5.75" style="2694" customWidth="1"/>
    <col min="3081" max="3085" width="9.625" style="2694" customWidth="1"/>
    <col min="3086" max="3088" width="8.75" style="2694" customWidth="1"/>
    <col min="3089" max="3328" width="9" style="2694"/>
    <col min="3329" max="3329" width="18.625" style="2694" customWidth="1"/>
    <col min="3330" max="3330" width="5.75" style="2694" customWidth="1"/>
    <col min="3331" max="3331" width="12.625" style="2694" customWidth="1"/>
    <col min="3332" max="3332" width="5.75" style="2694" customWidth="1"/>
    <col min="3333" max="3333" width="12.625" style="2694" customWidth="1"/>
    <col min="3334" max="3334" width="5.75" style="2694" customWidth="1"/>
    <col min="3335" max="3335" width="12.625" style="2694" customWidth="1"/>
    <col min="3336" max="3336" width="5.75" style="2694" customWidth="1"/>
    <col min="3337" max="3341" width="9.625" style="2694" customWidth="1"/>
    <col min="3342" max="3344" width="8.75" style="2694" customWidth="1"/>
    <col min="3345" max="3584" width="9" style="2694"/>
    <col min="3585" max="3585" width="18.625" style="2694" customWidth="1"/>
    <col min="3586" max="3586" width="5.75" style="2694" customWidth="1"/>
    <col min="3587" max="3587" width="12.625" style="2694" customWidth="1"/>
    <col min="3588" max="3588" width="5.75" style="2694" customWidth="1"/>
    <col min="3589" max="3589" width="12.625" style="2694" customWidth="1"/>
    <col min="3590" max="3590" width="5.75" style="2694" customWidth="1"/>
    <col min="3591" max="3591" width="12.625" style="2694" customWidth="1"/>
    <col min="3592" max="3592" width="5.75" style="2694" customWidth="1"/>
    <col min="3593" max="3597" width="9.625" style="2694" customWidth="1"/>
    <col min="3598" max="3600" width="8.75" style="2694" customWidth="1"/>
    <col min="3601" max="3840" width="9" style="2694"/>
    <col min="3841" max="3841" width="18.625" style="2694" customWidth="1"/>
    <col min="3842" max="3842" width="5.75" style="2694" customWidth="1"/>
    <col min="3843" max="3843" width="12.625" style="2694" customWidth="1"/>
    <col min="3844" max="3844" width="5.75" style="2694" customWidth="1"/>
    <col min="3845" max="3845" width="12.625" style="2694" customWidth="1"/>
    <col min="3846" max="3846" width="5.75" style="2694" customWidth="1"/>
    <col min="3847" max="3847" width="12.625" style="2694" customWidth="1"/>
    <col min="3848" max="3848" width="5.75" style="2694" customWidth="1"/>
    <col min="3849" max="3853" width="9.625" style="2694" customWidth="1"/>
    <col min="3854" max="3856" width="8.75" style="2694" customWidth="1"/>
    <col min="3857" max="4096" width="9" style="2694"/>
    <col min="4097" max="4097" width="18.625" style="2694" customWidth="1"/>
    <col min="4098" max="4098" width="5.75" style="2694" customWidth="1"/>
    <col min="4099" max="4099" width="12.625" style="2694" customWidth="1"/>
    <col min="4100" max="4100" width="5.75" style="2694" customWidth="1"/>
    <col min="4101" max="4101" width="12.625" style="2694" customWidth="1"/>
    <col min="4102" max="4102" width="5.75" style="2694" customWidth="1"/>
    <col min="4103" max="4103" width="12.625" style="2694" customWidth="1"/>
    <col min="4104" max="4104" width="5.75" style="2694" customWidth="1"/>
    <col min="4105" max="4109" width="9.625" style="2694" customWidth="1"/>
    <col min="4110" max="4112" width="8.75" style="2694" customWidth="1"/>
    <col min="4113" max="4352" width="9" style="2694"/>
    <col min="4353" max="4353" width="18.625" style="2694" customWidth="1"/>
    <col min="4354" max="4354" width="5.75" style="2694" customWidth="1"/>
    <col min="4355" max="4355" width="12.625" style="2694" customWidth="1"/>
    <col min="4356" max="4356" width="5.75" style="2694" customWidth="1"/>
    <col min="4357" max="4357" width="12.625" style="2694" customWidth="1"/>
    <col min="4358" max="4358" width="5.75" style="2694" customWidth="1"/>
    <col min="4359" max="4359" width="12.625" style="2694" customWidth="1"/>
    <col min="4360" max="4360" width="5.75" style="2694" customWidth="1"/>
    <col min="4361" max="4365" width="9.625" style="2694" customWidth="1"/>
    <col min="4366" max="4368" width="8.75" style="2694" customWidth="1"/>
    <col min="4369" max="4608" width="9" style="2694"/>
    <col min="4609" max="4609" width="18.625" style="2694" customWidth="1"/>
    <col min="4610" max="4610" width="5.75" style="2694" customWidth="1"/>
    <col min="4611" max="4611" width="12.625" style="2694" customWidth="1"/>
    <col min="4612" max="4612" width="5.75" style="2694" customWidth="1"/>
    <col min="4613" max="4613" width="12.625" style="2694" customWidth="1"/>
    <col min="4614" max="4614" width="5.75" style="2694" customWidth="1"/>
    <col min="4615" max="4615" width="12.625" style="2694" customWidth="1"/>
    <col min="4616" max="4616" width="5.75" style="2694" customWidth="1"/>
    <col min="4617" max="4621" width="9.625" style="2694" customWidth="1"/>
    <col min="4622" max="4624" width="8.75" style="2694" customWidth="1"/>
    <col min="4625" max="4864" width="9" style="2694"/>
    <col min="4865" max="4865" width="18.625" style="2694" customWidth="1"/>
    <col min="4866" max="4866" width="5.75" style="2694" customWidth="1"/>
    <col min="4867" max="4867" width="12.625" style="2694" customWidth="1"/>
    <col min="4868" max="4868" width="5.75" style="2694" customWidth="1"/>
    <col min="4869" max="4869" width="12.625" style="2694" customWidth="1"/>
    <col min="4870" max="4870" width="5.75" style="2694" customWidth="1"/>
    <col min="4871" max="4871" width="12.625" style="2694" customWidth="1"/>
    <col min="4872" max="4872" width="5.75" style="2694" customWidth="1"/>
    <col min="4873" max="4877" width="9.625" style="2694" customWidth="1"/>
    <col min="4878" max="4880" width="8.75" style="2694" customWidth="1"/>
    <col min="4881" max="5120" width="9" style="2694"/>
    <col min="5121" max="5121" width="18.625" style="2694" customWidth="1"/>
    <col min="5122" max="5122" width="5.75" style="2694" customWidth="1"/>
    <col min="5123" max="5123" width="12.625" style="2694" customWidth="1"/>
    <col min="5124" max="5124" width="5.75" style="2694" customWidth="1"/>
    <col min="5125" max="5125" width="12.625" style="2694" customWidth="1"/>
    <col min="5126" max="5126" width="5.75" style="2694" customWidth="1"/>
    <col min="5127" max="5127" width="12.625" style="2694" customWidth="1"/>
    <col min="5128" max="5128" width="5.75" style="2694" customWidth="1"/>
    <col min="5129" max="5133" width="9.625" style="2694" customWidth="1"/>
    <col min="5134" max="5136" width="8.75" style="2694" customWidth="1"/>
    <col min="5137" max="5376" width="9" style="2694"/>
    <col min="5377" max="5377" width="18.625" style="2694" customWidth="1"/>
    <col min="5378" max="5378" width="5.75" style="2694" customWidth="1"/>
    <col min="5379" max="5379" width="12.625" style="2694" customWidth="1"/>
    <col min="5380" max="5380" width="5.75" style="2694" customWidth="1"/>
    <col min="5381" max="5381" width="12.625" style="2694" customWidth="1"/>
    <col min="5382" max="5382" width="5.75" style="2694" customWidth="1"/>
    <col min="5383" max="5383" width="12.625" style="2694" customWidth="1"/>
    <col min="5384" max="5384" width="5.75" style="2694" customWidth="1"/>
    <col min="5385" max="5389" width="9.625" style="2694" customWidth="1"/>
    <col min="5390" max="5392" width="8.75" style="2694" customWidth="1"/>
    <col min="5393" max="5632" width="9" style="2694"/>
    <col min="5633" max="5633" width="18.625" style="2694" customWidth="1"/>
    <col min="5634" max="5634" width="5.75" style="2694" customWidth="1"/>
    <col min="5635" max="5635" width="12.625" style="2694" customWidth="1"/>
    <col min="5636" max="5636" width="5.75" style="2694" customWidth="1"/>
    <col min="5637" max="5637" width="12.625" style="2694" customWidth="1"/>
    <col min="5638" max="5638" width="5.75" style="2694" customWidth="1"/>
    <col min="5639" max="5639" width="12.625" style="2694" customWidth="1"/>
    <col min="5640" max="5640" width="5.75" style="2694" customWidth="1"/>
    <col min="5641" max="5645" width="9.625" style="2694" customWidth="1"/>
    <col min="5646" max="5648" width="8.75" style="2694" customWidth="1"/>
    <col min="5649" max="5888" width="9" style="2694"/>
    <col min="5889" max="5889" width="18.625" style="2694" customWidth="1"/>
    <col min="5890" max="5890" width="5.75" style="2694" customWidth="1"/>
    <col min="5891" max="5891" width="12.625" style="2694" customWidth="1"/>
    <col min="5892" max="5892" width="5.75" style="2694" customWidth="1"/>
    <col min="5893" max="5893" width="12.625" style="2694" customWidth="1"/>
    <col min="5894" max="5894" width="5.75" style="2694" customWidth="1"/>
    <col min="5895" max="5895" width="12.625" style="2694" customWidth="1"/>
    <col min="5896" max="5896" width="5.75" style="2694" customWidth="1"/>
    <col min="5897" max="5901" width="9.625" style="2694" customWidth="1"/>
    <col min="5902" max="5904" width="8.75" style="2694" customWidth="1"/>
    <col min="5905" max="6144" width="9" style="2694"/>
    <col min="6145" max="6145" width="18.625" style="2694" customWidth="1"/>
    <col min="6146" max="6146" width="5.75" style="2694" customWidth="1"/>
    <col min="6147" max="6147" width="12.625" style="2694" customWidth="1"/>
    <col min="6148" max="6148" width="5.75" style="2694" customWidth="1"/>
    <col min="6149" max="6149" width="12.625" style="2694" customWidth="1"/>
    <col min="6150" max="6150" width="5.75" style="2694" customWidth="1"/>
    <col min="6151" max="6151" width="12.625" style="2694" customWidth="1"/>
    <col min="6152" max="6152" width="5.75" style="2694" customWidth="1"/>
    <col min="6153" max="6157" width="9.625" style="2694" customWidth="1"/>
    <col min="6158" max="6160" width="8.75" style="2694" customWidth="1"/>
    <col min="6161" max="6400" width="9" style="2694"/>
    <col min="6401" max="6401" width="18.625" style="2694" customWidth="1"/>
    <col min="6402" max="6402" width="5.75" style="2694" customWidth="1"/>
    <col min="6403" max="6403" width="12.625" style="2694" customWidth="1"/>
    <col min="6404" max="6404" width="5.75" style="2694" customWidth="1"/>
    <col min="6405" max="6405" width="12.625" style="2694" customWidth="1"/>
    <col min="6406" max="6406" width="5.75" style="2694" customWidth="1"/>
    <col min="6407" max="6407" width="12.625" style="2694" customWidth="1"/>
    <col min="6408" max="6408" width="5.75" style="2694" customWidth="1"/>
    <col min="6409" max="6413" width="9.625" style="2694" customWidth="1"/>
    <col min="6414" max="6416" width="8.75" style="2694" customWidth="1"/>
    <col min="6417" max="6656" width="9" style="2694"/>
    <col min="6657" max="6657" width="18.625" style="2694" customWidth="1"/>
    <col min="6658" max="6658" width="5.75" style="2694" customWidth="1"/>
    <col min="6659" max="6659" width="12.625" style="2694" customWidth="1"/>
    <col min="6660" max="6660" width="5.75" style="2694" customWidth="1"/>
    <col min="6661" max="6661" width="12.625" style="2694" customWidth="1"/>
    <col min="6662" max="6662" width="5.75" style="2694" customWidth="1"/>
    <col min="6663" max="6663" width="12.625" style="2694" customWidth="1"/>
    <col min="6664" max="6664" width="5.75" style="2694" customWidth="1"/>
    <col min="6665" max="6669" width="9.625" style="2694" customWidth="1"/>
    <col min="6670" max="6672" width="8.75" style="2694" customWidth="1"/>
    <col min="6673" max="6912" width="9" style="2694"/>
    <col min="6913" max="6913" width="18.625" style="2694" customWidth="1"/>
    <col min="6914" max="6914" width="5.75" style="2694" customWidth="1"/>
    <col min="6915" max="6915" width="12.625" style="2694" customWidth="1"/>
    <col min="6916" max="6916" width="5.75" style="2694" customWidth="1"/>
    <col min="6917" max="6917" width="12.625" style="2694" customWidth="1"/>
    <col min="6918" max="6918" width="5.75" style="2694" customWidth="1"/>
    <col min="6919" max="6919" width="12.625" style="2694" customWidth="1"/>
    <col min="6920" max="6920" width="5.75" style="2694" customWidth="1"/>
    <col min="6921" max="6925" width="9.625" style="2694" customWidth="1"/>
    <col min="6926" max="6928" width="8.75" style="2694" customWidth="1"/>
    <col min="6929" max="7168" width="9" style="2694"/>
    <col min="7169" max="7169" width="18.625" style="2694" customWidth="1"/>
    <col min="7170" max="7170" width="5.75" style="2694" customWidth="1"/>
    <col min="7171" max="7171" width="12.625" style="2694" customWidth="1"/>
    <col min="7172" max="7172" width="5.75" style="2694" customWidth="1"/>
    <col min="7173" max="7173" width="12.625" style="2694" customWidth="1"/>
    <col min="7174" max="7174" width="5.75" style="2694" customWidth="1"/>
    <col min="7175" max="7175" width="12.625" style="2694" customWidth="1"/>
    <col min="7176" max="7176" width="5.75" style="2694" customWidth="1"/>
    <col min="7177" max="7181" width="9.625" style="2694" customWidth="1"/>
    <col min="7182" max="7184" width="8.75" style="2694" customWidth="1"/>
    <col min="7185" max="7424" width="9" style="2694"/>
    <col min="7425" max="7425" width="18.625" style="2694" customWidth="1"/>
    <col min="7426" max="7426" width="5.75" style="2694" customWidth="1"/>
    <col min="7427" max="7427" width="12.625" style="2694" customWidth="1"/>
    <col min="7428" max="7428" width="5.75" style="2694" customWidth="1"/>
    <col min="7429" max="7429" width="12.625" style="2694" customWidth="1"/>
    <col min="7430" max="7430" width="5.75" style="2694" customWidth="1"/>
    <col min="7431" max="7431" width="12.625" style="2694" customWidth="1"/>
    <col min="7432" max="7432" width="5.75" style="2694" customWidth="1"/>
    <col min="7433" max="7437" width="9.625" style="2694" customWidth="1"/>
    <col min="7438" max="7440" width="8.75" style="2694" customWidth="1"/>
    <col min="7441" max="7680" width="9" style="2694"/>
    <col min="7681" max="7681" width="18.625" style="2694" customWidth="1"/>
    <col min="7682" max="7682" width="5.75" style="2694" customWidth="1"/>
    <col min="7683" max="7683" width="12.625" style="2694" customWidth="1"/>
    <col min="7684" max="7684" width="5.75" style="2694" customWidth="1"/>
    <col min="7685" max="7685" width="12.625" style="2694" customWidth="1"/>
    <col min="7686" max="7686" width="5.75" style="2694" customWidth="1"/>
    <col min="7687" max="7687" width="12.625" style="2694" customWidth="1"/>
    <col min="7688" max="7688" width="5.75" style="2694" customWidth="1"/>
    <col min="7689" max="7693" width="9.625" style="2694" customWidth="1"/>
    <col min="7694" max="7696" width="8.75" style="2694" customWidth="1"/>
    <col min="7697" max="7936" width="9" style="2694"/>
    <col min="7937" max="7937" width="18.625" style="2694" customWidth="1"/>
    <col min="7938" max="7938" width="5.75" style="2694" customWidth="1"/>
    <col min="7939" max="7939" width="12.625" style="2694" customWidth="1"/>
    <col min="7940" max="7940" width="5.75" style="2694" customWidth="1"/>
    <col min="7941" max="7941" width="12.625" style="2694" customWidth="1"/>
    <col min="7942" max="7942" width="5.75" style="2694" customWidth="1"/>
    <col min="7943" max="7943" width="12.625" style="2694" customWidth="1"/>
    <col min="7944" max="7944" width="5.75" style="2694" customWidth="1"/>
    <col min="7945" max="7949" width="9.625" style="2694" customWidth="1"/>
    <col min="7950" max="7952" width="8.75" style="2694" customWidth="1"/>
    <col min="7953" max="8192" width="9" style="2694"/>
    <col min="8193" max="8193" width="18.625" style="2694" customWidth="1"/>
    <col min="8194" max="8194" width="5.75" style="2694" customWidth="1"/>
    <col min="8195" max="8195" width="12.625" style="2694" customWidth="1"/>
    <col min="8196" max="8196" width="5.75" style="2694" customWidth="1"/>
    <col min="8197" max="8197" width="12.625" style="2694" customWidth="1"/>
    <col min="8198" max="8198" width="5.75" style="2694" customWidth="1"/>
    <col min="8199" max="8199" width="12.625" style="2694" customWidth="1"/>
    <col min="8200" max="8200" width="5.75" style="2694" customWidth="1"/>
    <col min="8201" max="8205" width="9.625" style="2694" customWidth="1"/>
    <col min="8206" max="8208" width="8.75" style="2694" customWidth="1"/>
    <col min="8209" max="8448" width="9" style="2694"/>
    <col min="8449" max="8449" width="18.625" style="2694" customWidth="1"/>
    <col min="8450" max="8450" width="5.75" style="2694" customWidth="1"/>
    <col min="8451" max="8451" width="12.625" style="2694" customWidth="1"/>
    <col min="8452" max="8452" width="5.75" style="2694" customWidth="1"/>
    <col min="8453" max="8453" width="12.625" style="2694" customWidth="1"/>
    <col min="8454" max="8454" width="5.75" style="2694" customWidth="1"/>
    <col min="8455" max="8455" width="12.625" style="2694" customWidth="1"/>
    <col min="8456" max="8456" width="5.75" style="2694" customWidth="1"/>
    <col min="8457" max="8461" width="9.625" style="2694" customWidth="1"/>
    <col min="8462" max="8464" width="8.75" style="2694" customWidth="1"/>
    <col min="8465" max="8704" width="9" style="2694"/>
    <col min="8705" max="8705" width="18.625" style="2694" customWidth="1"/>
    <col min="8706" max="8706" width="5.75" style="2694" customWidth="1"/>
    <col min="8707" max="8707" width="12.625" style="2694" customWidth="1"/>
    <col min="8708" max="8708" width="5.75" style="2694" customWidth="1"/>
    <col min="8709" max="8709" width="12.625" style="2694" customWidth="1"/>
    <col min="8710" max="8710" width="5.75" style="2694" customWidth="1"/>
    <col min="8711" max="8711" width="12.625" style="2694" customWidth="1"/>
    <col min="8712" max="8712" width="5.75" style="2694" customWidth="1"/>
    <col min="8713" max="8717" width="9.625" style="2694" customWidth="1"/>
    <col min="8718" max="8720" width="8.75" style="2694" customWidth="1"/>
    <col min="8721" max="8960" width="9" style="2694"/>
    <col min="8961" max="8961" width="18.625" style="2694" customWidth="1"/>
    <col min="8962" max="8962" width="5.75" style="2694" customWidth="1"/>
    <col min="8963" max="8963" width="12.625" style="2694" customWidth="1"/>
    <col min="8964" max="8964" width="5.75" style="2694" customWidth="1"/>
    <col min="8965" max="8965" width="12.625" style="2694" customWidth="1"/>
    <col min="8966" max="8966" width="5.75" style="2694" customWidth="1"/>
    <col min="8967" max="8967" width="12.625" style="2694" customWidth="1"/>
    <col min="8968" max="8968" width="5.75" style="2694" customWidth="1"/>
    <col min="8969" max="8973" width="9.625" style="2694" customWidth="1"/>
    <col min="8974" max="8976" width="8.75" style="2694" customWidth="1"/>
    <col min="8977" max="9216" width="9" style="2694"/>
    <col min="9217" max="9217" width="18.625" style="2694" customWidth="1"/>
    <col min="9218" max="9218" width="5.75" style="2694" customWidth="1"/>
    <col min="9219" max="9219" width="12.625" style="2694" customWidth="1"/>
    <col min="9220" max="9220" width="5.75" style="2694" customWidth="1"/>
    <col min="9221" max="9221" width="12.625" style="2694" customWidth="1"/>
    <col min="9222" max="9222" width="5.75" style="2694" customWidth="1"/>
    <col min="9223" max="9223" width="12.625" style="2694" customWidth="1"/>
    <col min="9224" max="9224" width="5.75" style="2694" customWidth="1"/>
    <col min="9225" max="9229" width="9.625" style="2694" customWidth="1"/>
    <col min="9230" max="9232" width="8.75" style="2694" customWidth="1"/>
    <col min="9233" max="9472" width="9" style="2694"/>
    <col min="9473" max="9473" width="18.625" style="2694" customWidth="1"/>
    <col min="9474" max="9474" width="5.75" style="2694" customWidth="1"/>
    <col min="9475" max="9475" width="12.625" style="2694" customWidth="1"/>
    <col min="9476" max="9476" width="5.75" style="2694" customWidth="1"/>
    <col min="9477" max="9477" width="12.625" style="2694" customWidth="1"/>
    <col min="9478" max="9478" width="5.75" style="2694" customWidth="1"/>
    <col min="9479" max="9479" width="12.625" style="2694" customWidth="1"/>
    <col min="9480" max="9480" width="5.75" style="2694" customWidth="1"/>
    <col min="9481" max="9485" width="9.625" style="2694" customWidth="1"/>
    <col min="9486" max="9488" width="8.75" style="2694" customWidth="1"/>
    <col min="9489" max="9728" width="9" style="2694"/>
    <col min="9729" max="9729" width="18.625" style="2694" customWidth="1"/>
    <col min="9730" max="9730" width="5.75" style="2694" customWidth="1"/>
    <col min="9731" max="9731" width="12.625" style="2694" customWidth="1"/>
    <col min="9732" max="9732" width="5.75" style="2694" customWidth="1"/>
    <col min="9733" max="9733" width="12.625" style="2694" customWidth="1"/>
    <col min="9734" max="9734" width="5.75" style="2694" customWidth="1"/>
    <col min="9735" max="9735" width="12.625" style="2694" customWidth="1"/>
    <col min="9736" max="9736" width="5.75" style="2694" customWidth="1"/>
    <col min="9737" max="9741" width="9.625" style="2694" customWidth="1"/>
    <col min="9742" max="9744" width="8.75" style="2694" customWidth="1"/>
    <col min="9745" max="9984" width="9" style="2694"/>
    <col min="9985" max="9985" width="18.625" style="2694" customWidth="1"/>
    <col min="9986" max="9986" width="5.75" style="2694" customWidth="1"/>
    <col min="9987" max="9987" width="12.625" style="2694" customWidth="1"/>
    <col min="9988" max="9988" width="5.75" style="2694" customWidth="1"/>
    <col min="9989" max="9989" width="12.625" style="2694" customWidth="1"/>
    <col min="9990" max="9990" width="5.75" style="2694" customWidth="1"/>
    <col min="9991" max="9991" width="12.625" style="2694" customWidth="1"/>
    <col min="9992" max="9992" width="5.75" style="2694" customWidth="1"/>
    <col min="9993" max="9997" width="9.625" style="2694" customWidth="1"/>
    <col min="9998" max="10000" width="8.75" style="2694" customWidth="1"/>
    <col min="10001" max="10240" width="9" style="2694"/>
    <col min="10241" max="10241" width="18.625" style="2694" customWidth="1"/>
    <col min="10242" max="10242" width="5.75" style="2694" customWidth="1"/>
    <col min="10243" max="10243" width="12.625" style="2694" customWidth="1"/>
    <col min="10244" max="10244" width="5.75" style="2694" customWidth="1"/>
    <col min="10245" max="10245" width="12.625" style="2694" customWidth="1"/>
    <col min="10246" max="10246" width="5.75" style="2694" customWidth="1"/>
    <col min="10247" max="10247" width="12.625" style="2694" customWidth="1"/>
    <col min="10248" max="10248" width="5.75" style="2694" customWidth="1"/>
    <col min="10249" max="10253" width="9.625" style="2694" customWidth="1"/>
    <col min="10254" max="10256" width="8.75" style="2694" customWidth="1"/>
    <col min="10257" max="10496" width="9" style="2694"/>
    <col min="10497" max="10497" width="18.625" style="2694" customWidth="1"/>
    <col min="10498" max="10498" width="5.75" style="2694" customWidth="1"/>
    <col min="10499" max="10499" width="12.625" style="2694" customWidth="1"/>
    <col min="10500" max="10500" width="5.75" style="2694" customWidth="1"/>
    <col min="10501" max="10501" width="12.625" style="2694" customWidth="1"/>
    <col min="10502" max="10502" width="5.75" style="2694" customWidth="1"/>
    <col min="10503" max="10503" width="12.625" style="2694" customWidth="1"/>
    <col min="10504" max="10504" width="5.75" style="2694" customWidth="1"/>
    <col min="10505" max="10509" width="9.625" style="2694" customWidth="1"/>
    <col min="10510" max="10512" width="8.75" style="2694" customWidth="1"/>
    <col min="10513" max="10752" width="9" style="2694"/>
    <col min="10753" max="10753" width="18.625" style="2694" customWidth="1"/>
    <col min="10754" max="10754" width="5.75" style="2694" customWidth="1"/>
    <col min="10755" max="10755" width="12.625" style="2694" customWidth="1"/>
    <col min="10756" max="10756" width="5.75" style="2694" customWidth="1"/>
    <col min="10757" max="10757" width="12.625" style="2694" customWidth="1"/>
    <col min="10758" max="10758" width="5.75" style="2694" customWidth="1"/>
    <col min="10759" max="10759" width="12.625" style="2694" customWidth="1"/>
    <col min="10760" max="10760" width="5.75" style="2694" customWidth="1"/>
    <col min="10761" max="10765" width="9.625" style="2694" customWidth="1"/>
    <col min="10766" max="10768" width="8.75" style="2694" customWidth="1"/>
    <col min="10769" max="11008" width="9" style="2694"/>
    <col min="11009" max="11009" width="18.625" style="2694" customWidth="1"/>
    <col min="11010" max="11010" width="5.75" style="2694" customWidth="1"/>
    <col min="11011" max="11011" width="12.625" style="2694" customWidth="1"/>
    <col min="11012" max="11012" width="5.75" style="2694" customWidth="1"/>
    <col min="11013" max="11013" width="12.625" style="2694" customWidth="1"/>
    <col min="11014" max="11014" width="5.75" style="2694" customWidth="1"/>
    <col min="11015" max="11015" width="12.625" style="2694" customWidth="1"/>
    <col min="11016" max="11016" width="5.75" style="2694" customWidth="1"/>
    <col min="11017" max="11021" width="9.625" style="2694" customWidth="1"/>
    <col min="11022" max="11024" width="8.75" style="2694" customWidth="1"/>
    <col min="11025" max="11264" width="9" style="2694"/>
    <col min="11265" max="11265" width="18.625" style="2694" customWidth="1"/>
    <col min="11266" max="11266" width="5.75" style="2694" customWidth="1"/>
    <col min="11267" max="11267" width="12.625" style="2694" customWidth="1"/>
    <col min="11268" max="11268" width="5.75" style="2694" customWidth="1"/>
    <col min="11269" max="11269" width="12.625" style="2694" customWidth="1"/>
    <col min="11270" max="11270" width="5.75" style="2694" customWidth="1"/>
    <col min="11271" max="11271" width="12.625" style="2694" customWidth="1"/>
    <col min="11272" max="11272" width="5.75" style="2694" customWidth="1"/>
    <col min="11273" max="11277" width="9.625" style="2694" customWidth="1"/>
    <col min="11278" max="11280" width="8.75" style="2694" customWidth="1"/>
    <col min="11281" max="11520" width="9" style="2694"/>
    <col min="11521" max="11521" width="18.625" style="2694" customWidth="1"/>
    <col min="11522" max="11522" width="5.75" style="2694" customWidth="1"/>
    <col min="11523" max="11523" width="12.625" style="2694" customWidth="1"/>
    <col min="11524" max="11524" width="5.75" style="2694" customWidth="1"/>
    <col min="11525" max="11525" width="12.625" style="2694" customWidth="1"/>
    <col min="11526" max="11526" width="5.75" style="2694" customWidth="1"/>
    <col min="11527" max="11527" width="12.625" style="2694" customWidth="1"/>
    <col min="11528" max="11528" width="5.75" style="2694" customWidth="1"/>
    <col min="11529" max="11533" width="9.625" style="2694" customWidth="1"/>
    <col min="11534" max="11536" width="8.75" style="2694" customWidth="1"/>
    <col min="11537" max="11776" width="9" style="2694"/>
    <col min="11777" max="11777" width="18.625" style="2694" customWidth="1"/>
    <col min="11778" max="11778" width="5.75" style="2694" customWidth="1"/>
    <col min="11779" max="11779" width="12.625" style="2694" customWidth="1"/>
    <col min="11780" max="11780" width="5.75" style="2694" customWidth="1"/>
    <col min="11781" max="11781" width="12.625" style="2694" customWidth="1"/>
    <col min="11782" max="11782" width="5.75" style="2694" customWidth="1"/>
    <col min="11783" max="11783" width="12.625" style="2694" customWidth="1"/>
    <col min="11784" max="11784" width="5.75" style="2694" customWidth="1"/>
    <col min="11785" max="11789" width="9.625" style="2694" customWidth="1"/>
    <col min="11790" max="11792" width="8.75" style="2694" customWidth="1"/>
    <col min="11793" max="12032" width="9" style="2694"/>
    <col min="12033" max="12033" width="18.625" style="2694" customWidth="1"/>
    <col min="12034" max="12034" width="5.75" style="2694" customWidth="1"/>
    <col min="12035" max="12035" width="12.625" style="2694" customWidth="1"/>
    <col min="12036" max="12036" width="5.75" style="2694" customWidth="1"/>
    <col min="12037" max="12037" width="12.625" style="2694" customWidth="1"/>
    <col min="12038" max="12038" width="5.75" style="2694" customWidth="1"/>
    <col min="12039" max="12039" width="12.625" style="2694" customWidth="1"/>
    <col min="12040" max="12040" width="5.75" style="2694" customWidth="1"/>
    <col min="12041" max="12045" width="9.625" style="2694" customWidth="1"/>
    <col min="12046" max="12048" width="8.75" style="2694" customWidth="1"/>
    <col min="12049" max="12288" width="9" style="2694"/>
    <col min="12289" max="12289" width="18.625" style="2694" customWidth="1"/>
    <col min="12290" max="12290" width="5.75" style="2694" customWidth="1"/>
    <col min="12291" max="12291" width="12.625" style="2694" customWidth="1"/>
    <col min="12292" max="12292" width="5.75" style="2694" customWidth="1"/>
    <col min="12293" max="12293" width="12.625" style="2694" customWidth="1"/>
    <col min="12294" max="12294" width="5.75" style="2694" customWidth="1"/>
    <col min="12295" max="12295" width="12.625" style="2694" customWidth="1"/>
    <col min="12296" max="12296" width="5.75" style="2694" customWidth="1"/>
    <col min="12297" max="12301" width="9.625" style="2694" customWidth="1"/>
    <col min="12302" max="12304" width="8.75" style="2694" customWidth="1"/>
    <col min="12305" max="12544" width="9" style="2694"/>
    <col min="12545" max="12545" width="18.625" style="2694" customWidth="1"/>
    <col min="12546" max="12546" width="5.75" style="2694" customWidth="1"/>
    <col min="12547" max="12547" width="12.625" style="2694" customWidth="1"/>
    <col min="12548" max="12548" width="5.75" style="2694" customWidth="1"/>
    <col min="12549" max="12549" width="12.625" style="2694" customWidth="1"/>
    <col min="12550" max="12550" width="5.75" style="2694" customWidth="1"/>
    <col min="12551" max="12551" width="12.625" style="2694" customWidth="1"/>
    <col min="12552" max="12552" width="5.75" style="2694" customWidth="1"/>
    <col min="12553" max="12557" width="9.625" style="2694" customWidth="1"/>
    <col min="12558" max="12560" width="8.75" style="2694" customWidth="1"/>
    <col min="12561" max="12800" width="9" style="2694"/>
    <col min="12801" max="12801" width="18.625" style="2694" customWidth="1"/>
    <col min="12802" max="12802" width="5.75" style="2694" customWidth="1"/>
    <col min="12803" max="12803" width="12.625" style="2694" customWidth="1"/>
    <col min="12804" max="12804" width="5.75" style="2694" customWidth="1"/>
    <col min="12805" max="12805" width="12.625" style="2694" customWidth="1"/>
    <col min="12806" max="12806" width="5.75" style="2694" customWidth="1"/>
    <col min="12807" max="12807" width="12.625" style="2694" customWidth="1"/>
    <col min="12808" max="12808" width="5.75" style="2694" customWidth="1"/>
    <col min="12809" max="12813" width="9.625" style="2694" customWidth="1"/>
    <col min="12814" max="12816" width="8.75" style="2694" customWidth="1"/>
    <col min="12817" max="13056" width="9" style="2694"/>
    <col min="13057" max="13057" width="18.625" style="2694" customWidth="1"/>
    <col min="13058" max="13058" width="5.75" style="2694" customWidth="1"/>
    <col min="13059" max="13059" width="12.625" style="2694" customWidth="1"/>
    <col min="13060" max="13060" width="5.75" style="2694" customWidth="1"/>
    <col min="13061" max="13061" width="12.625" style="2694" customWidth="1"/>
    <col min="13062" max="13062" width="5.75" style="2694" customWidth="1"/>
    <col min="13063" max="13063" width="12.625" style="2694" customWidth="1"/>
    <col min="13064" max="13064" width="5.75" style="2694" customWidth="1"/>
    <col min="13065" max="13069" width="9.625" style="2694" customWidth="1"/>
    <col min="13070" max="13072" width="8.75" style="2694" customWidth="1"/>
    <col min="13073" max="13312" width="9" style="2694"/>
    <col min="13313" max="13313" width="18.625" style="2694" customWidth="1"/>
    <col min="13314" max="13314" width="5.75" style="2694" customWidth="1"/>
    <col min="13315" max="13315" width="12.625" style="2694" customWidth="1"/>
    <col min="13316" max="13316" width="5.75" style="2694" customWidth="1"/>
    <col min="13317" max="13317" width="12.625" style="2694" customWidth="1"/>
    <col min="13318" max="13318" width="5.75" style="2694" customWidth="1"/>
    <col min="13319" max="13319" width="12.625" style="2694" customWidth="1"/>
    <col min="13320" max="13320" width="5.75" style="2694" customWidth="1"/>
    <col min="13321" max="13325" width="9.625" style="2694" customWidth="1"/>
    <col min="13326" max="13328" width="8.75" style="2694" customWidth="1"/>
    <col min="13329" max="13568" width="9" style="2694"/>
    <col min="13569" max="13569" width="18.625" style="2694" customWidth="1"/>
    <col min="13570" max="13570" width="5.75" style="2694" customWidth="1"/>
    <col min="13571" max="13571" width="12.625" style="2694" customWidth="1"/>
    <col min="13572" max="13572" width="5.75" style="2694" customWidth="1"/>
    <col min="13573" max="13573" width="12.625" style="2694" customWidth="1"/>
    <col min="13574" max="13574" width="5.75" style="2694" customWidth="1"/>
    <col min="13575" max="13575" width="12.625" style="2694" customWidth="1"/>
    <col min="13576" max="13576" width="5.75" style="2694" customWidth="1"/>
    <col min="13577" max="13581" width="9.625" style="2694" customWidth="1"/>
    <col min="13582" max="13584" width="8.75" style="2694" customWidth="1"/>
    <col min="13585" max="13824" width="9" style="2694"/>
    <col min="13825" max="13825" width="18.625" style="2694" customWidth="1"/>
    <col min="13826" max="13826" width="5.75" style="2694" customWidth="1"/>
    <col min="13827" max="13827" width="12.625" style="2694" customWidth="1"/>
    <col min="13828" max="13828" width="5.75" style="2694" customWidth="1"/>
    <col min="13829" max="13829" width="12.625" style="2694" customWidth="1"/>
    <col min="13830" max="13830" width="5.75" style="2694" customWidth="1"/>
    <col min="13831" max="13831" width="12.625" style="2694" customWidth="1"/>
    <col min="13832" max="13832" width="5.75" style="2694" customWidth="1"/>
    <col min="13833" max="13837" width="9.625" style="2694" customWidth="1"/>
    <col min="13838" max="13840" width="8.75" style="2694" customWidth="1"/>
    <col min="13841" max="14080" width="9" style="2694"/>
    <col min="14081" max="14081" width="18.625" style="2694" customWidth="1"/>
    <col min="14082" max="14082" width="5.75" style="2694" customWidth="1"/>
    <col min="14083" max="14083" width="12.625" style="2694" customWidth="1"/>
    <col min="14084" max="14084" width="5.75" style="2694" customWidth="1"/>
    <col min="14085" max="14085" width="12.625" style="2694" customWidth="1"/>
    <col min="14086" max="14086" width="5.75" style="2694" customWidth="1"/>
    <col min="14087" max="14087" width="12.625" style="2694" customWidth="1"/>
    <col min="14088" max="14088" width="5.75" style="2694" customWidth="1"/>
    <col min="14089" max="14093" width="9.625" style="2694" customWidth="1"/>
    <col min="14094" max="14096" width="8.75" style="2694" customWidth="1"/>
    <col min="14097" max="14336" width="9" style="2694"/>
    <col min="14337" max="14337" width="18.625" style="2694" customWidth="1"/>
    <col min="14338" max="14338" width="5.75" style="2694" customWidth="1"/>
    <col min="14339" max="14339" width="12.625" style="2694" customWidth="1"/>
    <col min="14340" max="14340" width="5.75" style="2694" customWidth="1"/>
    <col min="14341" max="14341" width="12.625" style="2694" customWidth="1"/>
    <col min="14342" max="14342" width="5.75" style="2694" customWidth="1"/>
    <col min="14343" max="14343" width="12.625" style="2694" customWidth="1"/>
    <col min="14344" max="14344" width="5.75" style="2694" customWidth="1"/>
    <col min="14345" max="14349" width="9.625" style="2694" customWidth="1"/>
    <col min="14350" max="14352" width="8.75" style="2694" customWidth="1"/>
    <col min="14353" max="14592" width="9" style="2694"/>
    <col min="14593" max="14593" width="18.625" style="2694" customWidth="1"/>
    <col min="14594" max="14594" width="5.75" style="2694" customWidth="1"/>
    <col min="14595" max="14595" width="12.625" style="2694" customWidth="1"/>
    <col min="14596" max="14596" width="5.75" style="2694" customWidth="1"/>
    <col min="14597" max="14597" width="12.625" style="2694" customWidth="1"/>
    <col min="14598" max="14598" width="5.75" style="2694" customWidth="1"/>
    <col min="14599" max="14599" width="12.625" style="2694" customWidth="1"/>
    <col min="14600" max="14600" width="5.75" style="2694" customWidth="1"/>
    <col min="14601" max="14605" width="9.625" style="2694" customWidth="1"/>
    <col min="14606" max="14608" width="8.75" style="2694" customWidth="1"/>
    <col min="14609" max="14848" width="9" style="2694"/>
    <col min="14849" max="14849" width="18.625" style="2694" customWidth="1"/>
    <col min="14850" max="14850" width="5.75" style="2694" customWidth="1"/>
    <col min="14851" max="14851" width="12.625" style="2694" customWidth="1"/>
    <col min="14852" max="14852" width="5.75" style="2694" customWidth="1"/>
    <col min="14853" max="14853" width="12.625" style="2694" customWidth="1"/>
    <col min="14854" max="14854" width="5.75" style="2694" customWidth="1"/>
    <col min="14855" max="14855" width="12.625" style="2694" customWidth="1"/>
    <col min="14856" max="14856" width="5.75" style="2694" customWidth="1"/>
    <col min="14857" max="14861" width="9.625" style="2694" customWidth="1"/>
    <col min="14862" max="14864" width="8.75" style="2694" customWidth="1"/>
    <col min="14865" max="15104" width="9" style="2694"/>
    <col min="15105" max="15105" width="18.625" style="2694" customWidth="1"/>
    <col min="15106" max="15106" width="5.75" style="2694" customWidth="1"/>
    <col min="15107" max="15107" width="12.625" style="2694" customWidth="1"/>
    <col min="15108" max="15108" width="5.75" style="2694" customWidth="1"/>
    <col min="15109" max="15109" width="12.625" style="2694" customWidth="1"/>
    <col min="15110" max="15110" width="5.75" style="2694" customWidth="1"/>
    <col min="15111" max="15111" width="12.625" style="2694" customWidth="1"/>
    <col min="15112" max="15112" width="5.75" style="2694" customWidth="1"/>
    <col min="15113" max="15117" width="9.625" style="2694" customWidth="1"/>
    <col min="15118" max="15120" width="8.75" style="2694" customWidth="1"/>
    <col min="15121" max="15360" width="9" style="2694"/>
    <col min="15361" max="15361" width="18.625" style="2694" customWidth="1"/>
    <col min="15362" max="15362" width="5.75" style="2694" customWidth="1"/>
    <col min="15363" max="15363" width="12.625" style="2694" customWidth="1"/>
    <col min="15364" max="15364" width="5.75" style="2694" customWidth="1"/>
    <col min="15365" max="15365" width="12.625" style="2694" customWidth="1"/>
    <col min="15366" max="15366" width="5.75" style="2694" customWidth="1"/>
    <col min="15367" max="15367" width="12.625" style="2694" customWidth="1"/>
    <col min="15368" max="15368" width="5.75" style="2694" customWidth="1"/>
    <col min="15369" max="15373" width="9.625" style="2694" customWidth="1"/>
    <col min="15374" max="15376" width="8.75" style="2694" customWidth="1"/>
    <col min="15377" max="15616" width="9" style="2694"/>
    <col min="15617" max="15617" width="18.625" style="2694" customWidth="1"/>
    <col min="15618" max="15618" width="5.75" style="2694" customWidth="1"/>
    <col min="15619" max="15619" width="12.625" style="2694" customWidth="1"/>
    <col min="15620" max="15620" width="5.75" style="2694" customWidth="1"/>
    <col min="15621" max="15621" width="12.625" style="2694" customWidth="1"/>
    <col min="15622" max="15622" width="5.75" style="2694" customWidth="1"/>
    <col min="15623" max="15623" width="12.625" style="2694" customWidth="1"/>
    <col min="15624" max="15624" width="5.75" style="2694" customWidth="1"/>
    <col min="15625" max="15629" width="9.625" style="2694" customWidth="1"/>
    <col min="15630" max="15632" width="8.75" style="2694" customWidth="1"/>
    <col min="15633" max="15872" width="9" style="2694"/>
    <col min="15873" max="15873" width="18.625" style="2694" customWidth="1"/>
    <col min="15874" max="15874" width="5.75" style="2694" customWidth="1"/>
    <col min="15875" max="15875" width="12.625" style="2694" customWidth="1"/>
    <col min="15876" max="15876" width="5.75" style="2694" customWidth="1"/>
    <col min="15877" max="15877" width="12.625" style="2694" customWidth="1"/>
    <col min="15878" max="15878" width="5.75" style="2694" customWidth="1"/>
    <col min="15879" max="15879" width="12.625" style="2694" customWidth="1"/>
    <col min="15880" max="15880" width="5.75" style="2694" customWidth="1"/>
    <col min="15881" max="15885" width="9.625" style="2694" customWidth="1"/>
    <col min="15886" max="15888" width="8.75" style="2694" customWidth="1"/>
    <col min="15889" max="16128" width="9" style="2694"/>
    <col min="16129" max="16129" width="18.625" style="2694" customWidth="1"/>
    <col min="16130" max="16130" width="5.75" style="2694" customWidth="1"/>
    <col min="16131" max="16131" width="12.625" style="2694" customWidth="1"/>
    <col min="16132" max="16132" width="5.75" style="2694" customWidth="1"/>
    <col min="16133" max="16133" width="12.625" style="2694" customWidth="1"/>
    <col min="16134" max="16134" width="5.75" style="2694" customWidth="1"/>
    <col min="16135" max="16135" width="12.625" style="2694" customWidth="1"/>
    <col min="16136" max="16136" width="5.75" style="2694" customWidth="1"/>
    <col min="16137" max="16141" width="9.625" style="2694" customWidth="1"/>
    <col min="16142" max="16144" width="8.75" style="2694" customWidth="1"/>
    <col min="16145" max="16384" width="9" style="2694"/>
  </cols>
  <sheetData>
    <row r="1" spans="1:11" ht="23.25" customHeight="1">
      <c r="A1" s="2768" t="s">
        <v>2793</v>
      </c>
      <c r="B1" s="3036"/>
      <c r="C1" s="2768"/>
      <c r="D1" s="2769"/>
      <c r="E1" s="2769"/>
      <c r="F1" s="2769"/>
      <c r="G1" s="2769"/>
      <c r="H1" s="2770" t="s">
        <v>2794</v>
      </c>
      <c r="I1" s="3165">
        <v>15</v>
      </c>
      <c r="J1" s="3248" t="s">
        <v>2795</v>
      </c>
    </row>
    <row r="2" spans="1:11" ht="14.25" customHeight="1">
      <c r="A2" s="2771" t="s">
        <v>2796</v>
      </c>
      <c r="B2" s="3036"/>
      <c r="C2" s="2769"/>
      <c r="D2" s="2769"/>
      <c r="E2" s="2769"/>
      <c r="F2" s="2769"/>
      <c r="G2" s="2769"/>
      <c r="H2" s="2769"/>
    </row>
    <row r="3" spans="1:11" ht="14.25" customHeight="1">
      <c r="A3" s="2772" t="s">
        <v>2797</v>
      </c>
      <c r="B3" s="3036"/>
      <c r="C3" s="2769"/>
      <c r="D3" s="2769"/>
      <c r="E3" s="2769"/>
      <c r="F3" s="2769"/>
      <c r="G3" s="2769"/>
      <c r="H3" s="2769"/>
    </row>
    <row r="4" spans="1:11" ht="14.25" customHeight="1">
      <c r="A4" s="2772" t="s">
        <v>2798</v>
      </c>
      <c r="B4" s="3036"/>
      <c r="C4" s="2769"/>
      <c r="D4" s="2769"/>
      <c r="E4" s="2769"/>
      <c r="F4" s="2769"/>
      <c r="G4" s="2769"/>
      <c r="H4" s="2769"/>
    </row>
    <row r="5" spans="1:11" ht="14.25" customHeight="1">
      <c r="A5" s="2771" t="s">
        <v>2799</v>
      </c>
      <c r="B5" s="3036"/>
      <c r="C5" s="2769"/>
      <c r="D5" s="2769"/>
      <c r="E5" s="2769"/>
      <c r="F5" s="2769"/>
      <c r="G5" s="2769"/>
      <c r="H5" s="2769"/>
    </row>
    <row r="6" spans="1:11" ht="14.25" customHeight="1">
      <c r="A6" s="2771" t="s">
        <v>2800</v>
      </c>
      <c r="B6" s="3036"/>
      <c r="C6" s="2769"/>
      <c r="D6" s="2769"/>
      <c r="E6" s="2769"/>
      <c r="F6" s="2769"/>
      <c r="G6" s="2769"/>
      <c r="H6" s="2769"/>
    </row>
    <row r="7" spans="1:11" ht="14.25" customHeight="1">
      <c r="A7" s="2773"/>
      <c r="B7" s="3039"/>
      <c r="C7" s="2774"/>
      <c r="D7" s="2774"/>
      <c r="E7" s="2774"/>
      <c r="F7" s="2775"/>
      <c r="G7" s="2780" t="s">
        <v>2801</v>
      </c>
      <c r="H7" s="2774"/>
      <c r="I7" s="3166"/>
      <c r="J7" s="3166"/>
      <c r="K7" s="3166"/>
    </row>
    <row r="8" spans="1:11" ht="14.25" customHeight="1">
      <c r="A8" s="2776" t="s">
        <v>2802</v>
      </c>
      <c r="B8" s="3036"/>
      <c r="C8" s="2769"/>
      <c r="D8" s="2769"/>
      <c r="E8" s="2769"/>
      <c r="F8" s="2777"/>
      <c r="G8" s="2769"/>
      <c r="H8" s="2769"/>
      <c r="I8" s="3166"/>
      <c r="J8" s="3166"/>
      <c r="K8" s="3166"/>
    </row>
    <row r="9" spans="1:11" ht="15.75" customHeight="1">
      <c r="A9" s="2778" t="s">
        <v>2803</v>
      </c>
      <c r="B9" s="3039"/>
      <c r="C9" s="3146"/>
      <c r="D9" s="2774"/>
      <c r="E9" s="2774"/>
      <c r="F9" s="2780"/>
      <c r="G9" s="2780"/>
      <c r="H9" s="2774"/>
      <c r="I9" s="3166"/>
      <c r="J9" s="3166"/>
      <c r="K9" s="3166"/>
    </row>
    <row r="10" spans="1:11" ht="15">
      <c r="A10" s="2770" t="s">
        <v>2804</v>
      </c>
      <c r="B10" s="3147"/>
      <c r="C10" s="2787"/>
      <c r="D10" s="2783"/>
      <c r="E10" s="2770" t="s">
        <v>2805</v>
      </c>
      <c r="F10" s="2784"/>
      <c r="G10" s="2787">
        <v>10026</v>
      </c>
      <c r="H10" s="2785"/>
      <c r="I10" s="3166"/>
      <c r="J10" s="3166"/>
      <c r="K10" s="3166"/>
    </row>
    <row r="11" spans="1:11" ht="15.75" customHeight="1">
      <c r="A11" s="2770" t="s">
        <v>2806</v>
      </c>
      <c r="B11" s="2786" t="s">
        <v>2677</v>
      </c>
      <c r="C11" s="2787">
        <v>30201</v>
      </c>
      <c r="D11" s="3231" t="s">
        <v>2807</v>
      </c>
      <c r="E11" s="2788"/>
      <c r="F11" s="2789" t="s">
        <v>2680</v>
      </c>
      <c r="G11" s="2787">
        <v>30202</v>
      </c>
      <c r="H11" s="3231" t="s">
        <v>2808</v>
      </c>
      <c r="I11" s="3166"/>
      <c r="J11" s="3166"/>
      <c r="K11" s="3166"/>
    </row>
    <row r="12" spans="1:11" ht="15.75" customHeight="1">
      <c r="A12" s="2790" t="s">
        <v>2809</v>
      </c>
      <c r="B12" s="2901"/>
      <c r="C12" s="3148"/>
      <c r="D12" s="2793"/>
      <c r="E12" s="2790" t="s">
        <v>2810</v>
      </c>
      <c r="F12" s="2794"/>
      <c r="G12" s="3149"/>
      <c r="H12" s="2793"/>
      <c r="I12" s="2886"/>
      <c r="J12" s="2887"/>
      <c r="K12" s="3166"/>
    </row>
    <row r="13" spans="1:11" ht="15.75" customHeight="1">
      <c r="A13" s="2817" t="s">
        <v>2811</v>
      </c>
      <c r="B13" s="3049" t="str">
        <f>IF(C13="L","左旋",IF(C13="R","右旋","直齿"))</f>
        <v>左旋</v>
      </c>
      <c r="C13" s="2830" t="s">
        <v>1167</v>
      </c>
      <c r="D13" s="2815" t="str">
        <f>IF(OR(C13="",C13="L",C13="R"),"","错误！")</f>
        <v/>
      </c>
      <c r="E13" s="2802" t="s">
        <v>2812</v>
      </c>
      <c r="F13" s="2800"/>
      <c r="G13" s="2797"/>
      <c r="H13" s="2785"/>
      <c r="I13" s="3166"/>
      <c r="J13" s="2887"/>
      <c r="K13" s="3166"/>
    </row>
    <row r="14" spans="1:11" ht="15.75" customHeight="1">
      <c r="A14" s="2817" t="s">
        <v>2813</v>
      </c>
      <c r="B14" s="3049" t="str">
        <f>IF(C14="L","左旋",IF(C14="R","右旋","直齿"))</f>
        <v>左旋</v>
      </c>
      <c r="C14" s="3011" t="str">
        <f>IF(C13="","",C13)</f>
        <v>L</v>
      </c>
      <c r="D14" s="2815"/>
      <c r="E14" s="2802"/>
      <c r="F14" s="2800"/>
      <c r="G14" s="2797"/>
      <c r="H14" s="2785"/>
      <c r="I14" s="3166"/>
      <c r="J14" s="2887"/>
      <c r="K14" s="3166"/>
    </row>
    <row r="15" spans="1:11" ht="15" customHeight="1">
      <c r="A15" s="2813" t="s">
        <v>2814</v>
      </c>
      <c r="B15" s="2806" t="s">
        <v>2815</v>
      </c>
      <c r="C15" s="2811">
        <v>19</v>
      </c>
      <c r="D15" s="2844"/>
      <c r="E15" s="2802"/>
      <c r="F15" s="2800"/>
      <c r="G15" s="2797"/>
      <c r="H15" s="2785"/>
      <c r="I15" s="3166"/>
      <c r="J15" s="2887"/>
      <c r="K15" s="3166"/>
    </row>
    <row r="16" spans="1:11" ht="15" customHeight="1">
      <c r="A16" s="2813" t="s">
        <v>2816</v>
      </c>
      <c r="B16" s="2806" t="s">
        <v>2817</v>
      </c>
      <c r="C16" s="2787">
        <v>36</v>
      </c>
      <c r="D16" s="2815" t="str">
        <f>IF(C16="","",IF(C16&lt;=C15,"错误！",""))</f>
        <v/>
      </c>
      <c r="E16" s="2802"/>
      <c r="F16" s="2800"/>
      <c r="G16" s="2797"/>
      <c r="H16" s="2785"/>
      <c r="I16" s="2947"/>
      <c r="J16" s="2887"/>
      <c r="K16" s="3166"/>
    </row>
    <row r="17" spans="1:13" ht="15" customHeight="1">
      <c r="A17" s="2817" t="s">
        <v>2818</v>
      </c>
      <c r="B17" s="2806" t="s">
        <v>2819</v>
      </c>
      <c r="C17" s="2787">
        <v>3</v>
      </c>
      <c r="D17" s="2810" t="s">
        <v>2820</v>
      </c>
      <c r="E17" s="2802"/>
      <c r="F17" s="2800"/>
      <c r="G17" s="2809">
        <f>C17</f>
        <v>3</v>
      </c>
      <c r="H17" s="2785"/>
      <c r="I17" s="3166"/>
      <c r="J17" s="2887"/>
      <c r="K17" s="3166"/>
    </row>
    <row r="18" spans="1:13">
      <c r="A18" s="2817" t="s">
        <v>2821</v>
      </c>
      <c r="B18" s="2813" t="s">
        <v>2822</v>
      </c>
      <c r="C18" s="2787"/>
      <c r="D18" s="2808" t="str">
        <f>IF(C18="","注：如不输入，则默认 αn = 20 度","度")</f>
        <v>注：如不输入，则默认 αn = 20 度</v>
      </c>
      <c r="E18" s="2802"/>
      <c r="F18" s="2800"/>
      <c r="G18" s="2797"/>
      <c r="H18" s="2785"/>
      <c r="I18" s="3166"/>
      <c r="J18" s="2887"/>
      <c r="K18" s="3166"/>
    </row>
    <row r="19" spans="1:13" ht="15">
      <c r="A19" s="2836" t="s">
        <v>2823</v>
      </c>
      <c r="B19" s="2813" t="s">
        <v>2824</v>
      </c>
      <c r="C19" s="2787"/>
      <c r="D19" s="2810" t="s">
        <v>257</v>
      </c>
      <c r="E19" s="2814"/>
      <c r="F19" s="2810" t="s">
        <v>2825</v>
      </c>
      <c r="G19" s="2814"/>
      <c r="H19" s="2947" t="s">
        <v>2826</v>
      </c>
      <c r="I19" s="2829" t="s">
        <v>2827</v>
      </c>
      <c r="J19" s="2887"/>
      <c r="K19" s="3166"/>
    </row>
    <row r="20" spans="1:13" hidden="1">
      <c r="A20" s="3131"/>
      <c r="B20" s="2831"/>
      <c r="C20" s="3051">
        <f>C19+E19/60+G19/3600</f>
        <v>0</v>
      </c>
      <c r="D20" s="2937" t="s">
        <v>257</v>
      </c>
      <c r="E20" s="2802"/>
      <c r="F20" s="2800"/>
      <c r="G20" s="2797"/>
      <c r="H20" s="2785"/>
      <c r="I20" s="3166"/>
      <c r="J20" s="2887"/>
      <c r="K20" s="3166"/>
      <c r="M20" s="2890"/>
    </row>
    <row r="21" spans="1:13">
      <c r="A21" s="2813" t="s">
        <v>2828</v>
      </c>
      <c r="B21" s="2806" t="s">
        <v>2534</v>
      </c>
      <c r="C21" s="2814">
        <v>30</v>
      </c>
      <c r="D21" s="2810" t="s">
        <v>2820</v>
      </c>
      <c r="E21" s="2802"/>
      <c r="F21" s="2800"/>
      <c r="G21" s="2809">
        <f>C21</f>
        <v>30</v>
      </c>
      <c r="H21" s="2785"/>
      <c r="I21" s="2810"/>
      <c r="J21" s="2887"/>
      <c r="K21" s="3166"/>
    </row>
    <row r="22" spans="1:13">
      <c r="A22" s="2934" t="s">
        <v>2829</v>
      </c>
      <c r="B22" s="2806"/>
      <c r="C22" s="2808"/>
      <c r="D22" s="3336" t="str">
        <f>IF(C21&gt;C181*SIN(C140)+5*COS(C140),"外齿轮可以测量，","外齿轮不能测量！")</f>
        <v>外齿轮可以测量，</v>
      </c>
      <c r="E22" s="3337" t="str">
        <f>IF(C21&gt;G181*SIN(C140)+5*COS(C140),"内齿轮可以测量。","内齿轮不能测量！")</f>
        <v>内齿轮可以测量。</v>
      </c>
      <c r="F22" s="2800"/>
      <c r="G22" s="2809"/>
      <c r="H22" s="2785"/>
      <c r="I22" s="2810"/>
      <c r="J22" s="2887"/>
      <c r="K22" s="3166"/>
    </row>
    <row r="23" spans="1:13">
      <c r="A23" s="2813" t="s">
        <v>2830</v>
      </c>
      <c r="B23" s="2806" t="s">
        <v>2831</v>
      </c>
      <c r="C23" s="2814"/>
      <c r="D23" s="2802" t="s">
        <v>2832</v>
      </c>
      <c r="E23" s="2895"/>
      <c r="F23" s="2800"/>
      <c r="G23" s="2809"/>
      <c r="H23" s="2785"/>
      <c r="I23" s="2810"/>
      <c r="J23" s="2887"/>
      <c r="K23" s="3166"/>
    </row>
    <row r="24" spans="1:13" hidden="1">
      <c r="A24" s="2786"/>
      <c r="B24" s="2831"/>
      <c r="C24" s="3051">
        <f>IF(C23="",1,C23)</f>
        <v>1</v>
      </c>
      <c r="D24" s="2808"/>
      <c r="E24" s="2833"/>
      <c r="F24" s="2800"/>
      <c r="G24" s="2797"/>
      <c r="H24" s="2785"/>
      <c r="I24" s="2810"/>
      <c r="J24" s="3166"/>
      <c r="K24" s="3166"/>
    </row>
    <row r="25" spans="1:13">
      <c r="A25" s="2813" t="s">
        <v>2833</v>
      </c>
      <c r="B25" s="2806" t="s">
        <v>2834</v>
      </c>
      <c r="C25" s="2787"/>
      <c r="D25" s="2808"/>
      <c r="E25" s="2833"/>
      <c r="F25" s="2800"/>
      <c r="G25" s="2797"/>
      <c r="H25" s="2785"/>
      <c r="I25" s="2810"/>
      <c r="J25" s="3166"/>
      <c r="K25" s="3166"/>
    </row>
    <row r="26" spans="1:13">
      <c r="A26" s="2813" t="s">
        <v>2835</v>
      </c>
      <c r="B26" s="2806" t="s">
        <v>2836</v>
      </c>
      <c r="C26" s="2834"/>
      <c r="D26" s="2808" t="s">
        <v>2837</v>
      </c>
      <c r="E26" s="2833"/>
      <c r="F26" s="2800"/>
      <c r="G26" s="2797"/>
      <c r="H26" s="2785"/>
      <c r="I26" s="2810"/>
      <c r="J26" s="3166"/>
      <c r="K26" s="3166"/>
    </row>
    <row r="27" spans="1:13" hidden="1">
      <c r="A27" s="2786"/>
      <c r="B27" s="2831"/>
      <c r="C27" s="2809">
        <f>IF(C26="",0.25,C26)</f>
        <v>0.25</v>
      </c>
      <c r="D27" s="2808"/>
      <c r="E27" s="2833"/>
      <c r="F27" s="2800"/>
      <c r="G27" s="2809"/>
      <c r="H27" s="2785"/>
      <c r="I27" s="2810"/>
      <c r="J27" s="3166"/>
      <c r="K27" s="3166"/>
    </row>
    <row r="28" spans="1:13">
      <c r="A28" s="2818" t="s">
        <v>2838</v>
      </c>
      <c r="B28" s="2801" t="s">
        <v>2839</v>
      </c>
      <c r="C28" s="2819">
        <f>ROUND(C143,4)</f>
        <v>25.5</v>
      </c>
      <c r="D28" s="2810" t="s">
        <v>2820</v>
      </c>
      <c r="E28" s="2807"/>
      <c r="F28" s="2809"/>
      <c r="G28" s="2809"/>
      <c r="H28" s="3273"/>
      <c r="I28" s="2810"/>
    </row>
    <row r="29" spans="1:13">
      <c r="A29" s="2858" t="s">
        <v>2840</v>
      </c>
      <c r="B29" s="2806" t="s">
        <v>2841</v>
      </c>
      <c r="C29" s="2811"/>
      <c r="D29" s="2821"/>
      <c r="E29" s="3160" t="str">
        <f>IF(C29="","",IF(C29&lt;C222,"根切！x1不能小于",""))</f>
        <v/>
      </c>
      <c r="F29" s="2815" t="str">
        <f>IF(E29="","",C222)</f>
        <v/>
      </c>
      <c r="G29" s="2809"/>
      <c r="H29" s="2817"/>
      <c r="I29" s="2812"/>
    </row>
    <row r="30" spans="1:13">
      <c r="A30" s="2857" t="s">
        <v>2842</v>
      </c>
      <c r="B30" s="2872" t="s">
        <v>2843</v>
      </c>
      <c r="C30" s="2787"/>
      <c r="D30" s="3182" t="str">
        <f>IF(E34&lt;0,"？","")</f>
        <v/>
      </c>
      <c r="E30" s="2815" t="str">
        <f>IF(E34&lt;0,"  内齿轮变位系数应≥","")</f>
        <v/>
      </c>
      <c r="F30" s="3169"/>
      <c r="G30" s="2856" t="str">
        <f>IF(E34&lt;0,G34,"")</f>
        <v/>
      </c>
      <c r="H30" s="2817"/>
      <c r="I30" s="2812"/>
    </row>
    <row r="31" spans="1:13" ht="15">
      <c r="A31" s="2837"/>
      <c r="B31" s="3154" t="str">
        <f>IF(AND(C29=0,C30=0),"",IF(ROUND(C34,4)&lt;&gt;ROUND(C33,4),"单变量求解计算：",""))</f>
        <v/>
      </c>
      <c r="C31" s="2823"/>
      <c r="D31" s="2813"/>
      <c r="E31" s="3022"/>
      <c r="F31" s="2809"/>
      <c r="G31" s="2967"/>
      <c r="H31" s="2817"/>
      <c r="I31" s="2812"/>
    </row>
    <row r="32" spans="1:13" ht="15">
      <c r="A32" s="3120"/>
      <c r="B32" s="3155" t="str">
        <f>IF(AND(C29=0,C30=0),"",IF(ROUND(C34,4)&lt;&gt;ROUND(C33,4),"可变格",""))</f>
        <v/>
      </c>
      <c r="C32" s="2825">
        <v>0.30261395137428498</v>
      </c>
      <c r="D32" s="2813"/>
      <c r="F32" s="3042"/>
      <c r="I32" s="3168"/>
    </row>
    <row r="33" spans="1:13">
      <c r="A33" s="2857"/>
      <c r="B33" s="3155" t="str">
        <f>IF(AND(C29=0,C30=0),"",IF(ROUND(C34,4)&lt;&gt;ROUND(C33,4),"目标格",""))</f>
        <v/>
      </c>
      <c r="C33" s="2826">
        <f>TAN(C32)-C32-E34</f>
        <v>-5.3156838139360504E-3</v>
      </c>
      <c r="D33" s="2813"/>
      <c r="F33" s="3042"/>
      <c r="G33" s="2970">
        <f>C29-E136*(C16-C15)/(2*TAN(C136))</f>
        <v>-0.34807039407432</v>
      </c>
      <c r="H33" s="3273"/>
      <c r="I33" s="3168"/>
      <c r="K33" s="2786"/>
      <c r="L33" s="2854"/>
      <c r="M33" s="2893"/>
    </row>
    <row r="34" spans="1:13" ht="15">
      <c r="A34" s="2857"/>
      <c r="B34" s="3156" t="str">
        <f>IF(AND(C29=0,C30=0),"",IF(ROUND(C34,4)&lt;&gt;ROUND(C33,4),"目标值",""))</f>
        <v/>
      </c>
      <c r="C34" s="2828" t="str">
        <f>IF(AND(C29=0,C30=0),"",0)</f>
        <v/>
      </c>
      <c r="D34" s="2813"/>
      <c r="E34" s="2863">
        <f>E136+2*(C30-C29)*TAN(C136)/(C16-C15)</f>
        <v>1.4904383867336401E-2</v>
      </c>
      <c r="F34" s="3157" t="s">
        <v>2844</v>
      </c>
      <c r="G34" s="2863">
        <f>IF(G33&gt;0,ROUNDUP(G33,4),ROUNDDOWN(G33,4))</f>
        <v>-0.34799999999999998</v>
      </c>
      <c r="I34" s="3168"/>
      <c r="K34" s="2786"/>
      <c r="L34" s="2854"/>
      <c r="M34" s="2893"/>
    </row>
    <row r="35" spans="1:13">
      <c r="A35" s="2858" t="s">
        <v>2845</v>
      </c>
      <c r="B35" s="2801" t="s">
        <v>2846</v>
      </c>
      <c r="C35" s="2882">
        <f>IF(B31&lt;&gt;"","",ROUND(E35,4))</f>
        <v>25.5</v>
      </c>
      <c r="D35" s="2810" t="s">
        <v>2820</v>
      </c>
      <c r="E35" s="2970">
        <f>IF(AND(C29=0,C30=0),C28,C145*(C16-C15)/2*COS(C136)/COS(C32))</f>
        <v>25.5</v>
      </c>
      <c r="F35" s="3042"/>
      <c r="I35" s="2890"/>
      <c r="K35" s="2786"/>
      <c r="L35" s="2854"/>
      <c r="M35" s="2893"/>
    </row>
    <row r="36" spans="1:13">
      <c r="A36" s="2858" t="s">
        <v>2847</v>
      </c>
      <c r="B36" s="2801" t="s">
        <v>1874</v>
      </c>
      <c r="C36" s="2814">
        <v>26</v>
      </c>
      <c r="D36" s="2821" t="str">
        <f>IF(OR(B31&lt;&gt;"",C36=""),"",IF(C36&lt;=0,"错误！",IF(C143/C144*COS(C136)&gt;1,"？","毫米")))</f>
        <v>毫米</v>
      </c>
      <c r="E36" s="3106" t="str">
        <f>IF(C36=0,"不输入则默认a0'。",IF(C143/C144*COS(C136)&gt;1,"中心距应加大至",""))</f>
        <v/>
      </c>
      <c r="F36" s="2805" t="str">
        <f>IF(E36="中心距应加大至",ROUNDUP(C143*COS(C136),2),"")</f>
        <v/>
      </c>
      <c r="G36" s="3106" t="str">
        <f>IF(F36="","","毫米以上")</f>
        <v/>
      </c>
      <c r="H36" s="2817"/>
    </row>
    <row r="37" spans="1:13">
      <c r="A37" s="2858" t="s">
        <v>2848</v>
      </c>
      <c r="B37" s="2831" t="s">
        <v>2849</v>
      </c>
      <c r="C37" s="3064">
        <f>IF(B31&lt;&gt;"","",IF(C143/C144*COS(C136)&gt;1,"？",ROUND(C154,4)))</f>
        <v>0.1782</v>
      </c>
      <c r="D37" s="2808"/>
      <c r="E37" s="2813"/>
      <c r="F37" s="2803"/>
      <c r="G37" s="2812"/>
      <c r="H37" s="2817"/>
    </row>
    <row r="38" spans="1:13">
      <c r="A38" s="2858" t="s">
        <v>2850</v>
      </c>
      <c r="B38" s="2831" t="s">
        <v>2851</v>
      </c>
      <c r="C38" s="3064">
        <f>IF(B31&lt;&gt;"","",ROUND(C37/COS(C137),4))</f>
        <v>0.1782</v>
      </c>
      <c r="D38" s="2808"/>
      <c r="E38" s="2813"/>
      <c r="F38" s="2803"/>
      <c r="G38" s="2812"/>
      <c r="H38" s="2817"/>
    </row>
    <row r="39" spans="1:13">
      <c r="A39" s="2803" t="s">
        <v>2840</v>
      </c>
      <c r="B39" s="2806" t="s">
        <v>2852</v>
      </c>
      <c r="C39" s="2811"/>
      <c r="D39" s="3338"/>
      <c r="E39" s="3160" t="str">
        <f>IF(E40&lt;C222,"根切！x1不能小于","")</f>
        <v/>
      </c>
      <c r="F39" s="2815" t="str">
        <f>IF(E39="","",C222)</f>
        <v/>
      </c>
      <c r="G39" s="2812"/>
      <c r="H39" s="2817"/>
    </row>
    <row r="40" spans="1:13">
      <c r="A40" s="3339" t="str">
        <f>IF(C39&lt;&gt;"","","或  径向变位系数")</f>
        <v>或  径向变位系数</v>
      </c>
      <c r="B40" s="2806" t="str">
        <f>IF(C39&lt;&gt;"","","xn1")</f>
        <v>xn1</v>
      </c>
      <c r="C40" s="2814">
        <v>0.8</v>
      </c>
      <c r="D40" s="2821" t="str">
        <f>IF(AND(C39&lt;&gt;"",C40&lt;&gt;""),"取消！","")</f>
        <v/>
      </c>
      <c r="E40" s="2863">
        <f>IF(C39&lt;&gt;"",C39,C40*COS(C137))</f>
        <v>0.8</v>
      </c>
      <c r="F40" s="3340" t="s">
        <v>2853</v>
      </c>
      <c r="G40" s="2812"/>
      <c r="H40" s="2817"/>
    </row>
    <row r="41" spans="1:13">
      <c r="A41" s="2864"/>
      <c r="B41" s="2872" t="str">
        <f>IF(C39&lt;&gt;"","x2","xn2")</f>
        <v>xn2</v>
      </c>
      <c r="C41" s="3164">
        <f>IF(B31&lt;&gt;"","",IF(C39&lt;&gt;"",C37+C39,C38+C40))</f>
        <v>0.97819999999999996</v>
      </c>
      <c r="D41" s="3211"/>
      <c r="E41" s="2867"/>
      <c r="F41" s="2868"/>
      <c r="G41" s="2964"/>
      <c r="H41" s="2820"/>
    </row>
    <row r="42" spans="1:13" ht="14.25">
      <c r="A42" s="2788" t="s">
        <v>2854</v>
      </c>
      <c r="B42" s="2813" t="s">
        <v>2855</v>
      </c>
      <c r="C42" s="2819">
        <f>IF(2*C144+C170+2*C27*C17&lt;G148,ROUND(G148,3),ROUND(2*C144+C170+2*C27*C17,3))</f>
        <v>107.8</v>
      </c>
      <c r="D42" s="2810" t="s">
        <v>2820</v>
      </c>
      <c r="E42" s="2797"/>
      <c r="F42" s="2810"/>
      <c r="G42" s="2947"/>
      <c r="H42" s="2818"/>
    </row>
    <row r="43" spans="1:13" ht="14.25">
      <c r="A43" s="2864" t="s">
        <v>2856</v>
      </c>
      <c r="B43" s="2896" t="s">
        <v>1869</v>
      </c>
      <c r="C43" s="2811"/>
      <c r="D43" s="2842" t="s">
        <v>2820</v>
      </c>
      <c r="E43" s="3341" t="str">
        <f>IF(C43="","注: 如不输入则默认计算值",IF(C213&gt;1,"注: 内齿轮齿顶圆直径过大!",IF(C43&lt;G148,"注:内齿轮齿顶圆直径过小!","")))</f>
        <v>注: 如不输入则默认计算值</v>
      </c>
      <c r="F43" s="2842"/>
      <c r="G43" s="2964"/>
      <c r="H43" s="2820"/>
    </row>
    <row r="44" spans="1:13" ht="15">
      <c r="A44" s="2788" t="s">
        <v>2857</v>
      </c>
      <c r="B44" s="2861"/>
      <c r="C44" s="2811">
        <v>7</v>
      </c>
      <c r="D44" s="2821" t="str">
        <f t="shared" ref="D44:D46" si="0">IF(OR(C44=0,C44=3,C44=4,C44=5,C44=6,C44=7,C44=8),"","错误！")</f>
        <v/>
      </c>
      <c r="E44" s="3342">
        <f t="shared" ref="E44:E46" si="1">C44</f>
        <v>7</v>
      </c>
      <c r="F44" s="2815"/>
      <c r="G44" s="2863">
        <f t="shared" ref="G44:G46" si="2">C44</f>
        <v>7</v>
      </c>
      <c r="H44" s="2817"/>
    </row>
    <row r="45" spans="1:13" ht="15">
      <c r="A45" s="2788" t="s">
        <v>2858</v>
      </c>
      <c r="B45" s="2861"/>
      <c r="C45" s="2787">
        <v>7</v>
      </c>
      <c r="D45" s="2821" t="str">
        <f t="shared" si="0"/>
        <v/>
      </c>
      <c r="E45" s="3342">
        <f t="shared" si="1"/>
        <v>7</v>
      </c>
      <c r="F45" s="2815"/>
      <c r="G45" s="2863">
        <f t="shared" si="2"/>
        <v>7</v>
      </c>
      <c r="H45" s="2817"/>
    </row>
    <row r="46" spans="1:13" ht="15">
      <c r="A46" s="2864" t="s">
        <v>2859</v>
      </c>
      <c r="B46" s="2865"/>
      <c r="C46" s="2811">
        <v>7</v>
      </c>
      <c r="D46" s="2866" t="str">
        <f t="shared" si="0"/>
        <v/>
      </c>
      <c r="E46" s="3343">
        <f t="shared" si="1"/>
        <v>7</v>
      </c>
      <c r="F46" s="2868"/>
      <c r="G46" s="2869">
        <f t="shared" si="2"/>
        <v>7</v>
      </c>
      <c r="H46" s="2820"/>
    </row>
    <row r="47" spans="1:13">
      <c r="A47" s="2813" t="s">
        <v>2860</v>
      </c>
      <c r="B47" s="2806"/>
      <c r="C47" s="2782" t="s">
        <v>961</v>
      </c>
      <c r="D47" s="2821" t="str">
        <f>IF(OR(C47=0,C47="C",C47="S",C47="A"),"","错误！")</f>
        <v/>
      </c>
      <c r="E47" s="2808" t="s">
        <v>2861</v>
      </c>
      <c r="F47" s="2813"/>
      <c r="G47" s="2786"/>
      <c r="H47" s="2808"/>
      <c r="I47" s="2813"/>
      <c r="J47" s="2895"/>
      <c r="K47" s="2812"/>
      <c r="L47" s="2817"/>
    </row>
    <row r="48" spans="1:13">
      <c r="A48" s="2836" t="s">
        <v>2862</v>
      </c>
      <c r="B48" s="2806"/>
      <c r="C48" s="2787">
        <v>100</v>
      </c>
      <c r="D48" s="2870" t="s">
        <v>2863</v>
      </c>
      <c r="E48" s="2808" t="s">
        <v>2864</v>
      </c>
      <c r="F48" s="2813"/>
      <c r="G48" s="2786"/>
      <c r="H48" s="2808"/>
      <c r="I48" s="2813"/>
      <c r="J48" s="2895"/>
      <c r="K48" s="2812"/>
      <c r="L48" s="2817"/>
    </row>
    <row r="49" spans="1:12">
      <c r="A49" s="2871" t="s">
        <v>2865</v>
      </c>
      <c r="B49" s="2872"/>
      <c r="C49" s="2787">
        <v>80</v>
      </c>
      <c r="D49" s="3203" t="s">
        <v>2863</v>
      </c>
      <c r="E49" s="2897" t="s">
        <v>2866</v>
      </c>
      <c r="F49" s="2896"/>
      <c r="G49" s="2791"/>
      <c r="H49" s="2897"/>
      <c r="I49" s="2813"/>
      <c r="J49" s="2895"/>
      <c r="K49" s="2812"/>
      <c r="L49" s="2817"/>
    </row>
    <row r="50" spans="1:12" ht="14.25">
      <c r="A50" s="2873" t="s">
        <v>2867</v>
      </c>
      <c r="B50" s="2873" t="s">
        <v>2868</v>
      </c>
      <c r="C50" s="2874" t="s">
        <v>2869</v>
      </c>
      <c r="D50" s="2808"/>
      <c r="E50" s="2808" t="s">
        <v>2870</v>
      </c>
      <c r="F50" s="2813"/>
      <c r="G50" s="2786"/>
      <c r="H50" s="2808"/>
      <c r="I50" s="2813"/>
      <c r="J50" s="2895"/>
      <c r="K50" s="2812"/>
      <c r="L50" s="2817"/>
    </row>
    <row r="51" spans="1:12">
      <c r="A51" s="2858" t="s">
        <v>2871</v>
      </c>
      <c r="B51" s="2876" t="str">
        <f>IF(OR(C44=0,C45=0,C46=0),"",D399)</f>
        <v>E</v>
      </c>
      <c r="C51" s="2877" t="s">
        <v>475</v>
      </c>
      <c r="D51" s="2821" t="str">
        <f>IF(AND(C51&lt;&gt;"",OR(C44=0,C45=0,C46=0,C58&lt;&gt;"")),"取消！",IF(OR(C51="",C51="C",C51="D",C51="E",C51="F",C51="G",C51="H",C51="J",C51="K",C51="L",C51="M",C51="N",C51="P",C51="R",C51="S"),"","错误！"))</f>
        <v/>
      </c>
      <c r="E51" s="2808" t="s">
        <v>2872</v>
      </c>
      <c r="F51" s="2813"/>
      <c r="G51" s="2786"/>
      <c r="H51" s="2808"/>
      <c r="I51" s="2813"/>
      <c r="J51" s="2895"/>
      <c r="K51" s="2812"/>
      <c r="L51" s="2817"/>
    </row>
    <row r="52" spans="1:12">
      <c r="A52" s="2858" t="s">
        <v>2873</v>
      </c>
      <c r="B52" s="2876" t="str">
        <f>IF(OR(C44=0,C45=0,C46=0),"",D400)</f>
        <v>H</v>
      </c>
      <c r="C52" s="2782" t="s">
        <v>462</v>
      </c>
      <c r="D52" s="2821" t="str">
        <f>IF(AND(C52&lt;&gt;"",OR(C44=0,C45=0,C46=0,C59&lt;&gt;"")),"取消！",IF(OR(C52="",C52="C",C52="D",C52="E",C52="F",C52="G",C52="H",C52="J",C52="K",C52="L",C52="M",C52="N",C52="P",C52="R",C52="S"),"","错误！"))</f>
        <v/>
      </c>
      <c r="E52" s="2808" t="str">
        <f>IF(OR(C58&lt;&gt;"",C59&lt;&gt;"",C60&lt;&gt;"",C61&lt;&gt;""),"","注：各偏差如不输入“实际选取”，则默认“推荐”种类。")</f>
        <v>注：各偏差如不输入“实际选取”，则默认“推荐”种类。</v>
      </c>
      <c r="F52" s="2813"/>
      <c r="G52" s="2786"/>
      <c r="H52" s="2808"/>
      <c r="I52" s="2813"/>
      <c r="J52" s="2895"/>
      <c r="K52" s="2812"/>
      <c r="L52" s="2817"/>
    </row>
    <row r="53" spans="1:12">
      <c r="A53" s="2858" t="s">
        <v>2874</v>
      </c>
      <c r="B53" s="2876" t="str">
        <f>IF(OR(C44=0,C45=0,C46=0),"",D401)</f>
        <v>F</v>
      </c>
      <c r="C53" s="2782" t="s">
        <v>252</v>
      </c>
      <c r="D53" s="2821" t="str">
        <f>IF(AND(C53&lt;&gt;"",OR(C44=0,C45=0,C46=0,C60&lt;&gt;"")),"取消！",IF(OR(C53="",C53="C",C53="D",C53="E",C53="F",C53="G",C53="H",C53="J",C53="K",C53="L",C53="M",C53="N",C53="P",C53="R",C53="S"),"","错误！"))</f>
        <v/>
      </c>
      <c r="E53" s="2808"/>
      <c r="F53" s="2813"/>
      <c r="G53" s="2786"/>
      <c r="H53" s="2808"/>
      <c r="I53" s="2813"/>
      <c r="J53" s="2895"/>
      <c r="K53" s="2812"/>
      <c r="L53" s="2817"/>
    </row>
    <row r="54" spans="1:12">
      <c r="A54" s="2871" t="s">
        <v>2875</v>
      </c>
      <c r="B54" s="2881" t="str">
        <f>IF(OR(C44=0,C45=0,C46=0),"",D402)</f>
        <v>J</v>
      </c>
      <c r="C54" s="2782" t="s">
        <v>2876</v>
      </c>
      <c r="D54" s="2866" t="str">
        <f>IF(AND(C54&lt;&gt;"",OR(C44=0,C45=0,C46=0,C61&lt;&gt;"")),"取消！",IF(OR(C54="",C54="C",C54="D",C54="E",C54="F",C54="G",C54="H",C54="J",C54="K",C54="L",C54="M",C54="N",C54="P",C54="R",C54="S"),"","错误！"))</f>
        <v/>
      </c>
      <c r="E54" s="2879"/>
      <c r="F54" s="2813"/>
      <c r="G54" s="2786"/>
      <c r="H54" s="2808"/>
      <c r="I54" s="2813"/>
      <c r="J54" s="2895"/>
      <c r="K54" s="2812"/>
      <c r="L54" s="2817"/>
    </row>
    <row r="55" spans="1:12">
      <c r="A55" s="2803" t="s">
        <v>2877</v>
      </c>
      <c r="B55" s="3344">
        <f>IF(OR(C44=0,C45=0,C46=0),"",C403/1000)</f>
        <v>8.4000000000000005E-2</v>
      </c>
      <c r="C55" s="2819">
        <f>IF(OR(C44="",C45="",C46="",C51="",C52="",C54="",C54=""),"",C407/1000)</f>
        <v>0.14000000000000001</v>
      </c>
      <c r="D55" s="2810" t="s">
        <v>2820</v>
      </c>
      <c r="E55" s="2797"/>
      <c r="F55" s="2797"/>
      <c r="G55" s="2786"/>
      <c r="H55" s="2810"/>
      <c r="I55" s="2803"/>
      <c r="J55" s="2803"/>
      <c r="K55" s="2812"/>
      <c r="L55" s="2817"/>
    </row>
    <row r="56" spans="1:12">
      <c r="A56" s="2896" t="s">
        <v>2878</v>
      </c>
      <c r="B56" s="2881">
        <f>IF(OR(C44=0,C45=0,C46=0),"",C404/1000)</f>
        <v>0.252</v>
      </c>
      <c r="C56" s="2841">
        <f>IF(OR(C44="",C45="",C46="",C51="",C52="",C54="",C54=""),"",C408/1000)</f>
        <v>0.308</v>
      </c>
      <c r="D56" s="2842" t="s">
        <v>2820</v>
      </c>
      <c r="E56" s="2897" t="s">
        <v>2879</v>
      </c>
      <c r="F56" s="2842"/>
      <c r="G56" s="2791"/>
      <c r="H56" s="2842"/>
      <c r="I56" s="2803"/>
      <c r="J56" s="2803"/>
      <c r="K56" s="2812"/>
      <c r="L56" s="2817"/>
    </row>
    <row r="57" spans="1:12">
      <c r="A57" s="2808" t="s">
        <v>2880</v>
      </c>
      <c r="B57" s="2801"/>
      <c r="C57" s="2797"/>
      <c r="D57" s="2810"/>
      <c r="E57" s="2808"/>
      <c r="F57" s="2810"/>
      <c r="G57" s="2797"/>
      <c r="H57" s="2810"/>
      <c r="I57" s="2803"/>
      <c r="J57" s="2803"/>
      <c r="K57" s="2812"/>
      <c r="L57" s="2817"/>
    </row>
    <row r="58" spans="1:12">
      <c r="A58" s="2858" t="s">
        <v>2871</v>
      </c>
      <c r="B58" s="2801" t="s">
        <v>2881</v>
      </c>
      <c r="C58" s="2811"/>
      <c r="D58" s="2810" t="s">
        <v>2820</v>
      </c>
      <c r="E58" s="2808"/>
      <c r="F58" s="2810"/>
      <c r="G58" s="2797"/>
      <c r="H58" s="2810"/>
      <c r="I58" s="2803"/>
      <c r="J58" s="2803"/>
      <c r="K58" s="2812"/>
      <c r="L58" s="2817"/>
    </row>
    <row r="59" spans="1:12">
      <c r="A59" s="2858" t="s">
        <v>2873</v>
      </c>
      <c r="B59" s="2801" t="s">
        <v>2882</v>
      </c>
      <c r="C59" s="2787"/>
      <c r="D59" s="2810" t="s">
        <v>2820</v>
      </c>
      <c r="E59" s="2808"/>
      <c r="F59" s="2810"/>
      <c r="G59" s="2797"/>
      <c r="H59" s="2810"/>
      <c r="I59" s="2803"/>
      <c r="J59" s="2803"/>
      <c r="K59" s="2812"/>
      <c r="L59" s="2817"/>
    </row>
    <row r="60" spans="1:12">
      <c r="A60" s="2858" t="s">
        <v>2874</v>
      </c>
      <c r="B60" s="2801" t="s">
        <v>2883</v>
      </c>
      <c r="C60" s="2787"/>
      <c r="D60" s="2810" t="s">
        <v>2820</v>
      </c>
      <c r="E60" s="2808"/>
      <c r="F60" s="2810"/>
      <c r="G60" s="2797"/>
      <c r="H60" s="2810"/>
      <c r="I60" s="2803"/>
      <c r="J60" s="2803"/>
      <c r="K60" s="2812"/>
      <c r="L60" s="2817"/>
    </row>
    <row r="61" spans="1:12">
      <c r="A61" s="2871" t="s">
        <v>2875</v>
      </c>
      <c r="B61" s="2901" t="s">
        <v>2884</v>
      </c>
      <c r="C61" s="2811"/>
      <c r="D61" s="2842" t="s">
        <v>2820</v>
      </c>
      <c r="E61" s="2808"/>
      <c r="F61" s="2810"/>
      <c r="G61" s="2797"/>
      <c r="H61" s="2810"/>
      <c r="I61" s="2803"/>
      <c r="J61" s="2803"/>
      <c r="K61" s="2812"/>
      <c r="L61" s="2817"/>
    </row>
    <row r="62" spans="1:12">
      <c r="A62" s="2803" t="s">
        <v>2877</v>
      </c>
      <c r="B62" s="2801" t="s">
        <v>2885</v>
      </c>
      <c r="C62" s="2819" t="str">
        <f>IF(OR(C58="",C59="",C60="",C61=""),"",ABS(C58+C60))</f>
        <v/>
      </c>
      <c r="D62" s="2810" t="s">
        <v>2820</v>
      </c>
      <c r="E62" s="2808"/>
      <c r="F62" s="2810"/>
      <c r="G62" s="2797"/>
      <c r="H62" s="2810"/>
      <c r="I62" s="2803"/>
      <c r="J62" s="2803"/>
      <c r="K62" s="2812"/>
      <c r="L62" s="2817"/>
    </row>
    <row r="63" spans="1:12">
      <c r="A63" s="2896" t="s">
        <v>2878</v>
      </c>
      <c r="B63" s="2901" t="s">
        <v>2886</v>
      </c>
      <c r="C63" s="2841" t="str">
        <f>IF(OR(C58="",C59="",C60="",C61=""),"",ABS(C59+C61))</f>
        <v/>
      </c>
      <c r="D63" s="2842" t="s">
        <v>2820</v>
      </c>
      <c r="E63" s="2897"/>
      <c r="F63" s="2842"/>
      <c r="G63" s="2791"/>
      <c r="H63" s="2842"/>
      <c r="I63" s="2803"/>
      <c r="J63" s="2803"/>
      <c r="K63" s="2812"/>
      <c r="L63" s="2817"/>
    </row>
    <row r="64" spans="1:12">
      <c r="A64" s="2902" t="s">
        <v>2887</v>
      </c>
      <c r="B64" s="2801"/>
      <c r="C64" s="2903" t="s">
        <v>2888</v>
      </c>
      <c r="D64" s="2904"/>
      <c r="E64" s="2905"/>
      <c r="F64" s="2986"/>
      <c r="G64" s="2903" t="s">
        <v>2889</v>
      </c>
      <c r="H64" s="2810"/>
      <c r="I64" s="2803"/>
      <c r="J64" s="2803"/>
      <c r="K64" s="2812"/>
      <c r="L64" s="2817"/>
    </row>
    <row r="65" spans="1:12">
      <c r="A65" s="2907" t="s">
        <v>2890</v>
      </c>
      <c r="B65" s="2908"/>
      <c r="C65" s="2909" t="s">
        <v>2891</v>
      </c>
      <c r="D65" s="2904"/>
      <c r="E65" s="2910"/>
      <c r="F65" s="2986"/>
      <c r="G65" s="2905"/>
      <c r="H65" s="2911"/>
      <c r="I65" s="2803"/>
      <c r="J65" s="2803"/>
      <c r="K65" s="2812"/>
      <c r="L65" s="2817"/>
    </row>
    <row r="66" spans="1:12">
      <c r="A66" s="2857" t="s">
        <v>2892</v>
      </c>
      <c r="B66" s="2855" t="s">
        <v>2893</v>
      </c>
      <c r="C66" s="2882">
        <f>ROUND(C199,2)</f>
        <v>6.82</v>
      </c>
      <c r="D66" s="2810" t="s">
        <v>2820</v>
      </c>
      <c r="E66" s="2848"/>
      <c r="F66" s="2803" t="s">
        <v>2894</v>
      </c>
      <c r="G66" s="2882">
        <f>ROUND(G199,2)</f>
        <v>5.03</v>
      </c>
      <c r="H66" s="2810" t="s">
        <v>2820</v>
      </c>
      <c r="I66" s="2803"/>
      <c r="J66" s="2803"/>
      <c r="K66" s="2812"/>
      <c r="L66" s="2817"/>
    </row>
    <row r="67" spans="1:12">
      <c r="A67" s="2857" t="s">
        <v>2895</v>
      </c>
      <c r="B67" s="2872" t="s">
        <v>2896</v>
      </c>
      <c r="C67" s="2811">
        <v>7</v>
      </c>
      <c r="D67" s="2810" t="s">
        <v>2820</v>
      </c>
      <c r="E67" s="2848"/>
      <c r="F67" s="2896" t="s">
        <v>2897</v>
      </c>
      <c r="G67" s="2811">
        <v>5</v>
      </c>
      <c r="H67" s="2810" t="s">
        <v>2820</v>
      </c>
      <c r="I67" s="2803"/>
      <c r="J67" s="2803"/>
      <c r="K67" s="2812"/>
      <c r="L67" s="2817"/>
    </row>
    <row r="68" spans="1:12" ht="15">
      <c r="A68" s="2912"/>
      <c r="B68" s="2913" t="str">
        <f>IF(C67=0,"",IF(ROUND(C71,4)&lt;&gt;ROUND(C70,4),"单变量求解计算：",""))</f>
        <v/>
      </c>
      <c r="C68" s="2914"/>
      <c r="D68" s="2810"/>
      <c r="E68" s="2848"/>
      <c r="F68" s="3171" t="str">
        <f>IF(G67=0,"",IF(ROUND(G71,4)&lt;&gt;ROUND(G70,4),"单变量求解计算：",""))</f>
        <v/>
      </c>
      <c r="G68" s="2914"/>
      <c r="H68" s="2810"/>
      <c r="I68" s="2803"/>
      <c r="J68" s="2803"/>
      <c r="K68" s="2812"/>
      <c r="L68" s="2817"/>
    </row>
    <row r="69" spans="1:12" ht="15">
      <c r="A69" s="2912"/>
      <c r="B69" s="2915" t="str">
        <f>IF(C67=0,"",IF(ROUND(C71,4)&lt;&gt;ROUND(C70,4),"可变格",""))</f>
        <v/>
      </c>
      <c r="C69" s="2825">
        <v>0.61933252105620795</v>
      </c>
      <c r="D69" s="2810"/>
      <c r="E69" s="2848"/>
      <c r="F69" s="2916" t="str">
        <f>IF(G67=0,"",IF(ROUND(G71,4)&lt;&gt;ROUND(G70,4),"可变格",""))</f>
        <v/>
      </c>
      <c r="G69" s="2825">
        <v>0.432031279947795</v>
      </c>
      <c r="H69" s="2810"/>
      <c r="I69" s="2803"/>
      <c r="J69" s="2803"/>
      <c r="K69" s="2812"/>
      <c r="L69" s="2817"/>
    </row>
    <row r="70" spans="1:12" ht="15">
      <c r="A70" s="2912"/>
      <c r="B70" s="2915" t="str">
        <f>IF(C67=0,"",IF(ROUND(C71,4)&lt;&gt;ROUND(C70,4),"目标格",""))</f>
        <v/>
      </c>
      <c r="C70" s="2826">
        <f>TAN(C69)-C69-C201</f>
        <v>-2.2126310415815399E-7</v>
      </c>
      <c r="D70" s="2810"/>
      <c r="E70" s="2848"/>
      <c r="F70" s="2916" t="str">
        <f>IF(G67=0,"",IF(ROUND(G71,4)&lt;&gt;ROUND(G70,4),"目标格",""))</f>
        <v/>
      </c>
      <c r="G70" s="2826">
        <f>TAN(G69)-G69-G201</f>
        <v>-5.8765721084458302E-8</v>
      </c>
      <c r="H70" s="2810"/>
      <c r="I70" s="2803"/>
      <c r="J70" s="2803"/>
      <c r="K70" s="2812"/>
      <c r="L70" s="2817"/>
    </row>
    <row r="71" spans="1:12" ht="15">
      <c r="A71" s="2917"/>
      <c r="B71" s="3066" t="str">
        <f>IF(C67=0,"",IF(ROUND(C71,4)&lt;&gt;ROUND(C70,4),"目标值",""))</f>
        <v/>
      </c>
      <c r="C71" s="2919">
        <f>IF(C67=0,"",0)</f>
        <v>0</v>
      </c>
      <c r="D71" s="2842"/>
      <c r="E71" s="2920"/>
      <c r="F71" s="2918" t="str">
        <f>IF(G67=0,"",IF(ROUND(G71,4)&lt;&gt;ROUND(G70,4),"目标值",""))</f>
        <v/>
      </c>
      <c r="G71" s="2919">
        <f>IF(G67=0,"",0)</f>
        <v>0</v>
      </c>
      <c r="H71" s="2842"/>
      <c r="I71" s="2803"/>
      <c r="J71" s="2803"/>
      <c r="K71" s="2812"/>
      <c r="L71" s="2817"/>
    </row>
    <row r="72" spans="1:12">
      <c r="A72" s="2921" t="s">
        <v>2898</v>
      </c>
      <c r="B72" s="2855"/>
      <c r="C72" s="2903"/>
      <c r="D72" s="2904"/>
      <c r="E72" s="2905"/>
      <c r="F72" s="2986"/>
      <c r="G72" s="2903"/>
      <c r="H72" s="2810"/>
      <c r="I72" s="2803"/>
      <c r="J72" s="2803"/>
      <c r="K72" s="2812"/>
      <c r="L72" s="2817"/>
    </row>
    <row r="73" spans="1:12">
      <c r="A73" s="2797" t="s">
        <v>2899</v>
      </c>
      <c r="B73" s="2908"/>
      <c r="C73" s="2924" t="str">
        <f>IF(OR(C85="无标准插齿刀可选！",G86="",F95&lt;&gt;""),"",D219)</f>
        <v>齿顶未变尖</v>
      </c>
      <c r="D73" s="2923"/>
      <c r="E73" s="2808"/>
      <c r="F73" s="3172"/>
      <c r="G73" s="2924" t="str">
        <f>IF(OR(C85="无标准插齿刀可选！",G86="",F95&lt;&gt;""),"",H219)</f>
        <v>齿顶未变尖</v>
      </c>
      <c r="H73" s="2923"/>
      <c r="I73" s="2808"/>
      <c r="J73" s="2803"/>
      <c r="K73" s="2812"/>
      <c r="L73" s="2817"/>
    </row>
    <row r="74" spans="1:12">
      <c r="A74" s="2797"/>
      <c r="B74" s="2908"/>
      <c r="C74" s="3345" t="str">
        <f>IF(OR(G108="",F111&lt;&gt;"",H111&lt;&gt;""),"",D220)</f>
        <v>齿顶未变尖</v>
      </c>
      <c r="D74" s="2923"/>
      <c r="E74" s="2808"/>
      <c r="F74" s="3172"/>
      <c r="G74" s="3345" t="str">
        <f>IF(OR(G108="",F111&lt;&gt;"",H111&lt;&gt;""),"",H220)</f>
        <v>齿顶未变尖</v>
      </c>
      <c r="H74" s="2923"/>
      <c r="I74" s="2808"/>
      <c r="J74" s="2803"/>
      <c r="K74" s="2812"/>
      <c r="L74" s="2817"/>
    </row>
    <row r="75" spans="1:12">
      <c r="A75" s="2797" t="s">
        <v>2900</v>
      </c>
      <c r="B75" s="2908"/>
      <c r="C75" s="2924"/>
      <c r="D75" s="2923"/>
      <c r="E75" s="2808"/>
      <c r="F75" s="3172"/>
      <c r="G75" s="2924" t="str">
        <f>IF(OR(C85="无标准插齿刀可选！",G86="",F95&lt;&gt;""),"",IF(C144=0,"",G217))</f>
        <v>不发生重叠干涉</v>
      </c>
      <c r="H75" s="2923"/>
      <c r="I75" s="2808"/>
      <c r="J75" s="2803"/>
      <c r="K75" s="2812"/>
      <c r="L75" s="2817"/>
    </row>
    <row r="76" spans="1:12">
      <c r="A76" s="2797"/>
      <c r="B76" s="2908"/>
      <c r="C76" s="2924"/>
      <c r="D76" s="2923"/>
      <c r="E76" s="2808"/>
      <c r="F76" s="3172"/>
      <c r="G76" s="3345" t="str">
        <f>IF(OR(G108="",F111&lt;&gt;"",H111&lt;&gt;""),"",IF(C144=0,"",G218))</f>
        <v>不发生重叠干涉</v>
      </c>
      <c r="H76" s="2923"/>
      <c r="I76" s="2808"/>
      <c r="J76" s="2803"/>
      <c r="K76" s="2812"/>
      <c r="L76" s="2817"/>
    </row>
    <row r="77" spans="1:12">
      <c r="A77" s="2807" t="s">
        <v>2901</v>
      </c>
      <c r="B77" s="2908"/>
      <c r="C77" s="2924"/>
      <c r="D77" s="2923"/>
      <c r="E77" s="2808"/>
      <c r="F77" s="3172"/>
      <c r="G77" s="2924" t="str">
        <f>IF(OR(C85="无标准插齿刀可选！",G86="",F95&lt;&gt;""),"",IF(C144=0,"",J218))</f>
        <v>不发生齿顶非渐开线干涉</v>
      </c>
      <c r="H77" s="2923"/>
      <c r="I77" s="2808"/>
      <c r="J77" s="2803"/>
      <c r="K77" s="2812"/>
      <c r="L77" s="2817"/>
    </row>
    <row r="78" spans="1:12">
      <c r="A78" s="2807"/>
      <c r="B78" s="2908"/>
      <c r="C78" s="2924"/>
      <c r="D78" s="2923"/>
      <c r="E78" s="2808"/>
      <c r="F78" s="3172"/>
      <c r="G78" s="3345" t="str">
        <f>IF(OR(G108="",F111&lt;&gt;"",H111&lt;&gt;""),"",IF(C144=0,"",J219))</f>
        <v>不发生齿顶非渐开线干涉</v>
      </c>
      <c r="H78" s="2923"/>
      <c r="I78" s="2808"/>
      <c r="J78" s="2803"/>
      <c r="K78" s="2812"/>
      <c r="L78" s="2817"/>
    </row>
    <row r="79" spans="1:12" ht="15.6" customHeight="1">
      <c r="A79" s="2803" t="s">
        <v>2902</v>
      </c>
      <c r="B79" s="2986" t="s">
        <v>2903</v>
      </c>
      <c r="C79" s="3064">
        <f>IF(OR(C85="无标准插齿刀可选！",G86="",F95&lt;&gt;""),"",IF(C144=0,"",C211))</f>
        <v>1.3480000000000001</v>
      </c>
      <c r="D79" s="2800" t="s">
        <v>2904</v>
      </c>
      <c r="E79" s="2848">
        <f>IF(OR(C85="无标准插齿刀可选！",G86="",F95&lt;&gt;""),"",IF(C144=0,"",C208))</f>
        <v>1.3480000000000001</v>
      </c>
      <c r="F79" s="2952" t="s">
        <v>2905</v>
      </c>
      <c r="G79" s="2848">
        <f>IF(OR(C85="无标准插齿刀可选！",G86="",F95&lt;&gt;""),"",IF(C144=0,"",C210))</f>
        <v>0</v>
      </c>
      <c r="H79" s="2923"/>
      <c r="I79" s="2808"/>
      <c r="J79" s="2803"/>
      <c r="K79" s="2812"/>
      <c r="L79" s="2817"/>
    </row>
    <row r="80" spans="1:12" ht="15.6" customHeight="1">
      <c r="A80" s="2896"/>
      <c r="B80" s="3204"/>
      <c r="C80" s="3346">
        <f>IF(OR(G108="",F111&lt;&gt;"",H111&lt;&gt;""),"",IF(C144=0,"",C212))</f>
        <v>1.349</v>
      </c>
      <c r="D80" s="2794"/>
      <c r="E80" s="3347">
        <f>IF(OR(G108="",F111&lt;&gt;"",H111&lt;&gt;""),"",IF(C144=0,"",C209))</f>
        <v>1.349</v>
      </c>
      <c r="F80" s="3348"/>
      <c r="G80" s="3347">
        <f>IF(OR(G108="",F111&lt;&gt;"",H111&lt;&gt;""),"",IF(C144=0,"",C210))</f>
        <v>0</v>
      </c>
      <c r="H80" s="2927"/>
      <c r="I80" s="2808"/>
      <c r="J80" s="2803"/>
      <c r="K80" s="2812"/>
      <c r="L80" s="2817"/>
    </row>
    <row r="81" spans="1:20">
      <c r="A81" s="2921" t="s">
        <v>2906</v>
      </c>
      <c r="B81" s="2908"/>
      <c r="C81" s="2903"/>
      <c r="D81" s="2904"/>
      <c r="E81" s="2905"/>
      <c r="F81" s="2986"/>
      <c r="G81" s="2903"/>
      <c r="H81" s="2810"/>
      <c r="I81" s="2803"/>
      <c r="J81" s="2803"/>
      <c r="K81" s="2812"/>
      <c r="L81" s="2817"/>
    </row>
    <row r="82" spans="1:20">
      <c r="A82" s="2807" t="str">
        <f>IF(C144=0,"","齿根过渡曲线干涉")</f>
        <v>齿根过渡曲线干涉</v>
      </c>
      <c r="B82" s="2908"/>
      <c r="C82" s="3349" t="str">
        <f>IF(OR(G108="",F111&lt;&gt;"",H111&lt;&gt;""),"",IF(C144=0,"",D245))</f>
        <v>不发生干涉</v>
      </c>
      <c r="D82" s="2976"/>
      <c r="E82" s="3109"/>
      <c r="F82" s="3173"/>
      <c r="G82" s="3056"/>
      <c r="H82" s="2810"/>
      <c r="I82" s="2803"/>
      <c r="J82" s="2803"/>
      <c r="K82" s="2812"/>
      <c r="L82" s="2817"/>
    </row>
    <row r="83" spans="1:20">
      <c r="A83" s="2896" t="s">
        <v>2907</v>
      </c>
      <c r="B83" s="3057"/>
      <c r="C83" s="3058" t="str">
        <f>IF(OR(G108="",F111&lt;&gt;"",H111&lt;&gt;""),"",D222)</f>
        <v>不根切</v>
      </c>
      <c r="D83" s="3069"/>
      <c r="E83" s="3058"/>
      <c r="F83" s="3174"/>
      <c r="G83" s="3058"/>
      <c r="H83" s="2957"/>
      <c r="I83" s="2803"/>
      <c r="J83" s="2803"/>
      <c r="K83" s="2812"/>
      <c r="L83" s="2817"/>
    </row>
    <row r="84" spans="1:20" ht="15">
      <c r="A84" s="3060" t="s">
        <v>2908</v>
      </c>
      <c r="B84" s="3232"/>
      <c r="C84" s="3011"/>
      <c r="D84" s="2904"/>
      <c r="E84" s="2905"/>
      <c r="F84" s="2986"/>
      <c r="G84" s="2903"/>
      <c r="H84" s="2911"/>
      <c r="I84" s="2803"/>
      <c r="J84" s="2803"/>
      <c r="K84" s="2812"/>
      <c r="L84" s="2817"/>
    </row>
    <row r="85" spans="1:20" ht="15">
      <c r="A85" s="3253" t="s">
        <v>2909</v>
      </c>
      <c r="B85" s="3232"/>
      <c r="C85" s="3234" t="str">
        <f>IF(OR(C20&lt;&gt;0,C24&lt;&gt;1,C27&lt;&gt;0.25,DEGREES(C134)&lt;&gt;20,AND(D85="*",E85="*",F85="*",G85="*",H85="*",I85="*")),"无标准插齿刀可选！","按后面的数据选取：")</f>
        <v>按后面的数据选取：</v>
      </c>
      <c r="D85" s="2848" t="str">
        <f>IF(OR(C20&lt;&gt;0,C24&lt;&gt;1,C27&lt;&gt;0.25,G146-C17&lt;25),"*",IF(OR(C17=1,C17=1.25,C17=1.5,C17=1.75,C17=2,C17=2.25,C17=2.5,C17=2.75),25,"*"))</f>
        <v>*</v>
      </c>
      <c r="E85" s="2848">
        <f>IF(OR(C20&lt;&gt;0,C24&lt;&gt;1,C27&lt;&gt;0.25,G146-C17&lt;25),"*",IF(OR(C17=1,C17=1.25,C17=1.5,C17=1.75,C17=2,C17=2.25,C17=2.5,C17=2.75,C17=3,C17=3.25,C17=3.5,C17=3.75),38,"*"))</f>
        <v>38</v>
      </c>
      <c r="F85" s="2941">
        <f>IF(OR(C20&lt;&gt;0,C24&lt;&gt;1,C27&lt;&gt;0.25,G146-C17&lt;25),"*",IF(OR(C17=1,C17=1.25,C17=1.5,C17=1.75,C17=2,C17=2.25,C17=2.5,C17=2.75,C17=3,C17=3.25,C17=3.5),50,"*"))</f>
        <v>50</v>
      </c>
      <c r="G85" s="2939">
        <f>IF(OR(C20&lt;&gt;0,C24&lt;&gt;1,C27&lt;&gt;0.25,G146-C17&lt;25),"*",IF(OR(C17=1,C17=1.25,C17=1.5,C17=1.75,C17=2,C17=2.25,C17=2.5,C17=2.75,C17=3,C17=3.25,C17=3.5,C17=3.75,C17=4),75,"*"))</f>
        <v>75</v>
      </c>
      <c r="H85" s="2848">
        <f>IF(OR(C20&lt;&gt;0,C24&lt;&gt;1,C27&lt;&gt;0.25,G146-C17&lt;25),"*",IF(OR(C17=1,C17=1.25,C17=1.5,C17=1.75,C17=2,C17=2.25,C17=2.5,C17=2.75,C17=3,C17=3.25,C17=3.5,C17=3.75,C17=4,C17=4.5,C17=5,C17=5.5,C17=6),100,"*"))</f>
        <v>100</v>
      </c>
      <c r="I85" s="2941" t="str">
        <f>IF(OR(C20&lt;&gt;0,C24&lt;&gt;1,C27&lt;&gt;0.25,G146-C17&lt;25),"*",IF(OR(C17=4,C17=4.5,C17=5,C17=5.5,C17=6,C17=6.5,C17=7,C17=8),125,"*"))</f>
        <v>*</v>
      </c>
      <c r="J85" s="2803"/>
      <c r="K85" s="2812"/>
      <c r="L85" s="2817"/>
    </row>
    <row r="86" spans="1:20" ht="15">
      <c r="A86" s="2857" t="s">
        <v>2910</v>
      </c>
      <c r="B86" s="3232"/>
      <c r="C86" s="3232"/>
      <c r="D86" s="3232"/>
      <c r="E86" s="3232"/>
      <c r="F86" s="3232"/>
      <c r="G86" s="2814">
        <v>50</v>
      </c>
      <c r="H86" s="2821" t="str">
        <f>IF(AND(D85="*",E85="*",F85="*",G85="*",H85="*",I85="*",G86&lt;&gt;""),"取消！",IF(OR(C20&lt;&gt;0,C17&gt;8,C17&lt;1,AND(D85="*",E85="*",F85="*",G85="*",H85="*",I85="*")),"",IF(OR(G86=E85,G86=F85,G86=G85,G86=H85,G86=I85),"毫米",IF(G86="","注：如不输入，则默认以上较小直径插齿刀","错误！"))))</f>
        <v>毫米</v>
      </c>
      <c r="I86" s="2848"/>
      <c r="J86" s="2941"/>
      <c r="K86" s="3011"/>
      <c r="L86" s="2821"/>
      <c r="M86" s="2848"/>
      <c r="N86" s="2803"/>
      <c r="O86" s="2812"/>
      <c r="P86" s="2817"/>
      <c r="R86" s="2860"/>
      <c r="S86" s="2860"/>
      <c r="T86" s="2860"/>
    </row>
    <row r="87" spans="1:20" ht="15" hidden="1">
      <c r="A87" s="2857"/>
      <c r="B87" s="3232"/>
      <c r="C87" s="3232"/>
      <c r="D87" s="3232"/>
      <c r="E87" s="3232"/>
      <c r="F87" s="3232"/>
      <c r="G87" s="2809">
        <f>IF(G86&lt;&gt;"",G86,IF(AND(G86=0,D85&lt;&gt;"*"),D85,IF(AND(G86=0,D85="*",E85&lt;&gt;"*"),E85,IF(AND(G86=0,D85="*",E85="*",F85&lt;&gt;"*"),F85,IF(AND(G86=0,D85="*",E85="*",F85="*",G85&lt;&gt;"*"),G85,IF(AND(G86=0,D85="*",E85="*",F85="*",G85="*",H85&lt;&gt;"*"),H85,I85))))))</f>
        <v>50</v>
      </c>
      <c r="H87" s="2821"/>
      <c r="I87" s="2905"/>
      <c r="J87" s="2986"/>
      <c r="K87" s="2809"/>
      <c r="L87" s="2821"/>
      <c r="M87" s="2905"/>
      <c r="N87" s="2803"/>
      <c r="O87" s="2812"/>
      <c r="P87" s="2817"/>
      <c r="R87" s="2860"/>
      <c r="S87" s="2860"/>
      <c r="T87" s="2860"/>
    </row>
    <row r="88" spans="1:20">
      <c r="A88" s="2858" t="s">
        <v>2911</v>
      </c>
      <c r="B88" s="2801" t="s">
        <v>2912</v>
      </c>
      <c r="C88" s="2801"/>
      <c r="D88" s="2801"/>
      <c r="E88" s="2801"/>
      <c r="F88" s="2801"/>
      <c r="G88" s="2819">
        <f>IF(C85="无标准插齿刀可选！","",G253)</f>
        <v>17</v>
      </c>
      <c r="H88" s="2904"/>
      <c r="I88" s="2905"/>
      <c r="J88" s="2986"/>
      <c r="K88" s="2797"/>
      <c r="L88" s="2904"/>
      <c r="M88" s="2905"/>
      <c r="N88" s="2803"/>
      <c r="O88" s="2812"/>
      <c r="P88" s="2817"/>
      <c r="R88" s="2860"/>
      <c r="S88" s="2860"/>
      <c r="T88" s="2860"/>
    </row>
    <row r="89" spans="1:20">
      <c r="A89" s="2857" t="s">
        <v>2913</v>
      </c>
      <c r="B89" s="2806" t="s">
        <v>2914</v>
      </c>
      <c r="C89" s="2801"/>
      <c r="D89" s="2801"/>
      <c r="E89" s="2801"/>
      <c r="F89" s="2801"/>
      <c r="G89" s="2819">
        <f>IF(C85="无标准插齿刀可选！","",G257)</f>
        <v>1.25</v>
      </c>
      <c r="H89" s="2904"/>
      <c r="I89" s="2905"/>
      <c r="J89" s="2986"/>
      <c r="K89" s="2797"/>
      <c r="L89" s="2904"/>
      <c r="M89" s="2905"/>
      <c r="N89" s="2803"/>
      <c r="O89" s="2812"/>
      <c r="P89" s="2817"/>
      <c r="R89" s="2860"/>
      <c r="S89" s="2860"/>
      <c r="T89" s="2860"/>
    </row>
    <row r="90" spans="1:20">
      <c r="A90" s="2807" t="s">
        <v>2915</v>
      </c>
      <c r="B90" s="2801"/>
      <c r="C90" s="2801"/>
      <c r="D90" s="2801"/>
      <c r="E90" s="2801"/>
      <c r="F90" s="2801"/>
      <c r="G90" s="2819">
        <f>IF(C85="无标准插齿刀可选！","",ROUND(G261,2))</f>
        <v>58.49</v>
      </c>
      <c r="H90" s="2810" t="str">
        <f>IF(C85="无标准插齿刀可选！","","毫米")</f>
        <v>毫米</v>
      </c>
      <c r="I90" s="2905"/>
      <c r="J90" s="2986"/>
      <c r="K90" s="2797"/>
      <c r="L90" s="2904"/>
      <c r="M90" s="2905"/>
      <c r="N90" s="2803"/>
      <c r="O90" s="2812"/>
      <c r="P90" s="2817"/>
      <c r="R90" s="2860"/>
      <c r="S90" s="2860"/>
      <c r="T90" s="2860"/>
    </row>
    <row r="91" spans="1:20">
      <c r="A91" s="2857" t="s">
        <v>2916</v>
      </c>
      <c r="B91" s="2806" t="s">
        <v>2917</v>
      </c>
      <c r="C91" s="2806"/>
      <c r="D91" s="2806"/>
      <c r="E91" s="2806"/>
      <c r="F91" s="2806"/>
      <c r="G91" s="2819">
        <f>IF(C85="无标准插齿刀可选！","",E250)</f>
        <v>59.1</v>
      </c>
      <c r="H91" s="2838" t="str">
        <f>IF(C85="无标准插齿刀可选！","","毫米")</f>
        <v>毫米</v>
      </c>
      <c r="I91" s="2905"/>
      <c r="J91" s="2986"/>
      <c r="K91" s="2797"/>
      <c r="L91" s="2810"/>
      <c r="M91" s="2905"/>
      <c r="N91" s="2803"/>
      <c r="O91" s="2812"/>
      <c r="P91" s="2817"/>
      <c r="R91" s="2860"/>
      <c r="S91" s="2860"/>
      <c r="T91" s="2860"/>
    </row>
    <row r="92" spans="1:20">
      <c r="A92" s="2807" t="s">
        <v>2918</v>
      </c>
      <c r="B92" s="2806" t="s">
        <v>2919</v>
      </c>
      <c r="C92" s="2806"/>
      <c r="D92" s="2806"/>
      <c r="E92" s="2806"/>
      <c r="F92" s="2806"/>
      <c r="G92" s="2814"/>
      <c r="H92" s="2980" t="str">
        <f>IF(AND(C85="无标准插齿刀可选！",G92&lt;&gt;""),"取消！",IF(C85="无标准插齿刀可选！","","毫米"))</f>
        <v>毫米</v>
      </c>
      <c r="I92" s="2878" t="str">
        <f>IF(C85="无标准插齿刀可选！","","注：如不输入,则默认新插齿刀齿顶圆直径。")</f>
        <v>注：如不输入,则默认新插齿刀齿顶圆直径。</v>
      </c>
      <c r="J92" s="2986"/>
      <c r="K92" s="3011"/>
      <c r="L92" s="2810"/>
      <c r="M92" s="2808"/>
      <c r="N92" s="2803"/>
      <c r="O92" s="2812"/>
      <c r="P92" s="2817"/>
      <c r="R92" s="2860"/>
      <c r="S92" s="2860"/>
      <c r="T92" s="2860"/>
    </row>
    <row r="93" spans="1:20">
      <c r="A93" s="2857" t="s">
        <v>2920</v>
      </c>
      <c r="B93" s="2801" t="s">
        <v>2921</v>
      </c>
      <c r="C93" s="2801"/>
      <c r="D93" s="2801"/>
      <c r="E93" s="2801"/>
      <c r="F93" s="2801"/>
      <c r="G93" s="2819">
        <f>IF(C85="无标准插齿刀可选！","",ROUND(G263,2))</f>
        <v>2.9</v>
      </c>
      <c r="H93" s="2838" t="str">
        <f>IF(C85="无标准插齿刀可选！","","毫米")</f>
        <v>毫米</v>
      </c>
      <c r="I93" s="2878" t="str">
        <f>IF(G86="","",IF(G93&gt;0,"注：在原始截面前",IF(G93&lt;0,"注：在原始截面后","注：在原始截面上")))</f>
        <v>注：在原始截面前</v>
      </c>
      <c r="J93" s="2986"/>
      <c r="K93" s="2797"/>
      <c r="L93" s="2810"/>
      <c r="M93" s="2808"/>
      <c r="N93" s="2803"/>
      <c r="O93" s="2812"/>
      <c r="P93" s="2817"/>
      <c r="R93" s="2860"/>
      <c r="S93" s="2860"/>
      <c r="T93" s="2860"/>
    </row>
    <row r="94" spans="1:20">
      <c r="A94" s="2858" t="s">
        <v>2922</v>
      </c>
      <c r="B94" s="2801" t="s">
        <v>2923</v>
      </c>
      <c r="C94" s="2801"/>
      <c r="D94" s="2801"/>
      <c r="E94" s="2801"/>
      <c r="F94" s="2801"/>
      <c r="G94" s="2819">
        <f>IF(C85="无标准插齿刀可选！","",ROUND(G93*TAN(G258)/C145,3))</f>
        <v>0.10199999999999999</v>
      </c>
      <c r="H94" s="2904"/>
      <c r="I94" s="2905"/>
      <c r="J94" s="2986"/>
      <c r="K94" s="2797"/>
      <c r="L94" s="2904"/>
      <c r="M94" s="2905"/>
      <c r="N94" s="2803"/>
      <c r="O94" s="2812"/>
      <c r="P94" s="2817"/>
      <c r="R94" s="2860"/>
      <c r="S94" s="2860"/>
      <c r="T94" s="2860"/>
    </row>
    <row r="95" spans="1:20" ht="15">
      <c r="A95" s="3060"/>
      <c r="B95" s="3232"/>
      <c r="C95" s="3011"/>
      <c r="D95" s="2821"/>
      <c r="E95" s="3350"/>
      <c r="F95" s="3236" t="str">
        <f>IF(C85="无标准插齿刀可选！","",IF(ROUND(G98,4)&lt;&gt;ROUND(G97,4),"单变量求解计算：",""))</f>
        <v/>
      </c>
      <c r="G95" s="2914"/>
      <c r="H95" s="2911"/>
      <c r="I95" s="2803"/>
      <c r="J95" s="2803"/>
      <c r="K95" s="2812"/>
      <c r="L95" s="2817"/>
    </row>
    <row r="96" spans="1:20" ht="15">
      <c r="A96" s="3060"/>
      <c r="B96" s="3232"/>
      <c r="C96" s="3011"/>
      <c r="D96" s="2807"/>
      <c r="E96" s="3351"/>
      <c r="F96" s="2857" t="str">
        <f>IF(C85="无标准插齿刀可选！","",IF(ROUND(G98,4)&lt;&gt;ROUND(G97,4),"可变格",""))</f>
        <v/>
      </c>
      <c r="G96" s="2825">
        <v>0.50715770616739797</v>
      </c>
      <c r="H96" s="2911"/>
      <c r="I96" s="2803"/>
      <c r="J96" s="2803"/>
      <c r="K96" s="2812"/>
      <c r="L96" s="2817"/>
    </row>
    <row r="97" spans="1:12" ht="15">
      <c r="A97" s="3060"/>
      <c r="B97" s="3232"/>
      <c r="C97" s="3011"/>
      <c r="D97" s="2807"/>
      <c r="E97" s="3351"/>
      <c r="F97" s="2857" t="str">
        <f>IF(C85="无标准插齿刀可选！","",IF(ROUND(G98,4)&lt;&gt;ROUND(G97,4),"目标格",""))</f>
        <v/>
      </c>
      <c r="G97" s="2826">
        <f>TAN(G96)-G96-G286</f>
        <v>-5.5820849470533698E-9</v>
      </c>
      <c r="H97" s="2911"/>
      <c r="I97" s="2803"/>
      <c r="J97" s="2803"/>
      <c r="K97" s="2892"/>
      <c r="L97" s="2817"/>
    </row>
    <row r="98" spans="1:12" ht="15">
      <c r="A98" s="3060"/>
      <c r="B98" s="3232"/>
      <c r="C98" s="3011"/>
      <c r="D98" s="2807"/>
      <c r="E98" s="3352"/>
      <c r="F98" s="2864" t="str">
        <f>IF(C85="无标准插齿刀可选！","",IF(ROUND(G98,4)&lt;&gt;ROUND(G97,4),"目标值",""))</f>
        <v/>
      </c>
      <c r="G98" s="2919">
        <f>0</f>
        <v>0</v>
      </c>
      <c r="H98" s="2911"/>
      <c r="I98" s="2803"/>
      <c r="J98" s="2803"/>
      <c r="K98" s="2812"/>
      <c r="L98" s="2817"/>
    </row>
    <row r="99" spans="1:12">
      <c r="A99" s="2858" t="str">
        <f>IF(C85="无标准插齿刀可选！","",IF(F95&lt;&gt;"","","径向切入顶切"))</f>
        <v>径向切入顶切</v>
      </c>
      <c r="B99" s="3353"/>
      <c r="C99" s="3011"/>
      <c r="D99" s="2904"/>
      <c r="E99" s="2905"/>
      <c r="F99" s="2986"/>
      <c r="G99" s="3056" t="str">
        <f>IF(C85="无标准插齿刀可选！","",IF(F95&lt;&gt;"","",H283))</f>
        <v>不产生径向切入顶切</v>
      </c>
      <c r="H99" s="3141"/>
      <c r="I99" s="2808" t="str">
        <f>IF(G99="产生径向切入顶切！","注:应适当加大齿轮变位系数或减少插齿刀公称分度圆直径或改变其它参数","")</f>
        <v/>
      </c>
      <c r="J99" s="2803"/>
      <c r="K99" s="2892"/>
      <c r="L99" s="2817"/>
    </row>
    <row r="100" spans="1:12">
      <c r="A100" s="2858"/>
      <c r="B100" s="3353"/>
      <c r="C100" s="3011"/>
      <c r="D100" s="2904"/>
      <c r="E100" s="2905"/>
      <c r="F100" s="3237">
        <f>IF(C85="无标准插齿刀可选！","",IF(F95&lt;&gt;"","",ROUND(I283,3)))</f>
        <v>3.9809999999999999</v>
      </c>
      <c r="G100" s="3354" t="str">
        <f>IF(C85="无标准插齿刀可选！","",IF(F95&lt;&gt;"","","应大于或等于"))</f>
        <v>应大于或等于</v>
      </c>
      <c r="H100" s="3111">
        <f>IF(C85="无标准插齿刀可选！","",IF(F95&lt;&gt;"","",ROUND(I273,3)))</f>
        <v>0.86699999999999999</v>
      </c>
      <c r="I100" s="3182" t="str">
        <f>IF(C85="无标准插齿刀可选！","",IF(F95&lt;&gt;"","",IF(F100&lt;H100,"?","")))</f>
        <v/>
      </c>
      <c r="J100" s="2803"/>
      <c r="K100" s="2892"/>
      <c r="L100" s="2817"/>
    </row>
    <row r="101" spans="1:12">
      <c r="A101" s="2803" t="str">
        <f>IF(C85="无标准插齿刀可选！","",IF(F95&lt;&gt;"","","干 涉 顶 切"))</f>
        <v>干 涉 顶 切</v>
      </c>
      <c r="B101" s="3353"/>
      <c r="C101" s="3011"/>
      <c r="D101" s="2904"/>
      <c r="E101" s="2905"/>
      <c r="F101" s="2803"/>
      <c r="G101" s="3056" t="str">
        <f>IF(C85="无标准插齿刀可选！","",IF(F95&lt;&gt;"","",H296))</f>
        <v>不发生干涉顶切</v>
      </c>
      <c r="H101" s="2924"/>
      <c r="I101" s="2808" t="str">
        <f>IF(G101="发生干涉顶切！","注: 应适当加大内齿轮顶圆直径或改变其它参数","")</f>
        <v/>
      </c>
      <c r="J101" s="2803"/>
      <c r="K101" s="2812"/>
      <c r="L101" s="2817"/>
    </row>
    <row r="102" spans="1:12">
      <c r="A102" s="2803"/>
      <c r="B102" s="3353"/>
      <c r="C102" s="3011"/>
      <c r="D102" s="2904"/>
      <c r="E102" s="2905"/>
      <c r="F102" s="3237">
        <f>IF(C85="无标准插齿刀可选！","",IF(F95&lt;&gt;"","",ROUND(G266,3)))</f>
        <v>0.10199999999999999</v>
      </c>
      <c r="G102" s="3354" t="str">
        <f>IF(C85="无标准插齿刀可选！","",IF(F95&lt;&gt;"","","应大于"))</f>
        <v>应大于</v>
      </c>
      <c r="H102" s="3237">
        <f>IF(C85="无标准插齿刀可选！","",IF(F95&lt;&gt;"","",ROUND(G296,3)))</f>
        <v>-0.78300000000000003</v>
      </c>
      <c r="I102" s="3182" t="str">
        <f>IF(C85="无标准插齿刀可选！","",IF(F95&lt;&gt;"","",IF(F102&lt;=H102,"?","")))</f>
        <v/>
      </c>
      <c r="J102" s="2803"/>
      <c r="K102" s="2812"/>
      <c r="L102" s="2817"/>
    </row>
    <row r="103" spans="1:12">
      <c r="A103" s="2858" t="str">
        <f>IF(C85="无标准插齿刀可选！","",IF(F95&lt;&gt;"","","齿根过渡曲线干涉"))</f>
        <v>齿根过渡曲线干涉</v>
      </c>
      <c r="B103" s="3353"/>
      <c r="C103" s="3011"/>
      <c r="D103" s="2904"/>
      <c r="E103" s="2905"/>
      <c r="F103" s="2803"/>
      <c r="G103" s="3056" t="str">
        <f>IF(C85="无标准插齿刀可选！","",IF(F95&lt;&gt;"","",H294))</f>
        <v>不发生干涉</v>
      </c>
      <c r="H103" s="2924"/>
      <c r="I103" s="2803"/>
      <c r="J103" s="2803"/>
      <c r="K103" s="2812"/>
      <c r="L103" s="2817"/>
    </row>
    <row r="104" spans="1:12">
      <c r="A104" s="2858"/>
      <c r="B104" s="3353"/>
      <c r="C104" s="3011"/>
      <c r="D104" s="2904"/>
      <c r="E104" s="2905"/>
      <c r="F104" s="3237">
        <f>IF(C85="无标准插齿刀可选！","",IF(F95&lt;&gt;"","",ROUND(G293,3)))</f>
        <v>32.173000000000002</v>
      </c>
      <c r="G104" s="3354" t="str">
        <f>IF(C85="无标准插齿刀可选！","",IF(F95&lt;&gt;"","","应大于或等于"))</f>
        <v>应大于或等于</v>
      </c>
      <c r="H104" s="3111">
        <f>IF(C85="无标准插齿刀可选！","",IF(F95&lt;&gt;"","",ROUND(G294,3)))</f>
        <v>30.111000000000001</v>
      </c>
      <c r="I104" s="3182" t="str">
        <f>IF(C85="无标准插齿刀可选！","",IF(F95&lt;&gt;"","",IF(F104&lt;H104,"?","")))</f>
        <v/>
      </c>
      <c r="J104" s="2803"/>
      <c r="K104" s="2812"/>
      <c r="L104" s="2817"/>
    </row>
    <row r="105" spans="1:12">
      <c r="A105" s="2807" t="str">
        <f>IF(C85="无标准插齿刀可选！","",IF(F95&lt;&gt;"","","插齿刀与内齿轮的重合度"))</f>
        <v>插齿刀与内齿轮的重合度</v>
      </c>
      <c r="B105" s="3353"/>
      <c r="C105" s="3011"/>
      <c r="D105" s="2904"/>
      <c r="E105" s="2905"/>
      <c r="F105" s="2803"/>
      <c r="G105" s="2924" t="str">
        <f>IF(C85="无标准插齿刀可选！","",IF(F95&lt;&gt;"","",H300))</f>
        <v>符合要求</v>
      </c>
      <c r="H105" s="2924"/>
      <c r="I105" s="2802" t="str">
        <f>IF(G105="不符合要求！","注:应适当加大插齿刀公称分度圆直径或改变其它参数","")</f>
        <v/>
      </c>
      <c r="J105" s="2803"/>
      <c r="K105" s="2812"/>
      <c r="L105" s="2817"/>
    </row>
    <row r="106" spans="1:12">
      <c r="A106" s="2842"/>
      <c r="B106" s="3355"/>
      <c r="C106" s="3019"/>
      <c r="D106" s="2874"/>
      <c r="E106" s="3239"/>
      <c r="F106" s="3356">
        <f>IF(C85="无标准插齿刀可选！","",IF(F95&lt;&gt;"","",G299))</f>
        <v>1.581</v>
      </c>
      <c r="G106" s="3357" t="str">
        <f>IF(C85="无标准插齿刀可选！","",IF(F95&lt;&gt;"","","应大于"))</f>
        <v>应大于</v>
      </c>
      <c r="H106" s="3357">
        <f>IF(C85="无标准插齿刀可选！","",IF(F95&lt;&gt;"","",G300))</f>
        <v>1.3480000000000001</v>
      </c>
      <c r="I106" s="3182" t="str">
        <f>IF(C85="无标准插齿刀可选！","",IF(F95&lt;&gt;"","",IF(F106&lt;=H106,"?","")))</f>
        <v/>
      </c>
      <c r="J106" s="2803"/>
      <c r="K106" s="2812"/>
      <c r="L106" s="2817"/>
    </row>
    <row r="107" spans="1:12" ht="15">
      <c r="A107" s="3253" t="s">
        <v>2924</v>
      </c>
      <c r="B107" s="3232"/>
      <c r="C107" s="3011"/>
      <c r="D107" s="2904"/>
      <c r="E107" s="2905"/>
      <c r="F107" s="2986"/>
      <c r="G107" s="2903"/>
      <c r="H107" s="2911"/>
      <c r="I107" s="2803"/>
      <c r="J107" s="2803"/>
      <c r="K107" s="2812"/>
      <c r="L107" s="2817"/>
    </row>
    <row r="108" spans="1:12">
      <c r="A108" s="2803" t="s">
        <v>2925</v>
      </c>
      <c r="B108" s="2801" t="s">
        <v>2926</v>
      </c>
      <c r="C108" s="2856"/>
      <c r="D108" s="2911"/>
      <c r="E108" s="2797"/>
      <c r="F108" s="2803"/>
      <c r="G108" s="2811">
        <v>17</v>
      </c>
      <c r="H108" s="2821" t="str">
        <f>IF(G108&gt;=C16,"错误！","")</f>
        <v/>
      </c>
      <c r="I108" s="2803"/>
      <c r="J108" s="2803"/>
      <c r="K108" s="2812"/>
      <c r="L108" s="2817"/>
    </row>
    <row r="109" spans="1:12">
      <c r="A109" s="2857" t="s">
        <v>2913</v>
      </c>
      <c r="B109" s="2806" t="s">
        <v>2914</v>
      </c>
      <c r="C109" s="2856"/>
      <c r="D109" s="2911"/>
      <c r="E109" s="2797"/>
      <c r="F109" s="2803"/>
      <c r="G109" s="2787">
        <v>1.25</v>
      </c>
      <c r="H109" s="2821" t="str">
        <f>IF(AND(G108=0,G109&lt;&gt;""),"取消！","")</f>
        <v/>
      </c>
      <c r="I109" s="2837" t="str">
        <f>IF(G108=0,"","注：如不输入，则默认工件齿根高系数（ha*+c*）。")</f>
        <v>注：如不输入，则默认工件齿根高系数（ha*+c*）。</v>
      </c>
      <c r="J109" s="2803"/>
      <c r="K109" s="2812"/>
      <c r="L109" s="2817"/>
    </row>
    <row r="110" spans="1:12">
      <c r="A110" s="2803" t="s">
        <v>2927</v>
      </c>
      <c r="B110" s="2797" t="s">
        <v>2928</v>
      </c>
      <c r="C110" s="2856"/>
      <c r="D110" s="2911"/>
      <c r="E110" s="2797"/>
      <c r="F110" s="2803"/>
      <c r="G110" s="2814"/>
      <c r="H110" s="2980" t="str">
        <f>IF(AND(G108=0,G110&lt;&gt;""),"取消！",IF(G108=0,"","度"))</f>
        <v>度</v>
      </c>
      <c r="I110" s="2802" t="str">
        <f>IF(G108=0,"","注：如不输入,则默认 6 度。")</f>
        <v>注：如不输入,则默认 6 度。</v>
      </c>
      <c r="J110" s="2803"/>
      <c r="K110" s="2812"/>
      <c r="L110" s="2817"/>
    </row>
    <row r="111" spans="1:12">
      <c r="A111" s="2803"/>
      <c r="B111" s="2803"/>
      <c r="C111" s="2803"/>
      <c r="D111" s="2855"/>
      <c r="E111" s="2797"/>
      <c r="F111" s="3171" t="str">
        <f>IF(G108=0,"",IF(ROUND(G114,4)&lt;&gt;ROUND(G113,4),"单变量求解计算：",""))</f>
        <v/>
      </c>
      <c r="G111" s="3027"/>
      <c r="H111" s="2822"/>
      <c r="I111" s="3011"/>
      <c r="J111" s="2860"/>
      <c r="K111" s="2860"/>
    </row>
    <row r="112" spans="1:12">
      <c r="A112" s="2803"/>
      <c r="B112" s="2803"/>
      <c r="C112" s="2803"/>
      <c r="D112" s="2855"/>
      <c r="E112" s="2797"/>
      <c r="F112" s="2916" t="str">
        <f>IF(G108=0,"",IF(ROUND(G114,4)&lt;&gt;ROUND(G113,4),"可变格",""))</f>
        <v/>
      </c>
      <c r="G112" s="3358">
        <v>1.51138899153815E-2</v>
      </c>
      <c r="H112" s="2824"/>
      <c r="I112" s="2809"/>
      <c r="J112" s="2860"/>
      <c r="K112" s="2860"/>
    </row>
    <row r="113" spans="1:31">
      <c r="A113" s="2803"/>
      <c r="B113" s="2803"/>
      <c r="C113" s="2803"/>
      <c r="D113" s="2855"/>
      <c r="E113" s="2797"/>
      <c r="F113" s="2916" t="str">
        <f>IF(G108=0,"",IF(ROUND(G114,4)&lt;&gt;ROUND(G113,4),"目标格",""))</f>
        <v/>
      </c>
      <c r="G113" s="2849">
        <f>(C145*L253+2*C17*(L257+G112))*((PI()/2+2*G112*TAN(C134))/L253+E136-TAN(ACOS(L255/(C145*L253+2*C17*(L257+G112))))+ACOS(L255/(C145*L253+2*C17*(L257+G112))))-L256</f>
        <v>-1.75521686962554E-7</v>
      </c>
      <c r="H113" s="2824"/>
      <c r="I113" s="2809"/>
      <c r="J113" s="2860"/>
      <c r="K113" s="2860"/>
    </row>
    <row r="114" spans="1:31">
      <c r="A114" s="2803"/>
      <c r="B114" s="2803"/>
      <c r="C114" s="2803"/>
      <c r="D114" s="2855"/>
      <c r="E114" s="2797"/>
      <c r="F114" s="2918" t="str">
        <f>IF(G108=0,"",IF(ROUND(G114,4)&lt;&gt;ROUND(G113,4),"目标值",""))</f>
        <v/>
      </c>
      <c r="G114" s="3269">
        <f>IF(G108=0,"",0)</f>
        <v>0</v>
      </c>
      <c r="H114" s="2824"/>
      <c r="I114" s="3067"/>
      <c r="J114" s="2860"/>
      <c r="K114" s="2860"/>
    </row>
    <row r="115" spans="1:31">
      <c r="A115" s="2807" t="s">
        <v>2915</v>
      </c>
      <c r="B115" s="2806"/>
      <c r="C115" s="2797"/>
      <c r="D115" s="2810"/>
      <c r="E115" s="2808"/>
      <c r="F115" s="2803"/>
      <c r="G115" s="2882">
        <f>IF(OR(G108="",F111&lt;&gt;""),"",ROUND(L261,3))</f>
        <v>58.5</v>
      </c>
      <c r="H115" s="2810" t="str">
        <f>IF(G108=0,"","毫米")</f>
        <v>毫米</v>
      </c>
      <c r="I115" s="2808"/>
      <c r="J115" s="2803"/>
      <c r="K115" s="2812"/>
      <c r="L115" s="2817"/>
      <c r="W115" s="2810"/>
      <c r="X115" s="2808"/>
      <c r="Y115" s="2803"/>
      <c r="Z115" s="2812"/>
      <c r="AA115" s="2817"/>
      <c r="AB115" s="2860"/>
      <c r="AC115" s="2860"/>
      <c r="AD115" s="2860"/>
      <c r="AE115" s="2860"/>
    </row>
    <row r="116" spans="1:31">
      <c r="A116" s="2857" t="s">
        <v>2929</v>
      </c>
      <c r="B116" s="3359" t="s">
        <v>2930</v>
      </c>
      <c r="C116" s="2797"/>
      <c r="D116" s="2810"/>
      <c r="E116" s="2808"/>
      <c r="F116" s="2803"/>
      <c r="G116" s="2882">
        <f>IF(OR(G108="",F111&lt;&gt;""),"",ROUND(L262,3))</f>
        <v>58.591000000000001</v>
      </c>
      <c r="H116" s="2810" t="str">
        <f>IF(G108=0,"","毫米")</f>
        <v>毫米</v>
      </c>
      <c r="I116" s="2808" t="str">
        <f>IF(G108=0,"","注：考虑插齿刀齿顶不过窄的最大直径")</f>
        <v>注：考虑插齿刀齿顶不过窄的最大直径</v>
      </c>
      <c r="J116" s="2803"/>
      <c r="K116" s="2812"/>
      <c r="L116" s="2817"/>
      <c r="W116" s="2810"/>
      <c r="X116" s="2808"/>
      <c r="Y116" s="2803"/>
      <c r="Z116" s="2812"/>
      <c r="AA116" s="2817"/>
      <c r="AB116" s="2860"/>
      <c r="AC116" s="2860"/>
      <c r="AD116" s="2860"/>
      <c r="AE116" s="2860"/>
    </row>
    <row r="117" spans="1:31">
      <c r="A117" s="2807" t="s">
        <v>2931</v>
      </c>
      <c r="B117" s="2806" t="s">
        <v>2917</v>
      </c>
      <c r="C117" s="3011"/>
      <c r="D117" s="2808"/>
      <c r="E117" s="2808"/>
      <c r="F117" s="2803"/>
      <c r="G117" s="3037">
        <v>59.1</v>
      </c>
      <c r="H117" s="2980" t="str">
        <f>IF(OR(AND(G108=0,G117&lt;&gt;""),AND(G117&lt;&gt;"",F111&lt;&gt;"")),"取消！",IF(G108=0,"","毫米"))</f>
        <v>毫米</v>
      </c>
      <c r="I117" s="2808" t="str">
        <f>IF(G108=0,"",IF(G117=0,"注：如不输入，则默认允许的最大齿顶圆直径。",""))</f>
        <v/>
      </c>
      <c r="J117" s="2803"/>
      <c r="K117" s="2812"/>
      <c r="L117" s="2817"/>
      <c r="W117" s="2810"/>
      <c r="X117" s="2808"/>
      <c r="Y117" s="2803"/>
      <c r="Z117" s="2812"/>
      <c r="AA117" s="2817"/>
      <c r="AB117" s="2860"/>
      <c r="AC117" s="2860"/>
      <c r="AD117" s="2860"/>
      <c r="AE117" s="2860"/>
    </row>
    <row r="118" spans="1:31">
      <c r="A118" s="2807"/>
      <c r="B118" s="2806"/>
      <c r="C118" s="3011"/>
      <c r="D118" s="2808"/>
      <c r="E118" s="2808"/>
      <c r="F118" s="3171" t="str">
        <f>IF(G108=0,"",IF(ROUND(G121,4)&lt;&gt;ROUND(G120,4),"单变量求解计算：",""))</f>
        <v/>
      </c>
      <c r="G118" s="2914"/>
      <c r="H118" s="2980"/>
      <c r="I118" s="2808"/>
      <c r="J118" s="2803"/>
      <c r="K118" s="2812"/>
      <c r="L118" s="2817"/>
      <c r="W118" s="2810"/>
      <c r="X118" s="2808"/>
      <c r="Y118" s="2803"/>
      <c r="Z118" s="2812"/>
      <c r="AA118" s="2817"/>
      <c r="AB118" s="2860"/>
      <c r="AC118" s="2860"/>
      <c r="AD118" s="2860"/>
      <c r="AE118" s="2860"/>
    </row>
    <row r="119" spans="1:31">
      <c r="A119" s="2807"/>
      <c r="B119" s="2806"/>
      <c r="C119" s="3011"/>
      <c r="D119" s="2808"/>
      <c r="E119" s="2808"/>
      <c r="F119" s="2916" t="str">
        <f>IF(G108=0,"",IF(ROUND(G121,4)&lt;&gt;ROUND(G120,4),"可变格",""))</f>
        <v/>
      </c>
      <c r="G119" s="2825">
        <v>0.50740555111482499</v>
      </c>
      <c r="H119" s="2980"/>
      <c r="I119" s="2808"/>
      <c r="J119" s="2803"/>
      <c r="K119" s="2812"/>
      <c r="L119" s="2817"/>
      <c r="W119" s="2810"/>
      <c r="X119" s="2808"/>
      <c r="Y119" s="2803"/>
      <c r="Z119" s="2812"/>
      <c r="AA119" s="2817"/>
      <c r="AB119" s="2860"/>
      <c r="AC119" s="2860"/>
      <c r="AD119" s="2860"/>
      <c r="AE119" s="2860"/>
    </row>
    <row r="120" spans="1:31">
      <c r="A120" s="2807"/>
      <c r="B120" s="2806"/>
      <c r="C120" s="3011"/>
      <c r="D120" s="2808"/>
      <c r="E120" s="2808"/>
      <c r="F120" s="2916" t="str">
        <f>IF(97=0,"",IF(ROUND(G121,4)&lt;&gt;ROUND(G120,4),"目标格",""))</f>
        <v/>
      </c>
      <c r="G120" s="2826">
        <f>TAN(G119)-G119-L286</f>
        <v>-6.9522295288726404E-8</v>
      </c>
      <c r="H120" s="2980"/>
      <c r="I120" s="2808"/>
      <c r="J120" s="2803"/>
      <c r="K120" s="2812"/>
      <c r="L120" s="2817"/>
      <c r="W120" s="2810"/>
      <c r="X120" s="2808"/>
      <c r="Y120" s="2803"/>
      <c r="Z120" s="2812"/>
      <c r="AA120" s="2817"/>
      <c r="AB120" s="2860"/>
      <c r="AC120" s="2860"/>
      <c r="AD120" s="2860"/>
      <c r="AE120" s="2860"/>
    </row>
    <row r="121" spans="1:31">
      <c r="A121" s="2807"/>
      <c r="B121" s="2806"/>
      <c r="C121" s="3011"/>
      <c r="D121" s="2808"/>
      <c r="E121" s="2808"/>
      <c r="F121" s="2918" t="str">
        <f>IF(G108=0,"",IF(ROUND(G121,4)&lt;&gt;ROUND(G120,4),"目标值",""))</f>
        <v/>
      </c>
      <c r="G121" s="2919">
        <f>IF(G108=0,"",0)</f>
        <v>0</v>
      </c>
      <c r="H121" s="2980"/>
      <c r="I121" s="2808"/>
      <c r="J121" s="2803"/>
      <c r="K121" s="2812"/>
      <c r="L121" s="2817"/>
      <c r="W121" s="2810"/>
      <c r="X121" s="2808"/>
      <c r="Y121" s="2803"/>
      <c r="Z121" s="2812"/>
      <c r="AA121" s="2817"/>
      <c r="AB121" s="2860"/>
      <c r="AC121" s="2860"/>
      <c r="AD121" s="2860"/>
      <c r="AE121" s="2860"/>
    </row>
    <row r="122" spans="1:31">
      <c r="A122" s="2857" t="s">
        <v>2920</v>
      </c>
      <c r="B122" s="2801" t="s">
        <v>2932</v>
      </c>
      <c r="C122" s="2797"/>
      <c r="D122" s="2810"/>
      <c r="E122" s="2808"/>
      <c r="F122" s="2803"/>
      <c r="G122" s="2882">
        <f>IF(OR(G108="",F111&lt;&gt;"",F118&lt;&gt;""),"",ROUND(L263,1))</f>
        <v>2.9</v>
      </c>
      <c r="H122" s="2810" t="str">
        <f>IF(G108=0,"","毫米")</f>
        <v>毫米</v>
      </c>
      <c r="I122" s="2808" t="str">
        <f>IF(OR(G108=0,F118&lt;&gt;""),"",IF(G122&gt;0,"注：在原始截面前",IF(G122&lt;0,"注：在原始截面后","注：在原始截面上")))</f>
        <v>注：在原始截面前</v>
      </c>
      <c r="J122" s="2803"/>
      <c r="K122" s="2812"/>
      <c r="L122" s="2817"/>
      <c r="W122" s="2810"/>
      <c r="X122" s="2808"/>
      <c r="Y122" s="2803"/>
      <c r="Z122" s="2812"/>
      <c r="AA122" s="2817"/>
      <c r="AB122" s="2860"/>
      <c r="AC122" s="2860"/>
      <c r="AD122" s="2860"/>
      <c r="AE122" s="2860"/>
    </row>
    <row r="123" spans="1:31">
      <c r="A123" s="2788" t="s">
        <v>2933</v>
      </c>
      <c r="B123" s="2831" t="s">
        <v>2934</v>
      </c>
      <c r="C123" s="2797"/>
      <c r="D123" s="2810"/>
      <c r="E123" s="2808"/>
      <c r="F123" s="2803"/>
      <c r="G123" s="2882">
        <f>IF(OR(G108="",F111&lt;&gt;"",F118&lt;&gt;""),"",ROUND(L266,3))</f>
        <v>0.1</v>
      </c>
      <c r="H123" s="2810"/>
      <c r="I123" s="2808"/>
      <c r="J123" s="2803"/>
      <c r="K123" s="2812"/>
      <c r="L123" s="2817"/>
    </row>
    <row r="124" spans="1:31">
      <c r="A124" s="2858" t="str">
        <f>IF(OR(F112&lt;&gt;"",H112&lt;&gt;""),"","径向切入顶切")</f>
        <v>径向切入顶切</v>
      </c>
      <c r="B124" s="3353"/>
      <c r="C124" s="2924"/>
      <c r="D124" s="2924"/>
      <c r="E124" s="3109"/>
      <c r="F124" s="3360"/>
      <c r="G124" s="3056" t="str">
        <f>IF(OR(G108=0,F111&lt;&gt;"",F118&lt;&gt;""),"",M283)</f>
        <v>不产生径向切入顶切</v>
      </c>
      <c r="H124" s="2821"/>
      <c r="I124" s="2808" t="str">
        <f>IF(G124="产生径向切入顶切！","注:应适当加大齿轮变位系数或减少插齿刀齿数或改变其它参数","")</f>
        <v/>
      </c>
      <c r="J124" s="3361"/>
      <c r="K124" s="2903"/>
      <c r="L124" s="2817"/>
    </row>
    <row r="125" spans="1:31">
      <c r="A125" s="2858"/>
      <c r="B125" s="3353"/>
      <c r="C125" s="2924"/>
      <c r="D125" s="2924"/>
      <c r="E125" s="3109"/>
      <c r="F125" s="3237">
        <f>IF(OR(G108=0,F111&lt;&gt;"",F118&lt;&gt;""),"",ROUND(N283,3))</f>
        <v>3.9889999999999999</v>
      </c>
      <c r="G125" s="3354" t="str">
        <f>IF(OR(G108=0,F111&lt;&gt;"",F118&lt;&gt;""),"","应大于或等于")</f>
        <v>应大于或等于</v>
      </c>
      <c r="H125" s="3237">
        <f>IF(OR(G108=0,F111&lt;&gt;"",F118&lt;&gt;""),"",ROUND(N273,3))</f>
        <v>0.86199999999999999</v>
      </c>
      <c r="I125" s="3182" t="str">
        <f>IF(OR(G108=0,F111&lt;&gt;"",F118&lt;&gt;""),"",IF(F125&lt;H125,"?",""))</f>
        <v/>
      </c>
      <c r="J125" s="3361"/>
      <c r="K125" s="2903"/>
      <c r="L125" s="2817"/>
    </row>
    <row r="126" spans="1:31">
      <c r="A126" s="2803" t="str">
        <f>IF(OR(F112&lt;&gt;"",H112&lt;&gt;""),"","干 涉 顶 切")</f>
        <v>干 涉 顶 切</v>
      </c>
      <c r="B126" s="3353"/>
      <c r="C126" s="2924"/>
      <c r="D126" s="2924"/>
      <c r="E126" s="3109"/>
      <c r="F126" s="2803"/>
      <c r="G126" s="3056" t="str">
        <f>IF(OR(G108=0,F111&lt;&gt;"",F118&lt;&gt;""),"",M296)</f>
        <v>不发生干涉顶切</v>
      </c>
      <c r="H126" s="2904"/>
      <c r="I126" s="2808" t="str">
        <f>IF(G126="发生干涉顶切！","注: 应适当加大内齿轮顶圆直径或改变其它参数","")</f>
        <v/>
      </c>
      <c r="J126" s="3361"/>
      <c r="K126" s="2903"/>
      <c r="L126" s="2817"/>
    </row>
    <row r="127" spans="1:31">
      <c r="A127" s="2803"/>
      <c r="B127" s="3353"/>
      <c r="C127" s="2924"/>
      <c r="D127" s="2924"/>
      <c r="E127" s="3109"/>
      <c r="F127" s="3237">
        <f>IF(OR(G108=0,F111&lt;&gt;"",F118&lt;&gt;""),"",ROUND(L266,3))</f>
        <v>0.1</v>
      </c>
      <c r="G127" s="3111" t="str">
        <f>IF(OR(G108=0,F111&lt;&gt;"",F118&lt;&gt;""),"","应大于")</f>
        <v>应大于</v>
      </c>
      <c r="H127" s="3237">
        <f>IF(OR(G108=0,F111&lt;&gt;"",F118&lt;&gt;""),"",ROUND(L296,3))</f>
        <v>-0.78300000000000003</v>
      </c>
      <c r="I127" s="3182" t="str">
        <f>IF(OR(G108=0,F111&lt;&gt;"",F118&lt;&gt;""),"",IF(F127&lt;=H127,"?",""))</f>
        <v/>
      </c>
      <c r="J127" s="3361"/>
      <c r="K127" s="2903"/>
      <c r="L127" s="2817"/>
    </row>
    <row r="128" spans="1:31">
      <c r="A128" s="2976" t="str">
        <f>IF(OR(F112&lt;&gt;"",H112&lt;&gt;""),"","齿根过渡曲线干涉")</f>
        <v>齿根过渡曲线干涉</v>
      </c>
      <c r="B128" s="3353"/>
      <c r="C128" s="2924"/>
      <c r="D128" s="2924"/>
      <c r="E128" s="3109"/>
      <c r="F128" s="2803"/>
      <c r="G128" s="2924" t="str">
        <f>IF(OR(C144=0,G108=0,F111&lt;&gt;"",F118&lt;&gt;""),"",M294)</f>
        <v>不发生干涉</v>
      </c>
      <c r="H128" s="2904"/>
      <c r="I128" s="2803"/>
      <c r="J128" s="3361"/>
      <c r="K128" s="2812"/>
      <c r="L128" s="2817"/>
    </row>
    <row r="129" spans="1:17">
      <c r="A129" s="2976"/>
      <c r="B129" s="3353"/>
      <c r="C129" s="2924"/>
      <c r="D129" s="2924"/>
      <c r="E129" s="3109"/>
      <c r="F129" s="3237">
        <f>IF(OR(G108=0,F111&lt;&gt;"",F118&lt;&gt;""),"",ROUND(L293,3))</f>
        <v>32.180999999999997</v>
      </c>
      <c r="G129" s="3111" t="str">
        <f>IF(OR(G108=0,F111&lt;&gt;"",F118&lt;&gt;""),"","应大于或等于")</f>
        <v>应大于或等于</v>
      </c>
      <c r="H129" s="3237">
        <f>IF(OR(G108=0,F111&lt;&gt;"",F118&lt;&gt;""),"",ROUND(L294,3))</f>
        <v>30.117999999999999</v>
      </c>
      <c r="I129" s="3182" t="str">
        <f>IF(OR(G108=0,F111&lt;&gt;"",F118&lt;&gt;""),"",IF(F129&lt;H129,"?",""))</f>
        <v/>
      </c>
      <c r="J129" s="3361"/>
      <c r="K129" s="2812"/>
      <c r="L129" s="2817"/>
    </row>
    <row r="130" spans="1:17">
      <c r="A130" s="2810" t="str">
        <f>IF(OR(F112&lt;&gt;"",H112&lt;&gt;""),"","插齿刀与内齿轮的重合度")</f>
        <v>插齿刀与内齿轮的重合度</v>
      </c>
      <c r="B130" s="3353"/>
      <c r="C130" s="2924"/>
      <c r="D130" s="2904"/>
      <c r="E130" s="3109"/>
      <c r="F130" s="2803"/>
      <c r="G130" s="2924" t="str">
        <f>IF(OR(C144=0,G108=0,F111&lt;&gt;"",F118&lt;&gt;""),"",M300)</f>
        <v>符合要求</v>
      </c>
      <c r="H130" s="2924"/>
      <c r="I130" s="2802" t="str">
        <f>IF(G130="不符合要求！","注:应适当增加插齿刀齿数或改变其它参数","")</f>
        <v/>
      </c>
      <c r="J130" s="3361"/>
      <c r="K130" s="2812"/>
      <c r="L130" s="2817"/>
    </row>
    <row r="131" spans="1:17">
      <c r="A131" s="2810"/>
      <c r="B131" s="3353"/>
      <c r="C131" s="2924"/>
      <c r="D131" s="2904"/>
      <c r="E131" s="3109"/>
      <c r="F131" s="3237">
        <f>IF(OR(G108=0,F111&lt;&gt;"",F118&lt;&gt;""),"",L299)</f>
        <v>1.5820000000000001</v>
      </c>
      <c r="G131" s="3111" t="str">
        <f>IF(OR(G108=0,F111&lt;&gt;"",F118&lt;&gt;""),"","应大于")</f>
        <v>应大于</v>
      </c>
      <c r="H131" s="3111">
        <f>IF(OR(G108=0,F111&lt;&gt;"",F118&lt;&gt;""),"",L300)</f>
        <v>1.349</v>
      </c>
      <c r="I131" s="3182" t="str">
        <f>IF(OR(G108=0,F111&lt;&gt;"",F118&lt;&gt;""),"",IF(F131&lt;=H131,"?",""))</f>
        <v/>
      </c>
      <c r="J131" s="3361"/>
      <c r="K131" s="2812"/>
      <c r="L131" s="2817"/>
    </row>
    <row r="132" spans="1:17" s="3202" customFormat="1">
      <c r="A132" s="3069"/>
      <c r="B132" s="3355"/>
      <c r="C132" s="3058"/>
      <c r="D132" s="3058"/>
      <c r="E132" s="3362"/>
      <c r="F132" s="3363"/>
      <c r="G132" s="3058"/>
      <c r="H132" s="2866"/>
      <c r="I132" s="2803"/>
      <c r="J132" s="3361"/>
      <c r="K132" s="2947"/>
      <c r="L132" s="2818"/>
      <c r="M132" s="2885"/>
      <c r="N132" s="2885"/>
      <c r="O132" s="2885"/>
      <c r="P132" s="2885"/>
      <c r="Q132" s="2885"/>
    </row>
    <row r="133" spans="1:17">
      <c r="A133" s="2933" t="s">
        <v>2935</v>
      </c>
      <c r="B133" s="2806"/>
      <c r="C133" s="2903" t="s">
        <v>2888</v>
      </c>
      <c r="D133" s="2904"/>
      <c r="E133" s="2905"/>
      <c r="F133" s="2906"/>
      <c r="G133" s="2903" t="s">
        <v>2889</v>
      </c>
      <c r="H133" s="2810"/>
      <c r="I133" s="2821"/>
      <c r="J133" s="2803"/>
      <c r="K133" s="2812"/>
      <c r="L133" s="2817"/>
    </row>
    <row r="134" spans="1:17">
      <c r="A134" s="2817" t="s">
        <v>2936</v>
      </c>
      <c r="B134" s="2813" t="s">
        <v>2822</v>
      </c>
      <c r="C134" s="2786">
        <f>IF(C18="",RADIANS(20),RADIANS(C18))</f>
        <v>0.34906585039886601</v>
      </c>
      <c r="D134" s="2812" t="s">
        <v>2048</v>
      </c>
      <c r="E134" s="2797">
        <f>TAN(C134)-C134</f>
        <v>1.4904383867336401E-2</v>
      </c>
      <c r="F134" s="3252" t="s">
        <v>2937</v>
      </c>
      <c r="G134" s="2848"/>
      <c r="H134" s="2797"/>
      <c r="I134" s="2810"/>
      <c r="J134" s="2797"/>
      <c r="K134" s="3012"/>
      <c r="L134" s="2817"/>
    </row>
    <row r="135" spans="1:17">
      <c r="A135" s="2817"/>
      <c r="B135" s="2806"/>
      <c r="C135" s="2786">
        <f>IF(C18="",20,C18)</f>
        <v>20</v>
      </c>
      <c r="D135" s="2810" t="s">
        <v>257</v>
      </c>
      <c r="E135" s="2797">
        <f>ROUND(INT(C135)+INT((C135-INT(C135))*60)/100+((C135-INT(C135))*60-INT((C135-INT(C135))*60))*60/10000,4)</f>
        <v>20</v>
      </c>
      <c r="F135" s="2810" t="s">
        <v>2938</v>
      </c>
      <c r="G135" s="2848"/>
      <c r="H135" s="2797"/>
      <c r="I135" s="2810"/>
      <c r="J135" s="2797"/>
      <c r="K135" s="3012"/>
      <c r="L135" s="2817"/>
    </row>
    <row r="136" spans="1:17">
      <c r="A136" s="2813" t="s">
        <v>2939</v>
      </c>
      <c r="B136" s="2813" t="s">
        <v>2940</v>
      </c>
      <c r="C136" s="2786">
        <f>ATAN(TAN(C134)/COS(C137))</f>
        <v>0.34906585039886601</v>
      </c>
      <c r="D136" s="2812" t="s">
        <v>2048</v>
      </c>
      <c r="E136" s="2797">
        <f>TAN(C136)-C136</f>
        <v>1.4904383867336401E-2</v>
      </c>
      <c r="F136" s="3252" t="s">
        <v>2941</v>
      </c>
      <c r="G136" s="2848"/>
      <c r="H136" s="2810"/>
      <c r="I136" s="2821"/>
      <c r="J136" s="2941"/>
      <c r="K136" s="2812"/>
      <c r="L136" s="2817"/>
    </row>
    <row r="137" spans="1:17" ht="15">
      <c r="A137" s="2836" t="s">
        <v>2823</v>
      </c>
      <c r="B137" s="2813" t="s">
        <v>2824</v>
      </c>
      <c r="C137" s="2786">
        <f>RADIANS(C20)</f>
        <v>0</v>
      </c>
      <c r="D137" s="2812" t="s">
        <v>2048</v>
      </c>
      <c r="E137" s="2797"/>
      <c r="F137" s="2810"/>
      <c r="G137" s="2786"/>
      <c r="H137" s="3012"/>
      <c r="I137" s="2821"/>
      <c r="J137" s="2941"/>
      <c r="K137" s="2812"/>
      <c r="L137" s="2817"/>
    </row>
    <row r="138" spans="1:17">
      <c r="A138" s="2836"/>
      <c r="B138" s="2806"/>
      <c r="C138" s="2786">
        <f>C20</f>
        <v>0</v>
      </c>
      <c r="D138" s="2810" t="s">
        <v>257</v>
      </c>
      <c r="E138" s="2786">
        <f>ROUND(INT(C138)+INT((C138-INT(C138))*60)/100+((C138-INT(C138))*60-INT((C138-INT(C138))*60))*60/10000,4)</f>
        <v>0</v>
      </c>
      <c r="F138" s="2810" t="s">
        <v>2938</v>
      </c>
      <c r="G138" s="2786"/>
      <c r="H138" s="3012"/>
      <c r="I138" s="2821"/>
      <c r="J138" s="2941"/>
      <c r="K138" s="2812"/>
      <c r="L138" s="2817"/>
    </row>
    <row r="139" spans="1:17">
      <c r="A139" s="2813" t="s">
        <v>2942</v>
      </c>
      <c r="B139" s="2813" t="s">
        <v>2943</v>
      </c>
      <c r="C139" s="2786">
        <f>ATAN(C147*TAN(C137)/C146)</f>
        <v>0</v>
      </c>
      <c r="D139" s="2812" t="s">
        <v>2048</v>
      </c>
      <c r="E139" s="2821"/>
      <c r="F139" s="2821"/>
      <c r="G139" s="2848"/>
      <c r="H139" s="2810"/>
      <c r="I139" s="2821"/>
      <c r="J139" s="2941"/>
      <c r="K139" s="2812"/>
      <c r="L139" s="2817"/>
    </row>
    <row r="140" spans="1:17" ht="15">
      <c r="A140" s="2813" t="s">
        <v>2944</v>
      </c>
      <c r="B140" s="2813" t="s">
        <v>2945</v>
      </c>
      <c r="C140" s="2786">
        <f>ATAN(C148*TAN(C137)/C146)</f>
        <v>0</v>
      </c>
      <c r="D140" s="2812" t="s">
        <v>2048</v>
      </c>
      <c r="E140" s="2821"/>
      <c r="F140" s="2821"/>
      <c r="G140" s="2786"/>
      <c r="H140" s="2810"/>
      <c r="I140" s="2821"/>
      <c r="J140" s="2941"/>
      <c r="K140" s="2812"/>
      <c r="L140" s="2817"/>
    </row>
    <row r="141" spans="1:17" ht="15">
      <c r="A141" s="2813" t="s">
        <v>2946</v>
      </c>
      <c r="B141" s="2813" t="s">
        <v>2947</v>
      </c>
      <c r="C141" s="2786">
        <f>ATAN(C166*TAN(C137)/C146)</f>
        <v>0</v>
      </c>
      <c r="D141" s="2812" t="s">
        <v>2048</v>
      </c>
      <c r="E141" s="2821"/>
      <c r="F141" s="2821"/>
      <c r="G141" s="2786">
        <f>ATAN(G166*TAN(C137)/G146)</f>
        <v>0</v>
      </c>
      <c r="H141" s="2812" t="s">
        <v>2048</v>
      </c>
      <c r="I141" s="2821"/>
      <c r="J141" s="2941"/>
      <c r="K141" s="2812"/>
      <c r="L141" s="2817"/>
    </row>
    <row r="142" spans="1:17" ht="14.25">
      <c r="A142" s="2813"/>
      <c r="B142" s="2813"/>
      <c r="C142" s="3364">
        <f>ATAN(C167*TAN(C137)/C146)</f>
        <v>0</v>
      </c>
      <c r="D142" s="2812"/>
      <c r="E142" s="2821"/>
      <c r="F142" s="2821"/>
      <c r="G142" s="3364">
        <f>ATAN(G167*TAN(C137)/G146)</f>
        <v>0</v>
      </c>
      <c r="H142" s="2812"/>
      <c r="I142" s="2821"/>
      <c r="J142" s="2941"/>
      <c r="K142" s="2812"/>
      <c r="L142" s="2817"/>
    </row>
    <row r="143" spans="1:17">
      <c r="A143" s="2803" t="s">
        <v>2948</v>
      </c>
      <c r="B143" s="2806" t="s">
        <v>2839</v>
      </c>
      <c r="C143" s="2786">
        <f>(G146-C146)/2</f>
        <v>25.5</v>
      </c>
      <c r="D143" s="2810" t="s">
        <v>2820</v>
      </c>
      <c r="E143" s="2821"/>
      <c r="F143" s="2821"/>
      <c r="G143" s="2848"/>
      <c r="H143" s="2810"/>
      <c r="I143" s="3103"/>
      <c r="J143" s="2941"/>
      <c r="K143" s="2812"/>
      <c r="L143" s="2817"/>
    </row>
    <row r="144" spans="1:17">
      <c r="A144" s="2813" t="s">
        <v>2949</v>
      </c>
      <c r="B144" s="2806" t="s">
        <v>1874</v>
      </c>
      <c r="C144" s="2786">
        <f>IF(C36="",E35,C36)</f>
        <v>26</v>
      </c>
      <c r="D144" s="2810" t="s">
        <v>2820</v>
      </c>
      <c r="E144" s="2821"/>
      <c r="F144" s="2821"/>
      <c r="G144" s="2848"/>
      <c r="H144" s="2810"/>
      <c r="I144" s="3103"/>
      <c r="J144" s="2941"/>
      <c r="K144" s="2812"/>
      <c r="L144" s="2817"/>
    </row>
    <row r="145" spans="1:12">
      <c r="A145" s="2813" t="s">
        <v>2950</v>
      </c>
      <c r="B145" s="2806" t="s">
        <v>2951</v>
      </c>
      <c r="C145" s="2786">
        <f>C17/COS(C137)</f>
        <v>3</v>
      </c>
      <c r="D145" s="2810" t="s">
        <v>2820</v>
      </c>
      <c r="E145" s="2821"/>
      <c r="F145" s="2821"/>
      <c r="G145" s="2848"/>
      <c r="H145" s="2810"/>
      <c r="I145" s="3103"/>
      <c r="J145" s="2941"/>
      <c r="K145" s="2812"/>
      <c r="L145" s="2817"/>
    </row>
    <row r="146" spans="1:12">
      <c r="A146" s="2817" t="s">
        <v>2952</v>
      </c>
      <c r="B146" s="2831" t="s">
        <v>2953</v>
      </c>
      <c r="C146" s="2786">
        <f>C15*C145</f>
        <v>57</v>
      </c>
      <c r="D146" s="2810" t="s">
        <v>2820</v>
      </c>
      <c r="E146" s="2786"/>
      <c r="F146" s="2806" t="s">
        <v>2954</v>
      </c>
      <c r="G146" s="2786">
        <f>C16*C145</f>
        <v>108</v>
      </c>
      <c r="H146" s="2810" t="s">
        <v>2820</v>
      </c>
      <c r="I146" s="3103"/>
      <c r="J146" s="2941"/>
      <c r="K146" s="2947"/>
      <c r="L146" s="2817"/>
    </row>
    <row r="147" spans="1:12">
      <c r="A147" s="2817" t="s">
        <v>2955</v>
      </c>
      <c r="B147" s="2831" t="s">
        <v>2956</v>
      </c>
      <c r="C147" s="2786">
        <f>IF(C144=0,C146,2*C144*C15/(C16-C15))</f>
        <v>58.117647058823501</v>
      </c>
      <c r="D147" s="2810" t="s">
        <v>2820</v>
      </c>
      <c r="E147" s="2786"/>
      <c r="F147" s="2831" t="s">
        <v>2957</v>
      </c>
      <c r="G147" s="2786">
        <f>2*C144+C147</f>
        <v>110.11764705882401</v>
      </c>
      <c r="H147" s="2810" t="s">
        <v>2820</v>
      </c>
      <c r="I147" s="3103"/>
      <c r="J147" s="2815"/>
      <c r="K147" s="2947"/>
      <c r="L147" s="2817"/>
    </row>
    <row r="148" spans="1:12">
      <c r="A148" s="2817" t="s">
        <v>2958</v>
      </c>
      <c r="B148" s="2831" t="s">
        <v>2959</v>
      </c>
      <c r="C148" s="2786">
        <f>C146*COS(C136)</f>
        <v>53.562479384796802</v>
      </c>
      <c r="D148" s="2810" t="s">
        <v>2820</v>
      </c>
      <c r="E148" s="2786"/>
      <c r="F148" s="2831" t="s">
        <v>2960</v>
      </c>
      <c r="G148" s="2786">
        <f>G146*COS(C136)</f>
        <v>101.486803044878</v>
      </c>
      <c r="H148" s="2810" t="s">
        <v>2820</v>
      </c>
      <c r="I148" s="3103"/>
      <c r="J148" s="2815"/>
      <c r="K148" s="2947"/>
      <c r="L148" s="2817"/>
    </row>
    <row r="149" spans="1:12">
      <c r="A149" s="2817" t="s">
        <v>2961</v>
      </c>
      <c r="B149" s="2813" t="s">
        <v>2962</v>
      </c>
      <c r="C149" s="2786">
        <f>IF(C144=0,C136,ACOS(C143/C144*COS(C136)))</f>
        <v>0.39855791909035498</v>
      </c>
      <c r="D149" s="2812" t="s">
        <v>2048</v>
      </c>
      <c r="E149" s="2797">
        <f>TAN(C149)-C149</f>
        <v>2.2536475453586498E-2</v>
      </c>
      <c r="F149" s="3252" t="s">
        <v>2963</v>
      </c>
      <c r="G149" s="2786"/>
      <c r="H149" s="2810"/>
      <c r="I149" s="2844">
        <f>DEGREES(C149)</f>
        <v>22.8356866553939</v>
      </c>
      <c r="J149" s="2815"/>
      <c r="K149" s="3367"/>
      <c r="L149" s="2817"/>
    </row>
    <row r="150" spans="1:12">
      <c r="A150" s="2817" t="s">
        <v>2964</v>
      </c>
      <c r="B150" s="2813" t="s">
        <v>2965</v>
      </c>
      <c r="C150" s="2786">
        <f>ATAN(TAN(C149)*COS(C137))</f>
        <v>0.39855791909035498</v>
      </c>
      <c r="D150" s="2812" t="s">
        <v>2048</v>
      </c>
      <c r="E150" s="2786"/>
      <c r="F150" s="2810"/>
      <c r="G150" s="2786"/>
      <c r="H150" s="2810"/>
      <c r="I150" s="2844">
        <f>DEGREES(C150)</f>
        <v>22.8356866553939</v>
      </c>
      <c r="J150" s="2815"/>
      <c r="K150" s="2947"/>
      <c r="L150" s="2817"/>
    </row>
    <row r="151" spans="1:12">
      <c r="A151" s="2806" t="s">
        <v>2966</v>
      </c>
      <c r="B151" s="2831" t="s">
        <v>2967</v>
      </c>
      <c r="C151" s="2786">
        <f>PI()*C17</f>
        <v>9.4247779607693793</v>
      </c>
      <c r="D151" s="2810" t="s">
        <v>2820</v>
      </c>
      <c r="E151" s="2786"/>
      <c r="F151" s="2817"/>
      <c r="G151" s="2786"/>
      <c r="H151" s="2817"/>
      <c r="I151" s="3103"/>
      <c r="J151" s="2939"/>
      <c r="K151" s="2815"/>
      <c r="L151" s="2817"/>
    </row>
    <row r="152" spans="1:12">
      <c r="A152" s="2806" t="s">
        <v>2968</v>
      </c>
      <c r="B152" s="2831" t="s">
        <v>2969</v>
      </c>
      <c r="C152" s="2786">
        <f>PI()*C145</f>
        <v>9.4247779607693793</v>
      </c>
      <c r="D152" s="2810" t="s">
        <v>2820</v>
      </c>
      <c r="E152" s="2786"/>
      <c r="F152" s="2817"/>
      <c r="G152" s="2786"/>
      <c r="H152" s="2817"/>
      <c r="I152" s="3103"/>
      <c r="J152" s="3196"/>
      <c r="K152" s="2815"/>
      <c r="L152" s="2817"/>
    </row>
    <row r="153" spans="1:12">
      <c r="A153" s="2806" t="s">
        <v>2970</v>
      </c>
      <c r="B153" s="2831" t="s">
        <v>2971</v>
      </c>
      <c r="C153" s="2786">
        <f>C148*PI()/C15</f>
        <v>8.8563943022806502</v>
      </c>
      <c r="D153" s="2810" t="s">
        <v>2820</v>
      </c>
      <c r="E153" s="2936">
        <f>C152*COS(C136)</f>
        <v>8.8563943022806502</v>
      </c>
      <c r="F153" s="2937" t="s">
        <v>2820</v>
      </c>
      <c r="G153" s="2786"/>
      <c r="H153" s="2817"/>
      <c r="I153" s="3103"/>
      <c r="J153" s="2815"/>
      <c r="K153" s="2947"/>
      <c r="L153" s="2817"/>
    </row>
    <row r="154" spans="1:12">
      <c r="A154" s="2836" t="s">
        <v>2848</v>
      </c>
      <c r="B154" s="2831" t="s">
        <v>2849</v>
      </c>
      <c r="C154" s="2786">
        <f>(C16-C15)/(2*TAN(C136))*(E149-E136)</f>
        <v>0.17823649401966901</v>
      </c>
      <c r="D154" s="2810"/>
      <c r="E154" s="2786"/>
      <c r="F154" s="2817"/>
      <c r="G154" s="2786"/>
      <c r="H154" s="2817"/>
      <c r="I154" s="3103"/>
      <c r="J154" s="2815"/>
      <c r="K154" s="2947"/>
      <c r="L154" s="2817"/>
    </row>
    <row r="155" spans="1:12">
      <c r="A155" s="2836" t="s">
        <v>2850</v>
      </c>
      <c r="B155" s="2831" t="s">
        <v>2851</v>
      </c>
      <c r="C155" s="2786">
        <f>C154/COS(C137)</f>
        <v>0.17823649401966901</v>
      </c>
      <c r="D155" s="2810"/>
      <c r="E155" s="2786"/>
      <c r="F155" s="2817"/>
      <c r="G155" s="2786"/>
      <c r="H155" s="2817"/>
      <c r="I155" s="3103"/>
      <c r="J155" s="2815"/>
      <c r="K155" s="2947"/>
      <c r="L155" s="2817"/>
    </row>
    <row r="156" spans="1:12">
      <c r="A156" s="2813" t="s">
        <v>2840</v>
      </c>
      <c r="B156" s="2831" t="s">
        <v>2972</v>
      </c>
      <c r="C156" s="2786">
        <f>E40</f>
        <v>0.8</v>
      </c>
      <c r="D156" s="2810"/>
      <c r="E156" s="2786"/>
      <c r="F156" s="2831" t="s">
        <v>2973</v>
      </c>
      <c r="G156" s="2786">
        <f>C154+C156</f>
        <v>0.97823649401966895</v>
      </c>
      <c r="H156" s="2817"/>
      <c r="I156" s="3103"/>
      <c r="J156" s="2815"/>
      <c r="K156" s="3189"/>
      <c r="L156" s="2817"/>
    </row>
    <row r="157" spans="1:12">
      <c r="A157" s="2813" t="s">
        <v>2974</v>
      </c>
      <c r="B157" s="2831" t="s">
        <v>2975</v>
      </c>
      <c r="C157" s="2786">
        <f>C156/COS(C137)</f>
        <v>0.8</v>
      </c>
      <c r="D157" s="2810"/>
      <c r="E157" s="2786"/>
      <c r="F157" s="2831" t="s">
        <v>2976</v>
      </c>
      <c r="G157" s="2786">
        <f>G156/COS(C137)</f>
        <v>0.97823649401966895</v>
      </c>
      <c r="H157" s="2817"/>
      <c r="I157" s="3103"/>
      <c r="J157" s="2815"/>
      <c r="K157" s="3189"/>
      <c r="L157" s="2817"/>
    </row>
    <row r="158" spans="1:12">
      <c r="A158" s="2858" t="s">
        <v>2977</v>
      </c>
      <c r="B158" s="2831" t="s">
        <v>2978</v>
      </c>
      <c r="C158" s="2786">
        <f>(C144-C143)/C145</f>
        <v>0.16666666666666699</v>
      </c>
      <c r="D158" s="2810"/>
      <c r="E158" s="2786"/>
      <c r="F158" s="2817"/>
      <c r="G158" s="2786"/>
      <c r="H158" s="2817"/>
      <c r="I158" s="3103"/>
      <c r="J158" s="2815"/>
      <c r="K158" s="3189"/>
      <c r="L158" s="2817"/>
    </row>
    <row r="159" spans="1:12" ht="15">
      <c r="A159" s="2836" t="s">
        <v>2979</v>
      </c>
      <c r="B159" s="2999" t="s">
        <v>2980</v>
      </c>
      <c r="C159" s="2786">
        <f>C154-C158</f>
        <v>1.1569827353002301E-2</v>
      </c>
      <c r="D159" s="2810"/>
      <c r="E159" s="2786"/>
      <c r="F159" s="2817"/>
      <c r="G159" s="2786"/>
      <c r="H159" s="2817"/>
      <c r="I159" s="3103"/>
      <c r="J159" s="2815"/>
      <c r="K159" s="3189"/>
      <c r="L159" s="2817"/>
    </row>
    <row r="160" spans="1:12">
      <c r="A160" s="2817" t="s">
        <v>2981</v>
      </c>
      <c r="B160" s="2806" t="s">
        <v>2982</v>
      </c>
      <c r="C160" s="2813">
        <f>(C166-C146)/2</f>
        <v>4.9376453431333998</v>
      </c>
      <c r="D160" s="2810" t="s">
        <v>2820</v>
      </c>
      <c r="E160" s="2786"/>
      <c r="F160" s="2806" t="s">
        <v>2983</v>
      </c>
      <c r="G160" s="2813">
        <f>(G146-G166)/2</f>
        <v>0.100000000000001</v>
      </c>
      <c r="H160" s="2810" t="s">
        <v>2820</v>
      </c>
      <c r="I160" s="3103"/>
      <c r="J160" s="2815"/>
      <c r="K160" s="3367"/>
      <c r="L160" s="2817"/>
    </row>
    <row r="161" spans="1:12">
      <c r="A161" s="2817"/>
      <c r="B161" s="2806"/>
      <c r="C161" s="3365">
        <f>(C167-C146)/2</f>
        <v>4.9418660013052902</v>
      </c>
      <c r="D161" s="2810"/>
      <c r="E161" s="2786"/>
      <c r="F161" s="2806"/>
      <c r="G161" s="3365">
        <f>(G146-G167)/2</f>
        <v>0.100000000000001</v>
      </c>
      <c r="H161" s="2810"/>
      <c r="I161" s="3103"/>
      <c r="J161" s="2815"/>
      <c r="K161" s="3367"/>
      <c r="L161" s="2817"/>
    </row>
    <row r="162" spans="1:12">
      <c r="A162" s="2817" t="s">
        <v>2984</v>
      </c>
      <c r="B162" s="2806" t="s">
        <v>2985</v>
      </c>
      <c r="C162" s="2813">
        <f>(C146-C170)/2</f>
        <v>1.35</v>
      </c>
      <c r="D162" s="2810" t="s">
        <v>2820</v>
      </c>
      <c r="E162" s="2786"/>
      <c r="F162" s="2806" t="s">
        <v>2986</v>
      </c>
      <c r="G162" s="2813">
        <f>(G170-G146)/2</f>
        <v>6.1876453431333998</v>
      </c>
      <c r="H162" s="2810" t="s">
        <v>2820</v>
      </c>
      <c r="I162" s="3103"/>
      <c r="J162" s="2815"/>
      <c r="K162" s="3367"/>
      <c r="L162" s="2817"/>
    </row>
    <row r="163" spans="1:12">
      <c r="A163" s="2817"/>
      <c r="B163" s="2806"/>
      <c r="C163" s="2813">
        <f>(C146-C171)/2</f>
        <v>1.35</v>
      </c>
      <c r="D163" s="2810"/>
      <c r="E163" s="2786"/>
      <c r="F163" s="2806"/>
      <c r="G163" s="3365">
        <f>(G171-G146)/2</f>
        <v>6.1918660013052902</v>
      </c>
      <c r="H163" s="2810"/>
      <c r="I163" s="3103"/>
      <c r="J163" s="2815"/>
      <c r="K163" s="3367"/>
      <c r="L163" s="2817"/>
    </row>
    <row r="164" spans="1:12">
      <c r="A164" s="2817" t="s">
        <v>2987</v>
      </c>
      <c r="B164" s="2806" t="s">
        <v>1866</v>
      </c>
      <c r="C164" s="2813">
        <f>C160+C162</f>
        <v>6.2876453431334003</v>
      </c>
      <c r="D164" s="2810" t="s">
        <v>2820</v>
      </c>
      <c r="E164" s="2786"/>
      <c r="F164" s="2806"/>
      <c r="G164" s="2813">
        <f>G160+G162</f>
        <v>6.2876453431334003</v>
      </c>
      <c r="H164" s="2810"/>
      <c r="I164" s="3103"/>
      <c r="J164" s="2815"/>
      <c r="K164" s="3189"/>
      <c r="L164" s="2817"/>
    </row>
    <row r="165" spans="1:12">
      <c r="A165" s="2817"/>
      <c r="B165" s="2806"/>
      <c r="C165" s="3365">
        <f>C161+C163</f>
        <v>6.2918660013052898</v>
      </c>
      <c r="D165" s="2810"/>
      <c r="E165" s="2786"/>
      <c r="F165" s="2806"/>
      <c r="G165" s="3365">
        <f>G161+G163</f>
        <v>6.2918660013052898</v>
      </c>
      <c r="H165" s="2810"/>
      <c r="I165" s="3103"/>
      <c r="J165" s="2815"/>
      <c r="K165" s="3189"/>
      <c r="L165" s="2817"/>
    </row>
    <row r="166" spans="1:12">
      <c r="A166" s="2817" t="s">
        <v>2988</v>
      </c>
      <c r="B166" s="2831" t="s">
        <v>2989</v>
      </c>
      <c r="C166" s="2813">
        <f>G170-2*C144-2*C27*C17</f>
        <v>66.875290686266794</v>
      </c>
      <c r="D166" s="2810" t="s">
        <v>2820</v>
      </c>
      <c r="E166" s="2786"/>
      <c r="F166" s="2831" t="s">
        <v>2990</v>
      </c>
      <c r="G166" s="2813">
        <f>IF(C43="",C42,C43)</f>
        <v>107.8</v>
      </c>
      <c r="H166" s="2810" t="s">
        <v>2820</v>
      </c>
      <c r="I166" s="3103"/>
      <c r="J166" s="2815"/>
      <c r="K166" s="3189"/>
      <c r="L166" s="2817"/>
    </row>
    <row r="167" spans="1:12">
      <c r="A167" s="2817"/>
      <c r="B167" s="2831"/>
      <c r="C167" s="3365">
        <f>G171-2*C144-2*C27*C17</f>
        <v>66.8837320026106</v>
      </c>
      <c r="D167" s="2810"/>
      <c r="E167" s="2786"/>
      <c r="F167" s="2831"/>
      <c r="G167" s="3365">
        <f>IF(C43="",C42,C43)</f>
        <v>107.8</v>
      </c>
      <c r="H167" s="2810"/>
      <c r="I167" s="3103"/>
      <c r="J167" s="2815"/>
      <c r="K167" s="3189"/>
      <c r="L167" s="2817"/>
    </row>
    <row r="168" spans="1:12">
      <c r="A168" s="2788" t="s">
        <v>2991</v>
      </c>
      <c r="B168" s="2831" t="s">
        <v>2992</v>
      </c>
      <c r="C168" s="2813">
        <f>C166-2*C25*C17</f>
        <v>66.875290686266794</v>
      </c>
      <c r="D168" s="2810" t="s">
        <v>2820</v>
      </c>
      <c r="E168" s="2786"/>
      <c r="F168" s="2831" t="s">
        <v>2993</v>
      </c>
      <c r="G168" s="2813">
        <f>G166-2*C25*C17</f>
        <v>107.8</v>
      </c>
      <c r="H168" s="2810" t="s">
        <v>2820</v>
      </c>
      <c r="I168" s="3103"/>
      <c r="J168" s="2815"/>
      <c r="K168" s="3189"/>
      <c r="L168" s="2817"/>
    </row>
    <row r="169" spans="1:12">
      <c r="A169" s="2788"/>
      <c r="B169" s="2831"/>
      <c r="C169" s="3365">
        <f>C167-2*C25*C17</f>
        <v>66.8837320026106</v>
      </c>
      <c r="D169" s="2810"/>
      <c r="E169" s="2786"/>
      <c r="F169" s="2831"/>
      <c r="G169" s="3365">
        <f>G167-2*C25*C17</f>
        <v>107.8</v>
      </c>
      <c r="H169" s="2810"/>
      <c r="I169" s="3103"/>
      <c r="J169" s="2815"/>
      <c r="K169" s="3189"/>
      <c r="L169" s="2817"/>
    </row>
    <row r="170" spans="1:12">
      <c r="A170" s="2817" t="s">
        <v>2994</v>
      </c>
      <c r="B170" s="2831" t="s">
        <v>2995</v>
      </c>
      <c r="C170" s="2813">
        <f>C146-2*(C24+C27-C157)*C17</f>
        <v>54.3</v>
      </c>
      <c r="D170" s="2810" t="s">
        <v>2820</v>
      </c>
      <c r="E170" s="2786"/>
      <c r="F170" s="2831" t="s">
        <v>2996</v>
      </c>
      <c r="G170" s="2813">
        <f>2*G288+G264</f>
        <v>120.37529068626699</v>
      </c>
      <c r="H170" s="2810" t="s">
        <v>2820</v>
      </c>
      <c r="I170" s="3103"/>
      <c r="J170" s="2815"/>
      <c r="K170" s="3189"/>
      <c r="L170" s="2817"/>
    </row>
    <row r="171" spans="1:12">
      <c r="A171" s="2817"/>
      <c r="B171" s="2831"/>
      <c r="C171" s="3365">
        <f>C146-2*(C24+C27-C157)*C17</f>
        <v>54.3</v>
      </c>
      <c r="D171" s="2810"/>
      <c r="E171" s="2786"/>
      <c r="F171" s="2831"/>
      <c r="G171" s="3365">
        <f>2*L288+L264</f>
        <v>120.383732002611</v>
      </c>
      <c r="H171" s="2810"/>
      <c r="I171" s="3103"/>
      <c r="J171" s="2815"/>
      <c r="K171" s="3189"/>
      <c r="L171" s="2817"/>
    </row>
    <row r="172" spans="1:12">
      <c r="A172" s="2813" t="s">
        <v>2997</v>
      </c>
      <c r="B172" s="2806" t="s">
        <v>2998</v>
      </c>
      <c r="C172" s="2813">
        <f>C145*(PI()/2+2*C156*TAN(C136))</f>
        <v>6.4594461048624598</v>
      </c>
      <c r="D172" s="2810" t="s">
        <v>2820</v>
      </c>
      <c r="E172" s="2786"/>
      <c r="F172" s="2806" t="s">
        <v>2999</v>
      </c>
      <c r="G172" s="2813">
        <f>C145*(PI()/2-2*G156*TAN(C136))</f>
        <v>2.5760951850081701</v>
      </c>
      <c r="H172" s="2810" t="s">
        <v>2820</v>
      </c>
      <c r="I172" s="3103"/>
      <c r="J172" s="2815"/>
      <c r="K172" s="3086"/>
      <c r="L172" s="2817"/>
    </row>
    <row r="173" spans="1:12" ht="15.75" customHeight="1">
      <c r="A173" s="2813" t="s">
        <v>3000</v>
      </c>
      <c r="B173" s="2806" t="s">
        <v>3001</v>
      </c>
      <c r="C173" s="2813">
        <f>IF(C20&lt;&gt;0,E173,ROUND(0.5*(SQRT(C168^2-C148^2)+SQRT(G168^2-G148^2))-C144*SIN(C149),3))</f>
        <v>28.105</v>
      </c>
      <c r="D173" s="2810"/>
      <c r="E173" s="3366">
        <f>C174</f>
        <v>28.111999999999998</v>
      </c>
      <c r="F173" s="2806"/>
      <c r="G173" s="2813"/>
      <c r="H173" s="2810"/>
      <c r="I173" s="3103"/>
      <c r="J173" s="2815"/>
      <c r="K173" s="3189"/>
      <c r="L173" s="2817"/>
    </row>
    <row r="174" spans="1:12" ht="15.75" customHeight="1">
      <c r="A174" s="2813"/>
      <c r="B174" s="2806"/>
      <c r="C174" s="3365">
        <f>ROUND(0.5*(SQRT(C169^2-C148^2)+SQRT(G169^2-G148^2))-C144*SIN(C149),3)</f>
        <v>28.111999999999998</v>
      </c>
      <c r="D174" s="2810"/>
      <c r="E174" s="2786"/>
      <c r="F174" s="2806"/>
      <c r="G174" s="2813"/>
      <c r="H174" s="2810"/>
      <c r="I174" s="3103"/>
      <c r="J174" s="2815"/>
      <c r="K174" s="3189"/>
      <c r="L174" s="2817"/>
    </row>
    <row r="175" spans="1:12" ht="15.75" customHeight="1">
      <c r="A175" s="2813" t="s">
        <v>3002</v>
      </c>
      <c r="B175" s="2813" t="s">
        <v>3003</v>
      </c>
      <c r="C175" s="2813">
        <f>ACOS(C148/C166)</f>
        <v>0.64194818418583</v>
      </c>
      <c r="D175" s="2809">
        <f t="shared" ref="D175:D178" si="3">TAN(C175)-C175</f>
        <v>0.105628191945631</v>
      </c>
      <c r="E175" s="2809">
        <f t="shared" ref="E175:E178" si="4">DEGREES(C175)</f>
        <v>36.780921619934901</v>
      </c>
      <c r="F175" s="2817" t="s">
        <v>3004</v>
      </c>
      <c r="G175" s="2813">
        <f>ACOS(G148/G166)</f>
        <v>0.34393226411725603</v>
      </c>
      <c r="H175" s="2809">
        <f t="shared" ref="H175:H177" si="5">TAN(G175)-G175</f>
        <v>1.4235106971945801E-2</v>
      </c>
      <c r="I175" s="2809">
        <f t="shared" ref="I175:I177" si="6">DEGREES(G175)</f>
        <v>19.705867172297499</v>
      </c>
      <c r="J175" s="2815"/>
      <c r="K175" s="3189"/>
      <c r="L175" s="2817"/>
    </row>
    <row r="176" spans="1:12" ht="15.75" customHeight="1">
      <c r="A176" s="2813"/>
      <c r="B176" s="2813"/>
      <c r="C176" s="3365">
        <f>ACOS(C148/C167)</f>
        <v>0.64211698909843096</v>
      </c>
      <c r="D176" s="2809">
        <f t="shared" si="3"/>
        <v>0.105722565235256</v>
      </c>
      <c r="E176" s="2809">
        <f t="shared" si="4"/>
        <v>36.790593428987997</v>
      </c>
      <c r="F176" s="2817"/>
      <c r="G176" s="3365">
        <f>ACOS(G148/G167)</f>
        <v>0.34393226411725603</v>
      </c>
      <c r="H176" s="2809">
        <f t="shared" si="5"/>
        <v>1.4235106971945801E-2</v>
      </c>
      <c r="I176" s="2809">
        <f t="shared" si="6"/>
        <v>19.705867172297499</v>
      </c>
      <c r="J176" s="2815"/>
      <c r="K176" s="3189"/>
      <c r="L176" s="2817"/>
    </row>
    <row r="177" spans="1:19" ht="15.75" customHeight="1">
      <c r="A177" s="2788" t="s">
        <v>3005</v>
      </c>
      <c r="B177" s="2813" t="s">
        <v>3006</v>
      </c>
      <c r="C177" s="2813">
        <f>ACOS(C148/C168)</f>
        <v>0.64194818418583</v>
      </c>
      <c r="D177" s="2809">
        <f t="shared" si="3"/>
        <v>0.105628191945631</v>
      </c>
      <c r="E177" s="2809">
        <f t="shared" si="4"/>
        <v>36.780921619934901</v>
      </c>
      <c r="F177" s="2817" t="s">
        <v>3007</v>
      </c>
      <c r="G177" s="2813">
        <f>ACOS(G148/G168)</f>
        <v>0.34393226411725603</v>
      </c>
      <c r="H177" s="2809">
        <f t="shared" si="5"/>
        <v>1.4235106971945801E-2</v>
      </c>
      <c r="I177" s="2809">
        <f t="shared" si="6"/>
        <v>19.705867172297499</v>
      </c>
      <c r="J177" s="2815"/>
      <c r="K177" s="3189"/>
      <c r="L177" s="2817"/>
    </row>
    <row r="178" spans="1:19" ht="15.75" customHeight="1">
      <c r="A178" s="2788"/>
      <c r="B178" s="2813"/>
      <c r="C178" s="3365">
        <f>ACOS(C148/C169)</f>
        <v>0.64211698909843096</v>
      </c>
      <c r="D178" s="2809">
        <f t="shared" si="3"/>
        <v>0.105722565235256</v>
      </c>
      <c r="E178" s="2809">
        <f t="shared" si="4"/>
        <v>36.790593428987997</v>
      </c>
      <c r="F178" s="2817"/>
      <c r="G178" s="3365">
        <f>ACOS(G148/G169)</f>
        <v>0.34393226411725603</v>
      </c>
      <c r="H178" s="2809"/>
      <c r="I178" s="2809"/>
      <c r="J178" s="2815"/>
      <c r="K178" s="3189"/>
      <c r="L178" s="2817"/>
    </row>
    <row r="179" spans="1:19" ht="15.75" customHeight="1">
      <c r="A179" s="2813" t="s">
        <v>3008</v>
      </c>
      <c r="B179" s="2806" t="s">
        <v>3009</v>
      </c>
      <c r="C179" s="2786">
        <f>C166*((PI()+4*C157*TAN(C134))/(2*C15)+E136-D175)</f>
        <v>1.5113687158437501</v>
      </c>
      <c r="D179" s="2809"/>
      <c r="E179" s="2786">
        <f>C172*C166/C146-C166*(D175-E136)</f>
        <v>1.5113687158437501</v>
      </c>
      <c r="F179" s="2806" t="s">
        <v>3010</v>
      </c>
      <c r="G179" s="2786">
        <f>G166*((PI()-4*G157*TAN(C134))/(2*C16)-E136+H175)</f>
        <v>2.4991765890461499</v>
      </c>
      <c r="H179" s="2809"/>
      <c r="I179" s="2948"/>
      <c r="J179" s="2821"/>
      <c r="K179" s="3189"/>
      <c r="L179" s="2817"/>
      <c r="M179" s="3159"/>
      <c r="N179" s="3159"/>
    </row>
    <row r="180" spans="1:19" ht="15.75" customHeight="1">
      <c r="A180" s="2813"/>
      <c r="B180" s="2806"/>
      <c r="C180" s="3364">
        <f>C167*((PI()+4*C157*TAN(C134))/(2*C15)+E136-D176)</f>
        <v>1.5052474501591599</v>
      </c>
      <c r="D180" s="2809"/>
      <c r="E180" s="3364">
        <f>C172*C167/C146-C167*(D176-E136)</f>
        <v>1.5052474501591599</v>
      </c>
      <c r="F180" s="2806"/>
      <c r="G180" s="3364">
        <f>G167*((PI()-4*G157*TAN(C134))/(2*C16)-E136+H176)</f>
        <v>2.4991765890461499</v>
      </c>
      <c r="H180" s="2809"/>
      <c r="I180" s="2948"/>
      <c r="J180" s="2821"/>
      <c r="K180" s="3189"/>
      <c r="L180" s="2817"/>
      <c r="M180" s="3159"/>
      <c r="N180" s="3159"/>
    </row>
    <row r="181" spans="1:19" ht="15.75" customHeight="1">
      <c r="A181" s="2817" t="s">
        <v>3011</v>
      </c>
      <c r="B181" s="2806" t="s">
        <v>3012</v>
      </c>
      <c r="C181" s="2786">
        <f>C17*(COS(C134)*(PI()*(C182-0.5)+D182*E134)+2*C157*SIN(C134))</f>
        <v>33.437392499582799</v>
      </c>
      <c r="D181" s="2810" t="s">
        <v>2820</v>
      </c>
      <c r="E181" s="2936">
        <f>C15/COS(C137)^3</f>
        <v>19</v>
      </c>
      <c r="F181" s="2806" t="s">
        <v>3013</v>
      </c>
      <c r="G181" s="2786">
        <f>C17*(COS(C134)*(PI()*(G182-0.5)+H182*E134)+2*G157*SIN(C134))</f>
        <v>52.230226447939202</v>
      </c>
      <c r="H181" s="2810" t="s">
        <v>2820</v>
      </c>
      <c r="I181" s="2949"/>
      <c r="J181" s="2816"/>
      <c r="K181" s="3159"/>
      <c r="L181" s="2817"/>
      <c r="M181" s="3159"/>
      <c r="N181" s="3159"/>
    </row>
    <row r="182" spans="1:19">
      <c r="A182" s="2817" t="s">
        <v>3014</v>
      </c>
      <c r="B182" s="2806" t="s">
        <v>3015</v>
      </c>
      <c r="C182" s="2786">
        <f>ROUND(D182/PI()*ACOS(D182*COS(C134)/(D182+2*C157))+0.5,0)</f>
        <v>4</v>
      </c>
      <c r="D182" s="2809">
        <f>C15*E136/E134</f>
        <v>19</v>
      </c>
      <c r="E182" s="2936">
        <f>C16/COS(C137)^3</f>
        <v>36</v>
      </c>
      <c r="F182" s="2806" t="s">
        <v>3016</v>
      </c>
      <c r="G182" s="2786">
        <f>ROUND(H182/PI()*ACOS(H182*COS(C134)/(H182+2*C157))+0.5,0)</f>
        <v>6</v>
      </c>
      <c r="H182" s="2809">
        <f>C16*E136/E134</f>
        <v>36</v>
      </c>
      <c r="I182" s="2949"/>
      <c r="J182" s="2816"/>
      <c r="K182" s="3159"/>
      <c r="L182" s="2817"/>
      <c r="M182" s="3159"/>
      <c r="N182" s="3159"/>
    </row>
    <row r="183" spans="1:19">
      <c r="A183" s="2806" t="s">
        <v>3017</v>
      </c>
      <c r="B183" s="2806"/>
      <c r="C183" s="2786" t="str">
        <f>IF(C21&gt;C181*SIN(C140)+5*COS(C140),"可以测量","不能测量！")</f>
        <v>可以测量</v>
      </c>
      <c r="D183" s="2809"/>
      <c r="E183" s="2786"/>
      <c r="F183" s="2806"/>
      <c r="G183" s="2786" t="str">
        <f>IF(C21&gt;G181*SIN(C140)+5*COS(C140),"可以测量","不能测量！")</f>
        <v>可以测量</v>
      </c>
      <c r="H183" s="2809"/>
      <c r="I183" s="2949"/>
      <c r="J183" s="2816"/>
      <c r="K183" s="3159"/>
      <c r="L183" s="2817"/>
      <c r="M183" s="3159"/>
      <c r="N183" s="3159"/>
    </row>
    <row r="184" spans="1:19">
      <c r="A184" s="2817" t="s">
        <v>3011</v>
      </c>
      <c r="B184" s="2806" t="s">
        <v>3018</v>
      </c>
      <c r="C184" s="2786">
        <f>C17*(COS(C134)*(PI()*(C185-0.5)+D182*E134)+2*C157*SIN(C134))</f>
        <v>42.293786801863398</v>
      </c>
      <c r="D184" s="2809"/>
      <c r="E184" s="2786"/>
      <c r="F184" s="2806" t="s">
        <v>3019</v>
      </c>
      <c r="G184" s="2786">
        <f>C17*(COS(C134)*(PI()*(G185-0.5)+H182*E134)+2*G157*SIN(C134))</f>
        <v>61.0866207502199</v>
      </c>
      <c r="H184" s="2809"/>
      <c r="I184" s="2949"/>
      <c r="J184" s="2816"/>
      <c r="K184" s="3159"/>
      <c r="L184" s="2817"/>
      <c r="M184" s="3159"/>
      <c r="N184" s="3159"/>
    </row>
    <row r="185" spans="1:19">
      <c r="A185" s="2817" t="s">
        <v>3014</v>
      </c>
      <c r="B185" s="2806" t="s">
        <v>3020</v>
      </c>
      <c r="C185" s="2786">
        <f>C182+1</f>
        <v>5</v>
      </c>
      <c r="D185" s="2809"/>
      <c r="E185" s="2786"/>
      <c r="F185" s="2806" t="s">
        <v>3021</v>
      </c>
      <c r="G185" s="2786">
        <f>G182+1</f>
        <v>7</v>
      </c>
      <c r="H185" s="2809"/>
      <c r="I185" s="2949"/>
      <c r="J185" s="2816"/>
      <c r="K185" s="3159"/>
      <c r="L185" s="2817"/>
      <c r="M185" s="3159"/>
      <c r="N185" s="3159"/>
      <c r="S185" s="3368" t="s">
        <v>3022</v>
      </c>
    </row>
    <row r="186" spans="1:19">
      <c r="A186" s="2806" t="s">
        <v>3023</v>
      </c>
      <c r="B186" s="2806"/>
      <c r="C186" s="2786" t="str">
        <f>IF(C21&gt;C184*SIN(C140)+5*COS(C140),"可以测量","不能测量！")</f>
        <v>可以测量</v>
      </c>
      <c r="D186" s="2809"/>
      <c r="E186" s="2786"/>
      <c r="F186" s="2806"/>
      <c r="G186" s="2786" t="str">
        <f>IF(C21&gt;G184*SIN(C140)+5*COS(C140),"可以测量","不能测量！")</f>
        <v>可以测量</v>
      </c>
      <c r="H186" s="2809"/>
      <c r="I186" s="2949"/>
      <c r="J186" s="2816"/>
      <c r="K186" s="3159"/>
      <c r="L186" s="2817"/>
      <c r="S186" s="3369" t="s">
        <v>3024</v>
      </c>
    </row>
    <row r="187" spans="1:19">
      <c r="A187" s="2803" t="s">
        <v>3025</v>
      </c>
      <c r="B187" s="2855" t="s">
        <v>3026</v>
      </c>
      <c r="C187" s="2797">
        <f>C17*COS(C134)^2*(PI()/2+2*C157*TAN(C134))</f>
        <v>5.70383444955944</v>
      </c>
      <c r="D187" s="2810" t="s">
        <v>2820</v>
      </c>
      <c r="E187" s="3190"/>
      <c r="F187" s="2855"/>
      <c r="G187" s="2797"/>
      <c r="H187" s="2810"/>
      <c r="I187" s="3190"/>
      <c r="J187" s="2816"/>
      <c r="L187" s="2817"/>
      <c r="M187" s="2975"/>
      <c r="N187" s="2816"/>
      <c r="S187" s="3369" t="s">
        <v>3027</v>
      </c>
    </row>
    <row r="188" spans="1:19">
      <c r="A188" s="2803" t="s">
        <v>3028</v>
      </c>
      <c r="B188" s="2855" t="s">
        <v>3029</v>
      </c>
      <c r="C188" s="2797">
        <f>C160-C187/2*TAN(C134)</f>
        <v>3.8996323627225</v>
      </c>
      <c r="D188" s="2810" t="s">
        <v>2820</v>
      </c>
      <c r="E188" s="2809"/>
      <c r="F188" s="2855"/>
      <c r="G188" s="2797"/>
      <c r="H188" s="2810"/>
      <c r="I188" s="2809"/>
      <c r="J188" s="2821"/>
      <c r="K188" s="2816"/>
      <c r="L188" s="2809"/>
      <c r="M188" s="2975"/>
      <c r="N188" s="2816"/>
      <c r="S188" s="3369" t="s">
        <v>3030</v>
      </c>
    </row>
    <row r="189" spans="1:19">
      <c r="A189" s="2803"/>
      <c r="B189" s="2855"/>
      <c r="C189" s="2935">
        <f>C161-C187/2*TAN(C134)</f>
        <v>3.9038530208943998</v>
      </c>
      <c r="D189" s="2810"/>
      <c r="E189" s="2809"/>
      <c r="F189" s="2855"/>
      <c r="G189" s="2797"/>
      <c r="H189" s="2810"/>
      <c r="I189" s="2809"/>
      <c r="J189" s="2821"/>
      <c r="K189" s="2816"/>
      <c r="L189" s="2809"/>
      <c r="M189" s="2975"/>
      <c r="N189" s="2816"/>
      <c r="S189" s="3369"/>
    </row>
    <row r="190" spans="1:19">
      <c r="A190" s="2803" t="s">
        <v>3031</v>
      </c>
      <c r="B190" s="2855" t="s">
        <v>3032</v>
      </c>
      <c r="C190" s="2797">
        <f>C17*E181*SIN(PI()/(2*E181)+2*C157*TAN(C134)/E181)</f>
        <v>6.4456293514990701</v>
      </c>
      <c r="D190" s="2810" t="s">
        <v>2820</v>
      </c>
      <c r="E190" s="2809"/>
      <c r="F190" s="2855" t="s">
        <v>3033</v>
      </c>
      <c r="G190" s="2797">
        <f>C17*E182*SIN(PI()/(2*E182)-2*G157*TAN(C134)/E182)</f>
        <v>2.57585091249444</v>
      </c>
      <c r="H190" s="2810" t="s">
        <v>2820</v>
      </c>
      <c r="I190" s="2809">
        <f>PI()/(2*E182)-2*G157*TAN(C134)/E182-E136+TAN(G175)-G175</f>
        <v>2.31834562991294E-2</v>
      </c>
      <c r="J190" s="2821"/>
      <c r="K190" s="2816"/>
      <c r="L190" s="2809"/>
      <c r="M190" s="2975"/>
      <c r="N190" s="2816"/>
      <c r="S190" s="3369" t="s">
        <v>3034</v>
      </c>
    </row>
    <row r="191" spans="1:19">
      <c r="A191" s="2803" t="s">
        <v>3035</v>
      </c>
      <c r="B191" s="2855" t="s">
        <v>3036</v>
      </c>
      <c r="C191" s="2797">
        <f>C160+0.5*C17*E181*(1-COS(PI()/(2*E181)+2*C157*TAN(C134)/E181))</f>
        <v>5.1204515279656704</v>
      </c>
      <c r="D191" s="2810" t="s">
        <v>2820</v>
      </c>
      <c r="E191" s="2809"/>
      <c r="F191" s="2855" t="s">
        <v>3037</v>
      </c>
      <c r="G191" s="2797">
        <f>G160-0.5*C17*E182*(1-COS(PI()/(2*E182)-2*G157*TAN(C134)/E182))+I191</f>
        <v>9.9123239596236506E-2</v>
      </c>
      <c r="H191" s="2810" t="s">
        <v>2820</v>
      </c>
      <c r="I191" s="2809">
        <f>G166/2*(1-COS(I190))</f>
        <v>1.44842390513644E-2</v>
      </c>
      <c r="J191" s="2821"/>
      <c r="K191" s="2816"/>
      <c r="L191" s="2809"/>
      <c r="M191" s="2975"/>
      <c r="N191" s="2816"/>
      <c r="S191" s="3369" t="s">
        <v>3038</v>
      </c>
    </row>
    <row r="192" spans="1:19">
      <c r="A192" s="2803"/>
      <c r="B192" s="2855"/>
      <c r="C192" s="2935">
        <f>C161+0.5*C17*E181*(1-COS(PI()/(2*E181)+2*C157*TAN(C134)/E181))</f>
        <v>5.1246721861375599</v>
      </c>
      <c r="D192" s="2810"/>
      <c r="E192" s="2809"/>
      <c r="F192" s="2855"/>
      <c r="G192" s="2935">
        <f>G161-0.5*C17*E182*(1-COS(PI()/(2*E182)-2*G157*TAN(C134)/E182))+I191</f>
        <v>9.9123239596236506E-2</v>
      </c>
      <c r="H192" s="2810"/>
      <c r="I192" s="2809"/>
      <c r="J192" s="2821"/>
      <c r="K192" s="2816"/>
      <c r="L192" s="2809"/>
      <c r="M192" s="2975"/>
      <c r="N192" s="2816"/>
      <c r="S192" s="3369"/>
    </row>
    <row r="193" spans="1:19">
      <c r="A193" s="2803" t="s">
        <v>3039</v>
      </c>
      <c r="B193" s="2855" t="s">
        <v>3040</v>
      </c>
      <c r="C193" s="2797">
        <f>C146+2*C17*C157</f>
        <v>61.8</v>
      </c>
      <c r="D193" s="2810"/>
      <c r="E193" s="2809"/>
      <c r="F193" s="2855"/>
      <c r="G193" s="2797">
        <f>G146+2*C17*G157</f>
        <v>113.869418964118</v>
      </c>
      <c r="H193" s="2821"/>
      <c r="I193" s="2848"/>
      <c r="J193" s="2821"/>
      <c r="K193" s="2816"/>
      <c r="L193" s="2848"/>
      <c r="M193" s="2821"/>
      <c r="N193" s="2816"/>
      <c r="S193" s="3369"/>
    </row>
    <row r="194" spans="1:19">
      <c r="A194" s="2803"/>
      <c r="B194" s="3370" t="s">
        <v>3041</v>
      </c>
      <c r="C194" s="2797">
        <f>ACOS(C146*COS(C136)/C193)</f>
        <v>0.52223439829228702</v>
      </c>
      <c r="D194" s="2810"/>
      <c r="E194" s="2809"/>
      <c r="F194" s="2855"/>
      <c r="G194" s="2797">
        <f>ACOS(G146*COS(C136)/G193)</f>
        <v>0.47068908025450201</v>
      </c>
      <c r="H194" s="2821"/>
      <c r="I194" s="2848"/>
      <c r="J194" s="2821"/>
      <c r="K194" s="2816"/>
      <c r="L194" s="2848"/>
      <c r="M194" s="2821"/>
      <c r="N194" s="2816"/>
      <c r="S194" s="3369"/>
    </row>
    <row r="195" spans="1:19">
      <c r="A195" s="2803"/>
      <c r="B195" s="3260" t="s">
        <v>3042</v>
      </c>
      <c r="C195" s="2797">
        <f>TAN(C194)-C194</f>
        <v>5.3298131903979702E-2</v>
      </c>
      <c r="D195" s="2810"/>
      <c r="E195" s="2809"/>
      <c r="F195" s="2855"/>
      <c r="G195" s="2797">
        <f>TAN(G194)-G194</f>
        <v>3.8144003754925701E-2</v>
      </c>
      <c r="H195" s="2821"/>
      <c r="I195" s="2848"/>
      <c r="J195" s="2821"/>
      <c r="K195" s="2816"/>
      <c r="L195" s="2848"/>
      <c r="M195" s="2821"/>
      <c r="N195" s="2816"/>
      <c r="S195" s="3369"/>
    </row>
    <row r="196" spans="1:19">
      <c r="A196" s="2803"/>
      <c r="B196" s="2983" t="s">
        <v>3043</v>
      </c>
      <c r="C196" s="2797">
        <f>C172</f>
        <v>6.4594461048624598</v>
      </c>
      <c r="D196" s="2810"/>
      <c r="E196" s="2809"/>
      <c r="F196" s="2855"/>
      <c r="G196" s="2797">
        <f>G172</f>
        <v>2.5760951850081701</v>
      </c>
      <c r="H196" s="2821"/>
      <c r="I196" s="2848"/>
      <c r="J196" s="2821"/>
      <c r="K196" s="2816"/>
      <c r="L196" s="2848"/>
      <c r="M196" s="2821"/>
      <c r="N196" s="2816"/>
      <c r="S196" s="3369"/>
    </row>
    <row r="197" spans="1:19">
      <c r="A197" s="2803"/>
      <c r="B197" s="2855" t="s">
        <v>3044</v>
      </c>
      <c r="C197" s="2797">
        <f>C193*(C172/C146+E136-C195)</f>
        <v>4.6306658323968497</v>
      </c>
      <c r="D197" s="2810"/>
      <c r="E197" s="2809"/>
      <c r="F197" s="2855"/>
      <c r="G197" s="2797">
        <f>G193*(G172/G146-E136+G195)</f>
        <v>5.3623788831128802</v>
      </c>
      <c r="H197" s="2821"/>
      <c r="I197" s="2848"/>
      <c r="J197" s="2821"/>
      <c r="K197" s="2816"/>
      <c r="L197" s="2848"/>
      <c r="M197" s="2821"/>
      <c r="N197" s="2816"/>
      <c r="S197" s="3369"/>
    </row>
    <row r="198" spans="1:19">
      <c r="A198" s="2803"/>
      <c r="B198" s="3371" t="s">
        <v>3045</v>
      </c>
      <c r="C198" s="2797">
        <f>PI()/C15-C197/C193</f>
        <v>9.0417113929747106E-2</v>
      </c>
      <c r="D198" s="2810"/>
      <c r="E198" s="2809"/>
      <c r="F198" s="2855"/>
      <c r="G198" s="2797">
        <f>PI()/C16-G197/G193</f>
        <v>4.01741095176072E-2</v>
      </c>
      <c r="H198" s="2821"/>
      <c r="I198" s="2821"/>
      <c r="J198" s="2821"/>
      <c r="K198" s="2816"/>
      <c r="L198" s="2848"/>
      <c r="M198" s="2821"/>
      <c r="N198" s="2816"/>
      <c r="S198" s="3369"/>
    </row>
    <row r="199" spans="1:19">
      <c r="A199" s="2803"/>
      <c r="B199" s="2855" t="s">
        <v>2893</v>
      </c>
      <c r="C199" s="2797">
        <f>C193*SIN(C198)/COS(C194+C198)*COS(C140)</f>
        <v>6.8206681934961804</v>
      </c>
      <c r="D199" s="2810"/>
      <c r="E199" s="2809"/>
      <c r="F199" s="2855" t="s">
        <v>3046</v>
      </c>
      <c r="G199" s="2797">
        <f>G193*SIN(G198)/COS(G194-G198)*COS(C140)</f>
        <v>5.0325912242889697</v>
      </c>
      <c r="H199" s="2821"/>
      <c r="I199" s="2821"/>
      <c r="J199" s="2821"/>
      <c r="K199" s="2816"/>
      <c r="L199" s="2848"/>
      <c r="M199" s="2821"/>
      <c r="N199" s="2816"/>
      <c r="S199" s="3369"/>
    </row>
    <row r="200" spans="1:19">
      <c r="A200" s="2858" t="s">
        <v>3047</v>
      </c>
      <c r="B200" s="2855" t="s">
        <v>2896</v>
      </c>
      <c r="C200" s="2797">
        <f>C67</f>
        <v>7</v>
      </c>
      <c r="D200" s="2810" t="s">
        <v>2820</v>
      </c>
      <c r="E200" s="2809"/>
      <c r="F200" s="2855" t="s">
        <v>3048</v>
      </c>
      <c r="G200" s="2797">
        <f>G67</f>
        <v>5</v>
      </c>
      <c r="H200" s="2810" t="s">
        <v>2820</v>
      </c>
      <c r="I200" s="2809"/>
      <c r="J200" s="2821"/>
      <c r="K200" s="2816"/>
      <c r="L200" s="2863"/>
      <c r="M200" s="2975"/>
      <c r="N200" s="2816"/>
      <c r="S200" s="3369" t="s">
        <v>3049</v>
      </c>
    </row>
    <row r="201" spans="1:19">
      <c r="A201" s="2858"/>
      <c r="B201" s="2951" t="s">
        <v>3050</v>
      </c>
      <c r="C201" s="2797">
        <f>E136+C200/(C17*C15*COS(C134))+2*C157*TAN(C134)/C15-PI()/(2*C15)</f>
        <v>9.3569516348467399E-2</v>
      </c>
      <c r="D201" s="2810"/>
      <c r="E201" s="2809"/>
      <c r="F201" s="2951" t="s">
        <v>3051</v>
      </c>
      <c r="G201" s="2797">
        <f>E136-G200/(C17*C16*COS(C134))+2*G157*TAN(C134)/C16+PI()/(2*C16)</f>
        <v>2.9050623806055501E-2</v>
      </c>
      <c r="H201" s="2810"/>
      <c r="I201" s="2809"/>
      <c r="J201" s="2821"/>
      <c r="K201" s="3106"/>
      <c r="L201" s="2863"/>
      <c r="M201" s="2970"/>
      <c r="S201" s="3369" t="s">
        <v>3052</v>
      </c>
    </row>
    <row r="202" spans="1:19" ht="15">
      <c r="A202" s="2858"/>
      <c r="B202" s="2952" t="s">
        <v>3053</v>
      </c>
      <c r="C202" s="2797">
        <f>C69</f>
        <v>0.61933252105620795</v>
      </c>
      <c r="D202" s="2812" t="s">
        <v>2048</v>
      </c>
      <c r="E202" s="2809"/>
      <c r="F202" s="2952" t="s">
        <v>3054</v>
      </c>
      <c r="G202" s="2797">
        <f>G69</f>
        <v>0.432031279947795</v>
      </c>
      <c r="H202" s="2812" t="s">
        <v>2048</v>
      </c>
      <c r="I202" s="2809">
        <f>DEGREES(G202)</f>
        <v>24.753568958643601</v>
      </c>
      <c r="J202" s="2894"/>
      <c r="K202" s="3106"/>
      <c r="L202" s="2863"/>
      <c r="M202" s="2970"/>
      <c r="S202" s="3369" t="s">
        <v>3055</v>
      </c>
    </row>
    <row r="203" spans="1:19">
      <c r="A203" s="2858"/>
      <c r="B203" s="2855" t="s">
        <v>3056</v>
      </c>
      <c r="C203" s="2797">
        <f>C146/2*COS(C136)/COS(C202)</f>
        <v>32.890033809172898</v>
      </c>
      <c r="D203" s="2810"/>
      <c r="E203" s="2809"/>
      <c r="F203" s="2855" t="s">
        <v>3057</v>
      </c>
      <c r="G203" s="2797">
        <f>G146/2*COS(C136)/COS(G202)</f>
        <v>55.877597584745402</v>
      </c>
      <c r="H203" s="2810"/>
      <c r="I203" s="2809"/>
      <c r="J203" s="2892"/>
      <c r="K203" s="3106"/>
      <c r="L203" s="2863"/>
      <c r="M203" s="3197"/>
      <c r="N203" s="2863"/>
      <c r="P203" s="2863"/>
      <c r="S203" s="3369" t="s">
        <v>3058</v>
      </c>
    </row>
    <row r="204" spans="1:19">
      <c r="A204" s="2858"/>
      <c r="B204" s="2855"/>
      <c r="C204" s="2797">
        <f>2*C203*COS(PI()/(2*C15))+C200</f>
        <v>72.555395337373596</v>
      </c>
      <c r="D204" s="2810"/>
      <c r="E204" s="2797">
        <f>2*C203+C200</f>
        <v>72.780067618345797</v>
      </c>
      <c r="F204" s="2855"/>
      <c r="G204" s="2797">
        <f>2*G203*COS(PI()/(2*C16))-G200</f>
        <v>106.648828986613</v>
      </c>
      <c r="H204" s="2810"/>
      <c r="I204" s="2797">
        <f>2*G203-G200</f>
        <v>106.755195169491</v>
      </c>
      <c r="J204" s="2892"/>
      <c r="K204" s="3106"/>
      <c r="L204" s="2863"/>
      <c r="M204" s="3198"/>
      <c r="P204" s="2863"/>
      <c r="R204" s="2693"/>
      <c r="S204" s="3369" t="s">
        <v>3059</v>
      </c>
    </row>
    <row r="205" spans="1:19">
      <c r="A205" s="2858" t="s">
        <v>3060</v>
      </c>
      <c r="B205" s="2855" t="s">
        <v>3061</v>
      </c>
      <c r="C205" s="2797">
        <f>IF(ODD(C15)-C15=0,C204,E204)</f>
        <v>72.555395337373596</v>
      </c>
      <c r="D205" s="2810" t="s">
        <v>2820</v>
      </c>
      <c r="E205" s="2809"/>
      <c r="F205" s="2855" t="s">
        <v>3062</v>
      </c>
      <c r="G205" s="2797">
        <f>IF(ODD(C16)-C16=0,G204,I204)</f>
        <v>106.755195169491</v>
      </c>
      <c r="H205" s="2810" t="s">
        <v>2820</v>
      </c>
      <c r="I205" s="2986"/>
      <c r="J205" s="2892"/>
      <c r="K205" s="3106"/>
      <c r="L205" s="2809"/>
      <c r="M205" s="2893"/>
      <c r="P205" s="2809"/>
      <c r="R205" s="2693"/>
      <c r="S205" s="3369" t="s">
        <v>3063</v>
      </c>
    </row>
    <row r="206" spans="1:19">
      <c r="A206" s="2896"/>
      <c r="B206" s="2791" t="s">
        <v>3064</v>
      </c>
      <c r="C206" s="2791">
        <f>ATAN(TAN(C69)-C200/C148*COS(C140))</f>
        <v>0.52723838178300497</v>
      </c>
      <c r="D206" s="2872"/>
      <c r="E206" s="2791"/>
      <c r="F206" s="2899" t="s">
        <v>3065</v>
      </c>
      <c r="G206" s="2791">
        <f>ATAN(TAN(G69)+G200/G148*COS(C140))</f>
        <v>0.47189275622961702</v>
      </c>
      <c r="H206" s="2842"/>
      <c r="I206" s="2986"/>
      <c r="J206" s="2892"/>
      <c r="K206" s="3106"/>
      <c r="L206" s="2936"/>
      <c r="M206" s="3143"/>
      <c r="P206" s="2854"/>
      <c r="R206" s="2693"/>
      <c r="S206" s="3369"/>
    </row>
    <row r="207" spans="1:19">
      <c r="A207" s="2956" t="s">
        <v>2898</v>
      </c>
      <c r="B207" s="2806"/>
      <c r="C207" s="2797"/>
      <c r="D207" s="2900"/>
      <c r="E207" s="2797"/>
      <c r="F207" s="2806"/>
      <c r="G207" s="2797"/>
      <c r="H207" s="2900"/>
      <c r="I207" s="2972"/>
      <c r="J207" s="2892"/>
      <c r="K207" s="2808"/>
      <c r="L207" s="2863"/>
      <c r="P207" s="2817"/>
      <c r="R207" s="2693"/>
      <c r="S207" s="3369" t="s">
        <v>3066</v>
      </c>
    </row>
    <row r="208" spans="1:19" ht="14.25">
      <c r="A208" s="2797" t="s">
        <v>3067</v>
      </c>
      <c r="B208" s="2813" t="s">
        <v>3068</v>
      </c>
      <c r="C208" s="2797">
        <f>ROUND(1/(2*PI())*(C15*(TAN(C177)-TAN(C149))-C16*(TAN(G177)-TAN(C149))),3)</f>
        <v>1.3480000000000001</v>
      </c>
      <c r="D208" s="2900"/>
      <c r="E208" s="3073"/>
      <c r="F208" s="2817"/>
      <c r="G208" s="2797"/>
      <c r="H208" s="2900"/>
      <c r="I208" s="2972"/>
      <c r="J208" s="2892"/>
      <c r="K208" s="2808"/>
      <c r="L208" s="2863"/>
      <c r="P208" s="2817"/>
      <c r="S208" s="3369" t="s">
        <v>3069</v>
      </c>
    </row>
    <row r="209" spans="1:22" ht="14.25">
      <c r="A209" s="2797"/>
      <c r="B209" s="2813"/>
      <c r="C209" s="3076">
        <f>ROUND(1/(2*PI())*(C15*(TAN(C178)-TAN(C149))-C16*(TAN(G178)-TAN(C149))),3)</f>
        <v>1.349</v>
      </c>
      <c r="D209" s="2900"/>
      <c r="E209" s="3073"/>
      <c r="F209" s="2817"/>
      <c r="G209" s="2797"/>
      <c r="H209" s="2900"/>
      <c r="I209" s="2972"/>
      <c r="J209" s="2892"/>
      <c r="K209" s="2808"/>
      <c r="L209" s="2863"/>
      <c r="P209" s="2817"/>
      <c r="S209" s="3369"/>
    </row>
    <row r="210" spans="1:22" ht="14.25">
      <c r="A210" s="2797" t="s">
        <v>3070</v>
      </c>
      <c r="B210" s="2813" t="s">
        <v>3071</v>
      </c>
      <c r="C210" s="2797">
        <f>ROUND(C21*SIN(C137)/(PI()*C17),3)</f>
        <v>0</v>
      </c>
      <c r="D210" s="2900"/>
      <c r="E210" s="2797"/>
      <c r="F210" s="2817"/>
      <c r="G210" s="2797"/>
      <c r="H210" s="2900"/>
      <c r="I210" s="2972"/>
      <c r="J210" s="2892"/>
      <c r="K210" s="2808"/>
      <c r="L210" s="2863"/>
      <c r="P210" s="2817"/>
      <c r="S210" s="3369" t="s">
        <v>3072</v>
      </c>
    </row>
    <row r="211" spans="1:22" ht="14.25">
      <c r="A211" s="2797" t="s">
        <v>3073</v>
      </c>
      <c r="B211" s="2803" t="s">
        <v>2449</v>
      </c>
      <c r="C211" s="2797">
        <f>ROUND(C208+C210,3)</f>
        <v>1.3480000000000001</v>
      </c>
      <c r="D211" s="2911"/>
      <c r="E211" s="2797"/>
      <c r="F211" s="2818"/>
      <c r="G211" s="2797"/>
      <c r="H211" s="2900"/>
      <c r="I211" s="2972"/>
      <c r="J211" s="2892"/>
      <c r="K211" s="2808"/>
      <c r="L211" s="2863"/>
      <c r="P211" s="2817"/>
      <c r="S211" s="3369"/>
    </row>
    <row r="212" spans="1:22" ht="14.25">
      <c r="A212" s="2791"/>
      <c r="B212" s="2896"/>
      <c r="C212" s="3372">
        <f>ROUND(C209+C210,3)</f>
        <v>1.349</v>
      </c>
      <c r="D212" s="2957"/>
      <c r="E212" s="2791"/>
      <c r="F212" s="2820"/>
      <c r="G212" s="2791"/>
      <c r="H212" s="2899"/>
      <c r="I212" s="2972"/>
      <c r="J212" s="2892"/>
      <c r="K212" s="2808"/>
      <c r="L212" s="2863"/>
      <c r="P212" s="2817"/>
      <c r="S212" s="3369"/>
    </row>
    <row r="213" spans="1:22" ht="15">
      <c r="A213" s="2797" t="s">
        <v>3074</v>
      </c>
      <c r="B213" s="3373" t="s">
        <v>3075</v>
      </c>
      <c r="C213" s="2797">
        <f>((G166/2)^2-(C166/2)^2-C144^2)/(C166*C144)</f>
        <v>0.63903899016564303</v>
      </c>
      <c r="D213" s="2911"/>
      <c r="E213" s="2797"/>
      <c r="F213" s="3373" t="s">
        <v>3076</v>
      </c>
      <c r="G213" s="2797">
        <f>((G166/2)^2-(C166/2)^2+C144^2)/(G166*C144)</f>
        <v>0.87881185739504397</v>
      </c>
      <c r="H213" s="2900"/>
      <c r="I213" s="2972"/>
      <c r="J213" s="2892"/>
      <c r="K213" s="2808"/>
      <c r="L213" s="2863"/>
      <c r="P213" s="2817"/>
      <c r="S213" s="3369" t="s">
        <v>3077</v>
      </c>
    </row>
    <row r="214" spans="1:22" ht="15">
      <c r="A214" s="2797"/>
      <c r="B214" s="3373"/>
      <c r="C214" s="3076">
        <f>((G167/2)^2-(C167/2)^2-C144^2)/(C167*C144)</f>
        <v>0.63879601505132599</v>
      </c>
      <c r="D214" s="2911"/>
      <c r="E214" s="2797"/>
      <c r="F214" s="3373"/>
      <c r="G214" s="3076">
        <f>((G167/2)^2-(C167/2)^2+C144^2)/(G167*C144)</f>
        <v>0.87871114540842798</v>
      </c>
      <c r="H214" s="2900"/>
      <c r="I214" s="2972"/>
      <c r="J214" s="2892"/>
      <c r="K214" s="2808"/>
      <c r="L214" s="2863"/>
      <c r="P214" s="2817"/>
      <c r="S214" s="3369"/>
    </row>
    <row r="215" spans="1:22" ht="15">
      <c r="A215" s="2797"/>
      <c r="B215" s="2813" t="s">
        <v>3078</v>
      </c>
      <c r="C215" s="2797">
        <f>ACOS(C213)</f>
        <v>0.87754811505590302</v>
      </c>
      <c r="D215" s="2911"/>
      <c r="E215" s="2797"/>
      <c r="F215" s="2817" t="s">
        <v>3079</v>
      </c>
      <c r="G215" s="2797">
        <f>ACOS(G213)</f>
        <v>0.49742985037206799</v>
      </c>
      <c r="H215" s="2900"/>
      <c r="I215" s="2972"/>
      <c r="J215" s="2892"/>
      <c r="K215" s="2808"/>
      <c r="L215" s="2863"/>
      <c r="P215" s="2817"/>
      <c r="S215" s="3369"/>
    </row>
    <row r="216" spans="1:22" ht="14.25">
      <c r="A216" s="2797"/>
      <c r="B216" s="2813"/>
      <c r="C216" s="3076">
        <f>ACOS(C214)</f>
        <v>0.87786396444065795</v>
      </c>
      <c r="D216" s="2911"/>
      <c r="E216" s="2797"/>
      <c r="F216" s="2817"/>
      <c r="G216" s="3076">
        <f>ACOS(G214)</f>
        <v>0.49764087107770399</v>
      </c>
      <c r="H216" s="2900"/>
      <c r="I216" s="2972"/>
      <c r="J216" s="2892"/>
      <c r="K216" s="2808"/>
      <c r="L216" s="2863"/>
      <c r="P216" s="2817"/>
      <c r="S216" s="3369"/>
    </row>
    <row r="217" spans="1:22">
      <c r="A217" s="2797"/>
      <c r="B217" s="2806"/>
      <c r="C217" s="2797">
        <f>C15*(C215+D175)-C16*(G215+H175)+(E149*(C16-C15))</f>
        <v>0.64353145135562395</v>
      </c>
      <c r="D217" s="2821"/>
      <c r="E217" s="2797"/>
      <c r="F217" s="2806"/>
      <c r="G217" s="2821" t="str">
        <f>IF(C217&lt;0,"发生重叠干涉！","不发生重叠干涉")</f>
        <v>不发生重叠干涉</v>
      </c>
      <c r="H217" s="2900"/>
      <c r="I217" s="2972"/>
      <c r="J217" s="2892"/>
      <c r="K217" s="2808"/>
      <c r="L217" s="2863"/>
      <c r="P217" s="2817"/>
      <c r="S217" s="3369" t="s">
        <v>3080</v>
      </c>
    </row>
    <row r="218" spans="1:22">
      <c r="A218" s="2797"/>
      <c r="B218" s="2855"/>
      <c r="C218" s="3364">
        <f>C15*(C216+D176)-C16*(G216+H176)+(E149*(C16-C15))</f>
        <v>0.64372893676593501</v>
      </c>
      <c r="D218" s="3095"/>
      <c r="E218" s="3095"/>
      <c r="F218" s="3095"/>
      <c r="G218" s="3374" t="str">
        <f>IF(C218&lt;0,"发生重叠干涉！","不发生重叠干涉")</f>
        <v>不发生重叠干涉</v>
      </c>
      <c r="H218" s="2797"/>
      <c r="I218" s="2818"/>
      <c r="J218" s="2821" t="str">
        <f>IF(G166&lt;G148,"发生齿顶非渐开线干涉！","不发生齿顶非渐开线干涉")</f>
        <v>不发生齿顶非渐开线干涉</v>
      </c>
      <c r="K218" s="2900"/>
      <c r="L218" s="2972"/>
      <c r="M218" s="2892"/>
      <c r="N218" s="2808"/>
      <c r="O218" s="2863"/>
      <c r="R218" s="2860"/>
      <c r="S218" s="2817"/>
      <c r="T218" s="2860"/>
      <c r="V218" s="3369" t="s">
        <v>3081</v>
      </c>
    </row>
    <row r="219" spans="1:22">
      <c r="A219" s="3375" t="s">
        <v>2899</v>
      </c>
      <c r="B219" s="3376"/>
      <c r="C219" s="3375">
        <f>ROUND(C179*COS(C141)/C17,2)</f>
        <v>0.5</v>
      </c>
      <c r="D219" s="3377" t="str">
        <f>IF(C219&lt;0.4,"齿顶变尖！","齿顶未变尖")</f>
        <v>齿顶未变尖</v>
      </c>
      <c r="E219" s="3375"/>
      <c r="F219" s="3378"/>
      <c r="G219" s="3375">
        <f>ROUND(G179*COS(G141)/C17,2)</f>
        <v>0.83</v>
      </c>
      <c r="H219" s="3377" t="str">
        <f>IF(G219&lt;0.4,"齿顶变尖！","齿顶未变尖")</f>
        <v>齿顶未变尖</v>
      </c>
      <c r="I219" s="2972"/>
      <c r="J219" s="3374" t="str">
        <f>IF(G167&lt;G148,"发生齿顶非渐开线干涉！","不发生齿顶非渐开线干涉")</f>
        <v>不发生齿顶非渐开线干涉</v>
      </c>
      <c r="K219" s="2808"/>
      <c r="L219" s="3200"/>
      <c r="S219" s="3383" t="s">
        <v>3082</v>
      </c>
      <c r="T219" s="3202"/>
      <c r="U219" s="3202"/>
      <c r="V219" s="3202"/>
    </row>
    <row r="220" spans="1:22">
      <c r="A220" s="2791"/>
      <c r="B220" s="2872"/>
      <c r="C220" s="3372">
        <f>ROUND(C180*COS(C142)/C17,2)</f>
        <v>0.5</v>
      </c>
      <c r="D220" s="3379" t="str">
        <f>IF(C220&lt;0.4,"齿顶变尖！","齿顶未变尖")</f>
        <v>齿顶未变尖</v>
      </c>
      <c r="E220" s="2791"/>
      <c r="F220" s="2820"/>
      <c r="G220" s="3372">
        <f>ROUND(G179*COS(G142)/C17,2)</f>
        <v>0.83</v>
      </c>
      <c r="H220" s="3379" t="str">
        <f>IF(G220&lt;0.4,"齿顶变尖！","齿顶未变尖")</f>
        <v>齿顶未变尖</v>
      </c>
      <c r="I220" s="2972"/>
      <c r="J220" s="2892"/>
      <c r="K220" s="2808"/>
      <c r="L220" s="3200"/>
      <c r="S220" s="3383"/>
      <c r="T220" s="3202"/>
      <c r="U220" s="3202"/>
      <c r="V220" s="3202"/>
    </row>
    <row r="221" spans="1:22" ht="15">
      <c r="A221" s="2807" t="s">
        <v>3083</v>
      </c>
      <c r="B221" s="3122" t="s">
        <v>3084</v>
      </c>
      <c r="C221" s="2797">
        <f>INT(2*C24/SIN(C136)^2)</f>
        <v>17</v>
      </c>
      <c r="D221" s="2911"/>
      <c r="E221" s="2797"/>
      <c r="F221" s="2817"/>
      <c r="G221" s="2797"/>
      <c r="H221" s="2911"/>
      <c r="I221" s="2972"/>
      <c r="J221" s="2892"/>
      <c r="K221" s="2808"/>
      <c r="L221" s="2817"/>
      <c r="S221" s="3369" t="s">
        <v>3085</v>
      </c>
    </row>
    <row r="222" spans="1:22" ht="15">
      <c r="A222" s="2963" t="s">
        <v>3086</v>
      </c>
      <c r="B222" s="3195" t="s">
        <v>3087</v>
      </c>
      <c r="C222" s="2791">
        <f>ROUND(C24*(C221-C15)/C221,3)</f>
        <v>-0.11799999999999999</v>
      </c>
      <c r="D222" s="2866" t="str">
        <f>IF(C39&gt;=C222,"不根切","根切！")</f>
        <v>不根切</v>
      </c>
      <c r="E222" s="2791"/>
      <c r="F222" s="2864"/>
      <c r="G222" s="2791"/>
      <c r="H222" s="2866"/>
      <c r="I222" s="2972"/>
      <c r="J222" s="2892"/>
      <c r="K222" s="2808"/>
      <c r="L222" s="2817"/>
      <c r="S222" s="3369"/>
    </row>
    <row r="223" spans="1:22">
      <c r="A223" s="2956" t="s">
        <v>3088</v>
      </c>
      <c r="B223" s="2801"/>
      <c r="C223" s="2797"/>
      <c r="D223" s="2953"/>
      <c r="E223" s="2797"/>
      <c r="F223" s="2855"/>
      <c r="G223" s="2797"/>
      <c r="H223" s="2953"/>
      <c r="I223" s="2966"/>
      <c r="J223" s="2892"/>
      <c r="K223" s="2808"/>
      <c r="L223" s="2817"/>
      <c r="S223" s="3384"/>
      <c r="T223" s="2693"/>
      <c r="U223" s="2693"/>
      <c r="V223" s="2693"/>
    </row>
    <row r="224" spans="1:22">
      <c r="A224" s="2976" t="s">
        <v>3089</v>
      </c>
      <c r="B224" s="2806" t="s">
        <v>3090</v>
      </c>
      <c r="C224" s="2797">
        <f>SQRT((G168/2)^2-(G148/2)^2)-C144*SIN(C149)</f>
        <v>8.0842986956308795</v>
      </c>
      <c r="D224" s="2810" t="s">
        <v>2820</v>
      </c>
      <c r="E224" s="2797"/>
      <c r="F224" s="2806" t="s">
        <v>3091</v>
      </c>
      <c r="G224" s="2797">
        <f>C144*SIN(C149)+SQRT((C168/2)^2-(C148/2)^2)</f>
        <v>30.1113541453362</v>
      </c>
      <c r="H224" s="2810" t="s">
        <v>2820</v>
      </c>
      <c r="I224" s="2972"/>
      <c r="J224" s="2892"/>
      <c r="K224" s="2808"/>
      <c r="L224" s="2817"/>
      <c r="S224" s="3384"/>
      <c r="T224" s="2693"/>
      <c r="U224" s="2693"/>
      <c r="V224" s="2693"/>
    </row>
    <row r="225" spans="1:22">
      <c r="A225" s="2976"/>
      <c r="B225" s="2806"/>
      <c r="C225" s="3076">
        <f>SQRT((G169/2)^2-(G148/2)^2)-C144*SIN(C149)</f>
        <v>8.0842986956308795</v>
      </c>
      <c r="D225" s="2810"/>
      <c r="E225" s="2797"/>
      <c r="F225" s="2806"/>
      <c r="G225" s="3076">
        <f>C144*SIN(C149)+SQRT((C169/2)^2-(C148/2)^2)</f>
        <v>30.118402383851802</v>
      </c>
      <c r="H225" s="2810"/>
      <c r="I225" s="2972"/>
      <c r="J225" s="2892"/>
      <c r="K225" s="2808"/>
      <c r="L225" s="2817"/>
      <c r="S225" s="3384"/>
      <c r="T225" s="2693"/>
      <c r="U225" s="2693"/>
      <c r="V225" s="2693"/>
    </row>
    <row r="226" spans="1:22" s="3202" customFormat="1">
      <c r="A226" s="2976" t="s">
        <v>3092</v>
      </c>
      <c r="B226" s="2806" t="s">
        <v>3093</v>
      </c>
      <c r="C226" s="2797">
        <f>SQRT(C224^2+(C148/2)^2)</f>
        <v>27.974822338343401</v>
      </c>
      <c r="D226" s="2810" t="s">
        <v>2820</v>
      </c>
      <c r="E226" s="2797"/>
      <c r="F226" s="2806"/>
      <c r="G226" s="2797">
        <f>SQRT(G224^2+(G148/2)^2)</f>
        <v>59.004969676573197</v>
      </c>
      <c r="H226" s="2810" t="s">
        <v>2820</v>
      </c>
      <c r="I226" s="2972"/>
      <c r="J226" s="2892"/>
      <c r="K226" s="2808"/>
      <c r="L226" s="2817"/>
      <c r="M226" s="2860"/>
      <c r="N226" s="2860"/>
      <c r="O226" s="2860"/>
      <c r="P226" s="2860"/>
      <c r="Q226" s="2860"/>
      <c r="R226" s="2694"/>
      <c r="S226" s="3384"/>
      <c r="T226" s="2693"/>
      <c r="U226" s="2693"/>
      <c r="V226" s="2693"/>
    </row>
    <row r="227" spans="1:22" s="3202" customFormat="1">
      <c r="A227" s="2976"/>
      <c r="B227" s="2806"/>
      <c r="C227" s="3076">
        <f>SQRT(C225^2+(C148/2)^2)</f>
        <v>27.974822338343401</v>
      </c>
      <c r="D227" s="2810"/>
      <c r="E227" s="2797"/>
      <c r="F227" s="2806"/>
      <c r="G227" s="3076">
        <f>SQRT(G225^2+(G148/2)^2)</f>
        <v>59.008566837562498</v>
      </c>
      <c r="H227" s="2810"/>
      <c r="I227" s="2972"/>
      <c r="J227" s="2892"/>
      <c r="K227" s="2808"/>
      <c r="L227" s="2817"/>
      <c r="M227" s="2860"/>
      <c r="N227" s="2860"/>
      <c r="O227" s="2860"/>
      <c r="P227" s="2860"/>
      <c r="Q227" s="2860"/>
      <c r="R227" s="2694"/>
      <c r="S227" s="3384"/>
      <c r="T227" s="2693"/>
      <c r="U227" s="2693"/>
      <c r="V227" s="2693"/>
    </row>
    <row r="228" spans="1:22">
      <c r="A228" s="2976" t="s">
        <v>3094</v>
      </c>
      <c r="B228" s="2806" t="s">
        <v>3095</v>
      </c>
      <c r="C228" s="2797">
        <f>SQRT((C168/2)^2-(C148/2)^2)</f>
        <v>20.021022117551201</v>
      </c>
      <c r="D228" s="2810" t="s">
        <v>2820</v>
      </c>
      <c r="E228" s="2797"/>
      <c r="F228" s="2806" t="s">
        <v>3096</v>
      </c>
      <c r="G228" s="2797">
        <f>SQRT((G168/2)^2-(G148/2)^2)</f>
        <v>18.174630723415799</v>
      </c>
      <c r="H228" s="2810" t="s">
        <v>2820</v>
      </c>
      <c r="I228" s="2972"/>
      <c r="J228" s="2892"/>
      <c r="K228" s="2808"/>
      <c r="L228" s="2817"/>
      <c r="S228" s="3369"/>
    </row>
    <row r="229" spans="1:22">
      <c r="A229" s="2976"/>
      <c r="B229" s="2806"/>
      <c r="C229" s="3076">
        <f>SQRT((C169/2)^2-(C148/2)^2)</f>
        <v>20.028070356066898</v>
      </c>
      <c r="D229" s="2810"/>
      <c r="E229" s="2797"/>
      <c r="F229" s="2806"/>
      <c r="G229" s="3076">
        <f>SQRT((G169/2)^2-(G148/2)^2)</f>
        <v>18.174630723415799</v>
      </c>
      <c r="H229" s="2810"/>
      <c r="I229" s="2972"/>
      <c r="J229" s="2892"/>
      <c r="K229" s="2808"/>
      <c r="L229" s="2817"/>
      <c r="S229" s="3369"/>
    </row>
    <row r="230" spans="1:22">
      <c r="A230" s="2976" t="s">
        <v>3097</v>
      </c>
      <c r="B230" s="2806" t="s">
        <v>3098</v>
      </c>
      <c r="C230" s="2797">
        <f>C168/2</f>
        <v>33.437645343133397</v>
      </c>
      <c r="D230" s="2810" t="s">
        <v>2820</v>
      </c>
      <c r="E230" s="2797"/>
      <c r="F230" s="2806"/>
      <c r="G230" s="2797">
        <f>G168/2</f>
        <v>53.9</v>
      </c>
      <c r="H230" s="2810" t="s">
        <v>2820</v>
      </c>
      <c r="I230" s="2972"/>
      <c r="J230" s="2892"/>
      <c r="K230" s="2808"/>
      <c r="L230" s="2817"/>
      <c r="S230" s="3369"/>
    </row>
    <row r="231" spans="1:22">
      <c r="A231" s="2976"/>
      <c r="B231" s="2806"/>
      <c r="C231" s="3076">
        <f>C169/2</f>
        <v>33.4418660013053</v>
      </c>
      <c r="D231" s="2810"/>
      <c r="E231" s="2797"/>
      <c r="F231" s="2806"/>
      <c r="G231" s="3076">
        <f>G169/2</f>
        <v>53.9</v>
      </c>
      <c r="H231" s="2810"/>
      <c r="I231" s="2972"/>
      <c r="J231" s="2892"/>
      <c r="K231" s="2808"/>
      <c r="L231" s="2817"/>
      <c r="S231" s="3369"/>
    </row>
    <row r="232" spans="1:22" s="2693" customFormat="1">
      <c r="A232" s="2976" t="s">
        <v>3099</v>
      </c>
      <c r="B232" s="2813" t="s">
        <v>3100</v>
      </c>
      <c r="C232" s="2797">
        <f>DEGREES(C224/(C148/2))</f>
        <v>17.2955472152486</v>
      </c>
      <c r="D232" s="2810" t="s">
        <v>257</v>
      </c>
      <c r="E232" s="2797">
        <f t="shared" ref="E232:E239" si="7">ROUND(INT(C232)+INT((C232-INT(C232))*60)/100+((C232-INT(C232))*60-INT((C232-INT(C232))*60))*60/10000,4)</f>
        <v>17.174399999999999</v>
      </c>
      <c r="F232" s="2817" t="s">
        <v>3101</v>
      </c>
      <c r="G232" s="2797">
        <f>DEGREES(G224/(G148/2))</f>
        <v>33.999563612001801</v>
      </c>
      <c r="H232" s="2810" t="s">
        <v>257</v>
      </c>
      <c r="I232" s="2797">
        <f t="shared" ref="I232:I239" si="8">ROUND(INT(G232)+INT((G232-INT(G232))*60)/100+((G232-INT(G232))*60-INT((G232-INT(G232))*60))*60/10000,4)</f>
        <v>33.595799999999997</v>
      </c>
      <c r="J232" s="2810" t="s">
        <v>3102</v>
      </c>
      <c r="K232" s="2808"/>
      <c r="L232" s="2817"/>
      <c r="M232" s="2860"/>
      <c r="N232" s="2860"/>
      <c r="O232" s="2860"/>
      <c r="P232" s="2860"/>
      <c r="Q232" s="2860"/>
      <c r="R232" s="2694"/>
      <c r="S232" s="3369"/>
      <c r="T232" s="2694"/>
      <c r="U232" s="2694"/>
      <c r="V232" s="2694"/>
    </row>
    <row r="233" spans="1:22" s="2693" customFormat="1" ht="14.25">
      <c r="A233" s="2976"/>
      <c r="B233" s="2813"/>
      <c r="C233" s="3076">
        <f>DEGREES(C225/(C148/2))</f>
        <v>17.2955472152486</v>
      </c>
      <c r="D233" s="2810"/>
      <c r="E233" s="3076">
        <f t="shared" si="7"/>
        <v>17.174399999999999</v>
      </c>
      <c r="F233" s="2817"/>
      <c r="G233" s="3076">
        <f>DEGREES(G225/(G148/2))</f>
        <v>34.007521973243499</v>
      </c>
      <c r="H233" s="2810"/>
      <c r="I233" s="3076">
        <f t="shared" si="8"/>
        <v>34.002699999999997</v>
      </c>
      <c r="J233" s="2810"/>
      <c r="K233" s="2808"/>
      <c r="L233" s="2817"/>
      <c r="M233" s="2860"/>
      <c r="N233" s="2860"/>
      <c r="O233" s="2860"/>
      <c r="P233" s="2860"/>
      <c r="Q233" s="2860"/>
      <c r="R233" s="2694"/>
      <c r="S233" s="3369"/>
      <c r="T233" s="2694"/>
      <c r="U233" s="2694"/>
      <c r="V233" s="2694"/>
    </row>
    <row r="234" spans="1:22" s="2693" customFormat="1">
      <c r="A234" s="2858" t="s">
        <v>3103</v>
      </c>
      <c r="B234" s="2813" t="s">
        <v>3104</v>
      </c>
      <c r="C234" s="2797">
        <f>DEGREES(C228/(C148/2))</f>
        <v>42.832971216017299</v>
      </c>
      <c r="D234" s="2810" t="s">
        <v>257</v>
      </c>
      <c r="E234" s="2797">
        <f t="shared" si="7"/>
        <v>42.495899999999999</v>
      </c>
      <c r="F234" s="2817" t="s">
        <v>3105</v>
      </c>
      <c r="G234" s="2797">
        <f>DEGREES(G228/(G148/2))</f>
        <v>20.5214787227073</v>
      </c>
      <c r="H234" s="2810" t="s">
        <v>257</v>
      </c>
      <c r="I234" s="2797">
        <f t="shared" si="8"/>
        <v>20.311699999999998</v>
      </c>
      <c r="J234" s="2810" t="s">
        <v>3102</v>
      </c>
      <c r="K234" s="2808"/>
      <c r="L234" s="2817"/>
      <c r="M234" s="2860"/>
      <c r="N234" s="2860"/>
      <c r="O234" s="2860"/>
      <c r="P234" s="2860"/>
      <c r="Q234" s="2860"/>
      <c r="R234" s="2694"/>
      <c r="S234" s="3369"/>
      <c r="T234" s="2694"/>
      <c r="U234" s="2694"/>
      <c r="V234" s="2694"/>
    </row>
    <row r="235" spans="1:22" s="2693" customFormat="1" ht="14.25">
      <c r="A235" s="2858"/>
      <c r="B235" s="2813"/>
      <c r="C235" s="3076">
        <f>DEGREES(C229/(C148/2))</f>
        <v>42.848050216264703</v>
      </c>
      <c r="D235" s="2810"/>
      <c r="E235" s="3076">
        <f t="shared" si="7"/>
        <v>42.505299999999998</v>
      </c>
      <c r="F235" s="2817"/>
      <c r="G235" s="3076">
        <f>DEGREES(G229/(G148/2))</f>
        <v>20.5214787227073</v>
      </c>
      <c r="H235" s="2810"/>
      <c r="I235" s="3076">
        <f t="shared" si="8"/>
        <v>20.311699999999998</v>
      </c>
      <c r="J235" s="2810"/>
      <c r="K235" s="2808"/>
      <c r="L235" s="2817"/>
      <c r="M235" s="2860"/>
      <c r="N235" s="2860"/>
      <c r="O235" s="2860"/>
      <c r="P235" s="2860"/>
      <c r="Q235" s="2860"/>
      <c r="R235" s="2694"/>
      <c r="S235" s="3369"/>
      <c r="T235" s="2694"/>
      <c r="U235" s="2694"/>
      <c r="V235" s="2694"/>
    </row>
    <row r="236" spans="1:22" s="2693" customFormat="1">
      <c r="A236" s="2858" t="s">
        <v>3106</v>
      </c>
      <c r="B236" s="2813" t="s">
        <v>3107</v>
      </c>
      <c r="C236" s="2797">
        <f>C232+1/3*(C234-C232)</f>
        <v>25.808021882171499</v>
      </c>
      <c r="D236" s="2810" t="s">
        <v>257</v>
      </c>
      <c r="E236" s="2797">
        <f t="shared" si="7"/>
        <v>25.482900000000001</v>
      </c>
      <c r="F236" s="2817" t="s">
        <v>3108</v>
      </c>
      <c r="G236" s="2797">
        <f>G232+1/3*(G234-G232)</f>
        <v>29.506868648903598</v>
      </c>
      <c r="H236" s="2810" t="s">
        <v>257</v>
      </c>
      <c r="I236" s="2797">
        <f t="shared" si="8"/>
        <v>29.302499999999998</v>
      </c>
      <c r="J236" s="2810" t="s">
        <v>3102</v>
      </c>
      <c r="K236" s="2808"/>
      <c r="L236" s="2817"/>
      <c r="M236" s="2885"/>
      <c r="N236" s="2885"/>
      <c r="O236" s="2885"/>
      <c r="P236" s="2885"/>
      <c r="Q236" s="2885"/>
      <c r="R236" s="3202"/>
      <c r="S236" s="3369" t="s">
        <v>3109</v>
      </c>
      <c r="T236" s="2694"/>
      <c r="U236" s="2694"/>
      <c r="V236" s="2694"/>
    </row>
    <row r="237" spans="1:22" s="2693" customFormat="1" ht="14.25">
      <c r="A237" s="2858"/>
      <c r="B237" s="2813"/>
      <c r="C237" s="3076">
        <f>C233+1/3*(C235-C233)</f>
        <v>25.813048215587301</v>
      </c>
      <c r="D237" s="2810"/>
      <c r="E237" s="3076">
        <f t="shared" si="7"/>
        <v>25.4847</v>
      </c>
      <c r="F237" s="2817"/>
      <c r="G237" s="3076">
        <f>G233+1/3*(G235-G233)</f>
        <v>29.5121742230648</v>
      </c>
      <c r="H237" s="2810"/>
      <c r="I237" s="3076">
        <f t="shared" si="8"/>
        <v>29.304400000000001</v>
      </c>
      <c r="J237" s="2810"/>
      <c r="K237" s="2808"/>
      <c r="L237" s="2817"/>
      <c r="M237" s="2885"/>
      <c r="N237" s="2885"/>
      <c r="O237" s="2885"/>
      <c r="P237" s="2885"/>
      <c r="Q237" s="2885"/>
      <c r="R237" s="3202"/>
      <c r="S237" s="3369"/>
      <c r="T237" s="2694"/>
      <c r="U237" s="2694"/>
      <c r="V237" s="2694"/>
    </row>
    <row r="238" spans="1:22" ht="15">
      <c r="A238" s="2803"/>
      <c r="B238" s="2797" t="s">
        <v>3110</v>
      </c>
      <c r="C238" s="2797">
        <f>C232+2/3*(C234-C232)</f>
        <v>34.320496549094401</v>
      </c>
      <c r="D238" s="2810" t="s">
        <v>257</v>
      </c>
      <c r="E238" s="2797">
        <f t="shared" si="7"/>
        <v>34.191400000000002</v>
      </c>
      <c r="F238" s="2818" t="s">
        <v>3111</v>
      </c>
      <c r="G238" s="2797">
        <f>G232+2/3*(G234-G232)</f>
        <v>25.014173685805499</v>
      </c>
      <c r="H238" s="2810" t="s">
        <v>257</v>
      </c>
      <c r="I238" s="2797">
        <f t="shared" si="8"/>
        <v>25.005099999999999</v>
      </c>
      <c r="J238" s="2810" t="s">
        <v>3102</v>
      </c>
      <c r="K238" s="2808"/>
      <c r="L238" s="2818"/>
      <c r="S238" s="3369"/>
    </row>
    <row r="239" spans="1:22" ht="14.25">
      <c r="A239" s="2896"/>
      <c r="B239" s="2791"/>
      <c r="C239" s="3372">
        <f>C233+2/3*(C235-C233)</f>
        <v>34.330549215925998</v>
      </c>
      <c r="D239" s="2842"/>
      <c r="E239" s="3372">
        <f t="shared" si="7"/>
        <v>34.195</v>
      </c>
      <c r="F239" s="2820"/>
      <c r="G239" s="3372">
        <f>G233+2/3*(G235-G233)</f>
        <v>25.016826472885999</v>
      </c>
      <c r="H239" s="3379"/>
      <c r="I239" s="3076">
        <f t="shared" si="8"/>
        <v>25.010100000000001</v>
      </c>
      <c r="J239" s="2810"/>
      <c r="K239" s="2808"/>
      <c r="L239" s="2818"/>
      <c r="S239" s="3369"/>
    </row>
    <row r="240" spans="1:22">
      <c r="A240" s="2956" t="s">
        <v>3112</v>
      </c>
      <c r="B240" s="2855"/>
      <c r="C240" s="2797"/>
      <c r="D240" s="2810"/>
      <c r="E240" s="2797"/>
      <c r="F240" s="2818"/>
      <c r="G240" s="2797"/>
      <c r="H240" s="2810"/>
      <c r="I240" s="2797"/>
      <c r="J240" s="3012"/>
      <c r="K240" s="2808"/>
      <c r="L240" s="2818"/>
      <c r="S240" s="3369"/>
    </row>
    <row r="241" spans="1:25">
      <c r="A241" s="3253" t="s">
        <v>3113</v>
      </c>
      <c r="B241" s="2801"/>
      <c r="C241" s="2797"/>
      <c r="D241" s="2810"/>
      <c r="E241" s="2797"/>
      <c r="F241" s="2900"/>
      <c r="G241" s="2797"/>
      <c r="H241" s="2810"/>
      <c r="I241" s="2797"/>
      <c r="J241" s="2892"/>
      <c r="K241" s="2808"/>
      <c r="L241" s="2900"/>
      <c r="M241" s="2893"/>
      <c r="N241" s="2893"/>
      <c r="O241" s="2893"/>
      <c r="P241" s="2893"/>
      <c r="Q241" s="2893"/>
      <c r="R241" s="2693"/>
      <c r="S241" s="3369"/>
    </row>
    <row r="242" spans="1:25" ht="15">
      <c r="A242" s="2807" t="s">
        <v>3083</v>
      </c>
      <c r="B242" s="3122" t="s">
        <v>3084</v>
      </c>
      <c r="C242" s="2797">
        <f>INT(2*C24/SIN(C136)^2)</f>
        <v>17</v>
      </c>
      <c r="D242" s="2810"/>
      <c r="E242" s="2797"/>
      <c r="F242" s="2900"/>
      <c r="G242" s="2797"/>
      <c r="H242" s="2810"/>
      <c r="I242" s="2797"/>
      <c r="J242" s="2892"/>
      <c r="K242" s="2892"/>
      <c r="L242" s="2892"/>
      <c r="M242" s="2893"/>
      <c r="N242" s="2893"/>
      <c r="O242" s="2893"/>
      <c r="P242" s="2893"/>
      <c r="Q242" s="2893"/>
      <c r="R242" s="2693"/>
      <c r="S242" s="3369"/>
    </row>
    <row r="243" spans="1:25" ht="15">
      <c r="A243" s="2807" t="s">
        <v>3086</v>
      </c>
      <c r="B243" s="3120" t="s">
        <v>3087</v>
      </c>
      <c r="C243" s="2797">
        <f>ROUND(C24*(C221-C15)/C221,3)</f>
        <v>-0.11799999999999999</v>
      </c>
      <c r="D243" s="2821" t="str">
        <f>IF(C39&gt;=C243,"不根切","根切 ！")</f>
        <v>不根切</v>
      </c>
      <c r="E243" s="2797"/>
      <c r="F243" s="2900"/>
      <c r="G243" s="2797"/>
      <c r="H243" s="2810"/>
      <c r="I243" s="2797"/>
      <c r="J243" s="2892"/>
      <c r="K243" s="2892"/>
      <c r="L243" s="2892"/>
      <c r="M243" s="2893"/>
      <c r="N243" s="2893"/>
      <c r="O243" s="2893"/>
      <c r="P243" s="2893"/>
      <c r="Q243" s="2893"/>
      <c r="R243" s="2693"/>
      <c r="S243" s="3369"/>
    </row>
    <row r="244" spans="1:25" ht="15">
      <c r="A244" s="3253"/>
      <c r="B244" s="3120"/>
      <c r="C244" s="2797">
        <f>C16*TAN(G177)-(C16-C15)*TAN(C149)</f>
        <v>5.7354206519642599</v>
      </c>
      <c r="D244" s="2810"/>
      <c r="E244" s="2797"/>
      <c r="F244" s="2818"/>
      <c r="G244" s="2797"/>
      <c r="H244" s="2810"/>
      <c r="I244" s="2797"/>
      <c r="J244" s="2892"/>
      <c r="K244" s="2892"/>
      <c r="L244" s="2889"/>
      <c r="S244" s="3369"/>
    </row>
    <row r="245" spans="1:25" ht="15">
      <c r="A245" s="3253"/>
      <c r="B245" s="3120"/>
      <c r="C245" s="2797">
        <f>C15*TAN(C136)-4*(C24-C157)/SIN(2*C134)</f>
        <v>5.6708553895695104</v>
      </c>
      <c r="D245" s="2821" t="str">
        <f>IF(C244&gt;=C245,"不发生干涉","发生干涉！应适当改变齿顶高系数、中心距或变位系数。")</f>
        <v>不发生干涉</v>
      </c>
      <c r="E245" s="2797"/>
      <c r="F245" s="2818"/>
      <c r="G245" s="2856"/>
      <c r="H245" s="2810"/>
      <c r="I245" s="2797"/>
      <c r="J245" s="2892"/>
      <c r="K245" s="2892"/>
      <c r="L245" s="2889"/>
      <c r="S245" s="3369"/>
    </row>
    <row r="246" spans="1:25">
      <c r="A246" s="2896"/>
      <c r="B246" s="2872"/>
      <c r="C246" s="2791"/>
      <c r="D246" s="2842"/>
      <c r="E246" s="2791"/>
      <c r="F246" s="2820"/>
      <c r="G246" s="3380"/>
      <c r="H246" s="2842"/>
      <c r="I246" s="2935"/>
      <c r="J246" s="2892"/>
      <c r="K246" s="2892"/>
      <c r="L246" s="2889"/>
      <c r="S246" s="3369"/>
    </row>
    <row r="247" spans="1:25">
      <c r="A247" s="3253" t="s">
        <v>3114</v>
      </c>
      <c r="B247" s="2855"/>
      <c r="C247" s="2797"/>
      <c r="D247" s="2810"/>
      <c r="E247" s="2797"/>
      <c r="F247" s="2818"/>
      <c r="G247" s="2856"/>
      <c r="H247" s="2810"/>
      <c r="I247" s="2935"/>
      <c r="J247" s="2892"/>
      <c r="K247" s="2892"/>
      <c r="L247" s="2889"/>
      <c r="S247" s="3369"/>
    </row>
    <row r="248" spans="1:25">
      <c r="A248" s="3253" t="s">
        <v>3115</v>
      </c>
      <c r="B248" s="2855"/>
      <c r="C248" s="2797"/>
      <c r="D248" s="2810"/>
      <c r="E248" s="2797"/>
      <c r="F248" s="2818"/>
      <c r="G248" s="2856"/>
      <c r="H248" s="2810"/>
      <c r="I248" s="2935"/>
      <c r="J248" s="2892"/>
      <c r="K248" s="2892"/>
      <c r="L248" s="2889"/>
      <c r="S248" s="3369"/>
    </row>
    <row r="249" spans="1:25">
      <c r="A249" s="2797"/>
      <c r="B249" s="2968" t="s">
        <v>3116</v>
      </c>
      <c r="C249" s="2803"/>
      <c r="D249" s="2855"/>
      <c r="E249" s="2797">
        <f>IF(AND(G87=25,C17=1),26,IF(AND(G87=25,C17=1.25),20,IF(AND(G87=25,C17=1.5),18,IF(AND(G87=25,C17=1.75),15,IF(AND(G87=25,C17=2),13,IF(AND(G87=25,C17=2.25),12,IF(AND(G87=25,C17=2.5),10,F249)))))))</f>
        <v>17</v>
      </c>
      <c r="F249" s="2809">
        <f>IF(AND(G87=25,C17=1),26,IF(AND(G87=25,C17=1.25),20,IF(AND(G87=25,C17=1.5),18,IF(AND(G87=25,C17=1.75),15,IF(AND(G87=25,C17=2),13,IF(AND(G87=25,C17=2.25),12,IF(AND(G87=25,C17=2.5),10,G249)))))))</f>
        <v>17</v>
      </c>
      <c r="G249" s="2809">
        <f>IF(AND(G87=25,C17=2.75),10,IF(AND(G87=38,C17=1),38,IF(AND(G87=38,C17=1.25),30,IF(AND(G87=38,C17=1.5),25,IF(AND(G87=38,C17=1.75),22,IF(AND(G87=38,C17=2),19,IF(AND(G87=38,C17=2.25),16,H249)))))))</f>
        <v>17</v>
      </c>
      <c r="H249" s="2844">
        <f>IF(AND(G87=38,C17=2.5),15,IF(AND(G87=38,C17=2.75),14,IF(AND(G87=38,C17=3),12,IF(AND(G87=38,C17=3.25),12,IF(AND(G87=38,C17=3.5),11,IF(AND(G87=38,C17=3.75),10,I249))))))</f>
        <v>17</v>
      </c>
      <c r="I249" s="2809">
        <f>IF(AND(G87=50,C17=1),50,IF(AND(G87=50,C17=1.25),40,IF(AND(G87=50,C17=1.5),34,IF(AND(G87=50,C17=1.75),29,IF(AND(G87=50,C17=2),25,IF(AND(G87=50,C17=2.25),22,J249))))))</f>
        <v>17</v>
      </c>
      <c r="J249" s="2809">
        <f>IF(AND(G87=50,C17=2.5),20,IF(AND(G87=50,C17=2.75),18,IF(AND(G87=50,C17=3),17,IF(AND(G87=50,C17=3.25),15,IF(AND(G87=50,C17=3.5),14,K249)))))</f>
        <v>17</v>
      </c>
      <c r="K249" s="2809" t="str">
        <f>IF(AND(G87=75,C17=1),76,IF(AND(G87=75,C17=1.25),60,IF(AND(G87=75,C17=1.5),50,IF(AND(G87=75,C17=1.75),43,IF(AND(G87=75,C17=2),38,IF(AND(G87=75,C17=2.25),34,L249))))))</f>
        <v>*</v>
      </c>
      <c r="L249" s="2809" t="str">
        <f>IF(AND(G87=75,C17=2.5),30,IF(AND(G87=75,C17=2.75),28,IF(AND(G87=75,C17=3),25,IF(AND(G87=75,C17=3.25),24,IF(AND(G87=75,C17=3.5),22,IF(AND(G87=75,C17=3.75),20,IF(AND(G87=75,C17=4),19,M249)))))))</f>
        <v>*</v>
      </c>
      <c r="M249" s="2809" t="str">
        <f>IF(AND(G87=100,C17=1),100,IF(AND(G87=100,C17=1.25),80,IF(AND(G87=100,C17=1.5),68,IF(AND(G87=100,C17=1.75),58,IF(AND(G87=100,C17=2),50,IF(AND(G87=100,C17=2.25),45,N249))))))</f>
        <v>*</v>
      </c>
      <c r="N249" s="2844" t="str">
        <f>IF(AND(G87=100,C17=2.5),40,IF(AND(G87=100,C17=2.75),36,IF(AND(G87=100,C17=3),34,IF(AND(G87=100,C17=3.25),31,IF(AND(G87=100,C17=3.5),29,IF(AND(G87=100,C17=3.75),27,IF(AND(G87=100,C17=4),25,O249)))))))</f>
        <v>*</v>
      </c>
      <c r="O249" s="2863" t="str">
        <f>IF(AND(G87=100,C17=4.5),22,IF(AND(G87=100,C17=5),20,IF(AND(G87=100,C17=5.5),19,IF(AND(G87=100,C17=6),18,IF(AND(G87=125,C17=4),31,IF(AND(G87=125,C17=4.5),28,IF(AND(G87=125,C17=5),25,P249)))))))</f>
        <v>*</v>
      </c>
      <c r="P249" s="2863" t="str">
        <f>IF(AND(G87=125,C17=5.5),23,IF(AND(G87=125,C17=6),21,IF(AND(G87=100,C17=6.5),19,IF(AND(G87=125,C17=7),18,IF(AND(G87=125,C17=8),16,"*")))))</f>
        <v>*</v>
      </c>
      <c r="Q249" s="2813"/>
      <c r="R249" s="2813"/>
      <c r="S249" s="3385"/>
      <c r="U249" s="3369"/>
    </row>
    <row r="250" spans="1:25">
      <c r="A250" s="2858" t="s">
        <v>3117</v>
      </c>
      <c r="B250" s="2968" t="s">
        <v>3118</v>
      </c>
      <c r="C250" s="2844"/>
      <c r="D250" s="2855"/>
      <c r="E250" s="2797">
        <f>IF(AND(G87=25,C17=1),28.72,IF(AND(G87=25,C17=1.25),28.38,IF(AND(G87=25,C17=1.5),31.04,IF(AND(G87=25,C17=1.75),30.89,IF(AND(G87=25,C17=2),31.24,IF(AND(G87=25,C17=2.25),32.9,IF(AND(G87=25,C17=2.5),31.26,F250)))))))</f>
        <v>59.1</v>
      </c>
      <c r="F250" s="2809">
        <f>IF(AND(G87=25,C17=1),28.72,IF(AND(G87=25,C17=1.25),28.38,IF(AND(G87=25,C17=1.5),31.04,IF(AND(G87=25,C17=1.75),30.89,IF(AND(G87=25,C17=2),31.24,IF(AND(G87=25,C17=2.25),32.9,IF(AND(G87=25,C17=2.5),31.26,G250)))))))</f>
        <v>59.1</v>
      </c>
      <c r="G250" s="2809">
        <f>IF(AND(G87=25,C17=2.75),34.48,IF(AND(G87=38,C17=1),40.72,IF(AND(G87=38,C17=1.25),40.88,IF(AND(G87=38,C17=1.5),41.54,IF(AND(G87=38,C17=1.75),43.24,IF(AND(G87=38,C17=2),43.4,IF(AND(G87=38,C17=2.25),41.98,H250)))))))</f>
        <v>59.1</v>
      </c>
      <c r="H250" s="2844">
        <f>IF(AND(G87=38,C17=2.5),44.26,IF(AND(G87=38,C17=2.75),45.88,IF(AND(G87=38,C17=3),43.74,IF(AND(G87=38,C17=3.25),47.58,IF(AND(G87=38,C17=3.5),47.52,IF(AND(G87=38,C17=3.75),46.88,I250))))))</f>
        <v>59.1</v>
      </c>
      <c r="I250" s="2809">
        <f>IF(AND(G87=50,C17=1),52.72,IF(AND(G87=50,C17=1.25),53.38,IF(AND(G87=50,C17=1.5),55.04,IF(AND(G87=50,C17=1.75),55.49,IF(AND(G87=50,C17=2),55.4,IF(AND(G87=50,C17=2.25),55.56,J250))))))</f>
        <v>59.1</v>
      </c>
      <c r="J250" s="2809">
        <f>IF(AND(G87=50,C17=2.5),56.76,IF(AND(G87=50,C17=2.75),56.92,IF(AND(G87=50,C17=3),59.1,IF(AND(G87=50,C17=3.25),57.53,IF(AND(G87=50,C17=3.5),58.44,K250)))))</f>
        <v>59.1</v>
      </c>
      <c r="K250" s="2809" t="str">
        <f>IF(AND(G87=75,C17=1),78.72,IF(AND(G87=75,C17=1.25),78.38,IF(AND(G87=75,C17=1.5),79.04,IF(AND(G87=75,C17=1.75),79.99,IF(AND(G87=75,C17=2),81.4,IF(AND(G87=75,C17=2.25),82.56,L250))))))</f>
        <v>*</v>
      </c>
      <c r="L250" s="2809" t="str">
        <f>IF(AND(G87=75,C17=2.5),81.76,IF(AND(G87=75,C17=2.75),84.42,IF(AND(G87=75,C17=3),83.1,IF(AND(G87=75,C17=3.25),86.78,IF(AND(G87=75,C17=3.5),86.44,IF(AND(G87=75,C17=3.75),85.14,IF(AND(G87=75,C17=4),86.8,M250)))))))</f>
        <v>*</v>
      </c>
      <c r="M250" s="2809" t="str">
        <f>IF(AND(G87=100,C17=1),102.62,IF(AND(G87=100,C17=1.25),103.94,IF(AND(G87=100,C17=1.5),107.14,IF(AND(G87=100,C17=1.75),107.62,IF(AND(G87=100,C17=2),107,IF(AND(G87=100,C17=2.25),109.09,N250))))))</f>
        <v>*</v>
      </c>
      <c r="N250" s="2844" t="str">
        <f>IF(AND(G87=100,C17=2.5),108.36,IF(AND(G87=100,C17=2.75),107.86,IF(AND(G87=100,C17=3),111.54,IF(AND(G87=100,C17=3.25),110.71,IF(AND(G87=100,C17=3.5),112.08,IF(AND(G87=100,C17=3.75),112.35,IF(AND(G87=100,C17=4),111.46,O250)))))))</f>
        <v>*</v>
      </c>
      <c r="O250" s="2863" t="str">
        <f>IF(AND(G87=100,C17=4.5),111.78,IF(AND(G87=100,C17=5),113.9,IF(AND(G87=100,C17=5.5),119.68,IF(AND(G87=100,C17=6),124.56,IF(AND(G87=125,C17=4),136.8,IF(AND(G87=125,C17=4.5),140.14,IF(AND(G87=125,C17=5),140.2,P250)))))))</f>
        <v>*</v>
      </c>
      <c r="P250" s="2863" t="str">
        <f>IF(AND(G87=125,C17=5.5),143,IF(AND(G87=125,C17=6),143.52,IF(AND(G87=100,C17=6.5),141.96,IF(AND(G87=125,C17=7),145.74,IF(AND(G87=125,C17=8),149.92,"*")))))</f>
        <v>*</v>
      </c>
      <c r="Q250" s="2813"/>
      <c r="R250" s="2813"/>
      <c r="S250" s="3385"/>
      <c r="U250" s="3369"/>
    </row>
    <row r="251" spans="1:25">
      <c r="A251" s="2857" t="s">
        <v>3119</v>
      </c>
      <c r="B251" s="2968" t="s">
        <v>3120</v>
      </c>
      <c r="C251" s="2809"/>
      <c r="D251" s="2855"/>
      <c r="E251" s="2797">
        <f>IF(AND(G87=25,C17=1),1,IF(AND(G87=25,C17=1.25),1.2,IF(AND(G87=25,C17=1.5),1.4,IF(AND(G87=25,C17=1.75),1.3,IF(AND(G87=25,C17=2),1.1,IF(AND(G87=25,C17=2.25),1.3,IF(AND(G87=25,C17=2.5),0,F251)))))))</f>
        <v>2.9</v>
      </c>
      <c r="F251" s="2809">
        <f>IF(AND(G87=25,C17=1),1,IF(AND(G87=25,C17=1.25),1.2,IF(AND(G87=25,C17=1.5),1.4,IF(AND(G87=25,C17=1.75),1.3,IF(AND(G87=25,C17=2),1.1,IF(AND(G87=25,C17=2.25),1.3,IF(AND(G87=25,C17=2.5),0,G251)))))))</f>
        <v>2.9</v>
      </c>
      <c r="G251" s="2809">
        <f>IF(AND(G87=25,C17=2.75),0.5,IF(AND(G87=38,C17=1),1,IF(AND(G87=38,C17=1.25),1.2,IF(AND(G87=38,C17=1.5),1.4,IF(AND(G87=38,C17=1.75),1.7,IF(AND(G87=38,C17=2),1.9,IF(AND(G87=38,C17=2.25),1.7,H251)))))))</f>
        <v>2.9</v>
      </c>
      <c r="H251" s="2844">
        <f>IF(AND(G87=38,C17=2.5),2.4,IF(AND(G87=38,C17=2.75),2.4,IF(AND(G87=38,C17=3),1.1,IF(AND(G87=38,C17=3.25),2.2,IF(AND(G87=38,C17=3.5),1.3,IF(AND(G87=38,C17=3.75),0,I251))))))</f>
        <v>2.9</v>
      </c>
      <c r="I251" s="2809">
        <f>IF(AND(G87=50,C17=1),1,IF(AND(G87=50,C17=1.25),1.2,IF(AND(G87=50,C17=1.5),1.4,IF(AND(G87=50,C17=1.75),1.7,IF(AND(G87=50,C17=2),1.9,IF(AND(G87=50,C17=2.25),2.1,J251))))))</f>
        <v>2.9</v>
      </c>
      <c r="J251" s="2809">
        <f>IF(AND(G87=50,C17=2.5),2.4,IF(AND(G87=50,C17=2.75),2.6,IF(AND(G87=50,C17=3),2.9,IF(AND(G87=50,C17=3.25),3.1,IF(AND(G87=50,C17=3.5),3.3,K251)))))</f>
        <v>2.9</v>
      </c>
      <c r="K251" s="2809" t="str">
        <f>IF(AND(G87=75,C17=1),1,IF(AND(G87=75,C17=1.25),1.2,IF(AND(G87=75,C17=1.5),1.4,IF(AND(G87=75,C17=1.75),1.7,IF(AND(G87=75,C17=2),1.9,IF(AND(G87=75,C17=2.25),2.1,L251))))))</f>
        <v>*</v>
      </c>
      <c r="L251" s="2809" t="str">
        <f>IF(AND(G87=75,C17=2.5),2.4,IF(AND(G87=75,C17=2.75),2.6,IF(AND(G87=75,C17=3),2.9,IF(AND(G87=75,C17=3.25),3.1,IF(AND(G87=75,C17=3.5),3.3,IF(AND(G87=75,C17=3.75),3.6,IF(AND(G87=75,C17=4),3.8,M251)))))))</f>
        <v>*</v>
      </c>
      <c r="M251" s="2809" t="str">
        <f>IF(AND(G87=100,C17=1),0.6,IF(AND(G87=100,C17=1.25),3.9,IF(AND(G87=100,C17=1.5),6.6,IF(AND(G87=100,C17=1.75),8.3,IF(AND(G87=100,C17=2),9.5,IF(AND(G87=100,C17=2.25),10.5,N251))))))</f>
        <v>*</v>
      </c>
      <c r="N251" s="2844" t="str">
        <f>IF(AND(G87=100,C17=2.5),10,IF(AND(G87=100,C17=2.75),9.4,IF(AND(G87=100,C17=3),9.7,IF(AND(G87=100,C17=3.25),8.7,IF(AND(G87=100,C17=3.5),8.7,IF(AND(G87=100,C17=3.75),8.2,IF(AND(G87=100,C17=4),6.9,O251)))))))</f>
        <v>*</v>
      </c>
      <c r="O251" s="2863" t="str">
        <f>IF(AND(G87=100,C17=4.5),5.1,IF(AND(G87=100,C17=5),4.3,IF(AND(G87=100,C17=5.5),4.2,IF(AND(G87=100,C17=6),4.6,IF(AND(G87=125,C17=4),11.4,IF(AND(G87=125,C17=4.5),11.6,IF(AND(G87=125,C17=5),10.5,P251)))))))</f>
        <v>*</v>
      </c>
      <c r="P251" s="2863" t="str">
        <f>IF(AND(G87=125,C17=5.5),10.5,IF(AND(G87=125,C17=6),9.1,IF(AND(G87=100,C17=6.5),7.4,IF(AND(G87=125,C17=7),7.3,IF(AND(G87=125,C17=8),5.3,"*")))))</f>
        <v>*</v>
      </c>
      <c r="Q251" s="2813"/>
      <c r="R251" s="2813"/>
      <c r="S251" s="3385"/>
      <c r="U251" s="3369"/>
    </row>
    <row r="252" spans="1:25">
      <c r="A252" s="3253"/>
      <c r="B252" s="2855"/>
      <c r="C252" s="2797"/>
      <c r="D252" s="2810"/>
      <c r="E252" s="2797"/>
      <c r="F252" s="2818"/>
      <c r="G252" s="2856"/>
      <c r="H252" s="2810"/>
      <c r="I252" s="2935"/>
      <c r="J252" s="3253" t="s">
        <v>3121</v>
      </c>
      <c r="K252" s="3253"/>
      <c r="M252" s="3253"/>
      <c r="N252" s="2855"/>
      <c r="O252" s="2797"/>
      <c r="P252" s="2810"/>
      <c r="Q252" s="3067"/>
      <c r="R252" s="2818"/>
      <c r="S252" s="2856"/>
      <c r="T252" s="2810"/>
      <c r="U252" s="2935"/>
      <c r="V252" s="2892"/>
      <c r="W252" s="2892"/>
      <c r="X252" s="2889"/>
      <c r="Y252" s="2860"/>
    </row>
    <row r="253" spans="1:25">
      <c r="A253" s="2797" t="s">
        <v>2925</v>
      </c>
      <c r="B253" s="2831" t="s">
        <v>2912</v>
      </c>
      <c r="C253" s="2786"/>
      <c r="D253" s="2831"/>
      <c r="E253" s="3113"/>
      <c r="F253" s="2831"/>
      <c r="G253" s="2797">
        <f>E249</f>
        <v>17</v>
      </c>
      <c r="H253" s="2810"/>
      <c r="I253" s="2797"/>
      <c r="J253" s="2797"/>
      <c r="K253" s="2831"/>
      <c r="L253" s="2797">
        <f>G108</f>
        <v>17</v>
      </c>
      <c r="M253" s="2900"/>
      <c r="N253" s="2803"/>
      <c r="O253" s="3381"/>
      <c r="P253" s="3382"/>
      <c r="Q253" s="2900"/>
      <c r="R253" s="2855"/>
    </row>
    <row r="254" spans="1:25">
      <c r="A254" s="2807" t="s">
        <v>3122</v>
      </c>
      <c r="B254" s="2831" t="s">
        <v>3123</v>
      </c>
      <c r="C254" s="2786"/>
      <c r="D254" s="2831"/>
      <c r="E254" s="3113"/>
      <c r="F254" s="2831"/>
      <c r="G254" s="2797">
        <f>C145*G253</f>
        <v>51</v>
      </c>
      <c r="H254" s="2810"/>
      <c r="I254" s="2797"/>
      <c r="J254" s="2797"/>
      <c r="K254" s="2831"/>
      <c r="L254" s="2797">
        <f>C145*L253</f>
        <v>51</v>
      </c>
      <c r="M254" s="2900"/>
      <c r="N254" s="2803"/>
      <c r="O254" s="3381"/>
      <c r="P254" s="3382"/>
      <c r="Q254" s="2900"/>
      <c r="R254" s="2855"/>
    </row>
    <row r="255" spans="1:25">
      <c r="A255" s="2976" t="s">
        <v>3124</v>
      </c>
      <c r="B255" s="2831" t="s">
        <v>3125</v>
      </c>
      <c r="C255" s="2786"/>
      <c r="D255" s="2831"/>
      <c r="E255" s="3113"/>
      <c r="F255" s="2831"/>
      <c r="G255" s="2797">
        <f>G254*COS(C136)</f>
        <v>47.924323660081299</v>
      </c>
      <c r="H255" s="2810"/>
      <c r="I255" s="2797"/>
      <c r="J255" s="2797"/>
      <c r="K255" s="2831"/>
      <c r="L255" s="2797">
        <f>L254*COS(C136)</f>
        <v>47.924323660081299</v>
      </c>
      <c r="M255" s="2900"/>
      <c r="N255" s="2803"/>
      <c r="O255" s="3381"/>
      <c r="P255" s="3382"/>
      <c r="Q255" s="2900"/>
      <c r="R255" s="2855"/>
    </row>
    <row r="256" spans="1:25">
      <c r="A256" s="2807" t="s">
        <v>3126</v>
      </c>
      <c r="B256" s="2870" t="s">
        <v>3127</v>
      </c>
      <c r="C256" s="2953"/>
      <c r="D256" s="2870"/>
      <c r="E256" s="3073"/>
      <c r="F256" s="2870"/>
      <c r="G256" s="2797">
        <f>IF(G254&lt;=27,0.47,IF(AND(G254&gt;27,G254&lt;=40),0.66,I256))</f>
        <v>1.03</v>
      </c>
      <c r="H256" s="2810"/>
      <c r="I256" s="2809">
        <f>ROUND(-0.0107*C17^2+0.2643*C17+0.3381,2)</f>
        <v>1.03</v>
      </c>
      <c r="J256" s="2797"/>
      <c r="K256" s="3382"/>
      <c r="L256" s="2797">
        <f>IF(L254&lt;=27,0.47,IF(AND(L254&gt;27,L254&lt;=40),0.66,N256))</f>
        <v>1.03</v>
      </c>
      <c r="M256" s="2900"/>
      <c r="N256" s="2844">
        <f>ROUND(-0.0107*C17^2+0.2643*C17+0.3381,2)</f>
        <v>1.03</v>
      </c>
      <c r="O256" s="3381"/>
      <c r="P256" s="3382"/>
      <c r="Q256" s="2900"/>
      <c r="R256" s="2855"/>
    </row>
    <row r="257" spans="1:18">
      <c r="A257" s="2857" t="s">
        <v>2913</v>
      </c>
      <c r="B257" s="2806" t="s">
        <v>2914</v>
      </c>
      <c r="C257" s="2813"/>
      <c r="D257" s="2806"/>
      <c r="E257" s="3113"/>
      <c r="F257" s="2831"/>
      <c r="G257" s="2797">
        <f>ROUND((G261-G254)/2/C17,2)</f>
        <v>1.25</v>
      </c>
      <c r="H257" s="2808"/>
      <c r="I257" s="2797"/>
      <c r="J257" s="2797"/>
      <c r="K257" s="2831"/>
      <c r="L257" s="2797">
        <f>IF(G109="",C24+C27,G109)</f>
        <v>1.25</v>
      </c>
      <c r="M257" s="2900"/>
      <c r="N257" s="2803"/>
      <c r="O257" s="3381"/>
      <c r="P257" s="3382"/>
      <c r="Q257" s="2900"/>
      <c r="R257" s="2855"/>
    </row>
    <row r="258" spans="1:18">
      <c r="A258" s="2803" t="s">
        <v>2927</v>
      </c>
      <c r="B258" s="2797" t="s">
        <v>2928</v>
      </c>
      <c r="C258" s="2797"/>
      <c r="D258" s="2797"/>
      <c r="E258" s="3067"/>
      <c r="F258" s="2797"/>
      <c r="G258" s="2797">
        <f>RADIANS(I258)</f>
        <v>0.10471975511966</v>
      </c>
      <c r="H258" s="2810" t="s">
        <v>2048</v>
      </c>
      <c r="I258" s="3267">
        <v>6</v>
      </c>
      <c r="J258" s="2907" t="s">
        <v>257</v>
      </c>
      <c r="K258" s="2831"/>
      <c r="L258" s="2797">
        <f>IF(G110="",RADIANS(6),RADIANS(G110))</f>
        <v>0.10471975511966</v>
      </c>
      <c r="M258" s="2810" t="s">
        <v>2048</v>
      </c>
      <c r="N258" s="2803">
        <f>DEGREES(L258)</f>
        <v>6</v>
      </c>
      <c r="O258" s="2907" t="s">
        <v>257</v>
      </c>
      <c r="P258" s="3382"/>
      <c r="Q258" s="2900"/>
      <c r="R258" s="2855"/>
    </row>
    <row r="259" spans="1:18">
      <c r="A259" s="2857" t="s">
        <v>3128</v>
      </c>
      <c r="B259" s="2870" t="s">
        <v>3129</v>
      </c>
      <c r="C259" s="2808"/>
      <c r="D259" s="2870"/>
      <c r="E259" s="3113"/>
      <c r="F259" s="2831"/>
      <c r="G259" s="2797"/>
      <c r="H259" s="2808"/>
      <c r="I259" s="3073"/>
      <c r="J259" s="2797"/>
      <c r="K259" s="2831"/>
      <c r="L259" s="2797">
        <f>G112</f>
        <v>1.51138899153815E-2</v>
      </c>
      <c r="M259" s="2900"/>
      <c r="N259" s="2803"/>
      <c r="O259" s="3381"/>
      <c r="P259" s="3382"/>
      <c r="Q259" s="2900"/>
      <c r="R259" s="2855"/>
    </row>
    <row r="260" spans="1:18">
      <c r="A260" s="2857" t="s">
        <v>3130</v>
      </c>
      <c r="B260" s="2870" t="s">
        <v>3131</v>
      </c>
      <c r="C260" s="2808"/>
      <c r="D260" s="2870"/>
      <c r="E260" s="3113"/>
      <c r="F260" s="2831"/>
      <c r="G260" s="2797"/>
      <c r="H260" s="2808"/>
      <c r="I260" s="3073"/>
      <c r="J260" s="2797"/>
      <c r="K260" s="2831"/>
      <c r="L260" s="2797">
        <f>L259*COS(C137)</f>
        <v>1.51138899153815E-2</v>
      </c>
      <c r="M260" s="2900"/>
      <c r="N260" s="2803"/>
      <c r="O260" s="3381"/>
      <c r="P260" s="3382"/>
      <c r="Q260" s="2900"/>
      <c r="R260" s="2855"/>
    </row>
    <row r="261" spans="1:18">
      <c r="A261" s="2807" t="s">
        <v>2915</v>
      </c>
      <c r="B261" s="2806"/>
      <c r="C261" s="2808"/>
      <c r="D261" s="2806"/>
      <c r="E261" s="3113"/>
      <c r="F261" s="2831"/>
      <c r="G261" s="2797">
        <f>E250-2*E251*TAN(G258)</f>
        <v>58.490395435459099</v>
      </c>
      <c r="H261" s="2808"/>
      <c r="I261" s="3073"/>
      <c r="J261" s="2797"/>
      <c r="K261" s="2806"/>
      <c r="L261" s="2797">
        <f>L254+2*L257*C17</f>
        <v>58.5</v>
      </c>
      <c r="M261" s="2900"/>
      <c r="N261" s="2803"/>
      <c r="O261" s="3381"/>
      <c r="P261" s="2806"/>
      <c r="Q261" s="2900"/>
      <c r="R261" s="2855"/>
    </row>
    <row r="262" spans="1:18">
      <c r="A262" s="2857" t="s">
        <v>2929</v>
      </c>
      <c r="B262" s="3359" t="s">
        <v>2930</v>
      </c>
      <c r="C262" s="2808"/>
      <c r="D262" s="3359"/>
      <c r="E262" s="3113"/>
      <c r="F262" s="2831"/>
      <c r="G262" s="2797"/>
      <c r="H262" s="2808"/>
      <c r="I262" s="3073"/>
      <c r="J262" s="2797"/>
      <c r="K262" s="2806"/>
      <c r="L262" s="2797">
        <f>L261+2*L260*C145</f>
        <v>58.590683339492301</v>
      </c>
      <c r="M262" s="2900"/>
      <c r="N262" s="2803"/>
      <c r="O262" s="3381"/>
      <c r="P262" s="2806"/>
      <c r="Q262" s="2900"/>
      <c r="R262" s="2855"/>
    </row>
    <row r="263" spans="1:18">
      <c r="A263" s="2807" t="s">
        <v>3132</v>
      </c>
      <c r="B263" s="2831" t="s">
        <v>3133</v>
      </c>
      <c r="C263" s="2808"/>
      <c r="D263" s="2831"/>
      <c r="E263" s="3113"/>
      <c r="F263" s="3254"/>
      <c r="G263" s="2797">
        <f>IF(G92="",E251,ROUND((G92-G261)/(2*TAN(G258)),3))</f>
        <v>2.9</v>
      </c>
      <c r="H263" s="2810"/>
      <c r="I263" s="2953"/>
      <c r="J263" s="2797"/>
      <c r="K263" s="2831"/>
      <c r="L263" s="2797">
        <f>(L264-L261)/2/TAN(L258)</f>
        <v>2.85430933626678</v>
      </c>
      <c r="M263" s="2900"/>
      <c r="N263" s="2803"/>
      <c r="O263" s="3381"/>
      <c r="P263" s="2935"/>
      <c r="Q263" s="2900"/>
      <c r="R263" s="2855"/>
    </row>
    <row r="264" spans="1:18">
      <c r="A264" s="2807" t="s">
        <v>2931</v>
      </c>
      <c r="B264" s="2806" t="s">
        <v>2917</v>
      </c>
      <c r="C264" s="2813"/>
      <c r="D264" s="2806"/>
      <c r="E264" s="3113"/>
      <c r="F264" s="2831"/>
      <c r="G264" s="2797">
        <f>IF(G92="",E250,G92)</f>
        <v>59.1</v>
      </c>
      <c r="H264" s="2810"/>
      <c r="I264" s="2797"/>
      <c r="J264" s="2797"/>
      <c r="K264" s="2806"/>
      <c r="L264" s="2797">
        <f>IF(G117=0,L262,G117)</f>
        <v>59.1</v>
      </c>
      <c r="M264" s="2821"/>
      <c r="N264" s="2972"/>
      <c r="O264" s="3388"/>
      <c r="P264" s="2935"/>
      <c r="Q264" s="2904"/>
      <c r="R264" s="2973"/>
    </row>
    <row r="265" spans="1:18">
      <c r="A265" s="2807" t="s">
        <v>3134</v>
      </c>
      <c r="B265" s="2806" t="s">
        <v>3135</v>
      </c>
      <c r="C265" s="2813"/>
      <c r="D265" s="2806"/>
      <c r="E265" s="3113"/>
      <c r="F265" s="2831"/>
      <c r="G265" s="2797">
        <f>G264-2*2*G257*C17</f>
        <v>44.1</v>
      </c>
      <c r="H265" s="2810"/>
      <c r="I265" s="2797"/>
      <c r="J265" s="2797"/>
      <c r="K265" s="2806"/>
      <c r="L265" s="2797">
        <f>L264-2*2*L257*C17</f>
        <v>44.1</v>
      </c>
      <c r="M265" s="2821"/>
      <c r="N265" s="2972"/>
      <c r="O265" s="3388"/>
      <c r="P265" s="2935"/>
      <c r="Q265" s="2904"/>
      <c r="R265" s="2973"/>
    </row>
    <row r="266" spans="1:18">
      <c r="A266" s="2788" t="s">
        <v>3136</v>
      </c>
      <c r="B266" s="2806" t="s">
        <v>2923</v>
      </c>
      <c r="C266" s="2813"/>
      <c r="D266" s="2806"/>
      <c r="E266" s="3113"/>
      <c r="F266" s="2831"/>
      <c r="G266" s="3076">
        <f>G94</f>
        <v>0.10199999999999999</v>
      </c>
      <c r="H266" s="2810"/>
      <c r="I266" s="2797"/>
      <c r="J266" s="2797"/>
      <c r="K266" s="2806"/>
      <c r="L266" s="3076">
        <f>(L264-L261)/2/C145</f>
        <v>0.1</v>
      </c>
      <c r="M266" s="2821"/>
      <c r="N266" s="3201"/>
      <c r="O266" s="3381"/>
      <c r="P266" s="2935"/>
      <c r="Q266" s="2904"/>
      <c r="R266" s="3395"/>
    </row>
    <row r="267" spans="1:18">
      <c r="A267" s="2788" t="s">
        <v>3137</v>
      </c>
      <c r="B267" s="2806" t="s">
        <v>3138</v>
      </c>
      <c r="C267" s="2813"/>
      <c r="D267" s="2806"/>
      <c r="E267" s="3113"/>
      <c r="F267" s="2831"/>
      <c r="G267" s="2797">
        <f>G266/COS(C137)</f>
        <v>0.10199999999999999</v>
      </c>
      <c r="H267" s="2810"/>
      <c r="I267" s="2809"/>
      <c r="J267" s="2797"/>
      <c r="K267" s="2806"/>
      <c r="L267" s="2797">
        <f>L266/COS(C137)</f>
        <v>0.1</v>
      </c>
      <c r="M267" s="2911"/>
      <c r="N267" s="2809"/>
      <c r="O267" s="3381"/>
      <c r="P267" s="2935"/>
      <c r="Q267" s="2948"/>
      <c r="R267" s="2809"/>
    </row>
    <row r="268" spans="1:18">
      <c r="A268" s="2807" t="s">
        <v>3139</v>
      </c>
      <c r="B268" s="2813" t="s">
        <v>3140</v>
      </c>
      <c r="C268" s="2813"/>
      <c r="D268" s="2813"/>
      <c r="E268" s="3113"/>
      <c r="F268" s="2786"/>
      <c r="G268" s="2797">
        <f>C141</f>
        <v>0</v>
      </c>
      <c r="H268" s="2810"/>
      <c r="I268" s="2809">
        <f t="shared" ref="I268:I270" si="9">DEGREES(G268)</f>
        <v>0</v>
      </c>
      <c r="J268" s="2797"/>
      <c r="K268" s="2806"/>
      <c r="L268" s="2797">
        <f>ATAN(L264*TAN(C137)/L254)</f>
        <v>0</v>
      </c>
      <c r="M268" s="2911"/>
      <c r="N268" s="2809">
        <f t="shared" ref="N268:N270" si="10">DEGREES(L268)</f>
        <v>0</v>
      </c>
      <c r="O268" s="3381"/>
      <c r="P268" s="2935"/>
      <c r="Q268" s="2948"/>
      <c r="R268" s="2809"/>
    </row>
    <row r="269" spans="1:18">
      <c r="A269" s="2807" t="s">
        <v>3141</v>
      </c>
      <c r="B269" s="2813" t="s">
        <v>3142</v>
      </c>
      <c r="C269" s="2813"/>
      <c r="D269" s="2813"/>
      <c r="E269" s="3113"/>
      <c r="F269" s="2786"/>
      <c r="G269" s="2786">
        <f>ATAN(TAN(G270)*COS(G268))</f>
        <v>0.62510400582956205</v>
      </c>
      <c r="H269" s="2911"/>
      <c r="I269" s="2809">
        <f t="shared" si="9"/>
        <v>35.815821290755103</v>
      </c>
      <c r="J269" s="2797"/>
      <c r="K269" s="2806"/>
      <c r="L269" s="2786">
        <f>ATAN(TAN(L270)*COS(L268))</f>
        <v>0.62510400582956205</v>
      </c>
      <c r="M269" s="2911"/>
      <c r="N269" s="2809">
        <f t="shared" si="10"/>
        <v>35.815821290755103</v>
      </c>
      <c r="O269" s="3381"/>
      <c r="P269" s="2935"/>
      <c r="Q269" s="2948"/>
      <c r="R269" s="2809"/>
    </row>
    <row r="270" spans="1:18">
      <c r="A270" s="2807" t="s">
        <v>3143</v>
      </c>
      <c r="B270" s="2813" t="s">
        <v>3144</v>
      </c>
      <c r="C270" s="2813"/>
      <c r="D270" s="2813"/>
      <c r="E270" s="3113"/>
      <c r="F270" s="2786"/>
      <c r="G270" s="2797">
        <f>ACOS(G255/G264)</f>
        <v>0.62510400582956205</v>
      </c>
      <c r="H270" s="2911"/>
      <c r="I270" s="2809">
        <f t="shared" si="9"/>
        <v>35.815821290755103</v>
      </c>
      <c r="J270" s="2848"/>
      <c r="K270" s="2806"/>
      <c r="L270" s="2797">
        <f>ACOS(L255/L264)</f>
        <v>0.62510400582956205</v>
      </c>
      <c r="M270" s="2911"/>
      <c r="N270" s="2809">
        <f t="shared" si="10"/>
        <v>35.815821290755103</v>
      </c>
      <c r="O270" s="3381"/>
      <c r="P270" s="2935"/>
      <c r="Q270" s="2948"/>
      <c r="R270" s="2809"/>
    </row>
    <row r="271" spans="1:18">
      <c r="A271" s="3153"/>
      <c r="B271" s="3255" t="s">
        <v>3145</v>
      </c>
      <c r="C271" s="3256"/>
      <c r="D271" s="3255"/>
      <c r="E271" s="3257"/>
      <c r="F271" s="3258"/>
      <c r="G271" s="2797">
        <f>TAN(G270)-G270</f>
        <v>9.6538592032915704E-2</v>
      </c>
      <c r="H271" s="2911"/>
      <c r="I271" s="2809"/>
      <c r="J271" s="2797"/>
      <c r="K271" s="2806"/>
      <c r="L271" s="2797">
        <f>TAN(L270)-L270</f>
        <v>9.6538592032915704E-2</v>
      </c>
      <c r="M271" s="2911"/>
      <c r="N271" s="2809"/>
      <c r="O271" s="3381"/>
      <c r="P271" s="2935"/>
      <c r="Q271" s="2948"/>
      <c r="R271" s="2809"/>
    </row>
    <row r="272" spans="1:18">
      <c r="A272" s="2807" t="s">
        <v>3146</v>
      </c>
      <c r="B272" s="2806" t="s">
        <v>3147</v>
      </c>
      <c r="C272" s="2797"/>
      <c r="D272" s="2810"/>
      <c r="E272" s="3067"/>
      <c r="F272" s="2900"/>
      <c r="G272" s="2797">
        <f>PI()*C145/2+2*G266*C145*TAN(C136)</f>
        <v>4.9351387637556101</v>
      </c>
      <c r="H272" s="2810"/>
      <c r="I272" s="2809"/>
      <c r="J272" s="2797"/>
      <c r="K272" s="2806"/>
      <c r="L272" s="2797">
        <f>PI()*C145/2+2*L266*C145*TAN(C136)</f>
        <v>4.9307711209444101</v>
      </c>
      <c r="M272" s="2911"/>
      <c r="N272" s="2809"/>
      <c r="O272" s="3381"/>
      <c r="P272" s="2935"/>
      <c r="Q272" s="2948"/>
      <c r="R272" s="2809"/>
    </row>
    <row r="273" spans="1:18">
      <c r="A273" s="2976" t="s">
        <v>3148</v>
      </c>
      <c r="B273" s="3259" t="s">
        <v>3149</v>
      </c>
      <c r="C273" s="2797"/>
      <c r="D273" s="2810"/>
      <c r="E273" s="3067"/>
      <c r="F273" s="2848"/>
      <c r="G273" s="3123">
        <f>G272/(C145*G253)+E136-G271</f>
        <v>1.5133218574726701E-2</v>
      </c>
      <c r="H273" s="2810"/>
      <c r="I273" s="3123">
        <f t="shared" ref="I273:I277" si="11">DEGREES(G273)</f>
        <v>0.86706955478082504</v>
      </c>
      <c r="J273" s="2797"/>
      <c r="K273" s="2806"/>
      <c r="L273" s="3123">
        <f>L272/(C145*L253)+E136-L271</f>
        <v>1.50475785196053E-2</v>
      </c>
      <c r="M273" s="2911"/>
      <c r="N273" s="3123">
        <f t="shared" ref="N273:N277" si="12">DEGREES(L273)</f>
        <v>0.86216274106509805</v>
      </c>
      <c r="O273" s="3381"/>
      <c r="P273" s="2935"/>
      <c r="Q273" s="2948"/>
      <c r="R273" s="2809"/>
    </row>
    <row r="274" spans="1:18">
      <c r="A274" s="3153"/>
      <c r="B274" s="2806" t="s">
        <v>1069</v>
      </c>
      <c r="C274" s="2797"/>
      <c r="D274" s="2810"/>
      <c r="E274" s="3067"/>
      <c r="F274" s="2900"/>
      <c r="G274" s="2797">
        <f>G253/C16</f>
        <v>0.47222222222222199</v>
      </c>
      <c r="H274" s="2810"/>
      <c r="I274" s="2809"/>
      <c r="J274" s="2797"/>
      <c r="K274" s="2806"/>
      <c r="L274" s="2797">
        <f>L253/C16</f>
        <v>0.47222222222222199</v>
      </c>
      <c r="M274" s="2911"/>
      <c r="N274" s="2809"/>
      <c r="O274" s="3381"/>
      <c r="P274" s="2935"/>
      <c r="Q274" s="2948"/>
      <c r="R274" s="2809"/>
    </row>
    <row r="275" spans="1:18">
      <c r="A275" s="3153"/>
      <c r="B275" s="2813" t="s">
        <v>3150</v>
      </c>
      <c r="C275" s="2797"/>
      <c r="D275" s="2810"/>
      <c r="E275" s="3067">
        <f>(C16-2*(C24-G157))/(G253+2*(G257+G267))</f>
        <v>1.8248311504283099</v>
      </c>
      <c r="F275" s="2900"/>
      <c r="G275" s="2797">
        <f>IF(E275&lt;1,1,E275)</f>
        <v>1.8248311504283099</v>
      </c>
      <c r="H275" s="2810"/>
      <c r="I275" s="2809"/>
      <c r="J275" s="3067">
        <f>(C16-2*(C24-G157))/(L253+2*(L257+L267))</f>
        <v>1.8252016745197599</v>
      </c>
      <c r="K275" s="2806"/>
      <c r="L275" s="2797">
        <f>IF(J275&lt;1,1,J275)</f>
        <v>1.8252016745197599</v>
      </c>
      <c r="M275" s="2911"/>
      <c r="N275" s="2809"/>
      <c r="O275" s="3381"/>
      <c r="P275" s="2935"/>
      <c r="Q275" s="2948"/>
      <c r="R275" s="2809"/>
    </row>
    <row r="276" spans="1:18">
      <c r="A276" s="3153"/>
      <c r="B276" s="3260" t="s">
        <v>3151</v>
      </c>
      <c r="C276" s="2797"/>
      <c r="D276" s="2810"/>
      <c r="E276" s="3067"/>
      <c r="F276" s="2900"/>
      <c r="G276" s="2797">
        <f>ASIN(SQRT((1-G275^2*G274^2)/(1-G274^2)))</f>
        <v>0.613330216998347</v>
      </c>
      <c r="H276" s="2810"/>
      <c r="I276" s="2809">
        <f t="shared" si="11"/>
        <v>35.141232881848197</v>
      </c>
      <c r="J276" s="2797"/>
      <c r="K276" s="2806"/>
      <c r="L276" s="2797">
        <f>ASIN(SQRT((1-L275^2*L274^2)/(1-L274^2)))</f>
        <v>0.612917847336924</v>
      </c>
      <c r="M276" s="2911"/>
      <c r="N276" s="2809">
        <f t="shared" si="12"/>
        <v>35.117605840649396</v>
      </c>
      <c r="O276" s="3381"/>
      <c r="P276" s="2935"/>
      <c r="Q276" s="2948"/>
      <c r="R276" s="2809"/>
    </row>
    <row r="277" spans="1:18">
      <c r="A277" s="3153"/>
      <c r="B277" s="3261" t="s">
        <v>3152</v>
      </c>
      <c r="C277" s="2797"/>
      <c r="D277" s="2810"/>
      <c r="E277" s="3067"/>
      <c r="F277" s="2900"/>
      <c r="G277" s="2797">
        <f>ASIN(1/G275*SQRT((1-G275^2*G274^2)/(1-G274^2)))</f>
        <v>0.32090247346705503</v>
      </c>
      <c r="H277" s="2810"/>
      <c r="I277" s="2809">
        <f t="shared" si="11"/>
        <v>18.386357364971101</v>
      </c>
      <c r="J277" s="2797"/>
      <c r="K277" s="2806"/>
      <c r="L277" s="2797">
        <f>ASIN(1/L275*SQRT((1-L275^2*L274^2)/(1-L274^2)))</f>
        <v>0.32064028913572001</v>
      </c>
      <c r="M277" s="2911"/>
      <c r="N277" s="2809">
        <f t="shared" si="12"/>
        <v>18.371335309331201</v>
      </c>
      <c r="O277" s="3381"/>
      <c r="P277" s="2935"/>
      <c r="Q277" s="2948"/>
      <c r="R277" s="2809"/>
    </row>
    <row r="278" spans="1:18">
      <c r="A278" s="2807" t="s">
        <v>3153</v>
      </c>
      <c r="B278" s="2813" t="s">
        <v>3154</v>
      </c>
      <c r="C278" s="2797"/>
      <c r="D278" s="2810"/>
      <c r="E278" s="3067"/>
      <c r="F278" s="2900"/>
      <c r="G278" s="2797">
        <f>PI()*C145-G172</f>
        <v>6.8486827757612101</v>
      </c>
      <c r="H278" s="2810"/>
      <c r="I278" s="2809"/>
      <c r="J278" s="2797"/>
      <c r="K278" s="2806"/>
      <c r="L278" s="2797">
        <f>PI()*C145-G172</f>
        <v>6.8486827757612101</v>
      </c>
      <c r="M278" s="2911"/>
      <c r="N278" s="2809"/>
      <c r="O278" s="3381"/>
      <c r="P278" s="2935"/>
      <c r="Q278" s="2948"/>
      <c r="R278" s="2809"/>
    </row>
    <row r="279" spans="1:18">
      <c r="A279" s="2807" t="s">
        <v>3155</v>
      </c>
      <c r="B279" s="2813" t="s">
        <v>3156</v>
      </c>
      <c r="C279" s="2797"/>
      <c r="D279" s="2810"/>
      <c r="E279" s="3067"/>
      <c r="F279" s="2900"/>
      <c r="G279" s="2797">
        <f>G175</f>
        <v>0.34393226411725603</v>
      </c>
      <c r="H279" s="2810"/>
      <c r="I279" s="2809">
        <f t="shared" ref="I279:I285" si="13">DEGREES(G279)</f>
        <v>19.705867172297499</v>
      </c>
      <c r="J279" s="2797"/>
      <c r="K279" s="2806"/>
      <c r="L279" s="2797">
        <f>G176</f>
        <v>0.34393226411725603</v>
      </c>
      <c r="M279" s="2911"/>
      <c r="N279" s="2809">
        <f t="shared" ref="N279:N285" si="14">DEGREES(L279)</f>
        <v>19.705867172297499</v>
      </c>
      <c r="O279" s="3381"/>
      <c r="P279" s="2935"/>
      <c r="Q279" s="2948"/>
      <c r="R279" s="2809"/>
    </row>
    <row r="280" spans="1:18">
      <c r="A280" s="2807" t="s">
        <v>3157</v>
      </c>
      <c r="B280" s="2813" t="s">
        <v>3158</v>
      </c>
      <c r="C280" s="2797"/>
      <c r="D280" s="2810"/>
      <c r="E280" s="3067"/>
      <c r="F280" s="2900"/>
      <c r="G280" s="2797">
        <f>G278/(C145*C16)+E136-H175</f>
        <v>6.4083006300587095E-2</v>
      </c>
      <c r="H280" s="2810"/>
      <c r="I280" s="2809">
        <f t="shared" si="13"/>
        <v>3.6716857995339001</v>
      </c>
      <c r="J280" s="2797"/>
      <c r="K280" s="2806"/>
      <c r="L280" s="2797">
        <f>L278/(C145*C16)+E136-H176</f>
        <v>6.4083006300587095E-2</v>
      </c>
      <c r="M280" s="2911"/>
      <c r="N280" s="2809">
        <f t="shared" si="14"/>
        <v>3.6716857995339001</v>
      </c>
      <c r="O280" s="3381"/>
      <c r="P280" s="2935"/>
      <c r="Q280" s="2948"/>
      <c r="R280" s="2809"/>
    </row>
    <row r="281" spans="1:18">
      <c r="A281" s="2807"/>
      <c r="B281" s="2806" t="s">
        <v>3159</v>
      </c>
      <c r="C281" s="2797"/>
      <c r="D281" s="2810"/>
      <c r="E281" s="3067"/>
      <c r="F281" s="2900"/>
      <c r="G281" s="2797">
        <f>G277-G280</f>
        <v>0.25681946716646797</v>
      </c>
      <c r="H281" s="2810"/>
      <c r="I281" s="2809">
        <f t="shared" si="13"/>
        <v>14.7146715654372</v>
      </c>
      <c r="J281" s="2797"/>
      <c r="K281" s="2806"/>
      <c r="L281" s="2797">
        <f>L277-L280</f>
        <v>0.25655728283513302</v>
      </c>
      <c r="M281" s="2911"/>
      <c r="N281" s="2809">
        <f t="shared" si="14"/>
        <v>14.6996495097973</v>
      </c>
      <c r="O281" s="3381"/>
      <c r="P281" s="2935"/>
      <c r="Q281" s="2948"/>
      <c r="R281" s="2809"/>
    </row>
    <row r="282" spans="1:18">
      <c r="A282" s="2807"/>
      <c r="B282" s="2813" t="s">
        <v>3160</v>
      </c>
      <c r="C282" s="2797"/>
      <c r="D282" s="2810"/>
      <c r="E282" s="3067"/>
      <c r="F282" s="2900"/>
      <c r="G282" s="2797">
        <f>G281/G274</f>
        <v>0.54385298929369696</v>
      </c>
      <c r="H282" s="2810"/>
      <c r="I282" s="2809">
        <f t="shared" si="13"/>
        <v>31.160480962102401</v>
      </c>
      <c r="J282" s="2797"/>
      <c r="K282" s="2806"/>
      <c r="L282" s="2797">
        <f>L281/L274</f>
        <v>0.543297775415575</v>
      </c>
      <c r="M282" s="2911"/>
      <c r="N282" s="2809">
        <f t="shared" si="14"/>
        <v>31.1286695501589</v>
      </c>
      <c r="O282" s="3381"/>
      <c r="P282" s="2935"/>
      <c r="Q282" s="2848"/>
      <c r="R282" s="2809"/>
    </row>
    <row r="283" spans="1:18">
      <c r="A283" s="2807" t="s">
        <v>3161</v>
      </c>
      <c r="B283" s="3262" t="s">
        <v>3162</v>
      </c>
      <c r="C283" s="2797"/>
      <c r="D283" s="2810"/>
      <c r="E283" s="3067"/>
      <c r="F283" s="2848"/>
      <c r="G283" s="3123">
        <f>G276-G282</f>
        <v>6.9477227704650105E-2</v>
      </c>
      <c r="H283" s="2821" t="str">
        <f>IF(G283&gt;=G273,"不产生径向切入顶切","产生径向切入顶切！")</f>
        <v>不产生径向切入顶切</v>
      </c>
      <c r="I283" s="3123">
        <f t="shared" si="13"/>
        <v>3.9807519197458499</v>
      </c>
      <c r="J283" s="2797"/>
      <c r="K283" s="2806"/>
      <c r="L283" s="3123">
        <f>L276-L282</f>
        <v>6.9620071921348406E-2</v>
      </c>
      <c r="M283" s="2821" t="str">
        <f>IF(L283&gt;=L273,"不产生径向切入顶切","产生径向切入顶切！")</f>
        <v>不产生径向切入顶切</v>
      </c>
      <c r="N283" s="3123">
        <f t="shared" si="14"/>
        <v>3.9889362904905101</v>
      </c>
      <c r="O283" s="3381"/>
      <c r="P283" s="2935"/>
      <c r="Q283" s="2848"/>
      <c r="R283" s="2809"/>
    </row>
    <row r="284" spans="1:18">
      <c r="A284" s="2807" t="s">
        <v>3163</v>
      </c>
      <c r="B284" s="2813" t="s">
        <v>3003</v>
      </c>
      <c r="C284" s="2797"/>
      <c r="D284" s="2810"/>
      <c r="E284" s="3067"/>
      <c r="F284" s="2900"/>
      <c r="G284" s="2797">
        <f>C175</f>
        <v>0.64194818418583</v>
      </c>
      <c r="H284" s="2810"/>
      <c r="I284" s="2809">
        <f t="shared" si="13"/>
        <v>36.780921619934901</v>
      </c>
      <c r="J284" s="2797"/>
      <c r="K284" s="2806"/>
      <c r="L284" s="2797">
        <f>C176</f>
        <v>0.64211698909843096</v>
      </c>
      <c r="M284" s="2911"/>
      <c r="N284" s="2809">
        <f t="shared" si="14"/>
        <v>36.790593428987997</v>
      </c>
      <c r="O284" s="3381"/>
      <c r="P284" s="2935"/>
      <c r="Q284" s="2848"/>
      <c r="R284" s="2809"/>
    </row>
    <row r="285" spans="1:18">
      <c r="A285" s="2797" t="s">
        <v>3164</v>
      </c>
      <c r="B285" s="3261" t="s">
        <v>3165</v>
      </c>
      <c r="C285" s="2797"/>
      <c r="D285" s="2810"/>
      <c r="E285" s="3067"/>
      <c r="F285" s="2900"/>
      <c r="G285" s="2797">
        <f>C149</f>
        <v>0.39855791909035498</v>
      </c>
      <c r="H285" s="2810"/>
      <c r="I285" s="2809">
        <f t="shared" si="13"/>
        <v>22.8356866553939</v>
      </c>
      <c r="J285" s="2797"/>
      <c r="K285" s="2806"/>
      <c r="L285" s="2797">
        <f>C149</f>
        <v>0.39855791909035498</v>
      </c>
      <c r="M285" s="2911"/>
      <c r="N285" s="2809">
        <f t="shared" si="14"/>
        <v>22.8356866553939</v>
      </c>
      <c r="O285" s="3381"/>
      <c r="P285" s="2935"/>
      <c r="Q285" s="2848"/>
      <c r="R285" s="2809"/>
    </row>
    <row r="286" spans="1:18" ht="15">
      <c r="A286" s="2807"/>
      <c r="B286" s="3386" t="s">
        <v>3166</v>
      </c>
      <c r="C286" s="2797"/>
      <c r="D286" s="2810"/>
      <c r="E286" s="3067"/>
      <c r="F286" s="2900"/>
      <c r="G286" s="2797">
        <f>E136+2*(G156-G266)/(C16-G253)*TAN(C136)</f>
        <v>4.8475331446382199E-2</v>
      </c>
      <c r="H286" s="2810"/>
      <c r="I286" s="2809"/>
      <c r="J286" s="2935"/>
      <c r="K286" s="3389"/>
      <c r="L286" s="2797">
        <f>E136+2*(G156-L266)/(C16-L253)*TAN(C136)</f>
        <v>4.8551956758859302E-2</v>
      </c>
      <c r="M286" s="2911"/>
      <c r="N286" s="2809"/>
      <c r="O286" s="3381"/>
      <c r="P286" s="2935"/>
      <c r="Q286" s="2948"/>
      <c r="R286" s="2809"/>
    </row>
    <row r="287" spans="1:18" ht="15">
      <c r="A287" s="2807" t="s">
        <v>3167</v>
      </c>
      <c r="B287" s="3261" t="s">
        <v>3168</v>
      </c>
      <c r="C287" s="2797"/>
      <c r="D287" s="2810"/>
      <c r="E287" s="3067"/>
      <c r="F287" s="2900"/>
      <c r="G287" s="2797">
        <f>G96</f>
        <v>0.50715770616739797</v>
      </c>
      <c r="H287" s="2810"/>
      <c r="I287" s="2809">
        <f>DEGREES(G287)</f>
        <v>29.0579961109278</v>
      </c>
      <c r="J287" s="2935"/>
      <c r="K287" s="2817"/>
      <c r="L287" s="2797">
        <f>G119</f>
        <v>0.50740555111482499</v>
      </c>
      <c r="M287" s="2911"/>
      <c r="N287" s="2809">
        <f>DEGREES(L287)</f>
        <v>29.072196580389001</v>
      </c>
      <c r="O287" s="3381"/>
      <c r="P287" s="2935"/>
      <c r="Q287" s="2948"/>
      <c r="R287" s="2809"/>
    </row>
    <row r="288" spans="1:18">
      <c r="A288" s="2807" t="s">
        <v>3169</v>
      </c>
      <c r="B288" s="2806" t="s">
        <v>3170</v>
      </c>
      <c r="C288" s="2797"/>
      <c r="D288" s="2810"/>
      <c r="E288" s="2923"/>
      <c r="F288" s="2900"/>
      <c r="G288" s="2797">
        <f>C145*(C16-G253)/2*COS(C136)/COS(G287)</f>
        <v>30.6376453431334</v>
      </c>
      <c r="H288" s="2810"/>
      <c r="I288" s="2809"/>
      <c r="J288" s="2935"/>
      <c r="K288" s="2806"/>
      <c r="L288" s="2797">
        <f>C145*(C16-L253)/2*COS(C136)/COS(L287)</f>
        <v>30.641866001305299</v>
      </c>
      <c r="M288" s="3390"/>
      <c r="N288" s="2809"/>
      <c r="O288" s="3381"/>
      <c r="P288" s="2935"/>
      <c r="Q288" s="3390"/>
      <c r="R288" s="2809"/>
    </row>
    <row r="289" spans="1:18">
      <c r="A289" s="3092"/>
      <c r="B289" s="2985" t="s">
        <v>3171</v>
      </c>
      <c r="C289" s="2797"/>
      <c r="D289" s="2810"/>
      <c r="E289" s="2923"/>
      <c r="F289" s="2900"/>
      <c r="G289" s="3191">
        <f>L253/C16</f>
        <v>0.47222222222222199</v>
      </c>
      <c r="H289" s="3263"/>
      <c r="I289" s="2972"/>
      <c r="J289" s="2935"/>
      <c r="K289" s="2985"/>
      <c r="L289" s="3191">
        <f>L253/C16</f>
        <v>0.47222222222222199</v>
      </c>
      <c r="M289" s="3391"/>
      <c r="N289" s="2972"/>
      <c r="O289" s="3392"/>
      <c r="P289" s="2935"/>
      <c r="Q289" s="2900"/>
      <c r="R289" s="2973"/>
    </row>
    <row r="290" spans="1:18">
      <c r="A290" s="3092"/>
      <c r="B290" s="2985"/>
      <c r="C290" s="2797"/>
      <c r="D290" s="2810"/>
      <c r="E290" s="3067"/>
      <c r="F290" s="2949" t="s">
        <v>3172</v>
      </c>
      <c r="G290" s="3191">
        <f>1-TAN(G175)/TAN(G287)</f>
        <v>0.35538862803108001</v>
      </c>
      <c r="H290" s="3265" t="str">
        <f>IF(G289&lt;G290,"发生范成顶切！","不发生范成顶切")</f>
        <v>不发生范成顶切</v>
      </c>
      <c r="I290" s="2972"/>
      <c r="J290" s="2935"/>
      <c r="K290" s="2949" t="s">
        <v>3172</v>
      </c>
      <c r="L290" s="3191">
        <f>1-TAN(G176)/TAN(L287)</f>
        <v>0.35576476474297197</v>
      </c>
      <c r="M290" s="3265" t="str">
        <f>IF(L289&lt;L290,"发生范成顶切！","不发生范成顶切")</f>
        <v>不发生范成顶切</v>
      </c>
      <c r="N290" s="2972"/>
      <c r="O290" s="2935"/>
      <c r="P290" s="2935"/>
      <c r="Q290" s="2904"/>
      <c r="R290" s="2973"/>
    </row>
    <row r="291" spans="1:18">
      <c r="A291" s="3092"/>
      <c r="B291" s="2985"/>
      <c r="C291" s="2797"/>
      <c r="D291" s="2810"/>
      <c r="E291" s="3067"/>
      <c r="F291" s="2900"/>
      <c r="G291" s="2797">
        <f>C15*TAN(C177)+(C16-C15)*TAN(C149)</f>
        <v>21.362555853744801</v>
      </c>
      <c r="H291" s="2821"/>
      <c r="I291" s="2972"/>
      <c r="J291" s="3393"/>
      <c r="K291" s="2801"/>
      <c r="L291" s="2797">
        <f>C15*TAN(C178)+(C16-C15)*TAN(C149)</f>
        <v>21.367556239587099</v>
      </c>
      <c r="M291" s="2821"/>
      <c r="N291" s="2972"/>
      <c r="O291" s="2935"/>
      <c r="P291" s="2935"/>
      <c r="Q291" s="2904"/>
      <c r="R291" s="2973"/>
    </row>
    <row r="292" spans="1:18">
      <c r="A292" s="3092"/>
      <c r="B292" s="2985"/>
      <c r="C292" s="2797"/>
      <c r="D292" s="2810"/>
      <c r="E292" s="3067"/>
      <c r="F292" s="2900"/>
      <c r="G292" s="2797">
        <f>(C16-G253)*TAN(G287)+G253*TAN(G270)</f>
        <v>22.824951772264299</v>
      </c>
      <c r="H292" s="2821" t="str">
        <f>IF(G291&gt;G292,"发生干涉！","不发生干涉")</f>
        <v>不发生干涉</v>
      </c>
      <c r="I292" s="2972"/>
      <c r="J292" s="3393"/>
      <c r="K292" s="2801"/>
      <c r="L292" s="2797">
        <f>(C16-L253)*TAN(L287)+L253*TAN(L270)</f>
        <v>22.831115492338501</v>
      </c>
      <c r="M292" s="2821" t="str">
        <f>IF(L291&gt;L292,"发生干涉！","不发生干涉")</f>
        <v>不发生干涉</v>
      </c>
      <c r="N292" s="2972"/>
      <c r="O292" s="2935"/>
      <c r="P292" s="2935"/>
      <c r="Q292" s="2904"/>
      <c r="R292" s="2973"/>
    </row>
    <row r="293" spans="1:18">
      <c r="A293" s="3092"/>
      <c r="B293" s="2813" t="s">
        <v>3173</v>
      </c>
      <c r="C293" s="2797"/>
      <c r="D293" s="2810"/>
      <c r="E293" s="3067"/>
      <c r="F293" s="2900"/>
      <c r="G293" s="2797">
        <f>G288*SIN(G287)+SQRT((G264/2)^2-(G255/2)^2)</f>
        <v>32.172658125286503</v>
      </c>
      <c r="H293" s="2821"/>
      <c r="I293" s="2972"/>
      <c r="J293" s="3393"/>
      <c r="K293" s="2801"/>
      <c r="L293" s="2797">
        <f>L288*SIN(L287)+SQRT((L264/2)^2-(L255/2)^2)</f>
        <v>32.181346128691999</v>
      </c>
      <c r="M293" s="2821"/>
      <c r="N293" s="2972"/>
      <c r="O293" s="2935"/>
      <c r="P293" s="2935"/>
      <c r="Q293" s="2904"/>
      <c r="R293" s="2973"/>
    </row>
    <row r="294" spans="1:18">
      <c r="A294" s="3092"/>
      <c r="B294" s="2813" t="s">
        <v>3174</v>
      </c>
      <c r="C294" s="2797"/>
      <c r="D294" s="2810"/>
      <c r="E294" s="3067"/>
      <c r="F294" s="2900"/>
      <c r="G294" s="2797">
        <f>C144*SIN(C149)+SQRT((C166/2)^2-(C148/2)^2)</f>
        <v>30.1113541453362</v>
      </c>
      <c r="H294" s="2821" t="str">
        <f>IF(G293&gt;G294,"不发生干涉","发生干涉！")</f>
        <v>不发生干涉</v>
      </c>
      <c r="I294" s="2972"/>
      <c r="J294" s="3393"/>
      <c r="K294" s="2801"/>
      <c r="L294" s="2797">
        <f>C144*SIN(C149)+SQRT((C167/2)^2-(C148/2)^2)</f>
        <v>30.118402383851802</v>
      </c>
      <c r="M294" s="2821" t="str">
        <f>IF(L293&gt;L294,"不发生干涉","发生干涉！")</f>
        <v>不发生干涉</v>
      </c>
      <c r="N294" s="2972"/>
      <c r="O294" s="2935"/>
      <c r="P294" s="2935"/>
      <c r="Q294" s="2904"/>
      <c r="R294" s="2973"/>
    </row>
    <row r="295" spans="1:18">
      <c r="A295" s="2807" t="s">
        <v>3175</v>
      </c>
      <c r="B295" s="2934" t="s">
        <v>3176</v>
      </c>
      <c r="C295" s="2797"/>
      <c r="D295" s="2810"/>
      <c r="E295" s="3067"/>
      <c r="F295" s="2900"/>
      <c r="G295" s="2797">
        <f>ATAN(2*SQRT((G166/2)^2-(G148/2)^2)/(C145*(C16-L253)*COS(C136)))</f>
        <v>0.59624123991651801</v>
      </c>
      <c r="H295" s="3387">
        <f>TAN(G295)-G295</f>
        <v>8.2391673726180101E-2</v>
      </c>
      <c r="I295" s="2809">
        <f>DEGREES(G295)</f>
        <v>34.162106618863703</v>
      </c>
      <c r="J295" s="3393"/>
      <c r="K295" s="2801"/>
      <c r="L295" s="2797">
        <f>ATAN(2*SQRT((G167/2)^2-(G148/2)^2)/(C145*(C16-L253)*COS(C136)))</f>
        <v>0.59624123991651801</v>
      </c>
      <c r="M295" s="3387">
        <f>TAN(L295)-L295</f>
        <v>8.2391673726180101E-2</v>
      </c>
      <c r="N295" s="2809">
        <f>DEGREES(L295)</f>
        <v>34.162106618863703</v>
      </c>
      <c r="O295" s="2935"/>
      <c r="P295" s="2935"/>
      <c r="Q295" s="2904"/>
      <c r="R295" s="2973"/>
    </row>
    <row r="296" spans="1:18">
      <c r="A296" s="2807" t="s">
        <v>3177</v>
      </c>
      <c r="B296" s="2801" t="s">
        <v>3178</v>
      </c>
      <c r="C296" s="2797"/>
      <c r="D296" s="2810"/>
      <c r="E296" s="3067"/>
      <c r="F296" s="2900"/>
      <c r="G296" s="3076">
        <f>G156-(H295-E136)*(C16-G253)/(2*TAN(C136))</f>
        <v>-0.78325165336026803</v>
      </c>
      <c r="H296" s="2821" t="str">
        <f>IF(G266&gt;=G296,"不发生干涉顶切","发生干涉顶切！")</f>
        <v>不发生干涉顶切</v>
      </c>
      <c r="I296" s="2972"/>
      <c r="J296" s="3393"/>
      <c r="K296" s="2801"/>
      <c r="L296" s="3076">
        <f>G156-(M295-E136)*(C16-L253)/(2*TAN(C136))</f>
        <v>-0.78325165336026803</v>
      </c>
      <c r="M296" s="2821" t="str">
        <f>IF(L266&gt;=L296,"不发生干涉顶切","发生干涉顶切！")</f>
        <v>不发生干涉顶切</v>
      </c>
      <c r="N296" s="2972"/>
      <c r="O296" s="2935"/>
      <c r="P296" s="2935"/>
      <c r="Q296" s="2904"/>
      <c r="R296" s="2973"/>
    </row>
    <row r="297" spans="1:18">
      <c r="A297" s="2807" t="s">
        <v>3179</v>
      </c>
      <c r="B297" s="2934" t="s">
        <v>3180</v>
      </c>
      <c r="C297" s="2797"/>
      <c r="D297" s="2810"/>
      <c r="E297" s="3067"/>
      <c r="F297" s="2900"/>
      <c r="G297" s="2797">
        <f>IF(G253*COS(C136)&gt;G253+2*(G257+G296),PI()/2,ACOS(G253*COS(C136)/(G253+2*(G257+G296))))</f>
        <v>0.47174076144718402</v>
      </c>
      <c r="H297" s="2810"/>
      <c r="I297" s="2809">
        <f>DEGREES(G297)</f>
        <v>27.028754655211401</v>
      </c>
      <c r="J297" s="3393"/>
      <c r="K297" s="2801"/>
      <c r="L297" s="2797">
        <f>IF(L253*COS(C136)&gt;L253+2*(L257+L296),PI()/2,ACOS(L253*COS(C136)/(L253+2*(L257+L296))))</f>
        <v>0.47174076144718402</v>
      </c>
      <c r="M297" s="2821"/>
      <c r="N297" s="2809">
        <f>DEGREES(L297)</f>
        <v>27.028754655211401</v>
      </c>
      <c r="O297" s="2935"/>
      <c r="P297" s="2935"/>
      <c r="Q297" s="2904"/>
      <c r="R297" s="2973"/>
    </row>
    <row r="298" spans="1:18">
      <c r="A298" s="2807"/>
      <c r="B298" s="2934" t="s">
        <v>3181</v>
      </c>
      <c r="C298" s="2797"/>
      <c r="D298" s="2810"/>
      <c r="E298" s="3067"/>
      <c r="F298" s="2900"/>
      <c r="G298" s="2797">
        <f>ACOS(G255/I298)</f>
        <v>0</v>
      </c>
      <c r="H298" s="2810"/>
      <c r="I298" s="2844">
        <f>IF(G265&lt;G255,G255,G265)</f>
        <v>47.924323660081299</v>
      </c>
      <c r="J298" s="3393"/>
      <c r="K298" s="2801"/>
      <c r="L298" s="2797">
        <f>ACOS(L255/N298)</f>
        <v>0</v>
      </c>
      <c r="M298" s="2821"/>
      <c r="N298" s="2844">
        <f>IF(L265&lt;L255,L255,L265)</f>
        <v>47.924323660081299</v>
      </c>
      <c r="O298" s="2935"/>
      <c r="P298" s="2935"/>
      <c r="Q298" s="2904"/>
      <c r="R298" s="2973"/>
    </row>
    <row r="299" spans="1:18">
      <c r="A299" s="2807" t="s">
        <v>3182</v>
      </c>
      <c r="B299" s="3042" t="s">
        <v>3183</v>
      </c>
      <c r="C299" s="2810" t="s">
        <v>3184</v>
      </c>
      <c r="D299" s="2810"/>
      <c r="E299" s="2935"/>
      <c r="F299" s="2900"/>
      <c r="G299" s="2935">
        <f>ROUND(1/(2*PI())*(G253*(TAN(G270)-TAN(G287))-C16*(TAN(G177)-TAN(G287))),3)</f>
        <v>1.581</v>
      </c>
      <c r="H299" s="2810"/>
      <c r="I299" s="2935"/>
      <c r="J299" s="2935"/>
      <c r="K299" s="2801"/>
      <c r="L299" s="2935">
        <f>ROUND(1/(2*PI())*(L253*(TAN(L270)-TAN(L287))-C16*(TAN(G178)-TAN(L287))),3)</f>
        <v>1.5820000000000001</v>
      </c>
      <c r="M299" s="2821"/>
      <c r="N299" s="2972"/>
      <c r="O299" s="2935"/>
      <c r="P299" s="2935"/>
      <c r="Q299" s="2904"/>
      <c r="R299" s="2973"/>
    </row>
    <row r="300" spans="1:18">
      <c r="A300" s="2807" t="s">
        <v>3185</v>
      </c>
      <c r="B300" s="3042" t="s">
        <v>3186</v>
      </c>
      <c r="C300" s="2810" t="s">
        <v>3184</v>
      </c>
      <c r="D300" s="2810"/>
      <c r="E300" s="3067"/>
      <c r="F300" s="2900"/>
      <c r="G300" s="2935">
        <f>C208</f>
        <v>1.3480000000000001</v>
      </c>
      <c r="H300" s="2821" t="str">
        <f>IF(G299&gt;G300,"符合要求","不符合要求！")</f>
        <v>符合要求</v>
      </c>
      <c r="I300" s="2935"/>
      <c r="J300" s="3393"/>
      <c r="K300" s="2801"/>
      <c r="L300" s="2935">
        <f>C209</f>
        <v>1.349</v>
      </c>
      <c r="M300" s="2821" t="str">
        <f>IF(L299&gt;L300,"符合要求","不符合要求！")</f>
        <v>符合要求</v>
      </c>
      <c r="N300" s="2972"/>
      <c r="O300" s="2935"/>
      <c r="P300" s="2935"/>
      <c r="Q300" s="2904"/>
      <c r="R300" s="2973"/>
    </row>
    <row r="301" spans="1:18">
      <c r="A301" s="2842"/>
      <c r="B301" s="2872"/>
      <c r="C301" s="2791"/>
      <c r="D301" s="2842"/>
      <c r="E301" s="3269"/>
      <c r="F301" s="2820"/>
      <c r="G301" s="2926"/>
      <c r="H301" s="2842"/>
      <c r="I301" s="3394"/>
      <c r="J301" s="2791"/>
      <c r="K301" s="2920"/>
      <c r="L301" s="2791"/>
      <c r="M301" s="3100"/>
      <c r="N301" s="2972"/>
      <c r="O301" s="2935"/>
      <c r="P301" s="2935"/>
      <c r="Q301" s="3214"/>
      <c r="R301" s="2973"/>
    </row>
    <row r="302" spans="1:18">
      <c r="A302" s="2956" t="s">
        <v>3187</v>
      </c>
      <c r="B302" s="2806"/>
      <c r="C302" s="2797"/>
      <c r="D302" s="2900"/>
      <c r="E302" s="2797"/>
      <c r="F302" s="2817"/>
      <c r="G302" s="2797"/>
      <c r="H302" s="2965"/>
      <c r="I302" s="2972"/>
      <c r="J302" s="2892"/>
      <c r="K302" s="2807"/>
      <c r="L302" s="2817"/>
    </row>
    <row r="303" spans="1:18">
      <c r="A303" s="2803" t="s">
        <v>3188</v>
      </c>
      <c r="B303" s="2801"/>
      <c r="C303" s="2797">
        <f>PI()*C146/2</f>
        <v>89.535390627309098</v>
      </c>
      <c r="D303" s="2953"/>
      <c r="E303" s="2848"/>
      <c r="F303" s="2801" t="s">
        <v>3189</v>
      </c>
      <c r="G303" s="2797">
        <f>PI()*G146/2</f>
        <v>169.64600329384899</v>
      </c>
      <c r="H303" s="2900"/>
      <c r="I303" s="2972"/>
      <c r="J303" s="2892"/>
      <c r="K303" s="2807"/>
      <c r="L303" s="2817"/>
    </row>
    <row r="304" spans="1:18">
      <c r="A304" s="2803" t="s">
        <v>3190</v>
      </c>
      <c r="B304" s="2801" t="s">
        <v>3191</v>
      </c>
      <c r="C304" s="2797">
        <f>IF(AND(C303&gt;20,C303&lt;=32,C44=3),5,IF(AND(C303&gt;32,C303&lt;=50,C44=3),5.5,IF(AND(C303&gt;50,C303&lt;=80,C44=3),6,IF(AND(C303&gt;80,C303&lt;=160,C44=3),8,IF(AND(C303&gt;160,C303&lt;=315,C44=3),11,IF(AND(C303&gt;315,C303&lt;=630,C44=3),16,IF(AND(C303&gt;630,C303&lt;=1000,C44=3),20,C305)))))))</f>
        <v>45</v>
      </c>
      <c r="D304" s="2953"/>
      <c r="E304" s="2848"/>
      <c r="F304" s="2855" t="s">
        <v>3192</v>
      </c>
      <c r="G304" s="2797">
        <f>IF(AND(G303&gt;20,G303&lt;=32,C44=3),5,IF(AND(G303&gt;32,G303&lt;=50,C44=3),5.5,IF(AND(G303&gt;50,G303&lt;=80,C44=3),6,IF(AND(G303&gt;80,G303&lt;=160,C44=3),8,IF(AND(G303&gt;160,G303&lt;=315,C44=3),11,IF(AND(G303&gt;315,G303&lt;=630,C44=3),16,IF(AND(G303&gt;630,G303&lt;=1000,C44=3),20,G305)))))))</f>
        <v>63</v>
      </c>
      <c r="H304" s="2900"/>
      <c r="I304" s="2972"/>
      <c r="J304" s="2892"/>
      <c r="K304" s="2807"/>
      <c r="L304" s="2817"/>
    </row>
    <row r="305" spans="1:12">
      <c r="A305" s="2803"/>
      <c r="B305" s="2801"/>
      <c r="C305" s="2809">
        <f>IF(AND(C303&gt;20,C303&lt;=32,C44=4),8,IF(AND(C303&gt;32,C303&lt;=50,C44=4),9,IF(AND(C303&gt;50,C303&lt;=80,C44=4),10,IF(AND(C303&gt;80,C303&lt;=160,C44=4),12,IF(AND(C303&gt;160,C303&lt;=315,C44=4),18,IF(AND(C303&gt;315,C303&lt;=630,C44=4),25,IF(AND(C303&gt;630,C303&lt;=1000,C44=4),32,C306)))))))</f>
        <v>45</v>
      </c>
      <c r="D305" s="2953"/>
      <c r="E305" s="2848"/>
      <c r="F305" s="2855"/>
      <c r="G305" s="2809">
        <f>IF(AND(G303&gt;20,G303&lt;=32,C44=4),8,IF(AND(G303&gt;32,G303&lt;=50,C44=4),9,IF(AND(3,G303&lt;=80,C44=4),10,IF(AND(G303&gt;80,G303&lt;=160,C44=4),12,IF(AND(G303&gt;160,G303&lt;=315,C44=4),18,IF(AND(G303&gt;315,G303&lt;=630,C44=4),25,IF(AND(G303&gt;630,G303&lt;=1000,C44=4),32,G306)))))))</f>
        <v>63</v>
      </c>
      <c r="H305" s="2900"/>
      <c r="I305" s="2972"/>
      <c r="J305" s="2892"/>
      <c r="K305" s="2807"/>
      <c r="L305" s="2817"/>
    </row>
    <row r="306" spans="1:12">
      <c r="A306" s="2966"/>
      <c r="B306" s="2801"/>
      <c r="C306" s="2809">
        <f>IF(AND(C303&gt;20,C303&lt;=32,C44=5),12,IF(AND(C303&gt;32,C303&lt;=50,C44=5),14,IF(AND(C303&gt;50,C303&lt;=80,C44=5),16,IF(AND(C303&gt;80,C303&lt;=160,C44=5),20,IF(AND(C303&gt;160,C303&lt;=315,C44=5),28,IF(AND(C303&gt;315,C303&lt;=630,C44=5),40,IF(AND(C303&gt;630,C303&lt;=1000,C44=5),50,C307)))))))</f>
        <v>45</v>
      </c>
      <c r="D306" s="2953"/>
      <c r="E306" s="2848"/>
      <c r="F306" s="2855"/>
      <c r="G306" s="2809">
        <f>IF(AND(G303&gt;20,G303&lt;=32,C44=5),12,IF(AND(G303&gt;32,G303&lt;=50,C44=5),14,IF(AND(G303&gt;50,G303&lt;=80,C44=5),16,IF(AND(G303&gt;80,G303&lt;=160,C44=5),20,IF(AND(G303&gt;160,G303&lt;=315,C44=5),28,IF(AND(G303&gt;315,G303&lt;=630,C44=5),40,IF(AND(G303&gt;630,G303&lt;=1000,C44=5),50,G307)))))))</f>
        <v>63</v>
      </c>
      <c r="H306" s="2900"/>
      <c r="I306" s="2972"/>
      <c r="J306" s="2892"/>
      <c r="K306" s="2807"/>
      <c r="L306" s="2817"/>
    </row>
    <row r="307" spans="1:12">
      <c r="A307" s="2966"/>
      <c r="B307" s="2801"/>
      <c r="C307" s="2809">
        <f>IF(AND(C303&gt;20,C303&lt;=32,C44=6),20,IF(AND(C303&gt;32,C303&lt;=50,C44=6),22,IF(AND(C303&gt;50,C303&lt;=80,C44=6),25,IF(AND(C303&gt;80,C303&lt;=160,C44=6),32,IF(AND(C303&gt;160,C303&lt;=315,C44=6),45,IF(AND(C303&gt;315,C303&lt;=630,C44=6),63,IF(AND(C303&gt;630,C303&lt;=1000,C44=6),80,C308)))))))</f>
        <v>45</v>
      </c>
      <c r="D307" s="2953"/>
      <c r="E307" s="2848"/>
      <c r="F307" s="2818"/>
      <c r="G307" s="2809">
        <f>IF(AND(G303&gt;20,G303&lt;=32,C44=6),20,IF(AND(G303&gt;32,G303&lt;=50,C44=6),22,IF(AND(G303&gt;50,G303&lt;=80,C44=6),25,IF(AND(G303&gt;80,G303&lt;=160,C44=6),32,IF(AND(G303&gt;160,G303&lt;=315,C44=6),45,IF(AND(G303&gt;315,G303&lt;=630,C44=6),63,IF(AND(G303&gt;630,G303&lt;=1000,C44=6),80,G308)))))))</f>
        <v>63</v>
      </c>
      <c r="H307" s="2900"/>
      <c r="I307" s="2972"/>
      <c r="J307" s="2892"/>
      <c r="K307" s="2807"/>
      <c r="L307" s="2817"/>
    </row>
    <row r="308" spans="1:12">
      <c r="A308" s="2966"/>
      <c r="B308" s="2801"/>
      <c r="C308" s="2809">
        <f>IF(AND(C303&gt;20,C303&lt;=32,C44=7),28,IF(AND(C303&gt;32,C303&lt;=50,C44=7),32,IF(AND(C303&gt;50,C303&lt;=80,C44=7),36,IF(AND(C303&gt;80,C303&lt;=160,C44=7),45,IF(AND(C303&gt;160,C303&lt;=315,C44=7),63,IF(AND(C303&gt;315,C303&lt;=630,C44=7),90,IF(AND(C303&gt;630,C303&lt;=1000,C44=7),112,C309)))))))</f>
        <v>45</v>
      </c>
      <c r="D308" s="2953"/>
      <c r="E308" s="2848"/>
      <c r="F308" s="2818"/>
      <c r="G308" s="2809">
        <f>IF(AND(G303&gt;20,G303&lt;=32,C44=7),28,IF(AND(G303&gt;32,G303&lt;=50,C44=7),32,IF(AND(G303&gt;50,G303&lt;=80,C44=7),36,IF(AND(G303&gt;80,G303&lt;=160,C44=7),45,IF(AND(G303&gt;160,G303&lt;=315,C44=7),63,IF(AND(G303&gt;315,G303&lt;=630,C44=7),90,IF(AND(G303&gt;630,G303&lt;=1000,C44=7),112,G309)))))))</f>
        <v>63</v>
      </c>
      <c r="H308" s="2900"/>
      <c r="I308" s="2972"/>
      <c r="J308" s="2892"/>
      <c r="K308" s="2807"/>
      <c r="L308" s="2817"/>
    </row>
    <row r="309" spans="1:12">
      <c r="A309" s="2803"/>
      <c r="B309" s="2801"/>
      <c r="C309" s="2809" t="str">
        <f>IF(AND(C303&gt;20,C303&lt;=32,C44=8),40,IF(AND(C303&gt;32,C303&lt;=50,C44=8),45,IF(AND(C303&gt;50,C303&lt;=80,C44=8),50,IF(AND(C303&gt;80,C303&lt;=160,C44=8),63,IF(AND(C303&gt;160,C303&lt;=315,C44=8),90,IF(AND(C303&gt;315,C303&lt;=630,C44=8),125,IF(AND(C303&gt;630,C303&lt;=1000,C44=8),160,"*")))))))</f>
        <v>*</v>
      </c>
      <c r="D309" s="2953"/>
      <c r="E309" s="2848"/>
      <c r="F309" s="2818"/>
      <c r="G309" s="2809" t="str">
        <f>IF(AND(G303&gt;20,G303&lt;=32,C44=8),40,IF(AND(G303&gt;32,G303&lt;=50,C44=8),45,IF(AND(G303&gt;50,G303&lt;=80,C44=8),50,IF(AND(G303&gt;80,G303&lt;=160,C44=8),63,IF(AND(G303&gt;160,G303&lt;=315,C44=8),90,IF(AND(G303&gt;315,G303&lt;=630,C44=8),125,IF(AND(G303&gt;630,G303&lt;=1000,C44=8),160,"*")))))))</f>
        <v>*</v>
      </c>
      <c r="H309" s="2900"/>
      <c r="I309" s="2972"/>
      <c r="J309" s="2892"/>
      <c r="K309" s="2807"/>
      <c r="L309" s="2817"/>
    </row>
    <row r="310" spans="1:12">
      <c r="A310" s="2858" t="s">
        <v>3193</v>
      </c>
      <c r="B310" s="2801" t="s">
        <v>3194</v>
      </c>
      <c r="C310" s="2797">
        <f>IF(AND(C146&lt;=125,C17&gt;=1,C17&lt;=3.5,C44=3),6,IF(AND(C146&lt;=125,C17&gt;3.5,C17&lt;=6.3,C44=3),7,IF(AND(C146&lt;=125,C17&gt;6.3,C17&lt;=10,C44=3),8,IF(AND(C146&gt;125,C146&lt;=400,C17&gt;=1,C17&lt;=3.5,C44=3),9,IF(AND(C146&gt;125,C146&lt;=400,C17&gt;3.5,C17&lt;=6.3,C44=3),10,IF(AND(C146&gt;125,C146&lt;=400,C17&gt;6.3,C17&lt;=10,C44=3),11,C311))))))</f>
        <v>36</v>
      </c>
      <c r="D310" s="2953"/>
      <c r="E310" s="2797"/>
      <c r="F310" s="2801" t="s">
        <v>3195</v>
      </c>
      <c r="G310" s="2797">
        <f>IF(AND(G146&lt;=125,G17&gt;=1,G17&lt;=3.5,G44=3),6,IF(AND(G146&lt;=125,G17&gt;3.5,G17&lt;=6.3,G44=3),7,IF(AND(G146&lt;=125,G17&gt;6.3,G17&lt;=10,G44=3),8,IF(AND(G146&gt;125,G146&lt;=400,G17&gt;=1,G17&lt;=3.5,G44=3),9,IF(AND(G146&gt;125,G146&lt;=400,G17&gt;3.5,G17&lt;=6.3,G44=3),10,IF(AND(G146&gt;125,G146&lt;=400,G17&gt;6.3,G17&lt;=10,G44=3),11,G311))))))</f>
        <v>36</v>
      </c>
      <c r="H310" s="2900"/>
      <c r="I310" s="2972"/>
      <c r="J310" s="2892"/>
      <c r="K310" s="2807"/>
      <c r="L310" s="2817"/>
    </row>
    <row r="311" spans="1:12">
      <c r="A311" s="2803"/>
      <c r="B311" s="2801"/>
      <c r="C311" s="2809">
        <f>IF(AND(C146&gt;400,C146&lt;=800,C17&gt;=1,C17&lt;=3.5,C44=3),11,IF(AND(C146&gt;400,C146&lt;=800,C17&gt;3.5,C17&lt;=6.3,C44=3),13,IF(AND(C146&gt;400,C146&lt;=800,C17&gt;6.3,C17&lt;=10,C44=3),14,IF(AND(C146&gt;800,C146&lt;=1600,C17&gt;=1,C17&lt;=3.5,C44=3),13,IF(AND(C146&gt;800,C146&lt;=1600,C17&gt;3.5,C17&lt;=6.3,C44=3),14,IF(AND(C146&gt;800,C146&lt;=1600,C17&gt;6.3,C17&lt;=10,C44=3),16,C312))))))</f>
        <v>36</v>
      </c>
      <c r="D311" s="2953"/>
      <c r="E311" s="2848"/>
      <c r="F311" s="2818"/>
      <c r="G311" s="2809">
        <f>IF(AND(G146&gt;400,G146&lt;=800,G17&gt;=1,G17&lt;=3.5,G44=3),11,IF(AND(G146&gt;400,G146&lt;=800,G17&gt;3.5,G17&lt;=6.3,G44=3),13,IF(AND(G146&gt;400,G146&lt;=800,G17&gt;6.3,G17&lt;=10,G44=3),14,IF(AND(G146&gt;800,G146&lt;=1600,G17&gt;=1,G17&lt;=3.5,G44=3),13,IF(AND(G146&gt;800,G146&lt;=1600,G17&gt;3.5,G17&lt;=6.3,G44=3),14,IF(AND(G146&gt;800,G146&lt;=1600,G17&gt;6.3,G17&lt;=10,G44=3),16,G312))))))</f>
        <v>36</v>
      </c>
      <c r="H311" s="2900"/>
      <c r="I311" s="2972"/>
      <c r="J311" s="2892"/>
      <c r="K311" s="2807"/>
      <c r="L311" s="2817"/>
    </row>
    <row r="312" spans="1:12">
      <c r="A312" s="2803"/>
      <c r="B312" s="2801"/>
      <c r="C312" s="2809">
        <f>IF(AND(C146&lt;=125,C17&gt;=1,C17&lt;=3.5,C44=4),10,IF(AND(C146&lt;=125,C17&gt;3.5,C17&lt;=6.3,C44=4),11,IF(AND(C146&lt;=125,C17&gt;6.3,C17&lt;=10,C44=4),13,IF(AND(C146&gt;125,C146&lt;=400,C17&gt;=1,C17&lt;=3.5,C44=4),15,IF(AND(C146&gt;125,C146&lt;=400,C17&gt;3.5,C17&lt;=6.3,C44=4),16,IF(AND(C146&gt;125,C146&lt;=400,C17&gt;6.3,C17&lt;=10,C44=4),18,C313))))))</f>
        <v>36</v>
      </c>
      <c r="D312" s="2953"/>
      <c r="E312" s="2848"/>
      <c r="F312" s="2818"/>
      <c r="G312" s="2809">
        <f>IF(AND(G146&lt;=125,G17&gt;=1,G17&lt;=3.5,G44=4),10,IF(AND(G146&lt;=125,G17&gt;3.5,G17&lt;=6.3,G44=4),11,IF(AND(G146&lt;=125,G17&gt;6.3,G17&lt;=10,G44=4),13,IF(AND(G146&gt;125,G146&lt;=400,G17&gt;=1,G17&lt;=3.5,G44=4),15,IF(AND(G146&gt;125,G146&lt;=400,G17&gt;3.5,G17&lt;=6.3,G44=4),16,IF(AND(G146&gt;125,G146&lt;=400,G17&gt;6.3,G17&lt;=10,G44=4),18,G313))))))</f>
        <v>36</v>
      </c>
      <c r="H312" s="2900"/>
      <c r="I312" s="2972"/>
      <c r="J312" s="2892"/>
      <c r="K312" s="2807"/>
      <c r="L312" s="2817"/>
    </row>
    <row r="313" spans="1:12">
      <c r="A313" s="2803"/>
      <c r="B313" s="2801"/>
      <c r="C313" s="2809">
        <f>IF(AND(C146&gt;400,C146&lt;=800,C17&gt;=1,C17&lt;=3.5,C44=4),18,IF(AND(C146&gt;400,C146&lt;=800,C17&gt;3.5,C17&lt;=6.3,C44=4),20,IF(AND(C146&gt;400,C146&lt;=800,C17&gt;6.3,C17&lt;=10,C44=4),22,IF(AND(C146&gt;800,C146&lt;=1600,C17&gt;=1,C17&lt;=3.5,C44=4),20,IF(AND(C146&gt;800,C146&lt;=1600,C17&gt;3.5,C17&lt;=6.3,C44=4),22,IF(AND(C146&gt;800,C146&lt;=1600,C17&gt;6.3,C17&lt;=10,C44=4),25,C314))))))</f>
        <v>36</v>
      </c>
      <c r="D313" s="2953"/>
      <c r="E313" s="2848"/>
      <c r="F313" s="2818"/>
      <c r="G313" s="2809">
        <f>IF(AND(G146&gt;400,G146&lt;=800,G17&gt;=1,G17&lt;=3.5,G44=4),18,IF(AND(G146&gt;400,G146&lt;=800,G17&gt;3.5,G17&lt;=6.3,G44=4),20,IF(AND(G146&gt;400,G146&lt;=800,G17&gt;6.3,G17&lt;=10,G44=4),22,IF(AND(G146&gt;800,G146&lt;=1600,G17&gt;=1,G17&lt;=3.5,G44=4),20,IF(AND(G146&gt;800,G146&lt;=1600,G17&gt;3.5,G17&lt;=6.3,G44=4),22,IF(AND(G146&gt;800,G146&lt;=1600,G17&gt;6.3,G17&lt;=10,G44=4),25,G314))))))</f>
        <v>36</v>
      </c>
      <c r="H313" s="2900"/>
      <c r="I313" s="2972"/>
      <c r="J313" s="2892"/>
      <c r="K313" s="2807"/>
      <c r="L313" s="2817"/>
    </row>
    <row r="314" spans="1:12">
      <c r="A314" s="2803"/>
      <c r="B314" s="2801"/>
      <c r="C314" s="2809">
        <f>IF(AND(C146&lt;=125,C17&gt;=1,C17&lt;=3.5,C44=5),16,IF(AND(C146&lt;=125,C17&gt;3.5,C17&lt;=6.3,C44=5),18,IF(AND(C146&lt;=125,C17&gt;6.3,C17&lt;=10,C44=5),20,IF(AND(C146&gt;125,C146&lt;=400,C17&gt;=1,C17&lt;=3.5,C44=5),22,IF(AND(C146&gt;125,C146&lt;=400,C17&gt;3.5,C17&lt;=6.3,C44=5),25,IF(AND(C146&gt;125,C146&lt;=400,C17&gt;6.3,C17&lt;=10,C44=5),28,C315))))))</f>
        <v>36</v>
      </c>
      <c r="D314" s="2953"/>
      <c r="E314" s="2848"/>
      <c r="F314" s="2818"/>
      <c r="G314" s="2809">
        <f>IF(AND(G146&lt;=125,G17&gt;=1,G17&lt;=3.5,G44=5),16,IF(AND(G146&lt;=125,G17&gt;3.5,G17&lt;=6.3,G44=5),18,IF(AND(G146&lt;=125,G17&gt;6.3,G17&lt;=10,G44=5),20,IF(AND(G146&gt;125,G146&lt;=400,G17&gt;=1,G17&lt;=3.5,G44=5),22,IF(AND(G146&gt;125,G146&lt;=400,G17&gt;3.5,G17&lt;=6.3,G44=5),25,IF(AND(G146&gt;125,G146&lt;=400,G17&gt;6.3,G17&lt;=10,G44=5),28,G315))))))</f>
        <v>36</v>
      </c>
      <c r="H314" s="2900"/>
      <c r="I314" s="2972"/>
      <c r="J314" s="2892"/>
      <c r="K314" s="2807"/>
      <c r="L314" s="2817"/>
    </row>
    <row r="315" spans="1:12">
      <c r="A315" s="2803"/>
      <c r="B315" s="2801"/>
      <c r="C315" s="2809">
        <f>IF(AND(C146&gt;400,C146&lt;=800,C17&gt;=1,C17&lt;=3.5,C44=5),28,IF(AND(C146&gt;400,C146&lt;=800,C17&gt;3.5,C17&lt;=6.3,C44=5),32,IF(AND(C146&gt;400,C146&lt;=800,C17&gt;6.3,C17&lt;=10,C44=5),36,IF(AND(C146&gt;800,C146&lt;=1600,C17&gt;=1,C17&lt;=3.5,C44=5),32,IF(AND(C146&gt;800,C146&lt;=1600,C17&gt;3.5,C17&lt;=6.3,C44=5),36,IF(AND(C146&gt;800,C146&lt;=1600,C17&gt;6.5,C17&lt;=10,C44=5),40,C316))))))</f>
        <v>36</v>
      </c>
      <c r="D315" s="2953"/>
      <c r="E315" s="2848"/>
      <c r="F315" s="2818"/>
      <c r="G315" s="2809">
        <f>IF(AND(G146&gt;400,G146&lt;=800,G17&gt;=1,G17&lt;=3.5,G44=5),28,IF(AND(G146&gt;400,G146&lt;=800,G17&gt;3.5,G17&lt;=6.3,G44=5),32,IF(AND(G146&gt;400,G146&lt;=800,G17&gt;6.3,G17&lt;=10,G44=5),36,IF(AND(G146&gt;800,G146&lt;=1600,G17&gt;=1,G17&lt;=3.5,G44=5),32,IF(AND(G146&gt;800,G146&lt;=1600,G17&gt;3.5,G17&lt;=6.3,G44=5),36,IF(AND(G146&gt;800,G146&lt;=1600,G17&gt;6.5,G17&lt;=10,G44=5),40,G316))))))</f>
        <v>36</v>
      </c>
      <c r="H315" s="2900"/>
      <c r="I315" s="2972"/>
      <c r="J315" s="2892"/>
      <c r="K315" s="2807"/>
      <c r="L315" s="2817"/>
    </row>
    <row r="316" spans="1:12">
      <c r="A316" s="2803"/>
      <c r="B316" s="2801"/>
      <c r="C316" s="2809">
        <f>IF(AND(C146&lt;=125,C17&gt;=1,C17&lt;=3.5,C44=6),25,IF(AND(C146&lt;=125,C17&gt;3.5,C17&lt;=6.3,C44=6),28,IF(AND(C146&lt;=125,C17&gt;6.3,C17&lt;=10,C44=6),32,IF(AND(C146&gt;125,C146&lt;=400,C17&gt;=1,C17&lt;=3.5,C44=6),36,IF(AND(C146&gt;125,C146&lt;=400,C17&gt;3.5,C17&lt;=6.3,C44=6),40,IF(AND(C146&gt;125,C146&lt;=400,C17&gt;6.3,C17&lt;=10,C44=6),45,C317))))))</f>
        <v>36</v>
      </c>
      <c r="D316" s="2953"/>
      <c r="E316" s="2848"/>
      <c r="F316" s="2818"/>
      <c r="G316" s="2809">
        <f>IF(AND(G146&lt;=125,G17&gt;=1,G17&lt;=3.5,G44=6),25,IF(AND(G146&lt;=125,G17&gt;3.5,G17&lt;=6.3,G44=6),28,IF(AND(G146&lt;=125,G17&gt;6.3,G17&lt;=10,G44=6),32,IF(AND(G146&gt;125,G146&lt;=400,G17&gt;=1,G17&lt;=3.5,G44=6),36,IF(AND(G146&gt;125,G146&lt;=400,G17&gt;3.5,G17&lt;=6.3,G44=6),40,IF(AND(G146&gt;125,G146&lt;=400,G17&gt;6.3,G17&lt;=10,G44=6),45,G317))))))</f>
        <v>36</v>
      </c>
      <c r="H316" s="2900"/>
      <c r="I316" s="2972"/>
      <c r="J316" s="2892"/>
      <c r="K316" s="2807"/>
      <c r="L316" s="2817"/>
    </row>
    <row r="317" spans="1:12">
      <c r="A317" s="2803"/>
      <c r="B317" s="2801"/>
      <c r="C317" s="2809">
        <f>IF(AND(C146&gt;400,C146&lt;=800,C17&gt;=1,C17&lt;=3.5,C44=6),45,IF(AND(C146&gt;400,C146&lt;=800,C17&gt;3.5,C17&lt;=6.3,C44=6),50,IF(AND(C146&gt;400,C146&lt;=800,C17&gt;6.3,C17&lt;=10,C44=6),56,IF(AND(C146&gt;800,C146&lt;=1600,C17&gt;=1,C17&lt;=3.5,C44=6),50,IF(AND(C146&gt;800,C146&lt;=1600,C17&gt;3.5,C17&lt;=6.3,C44=6),56,IF(AND(C146&gt;800,C146&lt;=1600,C17&gt;6.3,C17&lt;=10,C44=6),63,C318))))))</f>
        <v>36</v>
      </c>
      <c r="D317" s="2953"/>
      <c r="E317" s="2848"/>
      <c r="F317" s="2818"/>
      <c r="G317" s="2809">
        <f>IF(AND(G146&gt;400,G146&lt;=800,G17&gt;=1,G17&lt;=3.5,G44=6),45,IF(AND(G146&gt;400,G146&lt;=800,G17&gt;3.5,G17&lt;=6.3,G44=6),50,IF(AND(G146&gt;400,G146&lt;=800,G17&gt;6.3,G17&lt;=10,G44=6),56,IF(AND(G146&gt;800,G146&lt;=1600,G17&gt;=1,G17&lt;=3.5,G44=6),50,IF(AND(G146&gt;800,G146&lt;=1600,G17&gt;3.5,G17&lt;=6.3,G44=6),56,IF(AND(G146&gt;800,G146&lt;=1600,G17&gt;6.3,G17&lt;=10,G44=6),63,G318))))))</f>
        <v>36</v>
      </c>
      <c r="H317" s="2900"/>
      <c r="I317" s="2972"/>
      <c r="J317" s="2892"/>
      <c r="K317" s="2807"/>
      <c r="L317" s="2817"/>
    </row>
    <row r="318" spans="1:12">
      <c r="A318" s="2803"/>
      <c r="B318" s="2801"/>
      <c r="C318" s="2809">
        <f>IF(AND(C146&lt;=125,C17&gt;=1,C17&lt;=3.5,C44=7),36,IF(AND(C146&lt;=125,C17&gt;3.5,C17&lt;=6.3,C44=7),40,IF(AND(C146&lt;=125,C17&gt;6.3,C17&lt;=10,C44=7),45,IF(AND(C146&gt;125,C146&lt;=400,C17&gt;=1,C17&lt;=3.5,C44=7),50,IF(AND(C146&gt;125,C146&lt;=400,C17&gt;3.5,C17&lt;=6.3,C44=7),56,IF(AND(C146&gt;125,C146&lt;=400,C17&gt;6.3,C17&lt;=10,C44=7),63,C319))))))</f>
        <v>36</v>
      </c>
      <c r="D318" s="2953"/>
      <c r="E318" s="2848"/>
      <c r="F318" s="2818"/>
      <c r="G318" s="2809">
        <f>IF(AND(G146&lt;=125,G17&gt;=1,G17&lt;=3.5,G44=7),36,IF(AND(G146&lt;=125,G17&gt;3.5,G17&lt;=6.3,G44=7),40,IF(AND(G146&lt;=125,G17&gt;6.3,G17&lt;=10,G44=7),45,IF(AND(G146&gt;125,G146&lt;=400,G17&gt;=1,G17&lt;=3.5,G44=7),50,IF(AND(G146&gt;125,G146&lt;=400,G17&gt;3.5,G17&lt;=6.3,G44=7),56,IF(AND(G146&gt;125,G146&lt;=400,G17&gt;6.3,G17&lt;=10,G44=7),63,G319))))))</f>
        <v>36</v>
      </c>
      <c r="H318" s="2900"/>
      <c r="I318" s="2972"/>
      <c r="J318" s="2892"/>
      <c r="K318" s="2807"/>
      <c r="L318" s="2817"/>
    </row>
    <row r="319" spans="1:12">
      <c r="A319" s="2803"/>
      <c r="B319" s="2801"/>
      <c r="C319" s="2809" t="str">
        <f>IF(AND(C146&gt;400,C146&lt;=800,C17&gt;=1,C17&lt;=3.5,C44=7),63,IF(AND(C146&gt;400,C146&lt;=800,C17&gt;3.5,C17&lt;=6.3,C44=7),71,IF(AND(C146&gt;400,C146&lt;=800,C17&gt;6.3,C17&lt;=10,C44=7),80,IF(AND(C146&gt;800,C146&lt;=1600,C17&gt;=1,C17&lt;=3.5,C44=7),71,IF(AND(C146&gt;800,C146&lt;=1600,C17&gt;3.5,C17&lt;=6.3,C44=7),80,IF(AND(C146&gt;800,C146&lt;=1600,C17&gt;6.3,C17&lt;=10,C44=7),90,C320))))))</f>
        <v>*</v>
      </c>
      <c r="D319" s="2953"/>
      <c r="E319" s="2848"/>
      <c r="F319" s="2818"/>
      <c r="G319" s="2809" t="str">
        <f>IF(AND(G146&gt;400,G146&lt;=800,G17&gt;=1,G17&lt;=3.5,G44=7),63,IF(AND(G146&gt;400,G146&lt;=800,G17&gt;3.5,G17&lt;=6.3,G44=7),71,IF(AND(G146&gt;400,G146&lt;=800,G17&gt;6.3,G17&lt;=10,G44=7),80,IF(AND(G146&gt;800,G146&lt;=1600,G17&gt;=1,G17&lt;=3.5,G44=7),71,IF(AND(G146&gt;800,G146&lt;=1600,G17&gt;3.5,G17&lt;=6.3,G44=7),80,IF(AND(G146&gt;800,G146&lt;=1600,G17&gt;6.3,G17&lt;=10,G44=7),90,G320))))))</f>
        <v>*</v>
      </c>
      <c r="H319" s="2900"/>
      <c r="I319" s="2972"/>
      <c r="J319" s="2892"/>
      <c r="K319" s="2807"/>
      <c r="L319" s="2817"/>
    </row>
    <row r="320" spans="1:12">
      <c r="A320" s="2803"/>
      <c r="B320" s="2801"/>
      <c r="C320" s="2809" t="str">
        <f>IF(AND(C146&lt;=125,C17&gt;=1,C17&lt;=3.5,C44=8),45,IF(AND(C146&lt;=125,C17&gt;3.5,C17&lt;=6.3,C44=8),50,IF(AND(C146&lt;=125,C17&gt;6.3,C17&lt;=10,C44=8),56,IF(AND(C146&gt;125,C146&lt;=400,C17&gt;=1,C17&lt;=3.5,C44=8),63,IF(AND(C146&gt;125,C146&lt;=400,C17&gt;3.5,C17&lt;=6.3,C44=8),71,IF(AND(C146&gt;125,C146&lt;=400,C17&gt;6.3,C17&lt;=10,C44=8),80,C321))))))</f>
        <v>*</v>
      </c>
      <c r="D320" s="2953"/>
      <c r="E320" s="2848"/>
      <c r="F320" s="2818"/>
      <c r="G320" s="2809" t="str">
        <f>IF(AND(G146&lt;=125,G17&gt;=1,G17&lt;=3.5,G44=8),45,IF(AND(G146&lt;=125,G17&gt;3.5,G17&lt;=6.3,G44=8),50,IF(AND(G146&lt;=125,G17&gt;6.3,G17&lt;=10,G44=8),56,IF(AND(G146&gt;125,G146&lt;=400,G17&gt;=1,G17&lt;=3.5,G44=8),63,IF(AND(G146&gt;125,G146&lt;=400,G17&gt;3.5,G17&lt;=6.3,G44=8),71,IF(AND(G146&gt;125,G146&lt;=400,G17&gt;6.3,G17&lt;=10,G44=8),80,G321))))))</f>
        <v>*</v>
      </c>
      <c r="H320" s="2900"/>
      <c r="I320" s="2972"/>
      <c r="J320" s="2892"/>
      <c r="K320" s="2797"/>
      <c r="L320" s="2817"/>
    </row>
    <row r="321" spans="1:12">
      <c r="A321" s="2803"/>
      <c r="B321" s="2801"/>
      <c r="C321" s="2809" t="str">
        <f>IF(AND(C146&gt;400,C146&lt;=800,C17&gt;=1,C17&lt;=3.5,C44=8),80,IF(AND(C146&gt;400,C146&lt;=800,C17&gt;3.5,C17&lt;=6.3,C44=8),90,IF(AND(C146&gt;400,C146&lt;=800,C17&gt;6.3,C17&lt;=10,C44=8),100,IF(AND(C146&gt;800,C146&lt;=1600,C17&gt;=1,C17&lt;=3.5,C44=8),90,IF(AND(C146&gt;800,C146&lt;=1600,C17&gt;3.5,C17&lt;=6.3,C44=8),100,IF(AND(C146&gt;800,C146&lt;=1600,C17&gt;6.3,C17&lt;=10,C44=8),112,"*"))))))</f>
        <v>*</v>
      </c>
      <c r="D321" s="2953"/>
      <c r="E321" s="2848"/>
      <c r="F321" s="2818"/>
      <c r="G321" s="2809" t="str">
        <f>IF(AND(G146&gt;400,G146&lt;=800,G17&gt;=1,G17&lt;=3.5,G44=8),80,IF(AND(G146&gt;400,G146&lt;=800,G17&gt;3.5,G17&lt;=6.3,G44=8),90,IF(AND(G146&gt;400,G146&lt;=800,G17&gt;6.3,G17&lt;=10,G44=8),100,IF(AND(G146&gt;800,G146&lt;=1600,G17&gt;=1,G17&lt;=3.5,G44=8),90,IF(AND(G146&gt;800,G146&lt;=1600,G17&gt;3.5,G17&lt;=6.3,G44=8),100,IF(AND(G146&gt;800,G146&lt;=1600,G17&gt;6.3,G17&lt;=10,G44=8),112,"*"))))))</f>
        <v>*</v>
      </c>
      <c r="H321" s="2900"/>
      <c r="I321" s="2972"/>
      <c r="J321" s="2892"/>
      <c r="K321" s="2797"/>
      <c r="L321" s="2817"/>
    </row>
    <row r="322" spans="1:12">
      <c r="A322" s="2857" t="s">
        <v>3196</v>
      </c>
      <c r="B322" s="2801" t="s">
        <v>3197</v>
      </c>
      <c r="C322" s="2797">
        <f>IF(AND(C146&lt;=125,C44=3),5,IF(AND(C146&lt;=125,C44=4),8,IF(AND(C146&lt;=125,C44=5),12,IF(AND(C146&lt;=125,C44=6),20,IF(AND(C146&lt;=125,C44=7),28,IF(AND(C146&lt;=125,C44=8),40,C323))))))</f>
        <v>28</v>
      </c>
      <c r="D322" s="2953"/>
      <c r="E322" s="2848"/>
      <c r="F322" s="2855" t="s">
        <v>3198</v>
      </c>
      <c r="G322" s="2797">
        <f>IF(AND(G146&lt;=125,G44=3),5,IF(AND(G146&lt;=125,G44=4),8,IF(AND(G146&lt;=125,G44=5),12,IF(AND(G146&lt;=125,G44=6),20,IF(AND(G146&lt;=125,G44=7),28,IF(AND(G146&lt;=125,G44=8),40,G323))))))</f>
        <v>28</v>
      </c>
      <c r="H322" s="2900"/>
      <c r="I322" s="2972"/>
      <c r="J322" s="2892"/>
      <c r="K322" s="2797"/>
      <c r="L322" s="2817"/>
    </row>
    <row r="323" spans="1:12">
      <c r="A323" s="2803"/>
      <c r="B323" s="2801"/>
      <c r="C323" s="2809" t="str">
        <f>IF(AND(C146&gt;125,C146&lt;=400,C44=3),6.5,IF(AND(C146&gt;125,C146&lt;=400,C44=4),10,IF(AND(C146&gt;125,C146&lt;=400,C44=5),16,IF(AND(C146&gt;125,C146&lt;=400,C44=6),25,IF(AND(C146&gt;125,C146&lt;=400,C44=7),36,IF(AND(C146&gt;125,C146&lt;=400,C44=8),50,C324))))))</f>
        <v>*</v>
      </c>
      <c r="D323" s="2953"/>
      <c r="E323" s="2848"/>
      <c r="F323" s="2818"/>
      <c r="G323" s="2809" t="str">
        <f>IF(AND(G146&gt;125,G146&lt;=400,G44=3),6.5,IF(AND(G146&gt;125,G146&lt;=400,G44=4),10,IF(AND(G146&gt;125,G146&lt;=400,G44=5),16,IF(AND(G146&gt;125,G146&lt;=400,G44=6),25,IF(AND(G146&gt;125,G146&lt;=400,G44=7),36,IF(AND(G146&gt;125,G146&lt;=400,G44=8),50,G324))))))</f>
        <v>*</v>
      </c>
      <c r="H323" s="2900"/>
      <c r="I323" s="2972"/>
      <c r="J323" s="2892"/>
      <c r="K323" s="2797"/>
      <c r="L323" s="2817"/>
    </row>
    <row r="324" spans="1:12">
      <c r="A324" s="2803"/>
      <c r="B324" s="2801"/>
      <c r="C324" s="2809" t="str">
        <f>IF(AND(C146&gt;400,C146&lt;=800,C44=3),8,IF(AND(C146&gt;400,C146&lt;=800,C44=4),12,IF(AND(C146&gt;400,C146&lt;=800,C44=5),20,IF(AND(C146&gt;400,C146&lt;=800,C44=6),32,IF(AND(C146&gt;400,C146&lt;=800,C44=7),45,IF(AND(C146&gt;400,C146&lt;=800,C44=8),63,C325))))))</f>
        <v>*</v>
      </c>
      <c r="D324" s="2953"/>
      <c r="E324" s="2848"/>
      <c r="F324" s="2818"/>
      <c r="G324" s="2809" t="str">
        <f>IF(AND(G146&gt;400,G146&lt;=800,G44=3),8,IF(AND(G146&gt;400,G146&lt;=800,G44=4),12,IF(AND(G146&gt;400,G146&lt;=800,G44=5),20,IF(AND(G146&gt;400,G146&lt;=800,G44=6),32,IF(AND(G146&gt;400,G146&lt;=800,G44=7),45,IF(AND(G146&gt;400,G146&lt;=800,G44=8),63,G325))))))</f>
        <v>*</v>
      </c>
      <c r="H324" s="2900"/>
      <c r="I324" s="2972"/>
      <c r="J324" s="2892"/>
      <c r="K324" s="2797"/>
      <c r="L324" s="2817"/>
    </row>
    <row r="325" spans="1:12">
      <c r="A325" s="2803"/>
      <c r="B325" s="2801"/>
      <c r="C325" s="2809" t="str">
        <f>IF(AND(C146&gt;800,C146&lt;=1600,C44=3),10,IF(AND(C146&gt;800,C146&lt;=1600,C44=4),16,IF(AND(C146&gt;800,C146&lt;=1600,C44=5),25,IF(AND(C146&gt;800,C146&lt;=1600,C44=6),40,IF(AND(C146&gt;800,C146&lt;=1600,C44=7),56,IF(AND(C146&gt;800,C146&lt;=1600,C44=8),80,"*"))))))</f>
        <v>*</v>
      </c>
      <c r="D325" s="2953"/>
      <c r="E325" s="2848"/>
      <c r="F325" s="2818"/>
      <c r="G325" s="2809" t="str">
        <f>IF(AND(G146&gt;800,G146&lt;=1600,G44=3),10,IF(AND(G146&gt;800,G146&lt;=1600,G44=4),16,IF(AND(G146&gt;800,G146&lt;=1600,G44=5),25,IF(AND(G146&gt;800,G146&lt;=1600,G44=6),40,IF(AND(G146&gt;800,G146&lt;=1600,G44=7),56,IF(AND(G146&gt;800,G146&lt;=1600,G44=8),80,"*"))))))</f>
        <v>*</v>
      </c>
      <c r="H325" s="2900"/>
      <c r="I325" s="2972"/>
      <c r="J325" s="2892"/>
      <c r="K325" s="2797"/>
      <c r="L325" s="2817"/>
    </row>
    <row r="326" spans="1:12">
      <c r="A326" s="2803" t="s">
        <v>3199</v>
      </c>
      <c r="B326" s="2855" t="s">
        <v>3200</v>
      </c>
      <c r="C326" s="2797">
        <f>IF(AND(C146&lt;=125,C17&gt;=1,C17&lt;=3.5,C45=3),2.5,IF(AND(C146&lt;=125,C17&gt;3.5,C17&lt;=6.3,C45=3),3.2,IF(AND(C146&lt;=125,C17&gt;6.3,C17&lt;=10,C45=3),3.6,IF(AND(C146&gt;125,C146&lt;=400,C17&gt;=1,C17&lt;=3.5,C45=3),2.8,IF(AND(C146&gt;125,C146&lt;=400,C17&gt;3.5,C17&lt;=6.3,C45=3),3.6,IF(AND(C146&gt;125,C146&lt;=400,C17&gt;6.3,C17&lt;=10,C45=3),4,C327))))))</f>
        <v>14</v>
      </c>
      <c r="D326" s="2953"/>
      <c r="E326" s="2797"/>
      <c r="F326" s="2855" t="s">
        <v>3201</v>
      </c>
      <c r="G326" s="2797">
        <f>IF(AND(G146&lt;=125,G17&gt;=1,G17&lt;=3.5,G45=3),2.5,IF(AND(G146&lt;=125,G17&gt;3.5,G17&lt;=6.3,G45=3),3.2,IF(AND(G146&lt;=125,G17&gt;6.3,G17&lt;=10,G45=3),3.6,IF(AND(G146&gt;125,G146&lt;=400,G17&gt;=1,G17&lt;=3.5,G45=3),2.8,IF(AND(G146&gt;125,G146&lt;=400,G17&gt;3.5,G17&lt;=6.3,G45=3),3.6,IF(AND(G146&gt;125,G146&lt;=400,G17&gt;6.3,G17&lt;=10,G45=3),4,G327))))))</f>
        <v>14</v>
      </c>
      <c r="H326" s="2900"/>
      <c r="I326" s="2972"/>
      <c r="J326" s="2892"/>
      <c r="K326" s="2797"/>
      <c r="L326" s="2817"/>
    </row>
    <row r="327" spans="1:12">
      <c r="A327" s="2803"/>
      <c r="B327" s="2855"/>
      <c r="C327" s="2809">
        <f>IF(AND(C146&gt;400,C146&lt;=800,C17&gt;=1,C17&lt;=3.5,C45=3),3.2,IF(AND(C146&gt;400,C146&lt;=800,C17&gt;3.5,C17&lt;=6.3,C45=3),3.6,IF(AND(C146&gt;400,C146&lt;=800,C17&gt;6.3,C17&lt;=10,C45=3),4.5,IF(AND(C146&gt;800,C146&lt;=1600,C17&gt;=1,C17&lt;=3.5,C45=3),3.6,IF(AND(C146&gt;800,C146&lt;=1600,C17&gt;3.5,C17&lt;=6.3,C45=3),4,IF(AND(C146&gt;800,C146&lt;=1600,C17&gt;6.3,C17&lt;=10,C45=3),4.5,C328))))))</f>
        <v>14</v>
      </c>
      <c r="D327" s="2967"/>
      <c r="E327" s="2809">
        <v>2</v>
      </c>
      <c r="F327" s="2968"/>
      <c r="G327" s="2809">
        <f>IF(AND(G146&gt;400,G146&lt;=800,G17&gt;=1,G17&lt;=3.5,G45=3),3.2,IF(AND(G146&gt;400,G146&lt;=800,G17&gt;3.5,G17&lt;=6.3,G45=3),3.6,IF(AND(G146&gt;400,G146&lt;=800,G17&gt;6.3,G17&lt;=10,G45=3),4.5,IF(AND(G146&gt;800,G146&lt;=1600,G17&gt;=1,G17&lt;=3.5,G45=3),3.6,IF(AND(G146&gt;800,G146&lt;=1600,G17&gt;3.5,G17&lt;=6.3,G45=3),4,IF(AND(G146&gt;800,G146&lt;=1600,G17&gt;6.3,G17&lt;=10,G45=3),4.5,G328))))))</f>
        <v>14</v>
      </c>
      <c r="H327" s="2900"/>
      <c r="I327" s="2972"/>
      <c r="J327" s="2892"/>
      <c r="K327" s="2797"/>
      <c r="L327" s="2817"/>
    </row>
    <row r="328" spans="1:12">
      <c r="A328" s="2803"/>
      <c r="B328" s="2855"/>
      <c r="C328" s="2809">
        <f>IF(AND(C146&lt;=125,C17&gt;=1,C17&lt;=3.5,C45=4),4,IF(AND(C146&lt;=125,C17&gt;3.5,C17&lt;=6.3,C45=4),5,IF(AND(C146&lt;=125,C17&gt;6.3,C17&lt;=10,C45=4),5.5,IF(AND(C146&gt;125,C146&lt;=400,C17&gt;=1,C17&lt;=3.5,C45=4),4.5,IF(AND(C146&gt;125,C146&lt;=400,C17&gt;3.5,C17&lt;=6.3,C45=4),5.5,IF(AND(C146&gt;125,C146&lt;=400,C17&gt;6.3,C17&lt;=10,C45=4),6,C329))))))</f>
        <v>14</v>
      </c>
      <c r="D328" s="2967"/>
      <c r="E328" s="2809">
        <v>1</v>
      </c>
      <c r="F328" s="2968"/>
      <c r="G328" s="2809">
        <f>IF(AND(G146&lt;=125,G17&gt;=1,G17&lt;=3.5,G45=4),4,IF(AND(G146&lt;=125,G17&gt;3.5,G17&lt;=6.3,G45=4),5,IF(AND(G146&lt;=125,G17&gt;6.3,G17&lt;=10,G45=4),5.5,IF(AND(G146&gt;125,G146&lt;=400,G17&gt;=1,G17&lt;=3.5,G45=4),4.5,IF(AND(G146&gt;125,G146&lt;=400,G17&gt;3.5,G17&lt;=6.3,G45=4),5.5,IF(AND(G146&gt;125,G146&lt;=400,G17&gt;6.3,G17&lt;=10,G45=4),6,G329))))))</f>
        <v>14</v>
      </c>
      <c r="H328" s="2900"/>
      <c r="I328" s="2972"/>
      <c r="J328" s="2892"/>
      <c r="K328" s="2797"/>
      <c r="L328" s="2817"/>
    </row>
    <row r="329" spans="1:12">
      <c r="A329" s="2803"/>
      <c r="B329" s="2855"/>
      <c r="C329" s="2809">
        <f>IF(AND(C146&gt;400,C146&lt;=800,C17&gt;=1,C17&lt;=3.5,C45=4),5,IF(AND(C146&gt;400,C146&lt;=800,C17&gt;3.5,C17&lt;=6.3,C45=4),5.5,IF(AND(C146&gt;400,C146&lt;=800,C17&gt;6.3,C17&lt;=10,C45=4),7,IF(AND(C146&gt;800,C146&lt;=1600,C17&gt;=1,C17&lt;=3.5,C45=4),5.5,IF(AND(C146&gt;800,C146&lt;=1600,C17&gt;3.5,C17&lt;=6.3,C45=4),6,IF(AND(C146&gt;800,C146&lt;=1600,C17&gt;6.3,C17&lt;=10,C45=4),7,C330))))))</f>
        <v>14</v>
      </c>
      <c r="D329" s="2967"/>
      <c r="E329" s="2809"/>
      <c r="F329" s="2968"/>
      <c r="G329" s="2809">
        <f>IF(AND(G146&gt;400,G146&lt;=800,G17&gt;=1,G17&lt;=3.5,G45=4),5,IF(AND(G146&gt;400,G146&lt;=800,G17&gt;3.5,G17&lt;=6.3,G45=4),5.5,IF(AND(G146&gt;400,G146&lt;=800,G17&gt;6.3,G17&lt;=10,G45=4),7,IF(AND(G146&gt;800,G146&lt;=1600,G17&gt;=1,G17&lt;=3.5,G45=4),5.5,IF(AND(G146&gt;800,G146&lt;=1600,G17&gt;3.5,G17&lt;=6.3,G45=4),6,IF(AND(G146&gt;800,G146&lt;=1600,G17&gt;6.3,G17&lt;=10,G45=4),7,G330))))))</f>
        <v>14</v>
      </c>
      <c r="H329" s="2900"/>
      <c r="I329" s="2972"/>
      <c r="J329" s="2892"/>
      <c r="K329" s="2797"/>
      <c r="L329" s="2817"/>
    </row>
    <row r="330" spans="1:12">
      <c r="A330" s="2803"/>
      <c r="B330" s="2801"/>
      <c r="C330" s="2809">
        <f>IF(AND(C146&lt;=125,C17&gt;=1,C17&lt;=3.5,C45=5),6,IF(AND(C146&lt;=125,C17&gt;3.5,C17&lt;=6.3,C45=5),8,IF(AND(C146&lt;=125,C17&gt;6.3,C17&lt;=10,C45=5),9,IF(AND(C146&gt;125,C146&lt;=400,C17&gt;=1,C17&lt;=3.5,C45=5),7,IF(AND(C146&gt;125,C146&lt;=400,C17&gt;3.5,C17&lt;=6.3,C45=5),9,IF(AND(C146&gt;125,C146&lt;=400,C17&gt;6.3,C17&lt;=10,C45=5),10,C331))))))</f>
        <v>14</v>
      </c>
      <c r="D330" s="2953"/>
      <c r="E330" s="2848"/>
      <c r="F330" s="2818"/>
      <c r="G330" s="2809">
        <f>IF(AND(G146&lt;=125,G17&gt;=1,G17&lt;=3.5,G45=5),6,IF(AND(G146&lt;=125,G17&gt;3.5,G17&lt;=6.3,G45=5),8,IF(AND(G146&lt;=125,G17&gt;6.3,G17&lt;=10,G45=5),9,IF(AND(G146&gt;125,G146&lt;=400,G17&gt;=1,G17&lt;=3.5,G45=5),7,IF(AND(G146&gt;125,G146&lt;=400,G17&gt;3.5,G17&lt;=6.3,G45=5),9,IF(AND(G146&gt;125,G146&lt;=400,G17&gt;6.3,G17&lt;=10,G45=5),10,G331))))))</f>
        <v>14</v>
      </c>
      <c r="H330" s="2900"/>
      <c r="I330" s="2972"/>
      <c r="J330" s="2892"/>
      <c r="K330" s="2797"/>
      <c r="L330" s="2817"/>
    </row>
    <row r="331" spans="1:12">
      <c r="A331" s="2803"/>
      <c r="B331" s="2855"/>
      <c r="C331" s="2809">
        <f>IF(AND(C146&gt;400,C146&lt;=800,C17&gt;=1,C17&lt;=3.5,C45=5),8,IF(AND(C146&gt;400,C146&lt;=800,C17&gt;3.5,C17&lt;=6.3,C45=5),9,IF(AND(C146&gt;400,C146&lt;=800,C17&gt;6.3,C17&lt;=10,C45=5),11,IF(AND(C146&gt;800,C146&lt;=1600,C17&gt;=1,C17&lt;=3.5,C45=5),9,IF(AND(C146&gt;800,C146&lt;=1600,C17&gt;3.5,C17&lt;=6.3,C45=5),10,IF(AND(C146&gt;800,C146&lt;=1600,C17&gt;6.3,C17&lt;=10,C45=5),11,C332))))))</f>
        <v>14</v>
      </c>
      <c r="D331" s="2953"/>
      <c r="E331" s="2848"/>
      <c r="F331" s="2855"/>
      <c r="G331" s="2809">
        <f>IF(AND(G146&gt;400,G146&lt;=800,G17&gt;=1,G17&lt;=3.5,G45=5),8,IF(AND(G146&gt;400,G146&lt;=800,G17&gt;3.5,G17&lt;=6.3,G45=5),9,IF(AND(G146&gt;400,G146&lt;=800,G17&gt;6.3,G17&lt;=10,G45=5),11,IF(AND(G146&gt;800,G146&lt;=1600,G17&gt;=1,G17&lt;=3.5,G45=5),9,IF(AND(G146&gt;800,G146&lt;=1600,G17&gt;3.5,G17&lt;=6.3,G45=5),10,IF(AND(G146&gt;800,G146&lt;=1600,G17&gt;6.3,G17&lt;=10,G45=5),11,G332))))))</f>
        <v>14</v>
      </c>
      <c r="H331" s="2900"/>
      <c r="I331" s="2972"/>
      <c r="J331" s="2892"/>
      <c r="K331" s="2797"/>
      <c r="L331" s="2817"/>
    </row>
    <row r="332" spans="1:12">
      <c r="A332" s="2803"/>
      <c r="B332" s="2855"/>
      <c r="C332" s="2809">
        <f>IF(AND(C146&lt;=125,C17&gt;=1,C17&lt;=3.5,C45=6),10,IF(AND(C146&lt;=125,C17&gt;3.5,C17&lt;=6.3,C45=6),13,IF(AND(C146&lt;=125,C17&gt;6.3,C17&lt;=10,C45=6),14,IF(AND(C146&gt;125,C146&lt;=400,C17&gt;=1,C17&lt;=3.5,C45=6),11,IF(AND(C146&gt;125,C146&lt;=400,C17&gt;3.5,C17&lt;=6.3,C45=6),14,IF(AND(C146&gt;125,C146&lt;=400,C17&gt;6.3,C17&lt;=10,C45=6),16,C333))))))</f>
        <v>14</v>
      </c>
      <c r="D332" s="2953"/>
      <c r="E332" s="2848"/>
      <c r="F332" s="2855"/>
      <c r="G332" s="2809">
        <f>IF(AND(G146&lt;=125,G17&gt;=1,G17&lt;=3.5,G45=6),10,IF(AND(G146&lt;=125,G17&gt;3.5,G17&lt;=6.3,G45=6),13,IF(AND(G146&lt;=125,G17&gt;6.3,G17&lt;=10,G45=6),14,IF(AND(G146&gt;125,G146&lt;=400,G17&gt;=1,G17&lt;=3.5,G45=6),11,IF(AND(G146&gt;125,G146&lt;=400,G17&gt;3.5,G17&lt;=6.3,G45=6),14,IF(AND(G146&gt;125,G146&lt;=400,G17&gt;6.3,G17&lt;=10,G45=6),16,G333))))))</f>
        <v>14</v>
      </c>
      <c r="H332" s="2900"/>
      <c r="I332" s="2972"/>
      <c r="J332" s="2892"/>
      <c r="K332" s="2797"/>
      <c r="L332" s="2817"/>
    </row>
    <row r="333" spans="1:12">
      <c r="A333" s="2803"/>
      <c r="B333" s="2855"/>
      <c r="C333" s="2809">
        <f>IF(AND(C146&gt;400,C146&lt;=800,C17&gt;=1,C17&lt;=3.5,C45=6),13,IF(AND(C146&gt;400,C146&lt;=800,C17&gt;3.5,C17&lt;=6.3,C45=6),14,IF(AND(C146&gt;400,C146&lt;=800,C17&gt;6.3,C17&lt;=10,C45=6),18,IF(AND(C146&gt;800,C146&lt;=1600,C17&gt;=1,C17&lt;=3.5,C45=6),14,IF(AND(C146&gt;800,C146&lt;=1600,C17&gt;3.5,C17&lt;=6.3,C45=6),16,IF(AND(C146&gt;800,C146&lt;=1600,C17&gt;6.3,C17&lt;=10,C45=6),18,C334))))))</f>
        <v>14</v>
      </c>
      <c r="D333" s="2953"/>
      <c r="E333" s="2848"/>
      <c r="F333" s="2855"/>
      <c r="G333" s="2809">
        <f>IF(AND(G146&gt;400,G146&lt;=800,G17&gt;=1,G17&lt;=3.5,G45=6),13,IF(AND(G146&gt;400,G146&lt;=800,G17&gt;3.5,G17&lt;=6.3,G45=6),14,IF(AND(G146&gt;400,G146&lt;=800,G17&gt;6.3,G17&lt;=10,G45=6),18,IF(AND(G146&gt;800,G146&lt;=1600,G17&gt;=1,G17&lt;=3.5,G45=6),14,IF(AND(G146&gt;800,G146&lt;=1600,G17&gt;3.5,G17&lt;=6.3,G45=6),16,IF(AND(G146&gt;800,G146&lt;=1600,G17&gt;6.3,G17&lt;=10,G45=6),18,G334))))))</f>
        <v>14</v>
      </c>
      <c r="H333" s="2900"/>
      <c r="I333" s="2972"/>
      <c r="J333" s="2892"/>
      <c r="K333" s="2797"/>
      <c r="L333" s="2817"/>
    </row>
    <row r="334" spans="1:12">
      <c r="A334" s="2803"/>
      <c r="B334" s="2855"/>
      <c r="C334" s="2809">
        <f>IF(AND(C146&lt;=125,C17&gt;=1,C17&lt;=3.5,C45=7),14,IF(AND(C146&lt;=125,C17&gt;3.5,C17&lt;=6.3,C45=7),18,IF(AND(C146&lt;=125,C17&gt;6.3,C17&lt;=10,C45=7),20,IF(AND(C146&gt;125,C146&lt;=400,C17&gt;=1,C17&lt;=3.5,C45=7),16,IF(AND(C146&gt;125,C146&lt;=400,C17&gt;3.5,C17&lt;=6.3,C45=7),20,IF(AND(C146&gt;125,C146&lt;=400,C17&gt;6.3,C17&lt;=10,C45=7),22,C335))))))</f>
        <v>14</v>
      </c>
      <c r="D334" s="2953"/>
      <c r="E334" s="2848"/>
      <c r="F334" s="2855"/>
      <c r="G334" s="2809">
        <f>IF(AND(G146&lt;=125,G17&gt;=1,G17&lt;=3.5,G45=7),14,IF(AND(G146&lt;=125,G17&gt;3.5,G17&lt;=6.3,G45=7),18,IF(AND(G146&lt;=125,G17&gt;6.3,G17&lt;=10,G45=7),20,IF(AND(G146&gt;125,G146&lt;=400,G17&gt;=1,G17&lt;=3.5,G45=7),16,IF(AND(G146&gt;125,G146&lt;=400,G17&gt;3.5,G17&lt;=6.3,G45=7),20,IF(AND(G146&gt;125,G146&lt;=400,G17&gt;6.3,G17&lt;=10,G45=7),22,G335))))))</f>
        <v>14</v>
      </c>
      <c r="H334" s="2900"/>
      <c r="I334" s="2972"/>
      <c r="J334" s="2892"/>
      <c r="K334" s="2797"/>
      <c r="L334" s="2817"/>
    </row>
    <row r="335" spans="1:12">
      <c r="A335" s="2803"/>
      <c r="B335" s="2855"/>
      <c r="C335" s="2809" t="str">
        <f>IF(AND(C146&gt;400,C146&lt;=800,C17&gt;=1,C17&lt;=3.5,C45=7),18,IF(AND(C146&gt;400,C146&lt;=800,C17&gt;3.5,C17&lt;=6.3,C45=7),20,IF(AND(C146&gt;400,C146&lt;=800,C17&gt;6.3,C17&lt;=10,C45=7),25,IF(AND(C146&gt;800,C146&lt;=1600,C17&gt;=1,C17&lt;=3.5,C45=7),20,IF(AND(C146&gt;800,C146&lt;=1600,C17&gt;3.5,C17&lt;=6.3,C45=7),22,IF(AND(C146&gt;800,C146&lt;=1600,C17&gt;6.3,C17&lt;=10,C45=7),25,C336))))))</f>
        <v>*</v>
      </c>
      <c r="D335" s="2953"/>
      <c r="E335" s="2848"/>
      <c r="F335" s="2855"/>
      <c r="G335" s="2809" t="str">
        <f>IF(AND(G146&gt;400,G146&lt;=800,G17&gt;=1,G17&lt;=3.5,G45=7),18,IF(AND(G146&gt;400,G146&lt;=800,G17&gt;3.5,G17&lt;=6.3,G45=7),20,IF(AND(G146&gt;400,G146&lt;=800,G17&gt;6.3,G17&lt;=10,G45=7),25,IF(AND(G146&gt;800,G146&lt;=1600,G17&gt;=1,G17&lt;=3.5,G45=7),20,IF(AND(G146&gt;800,G146&lt;=1600,G17&gt;3.5,G17&lt;=6.3,G45=7),22,IF(AND(G146&gt;800,G146&lt;=1600,G17&gt;6.3,G17&lt;=10,G45=7),25,G336))))))</f>
        <v>*</v>
      </c>
      <c r="H335" s="2900"/>
      <c r="I335" s="2972"/>
      <c r="J335" s="2892"/>
      <c r="K335" s="2797"/>
      <c r="L335" s="2817"/>
    </row>
    <row r="336" spans="1:12">
      <c r="A336" s="2803"/>
      <c r="B336" s="2855"/>
      <c r="C336" s="2809" t="str">
        <f>IF(AND(C146&lt;=125,C17&gt;=1,C17&lt;=3.5,C45=8),20,IF(AND(C146&lt;=125,C17&gt;3.5,C17&lt;=6.3,C45=8),25,IF(AND(C146&lt;=125,C17&gt;6.3,C17&lt;=10,C45=8),28,IF(AND(C146&gt;125,C146&lt;=400,C17&gt;=1,C17&lt;=3.5,C45=8),22,IF(AND(C146&gt;125,C146&lt;=400,C17&gt;3.5,C17&lt;=6.3,C45=8),28,IF(AND(C146&gt;125,C146&lt;=400,C17&gt;6.3,C17&lt;=10,C45=8),32,C337))))))</f>
        <v>*</v>
      </c>
      <c r="D336" s="2953"/>
      <c r="E336" s="2848"/>
      <c r="F336" s="2855"/>
      <c r="G336" s="2809" t="str">
        <f>IF(AND(G146&lt;=125,G17&gt;=1,G17&lt;=3.5,G45=8),20,IF(AND(G146&lt;=125,G17&gt;3.5,G17&lt;=6.3,G45=8),25,IF(AND(G146&lt;=125,G17&gt;6.3,G17&lt;=10,G45=8),28,IF(AND(G146&gt;125,G146&lt;=400,G17&gt;=1,G17&lt;=3.5,G45=8),22,IF(AND(G146&gt;125,G146&lt;=400,G17&gt;3.5,G17&lt;=6.3,G45=8),28,IF(AND(G146&gt;125,G146&lt;=400,G17&gt;6.3,G17&lt;=10,G45=8),32,G337))))))</f>
        <v>*</v>
      </c>
      <c r="H336" s="2900"/>
      <c r="I336" s="2972"/>
      <c r="J336" s="2892"/>
      <c r="K336" s="2797"/>
      <c r="L336" s="2817"/>
    </row>
    <row r="337" spans="1:12">
      <c r="A337" s="2803"/>
      <c r="B337" s="2855"/>
      <c r="C337" s="2809" t="str">
        <f>IF(AND(C146&gt;400,C146&lt;=800,C17&gt;=1,C17&lt;=3.5,C45=8),25,IF(AND(C146&gt;400,C146&lt;=800,C17&gt;3.5,C17&lt;=6.3,C45=8),28,IF(AND(C146&gt;400,C146&lt;=800,C17&gt;6.3,C17&lt;=10,C45=8),36,IF(AND(C146&gt;800,C146&lt;=1600,C17&gt;=1,C17&lt;=3.5,C45=8),28,IF(AND(C146&gt;800,C146&lt;=1600,C17&gt;3.5,C17&lt;=6.3,C45=8),32,IF(AND(C146&gt;800,C146&lt;=1600,C17&gt;6.3,C17&lt;=10,C45=8),36,"*"))))))</f>
        <v>*</v>
      </c>
      <c r="D337" s="2953"/>
      <c r="E337" s="2848"/>
      <c r="F337" s="2855"/>
      <c r="G337" s="2809" t="str">
        <f>IF(AND(G146&gt;400,G146&lt;=800,G17&gt;=1,G17&lt;=3.5,G45=8),25,IF(AND(G146&gt;400,G146&lt;=800,G17&gt;3.5,G17&lt;=6.3,G45=8),28,IF(AND(G146&gt;400,G146&lt;=800,G17&gt;6.3,G17&lt;=10,G45=8),36,IF(AND(G146&gt;800,G146&lt;=1600,G17&gt;=1,G17&lt;=3.5,G45=8),28,IF(AND(G146&gt;800,G146&lt;=1600,G17&gt;3.5,G17&lt;=6.3,G45=8),32,IF(AND(G146&gt;800,G146&lt;=1600,G17&gt;6.3,G17&lt;=10,G45=8),36,"*"))))))</f>
        <v>*</v>
      </c>
      <c r="H337" s="2900"/>
      <c r="I337" s="2972"/>
      <c r="J337" s="2892"/>
      <c r="K337" s="2797"/>
      <c r="L337" s="2817"/>
    </row>
    <row r="338" spans="1:12">
      <c r="A338" s="2803" t="s">
        <v>3202</v>
      </c>
      <c r="B338" s="2855" t="s">
        <v>3203</v>
      </c>
      <c r="C338" s="2797">
        <f>IF(AND(C146&lt;=125,C17&gt;=1,C17&lt;=3.5,C45=3),2.4,IF(AND(C146&lt;=125,C17&gt;3.5,C17&lt;=6.3,C45=3),3,IF(AND(C146&lt;=125,C17&gt;6.3,C17&lt;=10,C45=3),3.2,IF(AND(C146&gt;125,C146&lt;=400,C17&gt;=1,C17&lt;=3.5,C45=3),2.4,IF(AND(C146&gt;125,C146&lt;=400,C17&gt;3.5,C17&lt;=6.3,C45=3),3.2,IF(AND(C146&gt;125,C146&lt;=400,C17&gt;6.3,C17&lt;=10,C45=3),3.6,C339))))))</f>
        <v>13</v>
      </c>
      <c r="D338" s="2797"/>
      <c r="E338" s="2848"/>
      <c r="F338" s="2855" t="s">
        <v>3204</v>
      </c>
      <c r="G338" s="2797">
        <f>IF(AND(G146&lt;=125,G17&gt;=1,G17&lt;=3.5,G45=3),2.4,IF(AND(G146&lt;=125,G17&gt;3.5,G17&lt;=6.3,G45=3),3,IF(AND(G146&lt;=125,G17&gt;6.3,G17&lt;=10,G45=3),3.2,IF(AND(G146&gt;125,G146&lt;=400,G17&gt;=1,G17&lt;=3.5,G45=3),2.4,IF(AND(G146&gt;125,G146&lt;=400,G17&gt;3.5,G17&lt;=6.3,G45=3),3.2,IF(AND(G146&gt;125,G146&lt;=400,G17&gt;6.3,G17&lt;=10,G45=3),3.6,G339))))))</f>
        <v>13</v>
      </c>
      <c r="H338" s="2900"/>
      <c r="I338" s="2972"/>
      <c r="J338" s="2892"/>
      <c r="K338" s="2797"/>
      <c r="L338" s="2817"/>
    </row>
    <row r="339" spans="1:12">
      <c r="A339" s="2803"/>
      <c r="B339" s="2855"/>
      <c r="C339" s="2809">
        <f>IF(AND(C146&gt;400,C146&lt;=800,C17&gt;=1,C17&lt;=3.5,C45=3),3,IF(AND(C146&gt;400,C146&lt;=800,C17&gt;3.5,C17&lt;=6.3,C45=3),3.2,IF(AND(C146&gt;400,C146&lt;=800,C17&gt;6.3,C17&lt;=10,C45=3),4.2,IF(AND(C146&gt;800,C146&lt;=1600,C17&gt;=1,C17&lt;=3.5,C45=3),3.2,IF(AND(C146&gt;800,C146&lt;=1600,C17&gt;3.5,C17&lt;=6.3,C45=3),3.6,IF(AND(C146&gt;800,C146&lt;=1600,C17&gt;6.3,C17&lt;=10,C45=3),4.2,C340))))))</f>
        <v>13</v>
      </c>
      <c r="D339" s="2797"/>
      <c r="E339" s="2848"/>
      <c r="F339" s="2855"/>
      <c r="G339" s="2809">
        <f>IF(AND(G146&gt;400,G146&lt;=800,G17&gt;=1,G17&lt;=3.5,G45=3),3,IF(AND(G146&gt;400,G146&lt;=800,G17&gt;3.5,G17&lt;=6.3,G45=3),3.2,IF(AND(G146&gt;400,G146&lt;=800,G17&gt;6.3,G17&lt;=10,G45=3),4.2,IF(AND(G146&gt;800,G146&lt;=1600,G17&gt;=1,G17&lt;=3.5,G45=3),3.2,IF(AND(G146&gt;800,G146&lt;=1600,G17&gt;3.5,G17&lt;=6.3,G45=3),3.6,IF(AND(G146&gt;800,G146&lt;=1600,G17&gt;6.3,G17&lt;=10,G45=3),4.2,G340))))))</f>
        <v>13</v>
      </c>
      <c r="H339" s="2900"/>
      <c r="I339" s="2972"/>
      <c r="J339" s="2892"/>
      <c r="K339" s="2797"/>
      <c r="L339" s="2817"/>
    </row>
    <row r="340" spans="1:12">
      <c r="A340" s="2803"/>
      <c r="B340" s="2855"/>
      <c r="C340" s="2809">
        <f>IF(AND(C146&lt;=125,C17&gt;=1,C17&lt;=3.5,C45=4),3.6,IF(AND(C146&lt;=125,C17&gt;3.5,C17&lt;=6.3,C45=4),4.5,IF(AND(C146&lt;=125,C17&gt;6.3,C17&lt;=10,C45=4),5,IF(AND(C146&gt;125,C146&lt;=400,C17&gt;=1,C17&lt;=3.5,C45=4),4.2,IF(AND(C146&gt;125,C146&lt;=400,C17&gt;3.5,C17&lt;=6.3,C45=4),5,IF(AND(C146&gt;125,C146&lt;=400,C17&gt;6.3,C17&lt;=10,C45=4),5.5,C341))))))</f>
        <v>13</v>
      </c>
      <c r="D340" s="2953"/>
      <c r="E340" s="2848"/>
      <c r="F340" s="2855"/>
      <c r="G340" s="2809">
        <f>IF(AND(G146&lt;=125,G17&gt;=1,G17&lt;=3.5,G45=4),3.6,IF(AND(G146&lt;=125,G17&gt;3.5,G17&lt;=6.3,G45=4),4.5,IF(AND(G146&lt;=125,G17&gt;6.3,G17&lt;=10,G45=4),5,IF(AND(G146&gt;125,G146&lt;=400,G17&gt;=1,G17&lt;=3.5,G45=4),4.2,IF(AND(G146&gt;125,G146&lt;=400,G17&gt;3.5,G17&lt;=6.3,G45=4),5,IF(AND(G146&gt;125,G146&lt;=400,G17&gt;6.3,G17&lt;=10,G45=4),5.5,G341))))))</f>
        <v>13</v>
      </c>
      <c r="H340" s="2900"/>
      <c r="I340" s="2972"/>
      <c r="J340" s="2892"/>
      <c r="K340" s="2797"/>
      <c r="L340" s="2817"/>
    </row>
    <row r="341" spans="1:12">
      <c r="A341" s="2855" t="s">
        <v>3205</v>
      </c>
      <c r="B341" s="2855"/>
      <c r="C341" s="2809">
        <f>IF(AND(C146&gt;400,C146&lt;=800,C17&gt;=1,C17&lt;=3.5,C45=4),4.5,IF(AND(C146&gt;400,C146&lt;=800,C17&gt;3.5,C17&lt;=6.3,C45=4),5,IF(AND(C146&gt;400,C146&lt;=800,C17&gt;6.3,C17&lt;=10,C45=4),6.5,IF(AND(C146&gt;800,C146&lt;=1600,C17&gt;=1,C17&lt;=3.5,C45=4),5,IF(AND(C146&gt;800,C146&lt;=1600,C17&gt;3.5,C17&lt;=6.3,C45=4),5.5,IF(AND(C146&gt;800,C146&lt;=1600,C17&gt;6.3,C17&lt;=10,C45=4),6.5,C342))))))</f>
        <v>13</v>
      </c>
      <c r="D341" s="2953"/>
      <c r="E341" s="2848"/>
      <c r="F341" s="2855"/>
      <c r="G341" s="2809">
        <f>IF(AND(G146&gt;400,G146&lt;=800,G17&gt;=1,G17&lt;=3.5,G45=4),4.5,IF(AND(G146&gt;400,G146&lt;=800,G17&gt;3.5,G17&lt;=6.3,G45=4),5,IF(AND(G146&gt;400,G146&lt;=800,G17&gt;6.3,G17&lt;=10,G45=4),6.5,IF(AND(G146&gt;800,G146&lt;=1600,G17&gt;=1,G17&lt;=3.5,G45=4),5,IF(AND(G146&gt;800,G146&lt;=1600,G17&gt;3.5,G17&lt;=6.3,G45=4),5.5,IF(AND(G146&gt;800,G146&lt;=1600,G17&gt;6.3,G17&lt;=10,G45=4),6.5,G342))))))</f>
        <v>13</v>
      </c>
      <c r="H341" s="2900"/>
      <c r="I341" s="2972"/>
      <c r="J341" s="2892"/>
      <c r="K341" s="2797"/>
      <c r="L341" s="2817"/>
    </row>
    <row r="342" spans="1:12">
      <c r="A342" s="2803"/>
      <c r="B342" s="2855"/>
      <c r="C342" s="2809">
        <f>IF(AND(C146&lt;=125,C17&gt;=1,C17&lt;=3.5,C45=5),5,IF(AND(C146&lt;=125,C17&gt;3.5,C17&lt;=6.3,C45=5),7,IF(AND(C146&lt;=125,C17&gt;6.3,C17&lt;=10,C45=5),8,IF(AND(C146&gt;125,C146&lt;=400,C17&gt;=1,C17&lt;=3.5,C45=5),6,IF(AND(C146&gt;125,C146&lt;=400,C17&gt;3.5,C17&lt;=6.3,C45=5),8,IF(AND(C146&gt;125,C146&lt;=400,C17&gt;6.3,C17&lt;=10,C45=5),9,C343))))))</f>
        <v>13</v>
      </c>
      <c r="D342" s="2953"/>
      <c r="E342" s="2848"/>
      <c r="F342" s="2855"/>
      <c r="G342" s="2809">
        <f>IF(AND(G146&lt;=125,G17&gt;=1,G17&lt;=3.5,G45=5),5,IF(AND(G146&lt;=125,G17&gt;3.5,G17&lt;=6.3,G45=5),7,IF(AND(G146&lt;=125,G17&gt;6.3,G17&lt;=10,G45=5),8,IF(AND(G146&gt;125,G146&lt;=400,G17&gt;=1,G17&lt;=3.5,G45=5),6,IF(AND(G146&gt;125,G146&lt;=400,G17&gt;3.5,G17&lt;=6.3,G45=5),8,IF(AND(G146&gt;125,G146&lt;=400,G17&gt;6.3,G17&lt;=10,G45=5),9,G343))))))</f>
        <v>13</v>
      </c>
      <c r="H342" s="2900"/>
      <c r="I342" s="2972"/>
      <c r="J342" s="2892"/>
      <c r="K342" s="2797"/>
      <c r="L342" s="2817"/>
    </row>
    <row r="343" spans="1:12">
      <c r="A343" s="2803"/>
      <c r="B343" s="2855"/>
      <c r="C343" s="2809">
        <f>IF(AND(C146&gt;400,C146&lt;=800,C17&gt;=1,C17&lt;=3.5,C45=5),7,IF(AND(C146&gt;400,C146&lt;=800,C17&gt;3.5,C17&lt;=6.3,C45=5),8,IF(AND(C146&gt;400,C146&lt;=800,C17&gt;6.3,C17&lt;=10,C45=5),10,IF(AND(C146&gt;800,C146&lt;=1600,C17&gt;=1,C17&lt;=3.5,C45=5),8,IF(AND(C146&gt;800,C146&lt;=1600,C17&gt;3.5,C17&lt;=6.3,C45=5),9,IF(AND(C146&gt;800,C146&lt;=1600,C17&gt;6.3,C17&lt;=10,C45=5),10,C344))))))</f>
        <v>13</v>
      </c>
      <c r="D343" s="2953"/>
      <c r="E343" s="2848"/>
      <c r="F343" s="2855"/>
      <c r="G343" s="2809">
        <f>IF(AND(G146&gt;400,G146&lt;=800,G17&gt;=1,G17&lt;=3.5,G45=5),7,IF(AND(G146&gt;400,G146&lt;=800,G17&gt;3.5,G17&lt;=6.3,G45=5),8,IF(AND(G146&gt;400,G146&lt;=800,G17&gt;6.3,G17&lt;=10,G45=5),10,IF(AND(G146&gt;800,G146&lt;=1600,G17&gt;=1,G17&lt;=3.5,G45=5),8,IF(AND(G146&gt;800,G146&lt;=1600,G17&gt;3.5,G17&lt;=6.3,G45=5),9,IF(AND(G146&gt;800,G146&lt;=1600,G17&gt;6.3,G17&lt;=10,G45=5),10,G344))))))</f>
        <v>13</v>
      </c>
      <c r="H343" s="2900"/>
      <c r="I343" s="2972"/>
      <c r="J343" s="2892"/>
      <c r="K343" s="2797"/>
      <c r="L343" s="2817"/>
    </row>
    <row r="344" spans="1:12">
      <c r="A344" s="2966"/>
      <c r="B344" s="2974"/>
      <c r="C344" s="2809">
        <f>IF(AND(C146&lt;=125,C17&gt;=1,C17&lt;=3.5,C45=6),9,IF(AND(C146&lt;=125,C17&gt;3.5,C17&lt;=6.3,C45=6),11,IF(AND(C146&lt;=125,C17&gt;6.3,C17&lt;=10,C45=6),13,IF(AND(C146&gt;125,C146&lt;=400,C17&gt;=1,C17&lt;=3.5,C45=6),10,IF(AND(C146&gt;125,C146&lt;=400,C17&gt;3.5,C17&lt;=6.3,C45=6),13,IF(AND(C146&gt;125,C146&lt;=400,C17&gt;6.3,C17&lt;=10,C45=6),14,C345))))))</f>
        <v>13</v>
      </c>
      <c r="D344" s="2953"/>
      <c r="E344" s="2848"/>
      <c r="F344" s="2855"/>
      <c r="G344" s="2809">
        <f>IF(AND(G146&lt;=125,G17&gt;=1,G17&lt;=3.5,G45=6),9,IF(AND(G146&lt;=125,G17&gt;3.5,G17&lt;=6.3,G45=6),11,IF(AND(G146&lt;=125,G17&gt;6.3,G17&lt;=10,G45=6),13,IF(AND(G146&gt;125,G146&lt;=400,G17&gt;=1,G17&lt;=3.5,G45=6),10,IF(AND(G146&gt;125,G146&lt;=400,G17&gt;3.5,G17&lt;=6.3,G45=6),13,IF(AND(G146&gt;125,G146&lt;=400,G17&gt;6.3,G17&lt;=10,G45=6),14,G345))))))</f>
        <v>13</v>
      </c>
      <c r="H344" s="2900"/>
      <c r="I344" s="2972"/>
      <c r="J344" s="2892"/>
      <c r="K344" s="2797"/>
      <c r="L344" s="2817"/>
    </row>
    <row r="345" spans="1:12">
      <c r="A345" s="2966"/>
      <c r="B345" s="2974"/>
      <c r="C345" s="2809">
        <f>IF(AND(C146&gt;400,C146&lt;=800,C17&gt;=1,C17&lt;=3.5,C45=6),11,IF(AND(C146&gt;400,C146&lt;=800,C17&gt;3.5,C17&lt;=6.3,C45=6),13,IF(AND(C146&gt;400,C146&lt;=800,C17&gt;6.3,C17&lt;=10,C45=6),16,IF(AND(C146&gt;800,C146&lt;=1600,C17&gt;=1,C17&lt;=3.5,C45=6),13,IF(AND(C146&gt;800,C146&lt;=1600,C17&gt;3.5,C17&lt;=6.3,C45=6),14,IF(AND(C146&gt;800,C146&lt;=1600,C17&gt;6.3,C17&lt;=10,C45=6),16,C346))))))</f>
        <v>13</v>
      </c>
      <c r="D345" s="2953"/>
      <c r="E345" s="2848"/>
      <c r="F345" s="2855"/>
      <c r="G345" s="2809">
        <f>IF(AND(G146&gt;400,G146&lt;=800,G17&gt;=1,G17&lt;=3.5,G45=6),11,IF(AND(G146&gt;400,G146&lt;=800,G17&gt;3.5,G17&lt;=6.3,G45=6),13,IF(AND(G146&gt;400,G146&lt;=800,G17&gt;6.3,G17&lt;=10,G45=6),16,IF(AND(G146&gt;800,G146&lt;=1600,G17&gt;=1,G17&lt;=3.5,G45=6),13,IF(AND(G146&gt;800,G146&lt;=1600,G17&gt;3.5,G17&lt;=6.3,G45=6),14,IF(AND(G146&gt;800,G146&lt;=1600,G17&gt;6.3,G17&lt;=10,G45=6),16,G346))))))</f>
        <v>13</v>
      </c>
      <c r="H345" s="2900"/>
      <c r="I345" s="2972"/>
      <c r="J345" s="2892"/>
      <c r="K345" s="2797"/>
      <c r="L345" s="2817"/>
    </row>
    <row r="346" spans="1:12">
      <c r="A346" s="2966"/>
      <c r="B346" s="2974"/>
      <c r="C346" s="2809">
        <f>IF(AND(C146&lt;=125,C17&gt;=1,C17&lt;=3.5,C45=7),13,IF(AND(C146&lt;=125,C17&gt;3.5,C17&lt;=6.3,C45=7),16,IF(AND(C146&lt;=125,C17&gt;6.3,C17&lt;=10,C45=7),18,IF(AND(C146&gt;125,C146&lt;=400,C17&gt;=1,C17&lt;=3.5,C45=7),14,IF(AND(C146&gt;125,C146&lt;=400,C17&gt;3.5,C17&lt;=6.3,C45=7),18,IF(AND(C146&gt;125,C146&lt;=400,C17&gt;6.3,C17&lt;=10,C45=7),20,C347))))))</f>
        <v>13</v>
      </c>
      <c r="D346" s="2953"/>
      <c r="E346" s="2848"/>
      <c r="F346" s="2855"/>
      <c r="G346" s="2809">
        <f>IF(AND(G146&lt;=125,G17&gt;=1,G17&lt;=3.5,G45=7),13,IF(AND(G146&lt;=125,G17&gt;3.5,G17&lt;=6.3,G45=7),16,IF(AND(G146&lt;=125,G17&gt;6.3,G17&lt;=10,G45=7),18,IF(AND(G146&gt;125,G146&lt;=400,G17&gt;=1,G17&lt;=3.5,G45=7),14,IF(AND(G146&gt;125,G146&lt;=400,G17&gt;3.5,G17&lt;=6.3,G45=7),18,IF(AND(G146&gt;125,G146&lt;=400,G17&gt;6.3,G17&lt;=10,G45=7),20,G347))))))</f>
        <v>13</v>
      </c>
      <c r="H346" s="2900"/>
      <c r="I346" s="2972"/>
      <c r="J346" s="2892"/>
      <c r="K346" s="2797"/>
      <c r="L346" s="2817"/>
    </row>
    <row r="347" spans="1:12">
      <c r="A347" s="2966"/>
      <c r="B347" s="2974"/>
      <c r="C347" s="2809" t="str">
        <f>IF(AND(C146&gt;400,C146&lt;=800,C17&gt;=1,C17&lt;=3.5,C45=7),16,IF(AND(C146&gt;400,C146&lt;=800,C17&gt;3.5,C17&lt;=6.3,C45=7),18,IF(AND(C146&gt;400,C146&lt;=800,C17&gt;6.3,C17&lt;=10,C45=7),22,IF(AND(C146&gt;800,C146&lt;=1600,C17&gt;=1,C17&lt;=3.5,C45=7),18,IF(AND(C146&gt;800,C146&lt;=1600,C17&gt;3.5,C17&lt;=6.3,C45=7),20,IF(AND(C146&gt;800,C146&lt;=1600,C17&gt;6.3,C17&lt;=10,C45=7),22,C348))))))</f>
        <v>*</v>
      </c>
      <c r="D347" s="2953"/>
      <c r="E347" s="2848"/>
      <c r="F347" s="2855"/>
      <c r="G347" s="2809" t="str">
        <f>IF(AND(G146&gt;400,G146&lt;=800,G17&gt;=1,G17&lt;=3.5,G45=7),16,IF(AND(G146&gt;400,G146&lt;=800,G17&gt;3.5,G17&lt;=6.3,G45=7),18,IF(AND(G146&gt;400,G146&lt;=800,G17&gt;6.3,G17&lt;=10,G45=7),22,IF(AND(G146&gt;800,G146&lt;=1600,G17&gt;=1,G17&lt;=3.5,G45=7),18,IF(AND(G146&gt;800,G146&lt;=1600,G17&gt;3.5,G17&lt;=6.3,G45=7),20,IF(AND(G146&gt;800,G146&lt;=1600,G17&gt;6.3,G17&lt;=10,G45=7),22,G348))))))</f>
        <v>*</v>
      </c>
      <c r="H347" s="2900"/>
      <c r="I347" s="2972"/>
      <c r="J347" s="2892"/>
      <c r="K347" s="2797"/>
      <c r="L347" s="2817"/>
    </row>
    <row r="348" spans="1:12">
      <c r="A348" s="2966"/>
      <c r="B348" s="2974"/>
      <c r="C348" s="2809" t="str">
        <f>IF(AND(C146&lt;=125,C17&gt;=1,C17&lt;=3.5,C45=8),18,IF(AND(C146&lt;=125,C17&gt;3.5,C17&lt;=6.3,C45=8),22,IF(AND(C146&lt;=125,C17&gt;6.3,C17&lt;=10,C45=8),25,IF(AND(C146&gt;125,C146&lt;=400,C17&gt;=1,C17&lt;=3.5,C45=8),20,IF(AND(C146&gt;125,C146&lt;=400,C17&gt;3.5,C17&lt;=6.3,C45=8),25,IF(AND(C146&gt;125,C146&lt;=400,C17&gt;6.3,C17&lt;=10,C45=8),30,C349))))))</f>
        <v>*</v>
      </c>
      <c r="D348" s="2953"/>
      <c r="E348" s="2848"/>
      <c r="F348" s="2855"/>
      <c r="G348" s="2809" t="str">
        <f>IF(AND(G146&lt;=125,G17&gt;=1,G17&lt;=3.5,G45=8),18,IF(AND(G146&lt;=125,G17&gt;3.5,G17&lt;=6.3,G45=8),22,IF(AND(G146&lt;=125,G17&gt;6.3,G17&lt;=10,G45=8),25,IF(AND(G146&gt;125,G146&lt;=400,G17&gt;=1,G17&lt;=3.5,G45=8),20,IF(AND(G146&gt;125,G146&lt;=400,G17&gt;3.5,G17&lt;=6.3,G45=8),25,IF(AND(G146&gt;125,G146&lt;=400,G17&gt;6.3,G17&lt;=10,G45=8),30,G349))))))</f>
        <v>*</v>
      </c>
      <c r="H348" s="2900"/>
      <c r="I348" s="2972"/>
      <c r="J348" s="2892"/>
      <c r="K348" s="2797"/>
      <c r="L348" s="2817"/>
    </row>
    <row r="349" spans="1:12">
      <c r="A349" s="2966"/>
      <c r="B349" s="2974"/>
      <c r="C349" s="2809" t="str">
        <f>IF(AND(C146&gt;400,C146&lt;=800,C17&gt;=1,C17&lt;=3.5,C45=8),22,IF(AND(C146&gt;400,C146&lt;=800,C17&gt;3.5,C17&lt;=6.3,C45=8),25,IF(AND(C146&gt;400,C146&lt;=800,C17&gt;6.3,C17&lt;=10,C45=8),32,IF(AND(C146&gt;800,C146&lt;=1600,C17&gt;=1,C17&lt;=3.5,C45=8),25,IF(AND(C146&gt;800,C146&lt;=1600,C17&gt;3.5,C17&lt;=6.3,C45=8),30,IF(AND(C146&gt;800,C146&lt;=1600,C17&gt;6.3,C17&lt;=10,C45=8),32,"*"))))))</f>
        <v>*</v>
      </c>
      <c r="D349" s="2953"/>
      <c r="E349" s="2848"/>
      <c r="F349" s="2855"/>
      <c r="G349" s="2809" t="str">
        <f>IF(AND(G146&gt;400,G146&lt;=800,G17&gt;=1,G17&lt;=3.5,G45=8),22,IF(AND(G146&gt;400,G146&lt;=800,G17&gt;3.5,G17&lt;=6.3,G45=8),25,IF(AND(G146&gt;400,G146&lt;=800,G17&gt;6.3,G17&lt;=10,G45=8),32,IF(AND(G146&gt;800,G146&lt;=1600,G17&gt;=1,G17&lt;=3.5,G45=8),25,IF(AND(G146&gt;800,G146&lt;=1600,G17&gt;3.5,G17&lt;=6.3,G45=8),30,IF(AND(G146&gt;800,G146&lt;=1600,G17&gt;6.3,G17&lt;=10,G45=8),32,"*"))))))</f>
        <v>*</v>
      </c>
      <c r="H349" s="2900"/>
      <c r="I349" s="2972"/>
      <c r="J349" s="2892"/>
      <c r="K349" s="2797"/>
      <c r="L349" s="2817"/>
    </row>
    <row r="350" spans="1:12">
      <c r="A350" s="2803" t="s">
        <v>3206</v>
      </c>
      <c r="B350" s="2801" t="s">
        <v>3207</v>
      </c>
      <c r="C350" s="2797">
        <f>IF(AND(C146&lt;=125,C17&gt;=1,C17&lt;=3.5,C45=3),3.6,IF(AND(C146&lt;=125,C17&gt;3.5,C17&lt;=6.3,C45=3),4,IF(AND(C146&lt;=125,C17&gt;6.3,C17&lt;=10,C45=3),4.5,IF(AND(C146&gt;125,C146&lt;=400,C17&gt;=1,C17&lt;=3.5,C45=3),4,IF(AND(C146&gt;125,C146&lt;=400,C17&gt;3.5,C17&lt;=6.3,C45=3),4.5,IF(AND(C146&gt;125,C146&lt;=400,C17&gt;6.3,C17&lt;=10,C45=3),5,C351))))))</f>
        <v>11</v>
      </c>
      <c r="D350" s="2953"/>
      <c r="E350" s="2848"/>
      <c r="F350" s="2801" t="s">
        <v>3208</v>
      </c>
      <c r="G350" s="2797">
        <f>IF(AND(G146&lt;=125,G17&gt;=1,G17&lt;=3.5,G45=3),3.6,IF(AND(G146&lt;=125,G17&gt;3.5,G17&lt;=6.3,G45=3),4,IF(AND(G146&lt;=125,G17&gt;6.3,G17&lt;=10,G45=3),4.5,IF(AND(G146&gt;125,G146&lt;=400,G17&gt;=1,G17&lt;=3.5,G45=3),4,IF(AND(G146&gt;125,G146&lt;=400,G17&gt;3.5,G17&lt;=6.3,G45=3),4.5,IF(AND(G146&gt;125,G146&lt;=400,G17&gt;6.3,G17&lt;=10,G45=3),5,G351))))))</f>
        <v>11</v>
      </c>
      <c r="H350" s="2900"/>
      <c r="I350" s="2972"/>
      <c r="J350" s="2892"/>
      <c r="K350" s="2797"/>
      <c r="L350" s="2817"/>
    </row>
    <row r="351" spans="1:12">
      <c r="A351" s="2966"/>
      <c r="B351" s="2870"/>
      <c r="C351" s="2809">
        <f>IF(AND(C146&gt;400,C146&lt;=800,C17&gt;=1,C17&lt;=3.5,C45=3),4.5,IF(AND(C146&gt;400,C146&lt;=800,C17&gt;3.5,C17&lt;=6.3,C45=3),5,IF(AND(C146&gt;400,C146&lt;=800,C17&gt;6.3,C17&lt;=10,C45=3),5.5,IF(AND(C146&gt;800,C146&lt;=1600,C17&gt;=1,C17&lt;=3.5,C45=3),5.5,IF(AND(C146&gt;800,C146&lt;=1600,C17&gt;3.5,C17&lt;=6.3,C45=3),6,IF(AND(C146&gt;800,C146&lt;=1600,C17&gt;6.3,C17&lt;=10,C45=3),6.5,C352))))))</f>
        <v>11</v>
      </c>
      <c r="D351" s="2953"/>
      <c r="E351" s="2848"/>
      <c r="F351" s="2906"/>
      <c r="G351" s="2809">
        <f>IF(AND(G146&gt;400,G146&lt;=800,G17&gt;=1,G17&lt;=3.5,G45=3),4.5,IF(AND(G146&gt;400,G146&lt;=800,G17&gt;3.5,G17&lt;=6.3,G45=3),5,IF(AND(G146&gt;400,G146&lt;=800,G17&gt;6.3,G17&lt;=10,G45=3),5.5,IF(AND(G146&gt;800,G146&lt;=1600,G17&gt;=1,G17&lt;=3.5,G45=3),5.5,IF(AND(G146&gt;800,G146&lt;=1600,G17&gt;3.5,G17&lt;=6.3,G45=3),6,IF(AND(G146&gt;800,G146&lt;=1600,G17&gt;6.3,G17&lt;=10,G45=3),6.5,G352))))))</f>
        <v>11</v>
      </c>
      <c r="H351" s="2900"/>
      <c r="I351" s="2972"/>
      <c r="J351" s="2892"/>
      <c r="K351" s="2797"/>
      <c r="L351" s="2817"/>
    </row>
    <row r="352" spans="1:12">
      <c r="A352" s="2966"/>
      <c r="B352" s="2870"/>
      <c r="C352" s="2809">
        <f>IF(AND(C146&lt;=125,C17&gt;=1,C17&lt;=3.5,C45=4),4.8,IF(AND(C146&lt;=125,C17&gt;3.5,C17&lt;=6.3,C45=4),5.3,IF(AND(C146&lt;=125,C17&gt;6.3,C17&lt;=10,C45=4),6,IF(AND(C146&gt;125,C146&lt;=400,C17&gt;=1,C17&lt;=3.5,C45=4),5.3,IF(AND(C146&gt;125,C146&lt;=400,C17&gt;3.5,C17&lt;=6.3,C45=4),6,IF(AND(C146&gt;125,C146&lt;=400,C17&gt;6.3,C17&lt;=10,C45=4),6.5,C353))))))</f>
        <v>11</v>
      </c>
      <c r="D352" s="2953"/>
      <c r="E352" s="2848"/>
      <c r="F352" s="2906"/>
      <c r="G352" s="2809">
        <f>IF(AND(G146&lt;=125,G17&gt;=1,G17&lt;=3.5,G45=4),4.8,IF(AND(G146&lt;=125,G17&gt;3.5,G17&lt;=6.3,G45=4),5.3,IF(AND(G146&lt;=125,G17&gt;6.3,G17&lt;=10,G45=4),6,IF(AND(G146&gt;125,G146&lt;=400,G17&gt;=1,G17&lt;=3.5,G45=4),5.3,IF(AND(G146&gt;125,G146&lt;=400,G17&gt;3.5,G17&lt;=6.3,G45=4),6,IF(AND(G146&gt;125,G146&lt;=400,G17&gt;6.3,G17&lt;=10,G45=4),6.5,G353))))))</f>
        <v>11</v>
      </c>
      <c r="H352" s="2900"/>
      <c r="I352" s="2972"/>
      <c r="J352" s="2892"/>
      <c r="K352" s="2797"/>
      <c r="L352" s="2817"/>
    </row>
    <row r="353" spans="1:12">
      <c r="A353" s="2953"/>
      <c r="B353" s="2870"/>
      <c r="C353" s="2809">
        <f>IF(AND(C146&gt;400,C146&lt;=800,C17&gt;=1,C17&lt;=3.5,C45=4),6.5,IF(AND(C146&gt;400,C146&lt;=800,C17&gt;3.5,C17&lt;=6.3,C45=4),7,IF(AND(C146&gt;400,C146&lt;=800,C17&gt;6.3,C17&lt;=10,C45=4),7.5,IF(AND(C146&gt;800,C146&lt;=1600,C17&gt;=1,C17&lt;=3.5,C45=4),8,IF(AND(C146&gt;800,C146&lt;=1600,C17&gt;3.5,C17&lt;=6.3,C45=4),9,IF(AND(C146&gt;800,C146&lt;=1600,C17&gt;6.3,C17&lt;=10,C45=4),9.5,C354))))))</f>
        <v>11</v>
      </c>
      <c r="D353" s="2953"/>
      <c r="E353" s="2848"/>
      <c r="F353" s="2906"/>
      <c r="G353" s="2809">
        <f>IF(AND(G146&gt;400,G146&lt;=800,G17&gt;=1,G17&lt;=3.5,G45=4),6.5,IF(AND(G146&gt;400,G146&lt;=800,G17&gt;3.5,G17&lt;=6.3,G45=4),7,IF(AND(G146&gt;400,G146&lt;=800,G17&gt;6.3,G17&lt;=10,G45=4),7.5,IF(AND(G146&gt;800,G146&lt;=1600,G17&gt;=1,G17&lt;=3.5,G45=4),8,IF(AND(G146&gt;800,G146&lt;=1600,G17&gt;3.5,G17&lt;=6.3,G45=4),9,IF(AND(G146&gt;800,G146&lt;=1600,G17&gt;6.3,G17&lt;=10,G45=4),9.5,G354))))))</f>
        <v>11</v>
      </c>
      <c r="H353" s="2900"/>
      <c r="I353" s="2972"/>
      <c r="J353" s="2892"/>
      <c r="K353" s="2797"/>
      <c r="L353" s="2817"/>
    </row>
    <row r="354" spans="1:12">
      <c r="A354" s="2953"/>
      <c r="B354" s="2870"/>
      <c r="C354" s="2809">
        <f>IF(AND(C146&lt;=125,C17&gt;=1,C17&lt;=3.5,C45=5),6,IF(AND(C146&lt;=125,C17&gt;3.5,C17&lt;=6.3,C45=5),7,IF(AND(C146&lt;=125,C17&gt;6.3,C17&lt;=10,C45=5),8,IF(AND(C146&gt;125,C146&lt;=400,C17&gt;=1,C17&lt;=3.5,C45=5),7,IF(AND(C146&gt;125,C146&lt;=400,C17&gt;3.5,C17&lt;=6.3,C45=5),8,IF(AND(C146&gt;125,C146&lt;=400,C17&gt;6.3,C17&lt;=10,C45=5),9,C355))))))</f>
        <v>11</v>
      </c>
      <c r="D354" s="2953"/>
      <c r="E354" s="2848"/>
      <c r="F354" s="2906"/>
      <c r="G354" s="2809">
        <f>IF(AND(G146&lt;=125,G17&gt;=1,G17&lt;=3.5,G45=5),6,IF(AND(G146&lt;=125,G17&gt;3.5,G17&lt;=6.3,G45=5),7,IF(AND(G146&lt;=125,G17&gt;6.3,G17&lt;=10,G45=5),8,IF(AND(G146&gt;125,G146&lt;=400,G17&gt;=1,G17&lt;=3.5,G45=5),7,IF(AND(G146&gt;125,G146&lt;=400,G17&gt;3.5,G17&lt;=6.3,G45=5),8,IF(AND(G146&gt;125,G146&lt;=400,G17&gt;6.3,G17&lt;=10,G45=5),9,G355))))))</f>
        <v>11</v>
      </c>
      <c r="H354" s="2900"/>
      <c r="I354" s="2972"/>
      <c r="J354" s="2892"/>
      <c r="K354" s="2797"/>
      <c r="L354" s="2817"/>
    </row>
    <row r="355" spans="1:12">
      <c r="A355" s="2953"/>
      <c r="B355" s="2870"/>
      <c r="C355" s="2809">
        <f>IF(AND(C146&gt;400,C146&lt;=800,C17&gt;=1,C17&lt;=3.5,C45=5),9,IF(AND(C146&gt;400,C146&lt;=800,C17&gt;3.5,C17&lt;=6.3,C45=5),10,IF(AND(C146&gt;400,C146&lt;=800,C17&gt;6.3,C17&lt;=11,C45=5),11,IF(AND(C146&gt;800,C146&lt;=1600,C17&gt;=1,C17&lt;=3.5,C45=5),11,IF(AND(C146&gt;800,C146&lt;=1600,C17&gt;3.5,C17&lt;=6.3,C45=5),13,IF(AND(C146&gt;800,C146&lt;=1600,C17&gt;6.3,C17&lt;=10,C45=5),14,C356))))))</f>
        <v>11</v>
      </c>
      <c r="D355" s="2953"/>
      <c r="E355" s="2848"/>
      <c r="F355" s="2906"/>
      <c r="G355" s="2809">
        <f>IF(AND(G146&gt;400,G146&lt;=800,G17&gt;=1,G17&lt;=3.5,G45=5),9,IF(AND(G146&gt;400,G146&lt;=800,G17&gt;3.5,G17&lt;=6.3,G45=5),10,IF(AND(G146&gt;400,G146&lt;=800,G17&gt;6.3,G17&lt;=11,G45=5),11,IF(AND(G146&gt;800,G146&lt;=1600,G17&gt;=1,G17&lt;=3.5,G45=5),11,IF(AND(G146&gt;800,G146&lt;=1600,G17&gt;3.5,G17&lt;=6.3,G45=5),13,IF(AND(G146&gt;800,G146&lt;=1600,G17&gt;6.3,G17&lt;=10,G45=5),14,G356))))))</f>
        <v>11</v>
      </c>
      <c r="H355" s="2900"/>
      <c r="I355" s="2972"/>
      <c r="J355" s="2892"/>
      <c r="K355" s="2797"/>
      <c r="L355" s="2817"/>
    </row>
    <row r="356" spans="1:12">
      <c r="A356" s="2953"/>
      <c r="B356" s="2870"/>
      <c r="C356" s="2809">
        <f>IF(AND(C146&lt;=125,C17&gt;=1,C17&lt;=3.5,C45=6),8,IF(AND(C146&lt;=125,C17&gt;3.5,C17&lt;=6.3,C45=6),10,IF(AND(C146&lt;=125,C17&gt;6.3,C17&lt;=10,C45=6),12,IF(AND(C146&gt;125,C146&lt;=400,C17&gt;=1,C17&lt;=3.5,C45=6),9,IF(AND(C146&gt;125,C146&lt;=400,C17&gt;3.5,C17&lt;=6.3,C45=6),10,IF(AND(C146&gt;125,C146&lt;=400,C17&gt;6.3,C17&lt;=10,C45=6),13,C357))))))</f>
        <v>11</v>
      </c>
      <c r="D356" s="2953"/>
      <c r="E356" s="2848"/>
      <c r="F356" s="2906"/>
      <c r="G356" s="2809">
        <f>IF(AND(G146&lt;=125,G17&gt;=1,G17&lt;=3.5,G45=6),8,IF(AND(G146&lt;=125,G17&gt;3.5,G17&lt;=6.3,G45=6),10,IF(AND(G146&lt;=125,G17&gt;6.3,G17&lt;=10,G45=6),12,IF(AND(G146&gt;125,G146&lt;=400,G17&gt;=1,G17&lt;=3.5,G45=6),9,IF(AND(G146&gt;125,G146&lt;=400,G17&gt;3.5,G17&lt;=6.3,G45=6),10,IF(AND(G146&gt;125,G146&lt;=400,G17&gt;6.3,G17&lt;=10,G45=6),13,G357))))))</f>
        <v>11</v>
      </c>
      <c r="H356" s="2900"/>
      <c r="I356" s="2972"/>
      <c r="J356" s="2892"/>
      <c r="K356" s="2797"/>
      <c r="L356" s="2817"/>
    </row>
    <row r="357" spans="1:12">
      <c r="A357" s="2953"/>
      <c r="B357" s="2870"/>
      <c r="C357" s="2809">
        <f>IF(AND(C146&gt;400,C146&lt;=800,C17&gt;=1,C17&lt;=3.5,C45=6),12,IF(AND(C146&gt;400,C146&lt;=800,C17&gt;3.5,C17&lt;=6.3,C45=6),14,IF(AND(C146&gt;400,C146&lt;=800,C17&gt;6.3,C17&lt;=10,C45=6),16,IF(AND(C146&gt;800,C146&lt;=1600,C17&gt;=1,C17&lt;=3.5,C45=6),17,IF(AND(C146&gt;800,C146&lt;=1600,C17&gt;3.5,C17&lt;=6.3,C45=6),18,IF(AND(C146&gt;800,C146&lt;=1600,C17&gt;6.3,C17&lt;=10,C45=6),20,C358))))))</f>
        <v>11</v>
      </c>
      <c r="D357" s="2953"/>
      <c r="E357" s="2848"/>
      <c r="F357" s="2906"/>
      <c r="G357" s="2809">
        <f>IF(AND(G146&gt;400,G146&lt;=800,G17&gt;=1,G17&lt;=3.5,G45=6),12,IF(AND(G146&gt;400,G146&lt;=800,G17&gt;3.5,G17&lt;=6.3,G45=6),14,IF(AND(G146&gt;400,G146&lt;=800,G17&gt;6.3,G17&lt;=10,G45=6),16,IF(AND(G146&gt;800,G146&lt;=1600,G17&gt;=1,G17&lt;=3.5,G45=6),17,IF(AND(G146&gt;800,G146&lt;=1600,G17&gt;3.5,G17&lt;=6.3,G45=6),18,IF(AND(G146&gt;800,G146&lt;=1600,G17&gt;6.3,G17&lt;=10,G45=6),20,G358))))))</f>
        <v>11</v>
      </c>
      <c r="H357" s="2900"/>
      <c r="I357" s="2972"/>
      <c r="J357" s="2892"/>
      <c r="K357" s="2797"/>
      <c r="L357" s="2817"/>
    </row>
    <row r="358" spans="1:12">
      <c r="A358" s="2953"/>
      <c r="B358" s="2870"/>
      <c r="C358" s="2809">
        <f>IF(AND(C146&lt;=125,C17&gt;=1,C17&lt;=3.5,C45=7),11,IF(AND(C146&lt;=125,C17&gt;3.5,C17&lt;=6.3,C45=7),14,IF(AND(C146&lt;=125,C17&gt;6.3,C17&lt;=10,C45=7),17,IF(AND(C146&gt;125,C146&lt;=400,C17&gt;=1,C17&lt;=3.5,C45=7),13,IF(AND(C146&gt;125,C146&lt;=400,C17&gt;3.5,C17&lt;=6.3,C45=7),16,IF(AND(C146&gt;125,C146&lt;=400,C17&gt;6.3,C17&lt;=10,C45=7),19,C359))))))</f>
        <v>11</v>
      </c>
      <c r="D358" s="2953"/>
      <c r="E358" s="2848"/>
      <c r="F358" s="2906"/>
      <c r="G358" s="2809">
        <f>IF(AND(G146&lt;=125,G17&gt;=1,G17&lt;=3.5,G45=7),11,IF(AND(G146&lt;=125,G17&gt;3.5,G17&lt;=6.3,G45=7),14,IF(AND(G146&lt;=125,G17&gt;6.3,G17&lt;=10,G45=7),17,IF(AND(G146&gt;125,G146&lt;=400,G17&gt;=1,G17&lt;=3.5,G45=7),13,IF(AND(G146&gt;125,G146&lt;=400,G17&gt;3.5,G17&lt;=6.3,G45=7),16,IF(AND(G146&gt;125,G146&lt;=400,G17&gt;6.3,G17&lt;=10,G45=7),19,G359))))))</f>
        <v>11</v>
      </c>
      <c r="H358" s="2900"/>
      <c r="I358" s="2972"/>
      <c r="J358" s="2892"/>
      <c r="K358" s="2797"/>
      <c r="L358" s="2817"/>
    </row>
    <row r="359" spans="1:12">
      <c r="A359" s="2953"/>
      <c r="B359" s="2870"/>
      <c r="C359" s="2809" t="str">
        <f>IF(AND(C146&gt;400,C146&lt;=800,C17&gt;=1,C17&lt;=3.5,C45=7),17,IF(AND(C146&gt;400,C146&lt;=800,C17&gt;3.5,C17&lt;=6.3,C45=7),20,IF(AND(C146&gt;400,C146&lt;=800,C17&gt;6.3,C17&lt;=10,C45=7),24,IF(AND(C146&gt;800,C146&lt;=1600,C17&gt;=1,C17&lt;=3.5,C45=7),24,IF(AND(C146&gt;800,C146&lt;=1600,C17&gt;3.5,C17&lt;=6.3,C45=7),28,IF(AND(C146&gt;800,C146&lt;=1600,C17&gt;6.3,C17&lt;=10,C45=7),30,C360))))))</f>
        <v>*</v>
      </c>
      <c r="D359" s="2953"/>
      <c r="E359" s="2848"/>
      <c r="F359" s="2906"/>
      <c r="G359" s="2809" t="str">
        <f>IF(AND(G146&gt;400,G146&lt;=800,G17&gt;=1,G17&lt;=3.5,G45=7),17,IF(AND(G146&gt;400,G146&lt;=800,G17&gt;3.5,G17&lt;=6.3,G45=7),20,IF(AND(G146&gt;400,G146&lt;=800,G17&gt;6.3,G17&lt;=10,G45=7),24,IF(AND(G146&gt;800,G146&lt;=1600,G17&gt;=1,G17&lt;=3.5,G45=7),24,IF(AND(G146&gt;800,G146&lt;=1600,G17&gt;3.5,G17&lt;=6.3,G45=7),28,IF(AND(G146&gt;800,G146&lt;=1600,G17&gt;6.3,G17&lt;=10,G45=7),30,G360))))))</f>
        <v>*</v>
      </c>
      <c r="H359" s="2900"/>
      <c r="I359" s="2972"/>
      <c r="J359" s="2892"/>
      <c r="K359" s="2797"/>
      <c r="L359" s="2817"/>
    </row>
    <row r="360" spans="1:12">
      <c r="A360" s="2953"/>
      <c r="B360" s="2870"/>
      <c r="C360" s="2809" t="str">
        <f>IF(AND(C146&lt;=125,C17&gt;=1,C17&lt;=3.5,C45=8),14,IF(AND(C146&lt;=125,C17&gt;3.5,C17&lt;=6.3,C45=8),20,IF(AND(C146&lt;=125,C17&gt;6.3,C17&lt;=10,C45=8),22,IF(AND(C146&gt;125,C146&lt;=400,C17&gt;=1,C17&lt;=3.5,C45=8),18,IF(AND(C146&gt;125,C146&lt;=400,C17&gt;3.5,C17&lt;=6.3,C45=8),22,IF(AND(C146&gt;125,C146&lt;=400,C17&gt;6.3,C17&lt;=10,C45=8),28,C361))))))</f>
        <v>*</v>
      </c>
      <c r="D360" s="2953"/>
      <c r="E360" s="2848"/>
      <c r="F360" s="2906"/>
      <c r="G360" s="2809" t="str">
        <f>IF(AND(G146&lt;=125,G17&gt;=1,G17&lt;=3.5,G45=8),14,IF(AND(G146&lt;=125,G17&gt;3.5,G17&lt;=6.3,G45=8),20,IF(AND(G146&lt;=125,G17&gt;6.3,G17&lt;=10,G45=8),22,IF(AND(G146&gt;125,G146&lt;=400,G17&gt;=1,G17&lt;=3.5,G45=8),18,IF(AND(G146&gt;125,G146&lt;=400,G17&gt;3.5,G17&lt;=6.3,G45=8),22,IF(AND(G146&gt;125,G146&lt;=400,G17&gt;6.3,G17&lt;=10,G45=8),28,G361))))))</f>
        <v>*</v>
      </c>
      <c r="H360" s="2900"/>
      <c r="I360" s="2972"/>
      <c r="J360" s="2892"/>
      <c r="K360" s="2797"/>
      <c r="L360" s="2817"/>
    </row>
    <row r="361" spans="1:12">
      <c r="A361" s="2953"/>
      <c r="B361" s="2870"/>
      <c r="C361" s="2809" t="str">
        <f>IF(AND(C146&gt;400,C146&lt;=800,C17&gt;=1,C17&lt;=3.5,C45=8),25,IF(AND(C146&gt;400,C146&lt;=800,C17&gt;3.5,C17&lt;=6.3,C45=8),28,IF(AND(C146&gt;400,C146&lt;=800,C17&gt;6.3,C17&lt;=10,C45=8),36,IF(AND(C146&gt;800,C146&lt;=1600,C17&gt;=1,C17&lt;=3.5,C45=8),36,IF(AND(C146&gt;800,C146&lt;=1600,C17&gt;3.5,C17&lt;=6.3,C45=8),40,IF(AND(C146&gt;800,C146&lt;=1600,C17&gt;6.3,C17&lt;=10,C45=8),45,"*"))))))</f>
        <v>*</v>
      </c>
      <c r="D361" s="2953"/>
      <c r="E361" s="2848"/>
      <c r="F361" s="2906"/>
      <c r="G361" s="2809" t="str">
        <f>IF(AND(G146&gt;400,G146&lt;=800,G17&gt;=1,G17&lt;=3.5,G45=8),25,IF(AND(G146&gt;400,G146&lt;=800,G17&gt;3.5,G17&lt;=6.3,G45=8),28,IF(AND(G146&gt;400,G146&lt;=800,G17&gt;6.3,G17&lt;=10,G45=8),36,IF(AND(G146&gt;800,G146&lt;=1600,G17&gt;=1,G17&lt;=3.5,G45=8),36,IF(AND(G146&gt;800,G146&lt;=1600,G17&gt;3.5,G17&lt;=6.3,G45=8),40,IF(AND(G146&gt;800,G146&lt;=1600,G17&gt;6.3,G17&lt;=10,G45=8),45,"*"))))))</f>
        <v>*</v>
      </c>
      <c r="H361" s="2900"/>
      <c r="I361" s="2972"/>
      <c r="J361" s="2892"/>
      <c r="K361" s="2797"/>
      <c r="L361" s="2817"/>
    </row>
    <row r="362" spans="1:12">
      <c r="A362" s="2803" t="s">
        <v>3209</v>
      </c>
      <c r="B362" s="2806" t="s">
        <v>3210</v>
      </c>
      <c r="C362" s="2797">
        <f>IF(AND(C21&lt;=40,C46=3),4.5,IF(AND(C21&gt;40,C21&lt;=100,C46=3),6,IF(AND(C21&gt;100,C21&lt;=160,C46=3),8,IF(AND(C21&gt;160,C21&lt;=250,C46=3),10,C363))))</f>
        <v>11</v>
      </c>
      <c r="D362" s="2953"/>
      <c r="E362" s="2848"/>
      <c r="F362" s="2813"/>
      <c r="G362" s="2809"/>
      <c r="H362" s="2900"/>
      <c r="I362" s="2972"/>
      <c r="J362" s="2892"/>
      <c r="K362" s="2797"/>
      <c r="L362" s="2817"/>
    </row>
    <row r="363" spans="1:12">
      <c r="A363" s="2953"/>
      <c r="B363" s="2870"/>
      <c r="C363" s="2809">
        <f>IF(AND(C21&lt;=40,C46=4),5.5,IF(AND(C21&gt;40,C21&lt;=100,C46=4),8,IF(AND(C21&gt;100,C21&lt;=160,C46=4),10,IF(AND(C21&gt;160,C21&lt;=250,C46=4),12,C364))))</f>
        <v>11</v>
      </c>
      <c r="D363" s="2953"/>
      <c r="E363" s="2848"/>
      <c r="F363" s="2906"/>
      <c r="G363" s="2809"/>
      <c r="H363" s="2900"/>
      <c r="I363" s="2972"/>
      <c r="J363" s="2892"/>
      <c r="K363" s="2797"/>
      <c r="L363" s="2817"/>
    </row>
    <row r="364" spans="1:12">
      <c r="A364" s="2953"/>
      <c r="B364" s="2870"/>
      <c r="C364" s="2809">
        <f>IF(AND(C21&lt;=40,C46=5),7,IF(AND(C21&gt;40,C21&lt;=100,C46=5),10,IF(AND(C21&gt;100,C21&lt;=160,C46=5),12,IF(AND(C21&gt;160,C21&lt;=250,C46=5),16,C365))))</f>
        <v>11</v>
      </c>
      <c r="D364" s="2953"/>
      <c r="E364" s="2848"/>
      <c r="F364" s="2906"/>
      <c r="G364" s="2809"/>
      <c r="H364" s="2900"/>
      <c r="I364" s="2972"/>
      <c r="J364" s="2892"/>
      <c r="K364" s="2797"/>
      <c r="L364" s="2817"/>
    </row>
    <row r="365" spans="1:12">
      <c r="A365" s="2953"/>
      <c r="B365" s="2870"/>
      <c r="C365" s="2809">
        <f>IF(AND(C21&lt;=40,C46=6),9,IF(AND(C21&gt;40,C21&lt;=100,C46=6),12,IF(AND(C21&gt;100,C21&lt;=160,C46=6),16,IF(AND(C21&gt;160,C21&lt;=250,C46=6),19,C366))))</f>
        <v>11</v>
      </c>
      <c r="D365" s="2953"/>
      <c r="E365" s="2848"/>
      <c r="F365" s="2906"/>
      <c r="G365" s="2809"/>
      <c r="H365" s="2900"/>
      <c r="I365" s="2972"/>
      <c r="J365" s="2892"/>
      <c r="K365" s="2797"/>
      <c r="L365" s="2817"/>
    </row>
    <row r="366" spans="1:12">
      <c r="A366" s="2953"/>
      <c r="B366" s="2870"/>
      <c r="C366" s="2809">
        <f>IF(AND(C21&lt;=40,C46=7),11,IF(AND(C21&gt;40,C21&lt;=100,C46=7),16,IF(AND(C21&gt;100,C21&lt;=160,C46=7),20,IF(AND(C21&gt;160,C21&lt;=250,C46=7),24,C367))))</f>
        <v>11</v>
      </c>
      <c r="D366" s="2953"/>
      <c r="E366" s="2848"/>
      <c r="F366" s="2906"/>
      <c r="G366" s="2809"/>
      <c r="H366" s="2900"/>
      <c r="I366" s="2972"/>
      <c r="J366" s="2892"/>
      <c r="K366" s="2797"/>
      <c r="L366" s="2817"/>
    </row>
    <row r="367" spans="1:12">
      <c r="A367" s="2953"/>
      <c r="B367" s="2870"/>
      <c r="C367" s="2809" t="str">
        <f>IF(AND(C21&lt;=40,C46=8),18,IF(AND(C21&gt;40,C21&lt;=100,C46=8),25,IF(AND(C21&gt;100,C21&lt;=160,C46=8),32,IF(AND(C21&gt;160,C21&lt;=250,C46=8),38,"*"))))</f>
        <v>*</v>
      </c>
      <c r="D367" s="2953"/>
      <c r="E367" s="2848"/>
      <c r="F367" s="2906"/>
      <c r="G367" s="2809"/>
      <c r="H367" s="2900"/>
      <c r="I367" s="2972"/>
      <c r="J367" s="2892"/>
      <c r="K367" s="2797"/>
      <c r="L367" s="2817"/>
    </row>
    <row r="368" spans="1:12">
      <c r="A368" s="2797" t="s">
        <v>3211</v>
      </c>
      <c r="B368" s="2810" t="s">
        <v>3212</v>
      </c>
      <c r="C368" s="2797">
        <f>IF(C46=3,65,IF(C46=4,60,IF(AND(C46=5,C210&gt;0.8),45,IF(AND(C46=5,C210&lt;=0.8),55,IF(AND(C46=6,C210&gt;0.8),40,IF(AND(C46=6,C210&lt;=0.8),50,D368))))))</f>
        <v>45</v>
      </c>
      <c r="D368" s="2809">
        <f>IF(AND(C46=7,C210&gt;0.8),35,IF(AND(C46=7,C210&lt;=0.8),45,IF(AND(C46=8,C210&gt;0.8),30,IF(AND(C46=8,C210&lt;=0.8),40,"*"))))</f>
        <v>45</v>
      </c>
      <c r="E368" s="2848"/>
      <c r="F368" s="2906"/>
      <c r="G368" s="2809"/>
      <c r="H368" s="2900"/>
      <c r="I368" s="2972"/>
      <c r="J368" s="2975"/>
      <c r="K368" s="2797"/>
      <c r="L368" s="2817"/>
    </row>
    <row r="369" spans="1:12" ht="14.25">
      <c r="A369" s="2797"/>
      <c r="B369" s="2810" t="s">
        <v>3213</v>
      </c>
      <c r="C369" s="2797">
        <f>IF(C46=3,95,IF(C46=4,90,IF(C46=5,80,IF(C46=6,70,IF(C46=7,60,IF(C46=8,50,""))))))</f>
        <v>60</v>
      </c>
      <c r="D369" s="2953"/>
      <c r="E369" s="2848"/>
      <c r="F369" s="2906"/>
      <c r="G369" s="2809"/>
      <c r="H369" s="2900"/>
      <c r="I369" s="2972"/>
      <c r="J369" s="2975"/>
      <c r="K369" s="2797"/>
      <c r="L369" s="2817"/>
    </row>
    <row r="370" spans="1:12">
      <c r="A370" s="2797" t="s">
        <v>3214</v>
      </c>
      <c r="B370" s="2801" t="s">
        <v>3215</v>
      </c>
      <c r="C370" s="3396">
        <f>IF(AND(C173&lt;=40,C46=3),4.5,IF(AND(C173&gt;40,C173&lt;=100,C46=3),6,IF(AND(C173&gt;100,C173&lt;=160,C46=3),8,IF(AND(C173&gt;160,C173&lt;=250,C46=3),10,C371))))</f>
        <v>11</v>
      </c>
      <c r="D370" s="2953"/>
      <c r="E370" s="2797"/>
      <c r="F370" s="2906"/>
      <c r="G370" s="2809"/>
      <c r="H370" s="2900"/>
      <c r="I370" s="2972"/>
      <c r="J370" s="2965"/>
      <c r="K370" s="2797"/>
      <c r="L370" s="2817"/>
    </row>
    <row r="371" spans="1:12">
      <c r="A371" s="2797"/>
      <c r="B371" s="2801"/>
      <c r="C371" s="2809">
        <f>IF(AND(C173&lt;=40,C46=4),5.5,IF(AND(C173&gt;40,C173&lt;=100,C46=4),8,IF(AND(C173&gt;100,C173&lt;=160,C46=4),10,IF(AND(C173&gt;160,C173&lt;=250,C46=4),12,C372))))</f>
        <v>11</v>
      </c>
      <c r="D371" s="2953"/>
      <c r="E371" s="2809"/>
      <c r="F371" s="2906"/>
      <c r="G371" s="2809"/>
      <c r="H371" s="2900"/>
      <c r="I371" s="2972"/>
      <c r="J371" s="2965"/>
      <c r="K371" s="2797"/>
      <c r="L371" s="2817"/>
    </row>
    <row r="372" spans="1:12">
      <c r="A372" s="2797"/>
      <c r="B372" s="2801"/>
      <c r="C372" s="2809">
        <f>IF(AND(C173&lt;=40,C46=5),7,IF(AND(C173&gt;40,C173&lt;=100,C46=5),10,IF(AND(C173&gt;100,C173&lt;=160,C46=5),12,IF(AND(C173&gt;160,C173&lt;=250,C46=5),16,C373))))</f>
        <v>11</v>
      </c>
      <c r="D372" s="2953"/>
      <c r="E372" s="2809"/>
      <c r="F372" s="2906"/>
      <c r="G372" s="2809"/>
      <c r="H372" s="2900"/>
      <c r="I372" s="2972"/>
      <c r="J372" s="2965"/>
      <c r="K372" s="2797"/>
      <c r="L372" s="2817"/>
    </row>
    <row r="373" spans="1:12">
      <c r="A373" s="2797"/>
      <c r="B373" s="2801"/>
      <c r="C373" s="2809">
        <f>IF(AND(C173&lt;=40,C46=3),4.5,IF(AND(C173&gt;40,C173&lt;=100,C46=3),6,IF(AND(C173&gt;100,C173&lt;=160,C46=3),8,IF(AND(C173&gt;160,C173&lt;=250,C46=3),10,C374))))</f>
        <v>11</v>
      </c>
      <c r="D373" s="2953"/>
      <c r="E373" s="2809"/>
      <c r="F373" s="2906"/>
      <c r="G373" s="2809"/>
      <c r="H373" s="2900"/>
      <c r="I373" s="2972"/>
      <c r="J373" s="2965"/>
      <c r="K373" s="2797"/>
      <c r="L373" s="2817"/>
    </row>
    <row r="374" spans="1:12">
      <c r="A374" s="2797"/>
      <c r="B374" s="2801"/>
      <c r="C374" s="2809">
        <f>IF(AND(C173&lt;=40,C46=7),11,IF(AND(C173&gt;40,C173&lt;=100,C46=7),16,IF(AND(C173&gt;100,C173&lt;=160,C46=7),20,IF(AND(C173&gt;160,C173&lt;=250,C46=7),24,C375))))</f>
        <v>11</v>
      </c>
      <c r="D374" s="2953"/>
      <c r="E374" s="2809"/>
      <c r="F374" s="2906"/>
      <c r="G374" s="2809"/>
      <c r="H374" s="2900"/>
      <c r="I374" s="2972"/>
      <c r="J374" s="2965"/>
      <c r="K374" s="2797"/>
      <c r="L374" s="2817"/>
    </row>
    <row r="375" spans="1:12">
      <c r="A375" s="2797"/>
      <c r="B375" s="2801"/>
      <c r="C375" s="2809" t="str">
        <f>IF(AND(C173&lt;=40,C46=8),18,IF(AND(C173&gt;40,C173&lt;=100,C46=8),25,IF(AND(C173&gt;100,C173&lt;=160,C46=8),32,IF(AND(C173&gt;160,C173&lt;=250,C46=8),38,"*"))))</f>
        <v>*</v>
      </c>
      <c r="D375" s="2953"/>
      <c r="E375" s="2809"/>
      <c r="F375" s="2906"/>
      <c r="G375" s="2809"/>
      <c r="H375" s="2900"/>
      <c r="I375" s="2972"/>
      <c r="J375" s="2965"/>
      <c r="K375" s="2797"/>
      <c r="L375" s="2817"/>
    </row>
    <row r="376" spans="1:12">
      <c r="A376" s="2797" t="s">
        <v>3216</v>
      </c>
      <c r="B376" s="2801" t="s">
        <v>3217</v>
      </c>
      <c r="C376" s="2797">
        <f>C362</f>
        <v>11</v>
      </c>
      <c r="D376" s="2953"/>
      <c r="E376" s="2848"/>
      <c r="F376" s="2906"/>
      <c r="G376" s="2809"/>
      <c r="H376" s="2900"/>
      <c r="I376" s="2972"/>
      <c r="J376" s="2965"/>
      <c r="K376" s="2797"/>
      <c r="L376" s="2817"/>
    </row>
    <row r="377" spans="1:12">
      <c r="A377" s="2797" t="s">
        <v>3218</v>
      </c>
      <c r="B377" s="2806" t="s">
        <v>3219</v>
      </c>
      <c r="C377" s="2797">
        <f>ROUND(C378*COS(C137),0)</f>
        <v>56</v>
      </c>
      <c r="D377" s="2953"/>
      <c r="E377" s="2848"/>
      <c r="F377" s="2906"/>
      <c r="G377" s="2809"/>
      <c r="H377" s="2900"/>
      <c r="I377" s="2972"/>
      <c r="J377" s="2965"/>
      <c r="K377" s="2797"/>
      <c r="L377" s="2817"/>
    </row>
    <row r="378" spans="1:12">
      <c r="A378" s="2900" t="s">
        <v>3220</v>
      </c>
      <c r="B378" s="2801" t="s">
        <v>3221</v>
      </c>
      <c r="C378" s="2797">
        <f>ROUND(C304+C350,0)</f>
        <v>56</v>
      </c>
      <c r="D378" s="2953"/>
      <c r="E378" s="2848"/>
      <c r="F378" s="2801" t="s">
        <v>3222</v>
      </c>
      <c r="G378" s="2797">
        <f>ROUND(G304+G350,0)</f>
        <v>74</v>
      </c>
      <c r="H378" s="2900"/>
      <c r="I378" s="2972"/>
      <c r="J378" s="2965"/>
      <c r="K378" s="2809"/>
      <c r="L378" s="2817"/>
    </row>
    <row r="379" spans="1:12">
      <c r="A379" s="2976" t="s">
        <v>3223</v>
      </c>
      <c r="B379" s="2801" t="s">
        <v>3224</v>
      </c>
      <c r="C379" s="2797">
        <f>ROUND(0.6*(C326+C350),0)</f>
        <v>15</v>
      </c>
      <c r="D379" s="2953"/>
      <c r="E379" s="2848"/>
      <c r="F379" s="2801" t="s">
        <v>3225</v>
      </c>
      <c r="G379" s="2797">
        <f>ROUND(0.6*(G326+G350),0)</f>
        <v>15</v>
      </c>
      <c r="H379" s="2900"/>
      <c r="I379" s="2972"/>
      <c r="J379" s="2965"/>
      <c r="K379" s="2809"/>
      <c r="L379" s="2817"/>
    </row>
    <row r="380" spans="1:12">
      <c r="A380" s="2900" t="s">
        <v>3226</v>
      </c>
      <c r="B380" s="2801" t="s">
        <v>3227</v>
      </c>
      <c r="C380" s="2797">
        <f>IF(C58&lt;&gt;"",C58,D407/1000)</f>
        <v>-5.6000000000000001E-2</v>
      </c>
      <c r="D380" s="2953"/>
      <c r="E380" s="2848"/>
      <c r="F380" s="2801" t="s">
        <v>3228</v>
      </c>
      <c r="G380" s="2797">
        <f>IF(C60&lt;&gt;"",C60,D409/1000)</f>
        <v>-8.4000000000000005E-2</v>
      </c>
      <c r="H380" s="2900"/>
      <c r="I380" s="2803"/>
      <c r="J380" s="2965"/>
      <c r="K380" s="2797"/>
      <c r="L380" s="2817"/>
    </row>
    <row r="381" spans="1:12">
      <c r="A381" s="2900" t="s">
        <v>3229</v>
      </c>
      <c r="B381" s="2801" t="s">
        <v>3230</v>
      </c>
      <c r="C381" s="2797">
        <f>IF(C59&lt;&gt;"",C59,D408/1000)</f>
        <v>-0.16800000000000001</v>
      </c>
      <c r="D381" s="2953"/>
      <c r="E381" s="2848"/>
      <c r="F381" s="2801" t="s">
        <v>3231</v>
      </c>
      <c r="G381" s="2797">
        <f>IF(C61&lt;&gt;"",C61,D410/1000)</f>
        <v>-0.14000000000000001</v>
      </c>
      <c r="H381" s="2900"/>
      <c r="I381" s="2803"/>
      <c r="J381" s="2965"/>
      <c r="K381" s="2797"/>
      <c r="L381" s="2809"/>
    </row>
    <row r="382" spans="1:12">
      <c r="A382" s="2813" t="s">
        <v>3232</v>
      </c>
      <c r="B382" s="2801" t="s">
        <v>3233</v>
      </c>
      <c r="C382" s="2797">
        <f>ABS(C380-C381)</f>
        <v>0.112</v>
      </c>
      <c r="D382" s="2953"/>
      <c r="E382" s="2848"/>
      <c r="F382" s="2801" t="s">
        <v>3234</v>
      </c>
      <c r="G382" s="2797">
        <f>ABS(G380-G381)</f>
        <v>5.6000000000000001E-2</v>
      </c>
      <c r="H382" s="2900"/>
      <c r="I382" s="2803"/>
      <c r="J382" s="2965"/>
      <c r="K382" s="2797"/>
      <c r="L382" s="2817"/>
    </row>
    <row r="383" spans="1:12">
      <c r="A383" s="2821"/>
      <c r="B383" s="2801" t="s">
        <v>3235</v>
      </c>
      <c r="C383" s="2797">
        <f>IF(0.002*C144*SIN(C150)*(12*(F383-20)-D383*(E383-20))&lt;0,0,ROUND(0.002*C144*SIN(C150)*(12*(F383-20)-D383*(E383-20)),0))</f>
        <v>0</v>
      </c>
      <c r="D383" s="2809">
        <f>IF(OR(C47=0,C47="C"),11,IF(C47="S",12,24))</f>
        <v>24</v>
      </c>
      <c r="E383" s="2809">
        <f>IF(C49=0,60,C49)</f>
        <v>80</v>
      </c>
      <c r="F383" s="2977">
        <f>IF(C48="",80,C48)</f>
        <v>100</v>
      </c>
      <c r="G383" s="2821"/>
      <c r="H383" s="2900"/>
      <c r="I383" s="2803"/>
      <c r="J383" s="2965"/>
      <c r="K383" s="2797"/>
      <c r="L383" s="2817"/>
    </row>
    <row r="384" spans="1:12">
      <c r="A384" s="2821"/>
      <c r="B384" s="2801" t="s">
        <v>3236</v>
      </c>
      <c r="C384" s="2797">
        <f>ROUND(20*C17,0)</f>
        <v>60</v>
      </c>
      <c r="D384" s="2953"/>
      <c r="E384" s="2821"/>
      <c r="F384" s="2801"/>
      <c r="G384" s="2821"/>
      <c r="H384" s="2900"/>
      <c r="I384" s="2803"/>
      <c r="J384" s="2965"/>
      <c r="K384" s="2797"/>
      <c r="L384" s="2817"/>
    </row>
    <row r="385" spans="1:19">
      <c r="A385" s="2821"/>
      <c r="B385" s="2801" t="s">
        <v>3237</v>
      </c>
      <c r="C385" s="2797">
        <f>ROUND(SQRT(C338^2+G338^2+(1.25*COS(C150)^2+1)*C370^2),0)</f>
        <v>24</v>
      </c>
      <c r="D385" s="2797"/>
      <c r="E385" s="2797"/>
      <c r="F385" s="2953"/>
      <c r="G385" s="2935">
        <f>ROUND(SQRT(C338^2+G338^2+(1.25*COS(C150)^2+1)*E370^2),0)</f>
        <v>18</v>
      </c>
      <c r="H385" s="2801"/>
      <c r="I385" s="2821"/>
      <c r="J385" s="2900"/>
      <c r="K385" s="2803"/>
      <c r="L385" s="3073"/>
      <c r="M385" s="2797"/>
      <c r="N385" s="2817"/>
      <c r="R385" s="2860"/>
      <c r="S385" s="2860"/>
    </row>
    <row r="386" spans="1:19">
      <c r="A386" s="2821"/>
      <c r="B386" s="2801" t="s">
        <v>3238</v>
      </c>
      <c r="C386" s="2797">
        <f>ROUND(0.45*C144^0.3333+0.001*C144,0)</f>
        <v>1</v>
      </c>
      <c r="D386" s="2797"/>
      <c r="E386" s="2797"/>
      <c r="F386" s="2953"/>
      <c r="G386" s="2821"/>
      <c r="H386" s="2801"/>
      <c r="I386" s="2821"/>
      <c r="J386" s="2900"/>
      <c r="K386" s="2803"/>
      <c r="L386" s="3073"/>
      <c r="M386" s="2797"/>
      <c r="N386" s="2817"/>
      <c r="R386" s="2860"/>
      <c r="S386" s="2860"/>
    </row>
    <row r="387" spans="1:19">
      <c r="A387" s="2821"/>
      <c r="B387" s="2801" t="s">
        <v>3239</v>
      </c>
      <c r="C387" s="2797">
        <f>ROUND(0.45*C146^0.3333+0.001*C146,0)</f>
        <v>2</v>
      </c>
      <c r="D387" s="2797"/>
      <c r="E387" s="2797"/>
      <c r="F387" s="2953"/>
      <c r="G387" s="2821"/>
      <c r="H387" s="2801"/>
      <c r="I387" s="2821"/>
      <c r="J387" s="2900"/>
      <c r="K387" s="2803"/>
      <c r="L387" s="3073"/>
      <c r="M387" s="2797"/>
      <c r="N387" s="2817"/>
      <c r="R387" s="2860"/>
      <c r="S387" s="2860"/>
    </row>
    <row r="388" spans="1:19">
      <c r="A388" s="2821"/>
      <c r="B388" s="2801" t="s">
        <v>3240</v>
      </c>
      <c r="C388" s="2797">
        <f>ROUND(0.45*G146^0.3333+0.001*G146,0)</f>
        <v>2</v>
      </c>
      <c r="D388" s="2797"/>
      <c r="E388" s="2797"/>
      <c r="F388" s="2953"/>
      <c r="G388" s="2821"/>
      <c r="H388" s="2801"/>
      <c r="I388" s="2821"/>
      <c r="J388" s="2900"/>
      <c r="K388" s="2803"/>
      <c r="L388" s="3073"/>
      <c r="M388" s="2797"/>
      <c r="N388" s="2817"/>
      <c r="R388" s="2860"/>
      <c r="S388" s="2860"/>
    </row>
    <row r="389" spans="1:19">
      <c r="A389" s="2821"/>
      <c r="B389" s="2801" t="s">
        <v>1072</v>
      </c>
      <c r="C389" s="2797">
        <f>IF(C45&lt;=6,ROUND(-8*C386,0),ROUND(-12.5*C386,0))</f>
        <v>-13</v>
      </c>
      <c r="D389" s="2797"/>
      <c r="E389" s="2797"/>
      <c r="F389" s="2953"/>
      <c r="G389" s="2821"/>
      <c r="H389" s="2801"/>
      <c r="I389" s="2821"/>
      <c r="J389" s="2900"/>
      <c r="K389" s="2803"/>
      <c r="L389" s="3073"/>
      <c r="M389" s="2797"/>
      <c r="N389" s="2817"/>
      <c r="R389" s="2860"/>
      <c r="S389" s="2860"/>
    </row>
    <row r="390" spans="1:19">
      <c r="A390" s="2821"/>
      <c r="B390" s="2801" t="s">
        <v>3241</v>
      </c>
      <c r="C390" s="2797">
        <f>ROUND(-2*C389*TAN(C150)-(C383+C384+C385)/COS(C150),0)</f>
        <v>-80</v>
      </c>
      <c r="D390" s="2797"/>
      <c r="E390" s="2797"/>
      <c r="F390" s="2953"/>
      <c r="G390" s="2935">
        <f>ROUND(-2*C389*TAN(C150)-(C383+C384+G385)/COS(C150),0)</f>
        <v>-74</v>
      </c>
      <c r="H390" s="2801"/>
      <c r="I390" s="2821"/>
      <c r="J390" s="2900"/>
      <c r="K390" s="2803"/>
      <c r="L390" s="3073"/>
      <c r="M390" s="2797"/>
      <c r="N390" s="2817"/>
      <c r="R390" s="2860"/>
      <c r="S390" s="2860"/>
    </row>
    <row r="391" spans="1:19">
      <c r="A391" s="2821"/>
      <c r="B391" s="2801" t="s">
        <v>3242</v>
      </c>
      <c r="C391" s="2797">
        <f>ROUND(C390*C15/(C15+C16),0)</f>
        <v>-28</v>
      </c>
      <c r="D391" s="2797"/>
      <c r="E391" s="2797"/>
      <c r="F391" s="2953"/>
      <c r="G391" s="2935">
        <f>ROUND(G390*C15/(C15+C16),0)</f>
        <v>-26</v>
      </c>
      <c r="H391" s="2801"/>
      <c r="I391" s="2821"/>
      <c r="J391" s="2900"/>
      <c r="K391" s="2803"/>
      <c r="L391" s="3073"/>
      <c r="M391" s="2797"/>
      <c r="N391" s="2817"/>
      <c r="R391" s="2860"/>
      <c r="S391" s="2860"/>
    </row>
    <row r="392" spans="1:19">
      <c r="A392" s="2821"/>
      <c r="B392" s="2801" t="s">
        <v>3243</v>
      </c>
      <c r="C392" s="2797">
        <f>ROUND(C390*C16/(C15+C16),0)</f>
        <v>-52</v>
      </c>
      <c r="D392" s="2797"/>
      <c r="E392" s="2797"/>
      <c r="F392" s="2953"/>
      <c r="G392" s="2935">
        <f>ROUND(G390*C16/(C15+C16),0)</f>
        <v>-48</v>
      </c>
      <c r="H392" s="2801"/>
      <c r="I392" s="2821"/>
      <c r="J392" s="2900"/>
      <c r="K392" s="2803"/>
      <c r="L392" s="3073"/>
      <c r="M392" s="2797"/>
      <c r="N392" s="2817"/>
      <c r="R392" s="2860"/>
      <c r="S392" s="2860"/>
    </row>
    <row r="393" spans="1:19">
      <c r="A393" s="2821"/>
      <c r="B393" s="2801" t="s">
        <v>3244</v>
      </c>
      <c r="C393" s="2797">
        <f>IF(C44=3,16*C387,IF(C44=4,20*C387,IF(C44=5,25*C387,IF(C44=6,31.5*C387,IF(C44=7,40*C387,50.4*C387)))))</f>
        <v>80</v>
      </c>
      <c r="D393" s="2953"/>
      <c r="E393" s="2821"/>
      <c r="F393" s="2801"/>
      <c r="G393" s="2821"/>
      <c r="H393" s="2900"/>
      <c r="I393" s="2803"/>
      <c r="J393" s="3073"/>
      <c r="K393" s="2797"/>
      <c r="L393" s="2817"/>
    </row>
    <row r="394" spans="1:19">
      <c r="A394" s="2821"/>
      <c r="B394" s="2801" t="s">
        <v>3245</v>
      </c>
      <c r="C394" s="2797">
        <f>IF(C44=3,16*C388,IF(C44=4,20*C388,IF(C44=5,25*C388,IF(C44=6,31.5*C388,IF(C44=7,40*C388,50.4*C388)))))</f>
        <v>80</v>
      </c>
      <c r="D394" s="2953"/>
      <c r="E394" s="2821"/>
      <c r="F394" s="2801"/>
      <c r="G394" s="2821"/>
      <c r="H394" s="2900"/>
      <c r="I394" s="2803"/>
      <c r="J394" s="3073"/>
      <c r="K394" s="2797"/>
      <c r="L394" s="2817"/>
    </row>
    <row r="395" spans="1:19">
      <c r="A395" s="2821"/>
      <c r="B395" s="2801" t="s">
        <v>3246</v>
      </c>
      <c r="C395" s="2797">
        <f>ROUND(SQRT(C310^2+C393^2)*2*TAN(C150),0)</f>
        <v>74</v>
      </c>
      <c r="D395" s="2953"/>
      <c r="E395" s="2821"/>
      <c r="F395" s="2801"/>
      <c r="G395" s="2821"/>
      <c r="H395" s="2900"/>
      <c r="I395" s="2803"/>
      <c r="J395" s="3073"/>
      <c r="K395" s="2797"/>
      <c r="L395" s="2817"/>
    </row>
    <row r="396" spans="1:19">
      <c r="A396" s="2821"/>
      <c r="B396" s="2801" t="s">
        <v>3247</v>
      </c>
      <c r="C396" s="2797">
        <f>ROUND(SQRT(G310^2+C394^2)*2*TAN(C150),0)</f>
        <v>74</v>
      </c>
      <c r="D396" s="2953"/>
      <c r="E396" s="2821"/>
      <c r="F396" s="2801"/>
      <c r="G396" s="2821"/>
      <c r="H396" s="2900"/>
      <c r="I396" s="2803"/>
      <c r="J396" s="3073"/>
      <c r="K396" s="2797"/>
      <c r="L396" s="2817"/>
    </row>
    <row r="397" spans="1:19">
      <c r="A397" s="2821"/>
      <c r="B397" s="2801" t="s">
        <v>3248</v>
      </c>
      <c r="C397" s="2797">
        <f>C391-C395</f>
        <v>-102</v>
      </c>
      <c r="D397" s="2953"/>
      <c r="E397" s="2821"/>
      <c r="F397" s="2801"/>
      <c r="G397" s="2821"/>
      <c r="H397" s="2900"/>
      <c r="I397" s="2803"/>
      <c r="J397" s="3073"/>
      <c r="K397" s="2797"/>
      <c r="L397" s="2817"/>
    </row>
    <row r="398" spans="1:19">
      <c r="A398" s="2821"/>
      <c r="B398" s="2801" t="s">
        <v>3249</v>
      </c>
      <c r="C398" s="2797">
        <f>C392-C396</f>
        <v>-126</v>
      </c>
      <c r="D398" s="2953"/>
      <c r="E398" s="2821"/>
      <c r="F398" s="2801"/>
      <c r="G398" s="2821"/>
      <c r="H398" s="2900"/>
      <c r="I398" s="2803"/>
      <c r="J398" s="3073"/>
      <c r="K398" s="2797"/>
      <c r="L398" s="2817"/>
    </row>
    <row r="399" spans="1:19">
      <c r="A399" s="2821"/>
      <c r="B399" s="2801" t="s">
        <v>3250</v>
      </c>
      <c r="C399" s="2797">
        <f>ROUND(C391/C326,0)</f>
        <v>-2</v>
      </c>
      <c r="D399" s="2797" t="str">
        <f t="shared" ref="D399:D402" si="15">IF(C399&gt;0.5,"C",IF(AND(C399&gt;-1,C399&lt;=0.5),"D",IF(AND(C399&gt;-3,C399&lt;=-1),"E",IF(AND(C399&gt;-5,C399&lt;=-3),"F",IF(AND(C399&gt;-7,C399&lt;=-5),"G",IF(AND(C399&gt;-9,C399&lt;=-7),"H",IF(AND(C399&gt;-11,C399&lt;=-9),"J",E399)))))))</f>
        <v>E</v>
      </c>
      <c r="E399" s="2809" t="str">
        <f t="shared" ref="E399:E402" si="16">IF(AND(C399&gt;-14,C399&lt;=-11),"K",IF(AND(C399&gt;-18,C399&lt;=-14),"L",IF(AND(C399&gt;-22.5,C399&lt;=-18),"M",IF(AND(C399&gt;-28.5,C399&lt;=-22.5),"N",IF(AND(C399&gt;-36,C399&lt;=-28.5),"P",IF(AND(C399&gt;-45,C399&lt;=-36),"R",IF(C399&lt;=-45,"S","*")))))))</f>
        <v>*</v>
      </c>
      <c r="F399" s="2977"/>
      <c r="G399" s="2821"/>
      <c r="H399" s="2900"/>
      <c r="I399" s="2803"/>
      <c r="J399" s="2965"/>
      <c r="K399" s="2797"/>
      <c r="L399" s="2817"/>
    </row>
    <row r="400" spans="1:19">
      <c r="A400" s="2821"/>
      <c r="B400" s="2801" t="s">
        <v>3251</v>
      </c>
      <c r="C400" s="2797">
        <f>ROUND(C397/C326,0)</f>
        <v>-7</v>
      </c>
      <c r="D400" s="2797" t="str">
        <f t="shared" si="15"/>
        <v>H</v>
      </c>
      <c r="E400" s="2809" t="str">
        <f t="shared" si="16"/>
        <v>*</v>
      </c>
      <c r="F400" s="2977"/>
      <c r="G400" s="2821"/>
      <c r="H400" s="2900"/>
      <c r="I400" s="2803"/>
      <c r="J400" s="2965"/>
      <c r="K400" s="2797"/>
      <c r="L400" s="2817"/>
    </row>
    <row r="401" spans="1:12">
      <c r="A401" s="2821"/>
      <c r="B401" s="2801" t="s">
        <v>3252</v>
      </c>
      <c r="C401" s="2797">
        <f>ROUND(C392/G326,0)</f>
        <v>-4</v>
      </c>
      <c r="D401" s="2797" t="str">
        <f t="shared" si="15"/>
        <v>F</v>
      </c>
      <c r="E401" s="2809" t="str">
        <f t="shared" si="16"/>
        <v>*</v>
      </c>
      <c r="F401" s="2977"/>
      <c r="G401" s="2821"/>
      <c r="H401" s="2900"/>
      <c r="I401" s="2803"/>
      <c r="J401" s="2965"/>
      <c r="K401" s="2797"/>
      <c r="L401" s="2817"/>
    </row>
    <row r="402" spans="1:12">
      <c r="A402" s="2821"/>
      <c r="B402" s="2801" t="s">
        <v>3253</v>
      </c>
      <c r="C402" s="2797">
        <f>ROUND(C398/G326,0)</f>
        <v>-9</v>
      </c>
      <c r="D402" s="2797" t="str">
        <f t="shared" si="15"/>
        <v>J</v>
      </c>
      <c r="E402" s="2809" t="str">
        <f t="shared" si="16"/>
        <v>*</v>
      </c>
      <c r="F402" s="2977"/>
      <c r="G402" s="2821"/>
      <c r="H402" s="2900"/>
      <c r="I402" s="2803"/>
      <c r="J402" s="2965"/>
      <c r="K402" s="2812"/>
      <c r="L402" s="2817"/>
    </row>
    <row r="403" spans="1:12">
      <c r="A403" s="2821"/>
      <c r="B403" s="2801" t="s">
        <v>3254</v>
      </c>
      <c r="C403" s="2797">
        <f t="shared" ref="C403:C408" si="17">ABS(D403+D405)</f>
        <v>84</v>
      </c>
      <c r="D403" s="2809">
        <f>IF(D399="C",C326,IF(D399="D",0,IF(D399="E",-2*C326,IF(D399="F",-4*C326,IF(D399="G",-6*C326,IF(D399="H",-8*C326,IF(D399="J",-10*C326,E403)))))))</f>
        <v>-28</v>
      </c>
      <c r="E403" s="2809" t="str">
        <f>IF(D399="K",-12*C326,IF(D399="L",-16*C326,IF(D399="M",-20*C326,IF(D399="N",-25*C326,IF(D399="P",-32*C326,IF(D399="R",-40*C326,IF(D399="S",-50*C326,"*")))))))</f>
        <v>*</v>
      </c>
      <c r="F403" s="2801"/>
      <c r="G403" s="2821"/>
      <c r="H403" s="2900"/>
      <c r="I403" s="2803"/>
      <c r="J403" s="2965"/>
      <c r="K403" s="2812"/>
      <c r="L403" s="2817"/>
    </row>
    <row r="404" spans="1:12">
      <c r="A404" s="2821"/>
      <c r="B404" s="2801" t="s">
        <v>3255</v>
      </c>
      <c r="C404" s="2797">
        <f t="shared" si="17"/>
        <v>252</v>
      </c>
      <c r="D404" s="2809">
        <f>IF(D400="C",C326,IF(D400="D",0,IF(D400="E",-2*C326,IF(D400="F",-4*C326,IF(D400="G",-6*C326,IF(D400="H",-8*C326,IF(D400="J",-10*C326,E404)))))))</f>
        <v>-112</v>
      </c>
      <c r="E404" s="2809" t="str">
        <f>IF(D400="K",-12*C326,IF(D400="L",-16*C326,IF(D400="M",-20*C326,IF(D400="N",-25*C326,IF(D400="P",-32*C326,IF(D400="R",-40*C326,IF(D400="S",-50*C326,"*")))))))</f>
        <v>*</v>
      </c>
      <c r="F404" s="2801"/>
      <c r="G404" s="2821"/>
      <c r="H404" s="2900"/>
      <c r="I404" s="2803"/>
      <c r="J404" s="2965"/>
      <c r="K404" s="2812"/>
      <c r="L404" s="2817"/>
    </row>
    <row r="405" spans="1:12">
      <c r="A405" s="2821"/>
      <c r="B405" s="2801"/>
      <c r="C405" s="2797"/>
      <c r="D405" s="2809">
        <f>IF(D401="C",G326,IF(D401="D",0,IF(D401="E",-2*G326,IF(D401="F",-4*G326,IF(D401="G",-6*G326,IF(D401="H",-8*G326,IF(D401="J",-10*G326,E405)))))))</f>
        <v>-56</v>
      </c>
      <c r="E405" s="2809" t="str">
        <f>IF(D401="K",-12*G326,IF(D401="L",-16*G326,IF(D401="M",-20*G326,IF(D401="N",-25*G326,IF(D401="P",-32*G326,IF(D401="R",-40*G326,IF(D401="S",-50*G326,"*")))))))</f>
        <v>*</v>
      </c>
      <c r="F405" s="2801"/>
      <c r="G405" s="2821"/>
      <c r="H405" s="2900"/>
      <c r="I405" s="2803"/>
      <c r="J405" s="2965"/>
      <c r="K405" s="2812"/>
      <c r="L405" s="2817"/>
    </row>
    <row r="406" spans="1:12">
      <c r="A406" s="2821"/>
      <c r="B406" s="2801"/>
      <c r="C406" s="2797"/>
      <c r="D406" s="2809">
        <f>IF(D402="C",G326,IF(D402="D",0,IF(D402="E",-2*G326,IF(D402="F",-4*G326,IF(D402="G",-6*G326,IF(D402="H",-8*G326,IF(D402="J",-10*G326,E406)))))))</f>
        <v>-140</v>
      </c>
      <c r="E406" s="2809" t="str">
        <f>IF(D402="K",-12*G326,IF(D402="L",-16*G326,IF(D402="M",-20*G326,IF(D402="N",-25*G326,IF(D402="P",-32*G326,IF(D402="R",-40*G326,IF(D402="S",-50*G326,"*")))))))</f>
        <v>*</v>
      </c>
      <c r="F406" s="2801"/>
      <c r="G406" s="2821"/>
      <c r="H406" s="2900"/>
      <c r="I406" s="2803"/>
      <c r="J406" s="2965"/>
      <c r="K406" s="2812"/>
      <c r="L406" s="2817"/>
    </row>
    <row r="407" spans="1:12">
      <c r="A407" s="2821"/>
      <c r="B407" s="2801" t="s">
        <v>2885</v>
      </c>
      <c r="C407" s="2797">
        <f t="shared" si="17"/>
        <v>140</v>
      </c>
      <c r="D407" s="2809">
        <f>IF(F407="C",C326,IF(F407="D",0,IF(F407="E",-2*C326,IF(F407="F",-4*C326,IF(F407="G",-6*C326,IF(F407="H",-8*C326,IF(F407="J",-10*C326,E407)))))))</f>
        <v>-56</v>
      </c>
      <c r="E407" s="2809" t="str">
        <f>IF(F407="K",-12*C326,IF(F407="L",-16*C326,IF(F407="M",-20*C326,IF(F407="N",-25*C326,IF(F407="P",-32*C326,IF(F407="R",-40*C326,IF(F407="S",-50*C326,"*")))))))</f>
        <v>*</v>
      </c>
      <c r="F407" s="2977" t="str">
        <f t="shared" ref="F407:F410" si="18">IF(C51="",D399,C51)</f>
        <v>F</v>
      </c>
      <c r="G407" s="2821"/>
      <c r="H407" s="2900"/>
      <c r="I407" s="2803"/>
      <c r="J407" s="2965"/>
      <c r="K407" s="2812"/>
      <c r="L407" s="2817"/>
    </row>
    <row r="408" spans="1:12">
      <c r="A408" s="2821"/>
      <c r="B408" s="2801" t="s">
        <v>2886</v>
      </c>
      <c r="C408" s="2797">
        <f t="shared" si="17"/>
        <v>308</v>
      </c>
      <c r="D408" s="2809">
        <f>IF(F408="C",C326,IF(F408="D",0,IF(F408="E",-2*C326,IF(F408="F",-4*C326,IF(F408="G",-6*C326,IF(F408="H",-8*C326,IF(F408="J",-10*C326,E408)))))))</f>
        <v>-168</v>
      </c>
      <c r="E408" s="2809">
        <f>IF(F408="K",-12*C326,IF(F408="L",-16*C326,IF(F408="M",-20*C326,IF(F408="N",-25*C326,IF(F408="P",-32*C326,IF(F408="R",-40*C326,IF(F408="S",-50*C326,"*")))))))</f>
        <v>-168</v>
      </c>
      <c r="F408" s="2977" t="str">
        <f t="shared" si="18"/>
        <v>K</v>
      </c>
      <c r="G408" s="2821"/>
      <c r="H408" s="2900"/>
      <c r="I408" s="2803"/>
      <c r="J408" s="2965"/>
      <c r="K408" s="2812"/>
      <c r="L408" s="2817"/>
    </row>
    <row r="409" spans="1:12">
      <c r="A409" s="2821"/>
      <c r="B409" s="2801"/>
      <c r="C409" s="2797"/>
      <c r="D409" s="2809">
        <f>IF(F409="C",G326,IF(F409="D",0,IF(F409="E",-2*G326,IF(F409="F",-4*G326,IF(F409="G",-6*G326,IF(F409="H",-8*G326,IF(F409="J",-10*G326,E409)))))))</f>
        <v>-84</v>
      </c>
      <c r="E409" s="2809" t="str">
        <f>IF(F409="K",-12*G326,IF(F409="L",-16*G326,IF(F409="M",-20*G326,IF(F409="N",-25*G326,IF(F409="P",-32*G326,IF(F409="R",-40*G326,IF(F409="S",-50*G326,"*")))))))</f>
        <v>*</v>
      </c>
      <c r="F409" s="2977" t="str">
        <f t="shared" si="18"/>
        <v>G</v>
      </c>
      <c r="G409" s="2821"/>
      <c r="H409" s="2900"/>
      <c r="I409" s="2803"/>
      <c r="J409" s="2965"/>
      <c r="K409" s="2812"/>
      <c r="L409" s="2817"/>
    </row>
    <row r="410" spans="1:12">
      <c r="A410" s="2980"/>
      <c r="B410" s="2801"/>
      <c r="C410" s="2797"/>
      <c r="D410" s="2809">
        <f>IF(F410="C",G326,IF(F410="D",0,IF(F410="E",-2*G326,IF(F410="F",-4*G326,IF(F410="G",-6*G326,IF(F410="H",-8*G326,IF(F410="J",-10*G326,E410)))))))</f>
        <v>-140</v>
      </c>
      <c r="E410" s="2809" t="str">
        <f>IF(F410="K",-12*G326,IF(F410="L",-16*G326,IF(F410="M",-20*G326,IF(F410="N",-25*G326,IF(F410="P",-32*G326,IF(F410="R",-40*G326,IF(F410="S",-50*G326,"*")))))))</f>
        <v>*</v>
      </c>
      <c r="F410" s="2977" t="str">
        <f t="shared" si="18"/>
        <v>J</v>
      </c>
      <c r="G410" s="2821"/>
      <c r="H410" s="2900"/>
      <c r="I410" s="2803"/>
      <c r="J410" s="2965"/>
      <c r="K410" s="2812"/>
      <c r="L410" s="2817"/>
    </row>
    <row r="411" spans="1:12">
      <c r="A411" s="2857" t="s">
        <v>3256</v>
      </c>
      <c r="B411" s="2801" t="s">
        <v>3257</v>
      </c>
      <c r="C411" s="2797">
        <f>ROUND(C380*COS(C134),3)</f>
        <v>-5.2999999999999999E-2</v>
      </c>
      <c r="D411" s="2809"/>
      <c r="E411" s="2809"/>
      <c r="F411" s="2977"/>
      <c r="G411" s="2797">
        <f>ROUND(-G381*COS(G134),3)</f>
        <v>0.14000000000000001</v>
      </c>
      <c r="H411" s="2900"/>
      <c r="I411" s="2803"/>
      <c r="J411" s="2965"/>
      <c r="K411" s="2812"/>
      <c r="L411" s="2817"/>
    </row>
    <row r="412" spans="1:12">
      <c r="A412" s="2857" t="s">
        <v>3258</v>
      </c>
      <c r="B412" s="2801" t="s">
        <v>3259</v>
      </c>
      <c r="C412" s="2797">
        <f>ROUND(C381*COS(C134),3)</f>
        <v>-0.158</v>
      </c>
      <c r="D412" s="2809"/>
      <c r="E412" s="2809"/>
      <c r="F412" s="2977"/>
      <c r="G412" s="2797">
        <f>ROUND(-G380*COS(G134),3)</f>
        <v>8.4000000000000005E-2</v>
      </c>
      <c r="H412" s="2900"/>
      <c r="I412" s="2803"/>
      <c r="J412" s="2965"/>
      <c r="K412" s="2812"/>
      <c r="L412" s="2817"/>
    </row>
    <row r="413" spans="1:12">
      <c r="A413" s="2857" t="s">
        <v>3260</v>
      </c>
      <c r="B413" s="2801" t="s">
        <v>3261</v>
      </c>
      <c r="C413" s="2797">
        <f>C411-C412</f>
        <v>0.105</v>
      </c>
      <c r="D413" s="2809"/>
      <c r="E413" s="2809"/>
      <c r="F413" s="2977"/>
      <c r="G413" s="2797">
        <f>G411-G412</f>
        <v>5.6000000000000001E-2</v>
      </c>
      <c r="H413" s="2900"/>
      <c r="I413" s="2803"/>
      <c r="J413" s="2965"/>
      <c r="K413" s="2812"/>
      <c r="L413" s="2817"/>
    </row>
    <row r="414" spans="1:12">
      <c r="A414" s="2857" t="s">
        <v>3262</v>
      </c>
      <c r="B414" s="2801" t="s">
        <v>3263</v>
      </c>
      <c r="C414" s="2797">
        <f>IF(ODD((C15)-C15)=0,D414,E414)</f>
        <v>-0.09</v>
      </c>
      <c r="D414" s="2809">
        <f>ROUND(C380*COS(C136)/(SIN(C202)*COS(C140)),3)</f>
        <v>-9.0999999999999998E-2</v>
      </c>
      <c r="E414" s="2809">
        <f>ROUND(C380*COS(C136)/(SIN(C202)*COS(C140))*COS(PI()/(2*C15)),3)</f>
        <v>-0.09</v>
      </c>
      <c r="F414" s="2977"/>
      <c r="G414" s="2797">
        <f>IF(ODD((G24)-G24)=0,H414,I414)</f>
        <v>0.314</v>
      </c>
      <c r="H414" s="2809">
        <f>ROUND(-G381*COS(C136)/(SIN(G202)*COS(C140)),3)</f>
        <v>0.314</v>
      </c>
      <c r="I414" s="2844">
        <f>ROUND(-G381*COS(C136)/(SIN(G202)*COS(C140))*COS(PI()/(2*C16)),3)</f>
        <v>0.314</v>
      </c>
      <c r="J414" s="2965"/>
      <c r="K414" s="2812"/>
      <c r="L414" s="2817"/>
    </row>
    <row r="415" spans="1:12">
      <c r="A415" s="2857" t="s">
        <v>3264</v>
      </c>
      <c r="B415" s="2801" t="s">
        <v>3265</v>
      </c>
      <c r="C415" s="2797">
        <f>IF(ODD((C16)-C16)=0,D415,E415)</f>
        <v>-0.27100000000000002</v>
      </c>
      <c r="D415" s="2809">
        <f>ROUND(C381*COS(C136)/(SIN(C202)*COS(C140)),3)</f>
        <v>-0.27200000000000002</v>
      </c>
      <c r="E415" s="2809">
        <f>ROUND(C381*COS(C136)/(SIN(C202)*COS(C140))*COS(PI()/(2*C15)),3)</f>
        <v>-0.27100000000000002</v>
      </c>
      <c r="F415" s="2977"/>
      <c r="G415" s="2797">
        <f>IF(ODD((G25)-G25)=0,H415,I415)</f>
        <v>0.188</v>
      </c>
      <c r="H415" s="2809">
        <f>ROUND(-G380*COS(C136)/(SIN(G202)*COS(C140)),3)</f>
        <v>0.189</v>
      </c>
      <c r="I415" s="2844">
        <f>ROUND(-G380*COS(C136)/(SIN(G202)*COS(C140))*COS(PI()/(2*C16)),3)</f>
        <v>0.188</v>
      </c>
      <c r="J415" s="2965"/>
      <c r="K415" s="2812"/>
      <c r="L415" s="2817"/>
    </row>
    <row r="416" spans="1:12">
      <c r="A416" s="2857" t="s">
        <v>3266</v>
      </c>
      <c r="B416" s="2801" t="s">
        <v>3267</v>
      </c>
      <c r="C416" s="2797">
        <f>C414-C415</f>
        <v>0.18099999999999999</v>
      </c>
      <c r="D416" s="2809"/>
      <c r="E416" s="2809"/>
      <c r="F416" s="2977"/>
      <c r="G416" s="2797">
        <f>G414-G415</f>
        <v>0.126</v>
      </c>
      <c r="H416" s="2900"/>
      <c r="I416" s="2803"/>
      <c r="J416" s="2965"/>
      <c r="K416" s="2812"/>
      <c r="L416" s="2817"/>
    </row>
    <row r="417" spans="1:12">
      <c r="A417" s="2838" t="s">
        <v>3268</v>
      </c>
      <c r="B417" s="2801" t="s">
        <v>3269</v>
      </c>
      <c r="C417" s="2797">
        <f>C362</f>
        <v>11</v>
      </c>
      <c r="D417" s="2809"/>
      <c r="E417" s="2809"/>
      <c r="F417" s="2801"/>
      <c r="G417" s="2821"/>
      <c r="H417" s="2900"/>
      <c r="I417" s="2803"/>
      <c r="J417" s="2965"/>
      <c r="K417" s="2813"/>
      <c r="L417" s="2817"/>
    </row>
    <row r="418" spans="1:12">
      <c r="A418" s="2810" t="s">
        <v>3270</v>
      </c>
      <c r="B418" s="2801" t="s">
        <v>3271</v>
      </c>
      <c r="C418" s="2797">
        <f>C362/2</f>
        <v>5.5</v>
      </c>
      <c r="D418" s="2809"/>
      <c r="E418" s="2809"/>
      <c r="F418" s="2801"/>
      <c r="G418" s="2821"/>
      <c r="H418" s="2900"/>
      <c r="I418" s="2803"/>
      <c r="J418" s="2965"/>
      <c r="K418" s="2813"/>
      <c r="L418" s="2817"/>
    </row>
    <row r="419" spans="1:12">
      <c r="A419" s="2803" t="s">
        <v>3272</v>
      </c>
      <c r="B419" s="2855" t="s">
        <v>3273</v>
      </c>
      <c r="C419" s="2797">
        <f>IF(AND(C144&gt;18,C144&lt;=30,C45&lt;=4),6.5,IF(AND(C144&gt;18,C144&lt;=30,C45&lt;=6),10.5,IF(AND(C144&gt;18,C144&lt;=30,C45&lt;=8),16.5,IF(AND(C144&gt;30,C144&lt;=50,C45&lt;=4),8,IF(AND(C144&gt;30,C144&lt;=50,C45&lt;=6),12.5,IF(AND(C144&gt;30,C144&lt;=50,C45&lt;=8),19.5,D419))))))</f>
        <v>16.5</v>
      </c>
      <c r="D419" s="2809" t="str">
        <f>IF(AND(C144&gt;50,C144&lt;=80,C45&lt;=4),9.5,IF(AND(C144&gt;50,C144&lt;=80,C45&lt;=6),15,IF(AND(C144&gt;50,C144&lt;=80,C45&lt;=8),23,IF(AND(C144&gt;80,C144&lt;=120,C45&lt;=4),11,IF(AND(C144&gt;80,C144&lt;=120,C45&lt;=6),17.5,IF(AND(C144&gt;80,C144&lt;=120,C45&lt;=8),27,E419))))))</f>
        <v>*</v>
      </c>
      <c r="E419" s="2809" t="str">
        <f>IF(AND(C144&gt;120,C144&lt;=180,C45&lt;=4),12.5,IF(AND(C144&gt;120,C144&lt;=180,C45&lt;=6),20,IF(AND(C144&gt;120,C144&lt;=180,C45&lt;=8),31.5,IF(AND(C144&gt;180,C144&lt;=250,C45&lt;=4),14.5,IF(AND(C144&gt;180,C144&lt;=250,C45&lt;=6),23,IF(AND(C144&gt;180,C144&lt;=250,C45&lt;=8),36,F419))))))</f>
        <v>*</v>
      </c>
      <c r="F419" s="2977" t="str">
        <f>IF(AND(C144&gt;250,C144&lt;=315,C45&lt;=4),16,IF(AND(C144&gt;250,C144&lt;=315,C45&lt;=6),26,IF(AND(C144&gt;250,C144&lt;=315,C45&lt;=8),40.5,IF(AND(C144&gt;315,C144&lt;=400,C45&lt;=4),18,IF(AND(C144&gt;315,C144&lt;=400,C45&lt;=6),28.5,IF(AND(C144&gt;315,C144&lt;=400,C45&lt;=8),44.5,G419))))))</f>
        <v>*</v>
      </c>
      <c r="G419" s="2809" t="str">
        <f>IF(AND(C144&gt;400,C144&lt;=500,C45&lt;=4),20,IF(AND(C144&gt;400,C144&lt;=500,C45&lt;=6),31.5,IF(AND(C144&gt;400,C144&lt;=500,C45&lt;=8),48.5,IF(AND(C144&gt;500,C144&lt;=630,C45&lt;=4),22,IF(AND(C144&gt;500,C144&lt;=630,C45&lt;=6),35,IF(AND(C144&gt;500,C144&lt;=630,C45&lt;=8),55,H419))))))</f>
        <v>*</v>
      </c>
      <c r="H419" s="2809" t="str">
        <f>IF(AND(C144&gt;630,C144&lt;=800,C45&lt;=4),25,IF(AND(C144&gt;630,C144&lt;=800,C45&lt;=6),40,IF(AND(C144&gt;630,C144&lt;=800,C45&lt;=8),62,IF(AND(C144&gt;800,C144&lt;=1000,C45&lt;=4),28,IF(AND(C144&gt;800,C144&lt;=1000,C45&lt;=6),45,IF(AND(C144&gt;800,C144&lt;=1000,C45&lt;=8),70,"*"))))))</f>
        <v>*</v>
      </c>
      <c r="I419" s="2803"/>
      <c r="J419" s="2965"/>
      <c r="K419" s="2813"/>
      <c r="L419" s="2817"/>
    </row>
    <row r="420" spans="1:12">
      <c r="A420" s="2983" t="s">
        <v>3274</v>
      </c>
      <c r="B420" s="2801"/>
      <c r="C420" s="2797">
        <f>IF(AND(C44&lt;=C45,C44&lt;=C46),C44,IF(C45&lt;=C46,C45,C46))</f>
        <v>7</v>
      </c>
      <c r="D420" s="2809"/>
      <c r="E420" s="2809"/>
      <c r="F420" s="2977"/>
      <c r="G420" s="2809">
        <f>C420</f>
        <v>7</v>
      </c>
      <c r="H420" s="2809"/>
      <c r="I420" s="2803"/>
      <c r="J420" s="2965"/>
      <c r="K420" s="2813"/>
      <c r="L420" s="2817"/>
    </row>
    <row r="421" spans="1:12">
      <c r="A421" s="2953" t="s">
        <v>3275</v>
      </c>
      <c r="B421" s="2801"/>
      <c r="C421" s="2797"/>
      <c r="D421" s="2809"/>
      <c r="E421" s="2809"/>
      <c r="F421" s="2801"/>
      <c r="G421" s="2821"/>
      <c r="H421" s="2900"/>
      <c r="I421" s="2803"/>
      <c r="J421" s="2965"/>
      <c r="K421" s="2813"/>
      <c r="L421" s="2817"/>
    </row>
    <row r="422" spans="1:12">
      <c r="A422" s="2797" t="s">
        <v>3276</v>
      </c>
      <c r="B422" s="2985"/>
      <c r="C422" s="2797" t="str">
        <f>IF(C420=3,"IT4",IF(C420=4,"IT4",IF(C420=5,"IT5",IF(C420=6,"IT6",IF(C420=7,"IT7",IF(C420=8,"IT7",))))))</f>
        <v>IT7</v>
      </c>
      <c r="D422" s="2809"/>
      <c r="E422" s="2809"/>
      <c r="F422" s="2801"/>
      <c r="G422" s="2821"/>
      <c r="H422" s="2900"/>
      <c r="I422" s="2803"/>
      <c r="J422" s="2965"/>
      <c r="K422" s="2813"/>
      <c r="L422" s="2817"/>
    </row>
    <row r="423" spans="1:12">
      <c r="A423" s="2797" t="s">
        <v>3277</v>
      </c>
      <c r="B423" s="2985"/>
      <c r="C423" s="2797" t="str">
        <f>IF(C420=3,"IT4",IF(C420=4,"IT4",IF(C420=5,"IT5",IF(C420=6,"IT5",IF(C420=7,"IT6",IF(C420=8,"IT7"))))))</f>
        <v>IT6</v>
      </c>
      <c r="D423" s="2809"/>
      <c r="E423" s="2809"/>
      <c r="F423" s="2801"/>
      <c r="G423" s="2821"/>
      <c r="H423" s="2900"/>
      <c r="I423" s="2803"/>
      <c r="J423" s="2965"/>
      <c r="K423" s="2813"/>
      <c r="L423" s="2817"/>
    </row>
    <row r="424" spans="1:12" ht="15.75" customHeight="1">
      <c r="A424" s="2797" t="s">
        <v>3278</v>
      </c>
      <c r="B424" s="2985"/>
      <c r="C424" s="2797" t="str">
        <f>IF(C420&lt;=5,"IT7",IF(C420&gt;5,"IT8"))</f>
        <v>IT8</v>
      </c>
      <c r="D424" s="2809"/>
      <c r="E424" s="2800" t="s">
        <v>3279</v>
      </c>
      <c r="F424" s="2801">
        <f>0.1*C17</f>
        <v>0.3</v>
      </c>
      <c r="G424" s="2821"/>
      <c r="H424" s="2900"/>
      <c r="I424" s="2803"/>
      <c r="J424" s="2965"/>
      <c r="K424" s="2813"/>
      <c r="L424" s="2817"/>
    </row>
    <row r="425" spans="1:12" ht="22.15" customHeight="1">
      <c r="A425" s="2810" t="s">
        <v>3280</v>
      </c>
      <c r="B425" s="2801"/>
      <c r="C425" s="2797">
        <f>IF(AND(C146&lt;=125,OR(C420=3,C420=4)),7,IF(AND(C146&lt;=125,OR(C420=5,C420=6)),11,IF(AND(C146&lt;=125,OR(C420=7,C420=8)),18,IF(AND(C146&gt;125,C146&lt;=400,OR(C420=3,C420=4)),9,IF(AND(C146&gt;125,C146&lt;=400,OR(C420=5,C420=6)),14,IF(AND(C146&gt;125,C146&lt;=400,OR(C420=7,C420=8)),22,D425))))))</f>
        <v>18</v>
      </c>
      <c r="D425" s="2809" t="str">
        <f>IF(AND(C146&gt;400,C146&lt;=800,OR(C420=3,C420=4)),12,IF(AND(C146&gt;400,C146&lt;=800,OR(C420=5,C420=6)),20,IF(AND(C146&gt;400,C146&lt;=800,OR(C420=7,C420=8)),32,IF(AND(C146&gt;800,C146&lt;=1600,OR(C420=3,C420=4)),18,IF(AND(C146&gt;800,C146&lt;=1600,OR(C420=5,C420=6)),28,IF(AND(C146&gt;800,C146&lt;=1600,OR(C420=7,C420=8)),45,"*"))))))</f>
        <v>*</v>
      </c>
      <c r="E425" s="2809"/>
      <c r="F425" s="2801"/>
      <c r="G425" s="2797">
        <f>IF(AND(G146&lt;=125,OR(G420=3,G420=4)),7,IF(AND(G146&lt;=125,OR(G420=5,G420=6)),11,IF(AND(G146&lt;=125,OR(G420=7,G420=8)),18,IF(AND(G146&gt;125,G146&lt;=400,OR(G420=3,G420=4)),9,IF(AND(G146&gt;125,G146&lt;=400,OR(G420=5,G420=6)),14,IF(AND(G146&gt;125,G146&lt;=400,OR(G420=7,G420=8)),22,H425))))))</f>
        <v>18</v>
      </c>
      <c r="H425" s="2809" t="str">
        <f>IF(AND(G146&gt;400,G146&lt;=800,OR(G420=3,G420=4)),12,IF(AND(G146&gt;400,G146&lt;=800,OR(G420=5,G420=6)),20,IF(AND(G146&gt;400,G146&lt;=800,OR(G420=7,G420=8)),32,IF(AND(G146&gt;800,G146&lt;=1600,OR(G420=3,G420=4)),18,IF(AND(G146&gt;800,G146&lt;=1600,OR(G420=5,G420=6)),28,IF(AND(G146&gt;800,G146&lt;=1600,OR(G420=7,G420=8)),45,"*"))))))</f>
        <v>*</v>
      </c>
      <c r="I425" s="2803"/>
      <c r="J425" s="2965"/>
      <c r="K425" s="2813"/>
      <c r="L425" s="2817"/>
    </row>
    <row r="426" spans="1:12" ht="15.75" customHeight="1">
      <c r="A426" s="2864"/>
      <c r="B426" s="3203"/>
      <c r="C426" s="2791"/>
      <c r="D426" s="2926"/>
      <c r="E426" s="2791"/>
      <c r="F426" s="3204"/>
      <c r="G426" s="2791"/>
      <c r="H426" s="2899"/>
      <c r="I426" s="2803"/>
      <c r="J426" s="2965"/>
      <c r="K426" s="2813"/>
      <c r="L426" s="2817"/>
    </row>
    <row r="427" spans="1:12" ht="15">
      <c r="A427" s="2987"/>
      <c r="B427" s="2988"/>
      <c r="C427" s="2928"/>
      <c r="D427" s="2989"/>
      <c r="E427" s="2928"/>
      <c r="F427" s="2990"/>
      <c r="G427" s="2928"/>
      <c r="H427" s="2990"/>
      <c r="I427" s="2797"/>
      <c r="J427" s="2809"/>
      <c r="K427" s="2813"/>
      <c r="L427" s="2817"/>
    </row>
    <row r="428" spans="1:12">
      <c r="A428" s="2991" t="s">
        <v>3281</v>
      </c>
      <c r="B428" s="2992"/>
      <c r="C428" s="2959"/>
      <c r="D428" s="2835"/>
      <c r="E428" s="2835"/>
      <c r="F428" s="2835"/>
      <c r="G428" s="2959"/>
      <c r="H428" s="2993"/>
      <c r="I428" s="2797"/>
      <c r="J428" s="2809"/>
      <c r="K428" s="2813"/>
      <c r="L428" s="2817"/>
    </row>
    <row r="429" spans="1:12">
      <c r="A429" s="2815"/>
      <c r="B429" s="2801"/>
      <c r="C429" s="2797"/>
      <c r="D429" s="2809"/>
      <c r="E429" s="2809"/>
      <c r="F429" s="2809"/>
      <c r="G429" s="2797"/>
      <c r="H429" s="2810"/>
      <c r="I429" s="2797"/>
      <c r="J429" s="2797"/>
      <c r="K429" s="2813"/>
      <c r="L429" s="2817"/>
    </row>
    <row r="430" spans="1:12" ht="20.25">
      <c r="A430" s="3397" t="s">
        <v>2793</v>
      </c>
      <c r="B430" s="2806"/>
      <c r="C430" s="3129"/>
      <c r="D430" s="2817"/>
      <c r="E430" s="2813"/>
      <c r="F430" s="2817"/>
      <c r="G430" s="2770" t="str">
        <f>H1</f>
        <v>编号：</v>
      </c>
      <c r="H430" s="2996">
        <f>IF(I1=0,"",I1)</f>
        <v>15</v>
      </c>
      <c r="I430" s="2797"/>
      <c r="J430" s="2797"/>
      <c r="K430" s="2813"/>
      <c r="L430" s="2817"/>
    </row>
    <row r="431" spans="1:12">
      <c r="A431" s="3398"/>
      <c r="B431" s="2831"/>
      <c r="C431" s="2999" t="str">
        <f>IF(AND(C144=C143,C156=0,G156=0),"              （平行轴非变位内啮合圆柱齿轮传动）",IF(AND(C144=C143,C156=G156),"              （平行轴高变位内啮合圆柱齿轮传动）","              （平行轴角变位内啮合圆柱齿轮传动）"))</f>
        <v>（平行轴角变位内啮合圆柱齿轮传动）</v>
      </c>
      <c r="D431" s="3131"/>
      <c r="E431" s="2789"/>
      <c r="F431" s="3133"/>
      <c r="G431" s="2786"/>
      <c r="H431" s="2817"/>
      <c r="I431" s="2797"/>
      <c r="J431" s="2797"/>
      <c r="K431" s="2813"/>
      <c r="L431" s="2817"/>
    </row>
    <row r="432" spans="1:12" ht="15">
      <c r="A432" s="2997" t="s">
        <v>2804</v>
      </c>
      <c r="B432" s="3147"/>
      <c r="C432" s="2903" t="str">
        <f t="shared" ref="C432:C434" si="19">IF(C10=0,"",C10)</f>
        <v/>
      </c>
      <c r="D432" s="2781"/>
      <c r="E432" s="2997" t="s">
        <v>2805</v>
      </c>
      <c r="F432" s="2784"/>
      <c r="G432" s="2903">
        <f t="shared" ref="G432:G434" si="20">IF(G10=0,"",G10)</f>
        <v>10026</v>
      </c>
      <c r="H432" s="2783"/>
      <c r="I432" s="2797"/>
      <c r="J432" s="2797"/>
      <c r="K432" s="2813"/>
      <c r="L432" s="2817"/>
    </row>
    <row r="433" spans="1:12" ht="15.75" customHeight="1">
      <c r="A433" s="2997" t="s">
        <v>2806</v>
      </c>
      <c r="B433" s="2997" t="s">
        <v>2888</v>
      </c>
      <c r="C433" s="2903">
        <f t="shared" si="19"/>
        <v>30201</v>
      </c>
      <c r="D433" s="2999"/>
      <c r="E433" s="2999"/>
      <c r="F433" s="2997" t="s">
        <v>2889</v>
      </c>
      <c r="G433" s="2903">
        <f t="shared" si="20"/>
        <v>30202</v>
      </c>
      <c r="H433" s="2999"/>
      <c r="I433" s="2797"/>
      <c r="J433" s="2797"/>
      <c r="K433" s="2813"/>
      <c r="L433" s="2817"/>
    </row>
    <row r="434" spans="1:12" ht="15.75" customHeight="1">
      <c r="A434" s="2997" t="s">
        <v>3282</v>
      </c>
      <c r="B434" s="2801"/>
      <c r="C434" s="2797" t="str">
        <f t="shared" si="19"/>
        <v/>
      </c>
      <c r="D434" s="3000"/>
      <c r="E434" s="2997" t="s">
        <v>2810</v>
      </c>
      <c r="F434" s="2800"/>
      <c r="G434" s="2797" t="str">
        <f t="shared" si="20"/>
        <v/>
      </c>
      <c r="H434" s="2783"/>
      <c r="I434" s="2797"/>
      <c r="J434" s="2797"/>
      <c r="K434" s="2813"/>
      <c r="L434" s="2817"/>
    </row>
    <row r="435" spans="1:12" ht="15.75" customHeight="1">
      <c r="A435" s="3001" t="s">
        <v>3283</v>
      </c>
      <c r="B435" s="2801"/>
      <c r="C435" s="2791"/>
      <c r="D435" s="3002"/>
      <c r="E435" s="2794"/>
      <c r="F435" s="2794"/>
      <c r="G435" s="2791"/>
      <c r="H435" s="2783"/>
      <c r="I435" s="2797"/>
      <c r="J435" s="2797"/>
      <c r="K435" s="2813"/>
      <c r="L435" s="2817"/>
    </row>
    <row r="436" spans="1:12" ht="15.75" customHeight="1">
      <c r="A436" s="3004" t="s">
        <v>3284</v>
      </c>
      <c r="B436" s="3212"/>
      <c r="C436" s="3004" t="s">
        <v>2888</v>
      </c>
      <c r="D436" s="3006"/>
      <c r="E436" s="3007"/>
      <c r="F436" s="3008"/>
      <c r="G436" s="3004" t="s">
        <v>2889</v>
      </c>
      <c r="H436" s="3009"/>
      <c r="I436" s="2797"/>
      <c r="J436" s="2797"/>
      <c r="K436" s="2813"/>
      <c r="L436" s="2817"/>
    </row>
    <row r="437" spans="1:12" ht="15.75" customHeight="1">
      <c r="A437" s="3010" t="s">
        <v>3285</v>
      </c>
      <c r="B437" s="2983"/>
      <c r="C437" s="3011"/>
      <c r="D437" s="2807"/>
      <c r="E437" s="2797"/>
      <c r="F437" s="2807"/>
      <c r="G437" s="3011"/>
      <c r="H437" s="2807"/>
      <c r="I437" s="2797"/>
      <c r="J437" s="2797"/>
      <c r="K437" s="2813"/>
      <c r="L437" s="2817"/>
    </row>
    <row r="438" spans="1:12" ht="15.75" customHeight="1">
      <c r="A438" s="2797" t="s">
        <v>3286</v>
      </c>
      <c r="B438" s="2983"/>
      <c r="C438" s="2786" t="str">
        <f>IF(C14="L","左   旋","右   旋")</f>
        <v>左   旋</v>
      </c>
      <c r="D438" s="2807"/>
      <c r="E438" s="2797"/>
      <c r="F438" s="2807"/>
      <c r="G438" s="2786" t="str">
        <f>IF(C14="L","左   旋","右   旋")</f>
        <v>左   旋</v>
      </c>
      <c r="H438" s="2807"/>
      <c r="I438" s="2797"/>
      <c r="J438" s="2797"/>
      <c r="K438" s="2813"/>
      <c r="L438" s="2817"/>
    </row>
    <row r="439" spans="1:12" ht="15.75" customHeight="1">
      <c r="A439" s="2818" t="s">
        <v>3287</v>
      </c>
      <c r="B439" s="2801" t="s">
        <v>1139</v>
      </c>
      <c r="C439" s="2797">
        <f>C15</f>
        <v>19</v>
      </c>
      <c r="D439" s="2801"/>
      <c r="E439" s="2797"/>
      <c r="F439" s="2801"/>
      <c r="G439" s="2797">
        <f>C16</f>
        <v>36</v>
      </c>
      <c r="H439" s="2900"/>
      <c r="I439" s="2797"/>
      <c r="J439" s="2797"/>
      <c r="K439" s="2813"/>
      <c r="L439" s="2817"/>
    </row>
    <row r="440" spans="1:12" ht="15.75" customHeight="1">
      <c r="A440" s="2818" t="s">
        <v>3288</v>
      </c>
      <c r="B440" s="2801" t="s">
        <v>2819</v>
      </c>
      <c r="C440" s="2797"/>
      <c r="D440" s="2810"/>
      <c r="E440" s="2797">
        <f>C17</f>
        <v>3</v>
      </c>
      <c r="F440" s="2810" t="s">
        <v>2820</v>
      </c>
      <c r="G440" s="2797"/>
      <c r="H440" s="2900"/>
      <c r="I440" s="2797"/>
      <c r="J440" s="2797"/>
      <c r="K440" s="2813"/>
      <c r="L440" s="2817"/>
    </row>
    <row r="441" spans="1:12" ht="15.75" customHeight="1">
      <c r="A441" s="2818" t="s">
        <v>3289</v>
      </c>
      <c r="B441" s="2797" t="s">
        <v>2822</v>
      </c>
      <c r="C441" s="2797"/>
      <c r="D441" s="2810"/>
      <c r="E441" s="2797">
        <f>C135</f>
        <v>20</v>
      </c>
      <c r="F441" s="2810" t="s">
        <v>257</v>
      </c>
      <c r="G441" s="2797"/>
      <c r="H441" s="2900"/>
      <c r="I441" s="2797"/>
      <c r="J441" s="2786"/>
      <c r="K441" s="2813"/>
      <c r="L441" s="2817"/>
    </row>
    <row r="442" spans="1:12" ht="15.75" customHeight="1">
      <c r="A442" s="2818">
        <f>A20</f>
        <v>0</v>
      </c>
      <c r="B442" s="2801">
        <f>B20</f>
        <v>0</v>
      </c>
      <c r="C442" s="2797"/>
      <c r="D442" s="2810"/>
      <c r="E442" s="2797">
        <f>C20</f>
        <v>0</v>
      </c>
      <c r="F442" s="2810" t="s">
        <v>257</v>
      </c>
      <c r="G442" s="2797"/>
      <c r="H442" s="2900"/>
      <c r="I442" s="2797"/>
      <c r="J442" s="2786"/>
      <c r="K442" s="2813"/>
      <c r="L442" s="2817"/>
    </row>
    <row r="443" spans="1:12" ht="15.75" customHeight="1">
      <c r="A443" s="2818" t="s">
        <v>3290</v>
      </c>
      <c r="B443" s="2801" t="s">
        <v>2534</v>
      </c>
      <c r="C443" s="2797"/>
      <c r="D443" s="2810"/>
      <c r="E443" s="2797">
        <f>C21</f>
        <v>30</v>
      </c>
      <c r="F443" s="2810" t="s">
        <v>2820</v>
      </c>
      <c r="G443" s="2797"/>
      <c r="H443" s="2900"/>
      <c r="I443" s="2797"/>
      <c r="J443" s="2786"/>
      <c r="K443" s="2813"/>
      <c r="L443" s="2817"/>
    </row>
    <row r="444" spans="1:12" ht="15.75" customHeight="1">
      <c r="A444" s="2813" t="s">
        <v>3291</v>
      </c>
      <c r="B444" s="2806" t="s">
        <v>2831</v>
      </c>
      <c r="C444" s="2797"/>
      <c r="D444" s="2810"/>
      <c r="E444" s="2797">
        <f t="shared" ref="E444:E448" si="21">C24</f>
        <v>1</v>
      </c>
      <c r="F444" s="2810"/>
      <c r="G444" s="2797"/>
      <c r="H444" s="2900"/>
      <c r="I444" s="2797"/>
      <c r="J444" s="2786"/>
      <c r="K444" s="2813"/>
      <c r="L444" s="2817"/>
    </row>
    <row r="445" spans="1:12" ht="15.75" customHeight="1">
      <c r="A445" s="2813" t="s">
        <v>3292</v>
      </c>
      <c r="B445" s="2806" t="s">
        <v>2834</v>
      </c>
      <c r="C445" s="2797"/>
      <c r="D445" s="2810"/>
      <c r="E445" s="2797">
        <f t="shared" si="21"/>
        <v>0</v>
      </c>
      <c r="F445" s="2810"/>
      <c r="G445" s="2797"/>
      <c r="H445" s="2900"/>
      <c r="I445" s="2797"/>
      <c r="J445" s="2786"/>
      <c r="K445" s="2813"/>
      <c r="L445" s="2817"/>
    </row>
    <row r="446" spans="1:12" ht="15.75" customHeight="1">
      <c r="A446" s="2813" t="s">
        <v>2835</v>
      </c>
      <c r="B446" s="2806" t="s">
        <v>2836</v>
      </c>
      <c r="C446" s="2797"/>
      <c r="D446" s="2810"/>
      <c r="E446" s="2797">
        <f>C27</f>
        <v>0.25</v>
      </c>
      <c r="F446" s="2810"/>
      <c r="G446" s="2797"/>
      <c r="H446" s="2900"/>
      <c r="I446" s="2797"/>
      <c r="J446" s="2786"/>
      <c r="K446" s="2813"/>
      <c r="L446" s="2817"/>
    </row>
    <row r="447" spans="1:12" ht="15.75" customHeight="1">
      <c r="A447" s="2818" t="s">
        <v>3293</v>
      </c>
      <c r="B447" s="2801" t="s">
        <v>3294</v>
      </c>
      <c r="C447" s="2797"/>
      <c r="D447" s="2810"/>
      <c r="E447" s="2797">
        <f>2*C24+C27</f>
        <v>2.25</v>
      </c>
      <c r="F447" s="2801"/>
      <c r="G447" s="2797"/>
      <c r="H447" s="2900"/>
      <c r="I447" s="2797"/>
      <c r="J447" s="2786"/>
      <c r="K447" s="2813"/>
      <c r="L447" s="2817"/>
    </row>
    <row r="448" spans="1:12" ht="15.75" customHeight="1">
      <c r="A448" s="2818" t="s">
        <v>3295</v>
      </c>
      <c r="B448" s="2801" t="s">
        <v>2839</v>
      </c>
      <c r="C448" s="2797"/>
      <c r="D448" s="2810"/>
      <c r="E448" s="2797">
        <f t="shared" si="21"/>
        <v>25.5</v>
      </c>
      <c r="F448" s="2810" t="s">
        <v>2820</v>
      </c>
      <c r="G448" s="2797"/>
      <c r="H448" s="2900"/>
      <c r="I448" s="2797"/>
      <c r="J448" s="2786"/>
      <c r="K448" s="2813"/>
      <c r="L448" s="2817"/>
    </row>
    <row r="449" spans="1:12" ht="15.75" customHeight="1">
      <c r="A449" s="2818" t="s">
        <v>3296</v>
      </c>
      <c r="B449" s="2801" t="s">
        <v>1874</v>
      </c>
      <c r="C449" s="2797"/>
      <c r="D449" s="2810"/>
      <c r="E449" s="2797">
        <f>ROUND(C144,4)</f>
        <v>26</v>
      </c>
      <c r="F449" s="2810" t="s">
        <v>2820</v>
      </c>
      <c r="G449" s="2797"/>
      <c r="H449" s="2900"/>
      <c r="I449" s="2797"/>
      <c r="J449" s="2786"/>
      <c r="K449" s="2813"/>
      <c r="L449" s="2817"/>
    </row>
    <row r="450" spans="1:12" ht="15.75" customHeight="1">
      <c r="A450" s="2803" t="s">
        <v>2977</v>
      </c>
      <c r="B450" s="2831" t="s">
        <v>2978</v>
      </c>
      <c r="C450" s="2797"/>
      <c r="D450" s="2810"/>
      <c r="E450" s="2797">
        <f>ROUND(C158,4)</f>
        <v>0.16669999999999999</v>
      </c>
      <c r="F450" s="2810"/>
      <c r="G450" s="2797"/>
      <c r="H450" s="2900"/>
      <c r="I450" s="2797"/>
      <c r="J450" s="2786"/>
      <c r="K450" s="2813"/>
      <c r="L450" s="2817"/>
    </row>
    <row r="451" spans="1:12" ht="15.75" customHeight="1">
      <c r="A451" s="2818" t="s">
        <v>3297</v>
      </c>
      <c r="B451" s="2801" t="s">
        <v>407</v>
      </c>
      <c r="C451" s="2797">
        <f>ROUND(C156,4)</f>
        <v>0.8</v>
      </c>
      <c r="D451" s="2810"/>
      <c r="E451" s="2797"/>
      <c r="F451" s="2801"/>
      <c r="G451" s="2797">
        <f>ROUND(G156,4)</f>
        <v>0.97819999999999996</v>
      </c>
      <c r="H451" s="2900"/>
      <c r="I451" s="2797"/>
      <c r="J451" s="2786"/>
      <c r="K451" s="2813"/>
      <c r="L451" s="2817"/>
    </row>
    <row r="452" spans="1:12" ht="15.75" customHeight="1">
      <c r="A452" s="2818" t="s">
        <v>3298</v>
      </c>
      <c r="B452" s="2801" t="s">
        <v>3299</v>
      </c>
      <c r="C452" s="2797">
        <f>ROUND(C157,4)</f>
        <v>0.8</v>
      </c>
      <c r="D452" s="2810"/>
      <c r="E452" s="2797"/>
      <c r="F452" s="2801"/>
      <c r="G452" s="2797">
        <f>ROUND(G157,4)</f>
        <v>0.97819999999999996</v>
      </c>
      <c r="H452" s="2900"/>
      <c r="I452" s="2797"/>
      <c r="J452" s="2786"/>
      <c r="K452" s="2813"/>
      <c r="L452" s="2817"/>
    </row>
    <row r="453" spans="1:12" ht="15.75" customHeight="1">
      <c r="A453" s="2818" t="s">
        <v>3300</v>
      </c>
      <c r="B453" s="2801" t="s">
        <v>411</v>
      </c>
      <c r="C453" s="2797">
        <f>ROUND(C146,3)</f>
        <v>57</v>
      </c>
      <c r="D453" s="2810" t="s">
        <v>2820</v>
      </c>
      <c r="E453" s="2797"/>
      <c r="F453" s="2801"/>
      <c r="G453" s="2797">
        <f>ROUND(G146,3)</f>
        <v>108</v>
      </c>
      <c r="H453" s="2810" t="s">
        <v>2820</v>
      </c>
      <c r="I453" s="2912"/>
      <c r="J453" s="2786"/>
      <c r="K453" s="2813"/>
      <c r="L453" s="2817"/>
    </row>
    <row r="454" spans="1:12" ht="15.75" customHeight="1">
      <c r="A454" s="2818" t="s">
        <v>3301</v>
      </c>
      <c r="B454" s="2801" t="s">
        <v>3302</v>
      </c>
      <c r="C454" s="2797">
        <f>ROUND(C148,3)</f>
        <v>53.561999999999998</v>
      </c>
      <c r="D454" s="2810" t="s">
        <v>2820</v>
      </c>
      <c r="E454" s="2797"/>
      <c r="F454" s="2801"/>
      <c r="G454" s="2797">
        <f>ROUND(G148,3)</f>
        <v>101.48699999999999</v>
      </c>
      <c r="H454" s="2810" t="s">
        <v>2820</v>
      </c>
      <c r="I454" s="2912"/>
      <c r="J454" s="2786"/>
      <c r="K454" s="2813"/>
      <c r="L454" s="2817"/>
    </row>
    <row r="455" spans="1:12" ht="15.75" customHeight="1">
      <c r="A455" s="2818" t="s">
        <v>3303</v>
      </c>
      <c r="B455" s="2801" t="s">
        <v>3304</v>
      </c>
      <c r="C455" s="2797">
        <f>IF(OR(C85="无标准插齿刀可选！",G86=""),"",ROUND(C166,3))</f>
        <v>66.875</v>
      </c>
      <c r="D455" s="2810" t="s">
        <v>2820</v>
      </c>
      <c r="E455" s="2797"/>
      <c r="F455" s="2801"/>
      <c r="G455" s="2797">
        <f>IF(OR(C85="无标准插齿刀可选！",G86=""),"",ROUND(G166,3))</f>
        <v>107.8</v>
      </c>
      <c r="H455" s="2810" t="s">
        <v>2820</v>
      </c>
      <c r="I455" s="2912"/>
      <c r="J455" s="2786"/>
      <c r="K455" s="2813"/>
      <c r="L455" s="2817"/>
    </row>
    <row r="456" spans="1:12" ht="15.75" customHeight="1">
      <c r="A456" s="2818"/>
      <c r="B456" s="2801"/>
      <c r="C456" s="2935">
        <f>IF(OR(G108=0,F111&lt;&gt;"",F118&lt;&gt;""),"",ROUND(C167,3))</f>
        <v>66.884</v>
      </c>
      <c r="D456" s="2892" t="s">
        <v>2820</v>
      </c>
      <c r="E456" s="2797"/>
      <c r="F456" s="2801"/>
      <c r="G456" s="2935">
        <f>IF(OR(G108=0,F111&lt;&gt;"",F118&lt;&gt;""),"",ROUND(G167,3))</f>
        <v>107.8</v>
      </c>
      <c r="H456" s="2892" t="s">
        <v>2820</v>
      </c>
      <c r="I456" s="2912"/>
      <c r="J456" s="2786"/>
      <c r="K456" s="2813"/>
      <c r="L456" s="2817"/>
    </row>
    <row r="457" spans="1:12" ht="15.75" customHeight="1">
      <c r="A457" s="2818" t="s">
        <v>3305</v>
      </c>
      <c r="B457" s="2801" t="s">
        <v>3306</v>
      </c>
      <c r="C457" s="2797">
        <f>IF(OR(C85="无标准插齿刀可选！",G86=""),"",ROUND(C170,3))</f>
        <v>54.3</v>
      </c>
      <c r="D457" s="2810" t="s">
        <v>2820</v>
      </c>
      <c r="E457" s="2797"/>
      <c r="F457" s="2923"/>
      <c r="G457" s="2797">
        <f>IF(OR(C85="无标准插齿刀可选！",G86=""),"",ROUND(G170,3))</f>
        <v>120.375</v>
      </c>
      <c r="H457" s="2810" t="s">
        <v>2820</v>
      </c>
      <c r="I457" s="2912"/>
      <c r="J457" s="2786"/>
      <c r="K457" s="2813"/>
      <c r="L457" s="2817"/>
    </row>
    <row r="458" spans="1:12" ht="15.75" customHeight="1">
      <c r="A458" s="2818"/>
      <c r="B458" s="2801"/>
      <c r="C458" s="2935">
        <f>IF(OR(G108=0,F111&lt;&gt;"",F118&lt;&gt;""),"",ROUND(C171,3))</f>
        <v>54.3</v>
      </c>
      <c r="D458" s="2892" t="s">
        <v>2820</v>
      </c>
      <c r="E458" s="2797"/>
      <c r="F458" s="2923"/>
      <c r="G458" s="2935">
        <f>IF(OR(G108=0,F111&lt;&gt;"",F118&lt;&gt;""),"",ROUND(G171,3))</f>
        <v>120.384</v>
      </c>
      <c r="H458" s="2892" t="s">
        <v>2820</v>
      </c>
      <c r="I458" s="2912"/>
      <c r="J458" s="2786"/>
      <c r="K458" s="2813"/>
      <c r="L458" s="2817"/>
    </row>
    <row r="459" spans="1:12" ht="15.75" customHeight="1">
      <c r="A459" s="2818" t="s">
        <v>3307</v>
      </c>
      <c r="B459" s="2801" t="s">
        <v>3308</v>
      </c>
      <c r="C459" s="2797">
        <f>IF(OR(C85="无标准插齿刀可选！",G86=""),"",ROUND(C160,3))</f>
        <v>4.9379999999999997</v>
      </c>
      <c r="D459" s="2810" t="s">
        <v>2820</v>
      </c>
      <c r="E459" s="2797"/>
      <c r="F459" s="2801"/>
      <c r="G459" s="2797">
        <f>IF(OR(C85="无标准插齿刀可选！",G86=""),"",ROUND(G160,3))</f>
        <v>0.1</v>
      </c>
      <c r="H459" s="2810" t="s">
        <v>2820</v>
      </c>
      <c r="I459" s="2912"/>
      <c r="J459" s="2786"/>
      <c r="K459" s="2813"/>
      <c r="L459" s="2817"/>
    </row>
    <row r="460" spans="1:12" ht="15.75" customHeight="1">
      <c r="A460" s="2818"/>
      <c r="B460" s="2801"/>
      <c r="C460" s="2935">
        <f>IF(OR(G108=0,F111&lt;&gt;"",F118&lt;&gt;""),"",ROUND(C161,3))</f>
        <v>4.9420000000000002</v>
      </c>
      <c r="D460" s="2892" t="s">
        <v>2820</v>
      </c>
      <c r="E460" s="2797"/>
      <c r="F460" s="2801"/>
      <c r="G460" s="2935">
        <f>IF(OR(G108=0,F111&lt;&gt;"",F118&lt;&gt;""),"",ROUND(G161,3))</f>
        <v>0.1</v>
      </c>
      <c r="H460" s="2892" t="s">
        <v>2820</v>
      </c>
      <c r="I460" s="2912"/>
      <c r="J460" s="2786"/>
      <c r="K460" s="2813"/>
      <c r="L460" s="2817"/>
    </row>
    <row r="461" spans="1:12" ht="15.75" customHeight="1">
      <c r="A461" s="2818" t="s">
        <v>3309</v>
      </c>
      <c r="B461" s="2801" t="s">
        <v>3310</v>
      </c>
      <c r="C461" s="2797">
        <f>IF(OR(C85="无标准插齿刀可选！",G86=""),"",ROUND(C162,3))</f>
        <v>1.35</v>
      </c>
      <c r="D461" s="2810" t="s">
        <v>2820</v>
      </c>
      <c r="E461" s="2797"/>
      <c r="F461" s="2801"/>
      <c r="G461" s="2797">
        <f>IF(OR(C85="无标准插齿刀可选！",G86=""),"",ROUND(G162,3))</f>
        <v>6.1879999999999997</v>
      </c>
      <c r="H461" s="2810" t="s">
        <v>2820</v>
      </c>
      <c r="I461" s="2912"/>
      <c r="J461" s="2786"/>
      <c r="K461" s="2813"/>
      <c r="L461" s="2817"/>
    </row>
    <row r="462" spans="1:12" ht="15.75" customHeight="1">
      <c r="A462" s="2818"/>
      <c r="B462" s="2801"/>
      <c r="C462" s="2935">
        <f>IF(OR(G108=0,F111&lt;&gt;"",F118&lt;&gt;""),"",ROUND(C163,3))</f>
        <v>1.35</v>
      </c>
      <c r="D462" s="2892" t="s">
        <v>2820</v>
      </c>
      <c r="E462" s="2797"/>
      <c r="F462" s="2801"/>
      <c r="G462" s="2935">
        <f>IF(OR(G108=0,F111&lt;&gt;"",F118&lt;&gt;""),"",ROUND(G163,3))</f>
        <v>6.1920000000000002</v>
      </c>
      <c r="H462" s="2892" t="s">
        <v>2820</v>
      </c>
      <c r="I462" s="2912"/>
      <c r="J462" s="2786"/>
      <c r="K462" s="2813"/>
      <c r="L462" s="2817"/>
    </row>
    <row r="463" spans="1:12" ht="15.75" customHeight="1">
      <c r="A463" s="2818" t="s">
        <v>3311</v>
      </c>
      <c r="B463" s="2801" t="s">
        <v>3312</v>
      </c>
      <c r="C463" s="2797"/>
      <c r="D463" s="2810"/>
      <c r="E463" s="2797">
        <f>IF(OR(C85="无标准插齿刀可选！",G86=""),"",ROUND(C164,3))</f>
        <v>6.2880000000000003</v>
      </c>
      <c r="F463" s="2810" t="s">
        <v>2820</v>
      </c>
      <c r="G463" s="2797"/>
      <c r="H463" s="2810"/>
      <c r="I463" s="2912"/>
      <c r="J463" s="2786"/>
      <c r="K463" s="2813"/>
      <c r="L463" s="2817"/>
    </row>
    <row r="464" spans="1:12" ht="15.75" customHeight="1">
      <c r="A464" s="2818"/>
      <c r="B464" s="2801"/>
      <c r="C464" s="2797"/>
      <c r="D464" s="2810"/>
      <c r="E464" s="2935">
        <f>IF(OR(G108=0,F111&lt;&gt;"",F118&lt;&gt;""),"",ROUND(C165,3))</f>
        <v>6.2919999999999998</v>
      </c>
      <c r="F464" s="2892" t="s">
        <v>2820</v>
      </c>
      <c r="G464" s="2797"/>
      <c r="H464" s="2810"/>
      <c r="I464" s="2912"/>
      <c r="J464" s="2786"/>
      <c r="K464" s="2813"/>
      <c r="L464" s="2817"/>
    </row>
    <row r="465" spans="1:12" ht="15.75" customHeight="1">
      <c r="A465" s="2813" t="s">
        <v>3313</v>
      </c>
      <c r="B465" s="2806" t="s">
        <v>3314</v>
      </c>
      <c r="C465" s="2797">
        <f>ROUND(C172,3)</f>
        <v>6.4589999999999996</v>
      </c>
      <c r="D465" s="2810" t="s">
        <v>2820</v>
      </c>
      <c r="E465" s="2797"/>
      <c r="F465" s="2810"/>
      <c r="G465" s="2797">
        <f>ROUND(G172,3)</f>
        <v>2.5760000000000001</v>
      </c>
      <c r="H465" s="2810" t="s">
        <v>2820</v>
      </c>
      <c r="I465" s="2912"/>
      <c r="J465" s="2786"/>
      <c r="K465" s="2813"/>
      <c r="L465" s="2817"/>
    </row>
    <row r="466" spans="1:12" ht="15.75" customHeight="1">
      <c r="A466" s="2896"/>
      <c r="B466" s="2872"/>
      <c r="C466" s="2791"/>
      <c r="D466" s="2842"/>
      <c r="E466" s="2791"/>
      <c r="F466" s="2842"/>
      <c r="G466" s="2791"/>
      <c r="H466" s="2842"/>
      <c r="I466" s="2912"/>
      <c r="J466" s="2786"/>
      <c r="K466" s="2813"/>
      <c r="L466" s="2817"/>
    </row>
    <row r="467" spans="1:12" ht="15.75" customHeight="1">
      <c r="A467" s="3014" t="s">
        <v>3315</v>
      </c>
      <c r="B467" s="2806"/>
      <c r="C467" s="2797"/>
      <c r="D467" s="2810"/>
      <c r="E467" s="2797"/>
      <c r="F467" s="2810"/>
      <c r="G467" s="2797"/>
      <c r="H467" s="2810"/>
      <c r="I467" s="2912"/>
      <c r="J467" s="2786"/>
      <c r="K467" s="2813"/>
      <c r="L467" s="2817"/>
    </row>
    <row r="468" spans="1:12" ht="15.75" customHeight="1">
      <c r="A468" s="2817" t="s">
        <v>3316</v>
      </c>
      <c r="B468" s="2806" t="s">
        <v>3317</v>
      </c>
      <c r="C468" s="2797">
        <f>ROUND(C181,3)</f>
        <v>33.436999999999998</v>
      </c>
      <c r="D468" s="2810" t="s">
        <v>2820</v>
      </c>
      <c r="E468" s="2797"/>
      <c r="F468" s="2810"/>
      <c r="G468" s="2797">
        <f>ROUND(G181,3)</f>
        <v>52.23</v>
      </c>
      <c r="H468" s="2810" t="s">
        <v>2820</v>
      </c>
      <c r="I468" s="2912"/>
      <c r="J468" s="2786"/>
      <c r="K468" s="2813"/>
      <c r="L468" s="2817"/>
    </row>
    <row r="469" spans="1:12" ht="15.75" customHeight="1">
      <c r="A469" s="2817" t="s">
        <v>3318</v>
      </c>
      <c r="B469" s="2806" t="s">
        <v>3319</v>
      </c>
      <c r="C469" s="2797">
        <f>C182</f>
        <v>4</v>
      </c>
      <c r="D469" s="2810"/>
      <c r="E469" s="2797"/>
      <c r="F469" s="2810"/>
      <c r="G469" s="2797">
        <f>G182</f>
        <v>6</v>
      </c>
      <c r="H469" s="2810"/>
      <c r="I469" s="2912"/>
      <c r="J469" s="2786"/>
      <c r="K469" s="2813"/>
      <c r="L469" s="2817"/>
    </row>
    <row r="470" spans="1:12" ht="15.75" customHeight="1">
      <c r="A470" s="2806" t="s">
        <v>3320</v>
      </c>
      <c r="B470" s="2806"/>
      <c r="C470" s="2797" t="str">
        <f>C183</f>
        <v>可以测量</v>
      </c>
      <c r="D470" s="2810"/>
      <c r="E470" s="2797"/>
      <c r="F470" s="2810"/>
      <c r="G470" s="2797" t="str">
        <f>G183</f>
        <v>可以测量</v>
      </c>
      <c r="H470" s="2810"/>
      <c r="I470" s="2912"/>
      <c r="J470" s="2786"/>
      <c r="K470" s="2813"/>
      <c r="L470" s="2817"/>
    </row>
    <row r="471" spans="1:12" ht="15.75" customHeight="1">
      <c r="A471" s="2818" t="s">
        <v>3321</v>
      </c>
      <c r="B471" s="2801" t="s">
        <v>3322</v>
      </c>
      <c r="C471" s="2797">
        <f>ROUND(C187,3)</f>
        <v>5.7039999999999997</v>
      </c>
      <c r="D471" s="2810" t="s">
        <v>2820</v>
      </c>
      <c r="E471" s="2810"/>
      <c r="F471" s="2801"/>
      <c r="G471" s="2797"/>
      <c r="H471" s="2810"/>
      <c r="I471" s="2912"/>
      <c r="J471" s="2786"/>
      <c r="K471" s="2813"/>
      <c r="L471" s="2817"/>
    </row>
    <row r="472" spans="1:12" ht="15.75" customHeight="1">
      <c r="A472" s="2818" t="s">
        <v>3323</v>
      </c>
      <c r="B472" s="2801" t="s">
        <v>3324</v>
      </c>
      <c r="C472" s="2797">
        <f>IF(OR(C85="无标准插齿刀可选！",G86=""),"",ROUND(C188,3))</f>
        <v>3.9</v>
      </c>
      <c r="D472" s="2810" t="s">
        <v>2820</v>
      </c>
      <c r="E472" s="2797"/>
      <c r="F472" s="2801"/>
      <c r="G472" s="2797"/>
      <c r="H472" s="2810"/>
      <c r="I472" s="2786"/>
      <c r="J472" s="2786"/>
      <c r="K472" s="2813"/>
      <c r="L472" s="2817"/>
    </row>
    <row r="473" spans="1:12" ht="15.75" customHeight="1">
      <c r="A473" s="2818"/>
      <c r="B473" s="2801"/>
      <c r="C473" s="2935">
        <f>IF(OR(G108=0,F111&lt;&gt;"",F118&lt;&gt;""),"",ROUND(C189,3))</f>
        <v>3.9039999999999999</v>
      </c>
      <c r="D473" s="2892" t="s">
        <v>2820</v>
      </c>
      <c r="E473" s="2797"/>
      <c r="F473" s="2801"/>
      <c r="G473" s="2797"/>
      <c r="H473" s="2810"/>
      <c r="I473" s="2786"/>
      <c r="J473" s="2786"/>
      <c r="K473" s="2813"/>
      <c r="L473" s="2817"/>
    </row>
    <row r="474" spans="1:12" ht="15.75" customHeight="1">
      <c r="A474" s="2803" t="s">
        <v>3325</v>
      </c>
      <c r="B474" s="2855" t="s">
        <v>3326</v>
      </c>
      <c r="C474" s="2797">
        <f>ROUND(C190,3)</f>
        <v>6.4459999999999997</v>
      </c>
      <c r="D474" s="2810" t="s">
        <v>2820</v>
      </c>
      <c r="E474" s="2797"/>
      <c r="F474" s="2801"/>
      <c r="G474" s="2797">
        <f>ROUND(G190,3)</f>
        <v>2.5760000000000001</v>
      </c>
      <c r="H474" s="2810" t="s">
        <v>2820</v>
      </c>
      <c r="I474" s="2786"/>
      <c r="J474" s="2786"/>
      <c r="K474" s="2813"/>
      <c r="L474" s="2817"/>
    </row>
    <row r="475" spans="1:12" ht="15.75" customHeight="1">
      <c r="A475" s="2803" t="s">
        <v>3327</v>
      </c>
      <c r="B475" s="2855" t="s">
        <v>3328</v>
      </c>
      <c r="C475" s="2797">
        <f>IF(OR(C85="无标准插齿刀可选！",G86=""),"",ROUND(C191,3))</f>
        <v>5.12</v>
      </c>
      <c r="D475" s="2810" t="s">
        <v>2820</v>
      </c>
      <c r="E475" s="2797"/>
      <c r="F475" s="2801"/>
      <c r="G475" s="2797">
        <f>IF(OR(C85="无标准插齿刀可选！",G86=""),"",ROUND(G191,3))</f>
        <v>9.9000000000000005E-2</v>
      </c>
      <c r="H475" s="2810" t="s">
        <v>2820</v>
      </c>
      <c r="I475" s="2786"/>
      <c r="J475" s="2786"/>
      <c r="K475" s="2813"/>
      <c r="L475" s="2817"/>
    </row>
    <row r="476" spans="1:12" ht="15.75" customHeight="1">
      <c r="A476" s="2803"/>
      <c r="B476" s="2855"/>
      <c r="C476" s="2935">
        <f>IF(OR(G108=0,F111&lt;&gt;"",F118&lt;&gt;""),"",ROUND(C192,3))</f>
        <v>5.125</v>
      </c>
      <c r="D476" s="2892" t="s">
        <v>2820</v>
      </c>
      <c r="E476" s="2797"/>
      <c r="F476" s="2801"/>
      <c r="G476" s="2935">
        <f>IF(OR(G108=0,F111&lt;&gt;"",F118&lt;&gt;""),"",ROUND(G192,3))</f>
        <v>9.9000000000000005E-2</v>
      </c>
      <c r="H476" s="2892" t="s">
        <v>2820</v>
      </c>
      <c r="I476" s="2786"/>
      <c r="J476" s="2786"/>
      <c r="K476" s="2813"/>
      <c r="L476" s="2817"/>
    </row>
    <row r="477" spans="1:12" ht="15.75" customHeight="1">
      <c r="A477" s="2803" t="s">
        <v>3047</v>
      </c>
      <c r="B477" s="2855" t="s">
        <v>3329</v>
      </c>
      <c r="C477" s="2797">
        <f>IF(OR(C67=0,B68&lt;&gt;""),"",C200)</f>
        <v>7</v>
      </c>
      <c r="D477" s="2810" t="s">
        <v>2820</v>
      </c>
      <c r="E477" s="2797"/>
      <c r="F477" s="2801"/>
      <c r="G477" s="2797">
        <f>IF(OR(G67=0,F68&lt;&gt;""),"",G200)</f>
        <v>5</v>
      </c>
      <c r="H477" s="2810" t="s">
        <v>2820</v>
      </c>
      <c r="I477" s="2786"/>
      <c r="J477" s="2786"/>
      <c r="K477" s="2813"/>
      <c r="L477" s="2817"/>
    </row>
    <row r="478" spans="1:12" ht="15.75" customHeight="1">
      <c r="A478" s="2803" t="s">
        <v>3060</v>
      </c>
      <c r="B478" s="2855" t="s">
        <v>235</v>
      </c>
      <c r="C478" s="2797">
        <f>IF(OR(C67=0,B68&lt;&gt;""),"",ROUND(C205,3))</f>
        <v>72.555000000000007</v>
      </c>
      <c r="D478" s="2810" t="s">
        <v>2820</v>
      </c>
      <c r="E478" s="2797"/>
      <c r="F478" s="2801"/>
      <c r="G478" s="2797">
        <f>IF(OR(G67=0,F68&lt;&gt;""),"",ROUND(G205,3))</f>
        <v>106.755</v>
      </c>
      <c r="H478" s="2810" t="s">
        <v>2820</v>
      </c>
      <c r="I478" s="2786"/>
      <c r="J478" s="2786"/>
      <c r="K478" s="2813"/>
      <c r="L478" s="2817"/>
    </row>
    <row r="479" spans="1:12" ht="15.6" customHeight="1">
      <c r="A479" s="2803" t="s">
        <v>3330</v>
      </c>
      <c r="B479" s="2801" t="s">
        <v>3331</v>
      </c>
      <c r="C479" s="2797">
        <f>IF(OR(C67=0,B68&lt;&gt;""),"",ROUND(C193,2))</f>
        <v>61.8</v>
      </c>
      <c r="D479" s="2810" t="s">
        <v>2820</v>
      </c>
      <c r="E479" s="2797"/>
      <c r="F479" s="2801"/>
      <c r="G479" s="2797">
        <f>IF(OR(G67=0,F68&lt;&gt;""),"",ROUND(G193,2))</f>
        <v>113.87</v>
      </c>
      <c r="H479" s="2810" t="s">
        <v>2820</v>
      </c>
      <c r="I479" s="2786"/>
      <c r="J479" s="2786"/>
      <c r="K479" s="2813"/>
      <c r="L479" s="2817"/>
    </row>
    <row r="480" spans="1:12" ht="15.6" customHeight="1">
      <c r="A480" s="2803"/>
      <c r="B480" s="2801"/>
      <c r="C480" s="2797"/>
      <c r="D480" s="2810"/>
      <c r="E480" s="2797"/>
      <c r="F480" s="2801"/>
      <c r="G480" s="2797"/>
      <c r="H480" s="2810"/>
      <c r="I480" s="2786"/>
      <c r="J480" s="2786"/>
      <c r="K480" s="2813"/>
      <c r="L480" s="2817"/>
    </row>
    <row r="481" spans="1:12" ht="15.6" customHeight="1">
      <c r="A481" s="2896"/>
      <c r="B481" s="2901"/>
      <c r="C481" s="2791"/>
      <c r="D481" s="2842"/>
      <c r="E481" s="2791"/>
      <c r="F481" s="2901"/>
      <c r="G481" s="2791"/>
      <c r="H481" s="2842"/>
      <c r="I481" s="2786"/>
      <c r="J481" s="2786"/>
      <c r="K481" s="2813"/>
      <c r="L481" s="2817"/>
    </row>
    <row r="482" spans="1:12" ht="15.6" customHeight="1">
      <c r="A482" s="3010" t="s">
        <v>3332</v>
      </c>
      <c r="B482" s="2801"/>
      <c r="C482" s="2797"/>
      <c r="D482" s="2810"/>
      <c r="E482" s="2797"/>
      <c r="F482" s="2801"/>
      <c r="G482" s="2797"/>
      <c r="H482" s="2810"/>
      <c r="I482" s="2786"/>
      <c r="J482" s="2786"/>
      <c r="K482" s="2813"/>
      <c r="L482" s="2817"/>
    </row>
    <row r="483" spans="1:12" ht="15.75" customHeight="1">
      <c r="A483" s="2976" t="s">
        <v>3089</v>
      </c>
      <c r="B483" s="2806" t="s">
        <v>3090</v>
      </c>
      <c r="C483" s="2797">
        <f>IF(OR(C85="无标准插齿刀可选！",G86=""),"",ROUND(C224,3))</f>
        <v>8.0839999999999996</v>
      </c>
      <c r="D483" s="2810" t="s">
        <v>2820</v>
      </c>
      <c r="E483" s="2797"/>
      <c r="F483" s="2801"/>
      <c r="G483" s="2797">
        <f>IF(OR(C85="无标准插齿刀可选！",G86=""),"",ROUND(G224,3))</f>
        <v>30.111000000000001</v>
      </c>
      <c r="H483" s="2810" t="s">
        <v>2820</v>
      </c>
      <c r="I483" s="2786"/>
      <c r="J483" s="2786"/>
      <c r="K483" s="2813"/>
      <c r="L483" s="2817"/>
    </row>
    <row r="484" spans="1:12" ht="15.75" customHeight="1">
      <c r="A484" s="2976"/>
      <c r="B484" s="2806"/>
      <c r="C484" s="2935">
        <f>IF(OR(G108=0,F111&lt;&gt;"",F118&lt;&gt;""),"",ROUND(C225,3))</f>
        <v>8.0839999999999996</v>
      </c>
      <c r="D484" s="2892" t="s">
        <v>2820</v>
      </c>
      <c r="E484" s="2935"/>
      <c r="F484" s="3382"/>
      <c r="G484" s="2935">
        <f>IF(OR(G108=0,F111&lt;&gt;"",F118&lt;&gt;""),"",ROUND(G225,3))</f>
        <v>30.117999999999999</v>
      </c>
      <c r="H484" s="2892" t="s">
        <v>2820</v>
      </c>
      <c r="I484" s="2786"/>
      <c r="J484" s="2786"/>
      <c r="K484" s="2813"/>
      <c r="L484" s="2817"/>
    </row>
    <row r="485" spans="1:12" ht="15.75" customHeight="1">
      <c r="A485" s="2976" t="s">
        <v>3092</v>
      </c>
      <c r="B485" s="2806" t="s">
        <v>3093</v>
      </c>
      <c r="C485" s="2797">
        <f>IF(OR(C85="无标准插齿刀可选！",G86=""),"",ROUND(C226,3))</f>
        <v>27.975000000000001</v>
      </c>
      <c r="D485" s="2810" t="s">
        <v>2820</v>
      </c>
      <c r="E485" s="2797"/>
      <c r="F485" s="2801"/>
      <c r="G485" s="2797">
        <f>IF(OR(C85="无标准插齿刀可选！",G86=""),"",ROUND(G226,3))</f>
        <v>59.005000000000003</v>
      </c>
      <c r="H485" s="2810" t="s">
        <v>2820</v>
      </c>
      <c r="I485" s="2786"/>
      <c r="J485" s="2786"/>
      <c r="K485" s="2813"/>
      <c r="L485" s="2817"/>
    </row>
    <row r="486" spans="1:12" ht="15.75" customHeight="1">
      <c r="A486" s="2976"/>
      <c r="B486" s="2806"/>
      <c r="C486" s="2935">
        <f>IF(OR(G108=0,F111&lt;&gt;"",F118&lt;&gt;""),"",ROUND(C227,3))</f>
        <v>27.975000000000001</v>
      </c>
      <c r="D486" s="2892" t="s">
        <v>2820</v>
      </c>
      <c r="E486" s="2935"/>
      <c r="F486" s="3382"/>
      <c r="G486" s="2935">
        <f>IF(OR(G108=0,F111&lt;&gt;"",F118&lt;&gt;""),"",ROUND(G227,3))</f>
        <v>59.009</v>
      </c>
      <c r="H486" s="2892" t="s">
        <v>2820</v>
      </c>
      <c r="I486" s="2786"/>
      <c r="J486" s="2786"/>
      <c r="K486" s="2813"/>
      <c r="L486" s="2817"/>
    </row>
    <row r="487" spans="1:12" ht="15.75" customHeight="1">
      <c r="A487" s="2976" t="s">
        <v>3094</v>
      </c>
      <c r="B487" s="2806" t="s">
        <v>3095</v>
      </c>
      <c r="C487" s="2797">
        <f>IF(OR(C85="无标准插齿刀可选！",G86=""),"",ROUND(C228,3))</f>
        <v>20.021000000000001</v>
      </c>
      <c r="D487" s="2810" t="s">
        <v>2820</v>
      </c>
      <c r="E487" s="2797"/>
      <c r="F487" s="2801"/>
      <c r="G487" s="2797">
        <f>IF(OR(C85="无标准插齿刀可选！",G86=""),"",ROUND(G228,3))</f>
        <v>18.175000000000001</v>
      </c>
      <c r="H487" s="2810" t="s">
        <v>2820</v>
      </c>
      <c r="I487" s="2786"/>
      <c r="J487" s="2786"/>
      <c r="K487" s="2813"/>
      <c r="L487" s="2817"/>
    </row>
    <row r="488" spans="1:12" ht="15.75" customHeight="1">
      <c r="A488" s="2976"/>
      <c r="B488" s="2806"/>
      <c r="C488" s="2935">
        <f>IF(OR(G108=0,F111&lt;&gt;"",F118&lt;&gt;""),"",ROUND(C229,3))</f>
        <v>20.027999999999999</v>
      </c>
      <c r="D488" s="2892" t="s">
        <v>2820</v>
      </c>
      <c r="E488" s="2935"/>
      <c r="F488" s="3382"/>
      <c r="G488" s="2935">
        <f>IF(OR(G108=0,F111&lt;&gt;"",F118&lt;&gt;""),"",ROUND(G229,3))</f>
        <v>18.175000000000001</v>
      </c>
      <c r="H488" s="2892" t="s">
        <v>2820</v>
      </c>
      <c r="I488" s="2786"/>
      <c r="J488" s="2786"/>
      <c r="K488" s="2813"/>
      <c r="L488" s="2817"/>
    </row>
    <row r="489" spans="1:12" ht="15.75" customHeight="1">
      <c r="A489" s="2976" t="s">
        <v>3097</v>
      </c>
      <c r="B489" s="2806" t="s">
        <v>3098</v>
      </c>
      <c r="C489" s="2797">
        <f>IF(OR(C85="无标准插齿刀可选！",G86=""),"",ROUND(C230,3))</f>
        <v>33.438000000000002</v>
      </c>
      <c r="D489" s="2810" t="s">
        <v>2820</v>
      </c>
      <c r="E489" s="2797"/>
      <c r="F489" s="2801"/>
      <c r="G489" s="2797">
        <f>IF(OR(C85="无标准插齿刀可选！",G86=""),"",ROUND(G230,3))</f>
        <v>53.9</v>
      </c>
      <c r="H489" s="2810" t="s">
        <v>2820</v>
      </c>
      <c r="I489" s="2786"/>
      <c r="J489" s="2786"/>
      <c r="K489" s="2813"/>
      <c r="L489" s="2817"/>
    </row>
    <row r="490" spans="1:12" ht="15.75" customHeight="1">
      <c r="A490" s="2976"/>
      <c r="B490" s="2806"/>
      <c r="C490" s="2935">
        <f>IF(OR(G108=0,F111&lt;&gt;"",F118&lt;&gt;""),"",ROUND(C231,3))</f>
        <v>33.442</v>
      </c>
      <c r="D490" s="2892" t="s">
        <v>2820</v>
      </c>
      <c r="E490" s="2935"/>
      <c r="F490" s="3382"/>
      <c r="G490" s="2935">
        <f>IF(OR(G108=0,F111&lt;&gt;"",F118&lt;&gt;""),"",ROUND(G231,3))</f>
        <v>53.9</v>
      </c>
      <c r="H490" s="2892" t="s">
        <v>2820</v>
      </c>
      <c r="I490" s="2786"/>
      <c r="J490" s="2786"/>
      <c r="K490" s="2813"/>
      <c r="L490" s="2817"/>
    </row>
    <row r="491" spans="1:12" ht="15.75" customHeight="1">
      <c r="A491" s="2976" t="s">
        <v>3099</v>
      </c>
      <c r="B491" s="2813" t="s">
        <v>3100</v>
      </c>
      <c r="C491" s="2797">
        <f>IF(OR(C85="无标准插齿刀可选！",G86=""),"",ROUND(C232,5))</f>
        <v>17.295549999999999</v>
      </c>
      <c r="D491" s="2810" t="s">
        <v>257</v>
      </c>
      <c r="E491" s="2797"/>
      <c r="F491" s="2801"/>
      <c r="G491" s="2797">
        <f>IF(OR(C85="无标准插齿刀可选！",G86=""),"",ROUND(G232,5))</f>
        <v>33.999560000000002</v>
      </c>
      <c r="H491" s="2810" t="s">
        <v>257</v>
      </c>
      <c r="I491" s="2786"/>
      <c r="J491" s="2786"/>
      <c r="K491" s="2813"/>
      <c r="L491" s="2817"/>
    </row>
    <row r="492" spans="1:12" ht="15.75" customHeight="1">
      <c r="A492" s="2858"/>
      <c r="B492" s="2806"/>
      <c r="C492" s="2935">
        <f>IF(OR(G108=0,F111&lt;&gt;"",F118&lt;&gt;""),"",ROUND(C233,5))</f>
        <v>17.295549999999999</v>
      </c>
      <c r="D492" s="2892" t="s">
        <v>257</v>
      </c>
      <c r="E492" s="2935"/>
      <c r="F492" s="3382"/>
      <c r="G492" s="2935">
        <f>IF(OR(G108=0,F111&lt;&gt;"",F118&lt;&gt;""),"",ROUND(G233,5))</f>
        <v>34.00752</v>
      </c>
      <c r="H492" s="2892" t="s">
        <v>257</v>
      </c>
      <c r="I492" s="2786"/>
      <c r="J492" s="2786"/>
      <c r="K492" s="2813"/>
      <c r="L492" s="2817"/>
    </row>
    <row r="493" spans="1:12" ht="15.75" customHeight="1">
      <c r="A493" s="2858" t="s">
        <v>3103</v>
      </c>
      <c r="B493" s="2813" t="s">
        <v>3104</v>
      </c>
      <c r="C493" s="2797">
        <f>IF(OR(C85="无标准插齿刀可选！",G86=""),"",ROUND(C234,5))</f>
        <v>42.832970000000003</v>
      </c>
      <c r="D493" s="2810" t="s">
        <v>257</v>
      </c>
      <c r="E493" s="2797"/>
      <c r="F493" s="2801"/>
      <c r="G493" s="2797">
        <f>IF(OR(C85="无标准插齿刀可选！",G86=""),"",ROUND(G234,5))</f>
        <v>20.52148</v>
      </c>
      <c r="H493" s="2810" t="s">
        <v>257</v>
      </c>
      <c r="I493" s="2786"/>
      <c r="J493" s="2786"/>
      <c r="K493" s="2813"/>
      <c r="L493" s="2817"/>
    </row>
    <row r="494" spans="1:12" ht="15.75" customHeight="1">
      <c r="A494" s="2858"/>
      <c r="B494" s="2806"/>
      <c r="C494" s="2935">
        <f>IF(OR(G108=0,F111&lt;&gt;"",F118&lt;&gt;""),"",ROUND(C235,5))</f>
        <v>42.848050000000001</v>
      </c>
      <c r="D494" s="2892" t="s">
        <v>257</v>
      </c>
      <c r="E494" s="2935"/>
      <c r="F494" s="3382"/>
      <c r="G494" s="2935">
        <f>IF(OR(G108=0,F111&lt;&gt;"",F118&lt;&gt;""),"",ROUND(G235,5))</f>
        <v>20.52148</v>
      </c>
      <c r="H494" s="2892" t="s">
        <v>257</v>
      </c>
      <c r="I494" s="2786"/>
      <c r="J494" s="2786"/>
      <c r="K494" s="2813"/>
      <c r="L494" s="2817"/>
    </row>
    <row r="495" spans="1:12" ht="15.75" customHeight="1">
      <c r="A495" s="2858" t="s">
        <v>3106</v>
      </c>
      <c r="B495" s="2813" t="s">
        <v>3107</v>
      </c>
      <c r="C495" s="2797">
        <f>IF(OR(C85="无标准插齿刀可选！",G86=""),"",ROUND(C236,5))</f>
        <v>25.808019999999999</v>
      </c>
      <c r="D495" s="2810" t="s">
        <v>257</v>
      </c>
      <c r="E495" s="2797"/>
      <c r="F495" s="2801"/>
      <c r="G495" s="2797">
        <f>IF(OR(C85="无标准插齿刀可选！",G86=""),"",ROUND(G236,5))</f>
        <v>29.506869999999999</v>
      </c>
      <c r="H495" s="2810" t="s">
        <v>257</v>
      </c>
      <c r="I495" s="2786"/>
      <c r="J495" s="2786"/>
      <c r="K495" s="2813"/>
      <c r="L495" s="2817"/>
    </row>
    <row r="496" spans="1:12" ht="15.75" customHeight="1">
      <c r="A496" s="2803"/>
      <c r="B496" s="2801"/>
      <c r="C496" s="2935">
        <f>IF(OR(G108=0,F111&lt;&gt;"",F118&lt;&gt;""),"",ROUND(C237,5))</f>
        <v>25.81305</v>
      </c>
      <c r="D496" s="2892" t="s">
        <v>257</v>
      </c>
      <c r="E496" s="2935"/>
      <c r="F496" s="3382"/>
      <c r="G496" s="2935">
        <f>IF(OR(G108=0,F111&lt;&gt;"",F118&lt;&gt;""),"",ROUND(G237,5))</f>
        <v>29.512170000000001</v>
      </c>
      <c r="H496" s="2892" t="s">
        <v>257</v>
      </c>
      <c r="I496" s="2786"/>
      <c r="J496" s="2786"/>
      <c r="K496" s="2813"/>
      <c r="L496" s="2817"/>
    </row>
    <row r="497" spans="1:12" ht="15.75" customHeight="1">
      <c r="A497" s="2803"/>
      <c r="B497" s="2797" t="s">
        <v>3110</v>
      </c>
      <c r="C497" s="2797">
        <f>IF(OR(C85="无标准插齿刀可选！",G86=""),"",ROUND(C238,5))</f>
        <v>34.320500000000003</v>
      </c>
      <c r="D497" s="2810" t="s">
        <v>257</v>
      </c>
      <c r="E497" s="2797"/>
      <c r="F497" s="2801"/>
      <c r="G497" s="2797">
        <f>IF(OR(C85="无标准插齿刀可选！",G86=""),"",ROUND(G238,5))</f>
        <v>25.01417</v>
      </c>
      <c r="H497" s="2810" t="s">
        <v>257</v>
      </c>
      <c r="I497" s="2786"/>
      <c r="J497" s="2786"/>
      <c r="K497" s="2813"/>
      <c r="L497" s="2817"/>
    </row>
    <row r="498" spans="1:12" ht="15.75" customHeight="1">
      <c r="A498" s="2803"/>
      <c r="B498" s="2801"/>
      <c r="C498" s="2935">
        <f>IF(OR(G108=0,F111&lt;&gt;"",F118&lt;&gt;""),"",ROUND(C239,5))</f>
        <v>34.330550000000002</v>
      </c>
      <c r="D498" s="2892" t="s">
        <v>257</v>
      </c>
      <c r="E498" s="2935"/>
      <c r="F498" s="3382"/>
      <c r="G498" s="2935">
        <f>IF(OR(G108=0,F111&lt;&gt;"",F118&lt;&gt;""),"",ROUND(G239,5))</f>
        <v>25.016829999999999</v>
      </c>
      <c r="H498" s="2892" t="s">
        <v>257</v>
      </c>
      <c r="I498" s="2786"/>
      <c r="J498" s="2786"/>
      <c r="K498" s="2813"/>
      <c r="L498" s="2817"/>
    </row>
    <row r="499" spans="1:12" ht="15.75" customHeight="1">
      <c r="A499" s="2963"/>
      <c r="B499" s="2901"/>
      <c r="C499" s="3019"/>
      <c r="D499" s="2842"/>
      <c r="E499" s="3019"/>
      <c r="F499" s="3020"/>
      <c r="G499" s="2957"/>
      <c r="H499" s="2842"/>
      <c r="I499" s="2786"/>
      <c r="J499" s="2786"/>
      <c r="K499" s="2813"/>
      <c r="L499" s="2817"/>
    </row>
    <row r="500" spans="1:12" ht="15.75" customHeight="1">
      <c r="A500" s="3010" t="s">
        <v>3333</v>
      </c>
      <c r="B500" s="2838"/>
      <c r="C500" s="3017" t="str">
        <f>IF(OR(C44=0,C45=0,C46=0),"（未输入精度等级）","(按 GB10095—88 渐开线圆柱齿轮 精度)")</f>
        <v>(按 GB10095—88 渐开线圆柱齿轮 精度)</v>
      </c>
      <c r="D500" s="2904"/>
      <c r="E500" s="2905"/>
      <c r="F500" s="2906"/>
      <c r="G500" s="3011"/>
      <c r="H500" s="2810"/>
      <c r="I500" s="2786"/>
      <c r="J500" s="2786"/>
      <c r="K500" s="2813"/>
      <c r="L500" s="2817"/>
    </row>
    <row r="501" spans="1:12" ht="15.75" customHeight="1">
      <c r="A501" s="2900" t="s">
        <v>3334</v>
      </c>
      <c r="B501" s="3011" t="s">
        <v>3335</v>
      </c>
      <c r="C501" s="3011"/>
      <c r="D501" s="2797"/>
      <c r="E501" s="2797">
        <f>IF(OR(C44=0,C45=0,C46=0),"",C44)</f>
        <v>7</v>
      </c>
      <c r="F501" s="2797"/>
      <c r="G501" s="3011"/>
      <c r="H501" s="2810"/>
      <c r="I501" s="2797"/>
      <c r="J501" s="2786"/>
      <c r="K501" s="2813"/>
      <c r="L501" s="2817"/>
    </row>
    <row r="502" spans="1:12" ht="15.75" customHeight="1">
      <c r="A502" s="2912"/>
      <c r="B502" s="3011" t="s">
        <v>3336</v>
      </c>
      <c r="C502" s="3011"/>
      <c r="D502" s="2797"/>
      <c r="E502" s="2797">
        <f>IF(OR(C44=0,C45=0,C46=0),"",C45)</f>
        <v>7</v>
      </c>
      <c r="F502" s="2953"/>
      <c r="G502" s="3011"/>
      <c r="H502" s="2810"/>
      <c r="I502" s="2786"/>
      <c r="J502" s="2786"/>
      <c r="K502" s="2813"/>
      <c r="L502" s="2817"/>
    </row>
    <row r="503" spans="1:12" ht="15.75" customHeight="1">
      <c r="A503" s="2912"/>
      <c r="B503" s="3011" t="s">
        <v>3337</v>
      </c>
      <c r="C503" s="3011"/>
      <c r="D503" s="2797"/>
      <c r="E503" s="2797">
        <f>IF(OR(C44=0,C45=0,C46=0),"",C46)</f>
        <v>7</v>
      </c>
      <c r="F503" s="2797"/>
      <c r="G503" s="3011"/>
      <c r="H503" s="2810"/>
      <c r="I503" s="2786"/>
      <c r="J503" s="2786"/>
      <c r="K503" s="2813"/>
      <c r="L503" s="2817"/>
    </row>
    <row r="504" spans="1:12" ht="15.75" customHeight="1">
      <c r="A504" s="2858" t="s">
        <v>3338</v>
      </c>
      <c r="B504" s="2807" t="s">
        <v>937</v>
      </c>
      <c r="C504" s="2797" t="str">
        <f>IF(OR(C44=0,C45=0,C46=0,C58&lt;&gt;""),"",F407)</f>
        <v>F</v>
      </c>
      <c r="D504" s="2838"/>
      <c r="E504" s="3011"/>
      <c r="F504" s="2838"/>
      <c r="G504" s="2797" t="str">
        <f>IF(OR(C44=0,C45=0,C46=0,C60&lt;&gt;""),"",F409)</f>
        <v>G</v>
      </c>
      <c r="H504" s="2810"/>
      <c r="I504" s="2786"/>
      <c r="J504" s="2786"/>
      <c r="K504" s="2813"/>
      <c r="L504" s="2817"/>
    </row>
    <row r="505" spans="1:12" ht="15.75" customHeight="1">
      <c r="A505" s="2858"/>
      <c r="B505" s="2807" t="s">
        <v>938</v>
      </c>
      <c r="C505" s="2797" t="str">
        <f>IF(OR(C44=0,C45=0,C46=0,C59&lt;&gt;""),"",F408)</f>
        <v>K</v>
      </c>
      <c r="D505" s="2838"/>
      <c r="E505" s="3011"/>
      <c r="F505" s="2838"/>
      <c r="G505" s="2797" t="str">
        <f>IF(OR(C44=0,C45=0,C46=0,C61&lt;&gt;""),"",F410)</f>
        <v>J</v>
      </c>
      <c r="H505" s="2810"/>
      <c r="I505" s="2786"/>
      <c r="J505" s="2786"/>
      <c r="K505" s="2813"/>
      <c r="L505" s="2817"/>
    </row>
    <row r="506" spans="1:12" ht="15.75" customHeight="1">
      <c r="A506" s="2900" t="s">
        <v>3226</v>
      </c>
      <c r="B506" s="2801" t="s">
        <v>3339</v>
      </c>
      <c r="C506" s="2797">
        <f>IF(OR(C44=0,C45=0,C46=0),"",C380)</f>
        <v>-5.6000000000000001E-2</v>
      </c>
      <c r="D506" s="2810" t="s">
        <v>2820</v>
      </c>
      <c r="E506" s="2797"/>
      <c r="F506" s="2801"/>
      <c r="G506" s="2797">
        <f>IF(OR(C44=0,C45=0,C46=0),"",G380)</f>
        <v>-8.4000000000000005E-2</v>
      </c>
      <c r="H506" s="2810" t="s">
        <v>2820</v>
      </c>
      <c r="I506" s="2786"/>
      <c r="J506" s="2786"/>
      <c r="K506" s="2813"/>
      <c r="L506" s="2817"/>
    </row>
    <row r="507" spans="1:12" ht="15.75" customHeight="1">
      <c r="A507" s="2900" t="s">
        <v>3229</v>
      </c>
      <c r="B507" s="2801" t="s">
        <v>3340</v>
      </c>
      <c r="C507" s="2797">
        <f>IF(OR(C44=0,C45=0,C46=0),"",C381)</f>
        <v>-0.16800000000000001</v>
      </c>
      <c r="D507" s="2810" t="s">
        <v>2820</v>
      </c>
      <c r="E507" s="2797"/>
      <c r="F507" s="2801"/>
      <c r="G507" s="2797">
        <f>IF(OR(C44=0,C45=0,C46=0),"",G381)</f>
        <v>-0.14000000000000001</v>
      </c>
      <c r="H507" s="2810" t="s">
        <v>2820</v>
      </c>
      <c r="I507" s="2786"/>
      <c r="J507" s="2786"/>
      <c r="K507" s="2813"/>
      <c r="L507" s="2817"/>
    </row>
    <row r="508" spans="1:12" ht="15.75" customHeight="1">
      <c r="A508" s="2900" t="s">
        <v>3341</v>
      </c>
      <c r="B508" s="2801" t="s">
        <v>3342</v>
      </c>
      <c r="C508" s="2797">
        <f>IF(OR(C44=0,C45=0,C46=0),"",C382)</f>
        <v>0.112</v>
      </c>
      <c r="D508" s="2810" t="s">
        <v>2820</v>
      </c>
      <c r="E508" s="2797"/>
      <c r="F508" s="2801"/>
      <c r="G508" s="2797">
        <f>IF(OR(C44=0,C45=0,C46=0),"",G382)</f>
        <v>5.6000000000000001E-2</v>
      </c>
      <c r="H508" s="2810" t="s">
        <v>2820</v>
      </c>
      <c r="I508" s="2786"/>
      <c r="J508" s="2786"/>
      <c r="K508" s="2813"/>
      <c r="L508" s="2817"/>
    </row>
    <row r="509" spans="1:12" ht="15.75" customHeight="1">
      <c r="A509" s="2803" t="s">
        <v>3343</v>
      </c>
      <c r="B509" s="2801" t="s">
        <v>3344</v>
      </c>
      <c r="C509" s="2797"/>
      <c r="D509" s="2810"/>
      <c r="E509" s="2797">
        <f>IF(OR(C44=0,C45=0,C46=0),"",ABS(C506+G506))</f>
        <v>0.14000000000000001</v>
      </c>
      <c r="F509" s="2810" t="s">
        <v>2820</v>
      </c>
      <c r="G509" s="2797"/>
      <c r="H509" s="2810"/>
      <c r="I509" s="2786"/>
      <c r="J509" s="2786"/>
      <c r="K509" s="2813"/>
      <c r="L509" s="2817"/>
    </row>
    <row r="510" spans="1:12" ht="15.75" customHeight="1">
      <c r="A510" s="2803" t="s">
        <v>3345</v>
      </c>
      <c r="B510" s="2801" t="s">
        <v>3346</v>
      </c>
      <c r="C510" s="2797"/>
      <c r="D510" s="2810"/>
      <c r="E510" s="2797">
        <f>IF(OR(C44=0,C45=0,C46=0),"",ABS(C507+G507))</f>
        <v>0.308</v>
      </c>
      <c r="F510" s="2810" t="s">
        <v>2820</v>
      </c>
      <c r="G510" s="2797"/>
      <c r="H510" s="2810"/>
      <c r="I510" s="2786"/>
      <c r="J510" s="2786"/>
      <c r="K510" s="2813"/>
      <c r="L510" s="2817"/>
    </row>
    <row r="511" spans="1:12" ht="15.75" customHeight="1">
      <c r="A511" s="2857" t="s">
        <v>3256</v>
      </c>
      <c r="B511" s="2801" t="s">
        <v>3257</v>
      </c>
      <c r="C511" s="2797">
        <f>IF(OR(C44=0,C45=0,C46=0),"",C411)</f>
        <v>-5.2999999999999999E-2</v>
      </c>
      <c r="D511" s="2810" t="s">
        <v>2820</v>
      </c>
      <c r="E511" s="2797"/>
      <c r="F511" s="2810"/>
      <c r="G511" s="2797">
        <f>IF(OR(C44=0,C45=0,C46=0),"",G411)</f>
        <v>0.14000000000000001</v>
      </c>
      <c r="H511" s="2810" t="s">
        <v>2820</v>
      </c>
      <c r="I511" s="2786"/>
      <c r="J511" s="2786"/>
      <c r="K511" s="2813"/>
      <c r="L511" s="2817"/>
    </row>
    <row r="512" spans="1:12" ht="15.75" customHeight="1">
      <c r="A512" s="2857" t="s">
        <v>3258</v>
      </c>
      <c r="B512" s="2801" t="s">
        <v>3259</v>
      </c>
      <c r="C512" s="2797">
        <f>IF(OR(C44=0,C45=0,C46=0),"",C412)</f>
        <v>-0.158</v>
      </c>
      <c r="D512" s="2810" t="s">
        <v>2820</v>
      </c>
      <c r="E512" s="2797"/>
      <c r="F512" s="2810"/>
      <c r="G512" s="2797">
        <f>IF(OR(C44=0,C45=0,C46=0),"",G412)</f>
        <v>8.4000000000000005E-2</v>
      </c>
      <c r="H512" s="2810" t="s">
        <v>2820</v>
      </c>
      <c r="I512" s="2786"/>
      <c r="J512" s="2786"/>
      <c r="K512" s="2813"/>
      <c r="L512" s="2817"/>
    </row>
    <row r="513" spans="1:12" ht="15.75" customHeight="1">
      <c r="A513" s="2857" t="s">
        <v>3260</v>
      </c>
      <c r="B513" s="2801" t="s">
        <v>3261</v>
      </c>
      <c r="C513" s="2797">
        <f>IF(OR(C44=0,C45=0,C46=0),"",C413)</f>
        <v>0.105</v>
      </c>
      <c r="D513" s="2810" t="s">
        <v>2820</v>
      </c>
      <c r="E513" s="2797"/>
      <c r="F513" s="2810"/>
      <c r="G513" s="2797">
        <f>IF(OR(C44=0,C45=0,C46=0),"",G413)</f>
        <v>5.6000000000000001E-2</v>
      </c>
      <c r="H513" s="2810" t="s">
        <v>2820</v>
      </c>
      <c r="I513" s="2786"/>
      <c r="J513" s="2786"/>
      <c r="K513" s="2813"/>
      <c r="L513" s="2817"/>
    </row>
    <row r="514" spans="1:12" ht="15.75" customHeight="1">
      <c r="A514" s="2857" t="s">
        <v>3262</v>
      </c>
      <c r="B514" s="2801" t="s">
        <v>3263</v>
      </c>
      <c r="C514" s="2797">
        <f>IF(OR(C44=0,C45=0,C46=0),"",C414)</f>
        <v>-0.09</v>
      </c>
      <c r="D514" s="2810" t="s">
        <v>2820</v>
      </c>
      <c r="E514" s="2797"/>
      <c r="F514" s="2810"/>
      <c r="G514" s="2797">
        <f>IF(OR(C44=0,C45=0,C46=0),"",G414)</f>
        <v>0.314</v>
      </c>
      <c r="H514" s="2810" t="s">
        <v>2820</v>
      </c>
      <c r="I514" s="2786"/>
      <c r="J514" s="2786"/>
      <c r="K514" s="2813"/>
      <c r="L514" s="2817"/>
    </row>
    <row r="515" spans="1:12" ht="15.75" customHeight="1">
      <c r="A515" s="2857" t="s">
        <v>3264</v>
      </c>
      <c r="B515" s="2801" t="s">
        <v>3265</v>
      </c>
      <c r="C515" s="2797">
        <f>IF(OR(C44=0,C45=0,C46=0),"",C415)</f>
        <v>-0.27100000000000002</v>
      </c>
      <c r="D515" s="2810" t="s">
        <v>2820</v>
      </c>
      <c r="E515" s="2797"/>
      <c r="F515" s="2810"/>
      <c r="G515" s="2797">
        <f>IF(OR(C44=0,C45=0,C46=0),"",G415)</f>
        <v>0.188</v>
      </c>
      <c r="H515" s="2810" t="s">
        <v>2820</v>
      </c>
      <c r="I515" s="2786"/>
      <c r="J515" s="2786"/>
      <c r="K515" s="2813"/>
      <c r="L515" s="2817"/>
    </row>
    <row r="516" spans="1:12" ht="15.75" customHeight="1">
      <c r="A516" s="2857" t="s">
        <v>3266</v>
      </c>
      <c r="B516" s="2801" t="s">
        <v>3267</v>
      </c>
      <c r="C516" s="2797">
        <f>IF(OR(C44=0,C45=0,C46=0),"",C416)</f>
        <v>0.18099999999999999</v>
      </c>
      <c r="D516" s="2810" t="s">
        <v>2820</v>
      </c>
      <c r="E516" s="2797"/>
      <c r="F516" s="2810"/>
      <c r="G516" s="2797">
        <f>IF(OR(C44=0,C45=0,C46=0),"",G416)</f>
        <v>0.126</v>
      </c>
      <c r="H516" s="2810" t="s">
        <v>2820</v>
      </c>
      <c r="I516" s="2786"/>
      <c r="J516" s="2786"/>
      <c r="K516" s="2813"/>
      <c r="L516" s="2817"/>
    </row>
    <row r="517" spans="1:12" ht="15.75" customHeight="1">
      <c r="A517" s="2900" t="s">
        <v>3220</v>
      </c>
      <c r="B517" s="2801" t="s">
        <v>3347</v>
      </c>
      <c r="C517" s="2797">
        <f>IF(OR(C44=0,C45=0,C46=0),"",C378/1000)</f>
        <v>5.6000000000000001E-2</v>
      </c>
      <c r="D517" s="2810" t="s">
        <v>2820</v>
      </c>
      <c r="E517" s="2797"/>
      <c r="F517" s="2801"/>
      <c r="G517" s="2797">
        <f>IF(OR(C44=0,C45=0,C46=0),"",G378/1000)</f>
        <v>7.3999999999999996E-2</v>
      </c>
      <c r="H517" s="2810" t="s">
        <v>2820</v>
      </c>
      <c r="I517" s="2786"/>
      <c r="J517" s="2786"/>
      <c r="K517" s="2813"/>
      <c r="L517" s="2817"/>
    </row>
    <row r="518" spans="1:12" ht="15.75" customHeight="1">
      <c r="A518" s="2976" t="s">
        <v>3223</v>
      </c>
      <c r="B518" s="2801" t="s">
        <v>3348</v>
      </c>
      <c r="C518" s="2797">
        <f>IF(OR(C44=0,C45=0,C46=0),"",C379/1000)</f>
        <v>1.4999999999999999E-2</v>
      </c>
      <c r="D518" s="2810" t="s">
        <v>2820</v>
      </c>
      <c r="E518" s="2797"/>
      <c r="F518" s="2801"/>
      <c r="G518" s="2797">
        <f>IF(OR(C44=0,C45=0,C46=0),"",G379/1000)</f>
        <v>1.4999999999999999E-2</v>
      </c>
      <c r="H518" s="2810" t="s">
        <v>2820</v>
      </c>
      <c r="I518" s="2786"/>
      <c r="J518" s="2786"/>
      <c r="K518" s="2813"/>
      <c r="L518" s="2817"/>
    </row>
    <row r="519" spans="1:12" ht="15.75" customHeight="1">
      <c r="A519" s="2858" t="s">
        <v>3193</v>
      </c>
      <c r="B519" s="2801" t="s">
        <v>3349</v>
      </c>
      <c r="C519" s="2797">
        <f>C310/1000</f>
        <v>3.5999999999999997E-2</v>
      </c>
      <c r="D519" s="2810" t="s">
        <v>2820</v>
      </c>
      <c r="E519" s="2797"/>
      <c r="F519" s="2801"/>
      <c r="G519" s="2797">
        <f>G310/1000</f>
        <v>3.5999999999999997E-2</v>
      </c>
      <c r="H519" s="2810" t="s">
        <v>2820</v>
      </c>
      <c r="I519" s="2786"/>
      <c r="J519" s="2786"/>
      <c r="K519" s="2813"/>
      <c r="L519" s="2817"/>
    </row>
    <row r="520" spans="1:12" ht="15.75" customHeight="1">
      <c r="A520" s="2857" t="s">
        <v>3196</v>
      </c>
      <c r="B520" s="2801" t="s">
        <v>3350</v>
      </c>
      <c r="C520" s="2797">
        <f>C322/1000</f>
        <v>2.8000000000000001E-2</v>
      </c>
      <c r="D520" s="2810" t="s">
        <v>2820</v>
      </c>
      <c r="E520" s="2797"/>
      <c r="F520" s="2801"/>
      <c r="G520" s="2797">
        <f>G322/1000</f>
        <v>2.8000000000000001E-2</v>
      </c>
      <c r="H520" s="2810" t="s">
        <v>2820</v>
      </c>
      <c r="I520" s="2786"/>
      <c r="J520" s="2786"/>
      <c r="K520" s="2813"/>
      <c r="L520" s="2817"/>
    </row>
    <row r="521" spans="1:12" ht="15.75" customHeight="1">
      <c r="A521" s="2818" t="s">
        <v>3351</v>
      </c>
      <c r="B521" s="2801" t="s">
        <v>3352</v>
      </c>
      <c r="C521" s="2797">
        <f>IF(OR(C44=0,C45=0,C46=0),"",C304/1000)</f>
        <v>4.4999999999999998E-2</v>
      </c>
      <c r="D521" s="2810" t="s">
        <v>2820</v>
      </c>
      <c r="E521" s="3022"/>
      <c r="F521" s="2801"/>
      <c r="G521" s="2797">
        <f>IF(OR(C44=0,C45=0,C46=0),"",G304/1000)</f>
        <v>6.3E-2</v>
      </c>
      <c r="H521" s="2810" t="s">
        <v>2820</v>
      </c>
      <c r="I521" s="2786"/>
      <c r="J521" s="2786"/>
      <c r="K521" s="2813"/>
      <c r="L521" s="2817"/>
    </row>
    <row r="522" spans="1:12" ht="15.75" customHeight="1">
      <c r="A522" s="2818" t="s">
        <v>3353</v>
      </c>
      <c r="B522" s="2801" t="s">
        <v>3354</v>
      </c>
      <c r="C522" s="2797">
        <f>IF(OR(C44=0,C45=0,C46=0),"",C326/1000)</f>
        <v>1.4E-2</v>
      </c>
      <c r="D522" s="2810" t="s">
        <v>2820</v>
      </c>
      <c r="E522" s="3022"/>
      <c r="F522" s="2801"/>
      <c r="G522" s="2797">
        <f>IF(OR(C44=0,C45=0,C46=0),"",G326/1000)</f>
        <v>1.4E-2</v>
      </c>
      <c r="H522" s="2810" t="s">
        <v>2820</v>
      </c>
      <c r="I522" s="2786"/>
      <c r="J522" s="2786"/>
      <c r="K522" s="2813"/>
      <c r="L522" s="2817"/>
    </row>
    <row r="523" spans="1:12" ht="15.75" customHeight="1">
      <c r="A523" s="2803" t="s">
        <v>3202</v>
      </c>
      <c r="B523" s="2855" t="s">
        <v>3355</v>
      </c>
      <c r="C523" s="2797">
        <f>IF(OR(C44=0,C45=0,C46=0),"",C338/1000)</f>
        <v>1.2999999999999999E-2</v>
      </c>
      <c r="D523" s="2810" t="s">
        <v>2820</v>
      </c>
      <c r="E523" s="3022"/>
      <c r="F523" s="2801"/>
      <c r="G523" s="2797">
        <f>IF(OR(C44=0,C45=0,C46=0),"",G338/1000)</f>
        <v>1.2999999999999999E-2</v>
      </c>
      <c r="H523" s="2810" t="s">
        <v>2820</v>
      </c>
      <c r="I523" s="2786"/>
      <c r="J523" s="2786"/>
      <c r="K523" s="2813"/>
      <c r="L523" s="2817"/>
    </row>
    <row r="524" spans="1:12">
      <c r="A524" s="2803" t="s">
        <v>3206</v>
      </c>
      <c r="B524" s="2801" t="s">
        <v>3356</v>
      </c>
      <c r="C524" s="2797">
        <f>IF(OR(C44=0,C45=0,C46=0),"",C350/1000)</f>
        <v>1.0999999999999999E-2</v>
      </c>
      <c r="D524" s="2810" t="s">
        <v>2820</v>
      </c>
      <c r="E524" s="3022"/>
      <c r="F524" s="2801"/>
      <c r="G524" s="2797">
        <f>IF(OR(C44=0,C45=0,C46=0),"",G350/1000)</f>
        <v>1.0999999999999999E-2</v>
      </c>
      <c r="H524" s="2810" t="s">
        <v>2820</v>
      </c>
      <c r="I524" s="2786"/>
      <c r="J524" s="2786"/>
      <c r="K524" s="2813"/>
      <c r="L524" s="2817"/>
    </row>
    <row r="525" spans="1:12" ht="15.75" customHeight="1">
      <c r="A525" s="2803" t="s">
        <v>3209</v>
      </c>
      <c r="B525" s="2806" t="s">
        <v>3210</v>
      </c>
      <c r="C525" s="2797"/>
      <c r="D525" s="2810"/>
      <c r="E525" s="2797">
        <f>IF(OR(C44=0,C45=0,C46=0),"",C362/1000)</f>
        <v>1.0999999999999999E-2</v>
      </c>
      <c r="F525" s="2810" t="s">
        <v>2820</v>
      </c>
      <c r="G525" s="2797"/>
      <c r="H525" s="2810"/>
      <c r="I525" s="2786"/>
      <c r="J525" s="2786"/>
      <c r="K525" s="2813"/>
      <c r="L525" s="2817"/>
    </row>
    <row r="526" spans="1:12">
      <c r="A526" s="2797" t="s">
        <v>3214</v>
      </c>
      <c r="B526" s="2801" t="s">
        <v>3215</v>
      </c>
      <c r="C526" s="2797"/>
      <c r="D526" s="2810"/>
      <c r="E526" s="2797">
        <f>IF(OR(C44=0,C45=0,C46=0),"",C370/1000)</f>
        <v>1.0999999999999999E-2</v>
      </c>
      <c r="F526" s="2810" t="s">
        <v>2820</v>
      </c>
      <c r="G526" s="2797"/>
      <c r="H526" s="2810"/>
      <c r="I526" s="2786"/>
      <c r="J526" s="2786"/>
      <c r="K526" s="2813"/>
      <c r="L526" s="2817"/>
    </row>
    <row r="527" spans="1:12" ht="15.75" customHeight="1">
      <c r="A527" s="2797" t="s">
        <v>3216</v>
      </c>
      <c r="B527" s="2801" t="s">
        <v>3217</v>
      </c>
      <c r="C527" s="2797"/>
      <c r="D527" s="2810"/>
      <c r="E527" s="2797">
        <f>IF(OR(C44=0,C45=0,C46=0),"",C376/1000)</f>
        <v>1.0999999999999999E-2</v>
      </c>
      <c r="F527" s="2810" t="s">
        <v>2820</v>
      </c>
      <c r="G527" s="2797"/>
      <c r="H527" s="2810"/>
      <c r="I527" s="2786"/>
      <c r="J527" s="2786"/>
      <c r="K527" s="2813"/>
      <c r="L527" s="2817"/>
    </row>
    <row r="528" spans="1:12" ht="15.75" customHeight="1">
      <c r="A528" s="2797" t="s">
        <v>3218</v>
      </c>
      <c r="B528" s="2806" t="s">
        <v>3219</v>
      </c>
      <c r="C528" s="2797"/>
      <c r="D528" s="2810"/>
      <c r="E528" s="2797">
        <f>IF(OR(C44=0,C45=0,C46=0),"",C377/1000)</f>
        <v>5.6000000000000001E-2</v>
      </c>
      <c r="F528" s="2810" t="s">
        <v>2820</v>
      </c>
      <c r="G528" s="2797"/>
      <c r="H528" s="2810"/>
      <c r="I528" s="2786"/>
      <c r="J528" s="2786"/>
      <c r="K528" s="2813"/>
      <c r="L528" s="2817"/>
    </row>
    <row r="529" spans="1:12" ht="15.75" customHeight="1">
      <c r="A529" s="2797" t="s">
        <v>3211</v>
      </c>
      <c r="B529" s="2810" t="s">
        <v>3212</v>
      </c>
      <c r="C529" s="2797"/>
      <c r="D529" s="2800"/>
      <c r="E529" s="3221">
        <f>IF(OR(C44=0,C45=0,C46=0),"",C368/100)</f>
        <v>0.45</v>
      </c>
      <c r="F529" s="2800"/>
      <c r="G529" s="2953"/>
      <c r="H529" s="2891"/>
      <c r="I529" s="2786"/>
      <c r="J529" s="2786"/>
      <c r="K529" s="2812"/>
      <c r="L529" s="2817"/>
    </row>
    <row r="530" spans="1:12" ht="15.75" customHeight="1">
      <c r="A530" s="2797"/>
      <c r="B530" s="2810" t="s">
        <v>3213</v>
      </c>
      <c r="C530" s="2797"/>
      <c r="D530" s="2800"/>
      <c r="E530" s="3221">
        <f>IF(OR(C44=0,C45=0,C46=0),"",C369/100)</f>
        <v>0.6</v>
      </c>
      <c r="F530" s="2800"/>
      <c r="G530" s="2953"/>
      <c r="H530" s="2891"/>
      <c r="I530" s="2786"/>
      <c r="J530" s="2786"/>
      <c r="K530" s="2812"/>
      <c r="L530" s="2817"/>
    </row>
    <row r="531" spans="1:12" ht="15.75" customHeight="1">
      <c r="A531" s="2953" t="s">
        <v>3275</v>
      </c>
      <c r="B531" s="2801"/>
      <c r="C531" s="2797"/>
      <c r="D531" s="2810"/>
      <c r="E531" s="3022"/>
      <c r="F531" s="3022"/>
      <c r="G531" s="2797"/>
      <c r="H531" s="2810"/>
      <c r="I531" s="2786"/>
      <c r="J531" s="2786"/>
      <c r="L531" s="2817"/>
    </row>
    <row r="532" spans="1:12" ht="15.75" customHeight="1">
      <c r="A532" s="2797" t="s">
        <v>3276</v>
      </c>
      <c r="B532" s="2983"/>
      <c r="C532" s="2797"/>
      <c r="D532" s="2810"/>
      <c r="E532" s="2797" t="str">
        <f>IF(OR(C44=0,C45=0,C46=0),"",C422)</f>
        <v>IT7</v>
      </c>
      <c r="F532" s="2953" t="str">
        <f>IF(OR(C44=0,C45=0,C46=0),"","GB 1800—79")</f>
        <v>GB 1800—79</v>
      </c>
      <c r="G532" s="2797"/>
      <c r="H532" s="2810"/>
      <c r="I532" s="2786"/>
      <c r="J532" s="2786"/>
      <c r="L532" s="2817"/>
    </row>
    <row r="533" spans="1:12" ht="15.75" customHeight="1">
      <c r="A533" s="2797" t="s">
        <v>3277</v>
      </c>
      <c r="B533" s="2983"/>
      <c r="C533" s="2797"/>
      <c r="D533" s="2810"/>
      <c r="E533" s="2797" t="str">
        <f>IF(OR(C44=0,C45=0,C46=0),"",C423)</f>
        <v>IT6</v>
      </c>
      <c r="F533" s="2953" t="str">
        <f>IF(OR(C44=0,C45=0,C46=0),"","GB 1800—79")</f>
        <v>GB 1800—79</v>
      </c>
      <c r="G533" s="2797"/>
      <c r="H533" s="2810"/>
      <c r="I533" s="2786"/>
      <c r="J533" s="2786"/>
    </row>
    <row r="534" spans="1:12" ht="15.75" customHeight="1">
      <c r="A534" s="2797" t="s">
        <v>3278</v>
      </c>
      <c r="B534" s="2810" t="s">
        <v>3357</v>
      </c>
      <c r="C534" s="2797"/>
      <c r="D534" s="3012"/>
      <c r="E534" s="2797" t="str">
        <f>IF(OR(C44=0,C45=0,C46=0),"",C424)</f>
        <v>IT8</v>
      </c>
      <c r="F534" s="2953" t="str">
        <f>IF(OR(C44=0,C45=0,C46=0),"","GB 1800—79")</f>
        <v>GB 1800—79</v>
      </c>
      <c r="G534" s="2797"/>
      <c r="H534" s="2810"/>
      <c r="I534" s="2786"/>
      <c r="J534" s="2786"/>
    </row>
    <row r="535" spans="1:12" ht="15.75" customHeight="1">
      <c r="A535" s="2871"/>
      <c r="B535" s="2810" t="s">
        <v>3358</v>
      </c>
      <c r="C535" s="2791"/>
      <c r="D535" s="3023"/>
      <c r="E535" s="3024" t="str">
        <f>IF(OR(C44=0,C45=0,C46=0),"",E424)</f>
        <v>IT11， 但不大于</v>
      </c>
      <c r="F535" s="2791">
        <f>IF(OR(C44=0,C45=0,C46=0),"",F424)</f>
        <v>0.3</v>
      </c>
      <c r="G535" s="2842" t="str">
        <f>IF(OR(C44=0,C45=0,C46=0),"","毫米")</f>
        <v>毫米</v>
      </c>
      <c r="H535" s="2842"/>
      <c r="I535" s="2786"/>
      <c r="J535" s="2786"/>
    </row>
    <row r="536" spans="1:12" ht="15.75" customHeight="1">
      <c r="A536" s="3025" t="s">
        <v>3359</v>
      </c>
      <c r="B536" s="3222" t="str">
        <f>IF(OR(C44=0,C45=0,C46=0),"",IF(OR(E501&lt;&gt;E502,E501&lt;&gt;E503),E501,""))</f>
        <v/>
      </c>
      <c r="C536" s="3027" t="str">
        <f>IF(OR(C44=0,C45=0,C46=0),"",IF(OR(E501&lt;&gt;E502,E501&lt;&gt;E503),-E502,""))</f>
        <v/>
      </c>
      <c r="D536" s="3028">
        <f>IF(OR(C44=0,C45=0,C46=0),"",IF(OR(E501&lt;&gt;E502,E501&lt;&gt;E503),-E503,E503))</f>
        <v>7</v>
      </c>
      <c r="E536" s="3375" t="str">
        <f>IF(OR(C44=0,C45=0,C46=0),"",IF(C58&lt;&gt;"",C58,F407))</f>
        <v>F</v>
      </c>
      <c r="F536" s="3224" t="str">
        <f>IF(OR(C44=0,C45=0,C46=0,C59&lt;&gt;""),"",F408)</f>
        <v>K</v>
      </c>
      <c r="G536" s="2870" t="str">
        <f>IF(OR(C44=0,C45=0,C46=0),""," GB 10095—88")</f>
        <v>GB 10095—88</v>
      </c>
      <c r="H536" s="3029"/>
      <c r="I536" s="3035"/>
      <c r="J536" s="2786"/>
    </row>
    <row r="537" spans="1:12" ht="15.75" customHeight="1">
      <c r="A537" s="3025"/>
      <c r="B537" s="3226"/>
      <c r="C537" s="3011"/>
      <c r="D537" s="3010"/>
      <c r="E537" s="2797" t="str">
        <f>IF(OR(C44=0,C45=0,C46=0),"",IF(C59&lt;&gt;"",C59,""))</f>
        <v/>
      </c>
      <c r="F537" s="3225"/>
      <c r="G537" s="2870"/>
      <c r="H537" s="2953"/>
      <c r="I537" s="3035"/>
      <c r="J537" s="2786"/>
    </row>
    <row r="538" spans="1:12" ht="15.75" customHeight="1">
      <c r="A538" s="2803" t="s">
        <v>3360</v>
      </c>
      <c r="B538" s="3226" t="str">
        <f>IF(OR(C44=0,C45=0,C46=0),"",IF(OR(E501&lt;&gt;E502,E501&lt;&gt;E503),E501,""))</f>
        <v/>
      </c>
      <c r="C538" s="3011" t="str">
        <f>IF(OR(C44=0,C45=0,C46=0),"",IF(OR(E501&lt;&gt;E502,E501&lt;&gt;E503),-E502,""))</f>
        <v/>
      </c>
      <c r="D538" s="3010">
        <f>IF(OR(C44=0,C45=0,C46=0),"",IF(OR(E501&lt;&gt;E502,E501&lt;&gt;E503),-E503,E503))</f>
        <v>7</v>
      </c>
      <c r="E538" s="2797" t="str">
        <f>IF(OR(C44=0,C45=0,C46=0),"",IF(C60&lt;&gt;"",C60,F409))</f>
        <v>G</v>
      </c>
      <c r="F538" s="3225" t="str">
        <f>IF(OR(C44=0,C45=0,C46=0,C61&lt;&gt;""),"",F410)</f>
        <v>J</v>
      </c>
      <c r="G538" s="2870" t="str">
        <f>IF(OR(C44=0,C45=0,C46=0),""," GB 10095—88")</f>
        <v>GB 10095—88</v>
      </c>
      <c r="H538" s="2953"/>
      <c r="I538" s="3035"/>
      <c r="J538" s="2786"/>
    </row>
    <row r="539" spans="1:12" ht="15.75" customHeight="1">
      <c r="A539" s="2803"/>
      <c r="B539" s="3226"/>
      <c r="C539" s="3011"/>
      <c r="D539" s="3010"/>
      <c r="E539" s="2797" t="str">
        <f>IF(OR(C44=0,C45=0,C46=0),"",IF(C61&lt;&gt;"",C61,""))</f>
        <v/>
      </c>
      <c r="F539" s="3225"/>
      <c r="G539" s="3225"/>
      <c r="H539" s="2953"/>
      <c r="I539" s="3035"/>
      <c r="J539" s="2786"/>
    </row>
    <row r="540" spans="1:12" ht="15.75" customHeight="1">
      <c r="A540" s="2896"/>
      <c r="B540" s="3399"/>
      <c r="C540" s="3019"/>
      <c r="D540" s="2954"/>
      <c r="E540" s="3400"/>
      <c r="F540" s="3401"/>
      <c r="G540" s="3401"/>
      <c r="H540" s="2926"/>
      <c r="I540" s="3035"/>
      <c r="J540" s="2786"/>
    </row>
    <row r="541" spans="1:12" ht="15" customHeight="1">
      <c r="A541" s="2921" t="s">
        <v>2898</v>
      </c>
      <c r="B541" s="3143"/>
      <c r="C541" s="3131" t="s">
        <v>3361</v>
      </c>
      <c r="D541" s="2893"/>
      <c r="E541" s="3144"/>
      <c r="F541" s="2893"/>
      <c r="G541" s="3131" t="s">
        <v>3362</v>
      </c>
      <c r="H541" s="2893"/>
      <c r="I541" s="2786"/>
      <c r="J541" s="2786"/>
    </row>
    <row r="542" spans="1:12">
      <c r="A542" s="2797" t="s">
        <v>3363</v>
      </c>
      <c r="B542" s="2908"/>
      <c r="C542" s="3056" t="str">
        <f>C73</f>
        <v>齿顶未变尖</v>
      </c>
      <c r="D542" s="3144"/>
      <c r="E542" s="3144"/>
      <c r="F542" s="3144"/>
      <c r="G542" s="3056" t="str">
        <f t="shared" ref="G542:G547" si="22">G73</f>
        <v>齿顶未变尖</v>
      </c>
      <c r="H542" s="3144"/>
      <c r="I542" s="2786"/>
      <c r="J542" s="2786"/>
    </row>
    <row r="543" spans="1:12">
      <c r="A543" s="2797"/>
      <c r="B543" s="2908"/>
      <c r="C543" s="3402" t="str">
        <f>C74</f>
        <v>齿顶未变尖</v>
      </c>
      <c r="D543" s="3144"/>
      <c r="E543" s="3144"/>
      <c r="F543" s="3144"/>
      <c r="G543" s="3402" t="str">
        <f t="shared" si="22"/>
        <v>齿顶未变尖</v>
      </c>
      <c r="H543" s="3144"/>
      <c r="I543" s="2786"/>
      <c r="J543" s="2786"/>
    </row>
    <row r="544" spans="1:12">
      <c r="A544" s="2797" t="s">
        <v>2900</v>
      </c>
      <c r="B544" s="2908"/>
      <c r="C544" s="3144"/>
      <c r="D544" s="3144"/>
      <c r="E544" s="3144"/>
      <c r="F544" s="3144"/>
      <c r="G544" s="3056" t="str">
        <f t="shared" si="22"/>
        <v>不发生重叠干涉</v>
      </c>
      <c r="H544" s="3144"/>
      <c r="I544" s="2786"/>
      <c r="J544" s="2786"/>
    </row>
    <row r="545" spans="1:10">
      <c r="A545" s="2797"/>
      <c r="B545" s="2908"/>
      <c r="C545" s="3144"/>
      <c r="D545" s="3144"/>
      <c r="E545" s="3144"/>
      <c r="F545" s="3144"/>
      <c r="G545" s="3402" t="str">
        <f t="shared" si="22"/>
        <v>不发生重叠干涉</v>
      </c>
      <c r="H545" s="3144"/>
      <c r="I545" s="2786"/>
      <c r="J545" s="2786"/>
    </row>
    <row r="546" spans="1:10">
      <c r="A546" s="2807" t="s">
        <v>2901</v>
      </c>
      <c r="B546" s="2908"/>
      <c r="C546" s="3144"/>
      <c r="D546" s="3144"/>
      <c r="E546" s="3144"/>
      <c r="F546" s="3144"/>
      <c r="G546" s="3056" t="str">
        <f t="shared" si="22"/>
        <v>不发生齿顶非渐开线干涉</v>
      </c>
      <c r="H546" s="3144"/>
      <c r="I546" s="2786"/>
      <c r="J546" s="2786"/>
    </row>
    <row r="547" spans="1:10">
      <c r="A547" s="2807"/>
      <c r="B547" s="2908"/>
      <c r="C547" s="3144"/>
      <c r="D547" s="3144"/>
      <c r="E547" s="3144"/>
      <c r="F547" s="3144"/>
      <c r="G547" s="3402" t="str">
        <f t="shared" si="22"/>
        <v>不发生齿顶非渐开线干涉</v>
      </c>
      <c r="H547" s="3144"/>
      <c r="I547" s="2786"/>
      <c r="J547" s="2786"/>
    </row>
    <row r="548" spans="1:10">
      <c r="A548" s="2803" t="s">
        <v>2902</v>
      </c>
      <c r="B548" s="2986" t="s">
        <v>2903</v>
      </c>
      <c r="C548" s="3022"/>
      <c r="D548" s="3022"/>
      <c r="E548" s="2797">
        <f>C79</f>
        <v>1.3480000000000001</v>
      </c>
      <c r="F548" s="3022"/>
      <c r="G548" s="3022"/>
      <c r="H548" s="3022"/>
      <c r="I548" s="2786"/>
      <c r="J548" s="2786"/>
    </row>
    <row r="549" spans="1:10" ht="14.25">
      <c r="A549" s="2896"/>
      <c r="B549" s="3204"/>
      <c r="C549" s="3272"/>
      <c r="D549" s="3272"/>
      <c r="E549" s="3394">
        <f>C80</f>
        <v>1.349</v>
      </c>
      <c r="F549" s="3272"/>
      <c r="G549" s="3272"/>
      <c r="H549" s="3272"/>
      <c r="I549" s="2786"/>
      <c r="J549" s="2786"/>
    </row>
    <row r="550" spans="1:10" ht="15.75" customHeight="1">
      <c r="A550" s="2921" t="s">
        <v>2906</v>
      </c>
      <c r="B550" s="3143"/>
      <c r="C550" s="3131" t="s">
        <v>3361</v>
      </c>
      <c r="D550" s="3144"/>
      <c r="E550" s="3144"/>
      <c r="F550" s="3144"/>
      <c r="G550" s="3144"/>
      <c r="H550" s="3144"/>
      <c r="I550" s="2786"/>
      <c r="J550" s="2786"/>
    </row>
    <row r="551" spans="1:10" ht="15.75" customHeight="1">
      <c r="A551" s="2807" t="s">
        <v>3364</v>
      </c>
      <c r="B551" s="3143"/>
      <c r="C551" s="3349" t="str">
        <f>C82</f>
        <v>不发生干涉</v>
      </c>
      <c r="D551" s="3144"/>
      <c r="E551" s="3144"/>
      <c r="F551" s="3144"/>
      <c r="G551" s="3144"/>
      <c r="H551" s="3144"/>
      <c r="I551" s="2786"/>
      <c r="J551" s="2786"/>
    </row>
    <row r="552" spans="1:10" ht="15.75" customHeight="1">
      <c r="A552" s="2896" t="s">
        <v>2907</v>
      </c>
      <c r="B552" s="3271"/>
      <c r="C552" s="3403" t="str">
        <f>C83</f>
        <v>不根切</v>
      </c>
      <c r="D552" s="3272"/>
      <c r="E552" s="3272"/>
      <c r="F552" s="3272"/>
      <c r="G552" s="3272"/>
      <c r="H552" s="3272"/>
      <c r="I552" s="2786"/>
      <c r="J552" s="2786"/>
    </row>
    <row r="553" spans="1:10" ht="15.75" customHeight="1">
      <c r="A553" s="3060" t="s">
        <v>3365</v>
      </c>
      <c r="B553" s="3143"/>
      <c r="C553" s="3056"/>
      <c r="D553" s="3144"/>
      <c r="E553" s="2939" t="str">
        <f>IF(C85="无标准插齿刀可选！","无标准插齿刀可选！","")</f>
        <v/>
      </c>
      <c r="F553" s="3144"/>
      <c r="G553" s="3131" t="s">
        <v>3362</v>
      </c>
      <c r="H553" s="3144"/>
      <c r="I553" s="2786"/>
      <c r="J553" s="2786"/>
    </row>
    <row r="554" spans="1:10" ht="15.75" customHeight="1">
      <c r="A554" s="2857" t="s">
        <v>2910</v>
      </c>
      <c r="B554" s="3143"/>
      <c r="C554" s="3056"/>
      <c r="D554" s="3144"/>
      <c r="E554" s="3144"/>
      <c r="F554" s="3144"/>
      <c r="G554" s="2786">
        <f>IF(C85="无标准插齿刀可选！","",G87)</f>
        <v>50</v>
      </c>
      <c r="H554" s="3144"/>
      <c r="I554" s="2786"/>
      <c r="J554" s="2786"/>
    </row>
    <row r="555" spans="1:10" ht="15.75" customHeight="1">
      <c r="A555" s="2803" t="s">
        <v>2925</v>
      </c>
      <c r="B555" s="3143"/>
      <c r="C555" s="3056"/>
      <c r="D555" s="3144"/>
      <c r="E555" s="3144"/>
      <c r="F555" s="3144"/>
      <c r="G555" s="2786">
        <f>IF(C85="无标准插齿刀可选！","",E249)</f>
        <v>17</v>
      </c>
      <c r="H555" s="3144"/>
      <c r="I555" s="2786"/>
      <c r="J555" s="2786"/>
    </row>
    <row r="556" spans="1:10" ht="15.75" customHeight="1">
      <c r="A556" s="2858" t="s">
        <v>3117</v>
      </c>
      <c r="B556" s="3143"/>
      <c r="C556" s="3056"/>
      <c r="D556" s="3144"/>
      <c r="E556" s="3144"/>
      <c r="F556" s="3144"/>
      <c r="G556" s="2786">
        <f>IF(C85="无标准插齿刀可选！","",E250)</f>
        <v>59.1</v>
      </c>
      <c r="H556" s="3144"/>
      <c r="I556" s="2786"/>
      <c r="J556" s="2786"/>
    </row>
    <row r="557" spans="1:10" ht="15.75" customHeight="1">
      <c r="A557" s="2857" t="s">
        <v>2931</v>
      </c>
      <c r="B557" s="3143"/>
      <c r="C557" s="3056"/>
      <c r="D557" s="3144"/>
      <c r="E557" s="3144"/>
      <c r="F557" s="3144"/>
      <c r="G557" s="2786">
        <f>IF(C85="无标准插齿刀可选！","",G264)</f>
        <v>59.1</v>
      </c>
      <c r="H557" s="3144"/>
      <c r="I557" s="2786"/>
      <c r="J557" s="2786"/>
    </row>
    <row r="558" spans="1:10" ht="15.75" customHeight="1">
      <c r="A558" s="2857" t="s">
        <v>2920</v>
      </c>
      <c r="B558" s="3143"/>
      <c r="C558" s="3056"/>
      <c r="D558" s="3144"/>
      <c r="E558" s="3144"/>
      <c r="F558" s="3144"/>
      <c r="G558" s="2786">
        <f>IF(C85="无标准插齿刀可选！","",G263)</f>
        <v>2.9</v>
      </c>
      <c r="H558" s="3144"/>
      <c r="I558" s="2786"/>
      <c r="J558" s="2786"/>
    </row>
    <row r="559" spans="1:10" ht="15.75" customHeight="1">
      <c r="A559" s="2788" t="s">
        <v>3136</v>
      </c>
      <c r="B559" s="3143"/>
      <c r="C559" s="3056"/>
      <c r="D559" s="3144"/>
      <c r="E559" s="3144"/>
      <c r="F559" s="3144"/>
      <c r="G559" s="2786">
        <f>IF(C85="无标准插齿刀可选！","",G266)</f>
        <v>0.10199999999999999</v>
      </c>
      <c r="H559" s="3144"/>
      <c r="I559" s="2786"/>
      <c r="J559" s="2786"/>
    </row>
    <row r="560" spans="1:10" ht="15.75" customHeight="1">
      <c r="A560" s="2803" t="s">
        <v>3366</v>
      </c>
      <c r="B560" s="3143"/>
      <c r="C560" s="3056"/>
      <c r="D560" s="3144"/>
      <c r="E560" s="3144"/>
      <c r="F560" s="3144"/>
      <c r="G560" s="3056" t="str">
        <f>G99</f>
        <v>不产生径向切入顶切</v>
      </c>
      <c r="H560" s="3404"/>
      <c r="I560" s="2786"/>
      <c r="J560" s="2786"/>
    </row>
    <row r="561" spans="1:10" ht="15.75" customHeight="1">
      <c r="A561" s="2803" t="s">
        <v>3367</v>
      </c>
      <c r="B561" s="3143"/>
      <c r="C561" s="3056"/>
      <c r="D561" s="3144"/>
      <c r="E561" s="3144"/>
      <c r="F561" s="3144"/>
      <c r="G561" s="3056" t="str">
        <f>G101</f>
        <v>不发生干涉顶切</v>
      </c>
      <c r="H561" s="3144"/>
      <c r="I561" s="2786"/>
      <c r="J561" s="2786"/>
    </row>
    <row r="562" spans="1:10" ht="15.75" customHeight="1">
      <c r="A562" s="2976" t="s">
        <v>3364</v>
      </c>
      <c r="B562" s="3270"/>
      <c r="C562" s="3056"/>
      <c r="D562" s="3144"/>
      <c r="E562" s="3144"/>
      <c r="F562" s="3144"/>
      <c r="G562" s="3056" t="str">
        <f>G103</f>
        <v>不发生干涉</v>
      </c>
      <c r="H562" s="3144"/>
      <c r="I562" s="2786"/>
      <c r="J562" s="2786"/>
    </row>
    <row r="563" spans="1:10" ht="15.75" customHeight="1">
      <c r="A563" s="2963" t="s">
        <v>3182</v>
      </c>
      <c r="B563" s="3271"/>
      <c r="C563" s="3058"/>
      <c r="D563" s="3405"/>
      <c r="E563" s="3272"/>
      <c r="F563" s="3272"/>
      <c r="G563" s="3058" t="str">
        <f>G105</f>
        <v>符合要求</v>
      </c>
      <c r="H563" s="3406"/>
      <c r="I563" s="2786"/>
      <c r="J563" s="2786"/>
    </row>
    <row r="564" spans="1:10">
      <c r="A564" s="3060" t="s">
        <v>3368</v>
      </c>
      <c r="B564" s="3143"/>
      <c r="C564" s="3144"/>
      <c r="D564" s="3144"/>
      <c r="E564" s="3144"/>
      <c r="F564" s="3144"/>
      <c r="G564" s="3131" t="s">
        <v>3362</v>
      </c>
      <c r="H564" s="3144"/>
      <c r="I564" s="2786"/>
      <c r="J564" s="2786"/>
    </row>
    <row r="565" spans="1:10">
      <c r="A565" s="2803" t="s">
        <v>2925</v>
      </c>
      <c r="B565" s="3143"/>
      <c r="C565" s="3144"/>
      <c r="D565" s="3144"/>
      <c r="E565" s="3144"/>
      <c r="F565" s="3144"/>
      <c r="G565" s="2786">
        <f>G108</f>
        <v>17</v>
      </c>
      <c r="H565" s="3144"/>
      <c r="I565" s="2786"/>
      <c r="J565" s="2786"/>
    </row>
    <row r="566" spans="1:10">
      <c r="A566" s="2803" t="s">
        <v>3369</v>
      </c>
      <c r="B566" s="3143"/>
      <c r="C566" s="3144"/>
      <c r="D566" s="3144"/>
      <c r="E566" s="3144"/>
      <c r="F566" s="2786" t="str">
        <f>IF(C14="L","左 旋","右 旋")</f>
        <v>左 旋</v>
      </c>
      <c r="G566" s="2786">
        <f>E138</f>
        <v>0</v>
      </c>
      <c r="H566" s="2810" t="s">
        <v>2938</v>
      </c>
      <c r="I566" s="2786"/>
      <c r="J566" s="2786"/>
    </row>
    <row r="567" spans="1:10">
      <c r="A567" s="2858" t="s">
        <v>2913</v>
      </c>
      <c r="B567" s="3143"/>
      <c r="C567" s="3144"/>
      <c r="D567" s="3144"/>
      <c r="E567" s="3144"/>
      <c r="F567" s="3144"/>
      <c r="G567" s="2786">
        <f>L257</f>
        <v>1.25</v>
      </c>
      <c r="H567" s="3144"/>
      <c r="I567" s="2786"/>
      <c r="J567" s="2786"/>
    </row>
    <row r="568" spans="1:10">
      <c r="A568" s="2803" t="s">
        <v>3370</v>
      </c>
      <c r="B568" s="3143"/>
      <c r="C568" s="3144"/>
      <c r="D568" s="3144"/>
      <c r="E568" s="3144"/>
      <c r="F568" s="3144"/>
      <c r="G568" s="2786">
        <f>N258</f>
        <v>6</v>
      </c>
      <c r="H568" s="2907" t="s">
        <v>257</v>
      </c>
      <c r="I568" s="2786"/>
      <c r="J568" s="2786"/>
    </row>
    <row r="569" spans="1:10">
      <c r="A569" s="2803" t="s">
        <v>3371</v>
      </c>
      <c r="B569" s="3143"/>
      <c r="C569" s="3144"/>
      <c r="D569" s="2893"/>
      <c r="E569" s="3144"/>
      <c r="F569" s="2893"/>
      <c r="G569" s="2786">
        <f>L264</f>
        <v>59.1</v>
      </c>
      <c r="H569" s="2907" t="s">
        <v>2820</v>
      </c>
      <c r="I569" s="2786"/>
      <c r="J569" s="2786"/>
    </row>
    <row r="570" spans="1:10">
      <c r="A570" s="2857" t="s">
        <v>2920</v>
      </c>
      <c r="B570" s="3143"/>
      <c r="C570" s="3144"/>
      <c r="D570" s="2893"/>
      <c r="E570" s="3144"/>
      <c r="F570" s="2893"/>
      <c r="G570" s="2786">
        <f t="shared" ref="G570:G572" si="23">G122</f>
        <v>2.9</v>
      </c>
      <c r="H570" s="2907" t="s">
        <v>2820</v>
      </c>
      <c r="I570" s="2786"/>
      <c r="J570" s="2786"/>
    </row>
    <row r="571" spans="1:10">
      <c r="A571" s="2788" t="s">
        <v>3136</v>
      </c>
      <c r="B571" s="3143"/>
      <c r="C571" s="3144"/>
      <c r="D571" s="2893"/>
      <c r="E571" s="3144"/>
      <c r="F571" s="2893"/>
      <c r="G571" s="2786">
        <f t="shared" si="23"/>
        <v>0.1</v>
      </c>
      <c r="H571" s="2893"/>
      <c r="I571" s="2786"/>
      <c r="J571" s="2786"/>
    </row>
    <row r="572" spans="1:10">
      <c r="A572" s="2803" t="s">
        <v>3366</v>
      </c>
      <c r="B572" s="3143"/>
      <c r="C572" s="3144"/>
      <c r="D572" s="2893"/>
      <c r="E572" s="3144"/>
      <c r="F572" s="2893"/>
      <c r="G572" s="3056" t="str">
        <f t="shared" si="23"/>
        <v>不产生径向切入顶切</v>
      </c>
      <c r="H572" s="3407"/>
      <c r="I572" s="2786"/>
      <c r="J572" s="2786"/>
    </row>
    <row r="573" spans="1:10">
      <c r="A573" s="2803" t="s">
        <v>3367</v>
      </c>
      <c r="B573" s="3143"/>
      <c r="C573" s="3144"/>
      <c r="D573" s="2893"/>
      <c r="E573" s="3144"/>
      <c r="F573" s="2893"/>
      <c r="G573" s="3056" t="str">
        <f>G126</f>
        <v>不发生干涉顶切</v>
      </c>
      <c r="H573" s="2893"/>
      <c r="I573" s="2786"/>
      <c r="J573" s="2786"/>
    </row>
    <row r="574" spans="1:10">
      <c r="A574" s="2976" t="s">
        <v>3364</v>
      </c>
      <c r="B574" s="3270"/>
      <c r="C574" s="3022"/>
      <c r="D574" s="2891"/>
      <c r="E574" s="3022"/>
      <c r="F574" s="2891"/>
      <c r="G574" s="2924" t="str">
        <f>G128</f>
        <v>不发生干涉</v>
      </c>
      <c r="H574" s="2891"/>
      <c r="I574" s="2786"/>
      <c r="J574" s="2786"/>
    </row>
    <row r="575" spans="1:10" ht="15.75" customHeight="1">
      <c r="A575" s="2963" t="s">
        <v>3182</v>
      </c>
      <c r="B575" s="3271"/>
      <c r="C575" s="3272"/>
      <c r="D575" s="3058"/>
      <c r="E575" s="3272"/>
      <c r="F575" s="3408"/>
      <c r="G575" s="3058" t="str">
        <f>G130</f>
        <v>符合要求</v>
      </c>
      <c r="H575" s="3406"/>
      <c r="I575" s="2786"/>
      <c r="J575" s="2786"/>
    </row>
    <row r="576" spans="1:10" ht="15.75" customHeight="1">
      <c r="A576" s="2807"/>
      <c r="B576" s="3143"/>
      <c r="C576" s="3144"/>
      <c r="D576" s="2893"/>
      <c r="E576" s="3144"/>
      <c r="F576" s="2893"/>
      <c r="G576" s="3144"/>
      <c r="H576" s="2893"/>
      <c r="I576" s="2786"/>
      <c r="J576" s="2786"/>
    </row>
    <row r="577" spans="1:10" ht="15.75" customHeight="1">
      <c r="A577" s="2815" t="s">
        <v>3372</v>
      </c>
      <c r="B577" s="2838"/>
      <c r="C577" s="2797"/>
      <c r="D577" s="2810"/>
      <c r="E577" s="3031"/>
      <c r="F577" s="2891"/>
      <c r="G577" s="2797"/>
      <c r="H577" s="2810"/>
      <c r="I577" s="2786"/>
      <c r="J577" s="2786"/>
    </row>
    <row r="578" spans="1:10" ht="15.75" customHeight="1">
      <c r="A578" s="3032"/>
      <c r="B578" s="2930"/>
      <c r="C578" s="3142"/>
      <c r="D578" s="3033"/>
      <c r="E578" s="3142"/>
      <c r="F578" s="3033"/>
      <c r="G578" s="3142"/>
      <c r="H578" s="3033"/>
      <c r="I578" s="2786"/>
      <c r="J578" s="3144"/>
    </row>
    <row r="579" spans="1:10" ht="15.75" customHeight="1">
      <c r="B579" s="3143"/>
      <c r="C579" s="3144"/>
      <c r="D579" s="2893"/>
      <c r="E579" s="3144"/>
      <c r="F579" s="2893"/>
      <c r="G579" s="3144"/>
      <c r="H579" s="2893"/>
      <c r="I579" s="2786"/>
    </row>
    <row r="580" spans="1:10" ht="15.75" customHeight="1">
      <c r="B580" s="3143"/>
      <c r="C580" s="3144"/>
      <c r="D580" s="2893"/>
      <c r="E580" s="3144"/>
      <c r="F580" s="2893"/>
      <c r="G580" s="3144"/>
      <c r="H580" s="2893"/>
      <c r="I580" s="2786"/>
    </row>
    <row r="581" spans="1:10" ht="15.75" customHeight="1">
      <c r="B581" s="3143"/>
      <c r="C581" s="3144"/>
      <c r="D581" s="2893"/>
      <c r="E581" s="3144"/>
      <c r="F581" s="2893"/>
      <c r="G581" s="3144"/>
      <c r="H581" s="2893"/>
      <c r="I581" s="2786"/>
    </row>
    <row r="582" spans="1:10" ht="15.75" customHeight="1">
      <c r="B582" s="3143"/>
      <c r="C582" s="3144"/>
      <c r="D582" s="2893"/>
      <c r="E582" s="3144"/>
      <c r="F582" s="2893"/>
      <c r="G582" s="3144"/>
      <c r="H582" s="2893"/>
      <c r="I582" s="2786"/>
    </row>
    <row r="583" spans="1:10">
      <c r="B583" s="3143"/>
      <c r="C583" s="3144"/>
      <c r="D583" s="2893"/>
      <c r="E583" s="3144"/>
      <c r="F583" s="2893"/>
      <c r="G583" s="3144"/>
      <c r="H583" s="2893"/>
      <c r="I583" s="2786"/>
    </row>
    <row r="584" spans="1:10">
      <c r="B584" s="3143"/>
      <c r="C584" s="3144"/>
      <c r="D584" s="2893"/>
      <c r="E584" s="3144"/>
      <c r="F584" s="2893"/>
      <c r="G584" s="3144"/>
      <c r="H584" s="2893"/>
      <c r="I584" s="2786"/>
    </row>
    <row r="585" spans="1:10">
      <c r="B585" s="3143"/>
      <c r="C585" s="3144"/>
      <c r="D585" s="2893"/>
      <c r="E585" s="3144"/>
      <c r="F585" s="2893"/>
      <c r="G585" s="3144"/>
      <c r="H585" s="2893"/>
      <c r="I585" s="3144"/>
    </row>
    <row r="586" spans="1:10">
      <c r="I586" s="3144"/>
    </row>
  </sheetData>
  <phoneticPr fontId="214" type="noConversion"/>
  <pageMargins left="0.75" right="0.75" top="1" bottom="1" header="0.51" footer="0.51"/>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IV178"/>
  <sheetViews>
    <sheetView workbookViewId="0"/>
  </sheetViews>
  <sheetFormatPr defaultColWidth="8" defaultRowHeight="14.25"/>
  <cols>
    <col min="1" max="1" width="8.25" style="3305"/>
    <col min="2" max="2" width="0.25" style="3306" customWidth="1"/>
    <col min="3" max="3" width="14.5" style="3305" customWidth="1"/>
    <col min="4" max="4" width="15.125" style="3305" customWidth="1"/>
    <col min="5" max="5" width="12.75" style="3305" customWidth="1"/>
    <col min="6" max="6" width="10.5" style="3305" customWidth="1"/>
    <col min="7" max="7" width="12.25" style="3305" customWidth="1"/>
    <col min="8" max="8" width="11.875" style="3305" customWidth="1"/>
    <col min="9" max="9" width="11.625" style="3307" customWidth="1"/>
    <col min="10" max="256" width="8.25" style="3308"/>
    <col min="257" max="16384" width="8" style="199"/>
  </cols>
  <sheetData>
    <row r="1" spans="1:9" ht="25.5">
      <c r="A1" s="3309"/>
      <c r="B1" s="3310"/>
      <c r="C1" s="3311"/>
      <c r="D1" s="3311"/>
      <c r="E1" s="3312" t="s">
        <v>3373</v>
      </c>
      <c r="F1" s="3311"/>
      <c r="G1" s="3311"/>
      <c r="H1" s="3311"/>
      <c r="I1" s="3311"/>
    </row>
    <row r="2" spans="1:9" ht="1.5" customHeight="1">
      <c r="A2" s="3313"/>
      <c r="B2" s="3313"/>
      <c r="C2" s="3314"/>
      <c r="D2" s="3314"/>
      <c r="E2" s="3315"/>
      <c r="F2" s="3314"/>
      <c r="G2" s="3314"/>
      <c r="H2" s="3314"/>
      <c r="I2" s="3314"/>
    </row>
    <row r="3" spans="1:9">
      <c r="A3" s="3316" t="s">
        <v>3374</v>
      </c>
      <c r="B3" s="3317"/>
      <c r="C3" s="3318" t="s">
        <v>2540</v>
      </c>
      <c r="D3" s="3318" t="s">
        <v>2546</v>
      </c>
      <c r="E3" s="3318" t="s">
        <v>2541</v>
      </c>
      <c r="F3" s="3318" t="s">
        <v>2542</v>
      </c>
      <c r="G3" s="3318" t="s">
        <v>2543</v>
      </c>
      <c r="H3" s="3318" t="s">
        <v>2544</v>
      </c>
      <c r="I3" s="3325" t="s">
        <v>2545</v>
      </c>
    </row>
    <row r="4" spans="1:9" ht="13.5" customHeight="1">
      <c r="A4" s="3319" t="s">
        <v>3205</v>
      </c>
      <c r="B4" s="3320"/>
      <c r="C4" s="3318" t="s">
        <v>2548</v>
      </c>
      <c r="D4" s="3318" t="s">
        <v>2554</v>
      </c>
      <c r="E4" s="3318" t="s">
        <v>2549</v>
      </c>
      <c r="F4" s="3318" t="s">
        <v>2550</v>
      </c>
      <c r="G4" s="3318" t="s">
        <v>2551</v>
      </c>
      <c r="H4" s="3318" t="s">
        <v>2552</v>
      </c>
      <c r="I4" s="3325" t="s">
        <v>2553</v>
      </c>
    </row>
    <row r="5" spans="1:9" ht="1.5" customHeight="1">
      <c r="A5" s="3306"/>
      <c r="C5" s="3306"/>
      <c r="D5" s="3306"/>
      <c r="E5" s="3306"/>
      <c r="F5" s="3306"/>
      <c r="G5" s="3306"/>
      <c r="H5" s="3306"/>
      <c r="I5" s="3326"/>
    </row>
    <row r="6" spans="1:9">
      <c r="A6" s="3319"/>
      <c r="B6" s="3320"/>
      <c r="C6" s="3305" t="s">
        <v>3375</v>
      </c>
      <c r="D6" s="3305" t="s">
        <v>3376</v>
      </c>
      <c r="E6" s="3305">
        <v>1006</v>
      </c>
      <c r="F6" s="3305" t="s">
        <v>3377</v>
      </c>
      <c r="G6" s="3305" t="s">
        <v>3378</v>
      </c>
      <c r="I6" s="3307" t="s">
        <v>3379</v>
      </c>
    </row>
    <row r="7" spans="1:9">
      <c r="A7" s="3319" t="s">
        <v>3380</v>
      </c>
      <c r="B7" s="3320"/>
      <c r="C7" s="3305" t="s">
        <v>3381</v>
      </c>
      <c r="D7" s="3305" t="s">
        <v>3381</v>
      </c>
      <c r="E7" s="3305" t="s">
        <v>3382</v>
      </c>
      <c r="F7" s="3305" t="s">
        <v>3383</v>
      </c>
      <c r="G7" s="3305" t="s">
        <v>3384</v>
      </c>
      <c r="I7" s="3307" t="s">
        <v>3379</v>
      </c>
    </row>
    <row r="8" spans="1:9">
      <c r="A8" s="3319"/>
      <c r="B8" s="3320"/>
      <c r="C8" s="3305" t="s">
        <v>3385</v>
      </c>
      <c r="E8" s="3305" t="s">
        <v>3386</v>
      </c>
      <c r="F8" s="3305" t="s">
        <v>3387</v>
      </c>
      <c r="H8" s="3305" t="s">
        <v>3388</v>
      </c>
    </row>
    <row r="9" spans="1:9">
      <c r="A9" s="3319"/>
      <c r="B9" s="3320"/>
      <c r="C9" s="3305" t="s">
        <v>3389</v>
      </c>
      <c r="D9" s="3305" t="s">
        <v>3389</v>
      </c>
      <c r="E9" s="3305" t="s">
        <v>3390</v>
      </c>
      <c r="F9" s="3305" t="s">
        <v>3383</v>
      </c>
      <c r="G9" s="3305" t="s">
        <v>3391</v>
      </c>
      <c r="H9" s="3305" t="s">
        <v>3388</v>
      </c>
      <c r="I9" s="3307" t="s">
        <v>3392</v>
      </c>
    </row>
    <row r="10" spans="1:9">
      <c r="A10" s="3319" t="s">
        <v>3393</v>
      </c>
      <c r="B10" s="3320"/>
      <c r="C10" s="3305" t="s">
        <v>3394</v>
      </c>
      <c r="D10" s="3305" t="s">
        <v>3394</v>
      </c>
      <c r="E10" s="3305" t="s">
        <v>3395</v>
      </c>
      <c r="F10" s="3305" t="s">
        <v>3396</v>
      </c>
      <c r="G10" s="3305" t="s">
        <v>3397</v>
      </c>
      <c r="H10" s="3305" t="s">
        <v>3398</v>
      </c>
      <c r="I10" s="3307" t="s">
        <v>3399</v>
      </c>
    </row>
    <row r="11" spans="1:9">
      <c r="A11" s="3319"/>
      <c r="B11" s="3320"/>
      <c r="C11" s="3305" t="s">
        <v>1164</v>
      </c>
      <c r="D11" s="3305" t="s">
        <v>1164</v>
      </c>
      <c r="E11" s="3305" t="s">
        <v>3400</v>
      </c>
      <c r="F11" s="3305" t="s">
        <v>3401</v>
      </c>
      <c r="G11" s="3305" t="s">
        <v>3402</v>
      </c>
      <c r="H11" s="3305" t="s">
        <v>3403</v>
      </c>
      <c r="I11" s="3307" t="s">
        <v>3404</v>
      </c>
    </row>
    <row r="12" spans="1:9">
      <c r="A12" s="3319"/>
      <c r="B12" s="3320"/>
      <c r="C12" s="3305" t="s">
        <v>1166</v>
      </c>
      <c r="D12" s="3305" t="s">
        <v>1166</v>
      </c>
      <c r="E12" s="3305" t="s">
        <v>3405</v>
      </c>
      <c r="G12" s="3305" t="s">
        <v>3406</v>
      </c>
      <c r="I12" s="3307" t="s">
        <v>3407</v>
      </c>
    </row>
    <row r="13" spans="1:9">
      <c r="A13" s="3319" t="s">
        <v>3408</v>
      </c>
      <c r="B13" s="3320"/>
      <c r="C13" s="3305" t="s">
        <v>3409</v>
      </c>
      <c r="D13" s="3305" t="s">
        <v>3409</v>
      </c>
      <c r="E13" s="3305" t="s">
        <v>3410</v>
      </c>
      <c r="F13" s="3305" t="s">
        <v>3411</v>
      </c>
      <c r="G13" s="3305" t="s">
        <v>3412</v>
      </c>
      <c r="H13" s="3305" t="s">
        <v>3413</v>
      </c>
    </row>
    <row r="14" spans="1:9">
      <c r="A14" s="3319"/>
      <c r="B14" s="3320"/>
      <c r="C14" s="3305" t="s">
        <v>3414</v>
      </c>
      <c r="D14" s="3305" t="s">
        <v>3414</v>
      </c>
      <c r="E14" s="3305" t="s">
        <v>3415</v>
      </c>
      <c r="F14" s="3305" t="s">
        <v>3416</v>
      </c>
      <c r="G14" s="3305" t="s">
        <v>3417</v>
      </c>
      <c r="H14" s="3305" t="s">
        <v>3418</v>
      </c>
      <c r="I14" s="3307" t="s">
        <v>3419</v>
      </c>
    </row>
    <row r="15" spans="1:9">
      <c r="A15" s="3319"/>
      <c r="B15" s="3320"/>
      <c r="C15" s="3305" t="s">
        <v>3420</v>
      </c>
      <c r="D15" s="3305" t="s">
        <v>3420</v>
      </c>
      <c r="E15" s="3305" t="s">
        <v>3421</v>
      </c>
      <c r="F15" s="3305" t="s">
        <v>3422</v>
      </c>
      <c r="G15" s="3305" t="s">
        <v>3423</v>
      </c>
      <c r="H15" s="3305" t="s">
        <v>3424</v>
      </c>
    </row>
    <row r="16" spans="1:9">
      <c r="A16" s="3319" t="s">
        <v>3425</v>
      </c>
      <c r="B16" s="3320"/>
      <c r="C16" s="3305" t="s">
        <v>3426</v>
      </c>
      <c r="D16" s="3305" t="s">
        <v>3426</v>
      </c>
      <c r="E16" s="3305" t="s">
        <v>3427</v>
      </c>
      <c r="F16" s="3305" t="s">
        <v>3428</v>
      </c>
      <c r="G16" s="3305" t="s">
        <v>236</v>
      </c>
      <c r="H16" s="3305" t="s">
        <v>3429</v>
      </c>
      <c r="I16" s="3307" t="s">
        <v>3430</v>
      </c>
    </row>
    <row r="17" spans="1:9">
      <c r="A17" s="3319"/>
      <c r="B17" s="3320"/>
      <c r="C17" s="3305" t="s">
        <v>3431</v>
      </c>
      <c r="D17" s="3305" t="s">
        <v>3431</v>
      </c>
      <c r="E17" s="3305" t="s">
        <v>2574</v>
      </c>
      <c r="F17" s="3305" t="s">
        <v>3432</v>
      </c>
      <c r="G17" s="3305" t="s">
        <v>3433</v>
      </c>
      <c r="H17" s="3305" t="s">
        <v>3434</v>
      </c>
      <c r="I17" s="3307" t="s">
        <v>3435</v>
      </c>
    </row>
    <row r="18" spans="1:9">
      <c r="A18" s="3319" t="s">
        <v>3436</v>
      </c>
      <c r="B18" s="3320"/>
      <c r="C18" s="3305" t="s">
        <v>3437</v>
      </c>
      <c r="D18" s="3305" t="s">
        <v>3437</v>
      </c>
      <c r="E18" s="3305" t="s">
        <v>3438</v>
      </c>
      <c r="F18" s="3305" t="s">
        <v>3439</v>
      </c>
      <c r="G18" s="3305" t="s">
        <v>3440</v>
      </c>
      <c r="H18" s="3305" t="s">
        <v>3441</v>
      </c>
    </row>
    <row r="19" spans="1:9">
      <c r="A19" s="3319"/>
      <c r="B19" s="3320"/>
      <c r="C19" s="3305" t="s">
        <v>3442</v>
      </c>
      <c r="D19" s="3305" t="s">
        <v>3442</v>
      </c>
      <c r="E19" s="3305" t="s">
        <v>3443</v>
      </c>
      <c r="F19" s="3305" t="s">
        <v>3444</v>
      </c>
      <c r="G19" s="3305" t="s">
        <v>3445</v>
      </c>
      <c r="H19" s="3305" t="s">
        <v>3441</v>
      </c>
      <c r="I19" s="3307" t="s">
        <v>3446</v>
      </c>
    </row>
    <row r="20" spans="1:9">
      <c r="A20" s="3319"/>
      <c r="B20" s="3320"/>
      <c r="C20" s="3305" t="s">
        <v>3447</v>
      </c>
      <c r="D20" s="3305" t="s">
        <v>3448</v>
      </c>
      <c r="E20" s="3305" t="s">
        <v>3449</v>
      </c>
      <c r="F20" s="3305" t="s">
        <v>3450</v>
      </c>
      <c r="G20" s="3305" t="s">
        <v>3451</v>
      </c>
      <c r="H20" s="3305" t="s">
        <v>3398</v>
      </c>
      <c r="I20" s="3307" t="s">
        <v>3452</v>
      </c>
    </row>
    <row r="21" spans="1:9">
      <c r="A21" s="3319" t="s">
        <v>3453</v>
      </c>
      <c r="B21" s="3320"/>
      <c r="C21" s="3305" t="s">
        <v>3454</v>
      </c>
      <c r="D21" s="3305" t="s">
        <v>3455</v>
      </c>
      <c r="E21" s="3305" t="s">
        <v>3456</v>
      </c>
      <c r="F21" s="3305" t="s">
        <v>3457</v>
      </c>
      <c r="H21" s="3305" t="s">
        <v>3403</v>
      </c>
    </row>
    <row r="22" spans="1:9">
      <c r="A22" s="3319"/>
      <c r="B22" s="3320"/>
      <c r="C22" s="3305" t="s">
        <v>3458</v>
      </c>
      <c r="D22" s="3305" t="s">
        <v>3459</v>
      </c>
      <c r="E22" s="3305" t="s">
        <v>3460</v>
      </c>
      <c r="F22" s="3305" t="s">
        <v>3461</v>
      </c>
      <c r="G22" s="3305" t="s">
        <v>3412</v>
      </c>
      <c r="H22" s="3305" t="s">
        <v>3413</v>
      </c>
    </row>
    <row r="23" spans="1:9">
      <c r="A23" s="3319"/>
      <c r="B23" s="3320"/>
      <c r="C23" s="3305" t="s">
        <v>3462</v>
      </c>
      <c r="D23" s="3305" t="s">
        <v>3463</v>
      </c>
      <c r="E23" s="3305" t="s">
        <v>3464</v>
      </c>
      <c r="F23" s="3305" t="s">
        <v>3422</v>
      </c>
      <c r="G23" s="3305" t="s">
        <v>3423</v>
      </c>
      <c r="H23" s="3305" t="s">
        <v>3465</v>
      </c>
      <c r="I23" s="3307" t="s">
        <v>3466</v>
      </c>
    </row>
    <row r="24" spans="1:9">
      <c r="A24" s="3319" t="s">
        <v>426</v>
      </c>
      <c r="B24" s="3320"/>
      <c r="C24" s="3305" t="s">
        <v>3467</v>
      </c>
      <c r="D24" s="3305" t="s">
        <v>3468</v>
      </c>
      <c r="E24" s="3305" t="s">
        <v>3469</v>
      </c>
      <c r="F24" s="3305" t="s">
        <v>3470</v>
      </c>
      <c r="G24" s="3305" t="s">
        <v>236</v>
      </c>
    </row>
    <row r="25" spans="1:9">
      <c r="A25" s="3319"/>
      <c r="B25" s="3320"/>
      <c r="C25" s="3321" t="s">
        <v>3471</v>
      </c>
      <c r="D25" s="3321" t="s">
        <v>3472</v>
      </c>
      <c r="E25" s="3321" t="s">
        <v>3473</v>
      </c>
      <c r="F25" s="3321" t="s">
        <v>3474</v>
      </c>
      <c r="G25" s="3321" t="s">
        <v>3475</v>
      </c>
      <c r="H25" s="3321" t="s">
        <v>3476</v>
      </c>
      <c r="I25" s="3327"/>
    </row>
    <row r="26" spans="1:9">
      <c r="A26" s="3322"/>
      <c r="B26" s="3323"/>
      <c r="C26" s="3322"/>
      <c r="D26" s="3322"/>
      <c r="E26" s="3322"/>
      <c r="F26" s="3322" t="s">
        <v>3477</v>
      </c>
      <c r="G26" s="3322"/>
      <c r="H26" s="3322"/>
      <c r="I26" s="3328"/>
    </row>
    <row r="27" spans="1:9" ht="1.5" customHeight="1">
      <c r="A27" s="3306"/>
      <c r="C27" s="3306"/>
      <c r="D27" s="3306"/>
      <c r="E27" s="3306"/>
      <c r="F27" s="3306"/>
      <c r="G27" s="3306"/>
      <c r="H27" s="3306"/>
      <c r="I27" s="3326"/>
    </row>
    <row r="28" spans="1:9">
      <c r="A28" s="3321"/>
      <c r="C28" s="3305" t="s">
        <v>3478</v>
      </c>
      <c r="D28" s="3321" t="s">
        <v>3479</v>
      </c>
      <c r="E28" s="3305" t="s">
        <v>3480</v>
      </c>
      <c r="F28" s="3305" t="s">
        <v>3481</v>
      </c>
      <c r="G28" s="3305" t="s">
        <v>3482</v>
      </c>
      <c r="I28" s="3307" t="s">
        <v>3483</v>
      </c>
    </row>
    <row r="29" spans="1:9">
      <c r="A29" s="3319"/>
      <c r="C29" s="3305" t="s">
        <v>3484</v>
      </c>
      <c r="D29" s="3321" t="s">
        <v>3485</v>
      </c>
      <c r="E29" s="3305" t="s">
        <v>3486</v>
      </c>
      <c r="F29" s="3305" t="s">
        <v>3487</v>
      </c>
      <c r="G29" s="3305" t="s">
        <v>3488</v>
      </c>
      <c r="H29" s="3305" t="s">
        <v>3489</v>
      </c>
      <c r="I29" s="3307" t="s">
        <v>3490</v>
      </c>
    </row>
    <row r="30" spans="1:9">
      <c r="A30" s="3319" t="s">
        <v>2656</v>
      </c>
      <c r="C30" s="3305" t="s">
        <v>3491</v>
      </c>
      <c r="D30" s="3321" t="s">
        <v>3492</v>
      </c>
      <c r="E30" s="3305" t="s">
        <v>3493</v>
      </c>
      <c r="F30" s="3305" t="s">
        <v>3494</v>
      </c>
      <c r="G30" s="3305" t="s">
        <v>3495</v>
      </c>
      <c r="H30" s="3305" t="s">
        <v>3496</v>
      </c>
      <c r="I30" s="3307" t="s">
        <v>3497</v>
      </c>
    </row>
    <row r="31" spans="1:9">
      <c r="A31" s="3319"/>
      <c r="C31" s="3305" t="s">
        <v>3498</v>
      </c>
      <c r="D31" s="3321" t="s">
        <v>3499</v>
      </c>
      <c r="E31" s="3305" t="s">
        <v>3500</v>
      </c>
      <c r="G31" s="3305" t="s">
        <v>3501</v>
      </c>
      <c r="H31" s="3305" t="s">
        <v>3465</v>
      </c>
    </row>
    <row r="32" spans="1:9">
      <c r="A32" s="3319"/>
      <c r="C32" s="3305" t="s">
        <v>3502</v>
      </c>
      <c r="D32" s="3305" t="s">
        <v>3503</v>
      </c>
      <c r="E32" s="3305" t="s">
        <v>3504</v>
      </c>
      <c r="G32" s="3305" t="s">
        <v>3501</v>
      </c>
      <c r="I32" s="3307" t="s">
        <v>3505</v>
      </c>
    </row>
    <row r="33" spans="1:9">
      <c r="A33" s="3319" t="s">
        <v>2659</v>
      </c>
      <c r="C33" s="3305" t="s">
        <v>3506</v>
      </c>
      <c r="D33" s="3305" t="s">
        <v>3507</v>
      </c>
      <c r="H33" s="3305" t="s">
        <v>3508</v>
      </c>
    </row>
    <row r="34" spans="1:9">
      <c r="A34" s="3319"/>
      <c r="C34" s="3305" t="s">
        <v>3509</v>
      </c>
      <c r="I34" s="3307" t="s">
        <v>3510</v>
      </c>
    </row>
    <row r="35" spans="1:9">
      <c r="A35" s="3319"/>
      <c r="C35" s="3305" t="s">
        <v>3511</v>
      </c>
      <c r="D35" s="3305" t="s">
        <v>3512</v>
      </c>
      <c r="F35" s="3305" t="s">
        <v>3513</v>
      </c>
      <c r="I35" s="3307" t="s">
        <v>3514</v>
      </c>
    </row>
    <row r="36" spans="1:9">
      <c r="A36" s="3319" t="s">
        <v>3436</v>
      </c>
      <c r="C36" s="3305" t="s">
        <v>3515</v>
      </c>
      <c r="D36" s="3305" t="s">
        <v>3512</v>
      </c>
      <c r="F36" s="3305" t="s">
        <v>3513</v>
      </c>
      <c r="I36" s="3307" t="s">
        <v>3516</v>
      </c>
    </row>
    <row r="37" spans="1:9">
      <c r="A37" s="3319"/>
      <c r="C37" s="3305" t="s">
        <v>3517</v>
      </c>
      <c r="E37" s="3305" t="s">
        <v>3518</v>
      </c>
    </row>
    <row r="38" spans="1:9">
      <c r="A38" s="3319"/>
      <c r="C38" s="3305" t="s">
        <v>3519</v>
      </c>
      <c r="E38" s="3305" t="s">
        <v>3520</v>
      </c>
    </row>
    <row r="39" spans="1:9">
      <c r="A39" s="3319" t="s">
        <v>3453</v>
      </c>
      <c r="C39" s="3305" t="s">
        <v>3521</v>
      </c>
      <c r="E39" s="3305" t="s">
        <v>3522</v>
      </c>
    </row>
    <row r="40" spans="1:9">
      <c r="A40" s="3319"/>
      <c r="C40" s="3305" t="s">
        <v>3523</v>
      </c>
      <c r="E40" s="3305" t="s">
        <v>3524</v>
      </c>
    </row>
    <row r="41" spans="1:9">
      <c r="A41" s="3319"/>
      <c r="C41" s="3305" t="s">
        <v>3525</v>
      </c>
      <c r="D41" s="3305" t="s">
        <v>3526</v>
      </c>
      <c r="E41" s="3305" t="s">
        <v>3527</v>
      </c>
      <c r="F41" s="3305" t="s">
        <v>3528</v>
      </c>
      <c r="G41" s="3305" t="s">
        <v>3529</v>
      </c>
      <c r="H41" s="3305" t="s">
        <v>3530</v>
      </c>
      <c r="I41" s="3307" t="s">
        <v>3531</v>
      </c>
    </row>
    <row r="42" spans="1:9">
      <c r="A42" s="3319" t="s">
        <v>426</v>
      </c>
      <c r="C42" s="3305" t="s">
        <v>3532</v>
      </c>
      <c r="D42" s="3305" t="s">
        <v>3533</v>
      </c>
      <c r="E42" s="3305" t="s">
        <v>3534</v>
      </c>
      <c r="F42" s="3305" t="s">
        <v>3535</v>
      </c>
      <c r="G42" s="3305" t="s">
        <v>3536</v>
      </c>
      <c r="H42" s="3305" t="s">
        <v>3537</v>
      </c>
      <c r="I42" s="3307" t="s">
        <v>3538</v>
      </c>
    </row>
    <row r="43" spans="1:9">
      <c r="A43" s="3319"/>
      <c r="C43" s="3305" t="s">
        <v>3539</v>
      </c>
      <c r="D43" s="3305" t="s">
        <v>3540</v>
      </c>
      <c r="E43" s="3305" t="s">
        <v>3541</v>
      </c>
      <c r="F43" s="3305" t="s">
        <v>3542</v>
      </c>
      <c r="G43" s="3305" t="s">
        <v>3543</v>
      </c>
      <c r="I43" s="3307" t="s">
        <v>3544</v>
      </c>
    </row>
    <row r="44" spans="1:9">
      <c r="A44" s="3319"/>
      <c r="C44" s="3305" t="s">
        <v>3545</v>
      </c>
      <c r="D44" s="3305" t="s">
        <v>3546</v>
      </c>
      <c r="E44" s="3305" t="s">
        <v>3547</v>
      </c>
      <c r="F44" s="3305" t="s">
        <v>3548</v>
      </c>
      <c r="G44" s="3305" t="s">
        <v>3549</v>
      </c>
      <c r="H44" s="3305" t="s">
        <v>3550</v>
      </c>
      <c r="I44" s="3307" t="s">
        <v>3551</v>
      </c>
    </row>
    <row r="45" spans="1:9">
      <c r="A45" s="3319"/>
      <c r="C45" s="3305" t="s">
        <v>3552</v>
      </c>
      <c r="D45" s="3305" t="s">
        <v>3553</v>
      </c>
      <c r="E45" s="3305" t="s">
        <v>3554</v>
      </c>
      <c r="F45" s="3305" t="s">
        <v>3555</v>
      </c>
      <c r="G45" s="3305" t="s">
        <v>3556</v>
      </c>
      <c r="H45" s="3305" t="s">
        <v>3557</v>
      </c>
      <c r="I45" s="3307" t="s">
        <v>3558</v>
      </c>
    </row>
    <row r="46" spans="1:9">
      <c r="A46" s="3319"/>
      <c r="C46" s="3305" t="s">
        <v>3559</v>
      </c>
      <c r="D46" s="3305" t="s">
        <v>3560</v>
      </c>
      <c r="E46" s="3305" t="s">
        <v>3561</v>
      </c>
      <c r="F46" s="3305" t="s">
        <v>3562</v>
      </c>
      <c r="G46" s="3305" t="s">
        <v>3563</v>
      </c>
      <c r="H46" s="3305" t="s">
        <v>3564</v>
      </c>
    </row>
    <row r="47" spans="1:9">
      <c r="A47" s="3319"/>
      <c r="C47" s="3305" t="s">
        <v>3565</v>
      </c>
      <c r="D47" s="3305" t="s">
        <v>3566</v>
      </c>
    </row>
    <row r="48" spans="1:9">
      <c r="A48" s="3319"/>
      <c r="C48" s="3305" t="s">
        <v>3567</v>
      </c>
      <c r="D48" s="3305" t="s">
        <v>3568</v>
      </c>
      <c r="F48" s="3324" t="s">
        <v>3569</v>
      </c>
      <c r="H48" s="3305" t="s">
        <v>3570</v>
      </c>
      <c r="I48" s="3307" t="s">
        <v>3571</v>
      </c>
    </row>
    <row r="49" spans="1:9">
      <c r="A49" s="3319"/>
      <c r="C49" s="3321" t="s">
        <v>3572</v>
      </c>
      <c r="D49" s="3321" t="s">
        <v>3573</v>
      </c>
      <c r="E49" s="3321" t="s">
        <v>3574</v>
      </c>
      <c r="F49" s="3321" t="s">
        <v>3575</v>
      </c>
      <c r="G49" s="3321" t="s">
        <v>3576</v>
      </c>
      <c r="H49" s="3321" t="s">
        <v>3570</v>
      </c>
      <c r="I49" s="3327" t="s">
        <v>3577</v>
      </c>
    </row>
    <row r="50" spans="1:9">
      <c r="A50" s="3319"/>
      <c r="C50" s="3319"/>
      <c r="D50" s="3319"/>
      <c r="E50" s="3319"/>
      <c r="F50" s="3319"/>
      <c r="G50" s="3319" t="s">
        <v>3578</v>
      </c>
      <c r="H50" s="3319"/>
      <c r="I50" s="3329"/>
    </row>
    <row r="51" spans="1:9">
      <c r="A51" s="3319"/>
      <c r="C51" s="3322"/>
      <c r="D51" s="3322"/>
      <c r="E51" s="3322"/>
      <c r="F51" s="3322"/>
      <c r="G51" s="3322" t="s">
        <v>3579</v>
      </c>
      <c r="H51" s="3322"/>
      <c r="I51" s="3328"/>
    </row>
    <row r="52" spans="1:9">
      <c r="A52" s="3319" t="s">
        <v>2656</v>
      </c>
      <c r="C52" s="3321" t="s">
        <v>3580</v>
      </c>
      <c r="D52" s="3321" t="s">
        <v>3581</v>
      </c>
      <c r="E52" s="3321" t="s">
        <v>3582</v>
      </c>
      <c r="F52" s="3321" t="s">
        <v>3583</v>
      </c>
      <c r="G52" s="3321" t="s">
        <v>3584</v>
      </c>
      <c r="H52" s="3321" t="s">
        <v>3585</v>
      </c>
      <c r="I52" s="3327" t="s">
        <v>3586</v>
      </c>
    </row>
    <row r="53" spans="1:9">
      <c r="A53" s="3319"/>
      <c r="C53" s="3319"/>
      <c r="D53" s="3319"/>
      <c r="E53" s="3319"/>
      <c r="F53" s="3319" t="s">
        <v>3587</v>
      </c>
      <c r="G53" s="3319" t="s">
        <v>3578</v>
      </c>
      <c r="H53" s="3319"/>
      <c r="I53" s="3329"/>
    </row>
    <row r="54" spans="1:9">
      <c r="A54" s="3319"/>
      <c r="C54" s="3322"/>
      <c r="D54" s="3322"/>
      <c r="E54" s="3322"/>
      <c r="F54" s="3322"/>
      <c r="G54" s="3322" t="s">
        <v>3579</v>
      </c>
      <c r="H54" s="3322"/>
      <c r="I54" s="3328"/>
    </row>
    <row r="55" spans="1:9">
      <c r="A55" s="3319" t="s">
        <v>2659</v>
      </c>
      <c r="C55" s="3305" t="s">
        <v>3588</v>
      </c>
      <c r="E55" s="3305" t="s">
        <v>3589</v>
      </c>
      <c r="F55" s="3305" t="s">
        <v>3590</v>
      </c>
      <c r="H55" s="3305" t="s">
        <v>3591</v>
      </c>
      <c r="I55" s="3307" t="s">
        <v>3592</v>
      </c>
    </row>
    <row r="56" spans="1:9">
      <c r="A56" s="3319"/>
      <c r="C56" s="3305" t="s">
        <v>3593</v>
      </c>
      <c r="D56" s="3305" t="s">
        <v>3594</v>
      </c>
      <c r="E56" s="3305" t="s">
        <v>3595</v>
      </c>
      <c r="F56" s="3305" t="s">
        <v>3596</v>
      </c>
      <c r="G56" s="3305" t="s">
        <v>3597</v>
      </c>
      <c r="H56" s="3305" t="s">
        <v>3598</v>
      </c>
    </row>
    <row r="57" spans="1:9">
      <c r="A57" s="3319"/>
      <c r="C57" s="3321" t="s">
        <v>3599</v>
      </c>
      <c r="D57" s="3321"/>
      <c r="E57" s="3321" t="s">
        <v>3600</v>
      </c>
      <c r="F57" s="3321" t="s">
        <v>3601</v>
      </c>
      <c r="G57" s="3321" t="s">
        <v>3205</v>
      </c>
      <c r="H57" s="3321" t="s">
        <v>3602</v>
      </c>
      <c r="I57" s="3327" t="s">
        <v>3603</v>
      </c>
    </row>
    <row r="58" spans="1:9">
      <c r="A58" s="3319" t="s">
        <v>3436</v>
      </c>
      <c r="C58" s="3322"/>
      <c r="D58" s="3322"/>
      <c r="E58" s="3322"/>
      <c r="F58" s="3322" t="s">
        <v>3604</v>
      </c>
      <c r="G58" s="3322"/>
      <c r="H58" s="3322"/>
      <c r="I58" s="3328"/>
    </row>
    <row r="59" spans="1:9">
      <c r="A59" s="3319"/>
      <c r="C59" s="3305" t="s">
        <v>3605</v>
      </c>
      <c r="D59" s="3305" t="s">
        <v>3606</v>
      </c>
      <c r="E59" s="3305" t="s">
        <v>3607</v>
      </c>
      <c r="F59" s="3305" t="s">
        <v>3608</v>
      </c>
      <c r="G59" s="3305" t="s">
        <v>3609</v>
      </c>
      <c r="H59" s="3305" t="s">
        <v>3610</v>
      </c>
      <c r="I59" s="3307" t="s">
        <v>3611</v>
      </c>
    </row>
    <row r="60" spans="1:9">
      <c r="A60" s="3319"/>
      <c r="C60" s="3305" t="s">
        <v>3612</v>
      </c>
      <c r="D60" s="3305" t="s">
        <v>3613</v>
      </c>
    </row>
    <row r="61" spans="1:9">
      <c r="A61" s="3319" t="s">
        <v>3453</v>
      </c>
      <c r="C61" s="3305" t="s">
        <v>3614</v>
      </c>
      <c r="D61" s="3305" t="s">
        <v>3615</v>
      </c>
      <c r="I61" s="3307" t="s">
        <v>3616</v>
      </c>
    </row>
    <row r="62" spans="1:9">
      <c r="A62" s="3319"/>
      <c r="C62" s="3305" t="s">
        <v>3617</v>
      </c>
      <c r="D62" s="3305" t="s">
        <v>3618</v>
      </c>
    </row>
    <row r="63" spans="1:9">
      <c r="A63" s="3319"/>
      <c r="C63" s="3305" t="s">
        <v>3619</v>
      </c>
      <c r="D63" s="3305" t="s">
        <v>3620</v>
      </c>
      <c r="E63" s="3305" t="s">
        <v>3621</v>
      </c>
      <c r="I63" s="3307" t="s">
        <v>3622</v>
      </c>
    </row>
    <row r="64" spans="1:9">
      <c r="A64" s="3319" t="s">
        <v>426</v>
      </c>
      <c r="C64" s="3305" t="s">
        <v>3623</v>
      </c>
      <c r="D64" s="3305" t="s">
        <v>3624</v>
      </c>
      <c r="E64" s="3305" t="s">
        <v>3625</v>
      </c>
      <c r="I64" s="3307" t="s">
        <v>3626</v>
      </c>
    </row>
    <row r="65" spans="1:9">
      <c r="A65" s="3319"/>
      <c r="C65" s="3305" t="s">
        <v>1728</v>
      </c>
      <c r="D65" s="3305" t="s">
        <v>3627</v>
      </c>
      <c r="E65" s="3305" t="s">
        <v>3628</v>
      </c>
      <c r="F65" s="3305" t="s">
        <v>3629</v>
      </c>
      <c r="G65" s="3305" t="s">
        <v>3630</v>
      </c>
      <c r="H65" s="3305" t="s">
        <v>3631</v>
      </c>
      <c r="I65" s="3307" t="s">
        <v>3632</v>
      </c>
    </row>
    <row r="66" spans="1:9">
      <c r="A66" s="3319"/>
      <c r="C66" s="3305" t="s">
        <v>3633</v>
      </c>
      <c r="D66" s="3305" t="s">
        <v>3634</v>
      </c>
    </row>
    <row r="67" spans="1:9">
      <c r="A67" s="3319"/>
      <c r="C67" s="3305" t="s">
        <v>3635</v>
      </c>
      <c r="D67" s="3305" t="s">
        <v>3636</v>
      </c>
      <c r="E67" s="3305" t="s">
        <v>3637</v>
      </c>
      <c r="F67" s="3305" t="s">
        <v>3638</v>
      </c>
      <c r="G67" s="3305" t="s">
        <v>3639</v>
      </c>
    </row>
    <row r="68" spans="1:9">
      <c r="A68" s="3319"/>
      <c r="C68" s="3305" t="s">
        <v>3640</v>
      </c>
      <c r="D68" s="3305" t="s">
        <v>3641</v>
      </c>
    </row>
    <row r="69" spans="1:9">
      <c r="A69" s="3319"/>
      <c r="C69" s="3305" t="s">
        <v>3642</v>
      </c>
      <c r="D69" s="3305" t="s">
        <v>1280</v>
      </c>
      <c r="E69" s="3305" t="s">
        <v>3643</v>
      </c>
      <c r="F69" s="3305" t="s">
        <v>3644</v>
      </c>
      <c r="G69" s="3305" t="s">
        <v>3645</v>
      </c>
      <c r="I69" s="3307" t="s">
        <v>3646</v>
      </c>
    </row>
    <row r="70" spans="1:9">
      <c r="A70" s="3319"/>
      <c r="C70" s="3305" t="s">
        <v>3647</v>
      </c>
      <c r="D70" s="3305" t="s">
        <v>3648</v>
      </c>
      <c r="E70" s="3305" t="s">
        <v>3649</v>
      </c>
      <c r="H70" s="3305" t="s">
        <v>3650</v>
      </c>
      <c r="I70" s="3307" t="s">
        <v>3651</v>
      </c>
    </row>
    <row r="71" spans="1:9">
      <c r="A71" s="3319"/>
      <c r="C71" s="3321" t="s">
        <v>3652</v>
      </c>
      <c r="D71" s="3321" t="s">
        <v>3653</v>
      </c>
      <c r="E71" s="3321" t="s">
        <v>3654</v>
      </c>
      <c r="F71" s="3321" t="s">
        <v>3655</v>
      </c>
      <c r="G71" s="3321" t="s">
        <v>3656</v>
      </c>
      <c r="H71" s="3321"/>
      <c r="I71" s="3327" t="s">
        <v>3657</v>
      </c>
    </row>
    <row r="72" spans="1:9">
      <c r="A72" s="3319"/>
      <c r="C72" s="3322"/>
      <c r="D72" s="3322"/>
      <c r="E72" s="3322" t="s">
        <v>3658</v>
      </c>
      <c r="F72" s="3322"/>
      <c r="G72" s="3322" t="s">
        <v>3659</v>
      </c>
      <c r="H72" s="3322"/>
      <c r="I72" s="3328"/>
    </row>
    <row r="73" spans="1:9">
      <c r="A73" s="3319"/>
      <c r="C73" s="3305" t="s">
        <v>3660</v>
      </c>
      <c r="E73" s="3305" t="s">
        <v>3661</v>
      </c>
    </row>
    <row r="74" spans="1:9">
      <c r="A74" s="3319"/>
      <c r="C74" s="3305" t="s">
        <v>3662</v>
      </c>
      <c r="D74" s="3305" t="s">
        <v>3663</v>
      </c>
      <c r="F74" s="3305" t="s">
        <v>3664</v>
      </c>
      <c r="G74" s="3305" t="s">
        <v>3665</v>
      </c>
      <c r="H74" s="3305" t="s">
        <v>3666</v>
      </c>
      <c r="I74" s="3307" t="s">
        <v>3667</v>
      </c>
    </row>
    <row r="75" spans="1:9">
      <c r="A75" s="3322"/>
      <c r="C75" s="3305" t="s">
        <v>3668</v>
      </c>
      <c r="D75" s="3305" t="s">
        <v>3669</v>
      </c>
      <c r="E75" s="3305" t="s">
        <v>3670</v>
      </c>
      <c r="F75" s="3305" t="s">
        <v>3671</v>
      </c>
      <c r="G75" s="3305" t="s">
        <v>3672</v>
      </c>
      <c r="I75" s="3307" t="s">
        <v>3673</v>
      </c>
    </row>
    <row r="76" spans="1:9" ht="2.25" customHeight="1">
      <c r="A76" s="3306"/>
      <c r="C76" s="3306"/>
      <c r="D76" s="3306"/>
      <c r="E76" s="3306"/>
      <c r="F76" s="3306"/>
      <c r="G76" s="3306"/>
      <c r="H76" s="3306"/>
      <c r="I76" s="3326"/>
    </row>
    <row r="77" spans="1:9" ht="12" customHeight="1">
      <c r="A77" s="3321" t="s">
        <v>3674</v>
      </c>
      <c r="C77" s="3305" t="s">
        <v>3442</v>
      </c>
      <c r="D77" s="3305" t="s">
        <v>3442</v>
      </c>
      <c r="E77" s="3305" t="s">
        <v>3443</v>
      </c>
      <c r="F77" s="3305" t="s">
        <v>3444</v>
      </c>
      <c r="G77" s="3305" t="s">
        <v>3445</v>
      </c>
      <c r="H77" s="3305" t="s">
        <v>3441</v>
      </c>
      <c r="I77" s="3307" t="s">
        <v>3675</v>
      </c>
    </row>
    <row r="78" spans="1:9">
      <c r="A78" s="3319"/>
      <c r="C78" s="3321" t="s">
        <v>3676</v>
      </c>
      <c r="D78" s="3321" t="s">
        <v>3676</v>
      </c>
      <c r="E78" s="3321" t="s">
        <v>3677</v>
      </c>
      <c r="F78" s="3321" t="s">
        <v>3678</v>
      </c>
      <c r="G78" s="3321" t="s">
        <v>3679</v>
      </c>
      <c r="H78" s="3321"/>
      <c r="I78" s="3327"/>
    </row>
    <row r="79" spans="1:9">
      <c r="A79" s="3319"/>
      <c r="C79" s="3322"/>
      <c r="D79" s="3322"/>
      <c r="E79" s="3322" t="s">
        <v>3680</v>
      </c>
      <c r="F79" s="3322"/>
      <c r="G79" s="3322"/>
      <c r="H79" s="3322"/>
      <c r="I79" s="3328"/>
    </row>
    <row r="80" spans="1:9">
      <c r="A80" s="3319" t="s">
        <v>3681</v>
      </c>
      <c r="C80" s="3305" t="s">
        <v>1730</v>
      </c>
      <c r="D80" s="3305" t="s">
        <v>3682</v>
      </c>
      <c r="E80" s="3305" t="s">
        <v>3683</v>
      </c>
    </row>
    <row r="81" spans="1:9">
      <c r="A81" s="3319"/>
      <c r="C81" s="3305" t="s">
        <v>3684</v>
      </c>
      <c r="D81" s="3305" t="s">
        <v>3685</v>
      </c>
      <c r="E81" s="3305" t="s">
        <v>3686</v>
      </c>
      <c r="F81" s="3305" t="s">
        <v>3687</v>
      </c>
      <c r="G81" s="3305" t="s">
        <v>3688</v>
      </c>
      <c r="H81" s="3305" t="s">
        <v>3689</v>
      </c>
      <c r="I81" s="3307" t="s">
        <v>3690</v>
      </c>
    </row>
    <row r="82" spans="1:9">
      <c r="A82" s="3319"/>
      <c r="C82" s="3321" t="s">
        <v>3691</v>
      </c>
      <c r="D82" s="3321" t="s">
        <v>3692</v>
      </c>
      <c r="E82" s="3321" t="s">
        <v>3693</v>
      </c>
      <c r="F82" s="3321" t="s">
        <v>3694</v>
      </c>
      <c r="G82" s="3321" t="s">
        <v>3695</v>
      </c>
      <c r="H82" s="3321" t="s">
        <v>3696</v>
      </c>
      <c r="I82" s="3327" t="s">
        <v>3697</v>
      </c>
    </row>
    <row r="83" spans="1:9">
      <c r="A83" s="3319" t="s">
        <v>426</v>
      </c>
      <c r="C83" s="3322"/>
      <c r="D83" s="3322"/>
      <c r="E83" s="3322" t="s">
        <v>3698</v>
      </c>
      <c r="F83" s="3322"/>
      <c r="G83" s="3322"/>
      <c r="H83" s="3322"/>
      <c r="I83" s="3328"/>
    </row>
    <row r="84" spans="1:9">
      <c r="A84" s="3322"/>
      <c r="C84" s="3305" t="s">
        <v>1728</v>
      </c>
      <c r="D84" s="3305" t="s">
        <v>3627</v>
      </c>
      <c r="E84" s="3305" t="s">
        <v>3628</v>
      </c>
      <c r="F84" s="3305" t="s">
        <v>3699</v>
      </c>
      <c r="G84" s="3305" t="s">
        <v>3630</v>
      </c>
      <c r="H84" s="3305" t="s">
        <v>3631</v>
      </c>
      <c r="I84" s="3307" t="s">
        <v>3632</v>
      </c>
    </row>
    <row r="85" spans="1:9" ht="3" customHeight="1">
      <c r="A85" s="3306"/>
      <c r="C85" s="3306"/>
      <c r="D85" s="3306"/>
      <c r="E85" s="3306"/>
      <c r="F85" s="3306"/>
      <c r="G85" s="3306"/>
      <c r="H85" s="3306"/>
      <c r="I85" s="3326"/>
    </row>
    <row r="86" spans="1:9">
      <c r="A86" s="3321" t="s">
        <v>3700</v>
      </c>
      <c r="C86" s="3321" t="s">
        <v>3701</v>
      </c>
      <c r="D86" s="3321" t="s">
        <v>3702</v>
      </c>
      <c r="E86" s="3321" t="s">
        <v>3703</v>
      </c>
      <c r="F86" s="3321"/>
      <c r="G86" s="3321" t="s">
        <v>3704</v>
      </c>
      <c r="H86" s="3321" t="s">
        <v>3705</v>
      </c>
      <c r="I86" s="3327" t="s">
        <v>3706</v>
      </c>
    </row>
    <row r="87" spans="1:9">
      <c r="A87" s="3319" t="s">
        <v>3707</v>
      </c>
      <c r="C87" s="3322"/>
      <c r="D87" s="3322"/>
      <c r="E87" s="3322" t="s">
        <v>3708</v>
      </c>
      <c r="F87" s="3322"/>
      <c r="G87" s="3322"/>
      <c r="H87" s="3322"/>
      <c r="I87" s="3328"/>
    </row>
    <row r="88" spans="1:9">
      <c r="A88" s="3319" t="s">
        <v>3709</v>
      </c>
      <c r="C88" s="3305" t="s">
        <v>3710</v>
      </c>
      <c r="G88" s="3305" t="s">
        <v>3711</v>
      </c>
    </row>
    <row r="89" spans="1:9">
      <c r="A89" s="3319" t="s">
        <v>3712</v>
      </c>
      <c r="C89" s="3321" t="s">
        <v>3713</v>
      </c>
      <c r="D89" s="3321" t="s">
        <v>3714</v>
      </c>
      <c r="E89" s="3321" t="s">
        <v>3715</v>
      </c>
      <c r="F89" s="3321" t="s">
        <v>3562</v>
      </c>
      <c r="G89" s="3321" t="s">
        <v>3716</v>
      </c>
      <c r="H89" s="3321" t="s">
        <v>3717</v>
      </c>
      <c r="I89" s="3327" t="s">
        <v>3718</v>
      </c>
    </row>
    <row r="90" spans="1:9">
      <c r="A90" s="3319" t="s">
        <v>426</v>
      </c>
      <c r="C90" s="3322"/>
      <c r="D90" s="3322"/>
      <c r="E90" s="3322" t="s">
        <v>3719</v>
      </c>
      <c r="F90" s="3322"/>
      <c r="G90" s="3322"/>
      <c r="H90" s="3322"/>
      <c r="I90" s="3328"/>
    </row>
    <row r="91" spans="1:9">
      <c r="A91" s="3322"/>
      <c r="C91" s="3305" t="s">
        <v>3720</v>
      </c>
      <c r="D91" s="3321" t="s">
        <v>3721</v>
      </c>
      <c r="I91" s="3307" t="s">
        <v>3722</v>
      </c>
    </row>
    <row r="92" spans="1:9" ht="3" customHeight="1">
      <c r="A92" s="3306"/>
      <c r="C92" s="3306"/>
      <c r="D92" s="3306"/>
      <c r="E92" s="3306"/>
      <c r="F92" s="3306"/>
      <c r="G92" s="3306"/>
      <c r="H92" s="3306"/>
      <c r="I92" s="3326"/>
    </row>
    <row r="93" spans="1:9">
      <c r="A93" s="3321" t="s">
        <v>3723</v>
      </c>
      <c r="C93" s="3305" t="s">
        <v>3724</v>
      </c>
      <c r="D93" s="3305" t="s">
        <v>3725</v>
      </c>
      <c r="E93" s="3305" t="s">
        <v>3726</v>
      </c>
      <c r="G93" s="3305" t="s">
        <v>3727</v>
      </c>
    </row>
    <row r="94" spans="1:9">
      <c r="A94" s="3319" t="s">
        <v>3728</v>
      </c>
      <c r="C94" s="3305" t="s">
        <v>3729</v>
      </c>
      <c r="E94" s="3305" t="s">
        <v>3730</v>
      </c>
      <c r="F94" s="3305" t="s">
        <v>3731</v>
      </c>
      <c r="G94" s="3305" t="s">
        <v>3732</v>
      </c>
      <c r="I94" s="3307" t="s">
        <v>3733</v>
      </c>
    </row>
    <row r="95" spans="1:9">
      <c r="A95" s="3319" t="s">
        <v>3734</v>
      </c>
      <c r="C95" s="3305" t="s">
        <v>3735</v>
      </c>
      <c r="D95" s="3305" t="s">
        <v>3736</v>
      </c>
      <c r="E95" s="3305" t="s">
        <v>3737</v>
      </c>
      <c r="G95" s="3305" t="s">
        <v>3738</v>
      </c>
      <c r="H95" s="3305" t="s">
        <v>3739</v>
      </c>
      <c r="I95" s="3307" t="s">
        <v>3740</v>
      </c>
    </row>
    <row r="96" spans="1:9">
      <c r="A96" s="3319" t="s">
        <v>426</v>
      </c>
      <c r="C96" s="3305" t="s">
        <v>3741</v>
      </c>
      <c r="D96" s="3305" t="s">
        <v>3742</v>
      </c>
      <c r="E96" s="3305" t="s">
        <v>3743</v>
      </c>
      <c r="G96" s="3305" t="s">
        <v>3744</v>
      </c>
      <c r="I96" s="3307" t="s">
        <v>3745</v>
      </c>
    </row>
    <row r="97" spans="1:9">
      <c r="A97" s="3322"/>
      <c r="C97" s="3305" t="s">
        <v>3746</v>
      </c>
      <c r="D97" s="3305" t="s">
        <v>3747</v>
      </c>
      <c r="E97" s="3305" t="s">
        <v>3748</v>
      </c>
      <c r="F97" s="3305" t="s">
        <v>3749</v>
      </c>
      <c r="H97" s="3305" t="s">
        <v>3750</v>
      </c>
      <c r="I97" s="3307" t="s">
        <v>3751</v>
      </c>
    </row>
    <row r="98" spans="1:9" ht="3" customHeight="1">
      <c r="A98" s="3306"/>
      <c r="C98" s="3306"/>
      <c r="D98" s="3306"/>
      <c r="E98" s="3306"/>
      <c r="F98" s="3306"/>
      <c r="G98" s="3306"/>
      <c r="H98" s="3306"/>
      <c r="I98" s="3326"/>
    </row>
    <row r="99" spans="1:9">
      <c r="A99" s="3305" t="s">
        <v>3752</v>
      </c>
      <c r="C99" s="3305" t="s">
        <v>3753</v>
      </c>
      <c r="D99" s="3305" t="s">
        <v>3754</v>
      </c>
      <c r="G99" s="3305" t="s">
        <v>3755</v>
      </c>
      <c r="H99" s="3305" t="s">
        <v>3756</v>
      </c>
      <c r="I99" s="3307" t="s">
        <v>3757</v>
      </c>
    </row>
    <row r="100" spans="1:9" ht="2.25" customHeight="1">
      <c r="A100" s="3306"/>
      <c r="C100" s="3306"/>
      <c r="D100" s="3306"/>
      <c r="E100" s="3306"/>
      <c r="F100" s="3306"/>
      <c r="G100" s="3306"/>
      <c r="H100" s="3306"/>
      <c r="I100" s="3326"/>
    </row>
    <row r="101" spans="1:9">
      <c r="A101" s="3321"/>
      <c r="C101" s="3305" t="s">
        <v>3758</v>
      </c>
      <c r="D101" s="3305" t="s">
        <v>3759</v>
      </c>
      <c r="E101" s="3305" t="s">
        <v>3760</v>
      </c>
      <c r="G101" s="3305" t="s">
        <v>3761</v>
      </c>
      <c r="I101" s="3307" t="s">
        <v>3762</v>
      </c>
    </row>
    <row r="102" spans="1:9">
      <c r="A102" s="3319" t="s">
        <v>3408</v>
      </c>
      <c r="C102" s="3305" t="s">
        <v>3763</v>
      </c>
      <c r="D102" s="3305" t="s">
        <v>3764</v>
      </c>
      <c r="G102" s="3305" t="s">
        <v>3765</v>
      </c>
    </row>
    <row r="103" spans="1:9">
      <c r="A103" s="3319" t="s">
        <v>3425</v>
      </c>
      <c r="C103" s="3305" t="s">
        <v>3766</v>
      </c>
      <c r="D103" s="3305" t="s">
        <v>3767</v>
      </c>
      <c r="E103" s="3305" t="s">
        <v>3768</v>
      </c>
      <c r="H103" s="3305" t="s">
        <v>3769</v>
      </c>
      <c r="I103" s="3307" t="s">
        <v>3770</v>
      </c>
    </row>
    <row r="104" spans="1:9">
      <c r="A104" s="3319" t="s">
        <v>2555</v>
      </c>
      <c r="C104" s="3305" t="s">
        <v>3771</v>
      </c>
      <c r="D104" s="3305" t="s">
        <v>3772</v>
      </c>
      <c r="G104" s="3305" t="s">
        <v>3773</v>
      </c>
    </row>
    <row r="105" spans="1:9">
      <c r="A105" s="3319" t="s">
        <v>3774</v>
      </c>
      <c r="C105" s="3305" t="s">
        <v>3775</v>
      </c>
      <c r="D105" s="3305" t="s">
        <v>3776</v>
      </c>
      <c r="E105" s="3305" t="s">
        <v>3777</v>
      </c>
      <c r="F105" s="3305" t="s">
        <v>761</v>
      </c>
      <c r="G105" s="3305" t="s">
        <v>3778</v>
      </c>
    </row>
    <row r="106" spans="1:9">
      <c r="A106" s="3319" t="s">
        <v>426</v>
      </c>
      <c r="C106" s="3305" t="s">
        <v>3779</v>
      </c>
      <c r="D106" s="3305" t="s">
        <v>3780</v>
      </c>
      <c r="E106" s="3305" t="s">
        <v>3781</v>
      </c>
      <c r="F106" s="3305" t="s">
        <v>761</v>
      </c>
      <c r="G106" s="3305" t="s">
        <v>3782</v>
      </c>
      <c r="H106" s="3305" t="s">
        <v>3783</v>
      </c>
      <c r="I106" s="3307" t="s">
        <v>3784</v>
      </c>
    </row>
    <row r="107" spans="1:9">
      <c r="A107" s="3319"/>
      <c r="C107" s="3305" t="s">
        <v>3785</v>
      </c>
      <c r="D107" s="3305" t="s">
        <v>3786</v>
      </c>
      <c r="E107" s="3305" t="s">
        <v>3781</v>
      </c>
      <c r="H107" s="3305" t="s">
        <v>3787</v>
      </c>
      <c r="I107" s="3307" t="s">
        <v>3788</v>
      </c>
    </row>
    <row r="108" spans="1:9">
      <c r="A108" s="3322"/>
      <c r="C108" s="3305" t="s">
        <v>3789</v>
      </c>
      <c r="D108" s="3305" t="s">
        <v>3790</v>
      </c>
      <c r="G108" s="3305" t="s">
        <v>3791</v>
      </c>
      <c r="H108" s="3305" t="s">
        <v>3792</v>
      </c>
      <c r="I108" s="3307" t="s">
        <v>3793</v>
      </c>
    </row>
    <row r="109" spans="1:9" ht="3.75" customHeight="1">
      <c r="A109" s="3306"/>
      <c r="C109" s="3306"/>
      <c r="D109" s="3306"/>
      <c r="E109" s="3306"/>
      <c r="F109" s="3306"/>
      <c r="G109" s="3306"/>
      <c r="H109" s="3306"/>
      <c r="I109" s="3326"/>
    </row>
    <row r="110" spans="1:9">
      <c r="A110" s="3321"/>
      <c r="C110" s="3305" t="s">
        <v>3794</v>
      </c>
      <c r="I110" s="3307" t="s">
        <v>3795</v>
      </c>
    </row>
    <row r="111" spans="1:9">
      <c r="A111" s="3319" t="s">
        <v>3205</v>
      </c>
      <c r="C111" s="3305" t="s">
        <v>3796</v>
      </c>
      <c r="D111" s="3305" t="s">
        <v>3797</v>
      </c>
      <c r="F111" s="3305" t="s">
        <v>3798</v>
      </c>
      <c r="I111" s="3307" t="s">
        <v>3799</v>
      </c>
    </row>
    <row r="112" spans="1:9">
      <c r="A112" s="3319"/>
      <c r="C112" s="3305" t="s">
        <v>3800</v>
      </c>
      <c r="D112" s="3305" t="s">
        <v>3801</v>
      </c>
      <c r="E112" s="3305" t="s">
        <v>3802</v>
      </c>
      <c r="I112" s="3307" t="s">
        <v>3718</v>
      </c>
    </row>
    <row r="113" spans="1:9">
      <c r="A113" s="3319" t="s">
        <v>2656</v>
      </c>
      <c r="C113" s="3305" t="s">
        <v>3803</v>
      </c>
      <c r="D113" s="3305" t="s">
        <v>3804</v>
      </c>
      <c r="E113" s="3305" t="s">
        <v>3805</v>
      </c>
      <c r="G113" s="3305" t="s">
        <v>3806</v>
      </c>
      <c r="I113" s="3307" t="s">
        <v>3807</v>
      </c>
    </row>
    <row r="114" spans="1:9">
      <c r="A114" s="3319"/>
      <c r="C114" s="3305" t="s">
        <v>3808</v>
      </c>
      <c r="D114" s="3305" t="s">
        <v>3809</v>
      </c>
      <c r="E114" s="3305" t="s">
        <v>3810</v>
      </c>
      <c r="I114" s="3307" t="s">
        <v>3718</v>
      </c>
    </row>
    <row r="115" spans="1:9">
      <c r="A115" s="3319" t="s">
        <v>2659</v>
      </c>
      <c r="B115" s="3306" t="s">
        <v>2659</v>
      </c>
      <c r="C115" s="3305" t="s">
        <v>246</v>
      </c>
      <c r="D115" s="3305" t="s">
        <v>3811</v>
      </c>
      <c r="E115" s="3305" t="s">
        <v>3812</v>
      </c>
      <c r="F115" s="3305" t="s">
        <v>3813</v>
      </c>
      <c r="G115" s="3305" t="s">
        <v>3814</v>
      </c>
      <c r="I115" s="3307" t="s">
        <v>3815</v>
      </c>
    </row>
    <row r="116" spans="1:9">
      <c r="A116" s="3319"/>
      <c r="C116" s="3305" t="s">
        <v>3816</v>
      </c>
      <c r="D116" s="3305" t="s">
        <v>3817</v>
      </c>
      <c r="E116" s="3305" t="s">
        <v>754</v>
      </c>
      <c r="F116" s="3305" t="s">
        <v>3818</v>
      </c>
      <c r="G116" s="3305" t="s">
        <v>3819</v>
      </c>
      <c r="H116" s="3305" t="s">
        <v>3820</v>
      </c>
      <c r="I116" s="3307" t="s">
        <v>3821</v>
      </c>
    </row>
    <row r="117" spans="1:9">
      <c r="A117" s="3319" t="s">
        <v>2555</v>
      </c>
      <c r="C117" s="3305" t="s">
        <v>3822</v>
      </c>
      <c r="D117" s="3305" t="s">
        <v>3823</v>
      </c>
      <c r="E117" s="3305" t="s">
        <v>756</v>
      </c>
      <c r="F117" s="3305" t="s">
        <v>3824</v>
      </c>
      <c r="G117" s="3305" t="s">
        <v>3825</v>
      </c>
      <c r="H117" s="3305" t="s">
        <v>3820</v>
      </c>
      <c r="I117" s="3307" t="s">
        <v>3826</v>
      </c>
    </row>
    <row r="118" spans="1:9">
      <c r="A118" s="3319"/>
      <c r="C118" s="3305" t="s">
        <v>3827</v>
      </c>
      <c r="D118" s="3305" t="s">
        <v>3828</v>
      </c>
      <c r="E118" s="3305" t="s">
        <v>3829</v>
      </c>
      <c r="H118" s="3305" t="s">
        <v>3830</v>
      </c>
      <c r="I118" s="3307" t="s">
        <v>3831</v>
      </c>
    </row>
    <row r="119" spans="1:9">
      <c r="A119" s="3319" t="s">
        <v>3774</v>
      </c>
      <c r="C119" s="3305" t="s">
        <v>3832</v>
      </c>
      <c r="D119" s="3305" t="s">
        <v>3833</v>
      </c>
      <c r="E119" s="3305" t="s">
        <v>3834</v>
      </c>
      <c r="G119" s="3305" t="s">
        <v>3835</v>
      </c>
      <c r="H119" s="3305" t="s">
        <v>3836</v>
      </c>
    </row>
    <row r="120" spans="1:9">
      <c r="A120" s="3319"/>
      <c r="C120" s="3305" t="s">
        <v>3837</v>
      </c>
      <c r="D120" s="3305" t="s">
        <v>3838</v>
      </c>
      <c r="E120" s="3305" t="s">
        <v>3839</v>
      </c>
      <c r="G120" s="3305" t="s">
        <v>3840</v>
      </c>
      <c r="H120" s="3305" t="s">
        <v>3841</v>
      </c>
      <c r="I120" s="3307" t="s">
        <v>3842</v>
      </c>
    </row>
    <row r="121" spans="1:9">
      <c r="A121" s="3319" t="s">
        <v>426</v>
      </c>
      <c r="C121" s="3305" t="s">
        <v>3843</v>
      </c>
      <c r="D121" s="3305" t="s">
        <v>3844</v>
      </c>
      <c r="E121" s="3305" t="s">
        <v>3845</v>
      </c>
      <c r="F121" s="3305" t="s">
        <v>3798</v>
      </c>
      <c r="G121" s="3305" t="s">
        <v>3846</v>
      </c>
      <c r="H121" s="3305" t="s">
        <v>3847</v>
      </c>
      <c r="I121" s="3307" t="s">
        <v>3848</v>
      </c>
    </row>
    <row r="122" spans="1:9">
      <c r="A122" s="3319"/>
      <c r="C122" s="3305" t="s">
        <v>3849</v>
      </c>
      <c r="D122" s="3305" t="s">
        <v>3850</v>
      </c>
      <c r="G122" s="3305" t="s">
        <v>3851</v>
      </c>
      <c r="I122" s="3307" t="s">
        <v>3852</v>
      </c>
    </row>
    <row r="123" spans="1:9">
      <c r="A123" s="3319"/>
      <c r="C123" s="3305" t="s">
        <v>3853</v>
      </c>
      <c r="D123" s="3305" t="s">
        <v>3854</v>
      </c>
      <c r="E123" s="3305" t="s">
        <v>3855</v>
      </c>
      <c r="G123" s="3305" t="s">
        <v>3856</v>
      </c>
      <c r="H123" s="3305" t="s">
        <v>3857</v>
      </c>
      <c r="I123" s="3307" t="s">
        <v>3858</v>
      </c>
    </row>
    <row r="124" spans="1:9">
      <c r="A124" s="3319"/>
      <c r="C124" s="3305" t="s">
        <v>3859</v>
      </c>
      <c r="D124" s="3305" t="s">
        <v>3860</v>
      </c>
      <c r="E124" s="3305" t="s">
        <v>3861</v>
      </c>
      <c r="F124" s="3305" t="s">
        <v>3862</v>
      </c>
      <c r="G124" s="3305" t="s">
        <v>3863</v>
      </c>
      <c r="H124" s="3305" t="s">
        <v>3864</v>
      </c>
      <c r="I124" s="3307" t="s">
        <v>3865</v>
      </c>
    </row>
    <row r="125" spans="1:9">
      <c r="A125" s="3319"/>
      <c r="C125" s="3305" t="s">
        <v>3866</v>
      </c>
      <c r="D125" s="3305" t="s">
        <v>3867</v>
      </c>
      <c r="G125" s="3305" t="s">
        <v>3868</v>
      </c>
      <c r="H125" s="3305" t="s">
        <v>3869</v>
      </c>
      <c r="I125" s="3307" t="s">
        <v>3870</v>
      </c>
    </row>
    <row r="126" spans="1:9">
      <c r="A126" s="3322"/>
      <c r="C126" s="3305" t="s">
        <v>3871</v>
      </c>
      <c r="D126" s="3305" t="s">
        <v>3872</v>
      </c>
      <c r="E126" s="3305" t="s">
        <v>3873</v>
      </c>
      <c r="F126" s="3305" t="s">
        <v>3874</v>
      </c>
      <c r="I126" s="3307" t="s">
        <v>3875</v>
      </c>
    </row>
    <row r="127" spans="1:9" ht="3" customHeight="1">
      <c r="A127" s="3306"/>
      <c r="C127" s="3306"/>
      <c r="D127" s="3306"/>
      <c r="E127" s="3306"/>
      <c r="F127" s="3306"/>
      <c r="G127" s="3306"/>
      <c r="H127" s="3306"/>
      <c r="I127" s="3326"/>
    </row>
    <row r="128" spans="1:9">
      <c r="A128" s="3321"/>
      <c r="C128" s="3321" t="s">
        <v>389</v>
      </c>
      <c r="D128" s="3321" t="s">
        <v>3876</v>
      </c>
      <c r="E128" s="3321" t="s">
        <v>3877</v>
      </c>
      <c r="F128" s="3321" t="s">
        <v>3878</v>
      </c>
      <c r="G128" s="3321" t="s">
        <v>3879</v>
      </c>
      <c r="H128" s="3321" t="s">
        <v>3880</v>
      </c>
      <c r="I128" s="3327" t="s">
        <v>3881</v>
      </c>
    </row>
    <row r="129" spans="1:9">
      <c r="A129" s="3319" t="s">
        <v>1920</v>
      </c>
      <c r="C129" s="3322"/>
      <c r="D129" s="3322"/>
      <c r="E129" s="3322"/>
      <c r="F129" s="3322"/>
      <c r="G129" s="3322"/>
      <c r="H129" s="3322" t="s">
        <v>3882</v>
      </c>
      <c r="I129" s="3328"/>
    </row>
    <row r="130" spans="1:9">
      <c r="A130" s="3319" t="s">
        <v>3883</v>
      </c>
      <c r="C130" s="3321" t="s">
        <v>3884</v>
      </c>
      <c r="D130" s="3321" t="s">
        <v>3885</v>
      </c>
      <c r="E130" s="3321" t="s">
        <v>3886</v>
      </c>
      <c r="F130" s="3321" t="s">
        <v>3887</v>
      </c>
      <c r="G130" s="3321" t="s">
        <v>3888</v>
      </c>
      <c r="H130" s="3321" t="s">
        <v>3889</v>
      </c>
      <c r="I130" s="3327" t="s">
        <v>3890</v>
      </c>
    </row>
    <row r="131" spans="1:9">
      <c r="A131" s="3319" t="s">
        <v>2555</v>
      </c>
      <c r="C131" s="3322"/>
      <c r="D131" s="3322"/>
      <c r="E131" s="3322"/>
      <c r="F131" s="3322"/>
      <c r="G131" s="3322"/>
      <c r="H131" s="3322" t="s">
        <v>3891</v>
      </c>
      <c r="I131" s="3328"/>
    </row>
    <row r="132" spans="1:9">
      <c r="A132" s="3319" t="s">
        <v>3774</v>
      </c>
      <c r="C132" s="3321" t="s">
        <v>3892</v>
      </c>
      <c r="D132" s="3321" t="s">
        <v>3893</v>
      </c>
      <c r="E132" s="3321" t="s">
        <v>3894</v>
      </c>
      <c r="F132" s="3321" t="s">
        <v>3895</v>
      </c>
      <c r="G132" s="3321" t="s">
        <v>3896</v>
      </c>
      <c r="H132" s="3321" t="s">
        <v>3897</v>
      </c>
      <c r="I132" s="3327" t="s">
        <v>3898</v>
      </c>
    </row>
    <row r="133" spans="1:9">
      <c r="A133" s="3319" t="s">
        <v>426</v>
      </c>
      <c r="C133" s="3322"/>
      <c r="D133" s="3322"/>
      <c r="E133" s="3322"/>
      <c r="F133" s="3322"/>
      <c r="G133" s="3322"/>
      <c r="H133" s="3322" t="s">
        <v>3899</v>
      </c>
      <c r="I133" s="3328"/>
    </row>
    <row r="134" spans="1:9">
      <c r="A134" s="3319"/>
      <c r="C134" s="3321" t="s">
        <v>3900</v>
      </c>
      <c r="D134" s="3321"/>
      <c r="E134" s="3321" t="s">
        <v>3901</v>
      </c>
      <c r="F134" s="3321" t="s">
        <v>3902</v>
      </c>
      <c r="G134" s="3321"/>
      <c r="H134" s="3321" t="s">
        <v>3903</v>
      </c>
      <c r="I134" s="3327" t="s">
        <v>3904</v>
      </c>
    </row>
    <row r="135" spans="1:9">
      <c r="A135" s="3322"/>
      <c r="C135" s="3322"/>
      <c r="D135" s="3322"/>
      <c r="E135" s="3322"/>
      <c r="F135" s="3322"/>
      <c r="G135" s="3322"/>
      <c r="H135" s="3322" t="s">
        <v>3905</v>
      </c>
      <c r="I135" s="3328"/>
    </row>
    <row r="136" spans="1:9" ht="3" customHeight="1">
      <c r="A136" s="3306"/>
      <c r="C136" s="3306"/>
      <c r="D136" s="3306"/>
      <c r="E136" s="3306"/>
      <c r="F136" s="3306"/>
      <c r="G136" s="3306"/>
      <c r="H136" s="3306"/>
      <c r="I136" s="3326"/>
    </row>
    <row r="137" spans="1:9">
      <c r="A137" s="3321"/>
      <c r="C137" s="3321" t="s">
        <v>3906</v>
      </c>
      <c r="D137" s="3321" t="s">
        <v>3907</v>
      </c>
      <c r="E137" s="3321" t="s">
        <v>3908</v>
      </c>
      <c r="F137" s="3321" t="s">
        <v>3909</v>
      </c>
      <c r="G137" s="3321" t="s">
        <v>3910</v>
      </c>
      <c r="H137" s="3321" t="s">
        <v>3911</v>
      </c>
      <c r="I137" s="3327" t="s">
        <v>3912</v>
      </c>
    </row>
    <row r="138" spans="1:9">
      <c r="A138" s="3319"/>
      <c r="C138" s="3322"/>
      <c r="D138" s="3322"/>
      <c r="E138" s="3322" t="s">
        <v>3913</v>
      </c>
      <c r="F138" s="3322"/>
      <c r="G138" s="3322"/>
      <c r="H138" s="3322"/>
      <c r="I138" s="3328"/>
    </row>
    <row r="139" spans="1:9">
      <c r="A139" s="3319"/>
      <c r="C139" s="3321" t="s">
        <v>3914</v>
      </c>
      <c r="D139" s="3321"/>
      <c r="E139" s="3321" t="s">
        <v>3915</v>
      </c>
      <c r="F139" s="3321" t="s">
        <v>3916</v>
      </c>
      <c r="G139" s="3321" t="s">
        <v>3917</v>
      </c>
      <c r="H139" s="3321" t="s">
        <v>3918</v>
      </c>
      <c r="I139" s="3327" t="s">
        <v>3919</v>
      </c>
    </row>
    <row r="140" spans="1:9">
      <c r="A140" s="3319"/>
      <c r="C140" s="3322"/>
      <c r="D140" s="3322"/>
      <c r="E140" s="3322" t="s">
        <v>3920</v>
      </c>
      <c r="F140" s="3322"/>
      <c r="G140" s="3322"/>
      <c r="H140" s="3322"/>
      <c r="I140" s="3328"/>
    </row>
    <row r="141" spans="1:9">
      <c r="A141" s="3319" t="s">
        <v>3921</v>
      </c>
      <c r="C141" s="3321" t="s">
        <v>3922</v>
      </c>
      <c r="D141" s="3321" t="s">
        <v>3923</v>
      </c>
      <c r="E141" s="3321" t="s">
        <v>3924</v>
      </c>
      <c r="F141" s="3321" t="s">
        <v>3925</v>
      </c>
      <c r="G141" s="3321" t="s">
        <v>3926</v>
      </c>
      <c r="H141" s="3321" t="s">
        <v>3927</v>
      </c>
      <c r="I141" s="3327" t="s">
        <v>3928</v>
      </c>
    </row>
    <row r="142" spans="1:9">
      <c r="A142" s="3319"/>
      <c r="C142" s="3322"/>
      <c r="D142" s="3322"/>
      <c r="E142" s="3322" t="s">
        <v>3929</v>
      </c>
      <c r="F142" s="3322"/>
      <c r="G142" s="3322"/>
      <c r="H142" s="3322"/>
      <c r="I142" s="3328"/>
    </row>
    <row r="143" spans="1:9">
      <c r="A143" s="3319"/>
      <c r="C143" s="3321" t="s">
        <v>3930</v>
      </c>
      <c r="D143" s="3321" t="s">
        <v>3931</v>
      </c>
      <c r="E143" s="3321" t="s">
        <v>3932</v>
      </c>
      <c r="F143" s="3321" t="s">
        <v>3933</v>
      </c>
      <c r="G143" s="3321" t="s">
        <v>3934</v>
      </c>
      <c r="H143" s="3321" t="s">
        <v>3935</v>
      </c>
      <c r="I143" s="3327" t="s">
        <v>3936</v>
      </c>
    </row>
    <row r="144" spans="1:9">
      <c r="A144" s="3319"/>
      <c r="C144" s="3322"/>
      <c r="D144" s="3322"/>
      <c r="E144" s="3322" t="s">
        <v>3937</v>
      </c>
      <c r="F144" s="3322"/>
      <c r="G144" s="3322"/>
      <c r="H144" s="3322"/>
      <c r="I144" s="3328"/>
    </row>
    <row r="145" spans="1:9">
      <c r="A145" s="3319"/>
      <c r="C145" s="3321" t="s">
        <v>3938</v>
      </c>
      <c r="D145" s="3321" t="s">
        <v>3939</v>
      </c>
      <c r="E145" s="3321" t="s">
        <v>3940</v>
      </c>
      <c r="F145" s="3321" t="s">
        <v>3941</v>
      </c>
      <c r="G145" s="3321" t="s">
        <v>3942</v>
      </c>
      <c r="H145" s="3321" t="s">
        <v>3943</v>
      </c>
      <c r="I145" s="3327" t="s">
        <v>3944</v>
      </c>
    </row>
    <row r="146" spans="1:9">
      <c r="A146" s="3319" t="s">
        <v>3945</v>
      </c>
      <c r="C146" s="3322"/>
      <c r="D146" s="3322"/>
      <c r="E146" s="3322" t="s">
        <v>3946</v>
      </c>
      <c r="F146" s="3322" t="s">
        <v>3947</v>
      </c>
      <c r="G146" s="3322"/>
      <c r="H146" s="3322"/>
      <c r="I146" s="3328"/>
    </row>
    <row r="147" spans="1:9">
      <c r="A147" s="3319"/>
      <c r="C147" s="3321" t="s">
        <v>3948</v>
      </c>
      <c r="D147" s="3321"/>
      <c r="E147" s="3321" t="s">
        <v>3949</v>
      </c>
      <c r="F147" s="3321" t="s">
        <v>3950</v>
      </c>
      <c r="G147" s="3321" t="s">
        <v>3951</v>
      </c>
      <c r="H147" s="3321" t="s">
        <v>3952</v>
      </c>
      <c r="I147" s="3327" t="s">
        <v>3953</v>
      </c>
    </row>
    <row r="148" spans="1:9">
      <c r="A148" s="3319"/>
      <c r="C148" s="3322"/>
      <c r="D148" s="3322"/>
      <c r="E148" s="3322" t="s">
        <v>3954</v>
      </c>
      <c r="F148" s="3322"/>
      <c r="G148" s="3322"/>
      <c r="H148" s="3322"/>
      <c r="I148" s="3328"/>
    </row>
    <row r="149" spans="1:9">
      <c r="A149" s="3319"/>
      <c r="C149" s="3321" t="s">
        <v>3955</v>
      </c>
      <c r="D149" s="3321" t="s">
        <v>3956</v>
      </c>
      <c r="E149" s="3321" t="s">
        <v>3957</v>
      </c>
      <c r="F149" s="3321" t="s">
        <v>3958</v>
      </c>
      <c r="G149" s="3321" t="s">
        <v>3959</v>
      </c>
      <c r="H149" s="3321" t="s">
        <v>3960</v>
      </c>
      <c r="I149" s="3327" t="s">
        <v>3961</v>
      </c>
    </row>
    <row r="150" spans="1:9">
      <c r="A150" s="3330" t="s">
        <v>3962</v>
      </c>
      <c r="C150" s="3322"/>
      <c r="D150" s="3322"/>
      <c r="E150" s="3322" t="s">
        <v>3963</v>
      </c>
      <c r="F150" s="3322"/>
      <c r="G150" s="3322"/>
      <c r="H150" s="3322"/>
      <c r="I150" s="3328"/>
    </row>
    <row r="151" spans="1:9">
      <c r="A151" s="3319"/>
      <c r="C151" s="3321" t="s">
        <v>3964</v>
      </c>
      <c r="D151" s="3321" t="s">
        <v>3965</v>
      </c>
      <c r="E151" s="3321" t="s">
        <v>3966</v>
      </c>
      <c r="F151" s="3321" t="s">
        <v>3967</v>
      </c>
      <c r="G151" s="3321" t="s">
        <v>3968</v>
      </c>
      <c r="H151" s="3321" t="s">
        <v>3969</v>
      </c>
      <c r="I151" s="3327" t="s">
        <v>3970</v>
      </c>
    </row>
    <row r="152" spans="1:9">
      <c r="A152" s="3319"/>
      <c r="C152" s="3322"/>
      <c r="D152" s="3322"/>
      <c r="E152" s="3322" t="s">
        <v>3971</v>
      </c>
      <c r="F152" s="3322"/>
      <c r="G152" s="3322"/>
      <c r="H152" s="3322"/>
      <c r="I152" s="3328"/>
    </row>
    <row r="153" spans="1:9">
      <c r="A153" s="3319"/>
      <c r="C153" s="3321" t="s">
        <v>3972</v>
      </c>
      <c r="D153" s="3321" t="s">
        <v>3973</v>
      </c>
      <c r="E153" s="3321" t="s">
        <v>3974</v>
      </c>
      <c r="F153" s="3321" t="s">
        <v>3975</v>
      </c>
      <c r="G153" s="3321" t="s">
        <v>3976</v>
      </c>
      <c r="H153" s="3321" t="s">
        <v>3977</v>
      </c>
      <c r="I153" s="3327" t="s">
        <v>3978</v>
      </c>
    </row>
    <row r="154" spans="1:9">
      <c r="A154" s="3319"/>
      <c r="C154" s="3322"/>
      <c r="D154" s="3322"/>
      <c r="E154" s="3322" t="s">
        <v>3979</v>
      </c>
      <c r="F154" s="3322"/>
      <c r="G154" s="3322"/>
      <c r="H154" s="3322"/>
      <c r="I154" s="3328"/>
    </row>
    <row r="155" spans="1:9">
      <c r="A155" s="3319"/>
      <c r="C155" s="3305" t="s">
        <v>3980</v>
      </c>
      <c r="D155" s="3305" t="s">
        <v>3981</v>
      </c>
      <c r="F155" s="3305" t="s">
        <v>3982</v>
      </c>
      <c r="G155" s="3305" t="s">
        <v>3983</v>
      </c>
    </row>
    <row r="156" spans="1:9">
      <c r="A156" s="3319"/>
      <c r="C156" s="3321" t="s">
        <v>3984</v>
      </c>
      <c r="D156" s="3321"/>
      <c r="E156" s="3321" t="s">
        <v>3985</v>
      </c>
      <c r="F156" s="3321"/>
      <c r="G156" s="3321" t="s">
        <v>3986</v>
      </c>
      <c r="H156" s="3321"/>
      <c r="I156" s="3327"/>
    </row>
    <row r="157" spans="1:9">
      <c r="A157" s="3319"/>
      <c r="C157" s="3322"/>
      <c r="D157" s="3322"/>
      <c r="E157" s="3322" t="s">
        <v>3987</v>
      </c>
      <c r="F157" s="3322"/>
      <c r="G157" s="3322"/>
      <c r="H157" s="3322"/>
      <c r="I157" s="3328"/>
    </row>
    <row r="158" spans="1:9">
      <c r="A158" s="3319"/>
      <c r="C158" s="3321" t="s">
        <v>3988</v>
      </c>
      <c r="D158" s="3321" t="s">
        <v>3989</v>
      </c>
      <c r="E158" s="3321" t="s">
        <v>3990</v>
      </c>
      <c r="F158" s="3321"/>
      <c r="G158" s="3321" t="s">
        <v>3991</v>
      </c>
      <c r="H158" s="3321" t="s">
        <v>3992</v>
      </c>
      <c r="I158" s="3327" t="s">
        <v>3993</v>
      </c>
    </row>
    <row r="159" spans="1:9">
      <c r="A159" s="3322"/>
      <c r="C159" s="3322"/>
      <c r="D159" s="3322"/>
      <c r="E159" s="3322" t="s">
        <v>3994</v>
      </c>
      <c r="F159" s="3322"/>
      <c r="G159" s="3322"/>
      <c r="H159" s="3322"/>
      <c r="I159" s="3328"/>
    </row>
    <row r="160" spans="1:9" ht="3" customHeight="1">
      <c r="A160" s="3306"/>
      <c r="C160" s="3306"/>
      <c r="D160" s="3306"/>
      <c r="E160" s="3306"/>
      <c r="F160" s="3306"/>
      <c r="G160" s="3306"/>
      <c r="H160" s="3306"/>
      <c r="I160" s="3326"/>
    </row>
    <row r="161" spans="1:9">
      <c r="A161" s="3321"/>
      <c r="C161" s="3321" t="s">
        <v>3995</v>
      </c>
      <c r="D161" s="3321" t="s">
        <v>3996</v>
      </c>
      <c r="E161" s="3321" t="s">
        <v>3997</v>
      </c>
      <c r="F161" s="3321" t="s">
        <v>3998</v>
      </c>
      <c r="G161" s="3321" t="s">
        <v>3999</v>
      </c>
      <c r="H161" s="3321" t="s">
        <v>4000</v>
      </c>
      <c r="I161" s="3327"/>
    </row>
    <row r="162" spans="1:9">
      <c r="A162" s="3319"/>
      <c r="C162" s="3322" t="s">
        <v>3205</v>
      </c>
      <c r="D162" s="3322"/>
      <c r="E162" s="3322" t="s">
        <v>4001</v>
      </c>
      <c r="F162" s="3322"/>
      <c r="G162" s="3322"/>
      <c r="H162" s="3322"/>
      <c r="I162" s="3328"/>
    </row>
    <row r="163" spans="1:9">
      <c r="A163" s="3319"/>
      <c r="C163" s="3321" t="s">
        <v>4002</v>
      </c>
      <c r="D163" s="3321" t="s">
        <v>4003</v>
      </c>
      <c r="E163" s="3321" t="s">
        <v>4004</v>
      </c>
      <c r="F163" s="3321" t="s">
        <v>4005</v>
      </c>
      <c r="G163" s="3321" t="s">
        <v>4006</v>
      </c>
      <c r="H163" s="3321" t="s">
        <v>4007</v>
      </c>
      <c r="I163" s="3327" t="s">
        <v>4008</v>
      </c>
    </row>
    <row r="164" spans="1:9">
      <c r="A164" s="3319" t="s">
        <v>4009</v>
      </c>
      <c r="C164" s="3322"/>
      <c r="D164" s="3322"/>
      <c r="E164" s="3322" t="s">
        <v>4010</v>
      </c>
      <c r="F164" s="3322"/>
      <c r="G164" s="3322"/>
      <c r="H164" s="3322"/>
      <c r="I164" s="3328"/>
    </row>
    <row r="165" spans="1:9">
      <c r="A165" s="3319"/>
      <c r="C165" s="3321" t="s">
        <v>4011</v>
      </c>
      <c r="D165" s="3321"/>
      <c r="E165" s="3321" t="s">
        <v>4012</v>
      </c>
      <c r="F165" s="3321"/>
      <c r="G165" s="3321" t="s">
        <v>4013</v>
      </c>
      <c r="H165" s="3321"/>
      <c r="I165" s="3327"/>
    </row>
    <row r="166" spans="1:9">
      <c r="A166" s="3319"/>
      <c r="C166" s="3322"/>
      <c r="D166" s="3322"/>
      <c r="E166" s="3322" t="s">
        <v>4014</v>
      </c>
      <c r="F166" s="3322"/>
      <c r="G166" s="3322"/>
      <c r="H166" s="3322"/>
      <c r="I166" s="3328"/>
    </row>
    <row r="167" spans="1:9">
      <c r="A167" s="3319" t="s">
        <v>4015</v>
      </c>
      <c r="C167" s="3321" t="s">
        <v>4016</v>
      </c>
      <c r="D167" s="3321" t="s">
        <v>4017</v>
      </c>
      <c r="E167" s="3321" t="s">
        <v>4018</v>
      </c>
      <c r="F167" s="3321" t="s">
        <v>4019</v>
      </c>
      <c r="G167" s="3321" t="s">
        <v>4020</v>
      </c>
      <c r="H167" s="3321" t="s">
        <v>4021</v>
      </c>
      <c r="I167" s="3327" t="s">
        <v>4022</v>
      </c>
    </row>
    <row r="168" spans="1:9">
      <c r="A168" s="3319"/>
      <c r="C168" s="3322"/>
      <c r="D168" s="3322"/>
      <c r="E168" s="3322" t="s">
        <v>4023</v>
      </c>
      <c r="F168" s="3322"/>
      <c r="G168" s="3322"/>
      <c r="H168" s="3322"/>
      <c r="I168" s="3328"/>
    </row>
    <row r="169" spans="1:9">
      <c r="A169" s="3319"/>
      <c r="C169" s="3321" t="s">
        <v>4024</v>
      </c>
      <c r="D169" s="3321" t="s">
        <v>4025</v>
      </c>
      <c r="E169" s="3321" t="s">
        <v>4026</v>
      </c>
      <c r="F169" s="3321" t="s">
        <v>4027</v>
      </c>
      <c r="G169" s="3321" t="s">
        <v>4028</v>
      </c>
      <c r="H169" s="3321" t="s">
        <v>4029</v>
      </c>
      <c r="I169" s="3327" t="s">
        <v>4030</v>
      </c>
    </row>
    <row r="170" spans="1:9">
      <c r="A170" s="3319" t="s">
        <v>426</v>
      </c>
      <c r="C170" s="3322"/>
      <c r="D170" s="3322"/>
      <c r="E170" s="3322" t="s">
        <v>4031</v>
      </c>
      <c r="F170" s="3322"/>
      <c r="G170" s="3322"/>
      <c r="H170" s="3322"/>
      <c r="I170" s="3328"/>
    </row>
    <row r="171" spans="1:9">
      <c r="A171" s="3319"/>
      <c r="C171" s="3305" t="s">
        <v>4032</v>
      </c>
      <c r="G171" s="3305" t="s">
        <v>4033</v>
      </c>
    </row>
    <row r="172" spans="1:9">
      <c r="A172" s="3319"/>
      <c r="C172" s="3321" t="s">
        <v>4034</v>
      </c>
      <c r="D172" s="3321" t="s">
        <v>4035</v>
      </c>
      <c r="E172" s="3321" t="s">
        <v>4036</v>
      </c>
      <c r="F172" s="3321" t="s">
        <v>4037</v>
      </c>
      <c r="G172" s="3321" t="s">
        <v>4038</v>
      </c>
      <c r="H172" s="3321" t="s">
        <v>4039</v>
      </c>
      <c r="I172" s="3327" t="s">
        <v>4040</v>
      </c>
    </row>
    <row r="173" spans="1:9">
      <c r="A173" s="3319"/>
      <c r="C173" s="3322"/>
      <c r="D173" s="3322"/>
      <c r="E173" s="3322" t="s">
        <v>4041</v>
      </c>
      <c r="F173" s="3322"/>
      <c r="G173" s="3322"/>
      <c r="H173" s="3322"/>
      <c r="I173" s="3328"/>
    </row>
    <row r="174" spans="1:9">
      <c r="A174" s="3319"/>
      <c r="C174" s="3321" t="s">
        <v>3988</v>
      </c>
      <c r="D174" s="3321" t="s">
        <v>3989</v>
      </c>
      <c r="E174" s="3321" t="s">
        <v>3990</v>
      </c>
      <c r="F174" s="3321"/>
      <c r="G174" s="3321" t="s">
        <v>3991</v>
      </c>
      <c r="H174" s="3321" t="s">
        <v>3992</v>
      </c>
      <c r="I174" s="3327" t="s">
        <v>3993</v>
      </c>
    </row>
    <row r="175" spans="1:9">
      <c r="A175" s="3322"/>
      <c r="C175" s="3322"/>
      <c r="D175" s="3322"/>
      <c r="E175" s="3322" t="s">
        <v>3994</v>
      </c>
      <c r="F175" s="3322"/>
      <c r="G175" s="3322"/>
      <c r="H175" s="3322"/>
      <c r="I175" s="3328"/>
    </row>
    <row r="176" spans="1:9" ht="2.25" customHeight="1">
      <c r="A176" s="3306"/>
      <c r="C176" s="3306"/>
      <c r="D176" s="3306"/>
      <c r="E176" s="3306"/>
      <c r="F176" s="3306"/>
      <c r="G176" s="3306"/>
      <c r="H176" s="3306"/>
      <c r="I176" s="3326"/>
    </row>
    <row r="177" spans="1:9">
      <c r="A177" s="3331"/>
      <c r="B177" s="3331"/>
      <c r="C177" s="3331"/>
      <c r="D177" s="3332" t="s">
        <v>4042</v>
      </c>
      <c r="E177" s="3331"/>
      <c r="F177" s="3331"/>
      <c r="G177" s="3331"/>
      <c r="H177" s="3331"/>
      <c r="I177" s="3334"/>
    </row>
    <row r="178" spans="1:9" s="3304" customFormat="1" ht="3" customHeight="1">
      <c r="A178" s="3333"/>
      <c r="B178" s="3333"/>
      <c r="C178" s="3333"/>
      <c r="D178" s="3333"/>
      <c r="E178" s="3333"/>
      <c r="F178" s="3333"/>
      <c r="G178" s="3333"/>
      <c r="H178" s="3333"/>
      <c r="I178" s="3335"/>
    </row>
  </sheetData>
  <phoneticPr fontId="214" type="noConversion"/>
  <pageMargins left="0.75" right="0.75" top="1" bottom="1" header="0.5" footer="0.5"/>
  <pageSetup paperSize="9" orientation="landscape"/>
  <headerFooter scaleWithDoc="0"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B1:WVS50"/>
  <sheetViews>
    <sheetView workbookViewId="0">
      <selection activeCell="W20" sqref="W20"/>
    </sheetView>
  </sheetViews>
  <sheetFormatPr defaultColWidth="9" defaultRowHeight="14.25"/>
  <cols>
    <col min="1" max="1" width="6.125" style="2694" customWidth="1"/>
    <col min="2" max="2" width="3" style="2694" hidden="1" customWidth="1"/>
    <col min="3" max="3" width="7.625" style="2694" hidden="1" customWidth="1"/>
    <col min="4" max="4" width="3" style="2694" hidden="1" customWidth="1"/>
    <col min="5" max="5" width="7.625" style="2694" hidden="1" customWidth="1"/>
    <col min="6" max="6" width="4.625" style="2694" hidden="1" customWidth="1"/>
    <col min="7" max="7" width="7.625" style="2694" hidden="1" customWidth="1"/>
    <col min="8" max="8" width="4.875" style="2694" hidden="1" customWidth="1"/>
    <col min="9" max="9" width="5.75" style="2694" hidden="1" customWidth="1"/>
    <col min="10" max="10" width="5.5" style="2694" hidden="1" customWidth="1"/>
    <col min="11" max="11" width="7.625" style="2694" hidden="1" customWidth="1"/>
    <col min="12" max="12" width="0.125" style="2694" customWidth="1"/>
    <col min="13" max="13" width="10.75" style="2694" customWidth="1"/>
    <col min="14" max="15" width="7.625" style="2694" customWidth="1"/>
    <col min="16" max="18" width="9" style="2694"/>
    <col min="19" max="19" width="5.5" style="2694" customWidth="1"/>
    <col min="20" max="20" width="6.625" style="2694" customWidth="1"/>
    <col min="21" max="21" width="7.5" style="2694" customWidth="1"/>
    <col min="22" max="22" width="8.375" style="2694" customWidth="1"/>
    <col min="23" max="24" width="5.625" style="2694" customWidth="1"/>
    <col min="25" max="25" width="6.875" style="2694" customWidth="1"/>
    <col min="26" max="26" width="5.625" style="2694" customWidth="1"/>
    <col min="27" max="256" width="9" style="2694"/>
    <col min="257" max="257" width="6.125" style="2694" customWidth="1"/>
    <col min="258" max="267" width="9" style="2694" hidden="1" customWidth="1"/>
    <col min="268" max="268" width="0.125" style="2694" customWidth="1"/>
    <col min="269" max="269" width="10.75" style="2694" customWidth="1"/>
    <col min="270" max="271" width="7.625" style="2694" customWidth="1"/>
    <col min="272" max="274" width="9" style="2694"/>
    <col min="275" max="275" width="5.5" style="2694" customWidth="1"/>
    <col min="276" max="276" width="6.625" style="2694" customWidth="1"/>
    <col min="277" max="277" width="7.5" style="2694" customWidth="1"/>
    <col min="278" max="278" width="8.375" style="2694" customWidth="1"/>
    <col min="279" max="280" width="5.625" style="2694" customWidth="1"/>
    <col min="281" max="281" width="6.875" style="2694" customWidth="1"/>
    <col min="282" max="282" width="5.625" style="2694" customWidth="1"/>
    <col min="283" max="512" width="9" style="2694"/>
    <col min="513" max="513" width="6.125" style="2694" customWidth="1"/>
    <col min="514" max="523" width="9" style="2694" hidden="1" customWidth="1"/>
    <col min="524" max="524" width="0.125" style="2694" customWidth="1"/>
    <col min="525" max="525" width="10.75" style="2694" customWidth="1"/>
    <col min="526" max="527" width="7.625" style="2694" customWidth="1"/>
    <col min="528" max="530" width="9" style="2694"/>
    <col min="531" max="531" width="5.5" style="2694" customWidth="1"/>
    <col min="532" max="532" width="6.625" style="2694" customWidth="1"/>
    <col min="533" max="533" width="7.5" style="2694" customWidth="1"/>
    <col min="534" max="534" width="8.375" style="2694" customWidth="1"/>
    <col min="535" max="536" width="5.625" style="2694" customWidth="1"/>
    <col min="537" max="537" width="6.875" style="2694" customWidth="1"/>
    <col min="538" max="538" width="5.625" style="2694" customWidth="1"/>
    <col min="539" max="768" width="9" style="2694"/>
    <col min="769" max="769" width="6.125" style="2694" customWidth="1"/>
    <col min="770" max="779" width="9" style="2694" hidden="1" customWidth="1"/>
    <col min="780" max="780" width="0.125" style="2694" customWidth="1"/>
    <col min="781" max="781" width="10.75" style="2694" customWidth="1"/>
    <col min="782" max="783" width="7.625" style="2694" customWidth="1"/>
    <col min="784" max="786" width="9" style="2694"/>
    <col min="787" max="787" width="5.5" style="2694" customWidth="1"/>
    <col min="788" max="788" width="6.625" style="2694" customWidth="1"/>
    <col min="789" max="789" width="7.5" style="2694" customWidth="1"/>
    <col min="790" max="790" width="8.375" style="2694" customWidth="1"/>
    <col min="791" max="792" width="5.625" style="2694" customWidth="1"/>
    <col min="793" max="793" width="6.875" style="2694" customWidth="1"/>
    <col min="794" max="794" width="5.625" style="2694" customWidth="1"/>
    <col min="795" max="1024" width="9" style="2694"/>
    <col min="1025" max="1025" width="6.125" style="2694" customWidth="1"/>
    <col min="1026" max="1035" width="9" style="2694" hidden="1" customWidth="1"/>
    <col min="1036" max="1036" width="0.125" style="2694" customWidth="1"/>
    <col min="1037" max="1037" width="10.75" style="2694" customWidth="1"/>
    <col min="1038" max="1039" width="7.625" style="2694" customWidth="1"/>
    <col min="1040" max="1042" width="9" style="2694"/>
    <col min="1043" max="1043" width="5.5" style="2694" customWidth="1"/>
    <col min="1044" max="1044" width="6.625" style="2694" customWidth="1"/>
    <col min="1045" max="1045" width="7.5" style="2694" customWidth="1"/>
    <col min="1046" max="1046" width="8.375" style="2694" customWidth="1"/>
    <col min="1047" max="1048" width="5.625" style="2694" customWidth="1"/>
    <col min="1049" max="1049" width="6.875" style="2694" customWidth="1"/>
    <col min="1050" max="1050" width="5.625" style="2694" customWidth="1"/>
    <col min="1051" max="1280" width="9" style="2694"/>
    <col min="1281" max="1281" width="6.125" style="2694" customWidth="1"/>
    <col min="1282" max="1291" width="9" style="2694" hidden="1" customWidth="1"/>
    <col min="1292" max="1292" width="0.125" style="2694" customWidth="1"/>
    <col min="1293" max="1293" width="10.75" style="2694" customWidth="1"/>
    <col min="1294" max="1295" width="7.625" style="2694" customWidth="1"/>
    <col min="1296" max="1298" width="9" style="2694"/>
    <col min="1299" max="1299" width="5.5" style="2694" customWidth="1"/>
    <col min="1300" max="1300" width="6.625" style="2694" customWidth="1"/>
    <col min="1301" max="1301" width="7.5" style="2694" customWidth="1"/>
    <col min="1302" max="1302" width="8.375" style="2694" customWidth="1"/>
    <col min="1303" max="1304" width="5.625" style="2694" customWidth="1"/>
    <col min="1305" max="1305" width="6.875" style="2694" customWidth="1"/>
    <col min="1306" max="1306" width="5.625" style="2694" customWidth="1"/>
    <col min="1307" max="1536" width="9" style="2694"/>
    <col min="1537" max="1537" width="6.125" style="2694" customWidth="1"/>
    <col min="1538" max="1547" width="9" style="2694" hidden="1" customWidth="1"/>
    <col min="1548" max="1548" width="0.125" style="2694" customWidth="1"/>
    <col min="1549" max="1549" width="10.75" style="2694" customWidth="1"/>
    <col min="1550" max="1551" width="7.625" style="2694" customWidth="1"/>
    <col min="1552" max="1554" width="9" style="2694"/>
    <col min="1555" max="1555" width="5.5" style="2694" customWidth="1"/>
    <col min="1556" max="1556" width="6.625" style="2694" customWidth="1"/>
    <col min="1557" max="1557" width="7.5" style="2694" customWidth="1"/>
    <col min="1558" max="1558" width="8.375" style="2694" customWidth="1"/>
    <col min="1559" max="1560" width="5.625" style="2694" customWidth="1"/>
    <col min="1561" max="1561" width="6.875" style="2694" customWidth="1"/>
    <col min="1562" max="1562" width="5.625" style="2694" customWidth="1"/>
    <col min="1563" max="1792" width="9" style="2694"/>
    <col min="1793" max="1793" width="6.125" style="2694" customWidth="1"/>
    <col min="1794" max="1803" width="9" style="2694" hidden="1" customWidth="1"/>
    <col min="1804" max="1804" width="0.125" style="2694" customWidth="1"/>
    <col min="1805" max="1805" width="10.75" style="2694" customWidth="1"/>
    <col min="1806" max="1807" width="7.625" style="2694" customWidth="1"/>
    <col min="1808" max="1810" width="9" style="2694"/>
    <col min="1811" max="1811" width="5.5" style="2694" customWidth="1"/>
    <col min="1812" max="1812" width="6.625" style="2694" customWidth="1"/>
    <col min="1813" max="1813" width="7.5" style="2694" customWidth="1"/>
    <col min="1814" max="1814" width="8.375" style="2694" customWidth="1"/>
    <col min="1815" max="1816" width="5.625" style="2694" customWidth="1"/>
    <col min="1817" max="1817" width="6.875" style="2694" customWidth="1"/>
    <col min="1818" max="1818" width="5.625" style="2694" customWidth="1"/>
    <col min="1819" max="2048" width="9" style="2694"/>
    <col min="2049" max="2049" width="6.125" style="2694" customWidth="1"/>
    <col min="2050" max="2059" width="9" style="2694" hidden="1" customWidth="1"/>
    <col min="2060" max="2060" width="0.125" style="2694" customWidth="1"/>
    <col min="2061" max="2061" width="10.75" style="2694" customWidth="1"/>
    <col min="2062" max="2063" width="7.625" style="2694" customWidth="1"/>
    <col min="2064" max="2066" width="9" style="2694"/>
    <col min="2067" max="2067" width="5.5" style="2694" customWidth="1"/>
    <col min="2068" max="2068" width="6.625" style="2694" customWidth="1"/>
    <col min="2069" max="2069" width="7.5" style="2694" customWidth="1"/>
    <col min="2070" max="2070" width="8.375" style="2694" customWidth="1"/>
    <col min="2071" max="2072" width="5.625" style="2694" customWidth="1"/>
    <col min="2073" max="2073" width="6.875" style="2694" customWidth="1"/>
    <col min="2074" max="2074" width="5.625" style="2694" customWidth="1"/>
    <col min="2075" max="2304" width="9" style="2694"/>
    <col min="2305" max="2305" width="6.125" style="2694" customWidth="1"/>
    <col min="2306" max="2315" width="9" style="2694" hidden="1" customWidth="1"/>
    <col min="2316" max="2316" width="0.125" style="2694" customWidth="1"/>
    <col min="2317" max="2317" width="10.75" style="2694" customWidth="1"/>
    <col min="2318" max="2319" width="7.625" style="2694" customWidth="1"/>
    <col min="2320" max="2322" width="9" style="2694"/>
    <col min="2323" max="2323" width="5.5" style="2694" customWidth="1"/>
    <col min="2324" max="2324" width="6.625" style="2694" customWidth="1"/>
    <col min="2325" max="2325" width="7.5" style="2694" customWidth="1"/>
    <col min="2326" max="2326" width="8.375" style="2694" customWidth="1"/>
    <col min="2327" max="2328" width="5.625" style="2694" customWidth="1"/>
    <col min="2329" max="2329" width="6.875" style="2694" customWidth="1"/>
    <col min="2330" max="2330" width="5.625" style="2694" customWidth="1"/>
    <col min="2331" max="2560" width="9" style="2694"/>
    <col min="2561" max="2561" width="6.125" style="2694" customWidth="1"/>
    <col min="2562" max="2571" width="9" style="2694" hidden="1" customWidth="1"/>
    <col min="2572" max="2572" width="0.125" style="2694" customWidth="1"/>
    <col min="2573" max="2573" width="10.75" style="2694" customWidth="1"/>
    <col min="2574" max="2575" width="7.625" style="2694" customWidth="1"/>
    <col min="2576" max="2578" width="9" style="2694"/>
    <col min="2579" max="2579" width="5.5" style="2694" customWidth="1"/>
    <col min="2580" max="2580" width="6.625" style="2694" customWidth="1"/>
    <col min="2581" max="2581" width="7.5" style="2694" customWidth="1"/>
    <col min="2582" max="2582" width="8.375" style="2694" customWidth="1"/>
    <col min="2583" max="2584" width="5.625" style="2694" customWidth="1"/>
    <col min="2585" max="2585" width="6.875" style="2694" customWidth="1"/>
    <col min="2586" max="2586" width="5.625" style="2694" customWidth="1"/>
    <col min="2587" max="2816" width="9" style="2694"/>
    <col min="2817" max="2817" width="6.125" style="2694" customWidth="1"/>
    <col min="2818" max="2827" width="9" style="2694" hidden="1" customWidth="1"/>
    <col min="2828" max="2828" width="0.125" style="2694" customWidth="1"/>
    <col min="2829" max="2829" width="10.75" style="2694" customWidth="1"/>
    <col min="2830" max="2831" width="7.625" style="2694" customWidth="1"/>
    <col min="2832" max="2834" width="9" style="2694"/>
    <col min="2835" max="2835" width="5.5" style="2694" customWidth="1"/>
    <col min="2836" max="2836" width="6.625" style="2694" customWidth="1"/>
    <col min="2837" max="2837" width="7.5" style="2694" customWidth="1"/>
    <col min="2838" max="2838" width="8.375" style="2694" customWidth="1"/>
    <col min="2839" max="2840" width="5.625" style="2694" customWidth="1"/>
    <col min="2841" max="2841" width="6.875" style="2694" customWidth="1"/>
    <col min="2842" max="2842" width="5.625" style="2694" customWidth="1"/>
    <col min="2843" max="3072" width="9" style="2694"/>
    <col min="3073" max="3073" width="6.125" style="2694" customWidth="1"/>
    <col min="3074" max="3083" width="9" style="2694" hidden="1" customWidth="1"/>
    <col min="3084" max="3084" width="0.125" style="2694" customWidth="1"/>
    <col min="3085" max="3085" width="10.75" style="2694" customWidth="1"/>
    <col min="3086" max="3087" width="7.625" style="2694" customWidth="1"/>
    <col min="3088" max="3090" width="9" style="2694"/>
    <col min="3091" max="3091" width="5.5" style="2694" customWidth="1"/>
    <col min="3092" max="3092" width="6.625" style="2694" customWidth="1"/>
    <col min="3093" max="3093" width="7.5" style="2694" customWidth="1"/>
    <col min="3094" max="3094" width="8.375" style="2694" customWidth="1"/>
    <col min="3095" max="3096" width="5.625" style="2694" customWidth="1"/>
    <col min="3097" max="3097" width="6.875" style="2694" customWidth="1"/>
    <col min="3098" max="3098" width="5.625" style="2694" customWidth="1"/>
    <col min="3099" max="3328" width="9" style="2694"/>
    <col min="3329" max="3329" width="6.125" style="2694" customWidth="1"/>
    <col min="3330" max="3339" width="9" style="2694" hidden="1" customWidth="1"/>
    <col min="3340" max="3340" width="0.125" style="2694" customWidth="1"/>
    <col min="3341" max="3341" width="10.75" style="2694" customWidth="1"/>
    <col min="3342" max="3343" width="7.625" style="2694" customWidth="1"/>
    <col min="3344" max="3346" width="9" style="2694"/>
    <col min="3347" max="3347" width="5.5" style="2694" customWidth="1"/>
    <col min="3348" max="3348" width="6.625" style="2694" customWidth="1"/>
    <col min="3349" max="3349" width="7.5" style="2694" customWidth="1"/>
    <col min="3350" max="3350" width="8.375" style="2694" customWidth="1"/>
    <col min="3351" max="3352" width="5.625" style="2694" customWidth="1"/>
    <col min="3353" max="3353" width="6.875" style="2694" customWidth="1"/>
    <col min="3354" max="3354" width="5.625" style="2694" customWidth="1"/>
    <col min="3355" max="3584" width="9" style="2694"/>
    <col min="3585" max="3585" width="6.125" style="2694" customWidth="1"/>
    <col min="3586" max="3595" width="9" style="2694" hidden="1" customWidth="1"/>
    <col min="3596" max="3596" width="0.125" style="2694" customWidth="1"/>
    <col min="3597" max="3597" width="10.75" style="2694" customWidth="1"/>
    <col min="3598" max="3599" width="7.625" style="2694" customWidth="1"/>
    <col min="3600" max="3602" width="9" style="2694"/>
    <col min="3603" max="3603" width="5.5" style="2694" customWidth="1"/>
    <col min="3604" max="3604" width="6.625" style="2694" customWidth="1"/>
    <col min="3605" max="3605" width="7.5" style="2694" customWidth="1"/>
    <col min="3606" max="3606" width="8.375" style="2694" customWidth="1"/>
    <col min="3607" max="3608" width="5.625" style="2694" customWidth="1"/>
    <col min="3609" max="3609" width="6.875" style="2694" customWidth="1"/>
    <col min="3610" max="3610" width="5.625" style="2694" customWidth="1"/>
    <col min="3611" max="3840" width="9" style="2694"/>
    <col min="3841" max="3841" width="6.125" style="2694" customWidth="1"/>
    <col min="3842" max="3851" width="9" style="2694" hidden="1" customWidth="1"/>
    <col min="3852" max="3852" width="0.125" style="2694" customWidth="1"/>
    <col min="3853" max="3853" width="10.75" style="2694" customWidth="1"/>
    <col min="3854" max="3855" width="7.625" style="2694" customWidth="1"/>
    <col min="3856" max="3858" width="9" style="2694"/>
    <col min="3859" max="3859" width="5.5" style="2694" customWidth="1"/>
    <col min="3860" max="3860" width="6.625" style="2694" customWidth="1"/>
    <col min="3861" max="3861" width="7.5" style="2694" customWidth="1"/>
    <col min="3862" max="3862" width="8.375" style="2694" customWidth="1"/>
    <col min="3863" max="3864" width="5.625" style="2694" customWidth="1"/>
    <col min="3865" max="3865" width="6.875" style="2694" customWidth="1"/>
    <col min="3866" max="3866" width="5.625" style="2694" customWidth="1"/>
    <col min="3867" max="4096" width="9" style="2694"/>
    <col min="4097" max="4097" width="6.125" style="2694" customWidth="1"/>
    <col min="4098" max="4107" width="9" style="2694" hidden="1" customWidth="1"/>
    <col min="4108" max="4108" width="0.125" style="2694" customWidth="1"/>
    <col min="4109" max="4109" width="10.75" style="2694" customWidth="1"/>
    <col min="4110" max="4111" width="7.625" style="2694" customWidth="1"/>
    <col min="4112" max="4114" width="9" style="2694"/>
    <col min="4115" max="4115" width="5.5" style="2694" customWidth="1"/>
    <col min="4116" max="4116" width="6.625" style="2694" customWidth="1"/>
    <col min="4117" max="4117" width="7.5" style="2694" customWidth="1"/>
    <col min="4118" max="4118" width="8.375" style="2694" customWidth="1"/>
    <col min="4119" max="4120" width="5.625" style="2694" customWidth="1"/>
    <col min="4121" max="4121" width="6.875" style="2694" customWidth="1"/>
    <col min="4122" max="4122" width="5.625" style="2694" customWidth="1"/>
    <col min="4123" max="4352" width="9" style="2694"/>
    <col min="4353" max="4353" width="6.125" style="2694" customWidth="1"/>
    <col min="4354" max="4363" width="9" style="2694" hidden="1" customWidth="1"/>
    <col min="4364" max="4364" width="0.125" style="2694" customWidth="1"/>
    <col min="4365" max="4365" width="10.75" style="2694" customWidth="1"/>
    <col min="4366" max="4367" width="7.625" style="2694" customWidth="1"/>
    <col min="4368" max="4370" width="9" style="2694"/>
    <col min="4371" max="4371" width="5.5" style="2694" customWidth="1"/>
    <col min="4372" max="4372" width="6.625" style="2694" customWidth="1"/>
    <col min="4373" max="4373" width="7.5" style="2694" customWidth="1"/>
    <col min="4374" max="4374" width="8.375" style="2694" customWidth="1"/>
    <col min="4375" max="4376" width="5.625" style="2694" customWidth="1"/>
    <col min="4377" max="4377" width="6.875" style="2694" customWidth="1"/>
    <col min="4378" max="4378" width="5.625" style="2694" customWidth="1"/>
    <col min="4379" max="4608" width="9" style="2694"/>
    <col min="4609" max="4609" width="6.125" style="2694" customWidth="1"/>
    <col min="4610" max="4619" width="9" style="2694" hidden="1" customWidth="1"/>
    <col min="4620" max="4620" width="0.125" style="2694" customWidth="1"/>
    <col min="4621" max="4621" width="10.75" style="2694" customWidth="1"/>
    <col min="4622" max="4623" width="7.625" style="2694" customWidth="1"/>
    <col min="4624" max="4626" width="9" style="2694"/>
    <col min="4627" max="4627" width="5.5" style="2694" customWidth="1"/>
    <col min="4628" max="4628" width="6.625" style="2694" customWidth="1"/>
    <col min="4629" max="4629" width="7.5" style="2694" customWidth="1"/>
    <col min="4630" max="4630" width="8.375" style="2694" customWidth="1"/>
    <col min="4631" max="4632" width="5.625" style="2694" customWidth="1"/>
    <col min="4633" max="4633" width="6.875" style="2694" customWidth="1"/>
    <col min="4634" max="4634" width="5.625" style="2694" customWidth="1"/>
    <col min="4635" max="4864" width="9" style="2694"/>
    <col min="4865" max="4865" width="6.125" style="2694" customWidth="1"/>
    <col min="4866" max="4875" width="9" style="2694" hidden="1" customWidth="1"/>
    <col min="4876" max="4876" width="0.125" style="2694" customWidth="1"/>
    <col min="4877" max="4877" width="10.75" style="2694" customWidth="1"/>
    <col min="4878" max="4879" width="7.625" style="2694" customWidth="1"/>
    <col min="4880" max="4882" width="9" style="2694"/>
    <col min="4883" max="4883" width="5.5" style="2694" customWidth="1"/>
    <col min="4884" max="4884" width="6.625" style="2694" customWidth="1"/>
    <col min="4885" max="4885" width="7.5" style="2694" customWidth="1"/>
    <col min="4886" max="4886" width="8.375" style="2694" customWidth="1"/>
    <col min="4887" max="4888" width="5.625" style="2694" customWidth="1"/>
    <col min="4889" max="4889" width="6.875" style="2694" customWidth="1"/>
    <col min="4890" max="4890" width="5.625" style="2694" customWidth="1"/>
    <col min="4891" max="5120" width="9" style="2694"/>
    <col min="5121" max="5121" width="6.125" style="2694" customWidth="1"/>
    <col min="5122" max="5131" width="9" style="2694" hidden="1" customWidth="1"/>
    <col min="5132" max="5132" width="0.125" style="2694" customWidth="1"/>
    <col min="5133" max="5133" width="10.75" style="2694" customWidth="1"/>
    <col min="5134" max="5135" width="7.625" style="2694" customWidth="1"/>
    <col min="5136" max="5138" width="9" style="2694"/>
    <col min="5139" max="5139" width="5.5" style="2694" customWidth="1"/>
    <col min="5140" max="5140" width="6.625" style="2694" customWidth="1"/>
    <col min="5141" max="5141" width="7.5" style="2694" customWidth="1"/>
    <col min="5142" max="5142" width="8.375" style="2694" customWidth="1"/>
    <col min="5143" max="5144" width="5.625" style="2694" customWidth="1"/>
    <col min="5145" max="5145" width="6.875" style="2694" customWidth="1"/>
    <col min="5146" max="5146" width="5.625" style="2694" customWidth="1"/>
    <col min="5147" max="5376" width="9" style="2694"/>
    <col min="5377" max="5377" width="6.125" style="2694" customWidth="1"/>
    <col min="5378" max="5387" width="9" style="2694" hidden="1" customWidth="1"/>
    <col min="5388" max="5388" width="0.125" style="2694" customWidth="1"/>
    <col min="5389" max="5389" width="10.75" style="2694" customWidth="1"/>
    <col min="5390" max="5391" width="7.625" style="2694" customWidth="1"/>
    <col min="5392" max="5394" width="9" style="2694"/>
    <col min="5395" max="5395" width="5.5" style="2694" customWidth="1"/>
    <col min="5396" max="5396" width="6.625" style="2694" customWidth="1"/>
    <col min="5397" max="5397" width="7.5" style="2694" customWidth="1"/>
    <col min="5398" max="5398" width="8.375" style="2694" customWidth="1"/>
    <col min="5399" max="5400" width="5.625" style="2694" customWidth="1"/>
    <col min="5401" max="5401" width="6.875" style="2694" customWidth="1"/>
    <col min="5402" max="5402" width="5.625" style="2694" customWidth="1"/>
    <col min="5403" max="5632" width="9" style="2694"/>
    <col min="5633" max="5633" width="6.125" style="2694" customWidth="1"/>
    <col min="5634" max="5643" width="9" style="2694" hidden="1" customWidth="1"/>
    <col min="5644" max="5644" width="0.125" style="2694" customWidth="1"/>
    <col min="5645" max="5645" width="10.75" style="2694" customWidth="1"/>
    <col min="5646" max="5647" width="7.625" style="2694" customWidth="1"/>
    <col min="5648" max="5650" width="9" style="2694"/>
    <col min="5651" max="5651" width="5.5" style="2694" customWidth="1"/>
    <col min="5652" max="5652" width="6.625" style="2694" customWidth="1"/>
    <col min="5653" max="5653" width="7.5" style="2694" customWidth="1"/>
    <col min="5654" max="5654" width="8.375" style="2694" customWidth="1"/>
    <col min="5655" max="5656" width="5.625" style="2694" customWidth="1"/>
    <col min="5657" max="5657" width="6.875" style="2694" customWidth="1"/>
    <col min="5658" max="5658" width="5.625" style="2694" customWidth="1"/>
    <col min="5659" max="5888" width="9" style="2694"/>
    <col min="5889" max="5889" width="6.125" style="2694" customWidth="1"/>
    <col min="5890" max="5899" width="9" style="2694" hidden="1" customWidth="1"/>
    <col min="5900" max="5900" width="0.125" style="2694" customWidth="1"/>
    <col min="5901" max="5901" width="10.75" style="2694" customWidth="1"/>
    <col min="5902" max="5903" width="7.625" style="2694" customWidth="1"/>
    <col min="5904" max="5906" width="9" style="2694"/>
    <col min="5907" max="5907" width="5.5" style="2694" customWidth="1"/>
    <col min="5908" max="5908" width="6.625" style="2694" customWidth="1"/>
    <col min="5909" max="5909" width="7.5" style="2694" customWidth="1"/>
    <col min="5910" max="5910" width="8.375" style="2694" customWidth="1"/>
    <col min="5911" max="5912" width="5.625" style="2694" customWidth="1"/>
    <col min="5913" max="5913" width="6.875" style="2694" customWidth="1"/>
    <col min="5914" max="5914" width="5.625" style="2694" customWidth="1"/>
    <col min="5915" max="6144" width="9" style="2694"/>
    <col min="6145" max="6145" width="6.125" style="2694" customWidth="1"/>
    <col min="6146" max="6155" width="9" style="2694" hidden="1" customWidth="1"/>
    <col min="6156" max="6156" width="0.125" style="2694" customWidth="1"/>
    <col min="6157" max="6157" width="10.75" style="2694" customWidth="1"/>
    <col min="6158" max="6159" width="7.625" style="2694" customWidth="1"/>
    <col min="6160" max="6162" width="9" style="2694"/>
    <col min="6163" max="6163" width="5.5" style="2694" customWidth="1"/>
    <col min="6164" max="6164" width="6.625" style="2694" customWidth="1"/>
    <col min="6165" max="6165" width="7.5" style="2694" customWidth="1"/>
    <col min="6166" max="6166" width="8.375" style="2694" customWidth="1"/>
    <col min="6167" max="6168" width="5.625" style="2694" customWidth="1"/>
    <col min="6169" max="6169" width="6.875" style="2694" customWidth="1"/>
    <col min="6170" max="6170" width="5.625" style="2694" customWidth="1"/>
    <col min="6171" max="6400" width="9" style="2694"/>
    <col min="6401" max="6401" width="6.125" style="2694" customWidth="1"/>
    <col min="6402" max="6411" width="9" style="2694" hidden="1" customWidth="1"/>
    <col min="6412" max="6412" width="0.125" style="2694" customWidth="1"/>
    <col min="6413" max="6413" width="10.75" style="2694" customWidth="1"/>
    <col min="6414" max="6415" width="7.625" style="2694" customWidth="1"/>
    <col min="6416" max="6418" width="9" style="2694"/>
    <col min="6419" max="6419" width="5.5" style="2694" customWidth="1"/>
    <col min="6420" max="6420" width="6.625" style="2694" customWidth="1"/>
    <col min="6421" max="6421" width="7.5" style="2694" customWidth="1"/>
    <col min="6422" max="6422" width="8.375" style="2694" customWidth="1"/>
    <col min="6423" max="6424" width="5.625" style="2694" customWidth="1"/>
    <col min="6425" max="6425" width="6.875" style="2694" customWidth="1"/>
    <col min="6426" max="6426" width="5.625" style="2694" customWidth="1"/>
    <col min="6427" max="6656" width="9" style="2694"/>
    <col min="6657" max="6657" width="6.125" style="2694" customWidth="1"/>
    <col min="6658" max="6667" width="9" style="2694" hidden="1" customWidth="1"/>
    <col min="6668" max="6668" width="0.125" style="2694" customWidth="1"/>
    <col min="6669" max="6669" width="10.75" style="2694" customWidth="1"/>
    <col min="6670" max="6671" width="7.625" style="2694" customWidth="1"/>
    <col min="6672" max="6674" width="9" style="2694"/>
    <col min="6675" max="6675" width="5.5" style="2694" customWidth="1"/>
    <col min="6676" max="6676" width="6.625" style="2694" customWidth="1"/>
    <col min="6677" max="6677" width="7.5" style="2694" customWidth="1"/>
    <col min="6678" max="6678" width="8.375" style="2694" customWidth="1"/>
    <col min="6679" max="6680" width="5.625" style="2694" customWidth="1"/>
    <col min="6681" max="6681" width="6.875" style="2694" customWidth="1"/>
    <col min="6682" max="6682" width="5.625" style="2694" customWidth="1"/>
    <col min="6683" max="6912" width="9" style="2694"/>
    <col min="6913" max="6913" width="6.125" style="2694" customWidth="1"/>
    <col min="6914" max="6923" width="9" style="2694" hidden="1" customWidth="1"/>
    <col min="6924" max="6924" width="0.125" style="2694" customWidth="1"/>
    <col min="6925" max="6925" width="10.75" style="2694" customWidth="1"/>
    <col min="6926" max="6927" width="7.625" style="2694" customWidth="1"/>
    <col min="6928" max="6930" width="9" style="2694"/>
    <col min="6931" max="6931" width="5.5" style="2694" customWidth="1"/>
    <col min="6932" max="6932" width="6.625" style="2694" customWidth="1"/>
    <col min="6933" max="6933" width="7.5" style="2694" customWidth="1"/>
    <col min="6934" max="6934" width="8.375" style="2694" customWidth="1"/>
    <col min="6935" max="6936" width="5.625" style="2694" customWidth="1"/>
    <col min="6937" max="6937" width="6.875" style="2694" customWidth="1"/>
    <col min="6938" max="6938" width="5.625" style="2694" customWidth="1"/>
    <col min="6939" max="7168" width="9" style="2694"/>
    <col min="7169" max="7169" width="6.125" style="2694" customWidth="1"/>
    <col min="7170" max="7179" width="9" style="2694" hidden="1" customWidth="1"/>
    <col min="7180" max="7180" width="0.125" style="2694" customWidth="1"/>
    <col min="7181" max="7181" width="10.75" style="2694" customWidth="1"/>
    <col min="7182" max="7183" width="7.625" style="2694" customWidth="1"/>
    <col min="7184" max="7186" width="9" style="2694"/>
    <col min="7187" max="7187" width="5.5" style="2694" customWidth="1"/>
    <col min="7188" max="7188" width="6.625" style="2694" customWidth="1"/>
    <col min="7189" max="7189" width="7.5" style="2694" customWidth="1"/>
    <col min="7190" max="7190" width="8.375" style="2694" customWidth="1"/>
    <col min="7191" max="7192" width="5.625" style="2694" customWidth="1"/>
    <col min="7193" max="7193" width="6.875" style="2694" customWidth="1"/>
    <col min="7194" max="7194" width="5.625" style="2694" customWidth="1"/>
    <col min="7195" max="7424" width="9" style="2694"/>
    <col min="7425" max="7425" width="6.125" style="2694" customWidth="1"/>
    <col min="7426" max="7435" width="9" style="2694" hidden="1" customWidth="1"/>
    <col min="7436" max="7436" width="0.125" style="2694" customWidth="1"/>
    <col min="7437" max="7437" width="10.75" style="2694" customWidth="1"/>
    <col min="7438" max="7439" width="7.625" style="2694" customWidth="1"/>
    <col min="7440" max="7442" width="9" style="2694"/>
    <col min="7443" max="7443" width="5.5" style="2694" customWidth="1"/>
    <col min="7444" max="7444" width="6.625" style="2694" customWidth="1"/>
    <col min="7445" max="7445" width="7.5" style="2694" customWidth="1"/>
    <col min="7446" max="7446" width="8.375" style="2694" customWidth="1"/>
    <col min="7447" max="7448" width="5.625" style="2694" customWidth="1"/>
    <col min="7449" max="7449" width="6.875" style="2694" customWidth="1"/>
    <col min="7450" max="7450" width="5.625" style="2694" customWidth="1"/>
    <col min="7451" max="7680" width="9" style="2694"/>
    <col min="7681" max="7681" width="6.125" style="2694" customWidth="1"/>
    <col min="7682" max="7691" width="9" style="2694" hidden="1" customWidth="1"/>
    <col min="7692" max="7692" width="0.125" style="2694" customWidth="1"/>
    <col min="7693" max="7693" width="10.75" style="2694" customWidth="1"/>
    <col min="7694" max="7695" width="7.625" style="2694" customWidth="1"/>
    <col min="7696" max="7698" width="9" style="2694"/>
    <col min="7699" max="7699" width="5.5" style="2694" customWidth="1"/>
    <col min="7700" max="7700" width="6.625" style="2694" customWidth="1"/>
    <col min="7701" max="7701" width="7.5" style="2694" customWidth="1"/>
    <col min="7702" max="7702" width="8.375" style="2694" customWidth="1"/>
    <col min="7703" max="7704" width="5.625" style="2694" customWidth="1"/>
    <col min="7705" max="7705" width="6.875" style="2694" customWidth="1"/>
    <col min="7706" max="7706" width="5.625" style="2694" customWidth="1"/>
    <col min="7707" max="7936" width="9" style="2694"/>
    <col min="7937" max="7937" width="6.125" style="2694" customWidth="1"/>
    <col min="7938" max="7947" width="9" style="2694" hidden="1" customWidth="1"/>
    <col min="7948" max="7948" width="0.125" style="2694" customWidth="1"/>
    <col min="7949" max="7949" width="10.75" style="2694" customWidth="1"/>
    <col min="7950" max="7951" width="7.625" style="2694" customWidth="1"/>
    <col min="7952" max="7954" width="9" style="2694"/>
    <col min="7955" max="7955" width="5.5" style="2694" customWidth="1"/>
    <col min="7956" max="7956" width="6.625" style="2694" customWidth="1"/>
    <col min="7957" max="7957" width="7.5" style="2694" customWidth="1"/>
    <col min="7958" max="7958" width="8.375" style="2694" customWidth="1"/>
    <col min="7959" max="7960" width="5.625" style="2694" customWidth="1"/>
    <col min="7961" max="7961" width="6.875" style="2694" customWidth="1"/>
    <col min="7962" max="7962" width="5.625" style="2694" customWidth="1"/>
    <col min="7963" max="8192" width="9" style="2694"/>
    <col min="8193" max="8193" width="6.125" style="2694" customWidth="1"/>
    <col min="8194" max="8203" width="9" style="2694" hidden="1" customWidth="1"/>
    <col min="8204" max="8204" width="0.125" style="2694" customWidth="1"/>
    <col min="8205" max="8205" width="10.75" style="2694" customWidth="1"/>
    <col min="8206" max="8207" width="7.625" style="2694" customWidth="1"/>
    <col min="8208" max="8210" width="9" style="2694"/>
    <col min="8211" max="8211" width="5.5" style="2694" customWidth="1"/>
    <col min="8212" max="8212" width="6.625" style="2694" customWidth="1"/>
    <col min="8213" max="8213" width="7.5" style="2694" customWidth="1"/>
    <col min="8214" max="8214" width="8.375" style="2694" customWidth="1"/>
    <col min="8215" max="8216" width="5.625" style="2694" customWidth="1"/>
    <col min="8217" max="8217" width="6.875" style="2694" customWidth="1"/>
    <col min="8218" max="8218" width="5.625" style="2694" customWidth="1"/>
    <col min="8219" max="8448" width="9" style="2694"/>
    <col min="8449" max="8449" width="6.125" style="2694" customWidth="1"/>
    <col min="8450" max="8459" width="9" style="2694" hidden="1" customWidth="1"/>
    <col min="8460" max="8460" width="0.125" style="2694" customWidth="1"/>
    <col min="8461" max="8461" width="10.75" style="2694" customWidth="1"/>
    <col min="8462" max="8463" width="7.625" style="2694" customWidth="1"/>
    <col min="8464" max="8466" width="9" style="2694"/>
    <col min="8467" max="8467" width="5.5" style="2694" customWidth="1"/>
    <col min="8468" max="8468" width="6.625" style="2694" customWidth="1"/>
    <col min="8469" max="8469" width="7.5" style="2694" customWidth="1"/>
    <col min="8470" max="8470" width="8.375" style="2694" customWidth="1"/>
    <col min="8471" max="8472" width="5.625" style="2694" customWidth="1"/>
    <col min="8473" max="8473" width="6.875" style="2694" customWidth="1"/>
    <col min="8474" max="8474" width="5.625" style="2694" customWidth="1"/>
    <col min="8475" max="8704" width="9" style="2694"/>
    <col min="8705" max="8705" width="6.125" style="2694" customWidth="1"/>
    <col min="8706" max="8715" width="9" style="2694" hidden="1" customWidth="1"/>
    <col min="8716" max="8716" width="0.125" style="2694" customWidth="1"/>
    <col min="8717" max="8717" width="10.75" style="2694" customWidth="1"/>
    <col min="8718" max="8719" width="7.625" style="2694" customWidth="1"/>
    <col min="8720" max="8722" width="9" style="2694"/>
    <col min="8723" max="8723" width="5.5" style="2694" customWidth="1"/>
    <col min="8724" max="8724" width="6.625" style="2694" customWidth="1"/>
    <col min="8725" max="8725" width="7.5" style="2694" customWidth="1"/>
    <col min="8726" max="8726" width="8.375" style="2694" customWidth="1"/>
    <col min="8727" max="8728" width="5.625" style="2694" customWidth="1"/>
    <col min="8729" max="8729" width="6.875" style="2694" customWidth="1"/>
    <col min="8730" max="8730" width="5.625" style="2694" customWidth="1"/>
    <col min="8731" max="8960" width="9" style="2694"/>
    <col min="8961" max="8961" width="6.125" style="2694" customWidth="1"/>
    <col min="8962" max="8971" width="9" style="2694" hidden="1" customWidth="1"/>
    <col min="8972" max="8972" width="0.125" style="2694" customWidth="1"/>
    <col min="8973" max="8973" width="10.75" style="2694" customWidth="1"/>
    <col min="8974" max="8975" width="7.625" style="2694" customWidth="1"/>
    <col min="8976" max="8978" width="9" style="2694"/>
    <col min="8979" max="8979" width="5.5" style="2694" customWidth="1"/>
    <col min="8980" max="8980" width="6.625" style="2694" customWidth="1"/>
    <col min="8981" max="8981" width="7.5" style="2694" customWidth="1"/>
    <col min="8982" max="8982" width="8.375" style="2694" customWidth="1"/>
    <col min="8983" max="8984" width="5.625" style="2694" customWidth="1"/>
    <col min="8985" max="8985" width="6.875" style="2694" customWidth="1"/>
    <col min="8986" max="8986" width="5.625" style="2694" customWidth="1"/>
    <col min="8987" max="9216" width="9" style="2694"/>
    <col min="9217" max="9217" width="6.125" style="2694" customWidth="1"/>
    <col min="9218" max="9227" width="9" style="2694" hidden="1" customWidth="1"/>
    <col min="9228" max="9228" width="0.125" style="2694" customWidth="1"/>
    <col min="9229" max="9229" width="10.75" style="2694" customWidth="1"/>
    <col min="9230" max="9231" width="7.625" style="2694" customWidth="1"/>
    <col min="9232" max="9234" width="9" style="2694"/>
    <col min="9235" max="9235" width="5.5" style="2694" customWidth="1"/>
    <col min="9236" max="9236" width="6.625" style="2694" customWidth="1"/>
    <col min="9237" max="9237" width="7.5" style="2694" customWidth="1"/>
    <col min="9238" max="9238" width="8.375" style="2694" customWidth="1"/>
    <col min="9239" max="9240" width="5.625" style="2694" customWidth="1"/>
    <col min="9241" max="9241" width="6.875" style="2694" customWidth="1"/>
    <col min="9242" max="9242" width="5.625" style="2694" customWidth="1"/>
    <col min="9243" max="9472" width="9" style="2694"/>
    <col min="9473" max="9473" width="6.125" style="2694" customWidth="1"/>
    <col min="9474" max="9483" width="9" style="2694" hidden="1" customWidth="1"/>
    <col min="9484" max="9484" width="0.125" style="2694" customWidth="1"/>
    <col min="9485" max="9485" width="10.75" style="2694" customWidth="1"/>
    <col min="9486" max="9487" width="7.625" style="2694" customWidth="1"/>
    <col min="9488" max="9490" width="9" style="2694"/>
    <col min="9491" max="9491" width="5.5" style="2694" customWidth="1"/>
    <col min="9492" max="9492" width="6.625" style="2694" customWidth="1"/>
    <col min="9493" max="9493" width="7.5" style="2694" customWidth="1"/>
    <col min="9494" max="9494" width="8.375" style="2694" customWidth="1"/>
    <col min="9495" max="9496" width="5.625" style="2694" customWidth="1"/>
    <col min="9497" max="9497" width="6.875" style="2694" customWidth="1"/>
    <col min="9498" max="9498" width="5.625" style="2694" customWidth="1"/>
    <col min="9499" max="9728" width="9" style="2694"/>
    <col min="9729" max="9729" width="6.125" style="2694" customWidth="1"/>
    <col min="9730" max="9739" width="9" style="2694" hidden="1" customWidth="1"/>
    <col min="9740" max="9740" width="0.125" style="2694" customWidth="1"/>
    <col min="9741" max="9741" width="10.75" style="2694" customWidth="1"/>
    <col min="9742" max="9743" width="7.625" style="2694" customWidth="1"/>
    <col min="9744" max="9746" width="9" style="2694"/>
    <col min="9747" max="9747" width="5.5" style="2694" customWidth="1"/>
    <col min="9748" max="9748" width="6.625" style="2694" customWidth="1"/>
    <col min="9749" max="9749" width="7.5" style="2694" customWidth="1"/>
    <col min="9750" max="9750" width="8.375" style="2694" customWidth="1"/>
    <col min="9751" max="9752" width="5.625" style="2694" customWidth="1"/>
    <col min="9753" max="9753" width="6.875" style="2694" customWidth="1"/>
    <col min="9754" max="9754" width="5.625" style="2694" customWidth="1"/>
    <col min="9755" max="9984" width="9" style="2694"/>
    <col min="9985" max="9985" width="6.125" style="2694" customWidth="1"/>
    <col min="9986" max="9995" width="9" style="2694" hidden="1" customWidth="1"/>
    <col min="9996" max="9996" width="0.125" style="2694" customWidth="1"/>
    <col min="9997" max="9997" width="10.75" style="2694" customWidth="1"/>
    <col min="9998" max="9999" width="7.625" style="2694" customWidth="1"/>
    <col min="10000" max="10002" width="9" style="2694"/>
    <col min="10003" max="10003" width="5.5" style="2694" customWidth="1"/>
    <col min="10004" max="10004" width="6.625" style="2694" customWidth="1"/>
    <col min="10005" max="10005" width="7.5" style="2694" customWidth="1"/>
    <col min="10006" max="10006" width="8.375" style="2694" customWidth="1"/>
    <col min="10007" max="10008" width="5.625" style="2694" customWidth="1"/>
    <col min="10009" max="10009" width="6.875" style="2694" customWidth="1"/>
    <col min="10010" max="10010" width="5.625" style="2694" customWidth="1"/>
    <col min="10011" max="10240" width="9" style="2694"/>
    <col min="10241" max="10241" width="6.125" style="2694" customWidth="1"/>
    <col min="10242" max="10251" width="9" style="2694" hidden="1" customWidth="1"/>
    <col min="10252" max="10252" width="0.125" style="2694" customWidth="1"/>
    <col min="10253" max="10253" width="10.75" style="2694" customWidth="1"/>
    <col min="10254" max="10255" width="7.625" style="2694" customWidth="1"/>
    <col min="10256" max="10258" width="9" style="2694"/>
    <col min="10259" max="10259" width="5.5" style="2694" customWidth="1"/>
    <col min="10260" max="10260" width="6.625" style="2694" customWidth="1"/>
    <col min="10261" max="10261" width="7.5" style="2694" customWidth="1"/>
    <col min="10262" max="10262" width="8.375" style="2694" customWidth="1"/>
    <col min="10263" max="10264" width="5.625" style="2694" customWidth="1"/>
    <col min="10265" max="10265" width="6.875" style="2694" customWidth="1"/>
    <col min="10266" max="10266" width="5.625" style="2694" customWidth="1"/>
    <col min="10267" max="10496" width="9" style="2694"/>
    <col min="10497" max="10497" width="6.125" style="2694" customWidth="1"/>
    <col min="10498" max="10507" width="9" style="2694" hidden="1" customWidth="1"/>
    <col min="10508" max="10508" width="0.125" style="2694" customWidth="1"/>
    <col min="10509" max="10509" width="10.75" style="2694" customWidth="1"/>
    <col min="10510" max="10511" width="7.625" style="2694" customWidth="1"/>
    <col min="10512" max="10514" width="9" style="2694"/>
    <col min="10515" max="10515" width="5.5" style="2694" customWidth="1"/>
    <col min="10516" max="10516" width="6.625" style="2694" customWidth="1"/>
    <col min="10517" max="10517" width="7.5" style="2694" customWidth="1"/>
    <col min="10518" max="10518" width="8.375" style="2694" customWidth="1"/>
    <col min="10519" max="10520" width="5.625" style="2694" customWidth="1"/>
    <col min="10521" max="10521" width="6.875" style="2694" customWidth="1"/>
    <col min="10522" max="10522" width="5.625" style="2694" customWidth="1"/>
    <col min="10523" max="10752" width="9" style="2694"/>
    <col min="10753" max="10753" width="6.125" style="2694" customWidth="1"/>
    <col min="10754" max="10763" width="9" style="2694" hidden="1" customWidth="1"/>
    <col min="10764" max="10764" width="0.125" style="2694" customWidth="1"/>
    <col min="10765" max="10765" width="10.75" style="2694" customWidth="1"/>
    <col min="10766" max="10767" width="7.625" style="2694" customWidth="1"/>
    <col min="10768" max="10770" width="9" style="2694"/>
    <col min="10771" max="10771" width="5.5" style="2694" customWidth="1"/>
    <col min="10772" max="10772" width="6.625" style="2694" customWidth="1"/>
    <col min="10773" max="10773" width="7.5" style="2694" customWidth="1"/>
    <col min="10774" max="10774" width="8.375" style="2694" customWidth="1"/>
    <col min="10775" max="10776" width="5.625" style="2694" customWidth="1"/>
    <col min="10777" max="10777" width="6.875" style="2694" customWidth="1"/>
    <col min="10778" max="10778" width="5.625" style="2694" customWidth="1"/>
    <col min="10779" max="11008" width="9" style="2694"/>
    <col min="11009" max="11009" width="6.125" style="2694" customWidth="1"/>
    <col min="11010" max="11019" width="9" style="2694" hidden="1" customWidth="1"/>
    <col min="11020" max="11020" width="0.125" style="2694" customWidth="1"/>
    <col min="11021" max="11021" width="10.75" style="2694" customWidth="1"/>
    <col min="11022" max="11023" width="7.625" style="2694" customWidth="1"/>
    <col min="11024" max="11026" width="9" style="2694"/>
    <col min="11027" max="11027" width="5.5" style="2694" customWidth="1"/>
    <col min="11028" max="11028" width="6.625" style="2694" customWidth="1"/>
    <col min="11029" max="11029" width="7.5" style="2694" customWidth="1"/>
    <col min="11030" max="11030" width="8.375" style="2694" customWidth="1"/>
    <col min="11031" max="11032" width="5.625" style="2694" customWidth="1"/>
    <col min="11033" max="11033" width="6.875" style="2694" customWidth="1"/>
    <col min="11034" max="11034" width="5.625" style="2694" customWidth="1"/>
    <col min="11035" max="11264" width="9" style="2694"/>
    <col min="11265" max="11265" width="6.125" style="2694" customWidth="1"/>
    <col min="11266" max="11275" width="9" style="2694" hidden="1" customWidth="1"/>
    <col min="11276" max="11276" width="0.125" style="2694" customWidth="1"/>
    <col min="11277" max="11277" width="10.75" style="2694" customWidth="1"/>
    <col min="11278" max="11279" width="7.625" style="2694" customWidth="1"/>
    <col min="11280" max="11282" width="9" style="2694"/>
    <col min="11283" max="11283" width="5.5" style="2694" customWidth="1"/>
    <col min="11284" max="11284" width="6.625" style="2694" customWidth="1"/>
    <col min="11285" max="11285" width="7.5" style="2694" customWidth="1"/>
    <col min="11286" max="11286" width="8.375" style="2694" customWidth="1"/>
    <col min="11287" max="11288" width="5.625" style="2694" customWidth="1"/>
    <col min="11289" max="11289" width="6.875" style="2694" customWidth="1"/>
    <col min="11290" max="11290" width="5.625" style="2694" customWidth="1"/>
    <col min="11291" max="11520" width="9" style="2694"/>
    <col min="11521" max="11521" width="6.125" style="2694" customWidth="1"/>
    <col min="11522" max="11531" width="9" style="2694" hidden="1" customWidth="1"/>
    <col min="11532" max="11532" width="0.125" style="2694" customWidth="1"/>
    <col min="11533" max="11533" width="10.75" style="2694" customWidth="1"/>
    <col min="11534" max="11535" width="7.625" style="2694" customWidth="1"/>
    <col min="11536" max="11538" width="9" style="2694"/>
    <col min="11539" max="11539" width="5.5" style="2694" customWidth="1"/>
    <col min="11540" max="11540" width="6.625" style="2694" customWidth="1"/>
    <col min="11541" max="11541" width="7.5" style="2694" customWidth="1"/>
    <col min="11542" max="11542" width="8.375" style="2694" customWidth="1"/>
    <col min="11543" max="11544" width="5.625" style="2694" customWidth="1"/>
    <col min="11545" max="11545" width="6.875" style="2694" customWidth="1"/>
    <col min="11546" max="11546" width="5.625" style="2694" customWidth="1"/>
    <col min="11547" max="11776" width="9" style="2694"/>
    <col min="11777" max="11777" width="6.125" style="2694" customWidth="1"/>
    <col min="11778" max="11787" width="9" style="2694" hidden="1" customWidth="1"/>
    <col min="11788" max="11788" width="0.125" style="2694" customWidth="1"/>
    <col min="11789" max="11789" width="10.75" style="2694" customWidth="1"/>
    <col min="11790" max="11791" width="7.625" style="2694" customWidth="1"/>
    <col min="11792" max="11794" width="9" style="2694"/>
    <col min="11795" max="11795" width="5.5" style="2694" customWidth="1"/>
    <col min="11796" max="11796" width="6.625" style="2694" customWidth="1"/>
    <col min="11797" max="11797" width="7.5" style="2694" customWidth="1"/>
    <col min="11798" max="11798" width="8.375" style="2694" customWidth="1"/>
    <col min="11799" max="11800" width="5.625" style="2694" customWidth="1"/>
    <col min="11801" max="11801" width="6.875" style="2694" customWidth="1"/>
    <col min="11802" max="11802" width="5.625" style="2694" customWidth="1"/>
    <col min="11803" max="12032" width="9" style="2694"/>
    <col min="12033" max="12033" width="6.125" style="2694" customWidth="1"/>
    <col min="12034" max="12043" width="9" style="2694" hidden="1" customWidth="1"/>
    <col min="12044" max="12044" width="0.125" style="2694" customWidth="1"/>
    <col min="12045" max="12045" width="10.75" style="2694" customWidth="1"/>
    <col min="12046" max="12047" width="7.625" style="2694" customWidth="1"/>
    <col min="12048" max="12050" width="9" style="2694"/>
    <col min="12051" max="12051" width="5.5" style="2694" customWidth="1"/>
    <col min="12052" max="12052" width="6.625" style="2694" customWidth="1"/>
    <col min="12053" max="12053" width="7.5" style="2694" customWidth="1"/>
    <col min="12054" max="12054" width="8.375" style="2694" customWidth="1"/>
    <col min="12055" max="12056" width="5.625" style="2694" customWidth="1"/>
    <col min="12057" max="12057" width="6.875" style="2694" customWidth="1"/>
    <col min="12058" max="12058" width="5.625" style="2694" customWidth="1"/>
    <col min="12059" max="12288" width="9" style="2694"/>
    <col min="12289" max="12289" width="6.125" style="2694" customWidth="1"/>
    <col min="12290" max="12299" width="9" style="2694" hidden="1" customWidth="1"/>
    <col min="12300" max="12300" width="0.125" style="2694" customWidth="1"/>
    <col min="12301" max="12301" width="10.75" style="2694" customWidth="1"/>
    <col min="12302" max="12303" width="7.625" style="2694" customWidth="1"/>
    <col min="12304" max="12306" width="9" style="2694"/>
    <col min="12307" max="12307" width="5.5" style="2694" customWidth="1"/>
    <col min="12308" max="12308" width="6.625" style="2694" customWidth="1"/>
    <col min="12309" max="12309" width="7.5" style="2694" customWidth="1"/>
    <col min="12310" max="12310" width="8.375" style="2694" customWidth="1"/>
    <col min="12311" max="12312" width="5.625" style="2694" customWidth="1"/>
    <col min="12313" max="12313" width="6.875" style="2694" customWidth="1"/>
    <col min="12314" max="12314" width="5.625" style="2694" customWidth="1"/>
    <col min="12315" max="12544" width="9" style="2694"/>
    <col min="12545" max="12545" width="6.125" style="2694" customWidth="1"/>
    <col min="12546" max="12555" width="9" style="2694" hidden="1" customWidth="1"/>
    <col min="12556" max="12556" width="0.125" style="2694" customWidth="1"/>
    <col min="12557" max="12557" width="10.75" style="2694" customWidth="1"/>
    <col min="12558" max="12559" width="7.625" style="2694" customWidth="1"/>
    <col min="12560" max="12562" width="9" style="2694"/>
    <col min="12563" max="12563" width="5.5" style="2694" customWidth="1"/>
    <col min="12564" max="12564" width="6.625" style="2694" customWidth="1"/>
    <col min="12565" max="12565" width="7.5" style="2694" customWidth="1"/>
    <col min="12566" max="12566" width="8.375" style="2694" customWidth="1"/>
    <col min="12567" max="12568" width="5.625" style="2694" customWidth="1"/>
    <col min="12569" max="12569" width="6.875" style="2694" customWidth="1"/>
    <col min="12570" max="12570" width="5.625" style="2694" customWidth="1"/>
    <col min="12571" max="12800" width="9" style="2694"/>
    <col min="12801" max="12801" width="6.125" style="2694" customWidth="1"/>
    <col min="12802" max="12811" width="9" style="2694" hidden="1" customWidth="1"/>
    <col min="12812" max="12812" width="0.125" style="2694" customWidth="1"/>
    <col min="12813" max="12813" width="10.75" style="2694" customWidth="1"/>
    <col min="12814" max="12815" width="7.625" style="2694" customWidth="1"/>
    <col min="12816" max="12818" width="9" style="2694"/>
    <col min="12819" max="12819" width="5.5" style="2694" customWidth="1"/>
    <col min="12820" max="12820" width="6.625" style="2694" customWidth="1"/>
    <col min="12821" max="12821" width="7.5" style="2694" customWidth="1"/>
    <col min="12822" max="12822" width="8.375" style="2694" customWidth="1"/>
    <col min="12823" max="12824" width="5.625" style="2694" customWidth="1"/>
    <col min="12825" max="12825" width="6.875" style="2694" customWidth="1"/>
    <col min="12826" max="12826" width="5.625" style="2694" customWidth="1"/>
    <col min="12827" max="13056" width="9" style="2694"/>
    <col min="13057" max="13057" width="6.125" style="2694" customWidth="1"/>
    <col min="13058" max="13067" width="9" style="2694" hidden="1" customWidth="1"/>
    <col min="13068" max="13068" width="0.125" style="2694" customWidth="1"/>
    <col min="13069" max="13069" width="10.75" style="2694" customWidth="1"/>
    <col min="13070" max="13071" width="7.625" style="2694" customWidth="1"/>
    <col min="13072" max="13074" width="9" style="2694"/>
    <col min="13075" max="13075" width="5.5" style="2694" customWidth="1"/>
    <col min="13076" max="13076" width="6.625" style="2694" customWidth="1"/>
    <col min="13077" max="13077" width="7.5" style="2694" customWidth="1"/>
    <col min="13078" max="13078" width="8.375" style="2694" customWidth="1"/>
    <col min="13079" max="13080" width="5.625" style="2694" customWidth="1"/>
    <col min="13081" max="13081" width="6.875" style="2694" customWidth="1"/>
    <col min="13082" max="13082" width="5.625" style="2694" customWidth="1"/>
    <col min="13083" max="13312" width="9" style="2694"/>
    <col min="13313" max="13313" width="6.125" style="2694" customWidth="1"/>
    <col min="13314" max="13323" width="9" style="2694" hidden="1" customWidth="1"/>
    <col min="13324" max="13324" width="0.125" style="2694" customWidth="1"/>
    <col min="13325" max="13325" width="10.75" style="2694" customWidth="1"/>
    <col min="13326" max="13327" width="7.625" style="2694" customWidth="1"/>
    <col min="13328" max="13330" width="9" style="2694"/>
    <col min="13331" max="13331" width="5.5" style="2694" customWidth="1"/>
    <col min="13332" max="13332" width="6.625" style="2694" customWidth="1"/>
    <col min="13333" max="13333" width="7.5" style="2694" customWidth="1"/>
    <col min="13334" max="13334" width="8.375" style="2694" customWidth="1"/>
    <col min="13335" max="13336" width="5.625" style="2694" customWidth="1"/>
    <col min="13337" max="13337" width="6.875" style="2694" customWidth="1"/>
    <col min="13338" max="13338" width="5.625" style="2694" customWidth="1"/>
    <col min="13339" max="13568" width="9" style="2694"/>
    <col min="13569" max="13569" width="6.125" style="2694" customWidth="1"/>
    <col min="13570" max="13579" width="9" style="2694" hidden="1" customWidth="1"/>
    <col min="13580" max="13580" width="0.125" style="2694" customWidth="1"/>
    <col min="13581" max="13581" width="10.75" style="2694" customWidth="1"/>
    <col min="13582" max="13583" width="7.625" style="2694" customWidth="1"/>
    <col min="13584" max="13586" width="9" style="2694"/>
    <col min="13587" max="13587" width="5.5" style="2694" customWidth="1"/>
    <col min="13588" max="13588" width="6.625" style="2694" customWidth="1"/>
    <col min="13589" max="13589" width="7.5" style="2694" customWidth="1"/>
    <col min="13590" max="13590" width="8.375" style="2694" customWidth="1"/>
    <col min="13591" max="13592" width="5.625" style="2694" customWidth="1"/>
    <col min="13593" max="13593" width="6.875" style="2694" customWidth="1"/>
    <col min="13594" max="13594" width="5.625" style="2694" customWidth="1"/>
    <col min="13595" max="13824" width="9" style="2694"/>
    <col min="13825" max="13825" width="6.125" style="2694" customWidth="1"/>
    <col min="13826" max="13835" width="9" style="2694" hidden="1" customWidth="1"/>
    <col min="13836" max="13836" width="0.125" style="2694" customWidth="1"/>
    <col min="13837" max="13837" width="10.75" style="2694" customWidth="1"/>
    <col min="13838" max="13839" width="7.625" style="2694" customWidth="1"/>
    <col min="13840" max="13842" width="9" style="2694"/>
    <col min="13843" max="13843" width="5.5" style="2694" customWidth="1"/>
    <col min="13844" max="13844" width="6.625" style="2694" customWidth="1"/>
    <col min="13845" max="13845" width="7.5" style="2694" customWidth="1"/>
    <col min="13846" max="13846" width="8.375" style="2694" customWidth="1"/>
    <col min="13847" max="13848" width="5.625" style="2694" customWidth="1"/>
    <col min="13849" max="13849" width="6.875" style="2694" customWidth="1"/>
    <col min="13850" max="13850" width="5.625" style="2694" customWidth="1"/>
    <col min="13851" max="14080" width="9" style="2694"/>
    <col min="14081" max="14081" width="6.125" style="2694" customWidth="1"/>
    <col min="14082" max="14091" width="9" style="2694" hidden="1" customWidth="1"/>
    <col min="14092" max="14092" width="0.125" style="2694" customWidth="1"/>
    <col min="14093" max="14093" width="10.75" style="2694" customWidth="1"/>
    <col min="14094" max="14095" width="7.625" style="2694" customWidth="1"/>
    <col min="14096" max="14098" width="9" style="2694"/>
    <col min="14099" max="14099" width="5.5" style="2694" customWidth="1"/>
    <col min="14100" max="14100" width="6.625" style="2694" customWidth="1"/>
    <col min="14101" max="14101" width="7.5" style="2694" customWidth="1"/>
    <col min="14102" max="14102" width="8.375" style="2694" customWidth="1"/>
    <col min="14103" max="14104" width="5.625" style="2694" customWidth="1"/>
    <col min="14105" max="14105" width="6.875" style="2694" customWidth="1"/>
    <col min="14106" max="14106" width="5.625" style="2694" customWidth="1"/>
    <col min="14107" max="14336" width="9" style="2694"/>
    <col min="14337" max="14337" width="6.125" style="2694" customWidth="1"/>
    <col min="14338" max="14347" width="9" style="2694" hidden="1" customWidth="1"/>
    <col min="14348" max="14348" width="0.125" style="2694" customWidth="1"/>
    <col min="14349" max="14349" width="10.75" style="2694" customWidth="1"/>
    <col min="14350" max="14351" width="7.625" style="2694" customWidth="1"/>
    <col min="14352" max="14354" width="9" style="2694"/>
    <col min="14355" max="14355" width="5.5" style="2694" customWidth="1"/>
    <col min="14356" max="14356" width="6.625" style="2694" customWidth="1"/>
    <col min="14357" max="14357" width="7.5" style="2694" customWidth="1"/>
    <col min="14358" max="14358" width="8.375" style="2694" customWidth="1"/>
    <col min="14359" max="14360" width="5.625" style="2694" customWidth="1"/>
    <col min="14361" max="14361" width="6.875" style="2694" customWidth="1"/>
    <col min="14362" max="14362" width="5.625" style="2694" customWidth="1"/>
    <col min="14363" max="14592" width="9" style="2694"/>
    <col min="14593" max="14593" width="6.125" style="2694" customWidth="1"/>
    <col min="14594" max="14603" width="9" style="2694" hidden="1" customWidth="1"/>
    <col min="14604" max="14604" width="0.125" style="2694" customWidth="1"/>
    <col min="14605" max="14605" width="10.75" style="2694" customWidth="1"/>
    <col min="14606" max="14607" width="7.625" style="2694" customWidth="1"/>
    <col min="14608" max="14610" width="9" style="2694"/>
    <col min="14611" max="14611" width="5.5" style="2694" customWidth="1"/>
    <col min="14612" max="14612" width="6.625" style="2694" customWidth="1"/>
    <col min="14613" max="14613" width="7.5" style="2694" customWidth="1"/>
    <col min="14614" max="14614" width="8.375" style="2694" customWidth="1"/>
    <col min="14615" max="14616" width="5.625" style="2694" customWidth="1"/>
    <col min="14617" max="14617" width="6.875" style="2694" customWidth="1"/>
    <col min="14618" max="14618" width="5.625" style="2694" customWidth="1"/>
    <col min="14619" max="14848" width="9" style="2694"/>
    <col min="14849" max="14849" width="6.125" style="2694" customWidth="1"/>
    <col min="14850" max="14859" width="9" style="2694" hidden="1" customWidth="1"/>
    <col min="14860" max="14860" width="0.125" style="2694" customWidth="1"/>
    <col min="14861" max="14861" width="10.75" style="2694" customWidth="1"/>
    <col min="14862" max="14863" width="7.625" style="2694" customWidth="1"/>
    <col min="14864" max="14866" width="9" style="2694"/>
    <col min="14867" max="14867" width="5.5" style="2694" customWidth="1"/>
    <col min="14868" max="14868" width="6.625" style="2694" customWidth="1"/>
    <col min="14869" max="14869" width="7.5" style="2694" customWidth="1"/>
    <col min="14870" max="14870" width="8.375" style="2694" customWidth="1"/>
    <col min="14871" max="14872" width="5.625" style="2694" customWidth="1"/>
    <col min="14873" max="14873" width="6.875" style="2694" customWidth="1"/>
    <col min="14874" max="14874" width="5.625" style="2694" customWidth="1"/>
    <col min="14875" max="15104" width="9" style="2694"/>
    <col min="15105" max="15105" width="6.125" style="2694" customWidth="1"/>
    <col min="15106" max="15115" width="9" style="2694" hidden="1" customWidth="1"/>
    <col min="15116" max="15116" width="0.125" style="2694" customWidth="1"/>
    <col min="15117" max="15117" width="10.75" style="2694" customWidth="1"/>
    <col min="15118" max="15119" width="7.625" style="2694" customWidth="1"/>
    <col min="15120" max="15122" width="9" style="2694"/>
    <col min="15123" max="15123" width="5.5" style="2694" customWidth="1"/>
    <col min="15124" max="15124" width="6.625" style="2694" customWidth="1"/>
    <col min="15125" max="15125" width="7.5" style="2694" customWidth="1"/>
    <col min="15126" max="15126" width="8.375" style="2694" customWidth="1"/>
    <col min="15127" max="15128" width="5.625" style="2694" customWidth="1"/>
    <col min="15129" max="15129" width="6.875" style="2694" customWidth="1"/>
    <col min="15130" max="15130" width="5.625" style="2694" customWidth="1"/>
    <col min="15131" max="15360" width="9" style="2694"/>
    <col min="15361" max="15361" width="6.125" style="2694" customWidth="1"/>
    <col min="15362" max="15371" width="9" style="2694" hidden="1" customWidth="1"/>
    <col min="15372" max="15372" width="0.125" style="2694" customWidth="1"/>
    <col min="15373" max="15373" width="10.75" style="2694" customWidth="1"/>
    <col min="15374" max="15375" width="7.625" style="2694" customWidth="1"/>
    <col min="15376" max="15378" width="9" style="2694"/>
    <col min="15379" max="15379" width="5.5" style="2694" customWidth="1"/>
    <col min="15380" max="15380" width="6.625" style="2694" customWidth="1"/>
    <col min="15381" max="15381" width="7.5" style="2694" customWidth="1"/>
    <col min="15382" max="15382" width="8.375" style="2694" customWidth="1"/>
    <col min="15383" max="15384" width="5.625" style="2694" customWidth="1"/>
    <col min="15385" max="15385" width="6.875" style="2694" customWidth="1"/>
    <col min="15386" max="15386" width="5.625" style="2694" customWidth="1"/>
    <col min="15387" max="15616" width="9" style="2694"/>
    <col min="15617" max="15617" width="6.125" style="2694" customWidth="1"/>
    <col min="15618" max="15627" width="9" style="2694" hidden="1" customWidth="1"/>
    <col min="15628" max="15628" width="0.125" style="2694" customWidth="1"/>
    <col min="15629" max="15629" width="10.75" style="2694" customWidth="1"/>
    <col min="15630" max="15631" width="7.625" style="2694" customWidth="1"/>
    <col min="15632" max="15634" width="9" style="2694"/>
    <col min="15635" max="15635" width="5.5" style="2694" customWidth="1"/>
    <col min="15636" max="15636" width="6.625" style="2694" customWidth="1"/>
    <col min="15637" max="15637" width="7.5" style="2694" customWidth="1"/>
    <col min="15638" max="15638" width="8.375" style="2694" customWidth="1"/>
    <col min="15639" max="15640" width="5.625" style="2694" customWidth="1"/>
    <col min="15641" max="15641" width="6.875" style="2694" customWidth="1"/>
    <col min="15642" max="15642" width="5.625" style="2694" customWidth="1"/>
    <col min="15643" max="15872" width="9" style="2694"/>
    <col min="15873" max="15873" width="6.125" style="2694" customWidth="1"/>
    <col min="15874" max="15883" width="9" style="2694" hidden="1" customWidth="1"/>
    <col min="15884" max="15884" width="0.125" style="2694" customWidth="1"/>
    <col min="15885" max="15885" width="10.75" style="2694" customWidth="1"/>
    <col min="15886" max="15887" width="7.625" style="2694" customWidth="1"/>
    <col min="15888" max="15890" width="9" style="2694"/>
    <col min="15891" max="15891" width="5.5" style="2694" customWidth="1"/>
    <col min="15892" max="15892" width="6.625" style="2694" customWidth="1"/>
    <col min="15893" max="15893" width="7.5" style="2694" customWidth="1"/>
    <col min="15894" max="15894" width="8.375" style="2694" customWidth="1"/>
    <col min="15895" max="15896" width="5.625" style="2694" customWidth="1"/>
    <col min="15897" max="15897" width="6.875" style="2694" customWidth="1"/>
    <col min="15898" max="15898" width="5.625" style="2694" customWidth="1"/>
    <col min="15899" max="16128" width="9" style="2694"/>
    <col min="16129" max="16129" width="6.125" style="2694" customWidth="1"/>
    <col min="16130" max="16139" width="9" style="2694" hidden="1" customWidth="1"/>
    <col min="16140" max="16140" width="0.125" style="2694" customWidth="1"/>
    <col min="16141" max="16141" width="10.75" style="2694" customWidth="1"/>
    <col min="16142" max="16143" width="7.625" style="2694" customWidth="1"/>
    <col min="16144" max="16146" width="9" style="2694"/>
    <col min="16147" max="16147" width="5.5" style="2694" customWidth="1"/>
    <col min="16148" max="16148" width="6.625" style="2694" customWidth="1"/>
    <col min="16149" max="16149" width="7.5" style="2694" customWidth="1"/>
    <col min="16150" max="16150" width="8.375" style="2694" customWidth="1"/>
    <col min="16151" max="16152" width="5.625" style="2694" customWidth="1"/>
    <col min="16153" max="16153" width="6.875" style="2694" customWidth="1"/>
    <col min="16154" max="16154" width="5.625" style="2694" customWidth="1"/>
    <col min="16155" max="16384" width="9" style="2694"/>
  </cols>
  <sheetData>
    <row r="1" spans="2:26" ht="6.75" customHeight="1"/>
    <row r="2" spans="2:26" ht="25.5">
      <c r="M2" s="4799" t="s">
        <v>193</v>
      </c>
      <c r="N2" s="4799"/>
      <c r="O2" s="4799"/>
      <c r="P2" s="4799"/>
      <c r="Q2" s="4799"/>
      <c r="R2" s="4799"/>
      <c r="S2" s="4799"/>
      <c r="T2" s="4799"/>
      <c r="U2" s="4799"/>
      <c r="V2" s="4799"/>
      <c r="W2" s="4799"/>
    </row>
    <row r="3" spans="2:26">
      <c r="M3" s="4791" t="s">
        <v>4043</v>
      </c>
      <c r="N3" s="4791"/>
      <c r="O3" s="4791"/>
      <c r="P3" s="4791"/>
      <c r="Q3" s="4791"/>
      <c r="R3" s="4791"/>
      <c r="S3" s="4791"/>
      <c r="T3" s="4791"/>
      <c r="U3" s="4791"/>
      <c r="V3" s="4791"/>
      <c r="W3" s="4791"/>
    </row>
    <row r="4" spans="2:26" ht="15.95" customHeight="1">
      <c r="M4" s="3279" t="s">
        <v>4044</v>
      </c>
      <c r="N4" s="4800" t="s">
        <v>4045</v>
      </c>
      <c r="O4" s="4800"/>
      <c r="P4" s="4800" t="s">
        <v>4046</v>
      </c>
      <c r="Q4" s="4800"/>
      <c r="R4" s="4800" t="s">
        <v>4047</v>
      </c>
      <c r="S4" s="4800"/>
      <c r="T4" s="4800" t="s">
        <v>4048</v>
      </c>
      <c r="U4" s="4800"/>
      <c r="V4" s="4800" t="s">
        <v>4049</v>
      </c>
      <c r="W4" s="4800"/>
      <c r="X4" s="4797" t="s">
        <v>4050</v>
      </c>
      <c r="Y4" s="4798"/>
    </row>
    <row r="5" spans="2:26" ht="15.95" customHeight="1">
      <c r="M5" s="3280">
        <v>16</v>
      </c>
      <c r="N5" s="4796">
        <v>41</v>
      </c>
      <c r="O5" s="4796"/>
      <c r="P5" s="4796">
        <v>29.2</v>
      </c>
      <c r="Q5" s="4796"/>
      <c r="R5" s="4796">
        <v>38.6</v>
      </c>
      <c r="S5" s="4796"/>
      <c r="T5" s="4796">
        <v>190.5</v>
      </c>
      <c r="U5" s="4796"/>
      <c r="V5" s="4796">
        <v>95.25</v>
      </c>
      <c r="W5" s="4796"/>
      <c r="X5" s="3289" t="s">
        <v>4051</v>
      </c>
      <c r="Y5" s="3296" t="s">
        <v>4052</v>
      </c>
    </row>
    <row r="6" spans="2:26" ht="15.95" customHeight="1">
      <c r="M6" s="3281" t="s">
        <v>4053</v>
      </c>
      <c r="N6" s="4796" t="s">
        <v>4054</v>
      </c>
      <c r="O6" s="4796"/>
      <c r="P6" s="4796" t="s">
        <v>4055</v>
      </c>
      <c r="Q6" s="4796"/>
      <c r="R6" s="4796" t="s">
        <v>4056</v>
      </c>
      <c r="S6" s="4796"/>
      <c r="T6" s="4796" t="s">
        <v>4057</v>
      </c>
      <c r="U6" s="4796"/>
      <c r="V6" s="4782" t="s">
        <v>4058</v>
      </c>
      <c r="W6" s="4796"/>
      <c r="X6" s="3291" t="s">
        <v>4059</v>
      </c>
      <c r="Y6" s="3296" t="s">
        <v>4060</v>
      </c>
      <c r="Z6" s="3302"/>
    </row>
    <row r="7" spans="2:26" ht="15.95" customHeight="1">
      <c r="M7" s="3280">
        <v>54</v>
      </c>
      <c r="N7" s="4794">
        <v>4</v>
      </c>
      <c r="O7" s="4794"/>
      <c r="P7" s="4795">
        <v>0.78853200000000001</v>
      </c>
      <c r="Q7" s="4796"/>
      <c r="R7" s="4796">
        <v>38</v>
      </c>
      <c r="S7" s="4796"/>
      <c r="T7" s="4796">
        <v>0.32500000000000001</v>
      </c>
      <c r="U7" s="4796"/>
      <c r="V7" s="4795" t="s">
        <v>4061</v>
      </c>
      <c r="W7" s="4796"/>
      <c r="X7" s="3289" t="s">
        <v>4062</v>
      </c>
      <c r="Y7" s="3296" t="s">
        <v>4063</v>
      </c>
    </row>
    <row r="8" spans="2:26" ht="15" customHeight="1">
      <c r="M8" s="3282"/>
      <c r="N8" s="4792"/>
      <c r="O8" s="4792"/>
      <c r="P8" s="4792"/>
      <c r="Q8" s="4792"/>
      <c r="R8" s="4792"/>
      <c r="S8" s="4792"/>
      <c r="T8" s="4793" t="s">
        <v>4064</v>
      </c>
      <c r="U8" s="4793"/>
      <c r="V8" s="4793">
        <f>G19</f>
        <v>95.2499817128367</v>
      </c>
      <c r="W8" s="4793"/>
      <c r="X8" s="3283" t="s">
        <v>4065</v>
      </c>
      <c r="Y8" s="3303">
        <v>0.125</v>
      </c>
    </row>
    <row r="9" spans="2:26" ht="7.5" hidden="1" customHeight="1"/>
    <row r="10" spans="2:26" ht="15.75" customHeight="1">
      <c r="M10" s="4786" t="s">
        <v>4066</v>
      </c>
      <c r="N10" s="4787"/>
      <c r="O10" s="4787"/>
      <c r="P10" s="4787"/>
      <c r="Q10" s="4788"/>
    </row>
    <row r="11" spans="2:26" ht="15.75">
      <c r="B11" s="3202"/>
      <c r="C11" s="3202"/>
      <c r="D11" s="3202"/>
      <c r="E11" s="3202"/>
      <c r="F11" s="3202"/>
      <c r="G11" s="3202"/>
      <c r="H11" s="3202"/>
      <c r="I11" s="3202"/>
      <c r="J11" s="3202"/>
      <c r="K11" s="3202"/>
      <c r="L11" s="3202"/>
      <c r="M11" s="4532" t="s">
        <v>4067</v>
      </c>
      <c r="N11" s="4532"/>
      <c r="O11" s="4532"/>
      <c r="P11" s="3286" t="s">
        <v>4051</v>
      </c>
      <c r="Q11" s="3286" t="s">
        <v>4052</v>
      </c>
      <c r="W11" s="3202"/>
    </row>
    <row r="12" spans="2:26">
      <c r="B12" s="3202"/>
      <c r="C12" s="3202"/>
      <c r="D12" s="3202"/>
      <c r="E12" s="3202"/>
      <c r="F12" s="3202"/>
      <c r="G12" s="3202"/>
      <c r="H12" s="3202"/>
      <c r="I12" s="3202"/>
      <c r="J12" s="3202"/>
      <c r="K12" s="3202"/>
      <c r="L12" s="3202"/>
      <c r="M12" s="4789" t="s">
        <v>1131</v>
      </c>
      <c r="N12" s="4790"/>
      <c r="O12" s="4790"/>
      <c r="P12" s="3287">
        <f>C14</f>
        <v>16</v>
      </c>
      <c r="Q12" s="3293">
        <f>C15</f>
        <v>41</v>
      </c>
    </row>
    <row r="13" spans="2:26" ht="15.75">
      <c r="B13" s="4791" t="s">
        <v>4068</v>
      </c>
      <c r="C13" s="4791"/>
      <c r="D13" s="4791"/>
      <c r="E13" s="4791"/>
      <c r="F13" s="4791"/>
      <c r="G13" s="4791"/>
      <c r="H13" s="4791"/>
      <c r="I13" s="4791"/>
      <c r="J13" s="4791"/>
      <c r="K13" s="4791"/>
      <c r="M13" s="4780" t="s">
        <v>1855</v>
      </c>
      <c r="N13" s="4781"/>
      <c r="O13" s="4781"/>
      <c r="P13" s="3288"/>
      <c r="Q13" s="3294">
        <f>K48</f>
        <v>4.6463414634146298</v>
      </c>
      <c r="X13" s="3295"/>
      <c r="Y13" s="2699"/>
    </row>
    <row r="14" spans="2:26" ht="15.75">
      <c r="B14" s="3275">
        <v>1</v>
      </c>
      <c r="C14" s="3276">
        <f>M5</f>
        <v>16</v>
      </c>
      <c r="D14" s="3276">
        <v>31</v>
      </c>
      <c r="E14" s="3276">
        <f>C47*(C23-C50)</f>
        <v>-2.1354280641170099E-3</v>
      </c>
      <c r="F14" s="3277">
        <v>60</v>
      </c>
      <c r="G14" s="3276">
        <f>E34*E46/E42</f>
        <v>6.1003615487999305E-4</v>
      </c>
      <c r="H14" s="3276">
        <v>91</v>
      </c>
      <c r="I14" s="3276">
        <f>G43-G48</f>
        <v>4.3364310432669999</v>
      </c>
      <c r="J14" s="3276">
        <v>121</v>
      </c>
      <c r="K14" s="3276">
        <f>(C18*I40-I50)/I43</f>
        <v>15.515472301514601</v>
      </c>
      <c r="M14" s="4780" t="s">
        <v>4069</v>
      </c>
      <c r="N14" s="4781"/>
      <c r="O14" s="4781"/>
      <c r="P14" s="4782">
        <f>G38</f>
        <v>19</v>
      </c>
      <c r="Q14" s="4783"/>
      <c r="X14" s="2699"/>
    </row>
    <row r="15" spans="2:26" ht="15.75">
      <c r="B15" s="3275">
        <v>2</v>
      </c>
      <c r="C15" s="3276">
        <f>N5</f>
        <v>41</v>
      </c>
      <c r="D15" s="3276">
        <v>32</v>
      </c>
      <c r="E15" s="3276">
        <f>C16*E14</f>
        <v>-8.3333778111883397E-4</v>
      </c>
      <c r="F15" s="3276">
        <v>61</v>
      </c>
      <c r="G15" s="3276">
        <f>E44*E45</f>
        <v>5088.5295438537096</v>
      </c>
      <c r="H15" s="3276"/>
      <c r="I15" s="3276">
        <f>RADIANS(I14)</f>
        <v>7.5684999490701801E-2</v>
      </c>
      <c r="J15" s="3276">
        <v>122</v>
      </c>
      <c r="K15" s="3276">
        <f>G25*E35</f>
        <v>0.21920465479456699</v>
      </c>
      <c r="M15" s="4780" t="s">
        <v>4070</v>
      </c>
      <c r="N15" s="4781"/>
      <c r="O15" s="4781"/>
      <c r="P15" s="4782" t="str">
        <f>CONCATENATE(X8,R5)</f>
        <v>下38.6</v>
      </c>
      <c r="Q15" s="4783"/>
      <c r="Y15" s="2699"/>
    </row>
    <row r="16" spans="2:26" ht="15.75">
      <c r="B16" s="3278">
        <v>3</v>
      </c>
      <c r="C16" s="3276">
        <f>C14/C15</f>
        <v>0.39024390243902402</v>
      </c>
      <c r="D16" s="3276">
        <v>33</v>
      </c>
      <c r="E16" s="3276">
        <f>C41-C39*E15</f>
        <v>0.36144389538051702</v>
      </c>
      <c r="F16" s="3276">
        <v>62</v>
      </c>
      <c r="G16" s="3276">
        <f>(E44-E45)/G15</f>
        <v>3.1497949969499198E-3</v>
      </c>
      <c r="H16" s="3276">
        <v>92</v>
      </c>
      <c r="I16" s="3276">
        <f>SIN(I15)</f>
        <v>7.56127634724445E-2</v>
      </c>
      <c r="J16" s="3276"/>
      <c r="K16" s="3276">
        <f>POWER(E35,2)</f>
        <v>0.27430018620351698</v>
      </c>
      <c r="M16" s="4780" t="s">
        <v>4071</v>
      </c>
      <c r="N16" s="4781"/>
      <c r="O16" s="4781"/>
      <c r="P16" s="3288"/>
      <c r="Q16" s="3297">
        <f>G29</f>
        <v>107.52287237185</v>
      </c>
      <c r="Z16" s="2699"/>
    </row>
    <row r="17" spans="2:26" ht="15">
      <c r="B17" s="3275">
        <v>4</v>
      </c>
      <c r="C17" s="3276">
        <f>P5</f>
        <v>29.2</v>
      </c>
      <c r="D17" s="3276"/>
      <c r="E17" s="3276">
        <f>ASIN(E16)</f>
        <v>0.3698160190559</v>
      </c>
      <c r="F17" s="3276">
        <v>63</v>
      </c>
      <c r="G17" s="3276">
        <f>E50+G14+G16</f>
        <v>8.5805603662781702E-3</v>
      </c>
      <c r="H17" s="3276">
        <v>93</v>
      </c>
      <c r="I17" s="3276">
        <f>G46+G30*G50</f>
        <v>2.77188896134999</v>
      </c>
      <c r="J17" s="3276">
        <v>123</v>
      </c>
      <c r="K17" s="3276">
        <f>(K16-K15)/(1+K15)</f>
        <v>4.51897318405775E-2</v>
      </c>
      <c r="M17" s="4780" t="s">
        <v>1860</v>
      </c>
      <c r="N17" s="4781"/>
      <c r="O17" s="4781"/>
      <c r="P17" s="3288"/>
      <c r="Q17" s="3298">
        <f t="shared" ref="Q17:Q20" si="0">I17</f>
        <v>2.77188896134999</v>
      </c>
    </row>
    <row r="18" spans="2:26" ht="15">
      <c r="B18" s="3275">
        <v>5</v>
      </c>
      <c r="C18" s="3276">
        <f>R5</f>
        <v>38.6</v>
      </c>
      <c r="D18" s="3276">
        <v>34</v>
      </c>
      <c r="E18" s="3276">
        <f>TAN(E17)</f>
        <v>0.38765151811773302</v>
      </c>
      <c r="F18" s="3276">
        <v>64</v>
      </c>
      <c r="G18" s="3276">
        <f>(E27-E34)/G17</f>
        <v>93.724070949477806</v>
      </c>
      <c r="H18" s="3276">
        <v>94</v>
      </c>
      <c r="I18" s="3276">
        <f>G47+G30*I16</f>
        <v>6.6682463751673602</v>
      </c>
      <c r="J18" s="3276">
        <v>124</v>
      </c>
      <c r="K18" s="3276">
        <f>(1+K17*G22)/I43</f>
        <v>1.0722159335053001</v>
      </c>
      <c r="M18" s="4780" t="s">
        <v>1863</v>
      </c>
      <c r="N18" s="4781"/>
      <c r="O18" s="4781"/>
      <c r="P18" s="3288"/>
      <c r="Q18" s="3294">
        <f t="shared" si="0"/>
        <v>6.6682463751673602</v>
      </c>
    </row>
    <row r="19" spans="2:26" ht="15.75">
      <c r="B19" s="3275">
        <v>6</v>
      </c>
      <c r="C19" s="3276">
        <f>T5</f>
        <v>190.5</v>
      </c>
      <c r="D19" s="3276">
        <v>35</v>
      </c>
      <c r="E19" s="3276">
        <f>C39/E18</f>
        <v>0.47980763804438298</v>
      </c>
      <c r="F19" s="3276">
        <v>65</v>
      </c>
      <c r="G19" s="3276">
        <f>G18/E49</f>
        <v>95.2499817128367</v>
      </c>
      <c r="H19" s="3276">
        <v>95</v>
      </c>
      <c r="I19" s="3276">
        <f>Y8*G32+0.05</f>
        <v>0.91205423483242898</v>
      </c>
      <c r="J19" s="3276">
        <v>125</v>
      </c>
      <c r="K19" s="3276">
        <f>I28*K18</f>
        <v>0.90949753837429004</v>
      </c>
      <c r="M19" s="4780" t="s">
        <v>4072</v>
      </c>
      <c r="N19" s="4781"/>
      <c r="O19" s="4781"/>
      <c r="P19" s="3288"/>
      <c r="Q19" s="3298">
        <f>I21</f>
        <v>8.5280811016849203</v>
      </c>
      <c r="X19" s="2699"/>
      <c r="Y19" s="2699"/>
      <c r="Z19" s="2699"/>
    </row>
    <row r="20" spans="2:26" ht="15.75">
      <c r="B20" s="3275">
        <v>7</v>
      </c>
      <c r="C20" s="3276">
        <f>V5</f>
        <v>95.25</v>
      </c>
      <c r="D20" s="3276"/>
      <c r="E20" s="3276">
        <f>ATAN(E19)</f>
        <v>0.44736362243392502</v>
      </c>
      <c r="F20" s="3276">
        <v>66</v>
      </c>
      <c r="G20" s="3276">
        <f>C20/G19</f>
        <v>1.00000019199125</v>
      </c>
      <c r="H20" s="3276">
        <v>96</v>
      </c>
      <c r="I20" s="3276">
        <f>I17+I18</f>
        <v>9.4401353365173506</v>
      </c>
      <c r="J20" s="3276">
        <v>126</v>
      </c>
      <c r="K20" s="3276">
        <f>C27-E40*G32+E40*G46</f>
        <v>80.190068109463894</v>
      </c>
      <c r="M20" s="4780" t="s">
        <v>4073</v>
      </c>
      <c r="N20" s="4781"/>
      <c r="O20" s="4781"/>
      <c r="P20" s="3288"/>
      <c r="Q20" s="3294">
        <f t="shared" si="0"/>
        <v>9.4401353365173506</v>
      </c>
      <c r="X20" s="2699"/>
    </row>
    <row r="21" spans="2:26" ht="15.75">
      <c r="B21" s="3275">
        <v>8</v>
      </c>
      <c r="C21" s="3276">
        <f>M7</f>
        <v>54</v>
      </c>
      <c r="D21" s="3276">
        <v>36</v>
      </c>
      <c r="E21" s="3276">
        <f>DEGREES(E20)</f>
        <v>25.632047473147999</v>
      </c>
      <c r="F21" s="3276"/>
      <c r="G21" s="3276">
        <f>POWER(E18,2)</f>
        <v>0.150273699498983</v>
      </c>
      <c r="H21" s="3276">
        <v>97</v>
      </c>
      <c r="I21" s="3276">
        <f>I20-I19</f>
        <v>8.5280811016849203</v>
      </c>
      <c r="J21" s="3276">
        <v>127</v>
      </c>
      <c r="K21" s="3276">
        <f>I43*K20+G30*K19</f>
        <v>88.475051284363204</v>
      </c>
      <c r="M21" s="4780" t="s">
        <v>4074</v>
      </c>
      <c r="N21" s="4781"/>
      <c r="O21" s="4781"/>
      <c r="P21" s="3288"/>
      <c r="Q21" s="3294">
        <f>G27</f>
        <v>-3.5427904880442802</v>
      </c>
      <c r="X21" s="2699"/>
    </row>
    <row r="22" spans="2:26" ht="15.75" customHeight="1">
      <c r="B22" s="3276"/>
      <c r="C22" s="3276">
        <f>RADIANS(C21)</f>
        <v>0.94247779607693805</v>
      </c>
      <c r="D22" s="3276">
        <v>37</v>
      </c>
      <c r="E22" s="3276">
        <f>COS(E20)</f>
        <v>0.90159070512945305</v>
      </c>
      <c r="F22" s="3276">
        <v>67</v>
      </c>
      <c r="G22" s="3276">
        <f>G21/(1+G21)</f>
        <v>0.130641689507842</v>
      </c>
      <c r="H22" s="3276">
        <v>98</v>
      </c>
      <c r="I22" s="3276">
        <f>E38+G48</f>
        <v>64.445207752533904</v>
      </c>
      <c r="J22" s="3276">
        <v>128</v>
      </c>
      <c r="K22" s="3276">
        <f>G32-G32*C16</f>
        <v>4.2051426089386803</v>
      </c>
      <c r="M22" s="4780" t="s">
        <v>4075</v>
      </c>
      <c r="N22" s="4781"/>
      <c r="O22" s="4781"/>
      <c r="P22" s="3288">
        <f>K14</f>
        <v>15.515472301514601</v>
      </c>
      <c r="Q22" s="3294">
        <f>I37</f>
        <v>-4.8124767701433804</v>
      </c>
    </row>
    <row r="23" spans="2:26" ht="15.75" customHeight="1">
      <c r="B23" s="3276">
        <v>9</v>
      </c>
      <c r="C23" s="3276">
        <f>TAN(C22)</f>
        <v>1.37638192047117</v>
      </c>
      <c r="D23" s="3276">
        <v>38</v>
      </c>
      <c r="E23" s="3276">
        <f>E16/E22</f>
        <v>0.40089576492319701</v>
      </c>
      <c r="F23" s="3276"/>
      <c r="G23" s="3276">
        <f>1+G21</f>
        <v>1.15027369949898</v>
      </c>
      <c r="H23" s="3276"/>
      <c r="I23" s="3276">
        <f>RADIANS(I22)</f>
        <v>1.12478106241349</v>
      </c>
      <c r="J23" s="3276">
        <v>129</v>
      </c>
      <c r="K23" s="3276">
        <f>K21-K19*C17</f>
        <v>61.917723163833898</v>
      </c>
      <c r="M23" s="4780" t="s">
        <v>4076</v>
      </c>
      <c r="N23" s="4781"/>
      <c r="O23" s="4781"/>
      <c r="P23" s="3288">
        <f>K36</f>
        <v>23.868249596334199</v>
      </c>
      <c r="Q23" s="3294">
        <f>I38</f>
        <v>-1.81939453708003</v>
      </c>
    </row>
    <row r="24" spans="2:26">
      <c r="B24" s="3276">
        <v>10</v>
      </c>
      <c r="C24" s="3276">
        <f>1.2*C16</f>
        <v>0.46829268292682902</v>
      </c>
      <c r="D24" s="3276"/>
      <c r="E24" s="3276">
        <f>ASIN(E23)</f>
        <v>0.41249441441932899</v>
      </c>
      <c r="F24" s="3276">
        <v>68</v>
      </c>
      <c r="G24" s="3276">
        <f>POWER(G23,1/2)</f>
        <v>1.07250813493371</v>
      </c>
      <c r="H24" s="3276">
        <v>99</v>
      </c>
      <c r="I24" s="3276">
        <f>SIN(I23)</f>
        <v>0.90217317172940503</v>
      </c>
      <c r="J24" s="3276">
        <v>130</v>
      </c>
      <c r="K24" s="3276">
        <f>K21+I40*K22</f>
        <v>89.930948415163002</v>
      </c>
      <c r="M24" s="4780" t="s">
        <v>4077</v>
      </c>
      <c r="N24" s="4781"/>
      <c r="O24" s="4781"/>
      <c r="P24" s="3288">
        <f>K25</f>
        <v>89.93</v>
      </c>
      <c r="Q24" s="3294">
        <f>I34</f>
        <v>50.973216092241799</v>
      </c>
    </row>
    <row r="25" spans="2:26">
      <c r="B25" s="3276"/>
      <c r="C25" s="3276">
        <f>ACOS(C24)</f>
        <v>1.08343882706107</v>
      </c>
      <c r="D25" s="3276">
        <v>39</v>
      </c>
      <c r="E25" s="3276">
        <f>DEGREES(E24)</f>
        <v>23.6341890189479</v>
      </c>
      <c r="F25" s="3276">
        <v>69</v>
      </c>
      <c r="G25" s="3276">
        <f>C16*G24</f>
        <v>0.41853975997413001</v>
      </c>
      <c r="H25" s="3276">
        <v>100</v>
      </c>
      <c r="I25" s="3276">
        <f>COS(I23)</f>
        <v>0.43137404675259</v>
      </c>
      <c r="J25" s="3276">
        <v>131</v>
      </c>
      <c r="K25" s="3276">
        <f>ROUND(K24,2)</f>
        <v>89.93</v>
      </c>
      <c r="M25" s="4780" t="s">
        <v>4078</v>
      </c>
      <c r="N25" s="4781"/>
      <c r="O25" s="4781"/>
      <c r="P25" s="3288">
        <f>K27</f>
        <v>60.46</v>
      </c>
      <c r="Q25" s="3299"/>
    </row>
    <row r="26" spans="2:26">
      <c r="B26" s="3276">
        <v>11</v>
      </c>
      <c r="C26" s="3276">
        <f>SIN(C25)</f>
        <v>0.88357340561901898</v>
      </c>
      <c r="D26" s="3276">
        <v>40</v>
      </c>
      <c r="E26" s="3276">
        <f>COS(E24)</f>
        <v>0.91612367378353698</v>
      </c>
      <c r="F26" s="3276">
        <v>70</v>
      </c>
      <c r="G26" s="3276">
        <f>E39*E41</f>
        <v>46.672422141625603</v>
      </c>
      <c r="H26" s="3276">
        <v>101</v>
      </c>
      <c r="I26" s="3276">
        <f>E38-I14</f>
        <v>58.020865466212399</v>
      </c>
      <c r="J26" s="3276">
        <v>132</v>
      </c>
      <c r="K26" s="3276">
        <f>K23-I40*K22</f>
        <v>60.4618260330341</v>
      </c>
      <c r="M26" s="4780" t="s">
        <v>4079</v>
      </c>
      <c r="N26" s="4781"/>
      <c r="O26" s="4781"/>
      <c r="P26" s="3288">
        <f>E21</f>
        <v>25.632047473147999</v>
      </c>
      <c r="Q26" s="3299">
        <f>E38</f>
        <v>62.357296509479397</v>
      </c>
    </row>
    <row r="27" spans="2:26">
      <c r="B27" s="3276">
        <v>12</v>
      </c>
      <c r="C27" s="3276">
        <f>(C19-C17*C26)/2</f>
        <v>82.349828277962303</v>
      </c>
      <c r="D27" s="3276">
        <v>41</v>
      </c>
      <c r="E27" s="3276">
        <f>(C31+E14-E26)/E23</f>
        <v>1.40182705659358</v>
      </c>
      <c r="F27" s="3276">
        <v>71</v>
      </c>
      <c r="G27" s="3276">
        <f>C27*E35-G26</f>
        <v>-3.5427904880442802</v>
      </c>
      <c r="H27" s="3276"/>
      <c r="I27" s="3276">
        <f>RADIANS(I26)</f>
        <v>1.01265513724208</v>
      </c>
      <c r="J27" s="3276">
        <v>133</v>
      </c>
      <c r="K27" s="3276">
        <f>ROUND(K26,2)</f>
        <v>60.46</v>
      </c>
      <c r="M27" s="4780" t="s">
        <v>4080</v>
      </c>
      <c r="N27" s="4781"/>
      <c r="O27" s="4781"/>
      <c r="P27" s="3288">
        <f>I47</f>
        <v>29.792218849628</v>
      </c>
      <c r="Q27" s="3299">
        <f>I22</f>
        <v>64.445207752533904</v>
      </c>
    </row>
    <row r="28" spans="2:26">
      <c r="B28" s="3276">
        <v>13</v>
      </c>
      <c r="C28" s="3276">
        <f>C18*C26/C27</f>
        <v>0.41415913269149202</v>
      </c>
      <c r="D28" s="3276"/>
      <c r="E28" s="3276">
        <f>ATAN(E27)</f>
        <v>0.95116355664900798</v>
      </c>
      <c r="F28" s="3276">
        <v>72</v>
      </c>
      <c r="G28" s="3276">
        <f>C27/E39</f>
        <v>92.960525729921997</v>
      </c>
      <c r="H28" s="3276">
        <v>102</v>
      </c>
      <c r="I28" s="3276">
        <f>SIN(I27)</f>
        <v>0.84824102119146005</v>
      </c>
      <c r="J28" s="3276">
        <v>134</v>
      </c>
      <c r="K28" s="3276">
        <f>K14+K25</f>
        <v>105.445472301515</v>
      </c>
      <c r="M28" s="4780" t="s">
        <v>4081</v>
      </c>
      <c r="N28" s="4781"/>
      <c r="O28" s="4781"/>
      <c r="P28" s="3288">
        <f>K39</f>
        <v>23.638672421533599</v>
      </c>
      <c r="Q28" s="3299">
        <f>I26</f>
        <v>58.020865466212399</v>
      </c>
    </row>
    <row r="29" spans="2:26">
      <c r="B29" s="3276"/>
      <c r="C29" s="3276">
        <f>ASIN(C28)</f>
        <v>0.42701878617967698</v>
      </c>
      <c r="D29" s="3276">
        <v>42</v>
      </c>
      <c r="E29" s="3276">
        <f>DEGREES(E28)</f>
        <v>54.4976574226407</v>
      </c>
      <c r="F29" s="3276">
        <v>73</v>
      </c>
      <c r="G29" s="3276">
        <f>0.5*C19/E39</f>
        <v>107.52287237185</v>
      </c>
      <c r="H29" s="3276">
        <v>103</v>
      </c>
      <c r="I29" s="3276">
        <f>COS(I27)</f>
        <v>0.529610394505309</v>
      </c>
      <c r="J29" s="3276">
        <v>135</v>
      </c>
      <c r="K29" s="3276">
        <f>I49*K28/0.5</f>
        <v>120.74035152121</v>
      </c>
      <c r="M29" s="4780" t="s">
        <v>4082</v>
      </c>
      <c r="N29" s="4781"/>
      <c r="O29" s="4781"/>
      <c r="P29" s="3288">
        <f>E29</f>
        <v>54.4976574226407</v>
      </c>
      <c r="Q29" s="3299">
        <f>E31</f>
        <v>30.863468403692899</v>
      </c>
    </row>
    <row r="30" spans="2:26">
      <c r="B30" s="3276">
        <v>14</v>
      </c>
      <c r="C30" s="3276">
        <f>COS(C29)</f>
        <v>0.91020448955618305</v>
      </c>
      <c r="D30" s="3276">
        <v>43</v>
      </c>
      <c r="E30" s="3276">
        <f>COS(E28)</f>
        <v>0.58073624089856701</v>
      </c>
      <c r="F30" s="3276">
        <v>74</v>
      </c>
      <c r="G30" s="3276">
        <f>G29-G28</f>
        <v>14.562346641927601</v>
      </c>
      <c r="H30" s="3276"/>
      <c r="I30" s="3276">
        <f>TAN(I27)</f>
        <v>1.6016321242784</v>
      </c>
      <c r="J30" s="3276">
        <v>136</v>
      </c>
      <c r="K30" s="3276">
        <f>G26*I25/I24+C27</f>
        <v>104.666244063619</v>
      </c>
      <c r="M30" s="4780" t="s">
        <v>4050</v>
      </c>
      <c r="N30" s="4781"/>
      <c r="O30" s="4781"/>
      <c r="P30" s="3289">
        <f>Z6</f>
        <v>0</v>
      </c>
      <c r="Q30" s="3296" t="str">
        <f>Y6</f>
        <v>右旋</v>
      </c>
    </row>
    <row r="31" spans="2:26" ht="15">
      <c r="B31" s="3276">
        <v>15</v>
      </c>
      <c r="C31" s="3276">
        <f>C30+C23*C28</f>
        <v>1.48024563199077</v>
      </c>
      <c r="D31" s="3276">
        <v>44</v>
      </c>
      <c r="E31" s="3276">
        <f>E29-E25</f>
        <v>30.863468403692899</v>
      </c>
      <c r="F31" s="3275">
        <v>74</v>
      </c>
      <c r="G31" s="3276">
        <f>N7</f>
        <v>4</v>
      </c>
      <c r="H31" s="3276">
        <v>104</v>
      </c>
      <c r="I31" s="3276">
        <f>1/I30</f>
        <v>0.624363101140057</v>
      </c>
      <c r="J31" s="3276">
        <v>137</v>
      </c>
      <c r="K31" s="3276">
        <f>C18/K30</f>
        <v>0.36879129795216298</v>
      </c>
      <c r="M31" s="4780" t="s">
        <v>4083</v>
      </c>
      <c r="N31" s="4781"/>
      <c r="O31" s="4781"/>
      <c r="P31" s="3288"/>
      <c r="Q31" s="3299">
        <f>C19</f>
        <v>190.5</v>
      </c>
    </row>
    <row r="32" spans="2:26" ht="15">
      <c r="B32" s="3276">
        <v>16</v>
      </c>
      <c r="C32" s="3276">
        <f>C16*C27</f>
        <v>32.136518352375496</v>
      </c>
      <c r="D32" s="3276"/>
      <c r="E32" s="3276">
        <f>RADIANS(E31)</f>
        <v>0.53866914222967899</v>
      </c>
      <c r="F32" s="3275">
        <v>75</v>
      </c>
      <c r="G32" s="3276">
        <f>G31*C27*E33/C15</f>
        <v>6.8964338786594297</v>
      </c>
      <c r="H32" s="3276">
        <v>105</v>
      </c>
      <c r="I32" s="3276">
        <f>I17*E40/0.5+C19</f>
        <v>193.07207129475501</v>
      </c>
      <c r="J32" s="3276"/>
      <c r="K32" s="3276">
        <f>ASIN(K31)</f>
        <v>0.37770832306348201</v>
      </c>
      <c r="M32" s="4780" t="s">
        <v>4084</v>
      </c>
      <c r="N32" s="4781"/>
      <c r="O32" s="4781"/>
      <c r="P32" s="4782" t="str">
        <f>V7</f>
        <v>0.20--0.30</v>
      </c>
      <c r="Q32" s="4783"/>
    </row>
    <row r="33" spans="2:23" ht="15">
      <c r="B33" s="3276">
        <v>17</v>
      </c>
      <c r="C33" s="3276">
        <f>C31*C32</f>
        <v>47.569940918495199</v>
      </c>
      <c r="D33" s="3276">
        <v>45</v>
      </c>
      <c r="E33" s="3276">
        <f>COS(E32)</f>
        <v>0.85839216346218095</v>
      </c>
      <c r="F33" s="3275">
        <v>76</v>
      </c>
      <c r="G33" s="3276">
        <f>C27*E34/C20</f>
        <v>0.51668314684599603</v>
      </c>
      <c r="H33" s="3276">
        <v>106</v>
      </c>
      <c r="I33" s="3276">
        <f>G26+G30*E40</f>
        <v>53.428716189518902</v>
      </c>
      <c r="J33" s="3276">
        <v>138</v>
      </c>
      <c r="K33" s="3276">
        <f>DEGREES(K32)</f>
        <v>21.641092798501301</v>
      </c>
      <c r="M33" s="4780" t="s">
        <v>4085</v>
      </c>
      <c r="N33" s="4781"/>
      <c r="O33" s="4781"/>
      <c r="P33" s="4782">
        <f>C20*2</f>
        <v>190.5</v>
      </c>
      <c r="Q33" s="4783"/>
    </row>
    <row r="34" spans="2:23" ht="15">
      <c r="B34" s="3276">
        <v>18</v>
      </c>
      <c r="C34" s="3276">
        <f>(C27+C16*C33)/C16</f>
        <v>258.59137588077402</v>
      </c>
      <c r="D34" s="3276">
        <v>46</v>
      </c>
      <c r="E34" s="3276">
        <f>TAN(E32)</f>
        <v>0.59762200803825205</v>
      </c>
      <c r="F34" s="3275">
        <v>77</v>
      </c>
      <c r="G34" s="3276">
        <f>E39/E33-G33</f>
        <v>0.51531372899206196</v>
      </c>
      <c r="H34" s="3276">
        <v>107</v>
      </c>
      <c r="I34" s="3276">
        <f>I33-I17*E39</f>
        <v>50.973216092241799</v>
      </c>
      <c r="J34" s="3276">
        <v>139</v>
      </c>
      <c r="K34" s="3276">
        <f>COS(K32)</f>
        <v>0.92951222614592799</v>
      </c>
      <c r="M34" s="4784" t="s">
        <v>1916</v>
      </c>
      <c r="N34" s="4785"/>
      <c r="O34" s="4785"/>
      <c r="P34" s="3290">
        <f>K29</f>
        <v>120.74035152121</v>
      </c>
      <c r="Q34" s="3300">
        <f>I32</f>
        <v>193.07207129475501</v>
      </c>
      <c r="W34" s="3301"/>
    </row>
    <row r="35" spans="2:23" ht="15">
      <c r="B35" s="3276">
        <v>19</v>
      </c>
      <c r="C35" s="3276">
        <f>K47*C34</f>
        <v>203.907574806018</v>
      </c>
      <c r="D35" s="3276">
        <v>47</v>
      </c>
      <c r="E35" s="3276">
        <f>C36/E16</f>
        <v>0.52373675277138698</v>
      </c>
      <c r="F35" s="3275">
        <v>78</v>
      </c>
      <c r="G35" s="3276">
        <f>R7</f>
        <v>38</v>
      </c>
      <c r="H35" s="3276">
        <v>108</v>
      </c>
      <c r="I35" s="3276">
        <f>(G28*G50-G46)/I24</f>
        <v>1.2696862820990999</v>
      </c>
      <c r="J35" s="3276">
        <v>140</v>
      </c>
      <c r="K35" s="3276">
        <f>(I24*I37+I19)/I25</f>
        <v>-7.9504857155417499</v>
      </c>
    </row>
    <row r="36" spans="2:23" ht="15">
      <c r="B36" s="3276">
        <v>20</v>
      </c>
      <c r="C36" s="3276">
        <f>C18/C35</f>
        <v>0.18930145207563301</v>
      </c>
      <c r="D36" s="3276"/>
      <c r="E36" s="3276">
        <f>1/E35</f>
        <v>1.9093561693129899</v>
      </c>
      <c r="F36" s="3275"/>
      <c r="G36" s="3276">
        <f>RADIANS(G35)</f>
        <v>0.66322511575784504</v>
      </c>
      <c r="H36" s="3276">
        <v>109</v>
      </c>
      <c r="I36" s="3276">
        <f>(G28*I16-G47)/I28</f>
        <v>1.72339595096425</v>
      </c>
      <c r="J36" s="3276">
        <v>141</v>
      </c>
      <c r="K36" s="3276">
        <f>(C18*K31-K35)/K34</f>
        <v>23.868249596334199</v>
      </c>
    </row>
    <row r="37" spans="2:23" ht="15">
      <c r="B37" s="3276"/>
      <c r="C37" s="3276">
        <f>ATAN(C36)</f>
        <v>0.18708765125856899</v>
      </c>
      <c r="D37" s="3276"/>
      <c r="E37" s="3276">
        <f>ATAN(E36)</f>
        <v>1.0883401367327801</v>
      </c>
      <c r="F37" s="3275">
        <v>79</v>
      </c>
      <c r="G37" s="3276">
        <f>SIN(G36)</f>
        <v>0.61566147532565796</v>
      </c>
      <c r="H37" s="3276">
        <v>110</v>
      </c>
      <c r="I37" s="3276">
        <f>G27-I35</f>
        <v>-4.8124767701433804</v>
      </c>
      <c r="J37" s="3276">
        <v>142</v>
      </c>
      <c r="K37" s="3276">
        <f>I25*K34</f>
        <v>0.40096745049857702</v>
      </c>
    </row>
    <row r="38" spans="2:23" ht="15">
      <c r="B38" s="3276">
        <v>21</v>
      </c>
      <c r="C38" s="3276">
        <f>COS(C37)</f>
        <v>0.98255009273819904</v>
      </c>
      <c r="D38" s="3276">
        <v>48</v>
      </c>
      <c r="E38" s="3276">
        <f>DEGREES(E37)</f>
        <v>62.357296509479397</v>
      </c>
      <c r="F38" s="3275">
        <v>80</v>
      </c>
      <c r="G38" s="3276">
        <f>G35/2</f>
        <v>19</v>
      </c>
      <c r="H38" s="3276">
        <v>111</v>
      </c>
      <c r="I38" s="3276">
        <f>G27+I36</f>
        <v>-1.81939453708003</v>
      </c>
      <c r="J38" s="3276"/>
      <c r="K38" s="3276">
        <f>ASIN(K37)</f>
        <v>0.412572664556143</v>
      </c>
    </row>
    <row r="39" spans="2:23" ht="15">
      <c r="B39" s="3276">
        <v>22</v>
      </c>
      <c r="C39" s="3275">
        <f>C36*C38</f>
        <v>0.185998159292389</v>
      </c>
      <c r="D39" s="3276">
        <v>49</v>
      </c>
      <c r="E39" s="3276">
        <f>SIN(E37)</f>
        <v>0.88585803093684201</v>
      </c>
      <c r="F39" s="3275"/>
      <c r="G39" s="3276">
        <f>RADIANS(G38)</f>
        <v>0.33161255787892302</v>
      </c>
      <c r="H39" s="3276">
        <v>112</v>
      </c>
      <c r="I39" s="3276">
        <f>C27+G26*I31</f>
        <v>111.490366504026</v>
      </c>
      <c r="J39" s="3276">
        <v>143</v>
      </c>
      <c r="K39" s="3276">
        <f>DEGREES(K38)</f>
        <v>23.638672421533599</v>
      </c>
    </row>
    <row r="40" spans="2:23" ht="15">
      <c r="B40" s="3276">
        <v>23</v>
      </c>
      <c r="C40" s="3276">
        <f>C18-C33*C39</f>
        <v>29.752078551512199</v>
      </c>
      <c r="D40" s="3276">
        <v>50</v>
      </c>
      <c r="E40" s="3276">
        <f>COS(E37)</f>
        <v>0.46395640853931702</v>
      </c>
      <c r="F40" s="3275">
        <v>81</v>
      </c>
      <c r="G40" s="3276">
        <f>COS(G39)</f>
        <v>0.94551857559931696</v>
      </c>
      <c r="H40" s="3276">
        <v>113</v>
      </c>
      <c r="I40" s="3276">
        <f>C18/I39</f>
        <v>0.34621825374128901</v>
      </c>
      <c r="J40" s="3276">
        <v>144</v>
      </c>
      <c r="K40" s="3276">
        <f>COS(K38)</f>
        <v>0.91609230083036397</v>
      </c>
    </row>
    <row r="41" spans="2:23" ht="15">
      <c r="B41" s="3276">
        <v>24</v>
      </c>
      <c r="C41" s="3276">
        <f>C40/C27</f>
        <v>0.36128889608716003</v>
      </c>
      <c r="D41" s="3276">
        <v>51</v>
      </c>
      <c r="E41" s="3276">
        <f>(C33+C27*E15)/E22</f>
        <v>52.686119571854</v>
      </c>
      <c r="F41" s="3275">
        <v>82</v>
      </c>
      <c r="G41" s="3276">
        <f>TAN(G39)</f>
        <v>0.34432761328966499</v>
      </c>
      <c r="H41" s="3276"/>
      <c r="I41" s="3276">
        <f>POWER(I40,2)</f>
        <v>0.119867079223667</v>
      </c>
      <c r="J41" s="3276">
        <v>145</v>
      </c>
      <c r="K41" s="3276">
        <f>TAN(K38)</f>
        <v>0.437693287166733</v>
      </c>
    </row>
    <row r="42" spans="2:23" ht="15">
      <c r="B42" s="3276"/>
      <c r="C42" s="3276">
        <f>ASIN(C41)</f>
        <v>0.369649786408144</v>
      </c>
      <c r="D42" s="3276">
        <v>52</v>
      </c>
      <c r="E42" s="3276">
        <f>C27/E40</f>
        <v>177.49475330500499</v>
      </c>
      <c r="F42" s="3275">
        <v>83</v>
      </c>
      <c r="G42" s="3276">
        <f>G34/G41</f>
        <v>1.49657973715444</v>
      </c>
      <c r="H42" s="3276"/>
      <c r="I42" s="3276">
        <f>1-I41</f>
        <v>0.88013292077633298</v>
      </c>
      <c r="J42" s="3276">
        <v>146</v>
      </c>
      <c r="K42" s="3276">
        <v>0.1016</v>
      </c>
    </row>
    <row r="43" spans="2:23" ht="15">
      <c r="B43" s="3276">
        <v>25</v>
      </c>
      <c r="C43" s="3276">
        <f>TAN(C42)</f>
        <v>0.38746031739429898</v>
      </c>
      <c r="D43" s="3276">
        <v>53</v>
      </c>
      <c r="E43" s="3276">
        <f>E41+E42</f>
        <v>230.18087287685901</v>
      </c>
      <c r="F43" s="3275">
        <v>84</v>
      </c>
      <c r="G43" s="3276">
        <f>176*G42/C15</f>
        <v>6.4243422863214796</v>
      </c>
      <c r="H43" s="3276">
        <v>114</v>
      </c>
      <c r="I43" s="3276">
        <f>POWER(I42,1/2)</f>
        <v>0.93815399630142404</v>
      </c>
      <c r="J43" s="3276">
        <v>147</v>
      </c>
      <c r="K43" s="3276">
        <v>0.15240000000000001</v>
      </c>
    </row>
    <row r="44" spans="2:23" ht="15">
      <c r="B44" s="3276">
        <v>26</v>
      </c>
      <c r="C44" s="3276">
        <f>C39/C43</f>
        <v>0.480044409562354</v>
      </c>
      <c r="D44" s="3276">
        <v>54</v>
      </c>
      <c r="E44" s="3276">
        <f>C27*E33/E39</f>
        <v>79.796586797889503</v>
      </c>
      <c r="F44" s="3275">
        <v>85</v>
      </c>
      <c r="G44" s="3275">
        <f>T7</f>
        <v>0.32500000000000001</v>
      </c>
      <c r="H44" s="3276">
        <v>115</v>
      </c>
      <c r="I44" s="3276">
        <f>I40/I43</f>
        <v>0.36904202839429201</v>
      </c>
      <c r="J44" s="3276">
        <v>148</v>
      </c>
      <c r="K44" s="3276">
        <f>G50+I16</f>
        <v>0.112045624455037</v>
      </c>
    </row>
    <row r="45" spans="2:23" ht="15">
      <c r="B45" s="3276"/>
      <c r="C45" s="3276">
        <f>ASIN(C44)</f>
        <v>0.50070533564939101</v>
      </c>
      <c r="D45" s="3276">
        <v>55</v>
      </c>
      <c r="E45" s="3276">
        <f>E30*E41/E19</f>
        <v>63.768761898827201</v>
      </c>
      <c r="F45" s="3275">
        <v>86</v>
      </c>
      <c r="G45" s="3276">
        <f>1.125-G44</f>
        <v>0.8</v>
      </c>
      <c r="H45" s="3276">
        <v>116</v>
      </c>
      <c r="I45" s="3276">
        <f>I29*I43</f>
        <v>0.49685610808792902</v>
      </c>
      <c r="J45" s="3276">
        <v>149</v>
      </c>
      <c r="K45" s="3276">
        <f>I20-C17*K44</f>
        <v>6.1684031024302604</v>
      </c>
    </row>
    <row r="46" spans="2:23" ht="15">
      <c r="B46" s="3276">
        <v>27</v>
      </c>
      <c r="C46" s="3276">
        <f>COS(C45)</f>
        <v>0.87724418769686396</v>
      </c>
      <c r="D46" s="3276">
        <v>56</v>
      </c>
      <c r="E46" s="3276">
        <f>(E27*E45-E34*E44)/E43</f>
        <v>0.181181776040998</v>
      </c>
      <c r="F46" s="3275">
        <v>87</v>
      </c>
      <c r="G46" s="3276">
        <f>G32*G44</f>
        <v>2.2413410105643101</v>
      </c>
      <c r="H46" s="3276"/>
      <c r="I46" s="3276">
        <f>ASIN(I45)</f>
        <v>0.519972310400726</v>
      </c>
      <c r="J46" s="3276">
        <v>150</v>
      </c>
      <c r="K46" s="3276">
        <f>G29-C17</f>
        <v>78.322872371849598</v>
      </c>
    </row>
    <row r="47" spans="2:23" ht="15">
      <c r="B47" s="3276">
        <v>28</v>
      </c>
      <c r="C47" s="3276">
        <f>C41/C46</f>
        <v>0.41184530049232398</v>
      </c>
      <c r="D47" s="3276"/>
      <c r="E47" s="3276">
        <f>ATAN(E46)</f>
        <v>0.17923739006925399</v>
      </c>
      <c r="F47" s="3275">
        <v>88</v>
      </c>
      <c r="G47" s="3276">
        <f>G32*G45+0.05</f>
        <v>5.5671471029275397</v>
      </c>
      <c r="H47" s="3276">
        <v>117</v>
      </c>
      <c r="I47" s="3276">
        <f>DEGREES(I46)</f>
        <v>29.792218849628</v>
      </c>
      <c r="J47" s="3276"/>
      <c r="K47" s="3276">
        <f>P7</f>
        <v>0.78853200000000001</v>
      </c>
    </row>
    <row r="48" spans="2:23" ht="15">
      <c r="B48" s="3276"/>
      <c r="C48" s="3276">
        <f>ASIN(C47)</f>
        <v>0.42447815047543302</v>
      </c>
      <c r="D48" s="3276">
        <v>57</v>
      </c>
      <c r="E48" s="3276">
        <f>DEGREES(E47)</f>
        <v>10.269545981908299</v>
      </c>
      <c r="F48" s="3275">
        <v>89</v>
      </c>
      <c r="G48" s="3276">
        <f>G43*G44</f>
        <v>2.0879112430544802</v>
      </c>
      <c r="H48" s="3276">
        <v>118</v>
      </c>
      <c r="I48" s="3276">
        <f>COS(I46)</f>
        <v>0.86783293775686798</v>
      </c>
      <c r="J48" s="3276"/>
      <c r="K48" s="3276">
        <f>C19/C15</f>
        <v>4.6463414634146298</v>
      </c>
    </row>
    <row r="49" spans="2:11">
      <c r="B49" s="3276">
        <v>29</v>
      </c>
      <c r="C49" s="3276">
        <f>COS(C48)</f>
        <v>0.91125377829800303</v>
      </c>
      <c r="D49" s="3276">
        <v>58</v>
      </c>
      <c r="E49" s="3276">
        <f>COS(E47)</f>
        <v>0.98397993641658299</v>
      </c>
      <c r="F49" s="3276"/>
      <c r="G49" s="3276">
        <f>RADIANS(G48)</f>
        <v>3.6440925680708301E-2</v>
      </c>
      <c r="H49" s="3276">
        <v>119</v>
      </c>
      <c r="I49" s="3276">
        <f>TAN(I46)</f>
        <v>0.57252506383564905</v>
      </c>
      <c r="J49" s="3276"/>
      <c r="K49" s="3278"/>
    </row>
    <row r="50" spans="2:11">
      <c r="B50" s="3276">
        <v>30</v>
      </c>
      <c r="C50" s="3276">
        <f>(C31-C49)/C47</f>
        <v>1.38156694519178</v>
      </c>
      <c r="D50" s="3276">
        <v>59</v>
      </c>
      <c r="E50" s="3276">
        <f>E27*E46/E41</f>
        <v>4.8207292144482501E-3</v>
      </c>
      <c r="F50" s="3276">
        <v>90</v>
      </c>
      <c r="G50" s="3276">
        <f>SIN(G49)</f>
        <v>3.6432860982592699E-2</v>
      </c>
      <c r="H50" s="3276">
        <v>120</v>
      </c>
      <c r="I50" s="3276">
        <f>(I28*I38+I19)/I29</f>
        <v>-1.1918777497562401</v>
      </c>
      <c r="J50" s="3276"/>
      <c r="K50" s="3278"/>
    </row>
  </sheetData>
  <mergeCells count="58">
    <mergeCell ref="M2:W2"/>
    <mergeCell ref="M3:W3"/>
    <mergeCell ref="N4:O4"/>
    <mergeCell ref="P4:Q4"/>
    <mergeCell ref="R4:S4"/>
    <mergeCell ref="T4:U4"/>
    <mergeCell ref="V4:W4"/>
    <mergeCell ref="X4:Y4"/>
    <mergeCell ref="N5:O5"/>
    <mergeCell ref="P5:Q5"/>
    <mergeCell ref="R5:S5"/>
    <mergeCell ref="T5:U5"/>
    <mergeCell ref="V5:W5"/>
    <mergeCell ref="N6:O6"/>
    <mergeCell ref="P6:Q6"/>
    <mergeCell ref="R6:S6"/>
    <mergeCell ref="T6:U6"/>
    <mergeCell ref="V6:W6"/>
    <mergeCell ref="N7:O7"/>
    <mergeCell ref="P7:Q7"/>
    <mergeCell ref="R7:S7"/>
    <mergeCell ref="T7:U7"/>
    <mergeCell ref="V7:W7"/>
    <mergeCell ref="N8:O8"/>
    <mergeCell ref="P8:Q8"/>
    <mergeCell ref="R8:S8"/>
    <mergeCell ref="T8:U8"/>
    <mergeCell ref="V8:W8"/>
    <mergeCell ref="M10:Q10"/>
    <mergeCell ref="M11:O11"/>
    <mergeCell ref="M12:O12"/>
    <mergeCell ref="B13:K13"/>
    <mergeCell ref="M13:O13"/>
    <mergeCell ref="M14:O14"/>
    <mergeCell ref="P14:Q14"/>
    <mergeCell ref="M15:O15"/>
    <mergeCell ref="P15:Q15"/>
    <mergeCell ref="M16:O16"/>
    <mergeCell ref="M17:O17"/>
    <mergeCell ref="M18:O18"/>
    <mergeCell ref="M19:O19"/>
    <mergeCell ref="M20:O20"/>
    <mergeCell ref="M21:O21"/>
    <mergeCell ref="M22:O22"/>
    <mergeCell ref="M23:O23"/>
    <mergeCell ref="M24:O24"/>
    <mergeCell ref="M25:O25"/>
    <mergeCell ref="M26:O26"/>
    <mergeCell ref="M27:O27"/>
    <mergeCell ref="M28:O28"/>
    <mergeCell ref="M29:O29"/>
    <mergeCell ref="M30:O30"/>
    <mergeCell ref="M31:O31"/>
    <mergeCell ref="M32:O32"/>
    <mergeCell ref="P32:Q32"/>
    <mergeCell ref="M33:O33"/>
    <mergeCell ref="P33:Q33"/>
    <mergeCell ref="M34:O34"/>
  </mergeCells>
  <phoneticPr fontId="214" type="noConversion"/>
  <pageMargins left="0.75" right="0.75" top="1" bottom="1" header="0.51" footer="0.51"/>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J201"/>
  <sheetViews>
    <sheetView workbookViewId="0">
      <selection activeCell="M13" sqref="M13"/>
    </sheetView>
  </sheetViews>
  <sheetFormatPr defaultColWidth="9" defaultRowHeight="14.25"/>
  <cols>
    <col min="1" max="1" width="18.375" style="2694" customWidth="1"/>
    <col min="2" max="256" width="9" style="2694"/>
    <col min="257" max="257" width="18.375" style="2694" customWidth="1"/>
    <col min="258" max="512" width="9" style="2694"/>
    <col min="513" max="513" width="18.375" style="2694" customWidth="1"/>
    <col min="514" max="768" width="9" style="2694"/>
    <col min="769" max="769" width="18.375" style="2694" customWidth="1"/>
    <col min="770" max="1024" width="9" style="2694"/>
    <col min="1025" max="1025" width="18.375" style="2694" customWidth="1"/>
    <col min="1026" max="1280" width="9" style="2694"/>
    <col min="1281" max="1281" width="18.375" style="2694" customWidth="1"/>
    <col min="1282" max="1536" width="9" style="2694"/>
    <col min="1537" max="1537" width="18.375" style="2694" customWidth="1"/>
    <col min="1538" max="1792" width="9" style="2694"/>
    <col min="1793" max="1793" width="18.375" style="2694" customWidth="1"/>
    <col min="1794" max="2048" width="9" style="2694"/>
    <col min="2049" max="2049" width="18.375" style="2694" customWidth="1"/>
    <col min="2050" max="2304" width="9" style="2694"/>
    <col min="2305" max="2305" width="18.375" style="2694" customWidth="1"/>
    <col min="2306" max="2560" width="9" style="2694"/>
    <col min="2561" max="2561" width="18.375" style="2694" customWidth="1"/>
    <col min="2562" max="2816" width="9" style="2694"/>
    <col min="2817" max="2817" width="18.375" style="2694" customWidth="1"/>
    <col min="2818" max="3072" width="9" style="2694"/>
    <col min="3073" max="3073" width="18.375" style="2694" customWidth="1"/>
    <col min="3074" max="3328" width="9" style="2694"/>
    <col min="3329" max="3329" width="18.375" style="2694" customWidth="1"/>
    <col min="3330" max="3584" width="9" style="2694"/>
    <col min="3585" max="3585" width="18.375" style="2694" customWidth="1"/>
    <col min="3586" max="3840" width="9" style="2694"/>
    <col min="3841" max="3841" width="18.375" style="2694" customWidth="1"/>
    <col min="3842" max="4096" width="9" style="2694"/>
    <col min="4097" max="4097" width="18.375" style="2694" customWidth="1"/>
    <col min="4098" max="4352" width="9" style="2694"/>
    <col min="4353" max="4353" width="18.375" style="2694" customWidth="1"/>
    <col min="4354" max="4608" width="9" style="2694"/>
    <col min="4609" max="4609" width="18.375" style="2694" customWidth="1"/>
    <col min="4610" max="4864" width="9" style="2694"/>
    <col min="4865" max="4865" width="18.375" style="2694" customWidth="1"/>
    <col min="4866" max="5120" width="9" style="2694"/>
    <col min="5121" max="5121" width="18.375" style="2694" customWidth="1"/>
    <col min="5122" max="5376" width="9" style="2694"/>
    <col min="5377" max="5377" width="18.375" style="2694" customWidth="1"/>
    <col min="5378" max="5632" width="9" style="2694"/>
    <col min="5633" max="5633" width="18.375" style="2694" customWidth="1"/>
    <col min="5634" max="5888" width="9" style="2694"/>
    <col min="5889" max="5889" width="18.375" style="2694" customWidth="1"/>
    <col min="5890" max="6144" width="9" style="2694"/>
    <col min="6145" max="6145" width="18.375" style="2694" customWidth="1"/>
    <col min="6146" max="6400" width="9" style="2694"/>
    <col min="6401" max="6401" width="18.375" style="2694" customWidth="1"/>
    <col min="6402" max="6656" width="9" style="2694"/>
    <col min="6657" max="6657" width="18.375" style="2694" customWidth="1"/>
    <col min="6658" max="6912" width="9" style="2694"/>
    <col min="6913" max="6913" width="18.375" style="2694" customWidth="1"/>
    <col min="6914" max="7168" width="9" style="2694"/>
    <col min="7169" max="7169" width="18.375" style="2694" customWidth="1"/>
    <col min="7170" max="7424" width="9" style="2694"/>
    <col min="7425" max="7425" width="18.375" style="2694" customWidth="1"/>
    <col min="7426" max="7680" width="9" style="2694"/>
    <col min="7681" max="7681" width="18.375" style="2694" customWidth="1"/>
    <col min="7682" max="7936" width="9" style="2694"/>
    <col min="7937" max="7937" width="18.375" style="2694" customWidth="1"/>
    <col min="7938" max="8192" width="9" style="2694"/>
    <col min="8193" max="8193" width="18.375" style="2694" customWidth="1"/>
    <col min="8194" max="8448" width="9" style="2694"/>
    <col min="8449" max="8449" width="18.375" style="2694" customWidth="1"/>
    <col min="8450" max="8704" width="9" style="2694"/>
    <col min="8705" max="8705" width="18.375" style="2694" customWidth="1"/>
    <col min="8706" max="8960" width="9" style="2694"/>
    <col min="8961" max="8961" width="18.375" style="2694" customWidth="1"/>
    <col min="8962" max="9216" width="9" style="2694"/>
    <col min="9217" max="9217" width="18.375" style="2694" customWidth="1"/>
    <col min="9218" max="9472" width="9" style="2694"/>
    <col min="9473" max="9473" width="18.375" style="2694" customWidth="1"/>
    <col min="9474" max="9728" width="9" style="2694"/>
    <col min="9729" max="9729" width="18.375" style="2694" customWidth="1"/>
    <col min="9730" max="9984" width="9" style="2694"/>
    <col min="9985" max="9985" width="18.375" style="2694" customWidth="1"/>
    <col min="9986" max="10240" width="9" style="2694"/>
    <col min="10241" max="10241" width="18.375" style="2694" customWidth="1"/>
    <col min="10242" max="10496" width="9" style="2694"/>
    <col min="10497" max="10497" width="18.375" style="2694" customWidth="1"/>
    <col min="10498" max="10752" width="9" style="2694"/>
    <col min="10753" max="10753" width="18.375" style="2694" customWidth="1"/>
    <col min="10754" max="11008" width="9" style="2694"/>
    <col min="11009" max="11009" width="18.375" style="2694" customWidth="1"/>
    <col min="11010" max="11264" width="9" style="2694"/>
    <col min="11265" max="11265" width="18.375" style="2694" customWidth="1"/>
    <col min="11266" max="11520" width="9" style="2694"/>
    <col min="11521" max="11521" width="18.375" style="2694" customWidth="1"/>
    <col min="11522" max="11776" width="9" style="2694"/>
    <col min="11777" max="11777" width="18.375" style="2694" customWidth="1"/>
    <col min="11778" max="12032" width="9" style="2694"/>
    <col min="12033" max="12033" width="18.375" style="2694" customWidth="1"/>
    <col min="12034" max="12288" width="9" style="2694"/>
    <col min="12289" max="12289" width="18.375" style="2694" customWidth="1"/>
    <col min="12290" max="12544" width="9" style="2694"/>
    <col min="12545" max="12545" width="18.375" style="2694" customWidth="1"/>
    <col min="12546" max="12800" width="9" style="2694"/>
    <col min="12801" max="12801" width="18.375" style="2694" customWidth="1"/>
    <col min="12802" max="13056" width="9" style="2694"/>
    <col min="13057" max="13057" width="18.375" style="2694" customWidth="1"/>
    <col min="13058" max="13312" width="9" style="2694"/>
    <col min="13313" max="13313" width="18.375" style="2694" customWidth="1"/>
    <col min="13314" max="13568" width="9" style="2694"/>
    <col min="13569" max="13569" width="18.375" style="2694" customWidth="1"/>
    <col min="13570" max="13824" width="9" style="2694"/>
    <col min="13825" max="13825" width="18.375" style="2694" customWidth="1"/>
    <col min="13826" max="14080" width="9" style="2694"/>
    <col min="14081" max="14081" width="18.375" style="2694" customWidth="1"/>
    <col min="14082" max="14336" width="9" style="2694"/>
    <col min="14337" max="14337" width="18.375" style="2694" customWidth="1"/>
    <col min="14338" max="14592" width="9" style="2694"/>
    <col min="14593" max="14593" width="18.375" style="2694" customWidth="1"/>
    <col min="14594" max="14848" width="9" style="2694"/>
    <col min="14849" max="14849" width="18.375" style="2694" customWidth="1"/>
    <col min="14850" max="15104" width="9" style="2694"/>
    <col min="15105" max="15105" width="18.375" style="2694" customWidth="1"/>
    <col min="15106" max="15360" width="9" style="2694"/>
    <col min="15361" max="15361" width="18.375" style="2694" customWidth="1"/>
    <col min="15362" max="15616" width="9" style="2694"/>
    <col min="15617" max="15617" width="18.375" style="2694" customWidth="1"/>
    <col min="15618" max="15872" width="9" style="2694"/>
    <col min="15873" max="15873" width="18.375" style="2694" customWidth="1"/>
    <col min="15874" max="16128" width="9" style="2694"/>
    <col min="16129" max="16129" width="18.375" style="2694" customWidth="1"/>
    <col min="16130" max="16384" width="9" style="2694"/>
  </cols>
  <sheetData>
    <row r="1" spans="1:10" ht="24">
      <c r="A1" s="3145" t="s">
        <v>4086</v>
      </c>
      <c r="B1" s="3036"/>
      <c r="C1" s="2768"/>
      <c r="D1" s="2769"/>
      <c r="E1" s="2769"/>
      <c r="F1" s="2769"/>
      <c r="G1" s="2770" t="s">
        <v>2794</v>
      </c>
      <c r="H1" s="3165">
        <v>15</v>
      </c>
      <c r="I1" s="3133"/>
      <c r="J1" s="3248" t="s">
        <v>2795</v>
      </c>
    </row>
    <row r="2" spans="1:10" ht="24">
      <c r="A2" s="2771" t="s">
        <v>4087</v>
      </c>
      <c r="B2" s="3036"/>
      <c r="C2" s="2769"/>
      <c r="D2" s="2769"/>
      <c r="E2" s="2769"/>
      <c r="F2" s="2769"/>
      <c r="G2" s="2769"/>
      <c r="H2" s="2769"/>
      <c r="I2" s="3042"/>
      <c r="J2" s="3042"/>
    </row>
    <row r="3" spans="1:10" ht="24">
      <c r="A3" s="2771" t="s">
        <v>4088</v>
      </c>
      <c r="B3" s="3036"/>
      <c r="C3" s="2769"/>
      <c r="D3" s="2769"/>
      <c r="E3" s="2769"/>
      <c r="F3" s="2769"/>
      <c r="G3" s="2769"/>
      <c r="H3" s="2769"/>
      <c r="I3" s="3042"/>
      <c r="J3" s="3042"/>
    </row>
    <row r="4" spans="1:10" ht="24">
      <c r="A4" s="2773"/>
      <c r="B4" s="3039"/>
      <c r="C4" s="2774"/>
      <c r="D4" s="2774"/>
      <c r="E4" s="2774"/>
      <c r="F4" s="2780" t="s">
        <v>4089</v>
      </c>
      <c r="G4" s="2780"/>
      <c r="H4" s="2774"/>
      <c r="I4" s="3166"/>
      <c r="J4" s="3166"/>
    </row>
    <row r="5" spans="1:10" ht="24">
      <c r="A5" s="2776" t="s">
        <v>2802</v>
      </c>
      <c r="B5" s="3036"/>
      <c r="C5" s="2769"/>
      <c r="D5" s="2769"/>
      <c r="E5" s="2769"/>
      <c r="F5" s="2777"/>
      <c r="G5" s="2769"/>
      <c r="H5" s="2769"/>
      <c r="I5" s="3166"/>
      <c r="J5" s="3166"/>
    </row>
    <row r="6" spans="1:10" ht="24">
      <c r="A6" s="2778" t="s">
        <v>2803</v>
      </c>
      <c r="B6" s="3039"/>
      <c r="C6" s="3146"/>
      <c r="D6" s="2774"/>
      <c r="E6" s="2774"/>
      <c r="F6" s="2780"/>
      <c r="G6" s="2780"/>
      <c r="H6" s="2774"/>
      <c r="I6" s="3166"/>
      <c r="J6" s="3166"/>
    </row>
    <row r="7" spans="1:10" ht="15">
      <c r="A7" s="2770" t="s">
        <v>2804</v>
      </c>
      <c r="B7" s="3147"/>
      <c r="C7" s="2787"/>
      <c r="D7" s="2783"/>
      <c r="E7" s="2770" t="s">
        <v>2805</v>
      </c>
      <c r="F7" s="2784"/>
      <c r="G7" s="2834">
        <v>10026</v>
      </c>
      <c r="H7" s="2785"/>
      <c r="I7" s="3166"/>
      <c r="J7" s="3166"/>
    </row>
    <row r="8" spans="1:10">
      <c r="A8" s="2770" t="s">
        <v>2806</v>
      </c>
      <c r="B8" s="2786"/>
      <c r="C8" s="2787">
        <v>30201</v>
      </c>
      <c r="D8" s="3231"/>
      <c r="E8" s="2788"/>
      <c r="F8" s="2800"/>
      <c r="G8" s="3011"/>
      <c r="H8" s="3017"/>
      <c r="I8" s="3022"/>
      <c r="J8" s="3166"/>
    </row>
    <row r="9" spans="1:10" ht="15.75">
      <c r="A9" s="2790" t="s">
        <v>2809</v>
      </c>
      <c r="B9" s="2901"/>
      <c r="C9" s="3148"/>
      <c r="D9" s="2793"/>
      <c r="E9" s="2790" t="s">
        <v>2810</v>
      </c>
      <c r="F9" s="2794"/>
      <c r="G9" s="3149"/>
      <c r="H9" s="2793"/>
      <c r="I9" s="2886"/>
      <c r="J9" s="2887"/>
    </row>
    <row r="10" spans="1:10" ht="15.75">
      <c r="A10" s="2817" t="s">
        <v>4090</v>
      </c>
      <c r="B10" s="3049" t="str">
        <f>IF(C10="L","左旋",IF(C10="R","右旋","直齿"))</f>
        <v>直齿</v>
      </c>
      <c r="C10" s="2814"/>
      <c r="D10" s="2815" t="str">
        <f>IF(OR(C10="",C10="L",C10="R"),"","错误！")</f>
        <v/>
      </c>
      <c r="E10" s="2802" t="s">
        <v>2812</v>
      </c>
      <c r="F10" s="2800"/>
      <c r="G10" s="2797"/>
      <c r="H10" s="2785"/>
      <c r="I10" s="3166"/>
      <c r="J10" s="2887"/>
    </row>
    <row r="11" spans="1:10" ht="15.75">
      <c r="A11" s="2813" t="s">
        <v>2816</v>
      </c>
      <c r="B11" s="2806" t="s">
        <v>2817</v>
      </c>
      <c r="C11" s="2787">
        <v>36</v>
      </c>
      <c r="D11" s="2815"/>
      <c r="E11" s="2802"/>
      <c r="F11" s="2800"/>
      <c r="G11" s="2797"/>
      <c r="H11" s="2785"/>
      <c r="I11" s="2947"/>
      <c r="J11" s="2887"/>
    </row>
    <row r="12" spans="1:10" ht="15.75">
      <c r="A12" s="2817" t="s">
        <v>4091</v>
      </c>
      <c r="B12" s="2806" t="s">
        <v>2819</v>
      </c>
      <c r="C12" s="2787">
        <v>3</v>
      </c>
      <c r="D12" s="2810" t="s">
        <v>2820</v>
      </c>
      <c r="E12" s="2802"/>
      <c r="F12" s="2800"/>
      <c r="G12" s="2809"/>
      <c r="H12" s="2785"/>
      <c r="I12" s="3166"/>
      <c r="J12" s="2887"/>
    </row>
    <row r="13" spans="1:10" ht="15">
      <c r="A13" s="2817" t="s">
        <v>4092</v>
      </c>
      <c r="B13" s="2813" t="s">
        <v>2822</v>
      </c>
      <c r="C13" s="2787">
        <v>20</v>
      </c>
      <c r="D13" s="2810" t="s">
        <v>257</v>
      </c>
      <c r="E13" s="2808" t="s">
        <v>4093</v>
      </c>
      <c r="F13" s="2800"/>
      <c r="G13" s="2797"/>
      <c r="H13" s="2785"/>
      <c r="I13" s="3166"/>
      <c r="J13" s="2887"/>
    </row>
    <row r="14" spans="1:10" ht="15">
      <c r="A14" s="2836" t="s">
        <v>2823</v>
      </c>
      <c r="B14" s="2813" t="s">
        <v>2824</v>
      </c>
      <c r="C14" s="2811"/>
      <c r="D14" s="2810" t="s">
        <v>257</v>
      </c>
      <c r="E14" s="2814"/>
      <c r="F14" s="2810" t="s">
        <v>2825</v>
      </c>
      <c r="G14" s="2814"/>
      <c r="H14" s="2947" t="s">
        <v>2826</v>
      </c>
      <c r="I14" s="2802" t="s">
        <v>4094</v>
      </c>
      <c r="J14" s="2887"/>
    </row>
    <row r="15" spans="1:10">
      <c r="A15" s="3131"/>
      <c r="B15" s="2786"/>
      <c r="C15" s="3051">
        <f>C14+E14/60+G14/3600</f>
        <v>0</v>
      </c>
      <c r="D15" s="2937" t="s">
        <v>257</v>
      </c>
      <c r="E15" s="2802"/>
      <c r="F15" s="2800"/>
      <c r="G15" s="2797"/>
      <c r="H15" s="2785"/>
      <c r="I15" s="3166"/>
      <c r="J15" s="2887"/>
    </row>
    <row r="16" spans="1:10" ht="15.75">
      <c r="A16" s="2813" t="s">
        <v>2828</v>
      </c>
      <c r="B16" s="2806" t="s">
        <v>2534</v>
      </c>
      <c r="C16" s="2787">
        <v>15</v>
      </c>
      <c r="D16" s="2810" t="s">
        <v>2820</v>
      </c>
      <c r="E16" s="2802"/>
      <c r="F16" s="2800"/>
      <c r="G16" s="2809"/>
      <c r="H16" s="2785"/>
      <c r="I16" s="2810"/>
      <c r="J16" s="2887"/>
    </row>
    <row r="17" spans="1:10" ht="15.75">
      <c r="A17" s="2813" t="s">
        <v>2830</v>
      </c>
      <c r="B17" s="2806" t="s">
        <v>2831</v>
      </c>
      <c r="C17" s="2787"/>
      <c r="D17" s="2810"/>
      <c r="E17" s="2808" t="s">
        <v>4095</v>
      </c>
      <c r="F17" s="2800"/>
      <c r="G17" s="2809"/>
      <c r="H17" s="2785"/>
      <c r="I17" s="2810"/>
      <c r="J17" s="2887"/>
    </row>
    <row r="18" spans="1:10" ht="15.75">
      <c r="A18" s="2813"/>
      <c r="B18" s="2806"/>
      <c r="C18" s="3050">
        <f>IF(C17="",1,C17)</f>
        <v>1</v>
      </c>
      <c r="D18" s="2808"/>
      <c r="E18" s="2833"/>
      <c r="F18" s="2800"/>
      <c r="G18" s="2797"/>
      <c r="H18" s="2785"/>
      <c r="I18" s="2810"/>
      <c r="J18" s="3166"/>
    </row>
    <row r="19" spans="1:10" ht="15.75">
      <c r="A19" s="2813" t="s">
        <v>2835</v>
      </c>
      <c r="B19" s="2806" t="s">
        <v>2836</v>
      </c>
      <c r="C19" s="2811"/>
      <c r="D19" s="2808"/>
      <c r="E19" s="2808" t="s">
        <v>4096</v>
      </c>
      <c r="F19" s="2800"/>
      <c r="G19" s="2797"/>
      <c r="H19" s="2785"/>
      <c r="I19" s="2810"/>
      <c r="J19" s="3166"/>
    </row>
    <row r="20" spans="1:10" ht="15.75">
      <c r="A20" s="2813"/>
      <c r="B20" s="2806"/>
      <c r="C20" s="3050">
        <f>IF(C19="",0.25,C19)</f>
        <v>0.25</v>
      </c>
      <c r="D20" s="2808"/>
      <c r="E20" s="2833"/>
      <c r="F20" s="2800"/>
      <c r="G20" s="2809"/>
      <c r="H20" s="2785"/>
      <c r="I20" s="2810"/>
      <c r="J20" s="3166"/>
    </row>
    <row r="21" spans="1:10" ht="15.75">
      <c r="A21" s="2803" t="s">
        <v>4097</v>
      </c>
      <c r="B21" s="2855" t="s">
        <v>4098</v>
      </c>
      <c r="C21" s="2814">
        <v>0.5</v>
      </c>
      <c r="D21" s="3182"/>
      <c r="E21" s="2862"/>
      <c r="F21" s="2815"/>
      <c r="G21" s="2947"/>
      <c r="H21" s="2818"/>
      <c r="I21" s="3042"/>
      <c r="J21" s="3042"/>
    </row>
    <row r="22" spans="1:10" ht="15.75">
      <c r="A22" s="2817" t="s">
        <v>2958</v>
      </c>
      <c r="B22" s="2831" t="s">
        <v>3302</v>
      </c>
      <c r="C22" s="2819">
        <f>ROUNDUP(G74,3)</f>
        <v>101.48699999999999</v>
      </c>
      <c r="D22" s="2810" t="s">
        <v>2820</v>
      </c>
      <c r="E22" s="2862"/>
      <c r="F22" s="2815"/>
      <c r="G22" s="2947"/>
      <c r="H22" s="2818"/>
      <c r="I22" s="3042"/>
      <c r="J22" s="3042"/>
    </row>
    <row r="23" spans="1:10" ht="15.75">
      <c r="A23" s="2857" t="s">
        <v>4099</v>
      </c>
      <c r="B23" s="2855" t="s">
        <v>2855</v>
      </c>
      <c r="C23" s="2819">
        <f>IF(C12*(C11-2*(C18-C21))&lt;G74,C22,ROUND(C12*(C11-2*(C18-C21)),3))</f>
        <v>105</v>
      </c>
      <c r="D23" s="2810" t="s">
        <v>2820</v>
      </c>
      <c r="E23" s="2862"/>
      <c r="F23" s="2815"/>
      <c r="G23" s="2947"/>
      <c r="H23" s="2818"/>
      <c r="I23" s="3042"/>
      <c r="J23" s="3042"/>
    </row>
    <row r="24" spans="1:10" ht="15.75">
      <c r="A24" s="2864" t="s">
        <v>4100</v>
      </c>
      <c r="B24" s="2872" t="s">
        <v>1869</v>
      </c>
      <c r="C24" s="2811"/>
      <c r="D24" s="2842" t="s">
        <v>2820</v>
      </c>
      <c r="E24" s="2866" t="str">
        <f>IF(C24="","注：如不输入,则默认计算值。",IF(C24&lt;G74,"错误！应大于或等于基圆直径。",""))</f>
        <v>注：如不输入,则默认计算值。</v>
      </c>
      <c r="F24" s="2868"/>
      <c r="G24" s="2964"/>
      <c r="H24" s="2820"/>
      <c r="I24" s="3042"/>
      <c r="J24" s="3042"/>
    </row>
    <row r="25" spans="1:10" ht="15">
      <c r="A25" s="3060" t="s">
        <v>4101</v>
      </c>
      <c r="B25" s="3232"/>
      <c r="C25" s="3011"/>
      <c r="D25" s="2904"/>
      <c r="E25" s="2905"/>
      <c r="F25" s="2986"/>
      <c r="G25" s="2903"/>
      <c r="H25" s="2911"/>
      <c r="I25" s="2803"/>
      <c r="J25" s="2803"/>
    </row>
    <row r="26" spans="1:10" ht="15">
      <c r="A26" s="3233"/>
      <c r="B26" s="3232"/>
      <c r="C26" s="3234" t="str">
        <f>IF(OR(C15&lt;&gt;0,C18&lt;&gt;1,C20&lt;&gt;0.25,DEGREES(C65)&lt;&gt;20,AND(D26="*",E26="*",F26="*",G26="*",H26="*",I26="*")),"无标准插齿刀可选！","按后面的数据选取：")</f>
        <v>按后面的数据选取：</v>
      </c>
      <c r="D26" s="2848" t="str">
        <f>IF(OR(C15&lt;&gt;0,C18&lt;&gt;1,C20&lt;&gt;0.25,G73-C12&lt;25),"*",IF(OR(C12=1,C12=1.25,C12=1.5,C12=1.75,C12=2,C12=2.25,C12=2.5,C12=2.75),25,"*"))</f>
        <v>*</v>
      </c>
      <c r="E26" s="2848">
        <f>IF(OR(C15&lt;&gt;0,C18&lt;&gt;1,C20&lt;&gt;0.25,G73-C12&lt;25),"*",IF(OR(C12=1,C12=1.25,C12=1.5,C12=1.75,C12=2,C12=2.25,C12=2.5,C12=2.75,C12=3,C12=3.25,C12=3.5,C12=3.75),38,"*"))</f>
        <v>38</v>
      </c>
      <c r="F26" s="2941">
        <f>IF(OR(C15&lt;&gt;0,C18&lt;&gt;1,C20&lt;&gt;0.25,G73-C12&lt;25),"*",IF(OR(C12=1,C12=1.25,C12=1.5,C12=1.75,C12=2,C12=2.25,C12=2.5,C12=2.75,C12=3,C12=3.25,C12=3.5),50,"*"))</f>
        <v>50</v>
      </c>
      <c r="G26" s="2939">
        <f>IF(OR(C15&lt;&gt;0,C18&lt;&gt;1,C20&lt;&gt;0.25,G73-C12&lt;25),"*",IF(OR(C12=1,C12=1.25,C12=1.5,C12=1.75,C12=2,C12=2.25,C12=2.5,C12=2.75,C12=3,C12=3.25,C12=3.5,C12=3.75,C12=4),75,"*"))</f>
        <v>75</v>
      </c>
      <c r="H26" s="2848">
        <f>IF(OR(C15&lt;&gt;0,C18&lt;&gt;1,C20&lt;&gt;0.25,G73-C12&lt;25),"*",IF(OR(C12=1,C12=1.25,C12=1.5,C12=1.75,C12=2,C12=2.25,C12=2.5,C12=2.75,C12=3,C12=3.25,C12=3.5,C12=3.75,C12=4,C12=4.5,C12=5,C12=5.5,C12=6),100,"*"))</f>
        <v>100</v>
      </c>
      <c r="I26" s="2941" t="str">
        <f>IF(OR(C15&lt;&gt;0,C18&lt;&gt;1,C20&lt;&gt;0.25,G73-C12&lt;25),"*",IF(OR(C12=4,C12=4.5,C12=5,C12=5.5,C12=6,C12=6.5,C12=7,C12=8),125,"*"))</f>
        <v>*</v>
      </c>
      <c r="J26" s="2803"/>
    </row>
    <row r="27" spans="1:10" ht="15">
      <c r="A27" s="2857" t="s">
        <v>2910</v>
      </c>
      <c r="B27" s="3232"/>
      <c r="C27" s="2814">
        <v>75</v>
      </c>
      <c r="D27" s="2821" t="str">
        <f>IF(AND(D26="*",E26="*",F26="*",G26="*",H26="*",I26="*",C27&lt;&gt;""),"取消！",IF(OR(C15&lt;&gt;0,C12&gt;8,C12&lt;1,AND(D26="*",E26="*",F26="*",G26="*",H26="*",I26="*")),"",IF(OR(C27=E26,C27=F26,C27=G26,C27=H26,C27=I26),"毫米",IF(C27="","注：如不输入，则默认以上较小直径插齿刀","错误！"))))</f>
        <v>毫米</v>
      </c>
      <c r="E27" s="2848"/>
      <c r="F27" s="2941"/>
      <c r="G27" s="3011"/>
      <c r="H27" s="2821"/>
      <c r="I27" s="2848"/>
      <c r="J27" s="2803"/>
    </row>
    <row r="28" spans="1:10" ht="15">
      <c r="A28" s="2857"/>
      <c r="B28" s="3232"/>
      <c r="C28" s="2809">
        <f>IF(C27&lt;&gt;"",C27,IF(AND(C27=0,D26&lt;&gt;"*"),D26,IF(AND(C27=0,D26="*",E26&lt;&gt;"*"),E26,IF(AND(C27=0,D26="*",E26="*",F26&lt;&gt;"*"),F26,IF(AND(C27=0,D26="*",E26="*",F26="*",G26&lt;&gt;"*"),G26,IF(AND(C27=0,D26="*",E26="*",F26="*",G26="*",H26&lt;&gt;"*"),H26,I26))))))</f>
        <v>75</v>
      </c>
      <c r="D28" s="2821"/>
      <c r="E28" s="2905"/>
      <c r="F28" s="2986"/>
      <c r="G28" s="2809"/>
      <c r="H28" s="2821"/>
      <c r="I28" s="2905"/>
      <c r="J28" s="2803"/>
    </row>
    <row r="29" spans="1:10" ht="15.75">
      <c r="A29" s="2858" t="s">
        <v>2911</v>
      </c>
      <c r="B29" s="2801" t="s">
        <v>2912</v>
      </c>
      <c r="C29" s="2819">
        <f>IF(C26="无标准插齿刀可选！","",G93)</f>
        <v>0</v>
      </c>
      <c r="D29" s="2904"/>
      <c r="E29" s="2905"/>
      <c r="F29" s="2986"/>
      <c r="G29" s="2797"/>
      <c r="H29" s="2904"/>
      <c r="I29" s="2905"/>
      <c r="J29" s="2803"/>
    </row>
    <row r="30" spans="1:10" ht="15.75">
      <c r="A30" s="2807" t="s">
        <v>2915</v>
      </c>
      <c r="B30" s="2806" t="s">
        <v>4102</v>
      </c>
      <c r="C30" s="2819">
        <f>IF(C26="无标准插齿刀可选！","",ROUND(G99,3))</f>
        <v>0</v>
      </c>
      <c r="D30" s="2904"/>
      <c r="E30" s="2905"/>
      <c r="F30" s="2986"/>
      <c r="G30" s="2797"/>
      <c r="H30" s="2904"/>
      <c r="I30" s="2905"/>
      <c r="J30" s="2803"/>
    </row>
    <row r="31" spans="1:10" ht="15.75">
      <c r="A31" s="2857" t="s">
        <v>2916</v>
      </c>
      <c r="B31" s="2806" t="s">
        <v>2917</v>
      </c>
      <c r="C31" s="2819">
        <f>IF(C26="无标准插齿刀可选！","",E90)</f>
        <v>0</v>
      </c>
      <c r="D31" s="2838" t="str">
        <f>IF(C26="无标准插齿刀可选！","","毫米")</f>
        <v>毫米</v>
      </c>
      <c r="E31" s="2905"/>
      <c r="F31" s="2986"/>
      <c r="G31" s="2797"/>
      <c r="H31" s="2810"/>
      <c r="I31" s="2905"/>
      <c r="J31" s="2803"/>
    </row>
    <row r="32" spans="1:10" ht="15.75">
      <c r="A32" s="2807" t="s">
        <v>2918</v>
      </c>
      <c r="B32" s="2806" t="s">
        <v>2919</v>
      </c>
      <c r="C32" s="2814"/>
      <c r="D32" s="2980" t="str">
        <f>IF(AND(C26="无标准插齿刀可选！",C32&lt;&gt;""),"取消！",IF(C26="无标准插齿刀可选！","","毫米"))</f>
        <v>毫米</v>
      </c>
      <c r="E32" s="2808" t="str">
        <f>IF(C26="无标准插齿刀可选！","","注：如不输入,则默认新插齿刀齿顶圆直径。")</f>
        <v>注：如不输入,则默认新插齿刀齿顶圆直径。</v>
      </c>
      <c r="F32" s="2986"/>
      <c r="G32" s="3011"/>
      <c r="H32" s="2810"/>
      <c r="I32" s="2808"/>
      <c r="J32" s="2803"/>
    </row>
    <row r="33" spans="1:10" ht="15.75">
      <c r="A33" s="2857" t="s">
        <v>2920</v>
      </c>
      <c r="B33" s="2801" t="s">
        <v>2921</v>
      </c>
      <c r="C33" s="2819">
        <f>IF(C26="无标准插齿刀可选！","",ROUND(G100,2))</f>
        <v>0</v>
      </c>
      <c r="D33" s="2838" t="str">
        <f>IF(C26="无标准插齿刀可选！","","毫米")</f>
        <v>毫米</v>
      </c>
      <c r="E33" s="2808" t="str">
        <f>IF(C26="无标准插齿刀可选！","","注：在基本截面前为正,后为负。")</f>
        <v>注：在基本截面前为正,后为负。</v>
      </c>
      <c r="F33" s="2986"/>
      <c r="G33" s="2797"/>
      <c r="H33" s="2810"/>
      <c r="I33" s="2808"/>
      <c r="J33" s="2803"/>
    </row>
    <row r="34" spans="1:10" ht="15.75">
      <c r="A34" s="2858" t="s">
        <v>2922</v>
      </c>
      <c r="B34" s="2801" t="s">
        <v>2923</v>
      </c>
      <c r="C34" s="2819">
        <f>IF(C26="无标准插齿刀可选！","",ROUND(C33*TAN(G98)/C72,3))</f>
        <v>0</v>
      </c>
      <c r="D34" s="2904"/>
      <c r="E34" s="2905"/>
      <c r="F34" s="2986"/>
      <c r="G34" s="2797"/>
      <c r="H34" s="2904"/>
      <c r="I34" s="3249"/>
      <c r="J34" s="2803"/>
    </row>
    <row r="35" spans="1:10">
      <c r="A35" s="3235"/>
      <c r="B35" s="3236" t="str">
        <f>IF(C26="无标准插齿刀可选！","",IF(ROUND(C38,4)&lt;&gt;ROUND(C37,4),"单变量求解计算：",""))</f>
        <v>单变量求解计算：</v>
      </c>
      <c r="C35" s="2914"/>
      <c r="D35" s="2911"/>
      <c r="E35" s="2803"/>
      <c r="F35" s="2803"/>
      <c r="G35" s="2812"/>
      <c r="H35" s="2817"/>
      <c r="I35" s="3250"/>
      <c r="J35" s="2860"/>
    </row>
    <row r="36" spans="1:10">
      <c r="A36" s="3235"/>
      <c r="B36" s="2857" t="str">
        <f>IF(C26="无标准插齿刀可选！","",IF(ROUND(C38,4)&lt;&gt;ROUND(C37,4),"可变格",""))</f>
        <v>可变格</v>
      </c>
      <c r="C36" s="2825">
        <v>0.48231557318290702</v>
      </c>
      <c r="D36" s="2911"/>
      <c r="E36" s="2803"/>
      <c r="F36" s="2803"/>
      <c r="G36" s="2812"/>
      <c r="H36" s="2817"/>
      <c r="I36" s="3250"/>
      <c r="J36" s="2860"/>
    </row>
    <row r="37" spans="1:10">
      <c r="A37" s="3235"/>
      <c r="B37" s="2857" t="str">
        <f>IF(C26="无标准插齿刀可选！","",IF(ROUND(C38,4)&lt;&gt;ROUND(C37,4),"目标格",""))</f>
        <v>目标格</v>
      </c>
      <c r="C37" s="2826">
        <f>TAN(C36)-C36-G121</f>
        <v>1.6227336514990798E-2</v>
      </c>
      <c r="D37" s="2911"/>
      <c r="E37" s="2803"/>
      <c r="F37" s="2803"/>
      <c r="G37" s="2812"/>
      <c r="H37" s="2817"/>
      <c r="I37" s="3250"/>
      <c r="J37" s="2860"/>
    </row>
    <row r="38" spans="1:10">
      <c r="A38" s="3235"/>
      <c r="B38" s="2864" t="str">
        <f>IF(C26="无标准插齿刀可选！","",IF(ROUND(C38,4)&lt;&gt;ROUND(C37,4),"目标值",""))</f>
        <v>目标值</v>
      </c>
      <c r="C38" s="2919">
        <f>0</f>
        <v>0</v>
      </c>
      <c r="D38" s="2911"/>
      <c r="E38" s="2803"/>
      <c r="F38" s="2803"/>
      <c r="G38" s="2812"/>
      <c r="H38" s="2817"/>
      <c r="I38" s="3250"/>
      <c r="J38" s="2860"/>
    </row>
    <row r="39" spans="1:10">
      <c r="A39" s="2803" t="s">
        <v>3366</v>
      </c>
      <c r="B39" s="2904"/>
      <c r="C39" s="2924" t="str">
        <f>IF(OR(C26="无标准插齿刀可选！",B35&lt;&gt;""),"",H120)</f>
        <v/>
      </c>
      <c r="D39" s="2986"/>
      <c r="E39" s="2808" t="str">
        <f>IF(C39="产生径向切入顶切！","注:应适当减少插齿刀公称分度圆直径或改变其它参数","")</f>
        <v/>
      </c>
      <c r="F39" s="3141"/>
      <c r="G39" s="2803"/>
      <c r="H39" s="2803"/>
      <c r="I39" s="3250"/>
      <c r="J39" s="2817"/>
    </row>
    <row r="40" spans="1:10" ht="15">
      <c r="A40" s="2803"/>
      <c r="B40" s="3111" t="str">
        <f>IF(OR(C26="无标准插齿刀可选！",B35&lt;&gt;""),"",ROUND(G120,3))</f>
        <v/>
      </c>
      <c r="C40" s="3049" t="str">
        <f>IF(OR(C26="无标准插齿刀可选！",B35&lt;&gt;""),"","应大于或等于")</f>
        <v/>
      </c>
      <c r="D40" s="3237" t="str">
        <f>IF(OR(C26="无标准插齿刀可选！",B35&lt;&gt;""),"",ROUND(G110,3))</f>
        <v/>
      </c>
      <c r="E40" s="2808"/>
      <c r="F40" s="3141"/>
      <c r="G40" s="2803"/>
      <c r="H40" s="2803"/>
      <c r="I40" s="3250"/>
      <c r="J40" s="2817"/>
    </row>
    <row r="41" spans="1:10" ht="15.75">
      <c r="A41" s="2803" t="s">
        <v>4103</v>
      </c>
      <c r="B41" s="2904"/>
      <c r="C41" s="2924" t="str">
        <f>IF(OR(C26="无标准插齿刀可选！",B35&lt;&gt;""),"",H127)</f>
        <v/>
      </c>
      <c r="D41" s="2986"/>
      <c r="E41" s="3106" t="str">
        <f>IF(C41="发生干涉顶切！","注: 应适当加大内齿轮顶圆直径或改变其它参数","")</f>
        <v/>
      </c>
      <c r="F41" s="3141"/>
      <c r="G41" s="2803"/>
      <c r="H41" s="2803"/>
      <c r="I41" s="3250"/>
      <c r="J41" s="2817"/>
    </row>
    <row r="42" spans="1:10">
      <c r="A42" s="2803"/>
      <c r="B42" s="3111" t="str">
        <f>IF(OR(C26="无标准插齿刀可选！",B35&lt;&gt;""),"",ROUND(G103,3))</f>
        <v/>
      </c>
      <c r="C42" s="3111" t="str">
        <f>IF(OR(C26="无标准插齿刀可选！",B35&lt;&gt;""),"","应大于或等于")</f>
        <v/>
      </c>
      <c r="D42" s="3237" t="str">
        <f>IF(OR(C26="无标准插齿刀可选！",B35&lt;&gt;""),"",ROUND(G127,3))</f>
        <v/>
      </c>
      <c r="E42" s="3106"/>
      <c r="F42" s="3141"/>
      <c r="G42" s="2803"/>
      <c r="H42" s="2803"/>
      <c r="I42" s="3250"/>
      <c r="J42" s="2817"/>
    </row>
    <row r="43" spans="1:10" ht="15">
      <c r="A43" s="3096"/>
      <c r="B43" s="3238"/>
      <c r="C43" s="3019"/>
      <c r="D43" s="2874"/>
      <c r="E43" s="3239"/>
      <c r="F43" s="3204"/>
      <c r="G43" s="3019"/>
      <c r="H43" s="2957"/>
      <c r="I43" s="3251"/>
      <c r="J43" s="2803"/>
    </row>
    <row r="44" spans="1:10" ht="15">
      <c r="A44" s="3060" t="s">
        <v>4104</v>
      </c>
      <c r="B44" s="3232"/>
      <c r="C44" s="3011"/>
      <c r="D44" s="2904"/>
      <c r="E44" s="2905"/>
      <c r="F44" s="2986"/>
      <c r="G44" s="2903"/>
      <c r="H44" s="2911"/>
      <c r="I44" s="2803"/>
      <c r="J44" s="2803"/>
    </row>
    <row r="45" spans="1:10" ht="15.75">
      <c r="A45" s="2803" t="s">
        <v>2925</v>
      </c>
      <c r="B45" s="2801" t="s">
        <v>2912</v>
      </c>
      <c r="C45" s="2814">
        <v>25</v>
      </c>
      <c r="D45" s="2904"/>
      <c r="E45" s="2905"/>
      <c r="F45" s="2986"/>
      <c r="G45" s="2903"/>
      <c r="H45" s="2911"/>
      <c r="I45" s="2803"/>
      <c r="J45" s="2803"/>
    </row>
    <row r="46" spans="1:10" ht="15.75">
      <c r="A46" s="2803" t="s">
        <v>4105</v>
      </c>
      <c r="B46" s="2801"/>
      <c r="C46" s="2797" t="str">
        <f>IF(C15=0,"直  齿",IF(C10="L","左  旋","右  旋"))</f>
        <v>直  齿</v>
      </c>
      <c r="D46" s="2904"/>
      <c r="E46" s="2905"/>
      <c r="F46" s="2986"/>
      <c r="G46" s="2903"/>
      <c r="H46" s="2911"/>
      <c r="I46" s="2803"/>
      <c r="J46" s="2803"/>
    </row>
    <row r="47" spans="1:10" ht="15.75">
      <c r="A47" s="2803" t="s">
        <v>4106</v>
      </c>
      <c r="B47" s="2801"/>
      <c r="C47" s="2797">
        <f>E69</f>
        <v>0</v>
      </c>
      <c r="D47" s="2810" t="s">
        <v>2938</v>
      </c>
      <c r="E47" s="2905"/>
      <c r="F47" s="2986"/>
      <c r="G47" s="2903"/>
      <c r="H47" s="2911"/>
      <c r="I47" s="2803"/>
      <c r="J47" s="2803"/>
    </row>
    <row r="48" spans="1:10" ht="15.75">
      <c r="A48" s="2813" t="s">
        <v>2830</v>
      </c>
      <c r="B48" s="2806" t="s">
        <v>2831</v>
      </c>
      <c r="C48" s="2811">
        <v>1.25</v>
      </c>
      <c r="D48" s="2904"/>
      <c r="E48" s="2808" t="s">
        <v>4107</v>
      </c>
      <c r="F48" s="2986"/>
      <c r="G48" s="2903"/>
      <c r="H48" s="2911"/>
      <c r="I48" s="2803"/>
      <c r="J48" s="2803"/>
    </row>
    <row r="49" spans="1:10" ht="15.75">
      <c r="A49" s="2858" t="s">
        <v>4108</v>
      </c>
      <c r="B49" s="2797" t="s">
        <v>2928</v>
      </c>
      <c r="C49" s="2814"/>
      <c r="D49" s="2810" t="s">
        <v>257</v>
      </c>
      <c r="E49" s="2808" t="s">
        <v>4109</v>
      </c>
      <c r="F49" s="2986"/>
      <c r="G49" s="2903"/>
      <c r="H49" s="2911"/>
      <c r="I49" s="2803"/>
      <c r="J49" s="2803"/>
    </row>
    <row r="50" spans="1:10" ht="15.75">
      <c r="A50" s="2807" t="s">
        <v>2915</v>
      </c>
      <c r="B50" s="2806" t="s">
        <v>4102</v>
      </c>
      <c r="C50" s="2819">
        <f>ROUND(K99,3)</f>
        <v>0</v>
      </c>
      <c r="D50" s="2810" t="s">
        <v>2820</v>
      </c>
      <c r="E50" s="2905"/>
      <c r="F50" s="2986"/>
      <c r="G50" s="2903"/>
      <c r="H50" s="2911"/>
      <c r="I50" s="2803"/>
      <c r="J50" s="2803"/>
    </row>
    <row r="51" spans="1:10" ht="15.75">
      <c r="A51" s="2807" t="s">
        <v>2918</v>
      </c>
      <c r="B51" s="2806" t="s">
        <v>2919</v>
      </c>
      <c r="C51" s="2814">
        <v>83.1</v>
      </c>
      <c r="D51" s="2810" t="s">
        <v>2820</v>
      </c>
      <c r="E51" s="2808" t="s">
        <v>4110</v>
      </c>
      <c r="F51" s="2986"/>
      <c r="G51" s="2903"/>
      <c r="H51" s="2911"/>
      <c r="I51" s="2803"/>
      <c r="J51" s="2803"/>
    </row>
    <row r="52" spans="1:10" ht="15.75">
      <c r="A52" s="2857" t="s">
        <v>2920</v>
      </c>
      <c r="B52" s="2801" t="s">
        <v>2921</v>
      </c>
      <c r="C52" s="2819">
        <f>ROUND(K100,2)</f>
        <v>0</v>
      </c>
      <c r="D52" s="2810" t="s">
        <v>2820</v>
      </c>
      <c r="E52" s="2808" t="s">
        <v>4111</v>
      </c>
      <c r="F52" s="2986"/>
      <c r="G52" s="2903"/>
      <c r="H52" s="2911"/>
      <c r="I52" s="2803"/>
      <c r="J52" s="2803"/>
    </row>
    <row r="53" spans="1:10" ht="15.75">
      <c r="A53" s="2858" t="s">
        <v>2922</v>
      </c>
      <c r="B53" s="2801" t="s">
        <v>2923</v>
      </c>
      <c r="C53" s="2819">
        <f>IF(C43="无标准插齿刀可选！","",ROUND(C52*TAN(K98)/C72,3))</f>
        <v>0</v>
      </c>
      <c r="D53" s="2810" t="s">
        <v>2820</v>
      </c>
      <c r="E53" s="2905"/>
      <c r="F53" s="2986"/>
      <c r="G53" s="2903"/>
      <c r="H53" s="2911"/>
      <c r="I53" s="2803"/>
      <c r="J53" s="2803"/>
    </row>
    <row r="54" spans="1:10">
      <c r="A54" s="3235"/>
      <c r="B54" s="3236" t="str">
        <f>IF(ROUND(C57,4)&lt;&gt;ROUND(C56,4),"单变量求解计算：","")</f>
        <v>单变量求解计算：</v>
      </c>
      <c r="C54" s="2914"/>
      <c r="D54" s="2904"/>
      <c r="E54" s="2905"/>
      <c r="F54" s="2986"/>
      <c r="G54" s="2903"/>
      <c r="H54" s="2911"/>
      <c r="I54" s="2803"/>
      <c r="J54" s="2803"/>
    </row>
    <row r="55" spans="1:10">
      <c r="A55" s="3235"/>
      <c r="B55" s="2857" t="str">
        <f>IF(ROUND(C57,4)&lt;&gt;ROUND(C56,4),"可变格","")</f>
        <v>可变格</v>
      </c>
      <c r="C55" s="2825">
        <v>0.482798016979611</v>
      </c>
      <c r="D55" s="2904"/>
      <c r="E55" s="2905"/>
      <c r="F55" s="2986"/>
      <c r="G55" s="2903"/>
      <c r="H55" s="2911"/>
      <c r="I55" s="2803"/>
      <c r="J55" s="2803"/>
    </row>
    <row r="56" spans="1:10">
      <c r="A56" s="3235"/>
      <c r="B56" s="2857" t="str">
        <f>IF(ROUND(C57,4)&lt;&gt;ROUND(C56,4),"目标格","")</f>
        <v>目标格</v>
      </c>
      <c r="C56" s="2826">
        <f>TAN(C55)-C55-K121</f>
        <v>4.1374403909856201E-2</v>
      </c>
      <c r="D56" s="2904"/>
      <c r="E56" s="2905"/>
      <c r="F56" s="2986"/>
      <c r="G56" s="2903"/>
      <c r="H56" s="2911"/>
      <c r="I56" s="2803"/>
      <c r="J56" s="2803"/>
    </row>
    <row r="57" spans="1:10">
      <c r="A57" s="3235"/>
      <c r="B57" s="2864" t="str">
        <f>IF(ROUND(C57,4)&lt;&gt;ROUND(C56,4),"目标值","")</f>
        <v>目标值</v>
      </c>
      <c r="C57" s="2919">
        <f>0</f>
        <v>0</v>
      </c>
      <c r="D57" s="2904"/>
      <c r="E57" s="2905"/>
      <c r="F57" s="2986"/>
      <c r="G57" s="2903"/>
      <c r="H57" s="2911"/>
      <c r="I57" s="2803"/>
      <c r="J57" s="2803"/>
    </row>
    <row r="58" spans="1:10" ht="15">
      <c r="A58" s="2803" t="s">
        <v>3366</v>
      </c>
      <c r="B58" s="3232"/>
      <c r="C58" s="2924" t="str">
        <f>IF(B54&lt;&gt;"","",L120)</f>
        <v/>
      </c>
      <c r="D58" s="2904"/>
      <c r="E58" s="3106" t="str">
        <f>IF(C58="产生径向切入顶切！","注:应适当减少插齿刀齿数或改变其它参数","")</f>
        <v/>
      </c>
      <c r="F58" s="2986"/>
      <c r="G58" s="2903"/>
      <c r="H58" s="2911"/>
      <c r="I58" s="2803"/>
      <c r="J58" s="2803"/>
    </row>
    <row r="59" spans="1:10">
      <c r="A59" s="2803"/>
      <c r="B59" s="3111" t="str">
        <f>IF(B54&lt;&gt;"","",ROUND(K120,3))</f>
        <v/>
      </c>
      <c r="C59" s="3111" t="str">
        <f>IF(B54&lt;&gt;"","","应大于或等于")</f>
        <v/>
      </c>
      <c r="D59" s="3111" t="str">
        <f>IF(B54&lt;&gt;"","",ROUND(K110,3))</f>
        <v/>
      </c>
      <c r="E59" s="3106"/>
      <c r="F59" s="2986"/>
      <c r="G59" s="2903"/>
      <c r="H59" s="2911"/>
      <c r="I59" s="2803"/>
      <c r="J59" s="2803"/>
    </row>
    <row r="60" spans="1:10" ht="15.75">
      <c r="A60" s="2803" t="s">
        <v>4103</v>
      </c>
      <c r="B60" s="2808"/>
      <c r="C60" s="2924" t="str">
        <f>IF(B54&lt;&gt;"","",L127)</f>
        <v/>
      </c>
      <c r="D60" s="2904"/>
      <c r="E60" s="3106" t="str">
        <f>IF(C60="发生干涉顶切！","注: 应适当加大内齿轮顶圆直径或改变其它参数","")</f>
        <v/>
      </c>
      <c r="F60" s="2986"/>
      <c r="G60" s="2903"/>
      <c r="H60" s="2911"/>
      <c r="I60" s="2803"/>
      <c r="J60" s="2803"/>
    </row>
    <row r="61" spans="1:10">
      <c r="A61" s="2803"/>
      <c r="B61" s="3111" t="str">
        <f>IF(B54&lt;&gt;"","",ROUND(K103,3))</f>
        <v/>
      </c>
      <c r="C61" s="3111" t="str">
        <f>IF(B54&lt;&gt;"","","应大于或等于")</f>
        <v/>
      </c>
      <c r="D61" s="3111" t="str">
        <f>IF(B54&lt;&gt;"","",ROUND(K127,3))</f>
        <v/>
      </c>
      <c r="E61" s="3106"/>
      <c r="F61" s="2986"/>
      <c r="G61" s="2903"/>
      <c r="H61" s="2911"/>
      <c r="I61" s="2803"/>
      <c r="J61" s="2803"/>
    </row>
    <row r="62" spans="1:10" ht="15">
      <c r="A62" s="2803"/>
      <c r="B62" s="3232"/>
      <c r="C62" s="3240"/>
      <c r="D62" s="2904"/>
      <c r="E62" s="2905"/>
      <c r="F62" s="2986"/>
      <c r="G62" s="2903"/>
      <c r="H62" s="2911"/>
      <c r="I62" s="2803"/>
      <c r="J62" s="2803"/>
    </row>
    <row r="63" spans="1:10" ht="15">
      <c r="A63" s="3241"/>
      <c r="B63" s="3242"/>
      <c r="C63" s="3243"/>
      <c r="D63" s="3244"/>
      <c r="E63" s="3245"/>
      <c r="F63" s="3246"/>
      <c r="G63" s="3243"/>
      <c r="H63" s="3247"/>
      <c r="I63" s="2803"/>
      <c r="J63" s="2803"/>
    </row>
    <row r="64" spans="1:10" ht="15.75">
      <c r="A64" s="2933" t="s">
        <v>2935</v>
      </c>
      <c r="B64" s="2806"/>
      <c r="C64" s="2903"/>
      <c r="D64" s="2904"/>
      <c r="E64" s="2905"/>
      <c r="F64" s="2906"/>
      <c r="G64" s="2903"/>
      <c r="H64" s="2810"/>
      <c r="I64" s="2821"/>
      <c r="J64" s="2803"/>
    </row>
    <row r="65" spans="1:10" ht="15.75">
      <c r="A65" s="2817" t="s">
        <v>2936</v>
      </c>
      <c r="B65" s="2813" t="s">
        <v>2822</v>
      </c>
      <c r="C65" s="2786">
        <f>IF(C13="",RADIANS(20),RADIANS(C13))</f>
        <v>0.34906585039886601</v>
      </c>
      <c r="D65" s="2812" t="s">
        <v>2048</v>
      </c>
      <c r="E65" s="2797">
        <f>TAN(C65)-C65</f>
        <v>1.4904383867336401E-2</v>
      </c>
      <c r="F65" s="3252" t="s">
        <v>2937</v>
      </c>
      <c r="G65" s="2848"/>
      <c r="H65" s="2797"/>
      <c r="I65" s="2810"/>
      <c r="J65" s="2797"/>
    </row>
    <row r="66" spans="1:10" ht="15.75">
      <c r="A66" s="2817"/>
      <c r="B66" s="2806"/>
      <c r="C66" s="2786">
        <f>IF(C13="",20,C13)</f>
        <v>20</v>
      </c>
      <c r="D66" s="2810" t="s">
        <v>257</v>
      </c>
      <c r="E66" s="2797">
        <f>ROUND(INT(C66)+INT((C66-INT(C66))*60)/100+((C66-INT(C66))*60-INT((C66-INT(C66))*60))*60/10000,4)</f>
        <v>20</v>
      </c>
      <c r="F66" s="2810" t="s">
        <v>2938</v>
      </c>
      <c r="G66" s="2848"/>
      <c r="H66" s="2797"/>
      <c r="I66" s="2810"/>
      <c r="J66" s="2797"/>
    </row>
    <row r="67" spans="1:10" ht="15.75">
      <c r="A67" s="2813" t="s">
        <v>2939</v>
      </c>
      <c r="B67" s="2813" t="s">
        <v>2940</v>
      </c>
      <c r="C67" s="2786">
        <f>ATAN(TAN(C65)/COS(C68))</f>
        <v>0.34906585039886601</v>
      </c>
      <c r="D67" s="2812" t="s">
        <v>2048</v>
      </c>
      <c r="E67" s="2797">
        <f>TAN(C67)-C67</f>
        <v>1.4904383867336401E-2</v>
      </c>
      <c r="F67" s="3252" t="s">
        <v>2941</v>
      </c>
      <c r="G67" s="2848"/>
      <c r="H67" s="2810"/>
      <c r="I67" s="2821"/>
      <c r="J67" s="2941"/>
    </row>
    <row r="68" spans="1:10" ht="15">
      <c r="A68" s="2836" t="s">
        <v>2823</v>
      </c>
      <c r="B68" s="2813" t="s">
        <v>2824</v>
      </c>
      <c r="C68" s="2786">
        <f>RADIANS(C15)</f>
        <v>0</v>
      </c>
      <c r="D68" s="2812" t="s">
        <v>2048</v>
      </c>
      <c r="E68" s="2797"/>
      <c r="F68" s="2810"/>
      <c r="G68" s="2786"/>
      <c r="H68" s="3012"/>
      <c r="I68" s="2821"/>
      <c r="J68" s="2941"/>
    </row>
    <row r="69" spans="1:10" ht="15.75">
      <c r="A69" s="2836"/>
      <c r="B69" s="2806"/>
      <c r="C69" s="2786">
        <f>C15</f>
        <v>0</v>
      </c>
      <c r="D69" s="2810" t="s">
        <v>257</v>
      </c>
      <c r="E69" s="2786">
        <f>ROUND(INT(C69)+INT((C69-INT(C69))*60)/100+((C69-INT(C69))*60-INT((C69-INT(C69))*60))*60/10000,4)</f>
        <v>0</v>
      </c>
      <c r="F69" s="2810" t="s">
        <v>2938</v>
      </c>
      <c r="G69" s="2786"/>
      <c r="H69" s="3012"/>
      <c r="I69" s="2821"/>
      <c r="J69" s="2941"/>
    </row>
    <row r="70" spans="1:10" ht="15">
      <c r="A70" s="2813" t="s">
        <v>2944</v>
      </c>
      <c r="B70" s="2813" t="s">
        <v>2945</v>
      </c>
      <c r="C70" s="2786"/>
      <c r="D70" s="2812"/>
      <c r="E70" s="2821"/>
      <c r="F70" s="2821"/>
      <c r="G70" s="2786">
        <f>ATAN(G74*TAN(G68)/G73)</f>
        <v>0</v>
      </c>
      <c r="H70" s="2810"/>
      <c r="I70" s="2821"/>
      <c r="J70" s="2941"/>
    </row>
    <row r="71" spans="1:10" ht="15">
      <c r="A71" s="2813" t="s">
        <v>2946</v>
      </c>
      <c r="B71" s="2813" t="s">
        <v>2947</v>
      </c>
      <c r="C71" s="2786"/>
      <c r="D71" s="2812"/>
      <c r="E71" s="2821"/>
      <c r="F71" s="2821"/>
      <c r="G71" s="2786">
        <f>ATAN(G83*TAN(C68)/G73)</f>
        <v>0</v>
      </c>
      <c r="H71" s="2812" t="s">
        <v>2048</v>
      </c>
      <c r="I71" s="2821"/>
      <c r="J71" s="2941"/>
    </row>
    <row r="72" spans="1:10" ht="15.75">
      <c r="A72" s="2813" t="s">
        <v>2950</v>
      </c>
      <c r="B72" s="2806" t="s">
        <v>2951</v>
      </c>
      <c r="C72" s="2786">
        <f>C12/COS(C68)</f>
        <v>3</v>
      </c>
      <c r="D72" s="2810" t="s">
        <v>2820</v>
      </c>
      <c r="E72" s="2821"/>
      <c r="F72" s="2821"/>
      <c r="G72" s="2848"/>
      <c r="H72" s="2810"/>
      <c r="I72" s="3103"/>
      <c r="J72" s="2941"/>
    </row>
    <row r="73" spans="1:10" ht="15.75">
      <c r="A73" s="2817" t="s">
        <v>2952</v>
      </c>
      <c r="B73" s="2831" t="s">
        <v>2953</v>
      </c>
      <c r="C73" s="2786"/>
      <c r="D73" s="2810"/>
      <c r="E73" s="2786"/>
      <c r="F73" s="2806" t="s">
        <v>2954</v>
      </c>
      <c r="G73" s="2786">
        <f>C11*C72</f>
        <v>108</v>
      </c>
      <c r="H73" s="2810" t="s">
        <v>2820</v>
      </c>
      <c r="I73" s="3103"/>
      <c r="J73" s="2941"/>
    </row>
    <row r="74" spans="1:10" ht="15.75">
      <c r="A74" s="2817" t="s">
        <v>2958</v>
      </c>
      <c r="B74" s="2831" t="s">
        <v>2959</v>
      </c>
      <c r="C74" s="2786"/>
      <c r="D74" s="2810"/>
      <c r="E74" s="2786"/>
      <c r="F74" s="2831" t="s">
        <v>2960</v>
      </c>
      <c r="G74" s="2786">
        <f>G73*COS(C67)</f>
        <v>101.486803044878</v>
      </c>
      <c r="H74" s="2810" t="s">
        <v>2820</v>
      </c>
      <c r="I74" s="3103"/>
      <c r="J74" s="2815"/>
    </row>
    <row r="75" spans="1:10" ht="15.75">
      <c r="A75" s="2806" t="s">
        <v>2966</v>
      </c>
      <c r="B75" s="2831" t="s">
        <v>2967</v>
      </c>
      <c r="C75" s="2786">
        <f>PI()*C12</f>
        <v>9.4247779607693793</v>
      </c>
      <c r="D75" s="2810" t="s">
        <v>2820</v>
      </c>
      <c r="E75" s="2786"/>
      <c r="F75" s="2817"/>
      <c r="G75" s="2786"/>
      <c r="H75" s="2817"/>
      <c r="I75" s="3103"/>
      <c r="J75" s="2939"/>
    </row>
    <row r="76" spans="1:10" ht="15.75">
      <c r="A76" s="2806" t="s">
        <v>2968</v>
      </c>
      <c r="B76" s="2831" t="s">
        <v>2969</v>
      </c>
      <c r="C76" s="2786">
        <f>PI()*C72</f>
        <v>9.4247779607693793</v>
      </c>
      <c r="D76" s="2810" t="s">
        <v>2820</v>
      </c>
      <c r="E76" s="2786"/>
      <c r="F76" s="2817"/>
      <c r="G76" s="2786"/>
      <c r="H76" s="2817"/>
      <c r="I76" s="3103"/>
      <c r="J76" s="3196"/>
    </row>
    <row r="77" spans="1:10" ht="15.75">
      <c r="A77" s="2806" t="s">
        <v>2970</v>
      </c>
      <c r="B77" s="2831" t="s">
        <v>2971</v>
      </c>
      <c r="C77" s="2786">
        <f>C76*COS(C67)</f>
        <v>8.8563943022806502</v>
      </c>
      <c r="D77" s="2810" t="s">
        <v>2820</v>
      </c>
      <c r="E77" s="2936"/>
      <c r="F77" s="2937"/>
      <c r="G77" s="2786"/>
      <c r="H77" s="2817"/>
      <c r="I77" s="3103"/>
      <c r="J77" s="2815"/>
    </row>
    <row r="78" spans="1:10" ht="15.75">
      <c r="A78" s="2813" t="s">
        <v>2840</v>
      </c>
      <c r="B78" s="2831"/>
      <c r="C78" s="2786"/>
      <c r="D78" s="2810"/>
      <c r="E78" s="2786"/>
      <c r="F78" s="2831" t="s">
        <v>2973</v>
      </c>
      <c r="G78" s="2786">
        <f>IF(C21="",0,C21)</f>
        <v>0.5</v>
      </c>
      <c r="H78" s="2817"/>
      <c r="I78" s="3103"/>
      <c r="J78" s="2815"/>
    </row>
    <row r="79" spans="1:10" ht="15.75">
      <c r="A79" s="2813" t="s">
        <v>2974</v>
      </c>
      <c r="B79" s="2831"/>
      <c r="C79" s="2786"/>
      <c r="D79" s="2810"/>
      <c r="E79" s="2786"/>
      <c r="F79" s="2831" t="s">
        <v>2976</v>
      </c>
      <c r="G79" s="2786">
        <f>G78/COS(C68)</f>
        <v>0.5</v>
      </c>
      <c r="H79" s="2817"/>
      <c r="I79" s="3103"/>
      <c r="J79" s="2815"/>
    </row>
    <row r="80" spans="1:10" ht="15.75">
      <c r="A80" s="2817" t="s">
        <v>2981</v>
      </c>
      <c r="B80" s="2806"/>
      <c r="C80" s="2813"/>
      <c r="D80" s="2810"/>
      <c r="E80" s="2786"/>
      <c r="F80" s="2806" t="s">
        <v>2983</v>
      </c>
      <c r="G80" s="2813">
        <f>(G73-G83)/2</f>
        <v>1.5</v>
      </c>
      <c r="H80" s="2810" t="s">
        <v>2820</v>
      </c>
      <c r="I80" s="3103"/>
      <c r="J80" s="2815"/>
    </row>
    <row r="81" spans="1:10" ht="15.75">
      <c r="A81" s="2817" t="s">
        <v>2984</v>
      </c>
      <c r="B81" s="2806"/>
      <c r="C81" s="2813"/>
      <c r="D81" s="2810"/>
      <c r="E81" s="2786"/>
      <c r="F81" s="2806" t="s">
        <v>2986</v>
      </c>
      <c r="G81" s="2813">
        <f>(G85-G73)/2</f>
        <v>5.25</v>
      </c>
      <c r="H81" s="2810" t="s">
        <v>2820</v>
      </c>
      <c r="I81" s="3103"/>
      <c r="J81" s="2815"/>
    </row>
    <row r="82" spans="1:10" ht="15.75">
      <c r="A82" s="2817" t="s">
        <v>2987</v>
      </c>
      <c r="B82" s="2806"/>
      <c r="C82" s="2813"/>
      <c r="D82" s="2810"/>
      <c r="E82" s="2786"/>
      <c r="F82" s="2806" t="s">
        <v>4112</v>
      </c>
      <c r="G82" s="2813">
        <f>G80+G81</f>
        <v>6.75</v>
      </c>
      <c r="H82" s="2810" t="s">
        <v>2820</v>
      </c>
      <c r="I82" s="3103"/>
      <c r="J82" s="2815"/>
    </row>
    <row r="83" spans="1:10" ht="15.75">
      <c r="A83" s="2817" t="s">
        <v>2988</v>
      </c>
      <c r="B83" s="2831"/>
      <c r="C83" s="2813"/>
      <c r="D83" s="2810"/>
      <c r="E83" s="2786"/>
      <c r="F83" s="2831" t="s">
        <v>2990</v>
      </c>
      <c r="G83" s="2813">
        <f>IF(C24="",C23,C24)</f>
        <v>105</v>
      </c>
      <c r="H83" s="2810" t="s">
        <v>2820</v>
      </c>
      <c r="I83" s="3103"/>
      <c r="J83" s="2815"/>
    </row>
    <row r="84" spans="1:10" ht="15.75">
      <c r="A84" s="2813" t="s">
        <v>3002</v>
      </c>
      <c r="B84" s="2831"/>
      <c r="C84" s="2813"/>
      <c r="D84" s="2810"/>
      <c r="E84" s="2786"/>
      <c r="F84" s="2854" t="s">
        <v>4113</v>
      </c>
      <c r="G84" s="2813">
        <f>ACOS(G74/G83)</f>
        <v>0.25941197290094398</v>
      </c>
      <c r="H84" s="2810" t="s">
        <v>2820</v>
      </c>
      <c r="I84" s="2966">
        <f>TAN(G84)-G84</f>
        <v>5.9800269470029503E-3</v>
      </c>
      <c r="J84" s="2815"/>
    </row>
    <row r="85" spans="1:10" ht="15.75">
      <c r="A85" s="2817" t="s">
        <v>2994</v>
      </c>
      <c r="B85" s="2831"/>
      <c r="C85" s="2813"/>
      <c r="D85" s="2810"/>
      <c r="E85" s="2786"/>
      <c r="F85" s="2831" t="s">
        <v>2996</v>
      </c>
      <c r="G85" s="2813">
        <f>G73+2*C12*(C18+C20+C21)</f>
        <v>118.5</v>
      </c>
      <c r="H85" s="2810" t="s">
        <v>2820</v>
      </c>
      <c r="I85" s="3103"/>
      <c r="J85" s="2815"/>
    </row>
    <row r="86" spans="1:10" ht="15.75">
      <c r="A86" s="2813" t="s">
        <v>2997</v>
      </c>
      <c r="B86" s="2806"/>
      <c r="C86" s="2813"/>
      <c r="D86" s="2810"/>
      <c r="E86" s="2786"/>
      <c r="F86" s="2806" t="s">
        <v>2999</v>
      </c>
      <c r="G86" s="2813">
        <f>C72*(PI()/2-2*G78*TAN(C67))</f>
        <v>3.6204782775860802</v>
      </c>
      <c r="H86" s="2810" t="s">
        <v>2820</v>
      </c>
      <c r="I86" s="3103"/>
      <c r="J86" s="2815"/>
    </row>
    <row r="87" spans="1:10" ht="15.75">
      <c r="A87" s="2896"/>
      <c r="B87" s="2872"/>
      <c r="C87" s="2896"/>
      <c r="D87" s="2842"/>
      <c r="E87" s="2791"/>
      <c r="F87" s="2872"/>
      <c r="G87" s="2896"/>
      <c r="H87" s="2842"/>
      <c r="I87" s="3266"/>
      <c r="J87" s="2868"/>
    </row>
    <row r="88" spans="1:10" ht="15.75">
      <c r="A88" s="3060" t="s">
        <v>4114</v>
      </c>
      <c r="B88" s="2855"/>
      <c r="C88" s="2797"/>
      <c r="D88" s="2810"/>
      <c r="E88" s="2797"/>
      <c r="F88" s="2818"/>
      <c r="G88" s="2856"/>
      <c r="H88" s="2810"/>
      <c r="I88" s="2935"/>
      <c r="J88" s="2892"/>
    </row>
    <row r="89" spans="1:10" ht="15.75">
      <c r="A89" s="2797"/>
      <c r="B89" s="2968" t="s">
        <v>3116</v>
      </c>
      <c r="C89" s="2803"/>
      <c r="D89" s="2855"/>
      <c r="E89" s="2797">
        <f>IF(AND(C28=25,C12=1),26,IF(AND(C28=25,C12=1.25),20,IF(AND(C28=25,C12=1.5),18,IF(AND(C28=25,C12=1.75),15,IF(AND(C28=25,C12=2),13,IF(AND(C28=25,C12=2.25),12,IF(AND(C28=25,C12=2.5),10,F89)))))))</f>
        <v>0</v>
      </c>
      <c r="F89" s="2809">
        <f>IF(AND(C28=25,C12=1),26,IF(AND(C28=25,C12=1.25),20,IF(AND(C28=25,C12=1.5),18,IF(AND(C28=25,C12=1.75),15,IF(AND(C28=25,C12=2),13,IF(AND(C28=25,C12=2.25),12,IF(AND(C28=25,C12=2.5),10,G89)))))))</f>
        <v>0</v>
      </c>
      <c r="G89" s="2809">
        <f>IF(AND(C28=25,C12=2.75),10,IF(AND(C28=38,C12=1),38,IF(AND(C28=38,C12=1.25),30,IF(AND(C28=38,C12=1.5),25,IF(AND(C28=38,C12=1.75),22,IF(AND(C28=38,C12=2),19,IF(AND(C28=38,C12=2.25),16,H89)))))))</f>
        <v>0</v>
      </c>
      <c r="H89" s="2844">
        <f>IF(AND(C28=38,C12=2.5),15,IF(AND(C28=38,C12=2.75),14,IF(AND(C28=38,C12=3),12,IF(AND(C28=38,C12=3.25),12,IF(AND(C28=38,C12=3.5),11,IF(AND(C28=38,C12=3.75),10,I89))))))</f>
        <v>0</v>
      </c>
      <c r="I89" s="2809">
        <f>IF(AND(C28=50,C12=1),50,IF(AND(C28=50,C12=1.25),40,IF(AND(C28=50,C12=1.5),34,IF(AND(C28=50,C12=1.75),29,IF(AND(C28=50,C12=2),25,IF(AND(C28=50,C12=2.25),22,J89))))))</f>
        <v>0</v>
      </c>
      <c r="J89" s="2809">
        <f>IF(AND(C28=50,C12=2.5),20,IF(AND(C28=50,C12=2.75),18,IF(AND(C28=50,C12=3),17,IF(AND(C28=50,C12=3.25),15,IF(AND(C28=50,C12=3.5),14,K89)))))</f>
        <v>0</v>
      </c>
    </row>
    <row r="90" spans="1:10" ht="15.75">
      <c r="A90" s="2858" t="s">
        <v>3117</v>
      </c>
      <c r="B90" s="2968" t="s">
        <v>3118</v>
      </c>
      <c r="C90" s="2844"/>
      <c r="D90" s="2855"/>
      <c r="E90" s="2797">
        <f>IF(AND(C28=25,C12=1),28.72,IF(AND(C28=25,C12=1.25),28.38,IF(AND(C28=25,C12=1.5),31.04,IF(AND(C28=25,C12=1.75),30.89,IF(AND(C28=25,C12=2),31.24,IF(AND(C28=25,C12=2.25),32.9,IF(AND(C28=25,C12=2.5),31.26,F90)))))))</f>
        <v>0</v>
      </c>
      <c r="F90" s="2809">
        <f>IF(AND(C28=25,C12=1),28.72,IF(AND(C28=25,C12=1.25),28.38,IF(AND(C28=25,C12=1.5),31.04,IF(AND(C28=25,C12=1.75),30.89,IF(AND(C28=25,C12=2),31.24,IF(AND(C28=25,C12=2.25),32.9,IF(AND(C28=25,C12=2.5),31.26,G90)))))))</f>
        <v>0</v>
      </c>
      <c r="G90" s="2809">
        <f>IF(AND(C28=25,C12=2.75),34.48,IF(AND(C28=38,C12=1),40.72,IF(AND(C28=38,C12=1.25),40.88,IF(AND(C28=38,C12=1.5),41.54,IF(AND(C28=38,C12=1.75),43.24,IF(AND(C28=38,C12=2),43.4,IF(AND(C28=38,C12=2.25),41.98,H90)))))))</f>
        <v>0</v>
      </c>
      <c r="H90" s="2844">
        <f>IF(AND(C28=38,C12=2.5),44.26,IF(AND(C28=38,C12=2.75),45.88,IF(AND(C28=38,C12=3),43.74,IF(AND(C28=38,C12=3.25),47.58,IF(AND(C28=38,C12=3.5),47.52,IF(AND(C28=38,C12=3.75),46.88,I90))))))</f>
        <v>0</v>
      </c>
      <c r="I90" s="2809">
        <f>IF(AND(C28=50,C12=1),52.72,IF(AND(C28=50,C12=1.25),53.38,IF(AND(C28=50,C12=1.5),55.04,IF(AND(C28=50,C12=1.75),55.49,IF(AND(C28=50,C12=2),55.4,IF(AND(C28=50,C12=2.25),55.56,J90))))))</f>
        <v>0</v>
      </c>
      <c r="J90" s="2809">
        <f>IF(AND(C28=50,C12=2.5),56.76,IF(AND(C28=50,C12=2.75),56.92,IF(AND(C28=50,C12=3),59.1,IF(AND(C28=50,C12=3.25),57.53,IF(AND(C28=50,C12=3.5),58.44,K90)))))</f>
        <v>0</v>
      </c>
    </row>
    <row r="91" spans="1:10" ht="15.75">
      <c r="A91" s="2857" t="s">
        <v>3119</v>
      </c>
      <c r="B91" s="2968" t="s">
        <v>3120</v>
      </c>
      <c r="C91" s="2809"/>
      <c r="D91" s="2855"/>
      <c r="E91" s="2797">
        <f>IF(AND(C28=25,C12=1),1,IF(AND(C28=25,C12=1.25),1.2,IF(AND(C28=25,C12=1.5),1.4,IF(AND(C28=25,C12=1.75),1.3,IF(AND(C28=25,C12=2),1.1,IF(AND(C28=25,C12=2.25),1.3,IF(AND(C28=25,C12=2.5),0,F91)))))))</f>
        <v>0</v>
      </c>
      <c r="F91" s="2809">
        <f>IF(AND(C28=25,C12=1),1,IF(AND(C28=25,C12=1.25),1.2,IF(AND(C28=25,C12=1.5),1.4,IF(AND(C28=25,C12=1.75),1.3,IF(AND(C28=25,C12=2),1.1,IF(AND(C28=25,C12=2.25),1.3,IF(AND(C28=25,C12=2.5),0,G91)))))))</f>
        <v>0</v>
      </c>
      <c r="G91" s="2809">
        <f>IF(AND(C28=25,C12=2.75),0.5,IF(AND(C28=38,C12=1),1,IF(AND(C28=38,C12=1.25),1.2,IF(AND(C28=38,C12=1.5),1.4,IF(AND(C28=38,C12=1.75),1.7,IF(AND(C28=38,C12=2),1.9,IF(AND(C28=38,C12=2.25),1.7,H91)))))))</f>
        <v>0</v>
      </c>
      <c r="H91" s="2844">
        <f>IF(AND(C28=38,C12=2.5),2.4,IF(AND(C28=38,C12=2.75),2.4,IF(AND(C28=38,C12=3),1.1,IF(AND(C28=38,C12=3.25),2.2,IF(AND(C28=38,C12=3.5),1.3,IF(AND(C28=38,C12=3.75),0,I91))))))</f>
        <v>0</v>
      </c>
      <c r="I91" s="2809">
        <f>IF(AND(C28=50,C12=1),1,IF(AND(C28=50,C12=1.25),1.2,IF(AND(C28=50,C12=1.5),1.4,IF(AND(C28=50,C12=1.75),1.7,IF(AND(C28=50,C12=2),1.9,IF(AND(C28=50,C12=2.25),2.1,J91))))))</f>
        <v>0</v>
      </c>
      <c r="J91" s="2809">
        <f>IF(AND(C28=50,C12=2.5),2.4,IF(AND(C28=50,C12=2.75),2.6,IF(AND(C28=50,C12=3),2.9,IF(AND(C28=50,C12=3.25),3.1,IF(AND(C28=50,C12=3.5),3.3,K91)))))</f>
        <v>0</v>
      </c>
    </row>
    <row r="92" spans="1:10" ht="15.75">
      <c r="A92" s="3253"/>
      <c r="B92" s="2855"/>
      <c r="C92" s="2797"/>
      <c r="D92" s="2810"/>
      <c r="E92" s="2797"/>
      <c r="F92" s="2818"/>
      <c r="G92" s="2856"/>
      <c r="H92" s="2810"/>
      <c r="I92" s="2935"/>
      <c r="J92" s="2892"/>
    </row>
    <row r="93" spans="1:10" ht="15.75">
      <c r="A93" s="2797" t="s">
        <v>2925</v>
      </c>
      <c r="B93" s="2831" t="s">
        <v>2912</v>
      </c>
      <c r="C93" s="2786"/>
      <c r="D93" s="2831"/>
      <c r="E93" s="3113"/>
      <c r="F93" s="2831"/>
      <c r="G93" s="2797">
        <f>E89</f>
        <v>0</v>
      </c>
      <c r="H93" s="2810"/>
      <c r="I93" s="2797"/>
      <c r="J93" s="2818"/>
    </row>
    <row r="94" spans="1:10" ht="15.75">
      <c r="A94" s="2807" t="s">
        <v>3122</v>
      </c>
      <c r="B94" s="2831" t="s">
        <v>3123</v>
      </c>
      <c r="C94" s="2786"/>
      <c r="D94" s="2831"/>
      <c r="E94" s="3113"/>
      <c r="F94" s="2831"/>
      <c r="G94" s="2797">
        <f>C72*G93</f>
        <v>0</v>
      </c>
      <c r="H94" s="2810"/>
      <c r="I94" s="2797"/>
      <c r="J94" s="2818"/>
    </row>
    <row r="95" spans="1:10" ht="15.75">
      <c r="A95" s="2976" t="s">
        <v>3124</v>
      </c>
      <c r="B95" s="2831" t="s">
        <v>3125</v>
      </c>
      <c r="C95" s="2786"/>
      <c r="D95" s="2831"/>
      <c r="E95" s="3113"/>
      <c r="F95" s="2831"/>
      <c r="G95" s="2797">
        <f>G94*COS(C67)</f>
        <v>0</v>
      </c>
      <c r="H95" s="2810"/>
      <c r="I95" s="2797"/>
      <c r="J95" s="2818"/>
    </row>
    <row r="96" spans="1:10" ht="15.75">
      <c r="A96" s="2807" t="s">
        <v>3126</v>
      </c>
      <c r="B96" s="2870" t="s">
        <v>3127</v>
      </c>
      <c r="C96" s="2953"/>
      <c r="D96" s="2870"/>
      <c r="E96" s="3073"/>
      <c r="F96" s="2870"/>
      <c r="G96" s="2797">
        <f>IF(G94&lt;=27,0.47,IF(AND(G94&gt;27,G94&lt;=40),0.66,I96))</f>
        <v>0.47</v>
      </c>
      <c r="H96" s="2810"/>
      <c r="I96" s="2809">
        <f>ROUND(-0.0107*C12^2+0.2643*C12+0.3381,2)</f>
        <v>1.03</v>
      </c>
      <c r="J96" s="2818"/>
    </row>
    <row r="97" spans="1:10" ht="15.75">
      <c r="A97" s="2857" t="s">
        <v>2913</v>
      </c>
      <c r="B97" s="2806" t="s">
        <v>2914</v>
      </c>
      <c r="C97" s="2813"/>
      <c r="D97" s="2806"/>
      <c r="E97" s="3113"/>
      <c r="F97" s="2831"/>
      <c r="G97" s="2797">
        <f>ROUND((G99-G94)/2/C12,2)</f>
        <v>0</v>
      </c>
      <c r="H97" s="2808"/>
      <c r="I97" s="2797"/>
      <c r="J97" s="2818"/>
    </row>
    <row r="98" spans="1:10" ht="15.75">
      <c r="A98" s="2803" t="s">
        <v>4108</v>
      </c>
      <c r="B98" s="2797" t="s">
        <v>2928</v>
      </c>
      <c r="C98" s="2797"/>
      <c r="D98" s="2797"/>
      <c r="E98" s="3067"/>
      <c r="F98" s="2797"/>
      <c r="G98" s="2797">
        <f>RADIANS(I98)</f>
        <v>0.10471975511966</v>
      </c>
      <c r="H98" s="2810" t="s">
        <v>2048</v>
      </c>
      <c r="I98" s="3267">
        <v>6</v>
      </c>
      <c r="J98" s="2907" t="s">
        <v>257</v>
      </c>
    </row>
    <row r="99" spans="1:10" ht="15.75">
      <c r="A99" s="2807" t="s">
        <v>2915</v>
      </c>
      <c r="B99" s="2806"/>
      <c r="C99" s="2808"/>
      <c r="D99" s="2806"/>
      <c r="E99" s="3113"/>
      <c r="F99" s="2831"/>
      <c r="G99" s="2797">
        <f>E90-2*E91*TAN(G98)</f>
        <v>0</v>
      </c>
      <c r="H99" s="2808"/>
      <c r="I99" s="3073"/>
      <c r="J99" s="2818"/>
    </row>
    <row r="100" spans="1:10" ht="15.75">
      <c r="A100" s="2807" t="s">
        <v>3132</v>
      </c>
      <c r="B100" s="2831" t="s">
        <v>3133</v>
      </c>
      <c r="C100" s="2808"/>
      <c r="D100" s="2831"/>
      <c r="E100" s="3113"/>
      <c r="F100" s="3254"/>
      <c r="G100" s="2797">
        <f>IF(C32="",E91,(G101-G99)/(2*TAN(G98)))</f>
        <v>0</v>
      </c>
      <c r="H100" s="2810"/>
      <c r="I100" s="2953"/>
      <c r="J100" s="2818"/>
    </row>
    <row r="101" spans="1:10" ht="15.75">
      <c r="A101" s="2807" t="s">
        <v>2931</v>
      </c>
      <c r="B101" s="2806" t="s">
        <v>2917</v>
      </c>
      <c r="C101" s="2813"/>
      <c r="D101" s="2806"/>
      <c r="E101" s="3113"/>
      <c r="F101" s="2831"/>
      <c r="G101" s="2797">
        <f>IF(C32="",E90,C32)</f>
        <v>0</v>
      </c>
      <c r="H101" s="2810"/>
      <c r="I101" s="2797"/>
      <c r="J101" s="2818"/>
    </row>
    <row r="102" spans="1:10" ht="15.75">
      <c r="A102" s="2807" t="s">
        <v>3134</v>
      </c>
      <c r="B102" s="2806" t="s">
        <v>3135</v>
      </c>
      <c r="C102" s="2813"/>
      <c r="D102" s="2806"/>
      <c r="E102" s="3113"/>
      <c r="F102" s="2831"/>
      <c r="G102" s="2797">
        <f>G101-2*2*(C18+C20)*C12</f>
        <v>-15</v>
      </c>
      <c r="H102" s="2810"/>
      <c r="I102" s="2797"/>
      <c r="J102" s="2818"/>
    </row>
    <row r="103" spans="1:10" ht="15.75">
      <c r="A103" s="2788" t="s">
        <v>3136</v>
      </c>
      <c r="B103" s="2806" t="s">
        <v>2923</v>
      </c>
      <c r="C103" s="2813"/>
      <c r="D103" s="2806"/>
      <c r="E103" s="3113"/>
      <c r="F103" s="2831"/>
      <c r="G103" s="2797">
        <f>C34</f>
        <v>0</v>
      </c>
      <c r="H103" s="2810"/>
      <c r="I103" s="2797"/>
      <c r="J103" s="2818"/>
    </row>
    <row r="104" spans="1:10" ht="15.75">
      <c r="A104" s="2788" t="s">
        <v>3137</v>
      </c>
      <c r="B104" s="2806" t="s">
        <v>3138</v>
      </c>
      <c r="C104" s="2813"/>
      <c r="D104" s="2806"/>
      <c r="E104" s="3113"/>
      <c r="F104" s="2831"/>
      <c r="G104" s="2797">
        <f>G103/COS(C68)</f>
        <v>0</v>
      </c>
      <c r="H104" s="2810"/>
      <c r="I104" s="2809"/>
      <c r="J104" s="2818"/>
    </row>
    <row r="105" spans="1:10" ht="15">
      <c r="A105" s="2807" t="s">
        <v>3139</v>
      </c>
      <c r="B105" s="2813" t="s">
        <v>3140</v>
      </c>
      <c r="C105" s="2813"/>
      <c r="D105" s="2813"/>
      <c r="E105" s="3113"/>
      <c r="F105" s="2786"/>
      <c r="G105" s="2797">
        <f>C71</f>
        <v>0</v>
      </c>
      <c r="H105" s="2810"/>
      <c r="I105" s="2809">
        <f t="shared" ref="I105:I107" si="0">DEGREES(G105)</f>
        <v>0</v>
      </c>
      <c r="J105" s="2818"/>
    </row>
    <row r="106" spans="1:10" ht="15">
      <c r="A106" s="2807" t="s">
        <v>3141</v>
      </c>
      <c r="B106" s="2813" t="s">
        <v>3142</v>
      </c>
      <c r="C106" s="2813"/>
      <c r="D106" s="2813"/>
      <c r="E106" s="3113"/>
      <c r="F106" s="2786"/>
      <c r="G106" s="2786" t="e">
        <f>ATAN(TAN(G107)*COS(G105))</f>
        <v>#DIV/0!</v>
      </c>
      <c r="H106" s="2911"/>
      <c r="I106" s="2809" t="e">
        <f t="shared" si="0"/>
        <v>#DIV/0!</v>
      </c>
      <c r="J106" s="2818"/>
    </row>
    <row r="107" spans="1:10" ht="15">
      <c r="A107" s="2807" t="s">
        <v>3143</v>
      </c>
      <c r="B107" s="2813" t="s">
        <v>3144</v>
      </c>
      <c r="C107" s="2813"/>
      <c r="D107" s="2813"/>
      <c r="E107" s="3113"/>
      <c r="F107" s="2786"/>
      <c r="G107" s="2797" t="e">
        <f>ACOS(G95/G101)</f>
        <v>#DIV/0!</v>
      </c>
      <c r="H107" s="2911"/>
      <c r="I107" s="2809" t="e">
        <f t="shared" si="0"/>
        <v>#DIV/0!</v>
      </c>
      <c r="J107" s="2818"/>
    </row>
    <row r="108" spans="1:10" ht="15.75">
      <c r="A108" s="3153"/>
      <c r="B108" s="3255" t="s">
        <v>3145</v>
      </c>
      <c r="C108" s="3256"/>
      <c r="D108" s="3255"/>
      <c r="E108" s="3257"/>
      <c r="F108" s="3258"/>
      <c r="G108" s="2797" t="e">
        <f>TAN(G107)-G107</f>
        <v>#DIV/0!</v>
      </c>
      <c r="H108" s="2911"/>
      <c r="I108" s="2809"/>
      <c r="J108" s="2818"/>
    </row>
    <row r="109" spans="1:10" ht="15.75">
      <c r="A109" s="2807" t="s">
        <v>3146</v>
      </c>
      <c r="B109" s="2806" t="s">
        <v>3147</v>
      </c>
      <c r="C109" s="2797"/>
      <c r="D109" s="2810"/>
      <c r="E109" s="3067"/>
      <c r="F109" s="2900"/>
      <c r="G109" s="2797">
        <f>PI()*C72/2+2*G103*C72*TAN(C67)</f>
        <v>4.7123889803846897</v>
      </c>
      <c r="H109" s="2810"/>
      <c r="I109" s="2809"/>
      <c r="J109" s="2892"/>
    </row>
    <row r="110" spans="1:10" ht="15">
      <c r="A110" s="2976" t="s">
        <v>3148</v>
      </c>
      <c r="B110" s="3259" t="s">
        <v>3149</v>
      </c>
      <c r="C110" s="2797"/>
      <c r="D110" s="2810"/>
      <c r="E110" s="3067"/>
      <c r="F110" s="2848"/>
      <c r="G110" s="2797" t="e">
        <f>G109/(C72*G93)+E67-G108</f>
        <v>#DIV/0!</v>
      </c>
      <c r="H110" s="2810"/>
      <c r="I110" s="3123" t="e">
        <f t="shared" ref="I110:I114" si="1">DEGREES(G110)</f>
        <v>#DIV/0!</v>
      </c>
      <c r="J110" s="2892"/>
    </row>
    <row r="111" spans="1:10" ht="15.75">
      <c r="A111" s="3153"/>
      <c r="B111" s="2806" t="s">
        <v>1069</v>
      </c>
      <c r="C111" s="2797"/>
      <c r="D111" s="2810"/>
      <c r="E111" s="3067"/>
      <c r="F111" s="2900"/>
      <c r="G111" s="2797">
        <f>G93/C11</f>
        <v>0</v>
      </c>
      <c r="H111" s="2810"/>
      <c r="I111" s="2809"/>
      <c r="J111" s="2892"/>
    </row>
    <row r="112" spans="1:10" ht="15.75">
      <c r="A112" s="3153"/>
      <c r="B112" s="2813" t="s">
        <v>3150</v>
      </c>
      <c r="C112" s="2797"/>
      <c r="D112" s="2810"/>
      <c r="E112" s="3067" t="e">
        <f>(C11-2*(C18-G79))/(G93+2*(G97+G104))</f>
        <v>#DIV/0!</v>
      </c>
      <c r="F112" s="2900"/>
      <c r="G112" s="2801" t="e">
        <f>IF(E112&lt;1,1,E112)</f>
        <v>#DIV/0!</v>
      </c>
      <c r="H112" s="2810"/>
      <c r="I112" s="3067" t="e">
        <f>(C11-2*(C18-G79))/(K93+2*(K97+K104))</f>
        <v>#DIV/0!</v>
      </c>
      <c r="J112" s="2892"/>
    </row>
    <row r="113" spans="1:10" ht="15.75">
      <c r="A113" s="3153"/>
      <c r="B113" s="3260" t="s">
        <v>3151</v>
      </c>
      <c r="C113" s="2797"/>
      <c r="D113" s="2810"/>
      <c r="E113" s="3067"/>
      <c r="F113" s="2900"/>
      <c r="G113" s="2797" t="e">
        <f>ASIN(SQRT((1-G112^2*G111^2)/(1-G111^2)))</f>
        <v>#DIV/0!</v>
      </c>
      <c r="H113" s="2810"/>
      <c r="I113" s="2809" t="e">
        <f t="shared" si="1"/>
        <v>#DIV/0!</v>
      </c>
      <c r="J113" s="2892"/>
    </row>
    <row r="114" spans="1:10" ht="15.75">
      <c r="A114" s="3153"/>
      <c r="B114" s="3261" t="s">
        <v>3152</v>
      </c>
      <c r="C114" s="2797"/>
      <c r="D114" s="2810"/>
      <c r="E114" s="3067"/>
      <c r="F114" s="2900"/>
      <c r="G114" s="2797" t="e">
        <f>ASIN(1/G112*SQRT((1-G112^2*G111^2)/(1-G111^2)))</f>
        <v>#DIV/0!</v>
      </c>
      <c r="H114" s="2810"/>
      <c r="I114" s="2809" t="e">
        <f t="shared" si="1"/>
        <v>#DIV/0!</v>
      </c>
      <c r="J114" s="2892"/>
    </row>
    <row r="115" spans="1:10" ht="15">
      <c r="A115" s="2807" t="s">
        <v>3153</v>
      </c>
      <c r="B115" s="2813" t="s">
        <v>3154</v>
      </c>
      <c r="C115" s="2797"/>
      <c r="D115" s="2810"/>
      <c r="E115" s="3067"/>
      <c r="F115" s="2900"/>
      <c r="G115" s="2797">
        <f>PI()*C72-G86</f>
        <v>5.8042996831832996</v>
      </c>
      <c r="H115" s="2810"/>
      <c r="I115" s="2809"/>
      <c r="J115" s="2892"/>
    </row>
    <row r="116" spans="1:10" ht="15">
      <c r="A116" s="2807" t="s">
        <v>3155</v>
      </c>
      <c r="B116" s="2813" t="s">
        <v>3156</v>
      </c>
      <c r="C116" s="2797"/>
      <c r="D116" s="2810"/>
      <c r="E116" s="3067"/>
      <c r="F116" s="2900"/>
      <c r="G116" s="2797">
        <f>G84</f>
        <v>0.25941197290094398</v>
      </c>
      <c r="H116" s="2810"/>
      <c r="I116" s="2809">
        <f t="shared" ref="I116:I120" si="2">DEGREES(G116)</f>
        <v>14.8632112023862</v>
      </c>
      <c r="J116" s="2892"/>
    </row>
    <row r="117" spans="1:10" ht="15">
      <c r="A117" s="2807" t="s">
        <v>3157</v>
      </c>
      <c r="B117" s="2813" t="s">
        <v>3158</v>
      </c>
      <c r="C117" s="2797"/>
      <c r="D117" s="2810"/>
      <c r="E117" s="3067"/>
      <c r="F117" s="2900"/>
      <c r="G117" s="2797">
        <f>G115/(C72*C11)+E67-I84</f>
        <v>6.2667872505364E-2</v>
      </c>
      <c r="H117" s="2810"/>
      <c r="I117" s="2809">
        <f t="shared" si="2"/>
        <v>3.5906046056212899</v>
      </c>
      <c r="J117" s="2892"/>
    </row>
    <row r="118" spans="1:10" ht="15.75">
      <c r="A118" s="2807"/>
      <c r="B118" s="2806" t="s">
        <v>3159</v>
      </c>
      <c r="C118" s="2797"/>
      <c r="D118" s="2810"/>
      <c r="E118" s="3067"/>
      <c r="F118" s="2900"/>
      <c r="G118" s="2797" t="e">
        <f>G114-G117</f>
        <v>#DIV/0!</v>
      </c>
      <c r="H118" s="2810"/>
      <c r="I118" s="2809" t="e">
        <f t="shared" si="2"/>
        <v>#DIV/0!</v>
      </c>
      <c r="J118" s="2892"/>
    </row>
    <row r="119" spans="1:10" ht="15.75">
      <c r="A119" s="2807"/>
      <c r="B119" s="2813" t="s">
        <v>3160</v>
      </c>
      <c r="C119" s="2797"/>
      <c r="D119" s="2810"/>
      <c r="E119" s="3067"/>
      <c r="F119" s="2900"/>
      <c r="G119" s="2797" t="e">
        <f>G118/G111</f>
        <v>#DIV/0!</v>
      </c>
      <c r="H119" s="2810"/>
      <c r="I119" s="2809" t="e">
        <f t="shared" si="2"/>
        <v>#DIV/0!</v>
      </c>
      <c r="J119" s="2892"/>
    </row>
    <row r="120" spans="1:10" ht="15.75">
      <c r="A120" s="2807" t="s">
        <v>3161</v>
      </c>
      <c r="B120" s="3262" t="s">
        <v>3162</v>
      </c>
      <c r="C120" s="2797"/>
      <c r="D120" s="2810"/>
      <c r="E120" s="3067"/>
      <c r="F120" s="2848"/>
      <c r="G120" s="2797" t="e">
        <f>G113-G119</f>
        <v>#DIV/0!</v>
      </c>
      <c r="H120" s="2821" t="e">
        <f>IF(G120&gt;=G110,"不产生径向切入顶切","产生径向切入顶切！")</f>
        <v>#DIV/0!</v>
      </c>
      <c r="I120" s="3123" t="e">
        <f t="shared" si="2"/>
        <v>#DIV/0!</v>
      </c>
      <c r="J120" s="2892"/>
    </row>
    <row r="121" spans="1:10" ht="15.75">
      <c r="A121" s="2807"/>
      <c r="B121" s="3258" t="s">
        <v>4115</v>
      </c>
      <c r="C121" s="2797"/>
      <c r="D121" s="2810"/>
      <c r="E121" s="3067"/>
      <c r="F121" s="2848"/>
      <c r="G121" s="2797">
        <f>E67+2*(G78-G103)/(C11-G93)*TAN(C67)</f>
        <v>2.50146681525087E-2</v>
      </c>
      <c r="H121" s="2821"/>
      <c r="I121" s="2797"/>
      <c r="J121" s="2892"/>
    </row>
    <row r="122" spans="1:10" ht="15">
      <c r="A122" s="2807" t="s">
        <v>3167</v>
      </c>
      <c r="B122" s="3261" t="s">
        <v>3168</v>
      </c>
      <c r="C122" s="2797"/>
      <c r="D122" s="2810"/>
      <c r="E122" s="3067"/>
      <c r="F122" s="2900"/>
      <c r="G122" s="2797">
        <f>C36</f>
        <v>0.48231557318290702</v>
      </c>
      <c r="H122" s="2810"/>
      <c r="I122" s="2809">
        <f>DEGREES(G122)</f>
        <v>27.6346467368137</v>
      </c>
      <c r="J122" s="2892"/>
    </row>
    <row r="123" spans="1:10" ht="15.75">
      <c r="A123" s="2807" t="s">
        <v>3169</v>
      </c>
      <c r="B123" s="2806" t="s">
        <v>3170</v>
      </c>
      <c r="C123" s="2797"/>
      <c r="D123" s="2810"/>
      <c r="E123" s="3067"/>
      <c r="F123" s="2900"/>
      <c r="G123" s="2797">
        <f>C72*(C11-G93)/2*COS(C67)/COS(G122)</f>
        <v>57.277423093960302</v>
      </c>
      <c r="H123" s="2810"/>
      <c r="I123" s="2809"/>
      <c r="J123" s="2892"/>
    </row>
    <row r="124" spans="1:10" ht="15.75">
      <c r="A124" s="3092"/>
      <c r="B124" s="2985" t="s">
        <v>3171</v>
      </c>
      <c r="C124" s="2797"/>
      <c r="D124" s="2810"/>
      <c r="E124" s="3067"/>
      <c r="F124" s="2900"/>
      <c r="G124" s="3191">
        <f>G93/C11</f>
        <v>0</v>
      </c>
      <c r="H124" s="3263"/>
      <c r="I124" s="3268"/>
      <c r="J124" s="2892"/>
    </row>
    <row r="125" spans="1:10" ht="15.75">
      <c r="A125" s="3092"/>
      <c r="B125" s="2985"/>
      <c r="C125" s="2797"/>
      <c r="D125" s="2810"/>
      <c r="E125" s="3067"/>
      <c r="F125" s="3264" t="s">
        <v>3172</v>
      </c>
      <c r="G125" s="3191">
        <f>1-TAN(G84)/TAN(G122)</f>
        <v>0.493098732449678</v>
      </c>
      <c r="H125" s="3265" t="str">
        <f>IF(G124&lt;G125,"发生范成顶切！","不发生范成顶切")</f>
        <v>发生范成顶切！</v>
      </c>
      <c r="I125" s="3268"/>
      <c r="J125" s="3264" t="s">
        <v>3172</v>
      </c>
    </row>
    <row r="126" spans="1:10" ht="15">
      <c r="A126" s="3092"/>
      <c r="B126" s="3261" t="s">
        <v>3176</v>
      </c>
      <c r="C126" s="2797"/>
      <c r="D126" s="2810"/>
      <c r="E126" s="3067"/>
      <c r="F126" s="2900"/>
      <c r="G126" s="2797">
        <f>ATAN(2*SQRT((G83/2)^2-(G74/2)^2)/(C72*(C11-G93)*COS(C67)))</f>
        <v>0.25941197290094498</v>
      </c>
      <c r="H126" s="2967">
        <f>TAN(G126)-G126</f>
        <v>5.9800269470029503E-3</v>
      </c>
      <c r="I126" s="2809">
        <f>DEGREES(G126)</f>
        <v>14.8632112023862</v>
      </c>
      <c r="J126" s="2892"/>
    </row>
    <row r="127" spans="1:10" ht="15.75">
      <c r="A127" s="3092"/>
      <c r="B127" s="3260" t="s">
        <v>4116</v>
      </c>
      <c r="C127" s="2797"/>
      <c r="D127" s="2810"/>
      <c r="E127" s="3067"/>
      <c r="F127" s="2900"/>
      <c r="G127" s="2797">
        <f>G78-(H126-E67)*(C11-G93)/(2*TAN(C67))</f>
        <v>0.94135044419185798</v>
      </c>
      <c r="H127" s="2821" t="str">
        <f>IF(G103&lt;G127,"发生干涉顶切！","不发生干涉顶切")</f>
        <v>发生干涉顶切！</v>
      </c>
      <c r="I127" s="2972"/>
      <c r="J127" s="2892"/>
    </row>
    <row r="128" spans="1:10" ht="15.75">
      <c r="A128" s="3092"/>
      <c r="B128" s="2985"/>
      <c r="C128" s="2797"/>
      <c r="D128" s="2810"/>
      <c r="E128" s="3067"/>
      <c r="F128" s="2900"/>
      <c r="G128" s="2797"/>
      <c r="H128" s="2821"/>
      <c r="I128" s="2972"/>
      <c r="J128" s="2892"/>
    </row>
    <row r="129" spans="1:10" ht="15.75">
      <c r="A129" s="2842"/>
      <c r="B129" s="2872"/>
      <c r="C129" s="2791"/>
      <c r="D129" s="2842"/>
      <c r="E129" s="3269"/>
      <c r="F129" s="2820"/>
      <c r="G129" s="2926"/>
      <c r="H129" s="2842"/>
      <c r="I129" s="2935"/>
      <c r="J129" s="2892"/>
    </row>
    <row r="130" spans="1:10" ht="15.75">
      <c r="A130" s="2864"/>
      <c r="B130" s="3203"/>
      <c r="C130" s="2791"/>
      <c r="D130" s="2926"/>
      <c r="E130" s="2791"/>
      <c r="F130" s="3204"/>
      <c r="G130" s="2791"/>
      <c r="H130" s="2899"/>
      <c r="I130" s="2803"/>
      <c r="J130" s="2965"/>
    </row>
    <row r="131" spans="1:10" ht="15">
      <c r="A131" s="2987"/>
      <c r="B131" s="2988"/>
      <c r="C131" s="2928"/>
      <c r="D131" s="2989"/>
      <c r="E131" s="2928"/>
      <c r="F131" s="2990"/>
      <c r="G131" s="2928"/>
      <c r="H131" s="2990"/>
      <c r="I131" s="2797"/>
      <c r="J131" s="2809"/>
    </row>
    <row r="132" spans="1:10" ht="15.75">
      <c r="A132" s="2991" t="s">
        <v>4117</v>
      </c>
      <c r="B132" s="2992"/>
      <c r="C132" s="2959"/>
      <c r="D132" s="2835"/>
      <c r="E132" s="2835"/>
      <c r="F132" s="2835"/>
      <c r="G132" s="2959"/>
      <c r="H132" s="2993"/>
      <c r="I132" s="2797"/>
      <c r="J132" s="2809"/>
    </row>
    <row r="133" spans="1:10" ht="15.75">
      <c r="A133" s="2815"/>
      <c r="B133" s="2801"/>
      <c r="C133" s="2797"/>
      <c r="D133" s="2809"/>
      <c r="E133" s="2809"/>
      <c r="F133" s="2809"/>
      <c r="G133" s="2797"/>
      <c r="H133" s="2810"/>
      <c r="I133" s="2797"/>
      <c r="J133" s="2797"/>
    </row>
    <row r="134" spans="1:10" ht="15.75">
      <c r="A134" s="2815"/>
      <c r="B134" s="2801"/>
      <c r="C134" s="2797"/>
      <c r="D134" s="2809"/>
      <c r="E134" s="2809"/>
      <c r="F134" s="2809"/>
      <c r="G134" s="2797"/>
      <c r="H134" s="2810"/>
      <c r="I134" s="2797"/>
      <c r="J134" s="2797"/>
    </row>
    <row r="135" spans="1:10" ht="15.75">
      <c r="A135" s="2815"/>
      <c r="B135" s="2801"/>
      <c r="C135" s="2797"/>
      <c r="D135" s="2809"/>
      <c r="E135" s="2809"/>
      <c r="F135" s="2809"/>
      <c r="G135" s="2797"/>
      <c r="H135" s="2810"/>
      <c r="I135" s="2797"/>
      <c r="J135" s="2797"/>
    </row>
    <row r="136" spans="1:10" ht="15.75">
      <c r="A136" s="2815"/>
      <c r="B136" s="2801"/>
      <c r="C136" s="2797"/>
      <c r="D136" s="2809"/>
      <c r="E136" s="2809"/>
      <c r="F136" s="2809"/>
      <c r="G136" s="2797"/>
      <c r="H136" s="2810"/>
      <c r="I136" s="2797"/>
      <c r="J136" s="2797"/>
    </row>
    <row r="137" spans="1:10" ht="15.75">
      <c r="A137" s="2815"/>
      <c r="B137" s="2801"/>
      <c r="C137" s="2797"/>
      <c r="D137" s="2809"/>
      <c r="E137" s="2809"/>
      <c r="F137" s="2809"/>
      <c r="G137" s="2797"/>
      <c r="H137" s="2810"/>
      <c r="I137" s="2797"/>
      <c r="J137" s="2797"/>
    </row>
    <row r="138" spans="1:10" ht="15.75">
      <c r="A138" s="2815"/>
      <c r="B138" s="2801"/>
      <c r="C138" s="2797"/>
      <c r="D138" s="2809"/>
      <c r="E138" s="2809"/>
      <c r="F138" s="2809"/>
      <c r="G138" s="2797"/>
      <c r="H138" s="2810"/>
      <c r="I138" s="2797"/>
      <c r="J138" s="2797"/>
    </row>
    <row r="139" spans="1:10" ht="23.25">
      <c r="A139" s="3145" t="s">
        <v>4118</v>
      </c>
      <c r="B139" s="2806"/>
      <c r="C139" s="3129"/>
      <c r="D139" s="2817"/>
      <c r="E139" s="2813"/>
      <c r="F139" s="2817"/>
      <c r="G139" s="2770" t="str">
        <f>IF(G1="","",G1)</f>
        <v>编号：</v>
      </c>
      <c r="H139" s="2813">
        <f>IF(H1="","",H1)</f>
        <v>15</v>
      </c>
      <c r="I139" s="2797"/>
      <c r="J139" s="2797"/>
    </row>
    <row r="140" spans="1:10" ht="15">
      <c r="A140" s="2997" t="s">
        <v>2804</v>
      </c>
      <c r="B140" s="3147"/>
      <c r="C140" s="2903" t="str">
        <f t="shared" ref="C140:C142" si="3">IF(C7=0,"",C7)</f>
        <v/>
      </c>
      <c r="D140" s="2781"/>
      <c r="E140" s="2997" t="s">
        <v>4119</v>
      </c>
      <c r="F140" s="2784"/>
      <c r="G140" s="2903">
        <f>IF(G7=0,"",G7)</f>
        <v>10026</v>
      </c>
      <c r="H140" s="2783"/>
      <c r="I140" s="2797"/>
      <c r="J140" s="2797"/>
    </row>
    <row r="141" spans="1:10">
      <c r="A141" s="2997" t="s">
        <v>2806</v>
      </c>
      <c r="B141" s="2997"/>
      <c r="C141" s="2903">
        <f t="shared" si="3"/>
        <v>30201</v>
      </c>
      <c r="D141" s="2999"/>
      <c r="E141" s="2999"/>
      <c r="F141" s="2997"/>
      <c r="G141" s="2903"/>
      <c r="H141" s="2999"/>
      <c r="I141" s="2797"/>
      <c r="J141" s="2797"/>
    </row>
    <row r="142" spans="1:10" ht="15.75">
      <c r="A142" s="2997" t="s">
        <v>3282</v>
      </c>
      <c r="B142" s="2801"/>
      <c r="C142" s="2797" t="str">
        <f t="shared" si="3"/>
        <v/>
      </c>
      <c r="D142" s="3000"/>
      <c r="E142" s="2997" t="s">
        <v>2810</v>
      </c>
      <c r="F142" s="2800"/>
      <c r="G142" s="2797" t="str">
        <f>IF(G9=0,"",G9)</f>
        <v/>
      </c>
      <c r="H142" s="2783"/>
      <c r="I142" s="2797"/>
      <c r="J142" s="2797"/>
    </row>
    <row r="143" spans="1:10" ht="15.75">
      <c r="A143" s="3001" t="s">
        <v>3283</v>
      </c>
      <c r="B143" s="2801"/>
      <c r="C143" s="2791"/>
      <c r="D143" s="3002"/>
      <c r="E143" s="2794"/>
      <c r="F143" s="2794"/>
      <c r="G143" s="2791"/>
      <c r="H143" s="2783"/>
      <c r="I143" s="2797"/>
      <c r="J143" s="2797"/>
    </row>
    <row r="144" spans="1:10" ht="15.75">
      <c r="A144" s="3004" t="s">
        <v>3284</v>
      </c>
      <c r="B144" s="3212"/>
      <c r="C144" s="3004" t="s">
        <v>2888</v>
      </c>
      <c r="D144" s="3006"/>
      <c r="E144" s="3007"/>
      <c r="F144" s="3008"/>
      <c r="G144" s="3004" t="s">
        <v>2889</v>
      </c>
      <c r="H144" s="3009"/>
      <c r="I144" s="2797"/>
      <c r="J144" s="2797"/>
    </row>
    <row r="145" spans="1:10" ht="15">
      <c r="A145" s="3010" t="s">
        <v>3285</v>
      </c>
      <c r="B145" s="2983"/>
      <c r="C145" s="3011"/>
      <c r="D145" s="2807"/>
      <c r="E145" s="2797"/>
      <c r="F145" s="2807"/>
      <c r="G145" s="3011"/>
      <c r="H145" s="2807"/>
      <c r="I145" s="2797"/>
      <c r="J145" s="2797"/>
    </row>
    <row r="146" spans="1:10" ht="15.75">
      <c r="A146" s="2818" t="s">
        <v>3287</v>
      </c>
      <c r="B146" s="2801" t="s">
        <v>1139</v>
      </c>
      <c r="C146" s="2797"/>
      <c r="D146" s="2801"/>
      <c r="E146" s="2797">
        <f>C11</f>
        <v>36</v>
      </c>
      <c r="F146" s="2801"/>
      <c r="G146" s="2797"/>
      <c r="H146" s="2900"/>
      <c r="I146" s="2797"/>
      <c r="J146" s="2797"/>
    </row>
    <row r="147" spans="1:10" ht="15.75">
      <c r="A147" s="2818" t="s">
        <v>3288</v>
      </c>
      <c r="B147" s="2801" t="s">
        <v>2819</v>
      </c>
      <c r="C147" s="2797"/>
      <c r="D147" s="2810"/>
      <c r="E147" s="2797">
        <f>C12</f>
        <v>3</v>
      </c>
      <c r="F147" s="2810" t="s">
        <v>2820</v>
      </c>
      <c r="G147" s="2797"/>
      <c r="H147" s="2900"/>
      <c r="I147" s="2797"/>
      <c r="J147" s="2797"/>
    </row>
    <row r="148" spans="1:10" ht="15.75">
      <c r="A148" s="2818" t="s">
        <v>3289</v>
      </c>
      <c r="B148" s="2797" t="s">
        <v>2822</v>
      </c>
      <c r="C148" s="2797"/>
      <c r="D148" s="2810"/>
      <c r="E148" s="2797">
        <f>C66</f>
        <v>20</v>
      </c>
      <c r="F148" s="2810" t="s">
        <v>257</v>
      </c>
      <c r="G148" s="2797"/>
      <c r="H148" s="2900"/>
      <c r="I148" s="2797"/>
      <c r="J148" s="2786"/>
    </row>
    <row r="149" spans="1:10" ht="15.75">
      <c r="A149" s="2818">
        <f>A15</f>
        <v>0</v>
      </c>
      <c r="B149" s="2801">
        <f>B15</f>
        <v>0</v>
      </c>
      <c r="C149" s="2797"/>
      <c r="D149" s="2810"/>
      <c r="E149" s="2797">
        <f>C15</f>
        <v>0</v>
      </c>
      <c r="F149" s="2810" t="s">
        <v>257</v>
      </c>
      <c r="G149" s="2797"/>
      <c r="H149" s="2900"/>
      <c r="I149" s="2797"/>
      <c r="J149" s="2786"/>
    </row>
    <row r="150" spans="1:10" ht="15.75">
      <c r="A150" s="2818" t="s">
        <v>3290</v>
      </c>
      <c r="B150" s="2801" t="s">
        <v>2534</v>
      </c>
      <c r="C150" s="2797"/>
      <c r="D150" s="2810"/>
      <c r="E150" s="2797">
        <f>C16</f>
        <v>15</v>
      </c>
      <c r="F150" s="2810" t="s">
        <v>2820</v>
      </c>
      <c r="G150" s="2797"/>
      <c r="H150" s="2900"/>
      <c r="I150" s="2797"/>
      <c r="J150" s="2786"/>
    </row>
    <row r="151" spans="1:10" ht="15.75">
      <c r="A151" s="2813" t="s">
        <v>3291</v>
      </c>
      <c r="B151" s="2806" t="s">
        <v>2831</v>
      </c>
      <c r="C151" s="2797"/>
      <c r="D151" s="2810"/>
      <c r="E151" s="2797">
        <f>C18</f>
        <v>1</v>
      </c>
      <c r="F151" s="2810"/>
      <c r="G151" s="2797"/>
      <c r="H151" s="2900"/>
      <c r="I151" s="2797"/>
      <c r="J151" s="2786"/>
    </row>
    <row r="152" spans="1:10" ht="15.75">
      <c r="A152" s="2813" t="s">
        <v>2835</v>
      </c>
      <c r="B152" s="2806" t="s">
        <v>2836</v>
      </c>
      <c r="C152" s="2797"/>
      <c r="D152" s="2810"/>
      <c r="E152" s="2797">
        <f>C20</f>
        <v>0.25</v>
      </c>
      <c r="F152" s="2810"/>
      <c r="G152" s="2797"/>
      <c r="H152" s="2900"/>
      <c r="I152" s="2797"/>
      <c r="J152" s="2786"/>
    </row>
    <row r="153" spans="1:10" ht="15.75">
      <c r="A153" s="2818" t="s">
        <v>3293</v>
      </c>
      <c r="B153" s="2801" t="s">
        <v>3294</v>
      </c>
      <c r="C153" s="2797"/>
      <c r="D153" s="2810"/>
      <c r="E153" s="2797">
        <f>2*C18+C20</f>
        <v>2.25</v>
      </c>
      <c r="F153" s="2801"/>
      <c r="G153" s="2797"/>
      <c r="H153" s="2900"/>
      <c r="I153" s="2797"/>
      <c r="J153" s="2786"/>
    </row>
    <row r="154" spans="1:10" ht="15.75">
      <c r="A154" s="2818" t="s">
        <v>4120</v>
      </c>
      <c r="B154" s="2801" t="s">
        <v>407</v>
      </c>
      <c r="C154" s="2797"/>
      <c r="D154" s="2810"/>
      <c r="E154" s="2797">
        <f>G78</f>
        <v>0.5</v>
      </c>
      <c r="F154" s="2801"/>
      <c r="G154" s="2797"/>
      <c r="H154" s="2900"/>
      <c r="I154" s="2797"/>
      <c r="J154" s="2786"/>
    </row>
    <row r="155" spans="1:10" ht="15.75">
      <c r="A155" s="2818" t="s">
        <v>3300</v>
      </c>
      <c r="B155" s="2801" t="s">
        <v>411</v>
      </c>
      <c r="C155" s="2797"/>
      <c r="D155" s="2810"/>
      <c r="E155" s="2797">
        <f>ROUND(G73,3)</f>
        <v>108</v>
      </c>
      <c r="F155" s="2810" t="s">
        <v>2820</v>
      </c>
      <c r="G155" s="2797"/>
      <c r="H155" s="2810"/>
      <c r="I155" s="2912"/>
      <c r="J155" s="2786"/>
    </row>
    <row r="156" spans="1:10" ht="15.75">
      <c r="A156" s="2818" t="s">
        <v>3301</v>
      </c>
      <c r="B156" s="2801" t="s">
        <v>3302</v>
      </c>
      <c r="C156" s="2797"/>
      <c r="D156" s="2810"/>
      <c r="E156" s="2797">
        <f>ROUND(G74,3)</f>
        <v>101.48699999999999</v>
      </c>
      <c r="F156" s="2810" t="s">
        <v>2820</v>
      </c>
      <c r="G156" s="2797"/>
      <c r="H156" s="2810"/>
      <c r="I156" s="2912"/>
      <c r="J156" s="2786"/>
    </row>
    <row r="157" spans="1:10" ht="15.75">
      <c r="A157" s="2818" t="s">
        <v>3303</v>
      </c>
      <c r="B157" s="2801" t="s">
        <v>3304</v>
      </c>
      <c r="C157" s="2797"/>
      <c r="D157" s="2810"/>
      <c r="E157" s="2797">
        <f>ROUND(G83,3)</f>
        <v>105</v>
      </c>
      <c r="F157" s="2810" t="s">
        <v>2820</v>
      </c>
      <c r="G157" s="2797"/>
      <c r="H157" s="2810"/>
      <c r="I157" s="2912"/>
      <c r="J157" s="2786"/>
    </row>
    <row r="158" spans="1:10" ht="15.75">
      <c r="A158" s="2818" t="s">
        <v>3305</v>
      </c>
      <c r="B158" s="2801" t="s">
        <v>3306</v>
      </c>
      <c r="C158" s="2797"/>
      <c r="D158" s="2810"/>
      <c r="E158" s="2797">
        <f>ROUND(G85,3)</f>
        <v>118.5</v>
      </c>
      <c r="F158" s="2810" t="s">
        <v>2820</v>
      </c>
      <c r="G158" s="2797"/>
      <c r="H158" s="2810"/>
      <c r="I158" s="2912"/>
      <c r="J158" s="2786"/>
    </row>
    <row r="159" spans="1:10" ht="15.75">
      <c r="A159" s="2818" t="s">
        <v>3307</v>
      </c>
      <c r="B159" s="2801" t="s">
        <v>3308</v>
      </c>
      <c r="C159" s="2797"/>
      <c r="D159" s="2810"/>
      <c r="E159" s="2797">
        <f t="shared" ref="E159:E161" si="4">ROUND(G80,3)</f>
        <v>1.5</v>
      </c>
      <c r="F159" s="2810" t="s">
        <v>2820</v>
      </c>
      <c r="G159" s="2797"/>
      <c r="H159" s="2810"/>
      <c r="I159" s="2912"/>
      <c r="J159" s="2786"/>
    </row>
    <row r="160" spans="1:10" ht="15.75">
      <c r="A160" s="2818" t="s">
        <v>3309</v>
      </c>
      <c r="B160" s="2801" t="s">
        <v>3310</v>
      </c>
      <c r="C160" s="2797"/>
      <c r="D160" s="2810"/>
      <c r="E160" s="2797">
        <f t="shared" si="4"/>
        <v>5.25</v>
      </c>
      <c r="F160" s="2810" t="s">
        <v>2820</v>
      </c>
      <c r="G160" s="2797"/>
      <c r="H160" s="2810"/>
      <c r="I160" s="2912"/>
      <c r="J160" s="2786"/>
    </row>
    <row r="161" spans="1:10" ht="15.75">
      <c r="A161" s="2818" t="s">
        <v>3311</v>
      </c>
      <c r="B161" s="2801" t="s">
        <v>3312</v>
      </c>
      <c r="C161" s="2797"/>
      <c r="D161" s="2810"/>
      <c r="E161" s="2797">
        <f t="shared" si="4"/>
        <v>6.75</v>
      </c>
      <c r="F161" s="2810" t="s">
        <v>2820</v>
      </c>
      <c r="G161" s="2797"/>
      <c r="H161" s="2810"/>
      <c r="I161" s="2912"/>
      <c r="J161" s="2786"/>
    </row>
    <row r="162" spans="1:10" ht="15.75">
      <c r="A162" s="2803" t="s">
        <v>3313</v>
      </c>
      <c r="B162" s="2855" t="s">
        <v>3314</v>
      </c>
      <c r="C162" s="2797"/>
      <c r="D162" s="2810"/>
      <c r="E162" s="2797">
        <f>ROUND(G86,3)</f>
        <v>3.62</v>
      </c>
      <c r="F162" s="2810" t="s">
        <v>2820</v>
      </c>
      <c r="G162" s="2797"/>
      <c r="H162" s="2810"/>
      <c r="I162" s="2912"/>
      <c r="J162" s="2786"/>
    </row>
    <row r="163" spans="1:10" ht="15.75">
      <c r="A163" s="2803"/>
      <c r="B163" s="2855"/>
      <c r="C163" s="2797"/>
      <c r="D163" s="2810"/>
      <c r="E163" s="2797"/>
      <c r="F163" s="2810"/>
      <c r="G163" s="2797"/>
      <c r="H163" s="2810"/>
      <c r="I163" s="2912"/>
      <c r="J163" s="2786"/>
    </row>
    <row r="164" spans="1:10" ht="15.75">
      <c r="A164" s="2896"/>
      <c r="B164" s="2872"/>
      <c r="C164" s="2791"/>
      <c r="D164" s="2842"/>
      <c r="E164" s="2791"/>
      <c r="F164" s="2842"/>
      <c r="G164" s="2791"/>
      <c r="H164" s="2842"/>
      <c r="I164" s="2912"/>
      <c r="J164" s="2786"/>
    </row>
    <row r="165" spans="1:10" ht="15.75">
      <c r="A165" s="3060" t="s">
        <v>4121</v>
      </c>
      <c r="B165" s="3143"/>
      <c r="C165" s="3056"/>
      <c r="D165" s="3144"/>
      <c r="E165" s="2939" t="str">
        <f>IF(C26="无标准插齿刀可选！","无标准插齿刀可选！","")</f>
        <v/>
      </c>
      <c r="F165" s="3144"/>
      <c r="G165" s="3144"/>
      <c r="H165" s="3144"/>
      <c r="I165" s="2786"/>
      <c r="J165" s="2786"/>
    </row>
    <row r="166" spans="1:10" ht="15.75">
      <c r="A166" s="2857" t="s">
        <v>2910</v>
      </c>
      <c r="B166" s="3143"/>
      <c r="C166" s="3056"/>
      <c r="D166" s="3144"/>
      <c r="E166" s="2786">
        <f>IF(C26="无标准插齿刀可选！","",C28)</f>
        <v>75</v>
      </c>
      <c r="F166" s="2810" t="s">
        <v>2820</v>
      </c>
      <c r="G166" s="2786"/>
      <c r="H166" s="3144"/>
      <c r="I166" s="2786"/>
      <c r="J166" s="2786"/>
    </row>
    <row r="167" spans="1:10" ht="15.75">
      <c r="A167" s="2803" t="s">
        <v>2925</v>
      </c>
      <c r="B167" s="3143"/>
      <c r="C167" s="3056"/>
      <c r="D167" s="3144"/>
      <c r="E167" s="2786">
        <f>IF(C26="无标准插齿刀可选！","",E89)</f>
        <v>0</v>
      </c>
      <c r="F167" s="3144"/>
      <c r="G167" s="2786"/>
      <c r="H167" s="3144"/>
      <c r="I167" s="2786"/>
      <c r="J167" s="2786"/>
    </row>
    <row r="168" spans="1:10" ht="15.75">
      <c r="A168" s="2858" t="s">
        <v>3117</v>
      </c>
      <c r="B168" s="3143"/>
      <c r="C168" s="3056"/>
      <c r="D168" s="3144"/>
      <c r="E168" s="2786">
        <f>IF(C26="无标准插齿刀可选！","",E90)</f>
        <v>0</v>
      </c>
      <c r="F168" s="2810" t="s">
        <v>2820</v>
      </c>
      <c r="G168" s="2786"/>
      <c r="H168" s="3144"/>
      <c r="I168" s="2786"/>
      <c r="J168" s="2786"/>
    </row>
    <row r="169" spans="1:10" ht="15.75">
      <c r="A169" s="2857" t="s">
        <v>2931</v>
      </c>
      <c r="B169" s="3143"/>
      <c r="C169" s="3056"/>
      <c r="D169" s="3144"/>
      <c r="E169" s="2786">
        <f>IF(C26="无标准插齿刀可选！","",G101)</f>
        <v>0</v>
      </c>
      <c r="F169" s="2810" t="s">
        <v>2820</v>
      </c>
      <c r="G169" s="2786"/>
      <c r="H169" s="3144"/>
      <c r="I169" s="2786"/>
      <c r="J169" s="2786"/>
    </row>
    <row r="170" spans="1:10" ht="15.75">
      <c r="A170" s="2857" t="s">
        <v>2920</v>
      </c>
      <c r="B170" s="3143"/>
      <c r="C170" s="3056"/>
      <c r="D170" s="3144"/>
      <c r="E170" s="2786">
        <f>IF(C26="无标准插齿刀可选！","",G100)</f>
        <v>0</v>
      </c>
      <c r="F170" s="2810" t="s">
        <v>2820</v>
      </c>
      <c r="G170" s="2786"/>
      <c r="H170" s="3144"/>
      <c r="I170" s="2786"/>
      <c r="J170" s="2786"/>
    </row>
    <row r="171" spans="1:10" ht="15.75">
      <c r="A171" s="2788" t="s">
        <v>3136</v>
      </c>
      <c r="B171" s="3143"/>
      <c r="C171" s="3056"/>
      <c r="D171" s="3144"/>
      <c r="E171" s="2786">
        <f>IF(C26="无标准插齿刀可选！","",G103)</f>
        <v>0</v>
      </c>
      <c r="F171" s="3144"/>
      <c r="G171" s="2786"/>
      <c r="H171" s="3144"/>
      <c r="I171" s="2786"/>
      <c r="J171" s="2786"/>
    </row>
    <row r="172" spans="1:10" ht="15.75">
      <c r="A172" s="2803" t="s">
        <v>3366</v>
      </c>
      <c r="B172" s="3143"/>
      <c r="C172" s="3056"/>
      <c r="D172" s="3144"/>
      <c r="E172" s="3056" t="str">
        <f>C39</f>
        <v/>
      </c>
      <c r="F172" s="3144"/>
      <c r="G172" s="3056"/>
      <c r="H172" s="3144"/>
      <c r="I172" s="2786"/>
      <c r="J172" s="2786"/>
    </row>
    <row r="173" spans="1:10" ht="15.75">
      <c r="A173" s="2803" t="s">
        <v>3367</v>
      </c>
      <c r="B173" s="3270"/>
      <c r="C173" s="2924"/>
      <c r="D173" s="3022"/>
      <c r="E173" s="2924" t="str">
        <f>C41</f>
        <v/>
      </c>
      <c r="F173" s="3022"/>
      <c r="G173" s="2924"/>
      <c r="H173" s="3022"/>
      <c r="I173" s="2786"/>
      <c r="J173" s="2786"/>
    </row>
    <row r="174" spans="1:10" ht="15.75">
      <c r="A174" s="2803"/>
      <c r="B174" s="3270"/>
      <c r="C174" s="2924"/>
      <c r="D174" s="3022"/>
      <c r="E174" s="2924"/>
      <c r="F174" s="3022"/>
      <c r="G174" s="2924"/>
      <c r="H174" s="3022"/>
      <c r="I174" s="2786"/>
      <c r="J174" s="2786"/>
    </row>
    <row r="175" spans="1:10" ht="15.75">
      <c r="A175" s="2896"/>
      <c r="B175" s="3271"/>
      <c r="C175" s="3058"/>
      <c r="D175" s="3272"/>
      <c r="E175" s="3058"/>
      <c r="F175" s="3272"/>
      <c r="G175" s="3058"/>
      <c r="H175" s="3272"/>
      <c r="I175" s="2786"/>
      <c r="J175" s="2786"/>
    </row>
    <row r="176" spans="1:10" ht="15.75">
      <c r="A176" s="3060" t="s">
        <v>4122</v>
      </c>
      <c r="B176" s="3270"/>
      <c r="C176" s="2924"/>
      <c r="D176" s="3022"/>
      <c r="E176" s="2924"/>
      <c r="F176" s="3022"/>
      <c r="G176" s="2924"/>
      <c r="H176" s="3022"/>
      <c r="I176" s="2786"/>
      <c r="J176" s="2786"/>
    </row>
    <row r="177" spans="1:10" ht="15.75">
      <c r="A177" s="2803" t="s">
        <v>2925</v>
      </c>
      <c r="B177" s="3270"/>
      <c r="C177" s="2924"/>
      <c r="D177" s="3022"/>
      <c r="E177" s="2797">
        <f>C45</f>
        <v>25</v>
      </c>
      <c r="F177" s="3022"/>
      <c r="G177" s="2924"/>
      <c r="H177" s="3022"/>
      <c r="I177" s="2786"/>
      <c r="J177" s="2786"/>
    </row>
    <row r="178" spans="1:10" ht="15.75">
      <c r="A178" s="2803" t="s">
        <v>4105</v>
      </c>
      <c r="B178" s="3270"/>
      <c r="C178" s="2924"/>
      <c r="D178" s="3022"/>
      <c r="E178" s="2797" t="str">
        <f>IF(C15=0,"直  齿",IF(C10="L","左  旋","右  旋"))</f>
        <v>直  齿</v>
      </c>
      <c r="F178" s="3022"/>
      <c r="G178" s="2924"/>
      <c r="H178" s="3022"/>
      <c r="I178" s="2786"/>
      <c r="J178" s="2786"/>
    </row>
    <row r="179" spans="1:10" ht="15.75">
      <c r="A179" s="2803" t="s">
        <v>4106</v>
      </c>
      <c r="B179" s="3270"/>
      <c r="C179" s="2924"/>
      <c r="D179" s="3022"/>
      <c r="E179" s="2797">
        <f>E69</f>
        <v>0</v>
      </c>
      <c r="F179" s="2810" t="s">
        <v>2938</v>
      </c>
      <c r="G179" s="2924"/>
      <c r="H179" s="3022"/>
      <c r="I179" s="2786"/>
      <c r="J179" s="2786"/>
    </row>
    <row r="180" spans="1:10" ht="15.75">
      <c r="A180" s="2813" t="s">
        <v>2830</v>
      </c>
      <c r="B180" s="2806"/>
      <c r="C180" s="2924"/>
      <c r="D180" s="3022"/>
      <c r="E180" s="2797">
        <f>K97</f>
        <v>0</v>
      </c>
      <c r="F180" s="3022"/>
      <c r="G180" s="2924"/>
      <c r="H180" s="3022"/>
      <c r="I180" s="2786"/>
      <c r="J180" s="2786"/>
    </row>
    <row r="181" spans="1:10">
      <c r="A181" s="2858" t="s">
        <v>4108</v>
      </c>
      <c r="B181" s="2797"/>
      <c r="C181" s="2924"/>
      <c r="D181" s="3022"/>
      <c r="E181" s="2797">
        <f>M98</f>
        <v>0</v>
      </c>
      <c r="F181" s="2810" t="s">
        <v>257</v>
      </c>
      <c r="G181" s="2924"/>
      <c r="H181" s="3022"/>
      <c r="I181" s="2786"/>
      <c r="J181" s="2786"/>
    </row>
    <row r="182" spans="1:10" ht="15.75">
      <c r="A182" s="2857" t="s">
        <v>2931</v>
      </c>
      <c r="B182" s="3270"/>
      <c r="C182" s="2924"/>
      <c r="D182" s="3022"/>
      <c r="E182" s="2797">
        <f>K101</f>
        <v>0</v>
      </c>
      <c r="F182" s="2810" t="s">
        <v>2820</v>
      </c>
      <c r="G182" s="2924"/>
      <c r="H182" s="3022"/>
      <c r="I182" s="2786"/>
      <c r="J182" s="2786"/>
    </row>
    <row r="183" spans="1:10" ht="15.75">
      <c r="A183" s="2857" t="s">
        <v>2920</v>
      </c>
      <c r="B183" s="3270"/>
      <c r="C183" s="2924"/>
      <c r="D183" s="3022"/>
      <c r="E183" s="2797">
        <f>ROUND(K100,2)</f>
        <v>0</v>
      </c>
      <c r="F183" s="2810" t="s">
        <v>2820</v>
      </c>
      <c r="G183" s="2924"/>
      <c r="H183" s="3022"/>
      <c r="I183" s="2786"/>
      <c r="J183" s="2786"/>
    </row>
    <row r="184" spans="1:10" ht="15.75">
      <c r="A184" s="2788" t="s">
        <v>3136</v>
      </c>
      <c r="B184" s="3270"/>
      <c r="C184" s="2924"/>
      <c r="D184" s="3022"/>
      <c r="E184" s="2797">
        <f>C53</f>
        <v>0</v>
      </c>
      <c r="F184" s="3022"/>
      <c r="G184" s="2924"/>
      <c r="H184" s="3022"/>
      <c r="I184" s="2786"/>
      <c r="J184" s="2786"/>
    </row>
    <row r="185" spans="1:10" ht="15.75">
      <c r="A185" s="2803" t="s">
        <v>3366</v>
      </c>
      <c r="B185" s="3270"/>
      <c r="C185" s="2924"/>
      <c r="D185" s="3022"/>
      <c r="E185" s="2924" t="str">
        <f>C58</f>
        <v/>
      </c>
      <c r="F185" s="3022"/>
      <c r="G185" s="2924"/>
      <c r="H185" s="3022"/>
      <c r="I185" s="2786"/>
      <c r="J185" s="2786"/>
    </row>
    <row r="186" spans="1:10" ht="15.75">
      <c r="A186" s="2896" t="s">
        <v>3367</v>
      </c>
      <c r="B186" s="3271"/>
      <c r="C186" s="3058"/>
      <c r="D186" s="3272"/>
      <c r="E186" s="3058" t="str">
        <f>C60</f>
        <v/>
      </c>
      <c r="F186" s="3272"/>
      <c r="G186" s="3058"/>
      <c r="H186" s="3272"/>
      <c r="I186" s="2786"/>
      <c r="J186" s="2786"/>
    </row>
    <row r="187" spans="1:10" ht="15.75">
      <c r="A187" s="2803"/>
      <c r="B187" s="3270"/>
      <c r="C187" s="3022"/>
      <c r="D187" s="2891"/>
      <c r="E187" s="3022"/>
      <c r="F187" s="2891"/>
      <c r="G187" s="3022"/>
      <c r="H187" s="2891"/>
      <c r="I187" s="2786"/>
      <c r="J187" s="2786"/>
    </row>
    <row r="188" spans="1:10" ht="15">
      <c r="A188" s="2815" t="s">
        <v>4123</v>
      </c>
      <c r="B188" s="2838"/>
      <c r="C188" s="2797"/>
      <c r="D188" s="2810"/>
      <c r="E188" s="3031"/>
      <c r="F188" s="2891"/>
      <c r="G188" s="2797"/>
      <c r="H188" s="2810"/>
      <c r="I188" s="2786"/>
      <c r="J188" s="2786"/>
    </row>
    <row r="189" spans="1:10" ht="15.75">
      <c r="A189" s="3032"/>
      <c r="B189" s="2930"/>
      <c r="C189" s="3142"/>
      <c r="D189" s="3033"/>
      <c r="E189" s="3142"/>
      <c r="F189" s="3033"/>
      <c r="G189" s="3142"/>
      <c r="H189" s="3033"/>
      <c r="I189" s="2786"/>
      <c r="J189" s="3144"/>
    </row>
    <row r="190" spans="1:10" ht="15.75">
      <c r="A190" s="2860"/>
      <c r="B190" s="3143"/>
      <c r="C190" s="3144"/>
      <c r="D190" s="2893"/>
      <c r="E190" s="3144"/>
      <c r="F190" s="2893"/>
      <c r="G190" s="3144"/>
      <c r="H190" s="2893"/>
      <c r="I190" s="2786"/>
      <c r="J190" s="3042"/>
    </row>
    <row r="191" spans="1:10" ht="15.75">
      <c r="A191" s="2860"/>
      <c r="B191" s="3143"/>
      <c r="C191" s="3144"/>
      <c r="D191" s="2893"/>
      <c r="E191" s="3144"/>
      <c r="F191" s="2893"/>
      <c r="G191" s="3144"/>
      <c r="H191" s="2893"/>
      <c r="I191" s="2786"/>
      <c r="J191" s="3042"/>
    </row>
    <row r="192" spans="1:10" ht="15.75">
      <c r="A192" s="2860"/>
      <c r="B192" s="3143"/>
      <c r="C192" s="3144"/>
      <c r="D192" s="2893"/>
      <c r="E192" s="3144"/>
      <c r="F192" s="2893"/>
      <c r="G192" s="3144"/>
      <c r="H192" s="2893"/>
      <c r="I192" s="2786"/>
      <c r="J192" s="3042"/>
    </row>
    <row r="193" spans="1:10" ht="15.75">
      <c r="A193" s="2860"/>
      <c r="B193" s="3143"/>
      <c r="C193" s="3144"/>
      <c r="D193" s="2893"/>
      <c r="E193" s="3144"/>
      <c r="F193" s="2893"/>
      <c r="G193" s="3144"/>
      <c r="H193" s="2893"/>
      <c r="I193" s="2786"/>
      <c r="J193" s="3042"/>
    </row>
    <row r="194" spans="1:10" ht="15.75">
      <c r="A194" s="2860"/>
      <c r="B194" s="3143"/>
      <c r="C194" s="3144"/>
      <c r="D194" s="2893"/>
      <c r="E194" s="3144"/>
      <c r="F194" s="2893"/>
      <c r="G194" s="3144"/>
      <c r="H194" s="2893"/>
      <c r="I194" s="2786"/>
      <c r="J194" s="3042"/>
    </row>
    <row r="195" spans="1:10" ht="15.75">
      <c r="A195" s="2860"/>
      <c r="B195" s="3143"/>
      <c r="C195" s="3144"/>
      <c r="D195" s="2893"/>
      <c r="E195" s="3144"/>
      <c r="F195" s="2893"/>
      <c r="G195" s="3144"/>
      <c r="H195" s="2893"/>
      <c r="I195" s="2786"/>
      <c r="J195" s="3042"/>
    </row>
    <row r="196" spans="1:10" ht="15.75">
      <c r="A196" s="2860"/>
      <c r="B196" s="3143"/>
      <c r="C196" s="3144"/>
      <c r="D196" s="2893"/>
      <c r="E196" s="3144"/>
      <c r="F196" s="2893"/>
      <c r="G196" s="3144"/>
      <c r="H196" s="2893"/>
      <c r="I196" s="3144"/>
      <c r="J196" s="3042"/>
    </row>
    <row r="197" spans="1:10" ht="15.75">
      <c r="A197" s="2860"/>
      <c r="B197" s="3273"/>
      <c r="C197" s="3042"/>
      <c r="D197" s="2860"/>
      <c r="E197" s="3042"/>
      <c r="F197" s="2860"/>
      <c r="G197" s="3042"/>
      <c r="H197" s="2860"/>
      <c r="I197" s="3144"/>
      <c r="J197" s="3042"/>
    </row>
    <row r="198" spans="1:10" ht="15.75">
      <c r="A198" s="2860"/>
      <c r="B198" s="3273"/>
      <c r="C198" s="3042"/>
      <c r="D198" s="2860"/>
      <c r="E198" s="3042"/>
      <c r="F198" s="2860"/>
      <c r="G198" s="3042"/>
      <c r="H198" s="2860"/>
      <c r="I198" s="3042"/>
      <c r="J198" s="3042"/>
    </row>
    <row r="199" spans="1:10" ht="15.75">
      <c r="A199" s="2860"/>
      <c r="B199" s="3273"/>
      <c r="C199" s="3042"/>
      <c r="D199" s="2860"/>
      <c r="E199" s="3042"/>
      <c r="F199" s="2860"/>
      <c r="G199" s="3042"/>
      <c r="H199" s="2860"/>
      <c r="I199" s="3042"/>
      <c r="J199" s="3042"/>
    </row>
    <row r="200" spans="1:10" ht="15.75">
      <c r="A200" s="2860"/>
      <c r="B200" s="3273"/>
      <c r="C200" s="3042"/>
      <c r="D200" s="2860"/>
      <c r="E200" s="3042"/>
      <c r="F200" s="2860"/>
      <c r="G200" s="3042"/>
      <c r="H200" s="2860"/>
      <c r="I200" s="3042"/>
      <c r="J200" s="3042"/>
    </row>
    <row r="201" spans="1:10" ht="15.75">
      <c r="A201" s="2860"/>
      <c r="B201" s="3273"/>
      <c r="C201" s="3042"/>
      <c r="D201" s="2860"/>
      <c r="E201" s="3042"/>
      <c r="F201" s="2860"/>
      <c r="G201" s="3042"/>
      <c r="H201" s="2860"/>
      <c r="I201" s="3042"/>
      <c r="J201" s="3042"/>
    </row>
  </sheetData>
  <phoneticPr fontId="214" type="noConversion"/>
  <pageMargins left="0.75" right="0.75" top="1" bottom="1" header="0.51" footer="0.51"/>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T502"/>
  <sheetViews>
    <sheetView workbookViewId="0"/>
  </sheetViews>
  <sheetFormatPr defaultColWidth="9" defaultRowHeight="14.25"/>
  <cols>
    <col min="1" max="1" width="17.125" style="2694" customWidth="1"/>
    <col min="2" max="256" width="9" style="2694"/>
    <col min="257" max="257" width="17.125" style="2694" customWidth="1"/>
    <col min="258" max="512" width="9" style="2694"/>
    <col min="513" max="513" width="17.125" style="2694" customWidth="1"/>
    <col min="514" max="768" width="9" style="2694"/>
    <col min="769" max="769" width="17.125" style="2694" customWidth="1"/>
    <col min="770" max="1024" width="9" style="2694"/>
    <col min="1025" max="1025" width="17.125" style="2694" customWidth="1"/>
    <col min="1026" max="1280" width="9" style="2694"/>
    <col min="1281" max="1281" width="17.125" style="2694" customWidth="1"/>
    <col min="1282" max="1536" width="9" style="2694"/>
    <col min="1537" max="1537" width="17.125" style="2694" customWidth="1"/>
    <col min="1538" max="1792" width="9" style="2694"/>
    <col min="1793" max="1793" width="17.125" style="2694" customWidth="1"/>
    <col min="1794" max="2048" width="9" style="2694"/>
    <col min="2049" max="2049" width="17.125" style="2694" customWidth="1"/>
    <col min="2050" max="2304" width="9" style="2694"/>
    <col min="2305" max="2305" width="17.125" style="2694" customWidth="1"/>
    <col min="2306" max="2560" width="9" style="2694"/>
    <col min="2561" max="2561" width="17.125" style="2694" customWidth="1"/>
    <col min="2562" max="2816" width="9" style="2694"/>
    <col min="2817" max="2817" width="17.125" style="2694" customWidth="1"/>
    <col min="2818" max="3072" width="9" style="2694"/>
    <col min="3073" max="3073" width="17.125" style="2694" customWidth="1"/>
    <col min="3074" max="3328" width="9" style="2694"/>
    <col min="3329" max="3329" width="17.125" style="2694" customWidth="1"/>
    <col min="3330" max="3584" width="9" style="2694"/>
    <col min="3585" max="3585" width="17.125" style="2694" customWidth="1"/>
    <col min="3586" max="3840" width="9" style="2694"/>
    <col min="3841" max="3841" width="17.125" style="2694" customWidth="1"/>
    <col min="3842" max="4096" width="9" style="2694"/>
    <col min="4097" max="4097" width="17.125" style="2694" customWidth="1"/>
    <col min="4098" max="4352" width="9" style="2694"/>
    <col min="4353" max="4353" width="17.125" style="2694" customWidth="1"/>
    <col min="4354" max="4608" width="9" style="2694"/>
    <col min="4609" max="4609" width="17.125" style="2694" customWidth="1"/>
    <col min="4610" max="4864" width="9" style="2694"/>
    <col min="4865" max="4865" width="17.125" style="2694" customWidth="1"/>
    <col min="4866" max="5120" width="9" style="2694"/>
    <col min="5121" max="5121" width="17.125" style="2694" customWidth="1"/>
    <col min="5122" max="5376" width="9" style="2694"/>
    <col min="5377" max="5377" width="17.125" style="2694" customWidth="1"/>
    <col min="5378" max="5632" width="9" style="2694"/>
    <col min="5633" max="5633" width="17.125" style="2694" customWidth="1"/>
    <col min="5634" max="5888" width="9" style="2694"/>
    <col min="5889" max="5889" width="17.125" style="2694" customWidth="1"/>
    <col min="5890" max="6144" width="9" style="2694"/>
    <col min="6145" max="6145" width="17.125" style="2694" customWidth="1"/>
    <col min="6146" max="6400" width="9" style="2694"/>
    <col min="6401" max="6401" width="17.125" style="2694" customWidth="1"/>
    <col min="6402" max="6656" width="9" style="2694"/>
    <col min="6657" max="6657" width="17.125" style="2694" customWidth="1"/>
    <col min="6658" max="6912" width="9" style="2694"/>
    <col min="6913" max="6913" width="17.125" style="2694" customWidth="1"/>
    <col min="6914" max="7168" width="9" style="2694"/>
    <col min="7169" max="7169" width="17.125" style="2694" customWidth="1"/>
    <col min="7170" max="7424" width="9" style="2694"/>
    <col min="7425" max="7425" width="17.125" style="2694" customWidth="1"/>
    <col min="7426" max="7680" width="9" style="2694"/>
    <col min="7681" max="7681" width="17.125" style="2694" customWidth="1"/>
    <col min="7682" max="7936" width="9" style="2694"/>
    <col min="7937" max="7937" width="17.125" style="2694" customWidth="1"/>
    <col min="7938" max="8192" width="9" style="2694"/>
    <col min="8193" max="8193" width="17.125" style="2694" customWidth="1"/>
    <col min="8194" max="8448" width="9" style="2694"/>
    <col min="8449" max="8449" width="17.125" style="2694" customWidth="1"/>
    <col min="8450" max="8704" width="9" style="2694"/>
    <col min="8705" max="8705" width="17.125" style="2694" customWidth="1"/>
    <col min="8706" max="8960" width="9" style="2694"/>
    <col min="8961" max="8961" width="17.125" style="2694" customWidth="1"/>
    <col min="8962" max="9216" width="9" style="2694"/>
    <col min="9217" max="9217" width="17.125" style="2694" customWidth="1"/>
    <col min="9218" max="9472" width="9" style="2694"/>
    <col min="9473" max="9473" width="17.125" style="2694" customWidth="1"/>
    <col min="9474" max="9728" width="9" style="2694"/>
    <col min="9729" max="9729" width="17.125" style="2694" customWidth="1"/>
    <col min="9730" max="9984" width="9" style="2694"/>
    <col min="9985" max="9985" width="17.125" style="2694" customWidth="1"/>
    <col min="9986" max="10240" width="9" style="2694"/>
    <col min="10241" max="10241" width="17.125" style="2694" customWidth="1"/>
    <col min="10242" max="10496" width="9" style="2694"/>
    <col min="10497" max="10497" width="17.125" style="2694" customWidth="1"/>
    <col min="10498" max="10752" width="9" style="2694"/>
    <col min="10753" max="10753" width="17.125" style="2694" customWidth="1"/>
    <col min="10754" max="11008" width="9" style="2694"/>
    <col min="11009" max="11009" width="17.125" style="2694" customWidth="1"/>
    <col min="11010" max="11264" width="9" style="2694"/>
    <col min="11265" max="11265" width="17.125" style="2694" customWidth="1"/>
    <col min="11266" max="11520" width="9" style="2694"/>
    <col min="11521" max="11521" width="17.125" style="2694" customWidth="1"/>
    <col min="11522" max="11776" width="9" style="2694"/>
    <col min="11777" max="11777" width="17.125" style="2694" customWidth="1"/>
    <col min="11778" max="12032" width="9" style="2694"/>
    <col min="12033" max="12033" width="17.125" style="2694" customWidth="1"/>
    <col min="12034" max="12288" width="9" style="2694"/>
    <col min="12289" max="12289" width="17.125" style="2694" customWidth="1"/>
    <col min="12290" max="12544" width="9" style="2694"/>
    <col min="12545" max="12545" width="17.125" style="2694" customWidth="1"/>
    <col min="12546" max="12800" width="9" style="2694"/>
    <col min="12801" max="12801" width="17.125" style="2694" customWidth="1"/>
    <col min="12802" max="13056" width="9" style="2694"/>
    <col min="13057" max="13057" width="17.125" style="2694" customWidth="1"/>
    <col min="13058" max="13312" width="9" style="2694"/>
    <col min="13313" max="13313" width="17.125" style="2694" customWidth="1"/>
    <col min="13314" max="13568" width="9" style="2694"/>
    <col min="13569" max="13569" width="17.125" style="2694" customWidth="1"/>
    <col min="13570" max="13824" width="9" style="2694"/>
    <col min="13825" max="13825" width="17.125" style="2694" customWidth="1"/>
    <col min="13826" max="14080" width="9" style="2694"/>
    <col min="14081" max="14081" width="17.125" style="2694" customWidth="1"/>
    <col min="14082" max="14336" width="9" style="2694"/>
    <col min="14337" max="14337" width="17.125" style="2694" customWidth="1"/>
    <col min="14338" max="14592" width="9" style="2694"/>
    <col min="14593" max="14593" width="17.125" style="2694" customWidth="1"/>
    <col min="14594" max="14848" width="9" style="2694"/>
    <col min="14849" max="14849" width="17.125" style="2694" customWidth="1"/>
    <col min="14850" max="15104" width="9" style="2694"/>
    <col min="15105" max="15105" width="17.125" style="2694" customWidth="1"/>
    <col min="15106" max="15360" width="9" style="2694"/>
    <col min="15361" max="15361" width="17.125" style="2694" customWidth="1"/>
    <col min="15362" max="15616" width="9" style="2694"/>
    <col min="15617" max="15617" width="17.125" style="2694" customWidth="1"/>
    <col min="15618" max="15872" width="9" style="2694"/>
    <col min="15873" max="15873" width="17.125" style="2694" customWidth="1"/>
    <col min="15874" max="16128" width="9" style="2694"/>
    <col min="16129" max="16129" width="17.125" style="2694" customWidth="1"/>
    <col min="16130" max="16384" width="9" style="2694"/>
  </cols>
  <sheetData>
    <row r="1" spans="1:17" ht="24">
      <c r="A1" s="3145" t="s">
        <v>4124</v>
      </c>
      <c r="B1" s="3036"/>
      <c r="C1" s="2768"/>
      <c r="D1" s="2769"/>
      <c r="E1" s="2769"/>
      <c r="F1" s="2769"/>
      <c r="G1" s="2769"/>
      <c r="H1" s="2770" t="s">
        <v>2794</v>
      </c>
      <c r="I1" s="3165">
        <v>12</v>
      </c>
      <c r="J1" s="2884"/>
      <c r="K1" s="2860"/>
      <c r="L1" s="2860"/>
      <c r="M1" s="2860"/>
      <c r="N1" s="2860"/>
      <c r="O1" s="2860"/>
      <c r="P1" s="2860"/>
      <c r="Q1" s="2860"/>
    </row>
    <row r="2" spans="1:17" ht="24">
      <c r="A2" s="2771" t="s">
        <v>4125</v>
      </c>
      <c r="B2" s="3036"/>
      <c r="C2" s="2769"/>
      <c r="D2" s="2769"/>
      <c r="E2" s="2769"/>
      <c r="F2" s="2769"/>
      <c r="G2" s="2769"/>
      <c r="H2" s="2769"/>
      <c r="I2" s="3042"/>
      <c r="J2" s="2860"/>
      <c r="K2" s="2860"/>
      <c r="L2" s="2860"/>
      <c r="M2" s="2860"/>
      <c r="N2" s="2860"/>
      <c r="O2" s="2860"/>
      <c r="P2" s="2860"/>
      <c r="Q2" s="2860"/>
    </row>
    <row r="3" spans="1:17" ht="24">
      <c r="A3" s="2772" t="s">
        <v>4126</v>
      </c>
      <c r="B3" s="3036"/>
      <c r="C3" s="2769"/>
      <c r="D3" s="2769"/>
      <c r="E3" s="2769"/>
      <c r="F3" s="2769"/>
      <c r="G3" s="2769"/>
      <c r="H3" s="2769"/>
      <c r="I3" s="3042"/>
      <c r="J3" s="2860"/>
      <c r="K3" s="2860"/>
      <c r="L3" s="2860"/>
      <c r="M3" s="2860"/>
      <c r="N3" s="2860"/>
      <c r="O3" s="2860"/>
      <c r="P3" s="2860"/>
      <c r="Q3" s="2860"/>
    </row>
    <row r="4" spans="1:17" ht="24">
      <c r="A4" s="2772" t="s">
        <v>4127</v>
      </c>
      <c r="B4" s="3036"/>
      <c r="C4" s="2769"/>
      <c r="D4" s="2769"/>
      <c r="E4" s="2769"/>
      <c r="F4" s="2769"/>
      <c r="G4" s="2769"/>
      <c r="H4" s="2769"/>
      <c r="I4" s="3042"/>
      <c r="J4" s="2860"/>
      <c r="K4" s="2860"/>
      <c r="L4" s="2860"/>
      <c r="M4" s="2860"/>
      <c r="N4" s="2860"/>
      <c r="O4" s="2860"/>
      <c r="P4" s="2860"/>
      <c r="Q4" s="2860"/>
    </row>
    <row r="5" spans="1:17" ht="24">
      <c r="A5" s="2772" t="s">
        <v>4128</v>
      </c>
      <c r="B5" s="3036"/>
      <c r="C5" s="2769"/>
      <c r="D5" s="2769"/>
      <c r="E5" s="2769"/>
      <c r="F5" s="2769"/>
      <c r="G5" s="2769"/>
      <c r="H5" s="2769"/>
      <c r="I5" s="3042"/>
      <c r="J5" s="2860"/>
      <c r="K5" s="2860"/>
      <c r="L5" s="2860"/>
      <c r="M5" s="2860"/>
      <c r="N5" s="2860"/>
      <c r="O5" s="2860"/>
      <c r="P5" s="2860"/>
      <c r="Q5" s="2860"/>
    </row>
    <row r="6" spans="1:17" ht="24">
      <c r="A6" s="2771" t="s">
        <v>4129</v>
      </c>
      <c r="B6" s="3036"/>
      <c r="C6" s="2769"/>
      <c r="D6" s="2769"/>
      <c r="E6" s="2769"/>
      <c r="F6" s="2769"/>
      <c r="G6" s="2769"/>
      <c r="H6" s="2769"/>
      <c r="I6" s="3042"/>
      <c r="J6" s="2860"/>
      <c r="K6" s="2860"/>
      <c r="L6" s="2860"/>
      <c r="M6" s="2860"/>
      <c r="N6" s="2860"/>
      <c r="O6" s="2860"/>
      <c r="P6" s="2860"/>
      <c r="Q6" s="2860"/>
    </row>
    <row r="7" spans="1:17" ht="24">
      <c r="A7" s="2772" t="s">
        <v>4130</v>
      </c>
      <c r="B7" s="3036"/>
      <c r="C7" s="2769"/>
      <c r="D7" s="2769"/>
      <c r="E7" s="2769"/>
      <c r="F7" s="2769"/>
      <c r="G7" s="2769"/>
      <c r="H7" s="2769"/>
      <c r="I7" s="3042"/>
      <c r="J7" s="2860"/>
      <c r="K7" s="2860"/>
      <c r="L7" s="2860"/>
      <c r="M7" s="2860"/>
      <c r="N7" s="2860"/>
      <c r="O7" s="2860"/>
      <c r="P7" s="2860"/>
      <c r="Q7" s="2860"/>
    </row>
    <row r="8" spans="1:17" ht="24">
      <c r="A8" s="2771" t="s">
        <v>2800</v>
      </c>
      <c r="B8" s="3036"/>
      <c r="C8" s="2769"/>
      <c r="D8" s="2769"/>
      <c r="E8" s="2769"/>
      <c r="F8" s="2769"/>
      <c r="G8" s="2769"/>
      <c r="H8" s="2769"/>
      <c r="I8" s="3042"/>
      <c r="J8" s="2860"/>
      <c r="K8" s="2860"/>
      <c r="L8" s="2860"/>
      <c r="M8" s="2860"/>
      <c r="N8" s="2860"/>
      <c r="O8" s="2860"/>
      <c r="P8" s="2860"/>
      <c r="Q8" s="2860"/>
    </row>
    <row r="9" spans="1:17" ht="24">
      <c r="A9" s="2773"/>
      <c r="B9" s="3039"/>
      <c r="C9" s="2774"/>
      <c r="D9" s="2774"/>
      <c r="E9" s="2774"/>
      <c r="F9" s="2780"/>
      <c r="G9" s="2780" t="s">
        <v>4131</v>
      </c>
      <c r="H9" s="2774"/>
      <c r="I9" s="3166"/>
      <c r="J9" s="2885"/>
      <c r="K9" s="2885"/>
      <c r="L9" s="2860"/>
      <c r="M9" s="2860"/>
      <c r="N9" s="2860"/>
      <c r="O9" s="2860"/>
      <c r="P9" s="2860"/>
      <c r="Q9" s="2860"/>
    </row>
    <row r="10" spans="1:17" ht="24">
      <c r="A10" s="2776" t="s">
        <v>2802</v>
      </c>
      <c r="B10" s="3036"/>
      <c r="C10" s="2769"/>
      <c r="D10" s="2769"/>
      <c r="E10" s="2769"/>
      <c r="F10" s="2777"/>
      <c r="G10" s="2769"/>
      <c r="H10" s="2769"/>
      <c r="I10" s="3166"/>
      <c r="J10" s="2885"/>
      <c r="K10" s="2885"/>
      <c r="L10" s="2860"/>
      <c r="M10" s="2860"/>
      <c r="N10" s="2860"/>
      <c r="O10" s="2860"/>
      <c r="P10" s="2860"/>
      <c r="Q10" s="2860"/>
    </row>
    <row r="11" spans="1:17" ht="24">
      <c r="A11" s="2778" t="s">
        <v>2803</v>
      </c>
      <c r="B11" s="3039"/>
      <c r="C11" s="3146"/>
      <c r="D11" s="2774"/>
      <c r="E11" s="2774"/>
      <c r="F11" s="2780"/>
      <c r="G11" s="2780"/>
      <c r="H11" s="2774"/>
      <c r="I11" s="3166"/>
      <c r="J11" s="2885"/>
      <c r="K11" s="2885"/>
      <c r="L11" s="2860"/>
      <c r="M11" s="2860"/>
      <c r="N11" s="2860"/>
      <c r="O11" s="2860"/>
      <c r="P11" s="2860"/>
      <c r="Q11" s="2860"/>
    </row>
    <row r="12" spans="1:17" ht="15">
      <c r="A12" s="2770" t="s">
        <v>2804</v>
      </c>
      <c r="B12" s="3147"/>
      <c r="C12" s="2787"/>
      <c r="D12" s="2783"/>
      <c r="E12" s="2770" t="s">
        <v>2805</v>
      </c>
      <c r="F12" s="2784"/>
      <c r="G12" s="2787">
        <v>10026</v>
      </c>
      <c r="H12" s="2785"/>
      <c r="I12" s="3166"/>
      <c r="J12" s="2885"/>
      <c r="K12" s="2885"/>
      <c r="L12" s="2860"/>
      <c r="M12" s="2860"/>
      <c r="N12" s="2860"/>
      <c r="O12" s="2860"/>
      <c r="P12" s="2860"/>
      <c r="Q12" s="2860"/>
    </row>
    <row r="13" spans="1:17">
      <c r="A13" s="2770" t="s">
        <v>2806</v>
      </c>
      <c r="B13" s="2786" t="s">
        <v>2677</v>
      </c>
      <c r="C13" s="2787">
        <v>30201</v>
      </c>
      <c r="D13" s="2783"/>
      <c r="E13" s="2788"/>
      <c r="F13" s="2789" t="s">
        <v>2680</v>
      </c>
      <c r="G13" s="2787">
        <v>30202</v>
      </c>
      <c r="H13" s="2785"/>
      <c r="I13" s="3166"/>
      <c r="J13" s="2885"/>
      <c r="K13" s="2885"/>
      <c r="L13" s="2860"/>
      <c r="M13" s="2860"/>
      <c r="N13" s="2860"/>
      <c r="O13" s="2860"/>
      <c r="P13" s="2860"/>
      <c r="Q13" s="2860"/>
    </row>
    <row r="14" spans="1:17" ht="15.75">
      <c r="A14" s="2790" t="s">
        <v>2809</v>
      </c>
      <c r="B14" s="2901"/>
      <c r="C14" s="3148"/>
      <c r="D14" s="2793"/>
      <c r="E14" s="2790" t="s">
        <v>2810</v>
      </c>
      <c r="F14" s="2794"/>
      <c r="G14" s="3149"/>
      <c r="H14" s="2793"/>
      <c r="I14" s="2886"/>
      <c r="J14" s="2887"/>
      <c r="K14" s="2885"/>
      <c r="L14" s="2860"/>
      <c r="M14" s="2860"/>
      <c r="N14" s="2860"/>
      <c r="O14" s="2860"/>
      <c r="P14" s="2860"/>
      <c r="Q14" s="2860"/>
    </row>
    <row r="15" spans="1:17" ht="15.75">
      <c r="A15" s="3150" t="s">
        <v>4132</v>
      </c>
      <c r="B15" s="3049" t="str">
        <f>IF(C15="L","左旋",IF(C15="R","右旋","直齿"))</f>
        <v>右旋</v>
      </c>
      <c r="C15" s="2830" t="s">
        <v>453</v>
      </c>
      <c r="D15" s="2815" t="str">
        <f>IF(OR(C15="",C15="L",C15="R"),"","错误！")</f>
        <v/>
      </c>
      <c r="E15" s="2802" t="s">
        <v>2812</v>
      </c>
      <c r="F15" s="2800"/>
      <c r="G15" s="2797"/>
      <c r="H15" s="2785"/>
      <c r="I15" s="3166"/>
      <c r="J15" s="2887"/>
      <c r="K15" s="2885"/>
      <c r="L15" s="2860"/>
      <c r="M15" s="2860"/>
      <c r="N15" s="2860"/>
      <c r="O15" s="2860"/>
      <c r="P15" s="2860"/>
      <c r="Q15" s="2860"/>
    </row>
    <row r="16" spans="1:17" ht="15.75">
      <c r="A16" s="3150" t="s">
        <v>4133</v>
      </c>
      <c r="B16" s="3049" t="str">
        <f>IF(C16="L","左旋",IF(C16="R","右旋","直齿"))</f>
        <v>左旋</v>
      </c>
      <c r="C16" s="3011" t="str">
        <f>IF(C15="","",IF(C15="R","L","R"))</f>
        <v>L</v>
      </c>
      <c r="D16" s="2815"/>
      <c r="E16" s="2802"/>
      <c r="F16" s="2800"/>
      <c r="G16" s="2797"/>
      <c r="H16" s="2785"/>
      <c r="I16" s="3166"/>
      <c r="J16" s="2887"/>
      <c r="K16" s="2885"/>
      <c r="L16" s="2860"/>
      <c r="M16" s="2860"/>
      <c r="N16" s="2860"/>
      <c r="O16" s="2860"/>
      <c r="P16" s="2860"/>
      <c r="Q16" s="2860"/>
    </row>
    <row r="17" spans="1:20" ht="15.75">
      <c r="A17" s="3150" t="s">
        <v>4134</v>
      </c>
      <c r="B17" s="2806" t="s">
        <v>2815</v>
      </c>
      <c r="C17" s="2811">
        <v>21</v>
      </c>
      <c r="D17" s="2844"/>
      <c r="E17" s="2802"/>
      <c r="F17" s="2800"/>
      <c r="G17" s="2797"/>
      <c r="H17" s="2785"/>
      <c r="I17" s="3166"/>
      <c r="J17" s="2887"/>
      <c r="K17" s="2885"/>
      <c r="L17" s="2860"/>
      <c r="M17" s="2860"/>
      <c r="N17" s="2860"/>
      <c r="O17" s="2860"/>
      <c r="P17" s="2860"/>
      <c r="Q17" s="2860"/>
    </row>
    <row r="18" spans="1:20" ht="15.75">
      <c r="A18" s="3150" t="s">
        <v>4135</v>
      </c>
      <c r="B18" s="2806" t="s">
        <v>2817</v>
      </c>
      <c r="C18" s="2787">
        <v>33</v>
      </c>
      <c r="D18" s="2844"/>
      <c r="E18" s="2802"/>
      <c r="F18" s="2800"/>
      <c r="G18" s="2797"/>
      <c r="H18" s="2785"/>
      <c r="I18" s="3166"/>
      <c r="J18" s="2887"/>
      <c r="K18" s="2885"/>
      <c r="L18" s="2860"/>
      <c r="M18" s="2860"/>
      <c r="N18" s="2860"/>
      <c r="O18" s="2860"/>
      <c r="P18" s="2860"/>
      <c r="Q18" s="2860"/>
    </row>
    <row r="19" spans="1:20" ht="15.75">
      <c r="A19" s="2817" t="s">
        <v>2818</v>
      </c>
      <c r="B19" s="2806" t="s">
        <v>2819</v>
      </c>
      <c r="C19" s="2787">
        <v>2.5</v>
      </c>
      <c r="D19" s="2810" t="s">
        <v>2820</v>
      </c>
      <c r="E19" s="2815" t="str">
        <f>IF(C19&gt;10,"超出本程序设置范畴！","")</f>
        <v/>
      </c>
      <c r="F19" s="2800"/>
      <c r="G19" s="2809">
        <f>C19</f>
        <v>2.5</v>
      </c>
      <c r="H19" s="2785"/>
      <c r="I19" s="3166"/>
      <c r="J19" s="2887"/>
      <c r="K19" s="2885"/>
      <c r="L19" s="2860"/>
      <c r="M19" s="2860"/>
      <c r="N19" s="2860"/>
      <c r="O19" s="2860"/>
      <c r="P19" s="2860"/>
      <c r="Q19" s="2860"/>
    </row>
    <row r="20" spans="1:20" ht="15.75">
      <c r="A20" s="2817" t="s">
        <v>2936</v>
      </c>
      <c r="B20" s="2813" t="s">
        <v>2822</v>
      </c>
      <c r="C20" s="2787"/>
      <c r="D20" s="2808" t="str">
        <f>IF(C20="","注：如不输入，则默认 αn = 20 度","度")</f>
        <v>注：如不输入，则默认 αn = 20 度</v>
      </c>
      <c r="E20" s="2802"/>
      <c r="F20" s="2800"/>
      <c r="G20" s="2797"/>
      <c r="H20" s="2785"/>
      <c r="I20" s="3166"/>
      <c r="J20" s="2887"/>
      <c r="K20" s="2885"/>
      <c r="L20" s="2860"/>
      <c r="M20" s="2860"/>
      <c r="N20" s="2860"/>
      <c r="O20" s="2860"/>
      <c r="P20" s="2860"/>
      <c r="Q20" s="2860"/>
    </row>
    <row r="21" spans="1:20" ht="15">
      <c r="A21" s="2836" t="s">
        <v>2823</v>
      </c>
      <c r="B21" s="2813" t="s">
        <v>2824</v>
      </c>
      <c r="C21" s="2787">
        <v>12.3</v>
      </c>
      <c r="D21" s="2810" t="s">
        <v>257</v>
      </c>
      <c r="E21" s="2814"/>
      <c r="F21" s="2810" t="s">
        <v>2825</v>
      </c>
      <c r="G21" s="2814"/>
      <c r="H21" s="2947" t="s">
        <v>2826</v>
      </c>
      <c r="I21" s="2802" t="s">
        <v>2827</v>
      </c>
      <c r="J21" s="2887"/>
      <c r="K21" s="2885"/>
      <c r="L21" s="2860"/>
      <c r="M21" s="2860"/>
      <c r="N21" s="2860"/>
      <c r="O21" s="2860"/>
      <c r="P21" s="2860"/>
      <c r="Q21" s="2860"/>
    </row>
    <row r="22" spans="1:20" ht="15.75">
      <c r="A22" s="2836"/>
      <c r="B22" s="2806"/>
      <c r="C22" s="3051">
        <f>C21+E21/60+G21/3600</f>
        <v>12.3</v>
      </c>
      <c r="D22" s="2821"/>
      <c r="E22" s="2802"/>
      <c r="F22" s="2800"/>
      <c r="G22" s="2797"/>
      <c r="H22" s="2785"/>
      <c r="I22" s="3166"/>
      <c r="J22" s="2887"/>
      <c r="K22" s="2885"/>
      <c r="L22" s="2860"/>
      <c r="M22" s="2890"/>
      <c r="N22" s="2860"/>
      <c r="O22" s="2860"/>
      <c r="P22" s="2860"/>
      <c r="Q22" s="2860"/>
    </row>
    <row r="23" spans="1:20" ht="15.75">
      <c r="A23" s="2813" t="s">
        <v>2828</v>
      </c>
      <c r="B23" s="2806" t="s">
        <v>2534</v>
      </c>
      <c r="C23" s="2811">
        <v>40</v>
      </c>
      <c r="D23" s="2810" t="s">
        <v>2820</v>
      </c>
      <c r="E23" s="2802"/>
      <c r="F23" s="2800"/>
      <c r="G23" s="2809">
        <f>C23</f>
        <v>40</v>
      </c>
      <c r="H23" s="2785"/>
      <c r="I23" s="3166"/>
      <c r="J23" s="2887"/>
      <c r="K23" s="2885"/>
      <c r="L23" s="2860"/>
      <c r="M23" s="2860"/>
      <c r="N23" s="2860"/>
      <c r="O23" s="2860"/>
      <c r="P23" s="2860"/>
      <c r="Q23" s="2860"/>
    </row>
    <row r="24" spans="1:20" ht="15.75">
      <c r="A24" s="2813" t="s">
        <v>2830</v>
      </c>
      <c r="B24" s="2806" t="s">
        <v>2831</v>
      </c>
      <c r="C24" s="2787"/>
      <c r="D24" s="3106" t="s">
        <v>4136</v>
      </c>
      <c r="E24" s="2833"/>
      <c r="F24" s="2800"/>
      <c r="G24" s="2809"/>
      <c r="H24" s="2785"/>
      <c r="I24" s="3166"/>
      <c r="J24" s="2887"/>
      <c r="K24" s="2885"/>
      <c r="L24" s="2860"/>
      <c r="M24" s="2860"/>
      <c r="N24" s="2860"/>
      <c r="O24" s="2860"/>
      <c r="P24" s="2860"/>
      <c r="Q24" s="2860"/>
    </row>
    <row r="25" spans="1:20" ht="15.75">
      <c r="A25" s="2786"/>
      <c r="B25" s="2831"/>
      <c r="C25" s="2809">
        <f>IF(C24="",1,C24)</f>
        <v>1</v>
      </c>
      <c r="D25" s="2909"/>
      <c r="E25" s="2905"/>
      <c r="F25" s="2800"/>
      <c r="G25" s="2797"/>
      <c r="H25" s="2802"/>
      <c r="I25" s="3166"/>
      <c r="J25" s="2885"/>
      <c r="K25" s="2885"/>
      <c r="L25" s="2860"/>
      <c r="M25" s="2860"/>
      <c r="N25" s="2860"/>
      <c r="O25" s="2860"/>
      <c r="P25" s="2860"/>
      <c r="Q25" s="2860"/>
    </row>
    <row r="26" spans="1:20" ht="15.75">
      <c r="A26" s="2813" t="s">
        <v>2833</v>
      </c>
      <c r="B26" s="2806" t="s">
        <v>2834</v>
      </c>
      <c r="C26" s="2811"/>
      <c r="D26" s="3106"/>
      <c r="E26" s="2833"/>
      <c r="F26" s="2800"/>
      <c r="G26" s="2797"/>
      <c r="H26" s="2802"/>
      <c r="I26" s="3167"/>
      <c r="J26" s="3167"/>
      <c r="K26" s="2885"/>
      <c r="L26" s="2860"/>
      <c r="M26" s="2860"/>
      <c r="N26" s="2860"/>
      <c r="O26" s="2860"/>
      <c r="P26" s="2860"/>
      <c r="Q26" s="2860"/>
    </row>
    <row r="27" spans="1:20" ht="15.75">
      <c r="A27" s="2813" t="s">
        <v>2835</v>
      </c>
      <c r="B27" s="2806" t="s">
        <v>2836</v>
      </c>
      <c r="C27" s="2834"/>
      <c r="D27" s="3106" t="s">
        <v>4137</v>
      </c>
      <c r="E27" s="2833"/>
      <c r="F27" s="2800"/>
      <c r="G27" s="2797"/>
      <c r="H27" s="2802"/>
      <c r="I27" s="3167"/>
      <c r="J27" s="3167"/>
      <c r="K27" s="2885"/>
      <c r="L27" s="2860"/>
      <c r="M27" s="2860"/>
      <c r="N27" s="2860"/>
      <c r="O27" s="2860"/>
      <c r="P27" s="2860"/>
      <c r="Q27" s="2860"/>
    </row>
    <row r="28" spans="1:20" ht="15.75">
      <c r="A28" s="2786"/>
      <c r="B28" s="2831"/>
      <c r="C28" s="2809">
        <f>IF(C27="",0.25,C27)</f>
        <v>0.25</v>
      </c>
      <c r="D28" s="2909"/>
      <c r="E28" s="2833"/>
      <c r="F28" s="2800"/>
      <c r="G28" s="2809"/>
      <c r="H28" s="2802"/>
      <c r="I28" s="3167"/>
      <c r="J28" s="3167"/>
      <c r="K28" s="2885"/>
      <c r="L28" s="2860"/>
      <c r="M28" s="2860"/>
      <c r="N28" s="2860"/>
      <c r="O28" s="2860"/>
      <c r="P28" s="2860"/>
      <c r="Q28" s="2860"/>
    </row>
    <row r="29" spans="1:20" ht="15.75">
      <c r="A29" s="2818" t="s">
        <v>2838</v>
      </c>
      <c r="B29" s="2801" t="s">
        <v>2839</v>
      </c>
      <c r="C29" s="2819">
        <f>ROUND(C108,4)</f>
        <v>69.085800000000006</v>
      </c>
      <c r="D29" s="2810" t="s">
        <v>2820</v>
      </c>
      <c r="E29" s="2807"/>
      <c r="F29" s="2809"/>
      <c r="G29" s="2809"/>
      <c r="H29" s="3106"/>
      <c r="I29" s="3168"/>
      <c r="J29" s="3168"/>
      <c r="K29" s="2860"/>
      <c r="L29" s="2860"/>
      <c r="M29" s="2860"/>
      <c r="N29" s="2860"/>
      <c r="O29" s="2860"/>
      <c r="P29" s="2860"/>
      <c r="Q29" s="2860"/>
    </row>
    <row r="30" spans="1:20" ht="15.75">
      <c r="A30" s="2857" t="s">
        <v>4138</v>
      </c>
      <c r="B30" s="2855" t="s">
        <v>2841</v>
      </c>
      <c r="C30" s="2811"/>
      <c r="D30" s="2855" t="s">
        <v>4139</v>
      </c>
      <c r="E30" s="2811">
        <v>0.4</v>
      </c>
      <c r="F30" s="2821" t="str">
        <f>IF(AND(C30&lt;&gt;"",E30&lt;&gt;""),"取消！","")</f>
        <v/>
      </c>
      <c r="G30" s="2808" t="s">
        <v>4140</v>
      </c>
      <c r="H30" s="3011"/>
      <c r="I30" s="2968" t="s">
        <v>4141</v>
      </c>
      <c r="J30" s="2809">
        <f>IF(C30="",E30*COS(C103),C30)</f>
        <v>0.39081822977410502</v>
      </c>
      <c r="K30" s="2801"/>
      <c r="L30" s="2813"/>
      <c r="M30" s="2815"/>
      <c r="N30" s="2809"/>
      <c r="O30" s="3106"/>
      <c r="P30" s="3168"/>
      <c r="Q30" s="3168"/>
      <c r="R30" s="2860"/>
      <c r="S30" s="2860"/>
      <c r="T30" s="2860"/>
    </row>
    <row r="31" spans="1:20" ht="15.75">
      <c r="A31" s="2857" t="s">
        <v>2842</v>
      </c>
      <c r="B31" s="2872" t="s">
        <v>2843</v>
      </c>
      <c r="C31" s="3151"/>
      <c r="D31" s="2855" t="s">
        <v>4142</v>
      </c>
      <c r="E31" s="3152">
        <v>0.3</v>
      </c>
      <c r="F31" s="2821" t="str">
        <f>IF(AND(C31&lt;&gt;"",E31&lt;&gt;""),"取消！","")</f>
        <v/>
      </c>
      <c r="G31" s="2878" t="s">
        <v>4143</v>
      </c>
      <c r="H31" s="3153"/>
      <c r="I31" s="2968" t="s">
        <v>4144</v>
      </c>
      <c r="J31" s="2809">
        <f>IF(C31="",E31*COS(C103),C31)</f>
        <v>0.293113672330579</v>
      </c>
      <c r="K31" s="3021"/>
      <c r="L31" s="2803"/>
      <c r="M31" s="3169"/>
      <c r="N31" s="2937"/>
      <c r="O31" s="3106"/>
      <c r="P31" s="3168"/>
      <c r="Q31" s="3168"/>
      <c r="R31" s="2860"/>
      <c r="S31" s="2860"/>
      <c r="T31" s="2860"/>
    </row>
    <row r="32" spans="1:20" ht="15">
      <c r="A32" s="2808" t="s">
        <v>4145</v>
      </c>
      <c r="B32" s="3154" t="str">
        <f>IF(AND(J30=0,J31=0),"",IF(ROUND(C35,4)&lt;&gt;ROUND(C34,4),"单变量求解“计算中心距”：",""))</f>
        <v/>
      </c>
      <c r="C32" s="2823"/>
      <c r="D32" s="2813"/>
      <c r="E32" s="3022"/>
      <c r="F32" s="2809"/>
      <c r="G32" s="2809"/>
      <c r="H32" s="2813"/>
      <c r="I32" s="3168"/>
      <c r="J32" s="3168"/>
      <c r="K32" s="2860"/>
      <c r="L32" s="2860"/>
      <c r="M32" s="2860"/>
      <c r="N32" s="2860"/>
      <c r="O32" s="2860"/>
      <c r="P32" s="2860"/>
      <c r="Q32" s="2860"/>
    </row>
    <row r="33" spans="1:17" ht="15">
      <c r="A33" s="3120"/>
      <c r="B33" s="3155" t="str">
        <f>IF(AND(J30=0,J31=0),"",IF(ROUND(C35,4)&lt;&gt;ROUND(C34,4),"可变格",""))</f>
        <v/>
      </c>
      <c r="C33" s="2825">
        <v>0.41382711385174897</v>
      </c>
      <c r="D33" s="2813"/>
      <c r="E33" s="3042"/>
      <c r="F33" s="3042"/>
      <c r="G33" s="3042"/>
      <c r="H33" s="3042"/>
      <c r="I33" s="3168"/>
      <c r="J33" s="3168"/>
      <c r="K33" s="2860"/>
      <c r="L33" s="2860"/>
      <c r="M33" s="2860"/>
      <c r="N33" s="2860"/>
      <c r="O33" s="2860"/>
      <c r="P33" s="2860"/>
      <c r="Q33" s="2860"/>
    </row>
    <row r="34" spans="1:17" ht="15">
      <c r="A34" s="2857"/>
      <c r="B34" s="3155" t="str">
        <f>IF(AND(J30=0,J31=0),"",IF(ROUND(C35,4)&lt;&gt;ROUND(C34,4),"目标格",""))</f>
        <v/>
      </c>
      <c r="C34" s="2826">
        <f>TAN(C33)-C33-(E102+2*(J30+J31)*TAN(C102)/(C17+C18))</f>
        <v>2.03529406522795E-9</v>
      </c>
      <c r="D34" s="2813"/>
      <c r="E34" s="3042"/>
      <c r="F34" s="3042"/>
      <c r="G34" s="2970"/>
      <c r="H34" s="3042"/>
      <c r="I34" s="3042"/>
      <c r="J34" s="2860"/>
      <c r="K34" s="2860"/>
      <c r="L34" s="2860"/>
      <c r="M34" s="2860"/>
      <c r="N34" s="2860"/>
      <c r="O34" s="2860"/>
      <c r="P34" s="2860"/>
      <c r="Q34" s="2860"/>
    </row>
    <row r="35" spans="1:17" ht="15">
      <c r="A35" s="2857"/>
      <c r="B35" s="3156" t="str">
        <f>IF(AND(J30=0,J31=0),"",IF(ROUND(C35,4)&lt;&gt;ROUND(C34,4),"目标值",""))</f>
        <v/>
      </c>
      <c r="C35" s="2828">
        <f>IF(AND(J30=0,J31=0),"",0)</f>
        <v>0</v>
      </c>
      <c r="D35" s="2813"/>
      <c r="E35" s="2863"/>
      <c r="F35" s="3157"/>
      <c r="G35" s="2863"/>
      <c r="H35" s="3042"/>
      <c r="I35" s="3042"/>
      <c r="J35" s="2860"/>
      <c r="K35" s="2860"/>
      <c r="L35" s="2860"/>
      <c r="M35" s="2860"/>
      <c r="N35" s="2860"/>
      <c r="O35" s="2860"/>
      <c r="P35" s="2860"/>
      <c r="Q35" s="2860"/>
    </row>
    <row r="36" spans="1:17" ht="15.75">
      <c r="A36" s="2858" t="s">
        <v>2845</v>
      </c>
      <c r="B36" s="2801" t="s">
        <v>2846</v>
      </c>
      <c r="C36" s="2882">
        <f>IF(B32&lt;&gt;"","",ROUND(E36,4))</f>
        <v>70.708299999999994</v>
      </c>
      <c r="D36" s="2810" t="s">
        <v>2820</v>
      </c>
      <c r="E36" s="2863">
        <f>IF(AND(J30=0,J31=0),C29,C110*(C17+C18)/2*COS(C102)/COS(C33))</f>
        <v>70.708264117770796</v>
      </c>
      <c r="F36" s="3042"/>
      <c r="G36" s="3042"/>
      <c r="H36" s="3042"/>
      <c r="I36" s="3042"/>
      <c r="J36" s="2860"/>
      <c r="K36" s="2860"/>
      <c r="L36" s="2860"/>
      <c r="M36" s="2860"/>
      <c r="N36" s="2860"/>
      <c r="O36" s="2860"/>
      <c r="P36" s="2860"/>
      <c r="Q36" s="2860"/>
    </row>
    <row r="37" spans="1:17" ht="15.75">
      <c r="A37" s="2858" t="s">
        <v>2847</v>
      </c>
      <c r="B37" s="2801" t="s">
        <v>1874</v>
      </c>
      <c r="C37" s="2814">
        <v>70</v>
      </c>
      <c r="D37" s="3158" t="str">
        <f>IF(OR(B32&lt;&gt;"",C37=""),"",IF(C37&lt;=0,"错误！",IF(C108/C109*COS(C102)&gt;1,"？","毫米")))</f>
        <v>毫米</v>
      </c>
      <c r="E37" s="2859" t="str">
        <f>IF(C37=0,"不输入则默认a0'",IF(C108/C109*COS(C102)&gt;1,"中心距应加大至",""))</f>
        <v/>
      </c>
      <c r="F37" s="3159" t="str">
        <f>IF(E37="中心距应加大至",ROUNDUP(C108*COS(C102),3),"")</f>
        <v/>
      </c>
      <c r="G37" s="2859" t="str">
        <f>IF(F37="","","毫米以上")</f>
        <v/>
      </c>
      <c r="H37" s="2813"/>
      <c r="I37" s="3042"/>
      <c r="J37" s="2860"/>
      <c r="K37" s="2860"/>
      <c r="L37" s="2860"/>
      <c r="M37" s="2860"/>
      <c r="N37" s="2860"/>
      <c r="O37" s="2860"/>
      <c r="P37" s="2860"/>
      <c r="Q37" s="2860"/>
    </row>
    <row r="38" spans="1:17" ht="15.75">
      <c r="A38" s="2858" t="s">
        <v>2848</v>
      </c>
      <c r="B38" s="2831" t="s">
        <v>2849</v>
      </c>
      <c r="C38" s="3064">
        <f>IF(B32&lt;&gt;"","",ROUND(C119,5))</f>
        <v>0.37359999999999999</v>
      </c>
      <c r="D38" s="2812"/>
      <c r="E38" s="3106"/>
      <c r="F38" s="2803"/>
      <c r="G38" s="2812"/>
      <c r="H38" s="2813"/>
      <c r="I38" s="3042"/>
      <c r="J38" s="2860"/>
      <c r="K38" s="2860"/>
      <c r="L38" s="2860"/>
      <c r="M38" s="2860"/>
      <c r="N38" s="2860"/>
      <c r="O38" s="2860"/>
      <c r="P38" s="2860"/>
      <c r="Q38" s="2860"/>
    </row>
    <row r="39" spans="1:17" ht="15.75">
      <c r="A39" s="2858" t="s">
        <v>2850</v>
      </c>
      <c r="B39" s="2831" t="s">
        <v>2851</v>
      </c>
      <c r="C39" s="3064">
        <f>IF(B32&lt;&gt;"","",ROUND(C120,5))</f>
        <v>0.38236999999999999</v>
      </c>
      <c r="D39" s="2812"/>
      <c r="E39" s="3106"/>
      <c r="F39" s="2803"/>
      <c r="G39" s="2812"/>
      <c r="H39" s="2813"/>
      <c r="I39" s="3042"/>
      <c r="J39" s="2860"/>
      <c r="K39" s="2860"/>
      <c r="L39" s="2860"/>
      <c r="M39" s="2860"/>
      <c r="N39" s="2860"/>
      <c r="O39" s="2860"/>
      <c r="P39" s="2860"/>
      <c r="Q39" s="2860"/>
    </row>
    <row r="40" spans="1:17" ht="15.75">
      <c r="A40" s="2803" t="s">
        <v>2840</v>
      </c>
      <c r="B40" s="2806" t="s">
        <v>2852</v>
      </c>
      <c r="C40" s="2811"/>
      <c r="D40" s="2923"/>
      <c r="E40" s="3160" t="str">
        <f>IF(E41&lt;C166,"根切！x1不能小于","")</f>
        <v/>
      </c>
      <c r="F40" s="2815" t="str">
        <f>IF(E40="","",C166)</f>
        <v/>
      </c>
      <c r="G40" s="2812"/>
      <c r="H40" s="2813"/>
      <c r="I40" s="3042"/>
      <c r="J40" s="2860"/>
      <c r="K40" s="2860"/>
      <c r="L40" s="2860"/>
      <c r="M40" s="2860"/>
      <c r="N40" s="2860"/>
      <c r="O40" s="2860"/>
      <c r="P40" s="2860"/>
      <c r="Q40" s="2860"/>
    </row>
    <row r="41" spans="1:17" ht="15.75">
      <c r="A41" s="3161" t="str">
        <f>IF(C40&lt;&gt;"","","或  法向变位系数")</f>
        <v>或  法向变位系数</v>
      </c>
      <c r="B41" s="2806" t="str">
        <f>IF(C40&lt;&gt;"","","xn1")</f>
        <v>xn1</v>
      </c>
      <c r="C41" s="2814">
        <v>0.4</v>
      </c>
      <c r="D41" s="3162" t="str">
        <f>IF(AND(C40&lt;&gt;"",C41&lt;&gt;""),"取消！","")</f>
        <v/>
      </c>
      <c r="E41" s="2863">
        <f>IF(C40&lt;&gt;"",C40,C41*COS(C103))</f>
        <v>0.39081822977410502</v>
      </c>
      <c r="F41" s="3163" t="s">
        <v>4146</v>
      </c>
      <c r="G41" s="2812"/>
      <c r="H41" s="2813"/>
      <c r="I41" s="3042"/>
      <c r="J41" s="2860"/>
      <c r="K41" s="2860"/>
      <c r="L41" s="2860"/>
      <c r="M41" s="2860"/>
      <c r="N41" s="2860"/>
      <c r="O41" s="2860"/>
      <c r="P41" s="2860"/>
      <c r="Q41" s="2860"/>
    </row>
    <row r="42" spans="1:17" ht="15.75">
      <c r="A42" s="2864"/>
      <c r="B42" s="2872" t="str">
        <f>IF(C41&lt;&gt;"","xn2","x2")</f>
        <v>xn2</v>
      </c>
      <c r="C42" s="3164">
        <f>IF(B32&lt;&gt;"","",IF(C41&lt;&gt;"",C39-C41,C38-C40))</f>
        <v>-1.763E-2</v>
      </c>
      <c r="D42" s="2897"/>
      <c r="E42" s="2867" t="str">
        <f>IF(C42&lt;G166,"根切！x2不能小于","")</f>
        <v/>
      </c>
      <c r="F42" s="2868" t="str">
        <f>IF(E42="","",G166)</f>
        <v/>
      </c>
      <c r="G42" s="2964"/>
      <c r="H42" s="2896"/>
      <c r="I42" s="3042"/>
      <c r="J42" s="2860"/>
      <c r="K42" s="2860"/>
      <c r="L42" s="2860"/>
      <c r="M42" s="2860"/>
      <c r="N42" s="2860"/>
      <c r="O42" s="2860"/>
      <c r="P42" s="2860"/>
      <c r="Q42" s="2860"/>
    </row>
    <row r="43" spans="1:17" ht="15.75">
      <c r="A43" s="2788" t="s">
        <v>2857</v>
      </c>
      <c r="B43" s="2855"/>
      <c r="C43" s="2811">
        <v>5</v>
      </c>
      <c r="D43" s="2821" t="str">
        <f>IF(OR(C43=0,C43=3,C43=4,C43=5,C43=6,C43=7,C43=8),"","错误！")</f>
        <v/>
      </c>
      <c r="E43" s="2862"/>
      <c r="F43" s="2815"/>
      <c r="G43" s="2863">
        <f t="shared" ref="G43:G46" si="0">C43</f>
        <v>5</v>
      </c>
      <c r="H43" s="2813"/>
      <c r="I43" s="3042"/>
      <c r="J43" s="2860"/>
      <c r="K43" s="2860"/>
      <c r="L43" s="2860"/>
      <c r="M43" s="2860"/>
      <c r="N43" s="2860"/>
      <c r="O43" s="2860"/>
      <c r="P43" s="2860"/>
      <c r="Q43" s="2860"/>
    </row>
    <row r="44" spans="1:17" ht="15.75">
      <c r="A44" s="2788" t="s">
        <v>2858</v>
      </c>
      <c r="B44" s="2855"/>
      <c r="C44" s="2811">
        <v>5</v>
      </c>
      <c r="D44" s="2821" t="str">
        <f>IF(AND(C43&lt;&gt;0,C44=0),"输入！",IF(AND(C43=0,C44=0),"",IF(AND(C43&lt;&gt;0,OR(C44=3,C44=4,C44=5,C44=6,C44=7,C44=8)),"","错误！")))</f>
        <v/>
      </c>
      <c r="E44" s="2862"/>
      <c r="F44" s="2815"/>
      <c r="G44" s="2863"/>
      <c r="H44" s="2813"/>
      <c r="I44" s="3042"/>
      <c r="J44" s="2860"/>
      <c r="K44" s="2860"/>
      <c r="L44" s="2860"/>
      <c r="M44" s="2860"/>
      <c r="N44" s="2860"/>
      <c r="O44" s="2860"/>
      <c r="P44" s="2860"/>
      <c r="Q44" s="2860"/>
    </row>
    <row r="45" spans="1:17" ht="15">
      <c r="A45" s="2788"/>
      <c r="B45" s="2861"/>
      <c r="C45" s="2832">
        <f>IF(C44="",7,C44)</f>
        <v>5</v>
      </c>
      <c r="D45" s="2821"/>
      <c r="E45" s="2862"/>
      <c r="F45" s="2815"/>
      <c r="G45" s="2863">
        <f t="shared" si="0"/>
        <v>5</v>
      </c>
      <c r="H45" s="2813"/>
      <c r="I45" s="3042"/>
      <c r="J45" s="2860"/>
      <c r="K45" s="2860"/>
      <c r="L45" s="2860"/>
      <c r="M45" s="2860"/>
      <c r="N45" s="2860"/>
      <c r="O45" s="2860"/>
      <c r="P45" s="2860"/>
      <c r="Q45" s="2860"/>
    </row>
    <row r="46" spans="1:17" ht="15">
      <c r="A46" s="2864" t="s">
        <v>2859</v>
      </c>
      <c r="B46" s="2865"/>
      <c r="C46" s="2811">
        <v>5</v>
      </c>
      <c r="D46" s="2866" t="str">
        <f>IF(AND(C43&lt;&gt;0,C46=0),"输入！",IF(AND(C43=0,C46=0),"",IF(AND(C43&lt;&gt;0,OR(C46=3,C46=4,C46=5,C46=6,C46=7,C46=8)),"","错误！")))</f>
        <v/>
      </c>
      <c r="E46" s="2867"/>
      <c r="F46" s="2868"/>
      <c r="G46" s="2869">
        <f t="shared" si="0"/>
        <v>5</v>
      </c>
      <c r="H46" s="2896"/>
      <c r="I46" s="3042"/>
      <c r="J46" s="2860"/>
      <c r="K46" s="2860"/>
      <c r="L46" s="2860"/>
      <c r="M46" s="2860"/>
      <c r="N46" s="2860"/>
      <c r="O46" s="2860"/>
      <c r="P46" s="2860"/>
      <c r="Q46" s="2860"/>
    </row>
    <row r="47" spans="1:17" ht="15.75">
      <c r="A47" s="2813" t="s">
        <v>2860</v>
      </c>
      <c r="B47" s="2806"/>
      <c r="C47" s="2877" t="s">
        <v>961</v>
      </c>
      <c r="D47" s="2821" t="str">
        <f>IF(OR(C47=0,C47="C",C47="S",C47="A"),"","错误！")</f>
        <v/>
      </c>
      <c r="E47" s="2808" t="s">
        <v>2861</v>
      </c>
      <c r="F47" s="2813"/>
      <c r="G47" s="2786"/>
      <c r="H47" s="2808"/>
      <c r="I47" s="2813"/>
      <c r="J47" s="2895"/>
      <c r="K47" s="2812"/>
      <c r="L47" s="2817"/>
      <c r="M47" s="2860"/>
      <c r="N47" s="2860"/>
      <c r="O47" s="2860"/>
      <c r="P47" s="2860"/>
      <c r="Q47" s="2860"/>
    </row>
    <row r="48" spans="1:17" ht="15.75">
      <c r="A48" s="2836" t="s">
        <v>2862</v>
      </c>
      <c r="B48" s="2806"/>
      <c r="C48" s="2787">
        <v>100</v>
      </c>
      <c r="D48" s="2870" t="s">
        <v>2863</v>
      </c>
      <c r="E48" s="2808" t="s">
        <v>2864</v>
      </c>
      <c r="F48" s="2813"/>
      <c r="G48" s="2786"/>
      <c r="H48" s="2808"/>
      <c r="I48" s="2813"/>
      <c r="J48" s="2895"/>
      <c r="K48" s="2812"/>
      <c r="L48" s="2817"/>
      <c r="M48" s="2860"/>
      <c r="N48" s="2860"/>
      <c r="O48" s="2860"/>
      <c r="P48" s="2860"/>
      <c r="Q48" s="2860"/>
    </row>
    <row r="49" spans="1:20" ht="15.75">
      <c r="A49" s="2871" t="s">
        <v>2865</v>
      </c>
      <c r="B49" s="2872"/>
      <c r="C49" s="2787">
        <v>70</v>
      </c>
      <c r="D49" s="2870" t="s">
        <v>2863</v>
      </c>
      <c r="E49" s="2808" t="s">
        <v>2866</v>
      </c>
      <c r="F49" s="2813"/>
      <c r="G49" s="2786"/>
      <c r="H49" s="2808"/>
      <c r="I49" s="2813"/>
      <c r="J49" s="2895"/>
      <c r="K49" s="2812"/>
      <c r="L49" s="2817"/>
      <c r="M49" s="2860"/>
      <c r="N49" s="2860"/>
      <c r="O49" s="2860"/>
      <c r="P49" s="2860"/>
      <c r="Q49" s="2860"/>
    </row>
    <row r="50" spans="1:20">
      <c r="A50" s="2873" t="s">
        <v>2867</v>
      </c>
      <c r="B50" s="2873" t="s">
        <v>2868</v>
      </c>
      <c r="C50" s="2874" t="s">
        <v>2869</v>
      </c>
      <c r="D50" s="2808"/>
      <c r="E50" s="2808" t="s">
        <v>2870</v>
      </c>
      <c r="F50" s="2813"/>
      <c r="G50" s="2786"/>
      <c r="H50" s="2808"/>
      <c r="I50" s="2813"/>
      <c r="J50" s="2895"/>
      <c r="K50" s="2812"/>
      <c r="L50" s="2817"/>
      <c r="M50" s="2860"/>
      <c r="N50" s="2860"/>
      <c r="O50" s="2860"/>
      <c r="P50" s="2860"/>
      <c r="Q50" s="2860"/>
    </row>
    <row r="51" spans="1:20" ht="15.75">
      <c r="A51" s="2875" t="s">
        <v>4147</v>
      </c>
      <c r="B51" s="2876" t="str">
        <f>IF(OR(C43="",C45="",C46=""),"",D279)</f>
        <v>F</v>
      </c>
      <c r="C51" s="2877" t="s">
        <v>475</v>
      </c>
      <c r="D51" s="2821" t="str">
        <f>IF(AND(C51&lt;&gt;"",OR(C43="",C45="",C46="",C58&lt;&gt;"")),"取消！",IF(OR(C51="",C51="C",C51="D",C51="E",C51="F",C51="G",C51="H",C51="J",C51="K",C51="L",C51="M",C51="N",C51="P",C51="R",C51="S"),"","错误！"))</f>
        <v/>
      </c>
      <c r="E51" s="2808" t="s">
        <v>2872</v>
      </c>
      <c r="F51" s="2813"/>
      <c r="G51" s="2786"/>
      <c r="H51" s="2808"/>
      <c r="I51" s="2813"/>
      <c r="J51" s="2895"/>
      <c r="K51" s="2812"/>
      <c r="L51" s="2817"/>
      <c r="M51" s="2860"/>
      <c r="N51" s="2860"/>
      <c r="O51" s="2860"/>
      <c r="P51" s="2860"/>
      <c r="Q51" s="2860"/>
    </row>
    <row r="52" spans="1:20" ht="15.75">
      <c r="A52" s="2875" t="s">
        <v>4148</v>
      </c>
      <c r="B52" s="2876" t="str">
        <f>IF(OR(C43="",C45="",C46=""),"",D280)</f>
        <v>K</v>
      </c>
      <c r="C52" s="2782" t="s">
        <v>487</v>
      </c>
      <c r="D52" s="2821" t="str">
        <f>IF(AND(C52&lt;&gt;"",OR(C43="",C45="",C46="",C59&lt;&gt;"")),"取消！",IF(OR(C52="",C52="C",C52="D",C52="E",C52="F",C52="G",C52="H",C52="J",C52="K",C52="L",C52="M",C52="N",C52="P",C52="R",C52="S"),"","错误！"))</f>
        <v/>
      </c>
      <c r="E52" s="2808" t="str">
        <f>IF(OR(C58&lt;&gt;"",C59&lt;&gt;"",C60&lt;&gt;"",C61&lt;&gt;""),"","注：各偏差如不输入“实际选取”，则默认“推荐”种类。")</f>
        <v>注：各偏差如不输入“实际选取”，则默认“推荐”种类。</v>
      </c>
      <c r="F52" s="2813"/>
      <c r="G52" s="2786"/>
      <c r="H52" s="2808"/>
      <c r="I52" s="2813"/>
      <c r="J52" s="2895"/>
      <c r="K52" s="2812"/>
      <c r="L52" s="2817"/>
      <c r="M52" s="2860"/>
      <c r="N52" s="2860"/>
      <c r="O52" s="2860"/>
      <c r="P52" s="2860"/>
      <c r="Q52" s="2860"/>
    </row>
    <row r="53" spans="1:20" ht="15.75">
      <c r="A53" s="2879" t="s">
        <v>4149</v>
      </c>
      <c r="B53" s="2876" t="str">
        <f>IF(OR(C43="",C45="",C46=""),"",D281)</f>
        <v>G</v>
      </c>
      <c r="C53" s="2782" t="s">
        <v>2876</v>
      </c>
      <c r="D53" s="2821" t="str">
        <f>IF(AND(C53&lt;&gt;"",OR(C43="",C45="",C46="",C60&lt;&gt;"")),"取消！",IF(OR(C53="",C53="C",C53="D",C53="E",C53="F",C53="G",C53="H",C53="J",C53="K",C53="L",C53="M",C53="N",C53="P",C53="R",C53="S"),"","错误！"))</f>
        <v/>
      </c>
      <c r="E53" s="2808"/>
      <c r="F53" s="2813"/>
      <c r="G53" s="2786"/>
      <c r="H53" s="2808"/>
      <c r="I53" s="2813"/>
      <c r="J53" s="2895"/>
      <c r="K53" s="2812"/>
      <c r="L53" s="2817"/>
      <c r="M53" s="2860"/>
      <c r="N53" s="2860"/>
      <c r="O53" s="2860"/>
      <c r="P53" s="2860"/>
      <c r="Q53" s="2860"/>
    </row>
    <row r="54" spans="1:20" ht="15.75">
      <c r="A54" s="2880" t="s">
        <v>4150</v>
      </c>
      <c r="B54" s="2881" t="str">
        <f>IF(OR(C43="",C45="",C46=""),"",D282)</f>
        <v>K</v>
      </c>
      <c r="C54" s="2782" t="s">
        <v>235</v>
      </c>
      <c r="D54" s="2866" t="str">
        <f>IF(AND(C54&lt;&gt;"",OR(C43="",C45="",C46="",C61&lt;&gt;"")),"取消！",IF(OR(C54="",C54="C",C54="D",C54="E",C54="F",C54="G",C54="H",C54="J",C54="K",C54="L",C54="M",C54="N",C54="P",C54="R",C54="S"),"","错误！"))</f>
        <v/>
      </c>
      <c r="E54" s="2879"/>
      <c r="F54" s="2813"/>
      <c r="G54" s="2786"/>
      <c r="H54" s="2808"/>
      <c r="I54" s="2813"/>
      <c r="J54" s="2895"/>
      <c r="K54" s="2812"/>
      <c r="L54" s="2817"/>
      <c r="M54" s="2860"/>
      <c r="N54" s="2860"/>
      <c r="O54" s="2860"/>
      <c r="P54" s="2860"/>
      <c r="Q54" s="2860"/>
    </row>
    <row r="55" spans="1:20">
      <c r="A55" s="2803" t="s">
        <v>2877</v>
      </c>
      <c r="B55" s="2819">
        <f>IF(OR(C43="",C45="",C46=""),"",C283/1000)</f>
        <v>0.06</v>
      </c>
      <c r="C55" s="2819">
        <f>IF(OR(C43="",C45="",C46="",C51="",C52="",C53="",C54=""),"",C287/1000)</f>
        <v>8.4000000000000005E-2</v>
      </c>
      <c r="D55" s="2810" t="s">
        <v>2820</v>
      </c>
      <c r="E55" s="2797"/>
      <c r="F55" s="2797"/>
      <c r="G55" s="2786"/>
      <c r="H55" s="2810"/>
      <c r="I55" s="2803"/>
      <c r="J55" s="2803"/>
      <c r="K55" s="2812"/>
      <c r="L55" s="2817"/>
      <c r="M55" s="2860"/>
      <c r="N55" s="2860"/>
      <c r="O55" s="2860"/>
      <c r="P55" s="2860"/>
      <c r="Q55" s="2860"/>
    </row>
    <row r="56" spans="1:20">
      <c r="A56" s="2896" t="s">
        <v>2878</v>
      </c>
      <c r="B56" s="2841">
        <f>IF(OR(C43="",C45="",C46=""),"",C284/1000)</f>
        <v>0.14399999999999999</v>
      </c>
      <c r="C56" s="2841">
        <f>IF(OR(C43="",C45="",C46="",C51="",C52="",C53="",C54=""),"",C288/1000)</f>
        <v>0.16800000000000001</v>
      </c>
      <c r="D56" s="2842" t="s">
        <v>2820</v>
      </c>
      <c r="E56" s="2897" t="s">
        <v>2879</v>
      </c>
      <c r="F56" s="2842"/>
      <c r="G56" s="2791"/>
      <c r="H56" s="2842"/>
      <c r="I56" s="2803"/>
      <c r="J56" s="2803"/>
      <c r="K56" s="2812"/>
      <c r="L56" s="2817"/>
      <c r="M56" s="2860"/>
      <c r="N56" s="2860"/>
      <c r="O56" s="2860"/>
      <c r="P56" s="2860"/>
      <c r="Q56" s="2860"/>
    </row>
    <row r="57" spans="1:20" ht="15.75">
      <c r="A57" s="3052" t="s">
        <v>4151</v>
      </c>
      <c r="B57" s="2801"/>
      <c r="C57" s="2797"/>
      <c r="D57" s="2810"/>
      <c r="E57" s="2808"/>
      <c r="F57" s="2810"/>
      <c r="G57" s="2797"/>
      <c r="H57" s="2810"/>
      <c r="I57" s="2797"/>
      <c r="J57" s="2797"/>
      <c r="K57" s="2907"/>
      <c r="L57" s="2854"/>
      <c r="M57" s="2893"/>
      <c r="N57" s="2893"/>
      <c r="O57" s="2893"/>
      <c r="P57" s="2893"/>
      <c r="Q57" s="2893"/>
      <c r="R57" s="2693"/>
      <c r="S57" s="2693"/>
      <c r="T57" s="2693"/>
    </row>
    <row r="58" spans="1:20" ht="15.75">
      <c r="A58" s="2875" t="s">
        <v>4147</v>
      </c>
      <c r="B58" s="2801" t="s">
        <v>2881</v>
      </c>
      <c r="C58" s="2811"/>
      <c r="D58" s="2810" t="s">
        <v>2820</v>
      </c>
      <c r="E58" s="2808"/>
      <c r="F58" s="2810"/>
      <c r="G58" s="2797"/>
      <c r="H58" s="2810"/>
      <c r="I58" s="2797"/>
      <c r="J58" s="2797"/>
      <c r="K58" s="2907"/>
      <c r="L58" s="2854"/>
      <c r="M58" s="2893"/>
      <c r="N58" s="2893"/>
      <c r="O58" s="2893"/>
      <c r="P58" s="2893"/>
      <c r="Q58" s="2893"/>
      <c r="R58" s="2693"/>
      <c r="S58" s="2693"/>
      <c r="T58" s="2693"/>
    </row>
    <row r="59" spans="1:20" ht="15.75">
      <c r="A59" s="2875" t="s">
        <v>4148</v>
      </c>
      <c r="B59" s="2801" t="s">
        <v>2882</v>
      </c>
      <c r="C59" s="2787"/>
      <c r="D59" s="2810" t="s">
        <v>2820</v>
      </c>
      <c r="E59" s="2808"/>
      <c r="F59" s="2810"/>
      <c r="G59" s="2797"/>
      <c r="H59" s="2810"/>
      <c r="I59" s="2797"/>
      <c r="J59" s="2797"/>
      <c r="K59" s="2907"/>
      <c r="L59" s="2854"/>
      <c r="M59" s="2893"/>
      <c r="N59" s="2893"/>
      <c r="O59" s="2893"/>
      <c r="P59" s="2893"/>
      <c r="Q59" s="2893"/>
      <c r="R59" s="2693"/>
      <c r="S59" s="2693"/>
      <c r="T59" s="2693"/>
    </row>
    <row r="60" spans="1:20" ht="15.75">
      <c r="A60" s="2879" t="s">
        <v>4149</v>
      </c>
      <c r="B60" s="2801" t="s">
        <v>2883</v>
      </c>
      <c r="C60" s="2787"/>
      <c r="D60" s="2810" t="s">
        <v>2820</v>
      </c>
      <c r="E60" s="2808"/>
      <c r="F60" s="2810"/>
      <c r="G60" s="2797"/>
      <c r="H60" s="2810"/>
      <c r="I60" s="2797"/>
      <c r="J60" s="2797"/>
      <c r="K60" s="2907"/>
      <c r="L60" s="2854"/>
      <c r="M60" s="2893"/>
      <c r="N60" s="2893"/>
      <c r="O60" s="2893"/>
      <c r="P60" s="2893"/>
      <c r="Q60" s="2893"/>
      <c r="R60" s="2693"/>
      <c r="S60" s="2693"/>
      <c r="T60" s="2693"/>
    </row>
    <row r="61" spans="1:20" ht="15.75">
      <c r="A61" s="2880" t="s">
        <v>4150</v>
      </c>
      <c r="B61" s="2901" t="s">
        <v>2884</v>
      </c>
      <c r="C61" s="2811"/>
      <c r="D61" s="2842" t="s">
        <v>2820</v>
      </c>
      <c r="E61" s="2808"/>
      <c r="F61" s="2810"/>
      <c r="G61" s="2797"/>
      <c r="H61" s="2810"/>
      <c r="I61" s="2797"/>
      <c r="J61" s="2797"/>
      <c r="K61" s="2907"/>
      <c r="L61" s="2854"/>
      <c r="M61" s="2893"/>
      <c r="N61" s="2893"/>
      <c r="O61" s="2893"/>
      <c r="P61" s="2893"/>
      <c r="Q61" s="2893"/>
      <c r="R61" s="2693"/>
      <c r="S61" s="2693"/>
      <c r="T61" s="2693"/>
    </row>
    <row r="62" spans="1:20" ht="15.75">
      <c r="A62" s="2803" t="s">
        <v>2877</v>
      </c>
      <c r="B62" s="2801" t="s">
        <v>2885</v>
      </c>
      <c r="C62" s="2819" t="str">
        <f>IF(OR(C58="",C59="",C60="",C61=""),"",ABS(C58+C60))</f>
        <v/>
      </c>
      <c r="D62" s="2810" t="s">
        <v>2820</v>
      </c>
      <c r="E62" s="2808"/>
      <c r="F62" s="2810"/>
      <c r="G62" s="2797"/>
      <c r="H62" s="2810"/>
      <c r="I62" s="2797"/>
      <c r="J62" s="2797"/>
      <c r="K62" s="2810"/>
      <c r="L62" s="2900"/>
      <c r="M62" s="2891"/>
      <c r="N62" s="2891"/>
      <c r="O62" s="2891"/>
      <c r="P62" s="2891"/>
      <c r="Q62" s="2891"/>
      <c r="R62" s="3170"/>
      <c r="S62" s="3170"/>
      <c r="T62" s="3170"/>
    </row>
    <row r="63" spans="1:20" ht="15.75">
      <c r="A63" s="2896" t="s">
        <v>2878</v>
      </c>
      <c r="B63" s="2901" t="s">
        <v>2886</v>
      </c>
      <c r="C63" s="2841" t="str">
        <f>IF(OR(C58="",C59="",C60="",C61=""),"",ABS(C59+C61))</f>
        <v/>
      </c>
      <c r="D63" s="2842" t="s">
        <v>2820</v>
      </c>
      <c r="E63" s="2897"/>
      <c r="F63" s="2842"/>
      <c r="G63" s="2791"/>
      <c r="H63" s="2842"/>
      <c r="I63" s="2797"/>
      <c r="J63" s="2797"/>
      <c r="K63" s="2810"/>
      <c r="L63" s="2900"/>
      <c r="M63" s="2891"/>
      <c r="N63" s="2891"/>
      <c r="O63" s="2891"/>
      <c r="P63" s="2891"/>
      <c r="Q63" s="2891"/>
      <c r="R63" s="3170"/>
      <c r="S63" s="3170"/>
      <c r="T63" s="3170"/>
    </row>
    <row r="64" spans="1:20" ht="15.75">
      <c r="A64" s="2902" t="s">
        <v>2887</v>
      </c>
      <c r="B64" s="2801"/>
      <c r="C64" s="2903" t="s">
        <v>4152</v>
      </c>
      <c r="D64" s="2904"/>
      <c r="E64" s="2905"/>
      <c r="F64" s="2986"/>
      <c r="G64" s="2903" t="s">
        <v>4153</v>
      </c>
      <c r="H64" s="2810"/>
      <c r="I64" s="2803"/>
      <c r="J64" s="2803"/>
      <c r="K64" s="2812"/>
      <c r="L64" s="2817"/>
      <c r="M64" s="2860"/>
      <c r="N64" s="2860"/>
      <c r="O64" s="2860"/>
      <c r="P64" s="2860"/>
      <c r="Q64" s="2860"/>
    </row>
    <row r="65" spans="1:17" ht="15.75">
      <c r="A65" s="2907" t="s">
        <v>2890</v>
      </c>
      <c r="B65" s="2908"/>
      <c r="C65" s="2909" t="s">
        <v>2891</v>
      </c>
      <c r="D65" s="2904"/>
      <c r="E65" s="2910"/>
      <c r="F65" s="2986"/>
      <c r="G65" s="2905"/>
      <c r="H65" s="2911"/>
      <c r="I65" s="2803"/>
      <c r="J65" s="2803"/>
      <c r="K65" s="2812"/>
      <c r="L65" s="2817"/>
      <c r="M65" s="2860"/>
      <c r="N65" s="2860"/>
      <c r="O65" s="2860"/>
      <c r="P65" s="2860"/>
      <c r="Q65" s="2860"/>
    </row>
    <row r="66" spans="1:17" ht="15.75">
      <c r="A66" s="2857" t="s">
        <v>2892</v>
      </c>
      <c r="B66" s="2855" t="s">
        <v>2893</v>
      </c>
      <c r="C66" s="2882">
        <f>ROUND(C145,2)</f>
        <v>4.8099999999999996</v>
      </c>
      <c r="D66" s="2810" t="s">
        <v>2820</v>
      </c>
      <c r="E66" s="2848"/>
      <c r="F66" s="2803" t="s">
        <v>2894</v>
      </c>
      <c r="G66" s="2882">
        <f>ROUND(G145,2)</f>
        <v>4.2699999999999996</v>
      </c>
      <c r="H66" s="2810" t="s">
        <v>2820</v>
      </c>
      <c r="I66" s="2803"/>
      <c r="J66" s="2803"/>
      <c r="K66" s="2812"/>
      <c r="L66" s="2817"/>
      <c r="M66" s="2860"/>
      <c r="N66" s="2860"/>
      <c r="O66" s="2860"/>
      <c r="P66" s="2860"/>
      <c r="Q66" s="2860"/>
    </row>
    <row r="67" spans="1:17" ht="15.75">
      <c r="A67" s="2857" t="s">
        <v>2895</v>
      </c>
      <c r="B67" s="2872" t="s">
        <v>2896</v>
      </c>
      <c r="C67" s="2811">
        <v>5</v>
      </c>
      <c r="D67" s="2810" t="s">
        <v>2820</v>
      </c>
      <c r="E67" s="2848"/>
      <c r="F67" s="2896" t="s">
        <v>2897</v>
      </c>
      <c r="G67" s="2811">
        <v>4.5</v>
      </c>
      <c r="H67" s="2810" t="s">
        <v>2820</v>
      </c>
      <c r="I67" s="2803"/>
      <c r="J67" s="2803"/>
      <c r="K67" s="2812"/>
      <c r="L67" s="2817"/>
      <c r="M67" s="2860"/>
      <c r="N67" s="2860"/>
      <c r="O67" s="2860"/>
      <c r="P67" s="2860"/>
      <c r="Q67" s="2860"/>
    </row>
    <row r="68" spans="1:17" ht="15">
      <c r="A68" s="2912"/>
      <c r="B68" s="2913" t="str">
        <f>IF(C67=0,"",IF(ROUND(C71,4)&lt;&gt;ROUND(C70,4),"单变量求解计算：",""))</f>
        <v>单变量求解计算：</v>
      </c>
      <c r="C68" s="2914"/>
      <c r="D68" s="2810"/>
      <c r="E68" s="2848"/>
      <c r="F68" s="3171" t="str">
        <f>IF(G67=0,"",IF(ROUND(G71,4)&lt;&gt;ROUND(G70,4),"单变量求解计算：",""))</f>
        <v>单变量求解计算：</v>
      </c>
      <c r="G68" s="2914"/>
      <c r="H68" s="2810"/>
      <c r="I68" s="2803"/>
      <c r="J68" s="2803"/>
      <c r="K68" s="2812"/>
      <c r="L68" s="2817"/>
      <c r="M68" s="2860"/>
      <c r="N68" s="2860"/>
      <c r="O68" s="2860"/>
      <c r="P68" s="2860"/>
      <c r="Q68" s="2860"/>
    </row>
    <row r="69" spans="1:17" ht="15">
      <c r="A69" s="2912"/>
      <c r="B69" s="2915" t="str">
        <f>IF(C67=0,"",IF(ROUND(C71,4)&lt;&gt;ROUND(C70,4),"可变格",""))</f>
        <v>可变格</v>
      </c>
      <c r="C69" s="2825">
        <v>0.52169503420418095</v>
      </c>
      <c r="D69" s="2810"/>
      <c r="E69" s="2848"/>
      <c r="F69" s="2916" t="str">
        <f>IF(G67=0,"",IF(ROUND(G71,4)&lt;&gt;ROUND(G70,4),"可变格",""))</f>
        <v>可变格</v>
      </c>
      <c r="G69" s="2825">
        <v>0.42718475426264602</v>
      </c>
      <c r="H69" s="2810"/>
      <c r="I69" s="2803"/>
      <c r="J69" s="2803"/>
      <c r="K69" s="2812"/>
      <c r="L69" s="2817"/>
      <c r="M69" s="2860"/>
      <c r="N69" s="2860"/>
      <c r="O69" s="2860"/>
      <c r="P69" s="2860"/>
      <c r="Q69" s="2860"/>
    </row>
    <row r="70" spans="1:17" ht="15">
      <c r="A70" s="2912"/>
      <c r="B70" s="2915" t="str">
        <f>IF(C67=0,"",IF(ROUND(C71,4)&lt;&gt;ROUND(C70,4),"目标格",""))</f>
        <v>目标格</v>
      </c>
      <c r="C70" s="2826">
        <f>TAN(C69)-C69-C147</f>
        <v>-3.2217736014515498E-3</v>
      </c>
      <c r="D70" s="2810"/>
      <c r="E70" s="2848"/>
      <c r="F70" s="2916" t="str">
        <f>IF(G67=0,"",IF(ROUND(G71,4)&lt;&gt;ROUND(G70,4),"目标格",""))</f>
        <v>目标格</v>
      </c>
      <c r="G70" s="2826">
        <f>TAN(G69)-G69-G147</f>
        <v>2.0504336926560102E-3</v>
      </c>
      <c r="H70" s="2810"/>
      <c r="I70" s="2803"/>
      <c r="J70" s="2803"/>
      <c r="K70" s="2812"/>
      <c r="L70" s="2817"/>
      <c r="M70" s="2860"/>
      <c r="N70" s="2860"/>
      <c r="O70" s="2860"/>
      <c r="P70" s="2860"/>
      <c r="Q70" s="2860"/>
    </row>
    <row r="71" spans="1:17" ht="15">
      <c r="A71" s="2917"/>
      <c r="B71" s="3066" t="str">
        <f>IF(C67=0,"",IF(ROUND(C71,4)&lt;&gt;ROUND(C70,4),"目标值",""))</f>
        <v>目标值</v>
      </c>
      <c r="C71" s="2919">
        <f>IF(C67=0,"",0)</f>
        <v>0</v>
      </c>
      <c r="D71" s="2842"/>
      <c r="E71" s="2920"/>
      <c r="F71" s="2918" t="str">
        <f>IF(G67=0,"",IF(ROUND(G71,4)&lt;&gt;ROUND(G70,4),"目标值",""))</f>
        <v>目标值</v>
      </c>
      <c r="G71" s="2919">
        <f>IF(G67=0,"",0)</f>
        <v>0</v>
      </c>
      <c r="H71" s="2842"/>
      <c r="I71" s="2803"/>
      <c r="J71" s="2803"/>
      <c r="K71" s="2812"/>
      <c r="L71" s="2817"/>
      <c r="M71" s="2860"/>
      <c r="N71" s="2860"/>
      <c r="O71" s="2860"/>
      <c r="P71" s="2860"/>
      <c r="Q71" s="2860"/>
    </row>
    <row r="72" spans="1:17" ht="15.75">
      <c r="A72" s="2921" t="s">
        <v>2898</v>
      </c>
      <c r="B72" s="2855"/>
      <c r="C72" s="2903" t="s">
        <v>4152</v>
      </c>
      <c r="D72" s="2904"/>
      <c r="E72" s="2905"/>
      <c r="F72" s="2986"/>
      <c r="G72" s="2903" t="s">
        <v>4153</v>
      </c>
      <c r="H72" s="2810"/>
      <c r="I72" s="2803"/>
      <c r="J72" s="2803"/>
      <c r="K72" s="2812"/>
      <c r="L72" s="2817"/>
      <c r="M72" s="2860"/>
      <c r="N72" s="2860"/>
      <c r="O72" s="2860"/>
      <c r="P72" s="2860"/>
      <c r="Q72" s="2860"/>
    </row>
    <row r="73" spans="1:17" ht="15.75">
      <c r="A73" s="2803" t="s">
        <v>4154</v>
      </c>
      <c r="B73" s="2813" t="s">
        <v>4155</v>
      </c>
      <c r="C73" s="2882">
        <f>ROUND(C170,2)</f>
        <v>1.21</v>
      </c>
      <c r="D73" s="2808" t="str">
        <f>IF(C86=0,"","应小于")</f>
        <v>应小于</v>
      </c>
      <c r="E73" s="3073">
        <f>IF(C86=0,"",IF(E86&gt;25,1.5,IF(AND(E86&gt;8,E86&lt;=25),3,IF(AND(E86&gt;2,E86&lt;=8),4,IF(AND(E86&gt;1,E86&lt;=2),6,IF(E86&lt;=1,8,""))))))</f>
        <v>4</v>
      </c>
      <c r="F73" s="2813" t="s">
        <v>4156</v>
      </c>
      <c r="G73" s="2882">
        <f>ROUND(G170,2)</f>
        <v>1.73</v>
      </c>
      <c r="H73" s="2808" t="str">
        <f>IF(C86=0,"","应小于")</f>
        <v>应小于</v>
      </c>
      <c r="I73" s="2895">
        <f>IF(C86=0,"",IF(E86&gt;25,1.5,IF(AND(E86&gt;8,E86&lt;=25),3,IF(AND(E86&gt;2,E86&lt;=8),4,IF(AND(E86&gt;1,E86&lt;=2),6,IF(E86&lt;=1,8,""))))))</f>
        <v>4</v>
      </c>
      <c r="J73" s="2844">
        <f>ROUND(E171,2)</f>
        <v>1.21</v>
      </c>
      <c r="K73" s="3187" t="s">
        <v>4155</v>
      </c>
      <c r="L73" s="2817"/>
      <c r="M73" s="2860"/>
      <c r="N73" s="2860"/>
      <c r="O73" s="2860"/>
      <c r="P73" s="2860"/>
      <c r="Q73" s="2860"/>
    </row>
    <row r="74" spans="1:17" ht="15.75">
      <c r="A74" s="2803" t="s">
        <v>4157</v>
      </c>
      <c r="B74" s="2803" t="s">
        <v>4158</v>
      </c>
      <c r="C74" s="2882">
        <f>ROUND(C172,2)</f>
        <v>1.17</v>
      </c>
      <c r="D74" s="2808" t="s">
        <v>4159</v>
      </c>
      <c r="E74" s="3073">
        <f>IF(C46&lt;=4,1.4,IF(C46=5,1.5,IF(C46=6,1.6,IF(C46&gt;=7,1.7,""))))</f>
        <v>1.5</v>
      </c>
      <c r="F74" s="2803" t="s">
        <v>4160</v>
      </c>
      <c r="G74" s="2882">
        <f>ROUND(G172,2)</f>
        <v>1.01</v>
      </c>
      <c r="H74" s="2808" t="s">
        <v>4159</v>
      </c>
      <c r="I74" s="2895">
        <f>IF(C46&lt;=4,1.4,IF(C46=5,1.5,IF(C46=6,1.6,IF(C46&gt;=7,1.7,""))))</f>
        <v>1.5</v>
      </c>
      <c r="J74" s="2844">
        <f>ROUND(I171,2)</f>
        <v>1.73</v>
      </c>
      <c r="K74" s="3187" t="s">
        <v>4161</v>
      </c>
      <c r="L74" s="2817"/>
      <c r="M74" s="2860"/>
      <c r="N74" s="2860"/>
      <c r="O74" s="2860"/>
      <c r="P74" s="2860"/>
      <c r="Q74" s="2860"/>
    </row>
    <row r="75" spans="1:17" ht="15.75">
      <c r="A75" s="2797" t="s">
        <v>3363</v>
      </c>
      <c r="B75" s="2908"/>
      <c r="C75" s="2924" t="str">
        <f>D164</f>
        <v>齿顶未变尖</v>
      </c>
      <c r="D75" s="2923" t="str">
        <f>IF(C164&lt;0.4,"顶宽 &lt;","")</f>
        <v/>
      </c>
      <c r="E75" s="2808" t="str">
        <f>IF(C164&lt;0.4,ROUND(0.4*C19,2),"")</f>
        <v/>
      </c>
      <c r="F75" s="3172"/>
      <c r="G75" s="2924" t="str">
        <f>H164</f>
        <v>齿顶未变尖</v>
      </c>
      <c r="H75" s="2923" t="str">
        <f>IF(G164&lt;0.4,"顶宽 &lt;","")</f>
        <v/>
      </c>
      <c r="I75" s="2808" t="str">
        <f>IF(G164&lt;0.4,ROUND(0.4*G19,2),"")</f>
        <v/>
      </c>
      <c r="J75" s="2803"/>
      <c r="K75" s="2812"/>
      <c r="L75" s="2817"/>
      <c r="M75" s="2860"/>
      <c r="N75" s="2860"/>
      <c r="O75" s="2860"/>
      <c r="P75" s="2860"/>
      <c r="Q75" s="2860"/>
    </row>
    <row r="76" spans="1:17" ht="15.75">
      <c r="A76" s="2803" t="s">
        <v>2902</v>
      </c>
      <c r="B76" s="2986" t="s">
        <v>4162</v>
      </c>
      <c r="C76" s="2819">
        <f>C161</f>
        <v>2.5379999999999998</v>
      </c>
      <c r="D76" s="2953" t="s">
        <v>4163</v>
      </c>
      <c r="E76" s="2797">
        <f>C159</f>
        <v>1.4530000000000001</v>
      </c>
      <c r="F76" s="2986" t="s">
        <v>4164</v>
      </c>
      <c r="G76" s="2797">
        <f>C160</f>
        <v>1.085</v>
      </c>
      <c r="H76" s="2923"/>
      <c r="I76" s="2808"/>
      <c r="J76" s="2803"/>
      <c r="K76" s="2812"/>
      <c r="L76" s="2817"/>
      <c r="M76" s="2860"/>
      <c r="N76" s="2860"/>
      <c r="O76" s="2860"/>
      <c r="P76" s="2860"/>
      <c r="Q76" s="2860"/>
    </row>
    <row r="77" spans="1:17" ht="15.75">
      <c r="A77" s="2810" t="s">
        <v>4165</v>
      </c>
      <c r="B77" s="2908"/>
      <c r="C77" s="2924" t="str">
        <f>D163</f>
        <v>不发生干涉</v>
      </c>
      <c r="D77" s="2976"/>
      <c r="E77" s="3109"/>
      <c r="F77" s="3173"/>
      <c r="G77" s="2924" t="str">
        <f>H163</f>
        <v>不发生干涉</v>
      </c>
      <c r="H77" s="2810"/>
      <c r="I77" s="2803"/>
      <c r="J77" s="2803"/>
      <c r="K77" s="2812"/>
      <c r="L77" s="2817"/>
      <c r="M77" s="2860"/>
      <c r="N77" s="2860"/>
      <c r="O77" s="2860"/>
      <c r="P77" s="2860"/>
      <c r="Q77" s="2860"/>
    </row>
    <row r="78" spans="1:17" ht="15.75">
      <c r="A78" s="2896" t="s">
        <v>4166</v>
      </c>
      <c r="B78" s="3057"/>
      <c r="C78" s="3058" t="str">
        <f>D166</f>
        <v>不根切</v>
      </c>
      <c r="D78" s="3069"/>
      <c r="E78" s="3058"/>
      <c r="F78" s="3174"/>
      <c r="G78" s="3058" t="str">
        <f>H166</f>
        <v>不根切</v>
      </c>
      <c r="H78" s="2957"/>
      <c r="I78" s="2803"/>
      <c r="J78" s="2803"/>
      <c r="K78" s="2812"/>
      <c r="L78" s="2817"/>
      <c r="M78" s="2860"/>
      <c r="N78" s="2860"/>
      <c r="O78" s="2860"/>
      <c r="P78" s="2860"/>
      <c r="Q78" s="2860"/>
    </row>
    <row r="79" spans="1:17" ht="15.75">
      <c r="A79" s="2921" t="s">
        <v>4167</v>
      </c>
      <c r="B79" s="2801"/>
      <c r="C79" s="3011"/>
      <c r="D79" s="2810"/>
      <c r="E79" s="2848"/>
      <c r="F79" s="2797"/>
      <c r="G79" s="3011"/>
      <c r="H79" s="2810"/>
      <c r="I79" s="2797"/>
      <c r="J79" s="2797"/>
      <c r="K79" s="2907"/>
      <c r="L79" s="2854"/>
      <c r="M79" s="2860"/>
      <c r="N79" s="2860"/>
      <c r="O79" s="2860"/>
      <c r="P79" s="2860"/>
      <c r="Q79" s="2860"/>
    </row>
    <row r="80" spans="1:17" ht="15.75">
      <c r="A80" s="2803" t="s">
        <v>4168</v>
      </c>
      <c r="B80" s="2861"/>
      <c r="C80" s="3037">
        <v>5</v>
      </c>
      <c r="D80" s="2816" t="str">
        <f>IF(OR(C80=0,C80=1,C80=2,C80=3,C80=4,C80=5,C80=6,C80=7),"","错误！")</f>
        <v/>
      </c>
      <c r="E80" s="3106" t="s">
        <v>4169</v>
      </c>
      <c r="F80" s="2848"/>
      <c r="G80" s="2848"/>
      <c r="H80" s="2810"/>
      <c r="I80" s="2803"/>
      <c r="J80" s="2803"/>
      <c r="K80" s="2812"/>
      <c r="L80" s="2817"/>
      <c r="M80" s="2860"/>
      <c r="N80" s="2860"/>
      <c r="O80" s="2860"/>
      <c r="P80" s="2860"/>
      <c r="Q80" s="2860"/>
    </row>
    <row r="81" spans="1:20" ht="15">
      <c r="A81" s="2797"/>
      <c r="B81" s="3175"/>
      <c r="C81" s="2903"/>
      <c r="D81" s="3095"/>
      <c r="E81" s="3176" t="s">
        <v>4170</v>
      </c>
      <c r="F81" s="2848"/>
      <c r="G81" s="2848"/>
      <c r="H81" s="2810"/>
      <c r="I81" s="2797"/>
      <c r="J81" s="2797"/>
      <c r="K81" s="2907"/>
      <c r="L81" s="2854"/>
      <c r="M81" s="2893"/>
      <c r="N81" s="2893"/>
      <c r="O81" s="2893"/>
      <c r="P81" s="2893"/>
      <c r="Q81" s="2893"/>
      <c r="R81" s="2693"/>
      <c r="S81" s="2693"/>
      <c r="T81" s="2693"/>
    </row>
    <row r="82" spans="1:20" ht="15">
      <c r="A82" s="2797" t="str">
        <f>IF(C80=0,"","支承形式代码")</f>
        <v>支承形式代码</v>
      </c>
      <c r="B82" s="3175"/>
      <c r="C82" s="3037">
        <v>2</v>
      </c>
      <c r="D82" s="2816" t="str">
        <f>IF(AND(C80="",C82=""),"",IF(AND(C80="",C82&lt;&gt;""),"取消！",IF(AND(C80&lt;&gt;"",C82=""),"输入！",IF(OR(C82=1,C82=2,C82=3),"","错误！"))))</f>
        <v/>
      </c>
      <c r="E82" s="2909" t="str">
        <f>IF(C80=0,"","说明：1—对称支承， 2—非对称支承， 3—悬臂支承")</f>
        <v>说明：1—对称支承， 2—非对称支承， 3—悬臂支承</v>
      </c>
      <c r="F82" s="2848"/>
      <c r="G82" s="2848"/>
      <c r="H82" s="2810"/>
      <c r="I82" s="2797"/>
      <c r="J82" s="2797"/>
      <c r="K82" s="2907"/>
      <c r="L82" s="2854"/>
      <c r="M82" s="2893"/>
      <c r="N82" s="2893"/>
      <c r="O82" s="2893"/>
      <c r="P82" s="2893"/>
      <c r="Q82" s="2893"/>
      <c r="R82" s="2693"/>
      <c r="S82" s="2693"/>
      <c r="T82" s="2693"/>
    </row>
    <row r="83" spans="1:20" ht="15">
      <c r="A83" s="2797"/>
      <c r="B83" s="3175"/>
      <c r="C83" s="2903" t="s">
        <v>4152</v>
      </c>
      <c r="D83" s="2904"/>
      <c r="E83" s="2905"/>
      <c r="F83" s="2986"/>
      <c r="G83" s="2903" t="s">
        <v>4153</v>
      </c>
      <c r="H83" s="2810"/>
      <c r="I83" s="2797"/>
      <c r="J83" s="2797"/>
      <c r="K83" s="2907"/>
      <c r="L83" s="2854"/>
      <c r="M83" s="2893"/>
      <c r="N83" s="2893"/>
      <c r="O83" s="2893"/>
      <c r="P83" s="2893"/>
      <c r="Q83" s="2893"/>
      <c r="R83" s="2693"/>
      <c r="S83" s="2693"/>
      <c r="T83" s="2693"/>
    </row>
    <row r="84" spans="1:20" ht="15.75">
      <c r="A84" s="2803" t="str">
        <f>IF(C80=0,"","名 义 转 矩")</f>
        <v>名 义 转 矩</v>
      </c>
      <c r="B84" s="2806" t="str">
        <f>IF(C80=0,"","T")</f>
        <v>T</v>
      </c>
      <c r="C84" s="2811">
        <v>115</v>
      </c>
      <c r="D84" s="2934" t="str">
        <f>IF(C80=0,"","N·m")</f>
        <v>N·m</v>
      </c>
      <c r="E84" s="2936">
        <f>IF(C84&lt;&gt;0,C84,ROUND(9549*C85/C86,3))</f>
        <v>115</v>
      </c>
      <c r="F84" s="2967" t="str">
        <f>IF(C80=0,"","N·m")</f>
        <v>N·m</v>
      </c>
      <c r="G84" s="2797">
        <f>IF(C80=0,"",ROUND(C18/C17*E84,3))</f>
        <v>180.714</v>
      </c>
      <c r="H84" s="2953" t="str">
        <f>IF(C80=0,"","N·m")</f>
        <v>N·m</v>
      </c>
      <c r="I84" s="2797"/>
      <c r="J84" s="2797"/>
      <c r="K84" s="2907"/>
      <c r="L84" s="2854"/>
      <c r="M84" s="2893"/>
      <c r="N84" s="2893"/>
      <c r="O84" s="2893"/>
      <c r="P84" s="2893"/>
      <c r="Q84" s="2893"/>
      <c r="R84" s="2693"/>
      <c r="S84" s="2693"/>
      <c r="T84" s="2693"/>
    </row>
    <row r="85" spans="1:20" ht="15.75">
      <c r="A85" s="2803" t="str">
        <f>IF(C80=0,"","名 义 功 率")</f>
        <v>名 义 功 率</v>
      </c>
      <c r="B85" s="2806" t="str">
        <f>IF(OR(C80=0,C84&lt;&gt;0),"","P")</f>
        <v/>
      </c>
      <c r="C85" s="2787"/>
      <c r="D85" s="2816" t="str">
        <f>IF(C80=0,"",IF(AND(C84&lt;&gt;0,C85&lt;&gt;0),"取消!",IF(AND(C80&lt;&gt;0,C84&lt;&gt;0),"不输入","kW")))</f>
        <v>不输入</v>
      </c>
      <c r="E85" s="2936">
        <f>IF(C80=0,"",IF(C84&lt;&gt;0,ROUND(C84*C86/9549,3),C85))</f>
        <v>24.085999999999999</v>
      </c>
      <c r="F85" s="2967" t="str">
        <f>IF(C80=0,"","kW")</f>
        <v>kW</v>
      </c>
      <c r="G85" s="2797">
        <f>IF(C80=0,"",ROUND(C18/C17*E85,3))</f>
        <v>37.848999999999997</v>
      </c>
      <c r="H85" s="2953" t="str">
        <f>IF(C80=0,"","kW")</f>
        <v>kW</v>
      </c>
      <c r="I85" s="2797"/>
      <c r="J85" s="2797"/>
      <c r="K85" s="2907"/>
      <c r="L85" s="2854"/>
      <c r="M85" s="2893"/>
      <c r="N85" s="2893"/>
      <c r="O85" s="2893"/>
      <c r="P85" s="2893"/>
      <c r="Q85" s="2893"/>
      <c r="R85" s="2693"/>
      <c r="S85" s="2693"/>
      <c r="T85" s="2693"/>
    </row>
    <row r="86" spans="1:20" ht="15.75">
      <c r="A86" s="2803" t="str">
        <f>IF(C80=0,"","转       速")</f>
        <v>转       速</v>
      </c>
      <c r="B86" s="2806" t="str">
        <f>IF(C80=0,"","n")</f>
        <v>n</v>
      </c>
      <c r="C86" s="3037">
        <v>2000</v>
      </c>
      <c r="D86" s="2934" t="str">
        <f>IF(C80=0,"","r/min")</f>
        <v>r/min</v>
      </c>
      <c r="E86" s="2936">
        <f>IF(C80=0,"",ROUND(PI()*C111*C86/1000/60,2))</f>
        <v>5.63</v>
      </c>
      <c r="F86" s="2967" t="str">
        <f>IF(C80=0,"","m / s")</f>
        <v>m / s</v>
      </c>
      <c r="G86" s="2797">
        <f>IF(C80=0,"",ROUND(C17/C18*C86,3))</f>
        <v>1272.7270000000001</v>
      </c>
      <c r="H86" s="2953" t="str">
        <f>IF(C80=0,"","r/min")</f>
        <v>r/min</v>
      </c>
      <c r="I86" s="2797"/>
      <c r="J86" s="2797"/>
      <c r="K86" s="2907"/>
      <c r="L86" s="2854"/>
      <c r="M86" s="2893"/>
      <c r="N86" s="2893"/>
      <c r="O86" s="2893"/>
      <c r="P86" s="2893"/>
      <c r="Q86" s="2893"/>
      <c r="R86" s="2693"/>
      <c r="S86" s="2693"/>
      <c r="T86" s="2693"/>
    </row>
    <row r="87" spans="1:20" ht="15">
      <c r="A87" s="2797"/>
      <c r="B87" s="3177" t="str">
        <f>IF(C80=0,"",IF(ROUND(C90,4)&lt;&gt;ROUND(C89,4),"单变量求解计算：",""))</f>
        <v/>
      </c>
      <c r="C87" s="3178"/>
      <c r="D87" s="3095"/>
      <c r="E87" s="2821"/>
      <c r="F87" s="3179" t="str">
        <f>IF(C80=0,"",IF(ROUND(G90,4)&lt;&gt;ROUND(G89,4),"单变量求解计算：",""))</f>
        <v/>
      </c>
      <c r="G87" s="3180"/>
      <c r="H87" s="2937"/>
      <c r="I87" s="2810"/>
      <c r="J87" s="2797"/>
      <c r="K87" s="2907"/>
      <c r="L87" s="2854"/>
      <c r="M87" s="2893"/>
      <c r="N87" s="2893"/>
      <c r="O87" s="2893"/>
      <c r="P87" s="2893"/>
      <c r="Q87" s="2893"/>
      <c r="R87" s="2693"/>
      <c r="S87" s="2693"/>
      <c r="T87" s="2693"/>
    </row>
    <row r="88" spans="1:20" ht="15">
      <c r="A88" s="2797"/>
      <c r="B88" s="3155" t="str">
        <f>IF(C80=0,"",IF(ROUND(C90,4)&lt;&gt;ROUND(C89,4),"可变格",""))</f>
        <v/>
      </c>
      <c r="C88" s="2825">
        <v>0.86052190811930596</v>
      </c>
      <c r="D88" s="3095"/>
      <c r="E88" s="2821"/>
      <c r="F88" s="2824" t="str">
        <f>IF(C80=0,"",IF(ROUND(G90,4)&lt;&gt;ROUND(G89,4),"可变格",""))</f>
        <v/>
      </c>
      <c r="G88" s="2825">
        <v>0.89600743585630105</v>
      </c>
      <c r="H88" s="2937"/>
      <c r="I88" s="2810"/>
      <c r="J88" s="2797"/>
      <c r="K88" s="2907"/>
      <c r="L88" s="2854"/>
      <c r="M88" s="2893"/>
      <c r="N88" s="2893"/>
      <c r="O88" s="2893"/>
      <c r="P88" s="2893"/>
      <c r="Q88" s="2893"/>
      <c r="R88" s="2693"/>
      <c r="S88" s="2693"/>
      <c r="T88" s="2693"/>
    </row>
    <row r="89" spans="1:20" ht="15">
      <c r="A89" s="2797"/>
      <c r="B89" s="3155" t="str">
        <f>IF(C80=0,"",IF(ROUND(C90,4)&lt;&gt;ROUND(C89,4),"目标格",""))</f>
        <v/>
      </c>
      <c r="C89" s="2826">
        <f>(2*G339/C340)*TAN(C88)-C88-E340</f>
        <v>5.4200417487493302E-9</v>
      </c>
      <c r="D89" s="3095"/>
      <c r="E89" s="2821"/>
      <c r="F89" s="2824" t="str">
        <f>IF(C80=0,"",IF(ROUND(G90,4)&lt;&gt;ROUND(G89,4),"目标格",""))</f>
        <v/>
      </c>
      <c r="G89" s="2826">
        <f>(2*G347/C348)*TAN(G88)-G88-E348</f>
        <v>-1.5941621356318999E-9</v>
      </c>
      <c r="H89" s="2937"/>
      <c r="I89" s="2810"/>
      <c r="J89" s="2797"/>
      <c r="K89" s="2907"/>
      <c r="L89" s="2854"/>
      <c r="M89" s="2893"/>
      <c r="N89" s="2893"/>
      <c r="O89" s="2893"/>
      <c r="P89" s="2893"/>
      <c r="Q89" s="2893"/>
      <c r="R89" s="2693"/>
      <c r="S89" s="2693"/>
      <c r="T89" s="2693"/>
    </row>
    <row r="90" spans="1:20" ht="15">
      <c r="A90" s="2797"/>
      <c r="B90" s="3156" t="str">
        <f>IF(C80=0,"",IF(ROUND(C90,4)&lt;&gt;ROUND(C89,4),"目标值",""))</f>
        <v/>
      </c>
      <c r="C90" s="2919">
        <f>IF(C80=0,"",0)</f>
        <v>0</v>
      </c>
      <c r="D90" s="3095"/>
      <c r="E90" s="2821"/>
      <c r="F90" s="2827" t="str">
        <f>IF(C80=0,"",IF(ROUND(G90,4)&lt;&gt;ROUND(G89,4),"目标值",""))</f>
        <v/>
      </c>
      <c r="G90" s="2919">
        <f>IF(C80=0,"",0)</f>
        <v>0</v>
      </c>
      <c r="H90" s="2937"/>
      <c r="I90" s="2810"/>
      <c r="J90" s="2797"/>
      <c r="K90" s="2907"/>
      <c r="L90" s="2854"/>
      <c r="M90" s="2893"/>
      <c r="N90" s="2893"/>
      <c r="O90" s="2893"/>
      <c r="P90" s="2893"/>
      <c r="Q90" s="2893"/>
      <c r="R90" s="2693"/>
      <c r="S90" s="2693"/>
      <c r="T90" s="2693"/>
    </row>
    <row r="91" spans="1:20" ht="15.75">
      <c r="A91" s="2803" t="str">
        <f>IF(C80=0,"","名义切向力")</f>
        <v>名义切向力</v>
      </c>
      <c r="B91" s="2855" t="str">
        <f>IF(C80=0,"","F t")</f>
        <v>F t</v>
      </c>
      <c r="C91" s="2797"/>
      <c r="D91" s="2966"/>
      <c r="E91" s="2797">
        <f>IF(C80=0,"",C330)</f>
        <v>4280.3900000000003</v>
      </c>
      <c r="F91" s="2953" t="str">
        <f>IF(C80=0,"","N")</f>
        <v>N</v>
      </c>
      <c r="G91" s="3067"/>
      <c r="H91" s="2937"/>
      <c r="I91" s="2810"/>
      <c r="J91" s="3188"/>
      <c r="K91" s="2907"/>
      <c r="L91" s="2854"/>
      <c r="M91" s="2893"/>
      <c r="N91" s="2893"/>
      <c r="O91" s="2893"/>
      <c r="P91" s="2893"/>
      <c r="Q91" s="2893"/>
      <c r="R91" s="2693"/>
      <c r="S91" s="2693"/>
      <c r="T91" s="2693"/>
    </row>
    <row r="92" spans="1:20" ht="15.75">
      <c r="A92" s="2803" t="str">
        <f>IF(C80=0,"","名义轴向力")</f>
        <v>名义轴向力</v>
      </c>
      <c r="B92" s="2855" t="str">
        <f>IF(C80=0,"","F x")</f>
        <v>F x</v>
      </c>
      <c r="C92" s="2797"/>
      <c r="D92" s="2966"/>
      <c r="E92" s="2797">
        <f>IF(C80=0,"",ROUND(C330*TAN(C103),2))</f>
        <v>933.28</v>
      </c>
      <c r="F92" s="2953" t="str">
        <f>IF(C80=0,"","N")</f>
        <v>N</v>
      </c>
      <c r="G92" s="3067"/>
      <c r="H92" s="2937"/>
      <c r="I92" s="2810"/>
      <c r="J92" s="3188"/>
      <c r="K92" s="2907"/>
      <c r="L92" s="2854"/>
      <c r="M92" s="2893"/>
      <c r="N92" s="2893"/>
      <c r="O92" s="2893"/>
      <c r="P92" s="2893"/>
      <c r="Q92" s="2893"/>
      <c r="R92" s="2693"/>
      <c r="S92" s="2693"/>
      <c r="T92" s="2693"/>
    </row>
    <row r="93" spans="1:20" ht="15.75">
      <c r="A93" s="2803" t="str">
        <f>IF(C80=0,"","许用接触应力")</f>
        <v>许用接触应力</v>
      </c>
      <c r="B93" s="3181" t="str">
        <f>IF(C80=0,"","σHP")</f>
        <v>σHP</v>
      </c>
      <c r="C93" s="2797"/>
      <c r="D93" s="2912"/>
      <c r="E93" s="2819">
        <f>IF(B87&lt;&gt;"","",IF(C80=0,"",C333))</f>
        <v>1037.68</v>
      </c>
      <c r="F93" s="2912" t="str">
        <f>IF(C80=0,"","N/mm2")</f>
        <v>N/mm2</v>
      </c>
      <c r="G93" s="2797"/>
      <c r="H93" s="2912"/>
      <c r="I93" s="2808"/>
      <c r="J93" s="2810"/>
      <c r="K93" s="2812"/>
      <c r="L93" s="2817"/>
      <c r="M93" s="2860"/>
      <c r="N93" s="2860"/>
      <c r="O93" s="2860"/>
      <c r="P93" s="2860"/>
      <c r="Q93" s="2860"/>
    </row>
    <row r="94" spans="1:20" ht="15.75">
      <c r="A94" s="2803" t="str">
        <f>IF(C80=0,"","计算接触应力")</f>
        <v>计算接触应力</v>
      </c>
      <c r="B94" s="3181" t="str">
        <f>IF(C80=0,"","σH")</f>
        <v>σH</v>
      </c>
      <c r="C94" s="2797"/>
      <c r="D94" s="2912"/>
      <c r="E94" s="2819">
        <f>IF(B87&lt;&gt;"","",IF(C80=0,"",C335))</f>
        <v>1026.6300000000001</v>
      </c>
      <c r="F94" s="2912" t="str">
        <f>IF(C80=0,"","N/mm2")</f>
        <v>N/mm2</v>
      </c>
      <c r="G94" s="2797"/>
      <c r="H94" s="2912"/>
      <c r="I94" s="2821"/>
      <c r="J94" s="2803"/>
      <c r="K94" s="2812"/>
      <c r="L94" s="2817"/>
      <c r="M94" s="2860"/>
      <c r="N94" s="2860"/>
      <c r="O94" s="2860"/>
      <c r="P94" s="2860"/>
      <c r="Q94" s="2860"/>
    </row>
    <row r="95" spans="1:20" ht="15.75">
      <c r="A95" s="2857" t="str">
        <f>IF(C80=0,"","接触强度计算安全系数")</f>
        <v>接触强度计算安全系数</v>
      </c>
      <c r="B95" s="3161" t="str">
        <f>IF(C80=0,"","SH")</f>
        <v>SH</v>
      </c>
      <c r="C95" s="2848"/>
      <c r="D95" s="3182"/>
      <c r="E95" s="3064">
        <f>IF(C80=0,"",ROUND(C337,2))</f>
        <v>1.26</v>
      </c>
      <c r="F95" s="3183" t="str">
        <f>IF(C80=0,"",IF(E95&gt;=C332,"","?"))</f>
        <v/>
      </c>
      <c r="G95" s="2848"/>
      <c r="H95" s="3182"/>
      <c r="I95" s="2821"/>
      <c r="J95" s="2803"/>
      <c r="K95" s="2812"/>
      <c r="L95" s="2817"/>
      <c r="M95" s="2860"/>
      <c r="N95" s="2860"/>
      <c r="O95" s="2860"/>
      <c r="P95" s="2860"/>
      <c r="Q95" s="2860"/>
    </row>
    <row r="96" spans="1:20" ht="15.75">
      <c r="A96" s="2803" t="str">
        <f>IF(C80=0,"","许用齿根应力")</f>
        <v>许用齿根应力</v>
      </c>
      <c r="B96" s="3181" t="str">
        <f>IF(C80=0,"","σFP")</f>
        <v>σFP</v>
      </c>
      <c r="C96" s="2819">
        <f>IF(B87&lt;&gt;"","",IF(C80=0,"",C359))</f>
        <v>654.6</v>
      </c>
      <c r="D96" s="2912" t="str">
        <f>IF(C80=0,"","N/mm2")</f>
        <v>N/mm2</v>
      </c>
      <c r="E96" s="2821"/>
      <c r="F96" s="2976"/>
      <c r="G96" s="2819">
        <f>IF(F87&lt;&gt;"","",IF(C80=0,"",G359))</f>
        <v>650.03</v>
      </c>
      <c r="H96" s="2912" t="str">
        <f>IF(C80=0,"","N/mm2")</f>
        <v>N/mm2</v>
      </c>
      <c r="I96" s="2821"/>
      <c r="J96" s="2803"/>
      <c r="K96" s="2812"/>
      <c r="L96" s="2817"/>
      <c r="M96" s="2860"/>
      <c r="N96" s="2860"/>
      <c r="O96" s="2860"/>
      <c r="P96" s="2860"/>
      <c r="Q96" s="2860"/>
    </row>
    <row r="97" spans="1:17" ht="15.75">
      <c r="A97" s="2803" t="str">
        <f>IF(C80=0,"","计算齿根应力")</f>
        <v>计算齿根应力</v>
      </c>
      <c r="B97" s="3181" t="str">
        <f>IF(C80=0,"","σF")</f>
        <v>σF</v>
      </c>
      <c r="C97" s="2819">
        <f>IF(B87&lt;&gt;"","",IF(C80=0,"",C360))</f>
        <v>277.69</v>
      </c>
      <c r="D97" s="2912" t="str">
        <f>IF(C80=0,"","N/mm2")</f>
        <v>N/mm2</v>
      </c>
      <c r="E97" s="3184"/>
      <c r="F97" s="2976"/>
      <c r="G97" s="2819">
        <f>IF(F87&lt;&gt;"","",IF(C80=0,"",G360))</f>
        <v>289.45999999999998</v>
      </c>
      <c r="H97" s="2912" t="str">
        <f>IF(C80=0,"","N/mm2")</f>
        <v>N/mm2</v>
      </c>
      <c r="I97" s="2821"/>
      <c r="J97" s="2803"/>
      <c r="K97" s="2812"/>
      <c r="L97" s="2817"/>
      <c r="M97" s="2860"/>
      <c r="N97" s="2860"/>
      <c r="O97" s="2860"/>
      <c r="P97" s="2860"/>
      <c r="Q97" s="2860"/>
    </row>
    <row r="98" spans="1:17" ht="15.75">
      <c r="A98" s="2790" t="str">
        <f>IF(C80=0,"","弯曲强度计算安全系数")</f>
        <v>弯曲强度计算安全系数</v>
      </c>
      <c r="B98" s="3185" t="str">
        <f>IF(C80=0,"","SF")</f>
        <v>SF</v>
      </c>
      <c r="C98" s="3164">
        <f>IF(B87&lt;&gt;"","",IF(C80=0,"",C362))</f>
        <v>2.95</v>
      </c>
      <c r="D98" s="3186" t="str">
        <f>IF(C98="","",IF(C98&gt;=C358,"","?"))</f>
        <v/>
      </c>
      <c r="E98" s="2897"/>
      <c r="F98" s="2871"/>
      <c r="G98" s="3164">
        <f>IF(F87&lt;&gt;"","",IF(C80=0,"",G362))</f>
        <v>2.81</v>
      </c>
      <c r="H98" s="3186" t="str">
        <f>IF(G98="","",IF(G98&gt;=C358,"","?"))</f>
        <v/>
      </c>
      <c r="I98" s="2821"/>
      <c r="J98" s="2803"/>
      <c r="K98" s="2812"/>
      <c r="L98" s="2817"/>
      <c r="M98" s="2860"/>
      <c r="N98" s="2860"/>
      <c r="O98" s="2860"/>
      <c r="P98" s="2860"/>
      <c r="Q98" s="2860"/>
    </row>
    <row r="99" spans="1:17" ht="15.75">
      <c r="A99" s="2933" t="s">
        <v>2935</v>
      </c>
      <c r="B99" s="2806"/>
      <c r="C99" s="2903" t="s">
        <v>4152</v>
      </c>
      <c r="D99" s="2904"/>
      <c r="E99" s="2905"/>
      <c r="F99" s="2986"/>
      <c r="G99" s="2903" t="s">
        <v>4153</v>
      </c>
      <c r="H99" s="2810"/>
      <c r="I99" s="2821"/>
      <c r="J99" s="2803"/>
      <c r="K99" s="2812"/>
      <c r="L99" s="2817"/>
      <c r="M99" s="2860"/>
      <c r="N99" s="2860"/>
      <c r="O99" s="2860"/>
      <c r="P99" s="2860"/>
      <c r="Q99" s="2860"/>
    </row>
    <row r="100" spans="1:17" ht="15.75">
      <c r="A100" s="2817" t="s">
        <v>2936</v>
      </c>
      <c r="B100" s="2813" t="s">
        <v>2822</v>
      </c>
      <c r="C100" s="2786">
        <f>IF(C20="",RADIANS(20),RADIANS(C20))</f>
        <v>0.34906585039886601</v>
      </c>
      <c r="D100" s="2812" t="s">
        <v>2048</v>
      </c>
      <c r="E100" s="2797">
        <f>TAN(C100)-C100</f>
        <v>1.4904383867336401E-2</v>
      </c>
      <c r="F100" s="2934" t="s">
        <v>2937</v>
      </c>
      <c r="G100" s="2848"/>
      <c r="H100" s="2797"/>
      <c r="I100" s="2810"/>
      <c r="J100" s="2900"/>
      <c r="K100" s="3012"/>
      <c r="L100" s="2817"/>
      <c r="M100" s="2860"/>
      <c r="N100" s="2860"/>
      <c r="O100" s="2860"/>
      <c r="P100" s="2860"/>
      <c r="Q100" s="2860"/>
    </row>
    <row r="101" spans="1:17" ht="15.75">
      <c r="A101" s="2817"/>
      <c r="B101" s="2806"/>
      <c r="C101" s="2786">
        <f>IF(C20="",20,C20)</f>
        <v>20</v>
      </c>
      <c r="D101" s="2810" t="s">
        <v>257</v>
      </c>
      <c r="E101" s="2797">
        <f>ROUND(INT(C101)+INT((C101-INT(C101))*60)/100+((C101-INT(C101))*60-INT((C101-INT(C101))*60))*60/10000,4)</f>
        <v>20</v>
      </c>
      <c r="F101" s="3012" t="s">
        <v>3102</v>
      </c>
      <c r="G101" s="2848"/>
      <c r="H101" s="2797"/>
      <c r="I101" s="2810"/>
      <c r="J101" s="2900"/>
      <c r="K101" s="3012"/>
      <c r="L101" s="2817"/>
      <c r="M101" s="2860"/>
      <c r="N101" s="2860"/>
      <c r="O101" s="2860"/>
      <c r="P101" s="2860"/>
      <c r="Q101" s="2860"/>
    </row>
    <row r="102" spans="1:17" ht="15.75">
      <c r="A102" s="2813" t="s">
        <v>2939</v>
      </c>
      <c r="B102" s="2813" t="s">
        <v>2940</v>
      </c>
      <c r="C102" s="2786">
        <f>ATAN(TAN(C100)/COS(C103))</f>
        <v>0.356595746620611</v>
      </c>
      <c r="D102" s="2812" t="s">
        <v>2048</v>
      </c>
      <c r="E102" s="2797">
        <f>TAN(C102)-C102</f>
        <v>1.5925498845935599E-2</v>
      </c>
      <c r="F102" s="2934" t="s">
        <v>2941</v>
      </c>
      <c r="G102" s="2848"/>
      <c r="H102" s="2810"/>
      <c r="I102" s="2821"/>
      <c r="J102" s="2803"/>
      <c r="K102" s="2812"/>
      <c r="L102" s="2817"/>
      <c r="M102" s="2860"/>
      <c r="N102" s="2860"/>
      <c r="O102" s="2860"/>
      <c r="P102" s="2860"/>
      <c r="Q102" s="2860"/>
    </row>
    <row r="103" spans="1:17" ht="15">
      <c r="A103" s="2836" t="s">
        <v>2823</v>
      </c>
      <c r="B103" s="2813" t="s">
        <v>2824</v>
      </c>
      <c r="C103" s="2786">
        <f>RADIANS(C22)</f>
        <v>0.214675497995303</v>
      </c>
      <c r="D103" s="2812" t="s">
        <v>2048</v>
      </c>
      <c r="E103" s="2797"/>
      <c r="F103" s="2810"/>
      <c r="G103" s="2786"/>
      <c r="H103" s="3012"/>
      <c r="I103" s="2821"/>
      <c r="J103" s="2803"/>
      <c r="K103" s="2812"/>
      <c r="L103" s="2817"/>
      <c r="M103" s="2860"/>
      <c r="N103" s="2860"/>
      <c r="O103" s="2860"/>
      <c r="P103" s="2860"/>
      <c r="Q103" s="2860"/>
    </row>
    <row r="104" spans="1:17" ht="15.75">
      <c r="A104" s="2836"/>
      <c r="B104" s="2806"/>
      <c r="C104" s="2786">
        <f>C22</f>
        <v>12.3</v>
      </c>
      <c r="D104" s="2810" t="s">
        <v>257</v>
      </c>
      <c r="E104" s="2786">
        <f>ROUND(INT(C104)+INT((C104-INT(C104))*60)/100+((C104-INT(C104))*60-INT((C104-INT(C104))*60))*60/10000,4)</f>
        <v>12.18</v>
      </c>
      <c r="F104" s="3012" t="s">
        <v>3102</v>
      </c>
      <c r="G104" s="2786"/>
      <c r="H104" s="3012"/>
      <c r="I104" s="2821"/>
      <c r="J104" s="2803"/>
      <c r="K104" s="2812"/>
      <c r="L104" s="2817"/>
      <c r="M104" s="2860"/>
      <c r="N104" s="2860"/>
      <c r="O104" s="2860"/>
      <c r="P104" s="2860"/>
      <c r="Q104" s="2860"/>
    </row>
    <row r="105" spans="1:17" ht="15.75">
      <c r="A105" s="2813" t="s">
        <v>2942</v>
      </c>
      <c r="B105" s="2813" t="s">
        <v>2943</v>
      </c>
      <c r="C105" s="2786">
        <f>ATAN(C112*TAN(C103)/C111)</f>
        <v>0.217428044973381</v>
      </c>
      <c r="D105" s="2812" t="s">
        <v>2048</v>
      </c>
      <c r="E105" s="2821"/>
      <c r="F105" s="2821"/>
      <c r="G105" s="2848"/>
      <c r="H105" s="2810"/>
      <c r="I105" s="2821"/>
      <c r="J105" s="2803"/>
      <c r="K105" s="2812"/>
      <c r="L105" s="2817"/>
      <c r="M105" s="2860"/>
      <c r="N105" s="2860"/>
      <c r="O105" s="2860"/>
      <c r="P105" s="2860"/>
      <c r="Q105" s="2860"/>
    </row>
    <row r="106" spans="1:17" ht="15">
      <c r="A106" s="2813" t="s">
        <v>2944</v>
      </c>
      <c r="B106" s="2813" t="s">
        <v>2945</v>
      </c>
      <c r="C106" s="2786">
        <f>ATAN(C113*TAN(C103)/C111)</f>
        <v>0.201544781624377</v>
      </c>
      <c r="D106" s="2812" t="s">
        <v>2048</v>
      </c>
      <c r="E106" s="2821"/>
      <c r="F106" s="2821"/>
      <c r="G106" s="2786"/>
      <c r="H106" s="2810"/>
      <c r="I106" s="2821"/>
      <c r="J106" s="2803"/>
      <c r="K106" s="2812"/>
      <c r="L106" s="2817"/>
      <c r="M106" s="2860"/>
      <c r="N106" s="2860"/>
      <c r="O106" s="2860"/>
      <c r="P106" s="2860"/>
      <c r="Q106" s="2860"/>
    </row>
    <row r="107" spans="1:17" ht="15">
      <c r="A107" s="2813" t="s">
        <v>2946</v>
      </c>
      <c r="B107" s="2813" t="s">
        <v>2947</v>
      </c>
      <c r="C107" s="2786">
        <f>ATAN(C128*TAN(C103)/C111)</f>
        <v>0.24130512787581099</v>
      </c>
      <c r="D107" s="2812" t="s">
        <v>2048</v>
      </c>
      <c r="E107" s="2821"/>
      <c r="F107" s="2821"/>
      <c r="G107" s="2848"/>
      <c r="H107" s="2810"/>
      <c r="I107" s="2821"/>
      <c r="J107" s="2803"/>
      <c r="K107" s="2812"/>
      <c r="L107" s="2817"/>
      <c r="M107" s="2860"/>
      <c r="N107" s="2860"/>
      <c r="O107" s="2860"/>
      <c r="P107" s="2860"/>
      <c r="Q107" s="2860"/>
    </row>
    <row r="108" spans="1:17" ht="15.75">
      <c r="A108" s="2803" t="s">
        <v>2948</v>
      </c>
      <c r="B108" s="2806" t="s">
        <v>2839</v>
      </c>
      <c r="C108" s="2786">
        <f>(C111+G111)/2</f>
        <v>69.085825437585399</v>
      </c>
      <c r="D108" s="2810" t="s">
        <v>2820</v>
      </c>
      <c r="E108" s="2821"/>
      <c r="F108" s="2821"/>
      <c r="G108" s="2848"/>
      <c r="H108" s="2810"/>
      <c r="I108" s="2944"/>
      <c r="J108" s="2803"/>
      <c r="K108" s="2812"/>
      <c r="L108" s="2817"/>
      <c r="M108" s="2860"/>
      <c r="N108" s="2860"/>
      <c r="O108" s="2860"/>
      <c r="P108" s="2860"/>
      <c r="Q108" s="2860"/>
    </row>
    <row r="109" spans="1:17" ht="15.75">
      <c r="A109" s="2813" t="s">
        <v>2949</v>
      </c>
      <c r="B109" s="2806" t="s">
        <v>1874</v>
      </c>
      <c r="C109" s="2786">
        <f>IF(C37=0,E36,C37)</f>
        <v>70</v>
      </c>
      <c r="D109" s="2810" t="s">
        <v>2820</v>
      </c>
      <c r="E109" s="2821"/>
      <c r="F109" s="2821"/>
      <c r="G109" s="2848"/>
      <c r="H109" s="2810"/>
      <c r="I109" s="2944"/>
      <c r="J109" s="2803"/>
      <c r="K109" s="2812"/>
      <c r="L109" s="2817"/>
      <c r="M109" s="2860"/>
      <c r="N109" s="2860"/>
      <c r="O109" s="2860"/>
      <c r="P109" s="2860"/>
      <c r="Q109" s="2860"/>
    </row>
    <row r="110" spans="1:17" ht="15.75">
      <c r="A110" s="2813" t="s">
        <v>2950</v>
      </c>
      <c r="B110" s="2806" t="s">
        <v>2951</v>
      </c>
      <c r="C110" s="2786">
        <f>C19/COS(C103)</f>
        <v>2.5587342754661302</v>
      </c>
      <c r="D110" s="2810" t="s">
        <v>2820</v>
      </c>
      <c r="E110" s="2821"/>
      <c r="F110" s="2821"/>
      <c r="G110" s="2848"/>
      <c r="H110" s="2810"/>
      <c r="I110" s="2944"/>
      <c r="J110" s="2803"/>
      <c r="K110" s="2812"/>
      <c r="L110" s="2817"/>
      <c r="M110" s="2860"/>
      <c r="N110" s="2860"/>
      <c r="O110" s="2860"/>
      <c r="P110" s="2860"/>
      <c r="Q110" s="2860"/>
    </row>
    <row r="111" spans="1:17" ht="15.75">
      <c r="A111" s="2817" t="s">
        <v>2952</v>
      </c>
      <c r="B111" s="2831" t="s">
        <v>2953</v>
      </c>
      <c r="C111" s="2786">
        <f>C17*C110</f>
        <v>53.733419784788701</v>
      </c>
      <c r="D111" s="2810" t="s">
        <v>2820</v>
      </c>
      <c r="E111" s="2786"/>
      <c r="F111" s="2813" t="s">
        <v>4171</v>
      </c>
      <c r="G111" s="2786">
        <f>C18*C110</f>
        <v>84.438231090382203</v>
      </c>
      <c r="H111" s="2810" t="s">
        <v>2820</v>
      </c>
      <c r="I111" s="2944"/>
      <c r="J111" s="2803"/>
      <c r="K111" s="2947"/>
      <c r="L111" s="2817"/>
      <c r="M111" s="2860"/>
      <c r="N111" s="2860"/>
      <c r="O111" s="2860"/>
      <c r="P111" s="2860"/>
      <c r="Q111" s="2860"/>
    </row>
    <row r="112" spans="1:17" ht="15.75">
      <c r="A112" s="2817" t="s">
        <v>2955</v>
      </c>
      <c r="B112" s="2831" t="s">
        <v>2956</v>
      </c>
      <c r="C112" s="2786">
        <f>2*C109/(1+C18/C17)</f>
        <v>54.4444444444444</v>
      </c>
      <c r="D112" s="2810" t="s">
        <v>2820</v>
      </c>
      <c r="E112" s="2786"/>
      <c r="F112" s="2786" t="s">
        <v>4172</v>
      </c>
      <c r="G112" s="2786">
        <f>2*C109-C112</f>
        <v>85.5555555555555</v>
      </c>
      <c r="H112" s="2810" t="s">
        <v>2820</v>
      </c>
      <c r="I112" s="2944"/>
      <c r="J112" s="2803"/>
      <c r="K112" s="2947"/>
      <c r="L112" s="2817"/>
      <c r="M112" s="2860"/>
      <c r="N112" s="2860"/>
      <c r="O112" s="2860"/>
      <c r="P112" s="2860"/>
      <c r="Q112" s="2860"/>
    </row>
    <row r="113" spans="1:17" ht="15.75">
      <c r="A113" s="2817" t="s">
        <v>2958</v>
      </c>
      <c r="B113" s="2831" t="s">
        <v>2959</v>
      </c>
      <c r="C113" s="2786">
        <f>C111*COS(C102)</f>
        <v>50.353084149252403</v>
      </c>
      <c r="D113" s="2810" t="s">
        <v>2820</v>
      </c>
      <c r="E113" s="2786"/>
      <c r="F113" s="2786" t="s">
        <v>4173</v>
      </c>
      <c r="G113" s="2786">
        <f>G111*COS(C102)</f>
        <v>79.126275091682402</v>
      </c>
      <c r="H113" s="2810" t="s">
        <v>2820</v>
      </c>
      <c r="I113" s="2944"/>
      <c r="J113" s="2803"/>
      <c r="K113" s="2947"/>
      <c r="L113" s="2817"/>
      <c r="M113" s="2860"/>
      <c r="N113" s="2860"/>
      <c r="O113" s="2860"/>
      <c r="P113" s="2860"/>
      <c r="Q113" s="2860"/>
    </row>
    <row r="114" spans="1:17" ht="15.75">
      <c r="A114" s="2817" t="s">
        <v>2961</v>
      </c>
      <c r="B114" s="2813" t="s">
        <v>2962</v>
      </c>
      <c r="C114" s="2786">
        <f>ACOS(C108/C109*COS(C102))</f>
        <v>0.39014856750274401</v>
      </c>
      <c r="D114" s="2812" t="s">
        <v>2048</v>
      </c>
      <c r="E114" s="2786">
        <f>DEGREES(C114)</f>
        <v>22.353866300982201</v>
      </c>
      <c r="F114" s="2810" t="s">
        <v>257</v>
      </c>
      <c r="G114" s="2786">
        <f>ROUND(INT(E114)+INT((E114-INT(E114))*60)/100+((E114-INT(E114))*60-INT((E114-INT(E114))*60))*60/10000,4)</f>
        <v>22.211400000000001</v>
      </c>
      <c r="H114" s="3012" t="s">
        <v>3102</v>
      </c>
      <c r="I114" s="2944"/>
      <c r="J114" s="2941"/>
      <c r="K114" s="2947"/>
      <c r="L114" s="2817"/>
      <c r="M114" s="2860"/>
      <c r="N114" s="2860"/>
      <c r="O114" s="2860"/>
      <c r="P114" s="2860"/>
      <c r="Q114" s="2860"/>
    </row>
    <row r="115" spans="1:17" ht="15.75">
      <c r="A115" s="2817" t="s">
        <v>2964</v>
      </c>
      <c r="B115" s="2813" t="s">
        <v>2965</v>
      </c>
      <c r="C115" s="2786">
        <f>ATAN(TAN(C114)*COS(C103))</f>
        <v>0.38204773528353903</v>
      </c>
      <c r="D115" s="2812" t="s">
        <v>2048</v>
      </c>
      <c r="E115" s="2786">
        <f>DEGREES(C115)</f>
        <v>21.889722804278101</v>
      </c>
      <c r="F115" s="2810" t="s">
        <v>257</v>
      </c>
      <c r="G115" s="2786">
        <f>ROUND(INT(E115)+INT((E115-INT(E115))*60)/100+((E115-INT(E115))*60-INT((E115-INT(E115))*60))*60/10000,4)</f>
        <v>21.532299999999999</v>
      </c>
      <c r="H115" s="3012" t="s">
        <v>3102</v>
      </c>
      <c r="I115" s="2944"/>
      <c r="J115" s="2803"/>
      <c r="K115" s="2947"/>
      <c r="L115" s="2817"/>
      <c r="M115" s="2860"/>
      <c r="N115" s="2860"/>
      <c r="O115" s="2860"/>
      <c r="P115" s="2860"/>
      <c r="Q115" s="2860"/>
    </row>
    <row r="116" spans="1:17" ht="15.75">
      <c r="A116" s="2806" t="s">
        <v>2966</v>
      </c>
      <c r="B116" s="2831" t="s">
        <v>2967</v>
      </c>
      <c r="C116" s="2786">
        <f>PI()*C19</f>
        <v>7.8539816339744801</v>
      </c>
      <c r="D116" s="2810" t="s">
        <v>2820</v>
      </c>
      <c r="E116" s="2786"/>
      <c r="F116" s="2813"/>
      <c r="G116" s="2786"/>
      <c r="H116" s="2813"/>
      <c r="I116" s="2944"/>
      <c r="J116" s="2889"/>
      <c r="K116" s="2947"/>
      <c r="L116" s="2817"/>
      <c r="M116" s="2860"/>
      <c r="N116" s="2860"/>
      <c r="O116" s="2860"/>
      <c r="P116" s="2860"/>
      <c r="Q116" s="2860"/>
    </row>
    <row r="117" spans="1:17" ht="15.75">
      <c r="A117" s="2806" t="s">
        <v>2968</v>
      </c>
      <c r="B117" s="2831" t="s">
        <v>2969</v>
      </c>
      <c r="C117" s="2786">
        <f>PI()*C110</f>
        <v>8.0385008022927895</v>
      </c>
      <c r="D117" s="2810" t="s">
        <v>2820</v>
      </c>
      <c r="E117" s="2786"/>
      <c r="F117" s="2813"/>
      <c r="G117" s="2786"/>
      <c r="H117" s="2813"/>
      <c r="I117" s="2944"/>
      <c r="J117" s="2889"/>
      <c r="K117" s="2947"/>
      <c r="L117" s="2817"/>
      <c r="M117" s="2860"/>
      <c r="N117" s="2860"/>
      <c r="O117" s="2860"/>
      <c r="P117" s="2860"/>
      <c r="Q117" s="2860"/>
    </row>
    <row r="118" spans="1:17" ht="15.75">
      <c r="A118" s="2806" t="s">
        <v>2970</v>
      </c>
      <c r="B118" s="2831" t="s">
        <v>2971</v>
      </c>
      <c r="C118" s="2786">
        <f>C113*PI()/C17</f>
        <v>7.5328037737561901</v>
      </c>
      <c r="D118" s="2810" t="s">
        <v>2820</v>
      </c>
      <c r="E118" s="2936">
        <f>C117*COS(C102)</f>
        <v>7.5328037737561999</v>
      </c>
      <c r="F118" s="2937" t="s">
        <v>2820</v>
      </c>
      <c r="G118" s="2786"/>
      <c r="H118" s="2813"/>
      <c r="I118" s="2944"/>
      <c r="J118" s="2889"/>
      <c r="K118" s="2947"/>
      <c r="L118" s="2817"/>
      <c r="M118" s="2860"/>
      <c r="N118" s="2860"/>
      <c r="O118" s="2860"/>
      <c r="P118" s="2860"/>
      <c r="Q118" s="2860"/>
    </row>
    <row r="119" spans="1:17" ht="15.75">
      <c r="A119" s="2836" t="s">
        <v>2848</v>
      </c>
      <c r="B119" s="2831" t="s">
        <v>2849</v>
      </c>
      <c r="C119" s="2786">
        <f>(C17+C18)/(2*TAN(C102))*(TAN(C114)-C114-(TAN(C102)-C102))</f>
        <v>0.37359561657351498</v>
      </c>
      <c r="D119" s="2810"/>
      <c r="E119" s="2786"/>
      <c r="F119" s="2813"/>
      <c r="G119" s="2786"/>
      <c r="H119" s="2813"/>
      <c r="I119" s="2944"/>
      <c r="J119" s="2889"/>
      <c r="K119" s="2947"/>
      <c r="L119" s="2817"/>
      <c r="M119" s="2860"/>
      <c r="N119" s="2860"/>
      <c r="O119" s="2860"/>
      <c r="P119" s="2860"/>
      <c r="Q119" s="2860"/>
    </row>
    <row r="120" spans="1:17" ht="15.75">
      <c r="A120" s="2836" t="s">
        <v>2850</v>
      </c>
      <c r="B120" s="2831" t="s">
        <v>2851</v>
      </c>
      <c r="C120" s="2786">
        <f>C119/COS(C103)</f>
        <v>0.38237276371622098</v>
      </c>
      <c r="D120" s="2810"/>
      <c r="E120" s="2786"/>
      <c r="F120" s="2813"/>
      <c r="G120" s="2786"/>
      <c r="H120" s="2813"/>
      <c r="I120" s="2944"/>
      <c r="J120" s="2889"/>
      <c r="K120" s="2947"/>
      <c r="L120" s="2817"/>
      <c r="M120" s="2860"/>
      <c r="N120" s="2860"/>
      <c r="O120" s="2860"/>
      <c r="P120" s="2860"/>
      <c r="Q120" s="2860"/>
    </row>
    <row r="121" spans="1:17" ht="15.75">
      <c r="A121" s="2813" t="s">
        <v>2840</v>
      </c>
      <c r="B121" s="2831" t="s">
        <v>2972</v>
      </c>
      <c r="C121" s="2786">
        <f>E41</f>
        <v>0.39081822977410502</v>
      </c>
      <c r="D121" s="2810"/>
      <c r="E121" s="2786"/>
      <c r="F121" s="2786" t="s">
        <v>4174</v>
      </c>
      <c r="G121" s="2786">
        <f>C119-C121</f>
        <v>-1.7222613200590701E-2</v>
      </c>
      <c r="H121" s="2813"/>
      <c r="I121" s="2944"/>
      <c r="J121" s="2889"/>
      <c r="K121" s="3189"/>
      <c r="L121" s="2817"/>
      <c r="M121" s="2860"/>
      <c r="N121" s="2860"/>
      <c r="O121" s="2860"/>
      <c r="P121" s="2860"/>
      <c r="Q121" s="2860"/>
    </row>
    <row r="122" spans="1:17" ht="15.75">
      <c r="A122" s="2813" t="s">
        <v>2974</v>
      </c>
      <c r="B122" s="2831" t="s">
        <v>2975</v>
      </c>
      <c r="C122" s="2786">
        <f>C121/COS(C103)</f>
        <v>0.4</v>
      </c>
      <c r="D122" s="2810"/>
      <c r="E122" s="2786"/>
      <c r="F122" s="2786" t="s">
        <v>4175</v>
      </c>
      <c r="G122" s="2786">
        <f>G121/COS(C103)</f>
        <v>-1.7627236283778699E-2</v>
      </c>
      <c r="H122" s="2813"/>
      <c r="I122" s="2944"/>
      <c r="J122" s="2889"/>
      <c r="K122" s="3189"/>
      <c r="L122" s="2817"/>
      <c r="M122" s="2860"/>
      <c r="N122" s="2860"/>
      <c r="O122" s="2860"/>
      <c r="P122" s="2860"/>
      <c r="Q122" s="2860"/>
    </row>
    <row r="123" spans="1:17" ht="15.75">
      <c r="A123" s="2858" t="s">
        <v>2977</v>
      </c>
      <c r="B123" s="2831" t="s">
        <v>2978</v>
      </c>
      <c r="C123" s="2786">
        <f>(C109-C108)/C110</f>
        <v>0.35727608418738599</v>
      </c>
      <c r="D123" s="2810"/>
      <c r="E123" s="2786"/>
      <c r="F123" s="2813"/>
      <c r="G123" s="2786"/>
      <c r="H123" s="2813"/>
      <c r="I123" s="2944"/>
      <c r="J123" s="2889"/>
      <c r="K123" s="3189"/>
      <c r="L123" s="2817"/>
      <c r="M123" s="2860"/>
      <c r="N123" s="2860"/>
      <c r="O123" s="2860"/>
      <c r="P123" s="2860"/>
      <c r="Q123" s="2860"/>
    </row>
    <row r="124" spans="1:17" ht="15">
      <c r="A124" s="2836" t="s">
        <v>2979</v>
      </c>
      <c r="B124" s="2999" t="s">
        <v>2980</v>
      </c>
      <c r="C124" s="2786">
        <f>C119-C123</f>
        <v>1.6319532386128401E-2</v>
      </c>
      <c r="D124" s="2810"/>
      <c r="E124" s="2786"/>
      <c r="F124" s="2813"/>
      <c r="G124" s="2786"/>
      <c r="H124" s="2813"/>
      <c r="I124" s="2944"/>
      <c r="J124" s="2889"/>
      <c r="K124" s="3189"/>
      <c r="L124" s="2817"/>
      <c r="M124" s="2860"/>
      <c r="N124" s="2860"/>
      <c r="O124" s="2860"/>
      <c r="P124" s="2860"/>
      <c r="Q124" s="2860"/>
    </row>
    <row r="125" spans="1:17" ht="15.75">
      <c r="A125" s="2817" t="s">
        <v>2981</v>
      </c>
      <c r="B125" s="2806" t="s">
        <v>2982</v>
      </c>
      <c r="C125" s="2813">
        <f>C19*(C25+C122)-C124*C110</f>
        <v>3.4582426531240298</v>
      </c>
      <c r="D125" s="2810" t="s">
        <v>2820</v>
      </c>
      <c r="E125" s="2786"/>
      <c r="F125" s="2813" t="s">
        <v>4176</v>
      </c>
      <c r="G125" s="2813">
        <f>C19*(C25+G122)-C124*C110</f>
        <v>2.4141745624145901</v>
      </c>
      <c r="H125" s="2810" t="s">
        <v>2820</v>
      </c>
      <c r="I125" s="2944"/>
      <c r="J125" s="2889"/>
      <c r="K125" s="3189"/>
      <c r="L125" s="2817"/>
      <c r="M125" s="2860"/>
      <c r="N125" s="2860"/>
      <c r="O125" s="2860"/>
      <c r="P125" s="2860"/>
      <c r="Q125" s="2860"/>
    </row>
    <row r="126" spans="1:17" ht="15.75">
      <c r="A126" s="2817" t="s">
        <v>2984</v>
      </c>
      <c r="B126" s="2806" t="s">
        <v>2985</v>
      </c>
      <c r="C126" s="2813">
        <f>C19*(C25+C28-C122)</f>
        <v>2.125</v>
      </c>
      <c r="D126" s="2810" t="s">
        <v>2820</v>
      </c>
      <c r="E126" s="2786"/>
      <c r="F126" s="2813" t="s">
        <v>4177</v>
      </c>
      <c r="G126" s="2813">
        <f>C19*(C25+C28-G122)</f>
        <v>3.1690680907094499</v>
      </c>
      <c r="H126" s="2810" t="s">
        <v>2820</v>
      </c>
      <c r="I126" s="2944"/>
      <c r="J126" s="2889"/>
      <c r="K126" s="3189"/>
      <c r="L126" s="2817"/>
      <c r="M126" s="2860"/>
      <c r="N126" s="2860"/>
      <c r="O126" s="2860"/>
      <c r="P126" s="2860"/>
      <c r="Q126" s="2860"/>
    </row>
    <row r="127" spans="1:17" ht="15.75">
      <c r="A127" s="2817" t="s">
        <v>2987</v>
      </c>
      <c r="B127" s="2806" t="s">
        <v>1866</v>
      </c>
      <c r="C127" s="2813">
        <f>C125+C126</f>
        <v>5.5832426531240298</v>
      </c>
      <c r="D127" s="2810" t="s">
        <v>2820</v>
      </c>
      <c r="E127" s="2786"/>
      <c r="F127" s="2813"/>
      <c r="G127" s="2863">
        <f>G125+G126</f>
        <v>5.5832426531240298</v>
      </c>
      <c r="H127" s="2810"/>
      <c r="I127" s="2944"/>
      <c r="J127" s="2889"/>
      <c r="K127" s="3189"/>
      <c r="L127" s="2817"/>
      <c r="M127" s="2860"/>
      <c r="N127" s="2860"/>
      <c r="O127" s="2860"/>
      <c r="P127" s="2860"/>
      <c r="Q127" s="2860"/>
    </row>
    <row r="128" spans="1:17" ht="15.75">
      <c r="A128" s="2817" t="s">
        <v>2988</v>
      </c>
      <c r="B128" s="2831" t="s">
        <v>2989</v>
      </c>
      <c r="C128" s="2813">
        <f>C111+2*C125</f>
        <v>60.6499050910367</v>
      </c>
      <c r="D128" s="2810" t="s">
        <v>2820</v>
      </c>
      <c r="E128" s="2786"/>
      <c r="F128" s="2786" t="s">
        <v>4178</v>
      </c>
      <c r="G128" s="2813">
        <f>G111+2*G125</f>
        <v>89.266580215211306</v>
      </c>
      <c r="H128" s="2810" t="s">
        <v>2820</v>
      </c>
      <c r="I128" s="3103"/>
      <c r="J128" s="2889"/>
      <c r="K128" s="3189"/>
      <c r="L128" s="2817"/>
      <c r="M128" s="2860"/>
      <c r="N128" s="2860"/>
      <c r="O128" s="2860"/>
      <c r="P128" s="2860"/>
      <c r="Q128" s="2860"/>
    </row>
    <row r="129" spans="1:17" ht="15.75">
      <c r="A129" s="2788" t="s">
        <v>2991</v>
      </c>
      <c r="B129" s="2831" t="s">
        <v>2992</v>
      </c>
      <c r="C129" s="2813">
        <f>C128-2*C26*C19</f>
        <v>60.6499050910367</v>
      </c>
      <c r="D129" s="2810" t="s">
        <v>2820</v>
      </c>
      <c r="E129" s="2786"/>
      <c r="F129" s="2786" t="s">
        <v>4179</v>
      </c>
      <c r="G129" s="2813">
        <f>G128-2*C26*C19</f>
        <v>89.266580215211306</v>
      </c>
      <c r="H129" s="2810" t="s">
        <v>2820</v>
      </c>
      <c r="I129" s="3103"/>
      <c r="J129" s="2889"/>
      <c r="K129" s="3189"/>
      <c r="L129" s="2817"/>
      <c r="M129" s="2860"/>
      <c r="N129" s="2860"/>
      <c r="O129" s="2860"/>
      <c r="P129" s="2860"/>
      <c r="Q129" s="2860"/>
    </row>
    <row r="130" spans="1:17" ht="15.75">
      <c r="A130" s="2817" t="s">
        <v>2994</v>
      </c>
      <c r="B130" s="2831" t="s">
        <v>2995</v>
      </c>
      <c r="C130" s="2813">
        <f>C111-2*C126</f>
        <v>49.483419784788701</v>
      </c>
      <c r="D130" s="2810" t="s">
        <v>2820</v>
      </c>
      <c r="E130" s="2786"/>
      <c r="F130" s="2786" t="s">
        <v>4180</v>
      </c>
      <c r="G130" s="2813">
        <f>G111-2*G126</f>
        <v>78.1000949089633</v>
      </c>
      <c r="H130" s="2810" t="s">
        <v>2820</v>
      </c>
      <c r="I130" s="3103"/>
      <c r="J130" s="2889"/>
      <c r="K130" s="3189"/>
      <c r="L130" s="2817"/>
      <c r="M130" s="2860"/>
      <c r="N130" s="2860"/>
      <c r="O130" s="2860"/>
      <c r="P130" s="2860"/>
      <c r="Q130" s="2860"/>
    </row>
    <row r="131" spans="1:17" ht="15.75">
      <c r="A131" s="2813" t="s">
        <v>2997</v>
      </c>
      <c r="B131" s="2806" t="s">
        <v>2998</v>
      </c>
      <c r="C131" s="2813">
        <f>C110*(PI()/2+2*C121*TAN(C102))</f>
        <v>4.7642928920794896</v>
      </c>
      <c r="D131" s="2810" t="s">
        <v>2820</v>
      </c>
      <c r="E131" s="2786"/>
      <c r="F131" s="2813" t="s">
        <v>4181</v>
      </c>
      <c r="G131" s="2813">
        <f>C110*(PI()/2+2*G121*TAN(C102))</f>
        <v>3.9864178010735598</v>
      </c>
      <c r="H131" s="2810" t="s">
        <v>2820</v>
      </c>
      <c r="I131" s="3103"/>
      <c r="J131" s="2889"/>
      <c r="K131" s="3189"/>
      <c r="L131" s="2817"/>
      <c r="M131" s="2860"/>
      <c r="N131" s="2860"/>
      <c r="O131" s="2860"/>
      <c r="P131" s="2860"/>
      <c r="Q131" s="2860"/>
    </row>
    <row r="132" spans="1:17" ht="15.75">
      <c r="A132" s="2813" t="s">
        <v>3000</v>
      </c>
      <c r="B132" s="2806" t="s">
        <v>3001</v>
      </c>
      <c r="C132" s="2813">
        <f>ROUND(0.5*(SQRT(C129^2-C113^2)+SQRT(G129^2-G113^2))-C109*SIN(C114),3)</f>
        <v>10.942</v>
      </c>
      <c r="D132" s="2810"/>
      <c r="E132" s="2786"/>
      <c r="F132" s="2813"/>
      <c r="G132" s="2813"/>
      <c r="H132" s="2810"/>
      <c r="I132" s="3103"/>
      <c r="J132" s="2889"/>
      <c r="K132" s="3189"/>
      <c r="L132" s="2817"/>
      <c r="M132" s="2860"/>
      <c r="N132" s="2860"/>
      <c r="O132" s="2860"/>
      <c r="P132" s="2860"/>
      <c r="Q132" s="2860"/>
    </row>
    <row r="133" spans="1:17" ht="15">
      <c r="A133" s="2788" t="s">
        <v>3005</v>
      </c>
      <c r="B133" s="2813" t="s">
        <v>3006</v>
      </c>
      <c r="C133" s="2813">
        <f>ACOS(C113/C129)</f>
        <v>0.59128463058635095</v>
      </c>
      <c r="D133" s="2809">
        <f>TAN(C133)-C133</f>
        <v>8.0133154394739406E-2</v>
      </c>
      <c r="E133" s="2809">
        <f>DEGREES(C133)</f>
        <v>33.878113823549903</v>
      </c>
      <c r="F133" s="2813" t="s">
        <v>3007</v>
      </c>
      <c r="G133" s="2813">
        <f>ACOS(G113/G129)</f>
        <v>0.481277580767344</v>
      </c>
      <c r="H133" s="2809">
        <f>TAN(G133)-G133</f>
        <v>4.09581957893509E-2</v>
      </c>
      <c r="I133" s="2809">
        <f>DEGREES(G133)</f>
        <v>27.575174152235402</v>
      </c>
      <c r="J133" s="2889"/>
      <c r="K133" s="3189"/>
      <c r="L133" s="2817"/>
      <c r="M133" s="2860"/>
      <c r="N133" s="2860"/>
      <c r="O133" s="2860"/>
      <c r="P133" s="2860"/>
      <c r="Q133" s="2860"/>
    </row>
    <row r="134" spans="1:17" ht="15.75">
      <c r="A134" s="2813" t="s">
        <v>3008</v>
      </c>
      <c r="B134" s="2806" t="s">
        <v>3009</v>
      </c>
      <c r="C134" s="2786">
        <f>C131*C128/C111-C128*(D133-E102)</f>
        <v>1.48335732145782</v>
      </c>
      <c r="D134" s="2809"/>
      <c r="E134" s="2940"/>
      <c r="F134" s="2813" t="s">
        <v>4182</v>
      </c>
      <c r="G134" s="2786">
        <f>G131*G128/G111-G128*(H133-E102)</f>
        <v>1.97978599768237</v>
      </c>
      <c r="H134" s="2809"/>
      <c r="I134" s="2948"/>
      <c r="J134" s="2889"/>
      <c r="K134" s="3189"/>
      <c r="L134" s="2817"/>
      <c r="M134" s="3159"/>
      <c r="N134" s="3159"/>
      <c r="O134" s="2860"/>
      <c r="P134" s="2860"/>
      <c r="Q134" s="2860"/>
    </row>
    <row r="135" spans="1:17" ht="15.75">
      <c r="A135" s="2817" t="s">
        <v>3011</v>
      </c>
      <c r="B135" s="2806" t="s">
        <v>3012</v>
      </c>
      <c r="C135" s="2786">
        <f>C19*(COS(C100)*(PI()*(C136-0.5)+D136*E100)+2*C122*SIN(C100))</f>
        <v>27.300856706732599</v>
      </c>
      <c r="D135" s="2810" t="s">
        <v>2820</v>
      </c>
      <c r="E135" s="2786">
        <f>C17/COS(C103)^3</f>
        <v>22.5151491867008</v>
      </c>
      <c r="F135" s="2813" t="s">
        <v>4183</v>
      </c>
      <c r="G135" s="2786">
        <f>C19*(COS(C100)*(PI()*(G136-0.5)+H136*E100)+2*G122*SIN(C100))</f>
        <v>34.415952868349798</v>
      </c>
      <c r="H135" s="2810" t="s">
        <v>2820</v>
      </c>
      <c r="I135" s="2949"/>
      <c r="J135" s="3159"/>
      <c r="K135" s="3159"/>
      <c r="L135" s="2817"/>
      <c r="M135" s="3159"/>
      <c r="N135" s="3159"/>
      <c r="O135" s="2860"/>
      <c r="P135" s="2860"/>
      <c r="Q135" s="2860"/>
    </row>
    <row r="136" spans="1:17" ht="15.75">
      <c r="A136" s="2817" t="s">
        <v>3014</v>
      </c>
      <c r="B136" s="2806" t="s">
        <v>3015</v>
      </c>
      <c r="C136" s="2786">
        <f>ROUND(D136/PI()*ACOS(D136*COS(C100)/(D136+2*C122))+0.5,0)</f>
        <v>4</v>
      </c>
      <c r="D136" s="2809">
        <f>C17*E102/E100</f>
        <v>22.438732036255299</v>
      </c>
      <c r="E136" s="2786">
        <f>C18/COS(C103)^3</f>
        <v>35.380948721958397</v>
      </c>
      <c r="F136" s="2813" t="s">
        <v>4184</v>
      </c>
      <c r="G136" s="2786">
        <f>ROUND(H136/PI()*ACOS(H136*COS(C100)/(H136+2*C122))+0.5,0)</f>
        <v>5</v>
      </c>
      <c r="H136" s="2809">
        <f>C18*E102/E100</f>
        <v>35.260864628401102</v>
      </c>
      <c r="I136" s="2949"/>
      <c r="J136" s="3159"/>
      <c r="K136" s="3159"/>
      <c r="L136" s="2817"/>
      <c r="M136" s="3159"/>
      <c r="N136" s="3159"/>
      <c r="O136" s="2860"/>
      <c r="P136" s="2860"/>
      <c r="Q136" s="2860"/>
    </row>
    <row r="137" spans="1:17" ht="15.75">
      <c r="A137" s="2806" t="s">
        <v>3017</v>
      </c>
      <c r="B137" s="2806"/>
      <c r="C137" s="2786" t="str">
        <f>IF(C23&gt;C135*SIN(C106)+5*COS(C106),"可以测量","不能测量！")</f>
        <v>可以测量</v>
      </c>
      <c r="D137" s="2809"/>
      <c r="E137" s="2786"/>
      <c r="F137" s="2813"/>
      <c r="G137" s="2786" t="str">
        <f>IF(C23&gt;G135*SIN(C106)+5*COS(C106),"可以测量","不能测量！")</f>
        <v>可以测量</v>
      </c>
      <c r="H137" s="2809"/>
      <c r="I137" s="2949"/>
      <c r="J137" s="3159"/>
      <c r="K137" s="3159"/>
      <c r="L137" s="2817"/>
      <c r="M137" s="3159"/>
      <c r="N137" s="3159"/>
      <c r="O137" s="2860"/>
      <c r="P137" s="2860"/>
      <c r="Q137" s="2860"/>
    </row>
    <row r="138" spans="1:17" ht="15.75">
      <c r="A138" s="2817" t="s">
        <v>3011</v>
      </c>
      <c r="B138" s="2806" t="s">
        <v>3018</v>
      </c>
      <c r="C138" s="2786">
        <f>C19*(COS(C100)*(PI()*(C139-0.5)+D136*E100)+2*C122*SIN(C100))</f>
        <v>34.681185291966401</v>
      </c>
      <c r="D138" s="2809"/>
      <c r="E138" s="2786"/>
      <c r="F138" s="2813" t="s">
        <v>4185</v>
      </c>
      <c r="G138" s="2786">
        <f>C19*(COS(C100)*(PI()*(G139-0.5)+H136*E100)+2*G122*SIN(C100))</f>
        <v>41.796281453583703</v>
      </c>
      <c r="H138" s="2809"/>
      <c r="I138" s="2949"/>
      <c r="J138" s="3159"/>
      <c r="K138" s="3159"/>
      <c r="L138" s="2817"/>
      <c r="M138" s="3159"/>
      <c r="N138" s="3159"/>
      <c r="O138" s="2860"/>
      <c r="P138" s="2860"/>
      <c r="Q138" s="2860"/>
    </row>
    <row r="139" spans="1:17" ht="15.75">
      <c r="A139" s="2817" t="s">
        <v>3014</v>
      </c>
      <c r="B139" s="2806" t="s">
        <v>3020</v>
      </c>
      <c r="C139" s="2786">
        <f>C136+1</f>
        <v>5</v>
      </c>
      <c r="D139" s="2809"/>
      <c r="E139" s="2786"/>
      <c r="F139" s="2813" t="s">
        <v>4186</v>
      </c>
      <c r="G139" s="2786">
        <f>G136+1</f>
        <v>6</v>
      </c>
      <c r="H139" s="2809"/>
      <c r="I139" s="2949"/>
      <c r="J139" s="3159"/>
      <c r="K139" s="3159"/>
      <c r="L139" s="2817"/>
      <c r="M139" s="3159"/>
      <c r="N139" s="3159"/>
      <c r="O139" s="2860"/>
      <c r="P139" s="2860"/>
      <c r="Q139" s="2860"/>
    </row>
    <row r="140" spans="1:17" ht="15.75">
      <c r="A140" s="2806" t="s">
        <v>3023</v>
      </c>
      <c r="B140" s="2806"/>
      <c r="C140" s="2786" t="str">
        <f>IF(C23&gt;C138*SIN(C106)+5*COS(C106),"可以测量","不能测量！")</f>
        <v>可以测量</v>
      </c>
      <c r="D140" s="2809"/>
      <c r="E140" s="2786"/>
      <c r="F140" s="2813"/>
      <c r="G140" s="2786" t="str">
        <f>IF(C23&gt;G138*SIN(C106)+5*COS(C106),"可以测量","不能测量！")</f>
        <v>可以测量</v>
      </c>
      <c r="H140" s="2809"/>
      <c r="I140" s="2949"/>
      <c r="J140" s="3159"/>
      <c r="K140" s="3159"/>
      <c r="L140" s="2817"/>
      <c r="M140" s="2860"/>
      <c r="N140" s="2860"/>
      <c r="O140" s="2860"/>
      <c r="P140" s="2860"/>
      <c r="Q140" s="2860"/>
    </row>
    <row r="141" spans="1:17" ht="15.75">
      <c r="A141" s="2803" t="s">
        <v>3025</v>
      </c>
      <c r="B141" s="2855" t="s">
        <v>3026</v>
      </c>
      <c r="C141" s="2797">
        <f>C19*COS(C100)^2*(PI()/2+2*C122*TAN(C100))</f>
        <v>4.1104077649463298</v>
      </c>
      <c r="D141" s="2810" t="s">
        <v>2820</v>
      </c>
      <c r="E141" s="3190"/>
      <c r="F141" s="2803" t="s">
        <v>4187</v>
      </c>
      <c r="G141" s="2797">
        <f>C19*COS(C100)^2*(PI()/2+2*G122*TAN(C100))</f>
        <v>3.4392937325692099</v>
      </c>
      <c r="H141" s="2810" t="s">
        <v>2820</v>
      </c>
      <c r="I141" s="3190"/>
      <c r="J141" s="2860"/>
      <c r="K141" s="2860"/>
      <c r="L141" s="2817"/>
      <c r="M141" s="2975"/>
      <c r="N141" s="2816"/>
      <c r="O141" s="2860"/>
      <c r="P141" s="2860"/>
      <c r="Q141" s="2860"/>
    </row>
    <row r="142" spans="1:17" ht="15.75">
      <c r="A142" s="2803" t="s">
        <v>3028</v>
      </c>
      <c r="B142" s="2855" t="s">
        <v>3029</v>
      </c>
      <c r="C142" s="2797">
        <f>C125-C141/2*TAN(C100)</f>
        <v>2.7102096145554699</v>
      </c>
      <c r="D142" s="2810" t="s">
        <v>2820</v>
      </c>
      <c r="E142" s="2809"/>
      <c r="F142" s="2803" t="s">
        <v>4188</v>
      </c>
      <c r="G142" s="2797">
        <f>G125-G141/2*TAN(C100)</f>
        <v>1.7882742896378401</v>
      </c>
      <c r="H142" s="2810" t="s">
        <v>2820</v>
      </c>
      <c r="I142" s="2809"/>
      <c r="J142" s="2821"/>
      <c r="K142" s="2816"/>
      <c r="L142" s="2809"/>
      <c r="M142" s="2975"/>
      <c r="N142" s="2816"/>
      <c r="O142" s="2860"/>
      <c r="P142" s="2860"/>
      <c r="Q142" s="2860"/>
    </row>
    <row r="143" spans="1:17" ht="15.75">
      <c r="A143" s="2803" t="s">
        <v>3031</v>
      </c>
      <c r="B143" s="2855" t="s">
        <v>3032</v>
      </c>
      <c r="C143" s="2797">
        <f>C19*E135*SIN(PI()/(2*E135)+2*C122*TAN(C100)/E135)</f>
        <v>4.6496272015839102</v>
      </c>
      <c r="D143" s="2810" t="s">
        <v>2820</v>
      </c>
      <c r="E143" s="2809"/>
      <c r="F143" s="2803" t="s">
        <v>4189</v>
      </c>
      <c r="G143" s="2797">
        <f>C19*E136*SIN(PI()/(2*E136)+2*G122*TAN(C100)/E136)</f>
        <v>3.8936532910863599</v>
      </c>
      <c r="H143" s="2810" t="s">
        <v>2820</v>
      </c>
      <c r="I143" s="2809"/>
      <c r="J143" s="2975"/>
      <c r="K143" s="2816"/>
      <c r="L143" s="2809"/>
      <c r="M143" s="2975"/>
      <c r="N143" s="2816"/>
      <c r="O143" s="2860"/>
      <c r="P143" s="2860"/>
      <c r="Q143" s="2860"/>
    </row>
    <row r="144" spans="1:17" ht="15.75">
      <c r="A144" s="2803" t="s">
        <v>3035</v>
      </c>
      <c r="B144" s="2855" t="s">
        <v>3036</v>
      </c>
      <c r="C144" s="2797">
        <f>C125+0.5*C19*E135*(1-COS(PI()/(2*E135)+2*C122*TAN(C100)/E135))</f>
        <v>3.55442695380497</v>
      </c>
      <c r="D144" s="2810" t="s">
        <v>2820</v>
      </c>
      <c r="E144" s="2809"/>
      <c r="F144" s="2803" t="s">
        <v>4190</v>
      </c>
      <c r="G144" s="2797">
        <f>G125+0.5*C19*E136*(1-COS(PI()/(2*E136)+2*G122*TAN(C100)/E136))</f>
        <v>2.4570447734152898</v>
      </c>
      <c r="H144" s="2810" t="s">
        <v>2820</v>
      </c>
      <c r="I144" s="2809"/>
      <c r="J144" s="2975"/>
      <c r="K144" s="2816"/>
      <c r="L144" s="2809"/>
      <c r="M144" s="2975"/>
      <c r="N144" s="2816"/>
      <c r="O144" s="2860"/>
      <c r="P144" s="2860"/>
      <c r="Q144" s="2860"/>
    </row>
    <row r="145" spans="1:17" ht="15.75">
      <c r="A145" s="2803"/>
      <c r="B145" s="2855" t="s">
        <v>2893</v>
      </c>
      <c r="C145" s="2797">
        <f>C154*SIN(C157)/COS(C155+C157)*COS(C106)</f>
        <v>4.8051150370428397</v>
      </c>
      <c r="D145" s="2810" t="s">
        <v>2820</v>
      </c>
      <c r="E145" s="2809"/>
      <c r="F145" s="2803" t="s">
        <v>2894</v>
      </c>
      <c r="G145" s="2797">
        <f>G154*SIN(G157)/COS(G155+G157)*COS(C106)</f>
        <v>4.2719454463120297</v>
      </c>
      <c r="H145" s="2810"/>
      <c r="I145" s="2809"/>
      <c r="J145" s="2975"/>
      <c r="K145" s="2816"/>
      <c r="L145" s="2809"/>
      <c r="M145" s="2975"/>
      <c r="N145" s="2816"/>
      <c r="O145" s="2860"/>
      <c r="P145" s="2860"/>
      <c r="Q145" s="2860"/>
    </row>
    <row r="146" spans="1:17" ht="15.75">
      <c r="A146" s="2858" t="s">
        <v>3047</v>
      </c>
      <c r="B146" s="2855" t="s">
        <v>2896</v>
      </c>
      <c r="C146" s="2797">
        <f>C67</f>
        <v>5</v>
      </c>
      <c r="D146" s="2810" t="s">
        <v>2820</v>
      </c>
      <c r="E146" s="2809"/>
      <c r="F146" s="2803" t="s">
        <v>2897</v>
      </c>
      <c r="G146" s="2797">
        <f>G67</f>
        <v>4.5</v>
      </c>
      <c r="H146" s="2810" t="s">
        <v>2820</v>
      </c>
      <c r="I146" s="2809"/>
      <c r="J146" s="2975"/>
      <c r="K146" s="2816"/>
      <c r="L146" s="2863"/>
      <c r="M146" s="2975"/>
      <c r="N146" s="2816"/>
      <c r="O146" s="2860"/>
      <c r="P146" s="2860"/>
      <c r="Q146" s="2860"/>
    </row>
    <row r="147" spans="1:17" ht="15.75">
      <c r="A147" s="2858"/>
      <c r="B147" s="2951" t="s">
        <v>3050</v>
      </c>
      <c r="C147" s="2797">
        <f>E102+C146/(C19*C17*COS(C100))+2*C122*TAN(C100)/C17-PI()/(2*C17)</f>
        <v>5.6341470539739903E-2</v>
      </c>
      <c r="D147" s="2810"/>
      <c r="E147" s="2809"/>
      <c r="F147" s="2952" t="s">
        <v>4191</v>
      </c>
      <c r="G147" s="2797">
        <f>E102+G146/(C19*C18*COS(C100))+2*G122*TAN(C100)/C18-PI()/(2*C18)</f>
        <v>2.59828347557053E-2</v>
      </c>
      <c r="H147" s="2810"/>
      <c r="I147" s="2809"/>
      <c r="J147" s="2975"/>
      <c r="K147" s="2816"/>
      <c r="L147" s="2863"/>
      <c r="M147" s="2970"/>
      <c r="N147" s="2860"/>
      <c r="O147" s="2860"/>
      <c r="P147" s="2860"/>
      <c r="Q147" s="2860"/>
    </row>
    <row r="148" spans="1:17" ht="15">
      <c r="A148" s="2858"/>
      <c r="B148" s="2952" t="s">
        <v>3053</v>
      </c>
      <c r="C148" s="2797">
        <f>C69</f>
        <v>0.52169503420418095</v>
      </c>
      <c r="D148" s="2812" t="s">
        <v>2048</v>
      </c>
      <c r="E148" s="2809"/>
      <c r="F148" s="2952" t="s">
        <v>4192</v>
      </c>
      <c r="G148" s="2797">
        <f>G69</f>
        <v>0.42718475426264602</v>
      </c>
      <c r="H148" s="2812" t="s">
        <v>2048</v>
      </c>
      <c r="I148" s="2809"/>
      <c r="J148" s="2970"/>
      <c r="K148" s="3196"/>
      <c r="L148" s="2863"/>
      <c r="M148" s="2970"/>
      <c r="N148" s="2860"/>
      <c r="O148" s="2860"/>
      <c r="P148" s="2860"/>
      <c r="Q148" s="2860"/>
    </row>
    <row r="149" spans="1:17" ht="15.75">
      <c r="A149" s="2858"/>
      <c r="B149" s="2855" t="s">
        <v>3056</v>
      </c>
      <c r="C149" s="2797">
        <f>C111/2*COS(C102)/COS(C148)</f>
        <v>29.039501270854501</v>
      </c>
      <c r="D149" s="2810"/>
      <c r="E149" s="2809"/>
      <c r="F149" s="2803" t="s">
        <v>4193</v>
      </c>
      <c r="G149" s="2797">
        <f>G111/2*COS(C102)/COS(G148)</f>
        <v>43.469491214052802</v>
      </c>
      <c r="H149" s="2810"/>
      <c r="I149" s="2809"/>
      <c r="J149" s="2892"/>
      <c r="K149" s="2859"/>
      <c r="L149" s="2863"/>
      <c r="M149" s="3197"/>
      <c r="N149" s="2863"/>
      <c r="O149" s="2860"/>
      <c r="P149" s="2863">
        <f>G111+2*C19*G122</f>
        <v>84.3500949089633</v>
      </c>
      <c r="Q149" s="2860"/>
    </row>
    <row r="150" spans="1:17" ht="15.75">
      <c r="A150" s="2858"/>
      <c r="B150" s="2855"/>
      <c r="C150" s="2797">
        <f>2*C149*COS(PI()/(2*C17))+C146</f>
        <v>62.9166018710876</v>
      </c>
      <c r="D150" s="2810"/>
      <c r="E150" s="2797">
        <f>2*C149+C146</f>
        <v>63.079002541709002</v>
      </c>
      <c r="F150" s="2803"/>
      <c r="G150" s="2797">
        <f>2*G149*COS(PI()/(2*C18))+G146</f>
        <v>91.340510049240194</v>
      </c>
      <c r="H150" s="2810"/>
      <c r="I150" s="2797">
        <f>2*G149+G146</f>
        <v>91.438982428105604</v>
      </c>
      <c r="J150" s="2892"/>
      <c r="K150" s="2859"/>
      <c r="L150" s="2863"/>
      <c r="M150" s="3198"/>
      <c r="N150" s="2860"/>
      <c r="O150" s="2860"/>
      <c r="P150" s="2863">
        <f>ACOS(G111*COS(C102)/P149)</f>
        <v>0.35378020139017502</v>
      </c>
      <c r="Q150" s="2860"/>
    </row>
    <row r="151" spans="1:17" ht="15.75">
      <c r="A151" s="2858" t="s">
        <v>3060</v>
      </c>
      <c r="B151" s="2855" t="s">
        <v>3061</v>
      </c>
      <c r="C151" s="2797">
        <f>IF(ODD(C17)-C17=0,C150,E150)</f>
        <v>62.9166018710876</v>
      </c>
      <c r="D151" s="2810" t="s">
        <v>2820</v>
      </c>
      <c r="E151" s="2809"/>
      <c r="F151" s="2803" t="s">
        <v>4194</v>
      </c>
      <c r="G151" s="2797">
        <f>IF(ODD(C18)-C18=0,G150,I150)</f>
        <v>91.340510049240194</v>
      </c>
      <c r="H151" s="2810" t="s">
        <v>2820</v>
      </c>
      <c r="I151" s="2986"/>
      <c r="J151" s="2892"/>
      <c r="K151" s="2859"/>
      <c r="L151" s="2809"/>
      <c r="M151" s="2893"/>
      <c r="N151" s="2860"/>
      <c r="O151" s="2860"/>
      <c r="P151" s="2809">
        <f>TAN(P150)-P150</f>
        <v>1.55381306962397E-2</v>
      </c>
      <c r="Q151" s="2860"/>
    </row>
    <row r="152" spans="1:17" ht="15.75">
      <c r="A152" s="2803"/>
      <c r="B152" s="2797" t="s">
        <v>3064</v>
      </c>
      <c r="C152" s="2797">
        <f>ATAN(TAN(C69)-C146/C113*COS(C106))</f>
        <v>0.44550722831834499</v>
      </c>
      <c r="D152" s="2803"/>
      <c r="E152" s="2797"/>
      <c r="F152" s="2797" t="s">
        <v>4195</v>
      </c>
      <c r="G152" s="2797">
        <f>ATAN(TAN(G69)-G146/G113*COS(C106))</f>
        <v>0.38007359328993301</v>
      </c>
      <c r="H152" s="2810"/>
      <c r="I152" s="2986"/>
      <c r="J152" s="2892"/>
      <c r="K152" s="2859"/>
      <c r="L152" s="2936"/>
      <c r="M152" s="3143"/>
      <c r="N152" s="2860"/>
      <c r="O152" s="2860"/>
      <c r="P152" s="2854">
        <f>P149*(G131/G111+E102-P151)</f>
        <v>4.0149313393351997</v>
      </c>
      <c r="Q152" s="2860"/>
    </row>
    <row r="153" spans="1:17" ht="15.75">
      <c r="A153" s="2803" t="s">
        <v>3039</v>
      </c>
      <c r="B153" s="2801" t="s">
        <v>4196</v>
      </c>
      <c r="C153" s="2797">
        <f>C113/COS(C152)</f>
        <v>55.799555508676399</v>
      </c>
      <c r="D153" s="2803"/>
      <c r="E153" s="2797"/>
      <c r="F153" s="2797" t="s">
        <v>4197</v>
      </c>
      <c r="G153" s="2797">
        <f>G113/COS(G152)</f>
        <v>85.206863907931904</v>
      </c>
      <c r="H153" s="2810"/>
      <c r="I153" s="2944"/>
      <c r="J153" s="2892"/>
      <c r="K153" s="2859"/>
      <c r="L153" s="2936"/>
      <c r="M153" s="2893"/>
      <c r="N153" s="2860"/>
      <c r="O153" s="2860"/>
      <c r="P153" s="2854">
        <f>ATAN(P149/G111*TAN(C103))</f>
        <v>0.214458231856403</v>
      </c>
      <c r="Q153" s="2860"/>
    </row>
    <row r="154" spans="1:17" ht="15.75">
      <c r="A154" s="2803"/>
      <c r="B154" s="2801" t="s">
        <v>4198</v>
      </c>
      <c r="C154" s="2797">
        <f>C111+2*C122*C19</f>
        <v>55.733419784788701</v>
      </c>
      <c r="D154" s="2803"/>
      <c r="E154" s="2797"/>
      <c r="F154" s="2803" t="s">
        <v>4199</v>
      </c>
      <c r="G154" s="2797">
        <f>G111+2*G122*C19</f>
        <v>84.3500949089633</v>
      </c>
      <c r="H154" s="2810"/>
      <c r="I154" s="2972"/>
      <c r="J154" s="2892"/>
      <c r="K154" s="2859"/>
      <c r="L154" s="2936"/>
      <c r="M154" s="3143"/>
      <c r="N154" s="2860"/>
      <c r="O154" s="2860"/>
      <c r="P154" s="2854">
        <f>PI()/C17-P152/P149</f>
        <v>0.10200122904683601</v>
      </c>
      <c r="Q154" s="2860"/>
    </row>
    <row r="155" spans="1:17" ht="15.75">
      <c r="A155" s="2803"/>
      <c r="B155" s="2813" t="s">
        <v>4200</v>
      </c>
      <c r="C155" s="2797">
        <f>ACOS(C113/C154)</f>
        <v>0.44301574273750699</v>
      </c>
      <c r="D155" s="2953">
        <f>TAN(C155)-C155</f>
        <v>3.1454168521336097E-2</v>
      </c>
      <c r="E155" s="2797"/>
      <c r="F155" s="2813" t="s">
        <v>4201</v>
      </c>
      <c r="G155" s="2797">
        <f>ACOS(G113/G154)</f>
        <v>0.35378020139017502</v>
      </c>
      <c r="H155" s="2953">
        <f>TAN(G155)-G155</f>
        <v>1.55381306962397E-2</v>
      </c>
      <c r="I155" s="2972"/>
      <c r="J155" s="2892"/>
      <c r="K155" s="3199"/>
      <c r="L155" s="2936"/>
      <c r="M155" s="2893"/>
      <c r="N155" s="2860"/>
      <c r="O155" s="2860"/>
      <c r="P155" s="2854"/>
      <c r="Q155" s="2860"/>
    </row>
    <row r="156" spans="1:17" ht="15.75">
      <c r="A156" s="2857"/>
      <c r="B156" s="2855" t="s">
        <v>4202</v>
      </c>
      <c r="C156" s="2797">
        <f>C131*C154/C111-C154*(D155-E102)</f>
        <v>4.0761577419999204</v>
      </c>
      <c r="D156" s="2797"/>
      <c r="E156" s="2809"/>
      <c r="F156" s="2797" t="s">
        <v>4203</v>
      </c>
      <c r="G156" s="2797">
        <f>G131*G154/G111-G154*(H155-E102)</f>
        <v>4.0149313393351997</v>
      </c>
      <c r="H156" s="2797"/>
      <c r="I156" s="2972"/>
      <c r="J156" s="2892"/>
      <c r="K156" s="2808"/>
      <c r="L156" s="2936"/>
      <c r="M156" s="2860"/>
      <c r="N156" s="2860"/>
      <c r="O156" s="2860"/>
      <c r="P156" s="2854">
        <f>ROUND(P149*SIN(P154)/COS(P150+P154)*COS(C106),2)</f>
        <v>9.3699999999999992</v>
      </c>
      <c r="Q156" s="2860"/>
    </row>
    <row r="157" spans="1:17" ht="15.75">
      <c r="A157" s="2954"/>
      <c r="B157" s="2896" t="s">
        <v>4204</v>
      </c>
      <c r="C157" s="2791">
        <f>(PI()*C154/C17-C156)/C154</f>
        <v>7.6462962026921197E-2</v>
      </c>
      <c r="D157" s="2791"/>
      <c r="E157" s="2955"/>
      <c r="F157" s="2896" t="s">
        <v>4205</v>
      </c>
      <c r="G157" s="2791">
        <f>(PI()*G154/C18-G156)/G154</f>
        <v>4.7601356257402201E-2</v>
      </c>
      <c r="H157" s="2791"/>
      <c r="I157" s="2972"/>
      <c r="J157" s="2892"/>
      <c r="K157" s="2808"/>
      <c r="L157" s="2863"/>
      <c r="M157" s="2860"/>
      <c r="N157" s="2860"/>
      <c r="O157" s="2860"/>
      <c r="P157" s="2817">
        <f>E102+G146/(C19*C17*COS(C100))+2*G122*TAN(C100)/C17-PI()/(2*C17)</f>
        <v>3.1729883847002302E-2</v>
      </c>
      <c r="Q157" s="2860"/>
    </row>
    <row r="158" spans="1:17" ht="15.75">
      <c r="A158" s="2956" t="s">
        <v>2898</v>
      </c>
      <c r="B158" s="2806"/>
      <c r="C158" s="2797"/>
      <c r="D158" s="2797"/>
      <c r="E158" s="2797"/>
      <c r="F158" s="2813"/>
      <c r="G158" s="2797"/>
      <c r="H158" s="2797"/>
      <c r="I158" s="2972"/>
      <c r="J158" s="2892"/>
      <c r="K158" s="2808"/>
      <c r="L158" s="2863"/>
      <c r="M158" s="2860"/>
      <c r="N158" s="2860"/>
      <c r="O158" s="2860"/>
      <c r="P158" s="2817">
        <f>C19*C18*COS(C102)/(COS(C103)*COS(G148))+G146</f>
        <v>91.438982428105703</v>
      </c>
      <c r="Q158" s="2860"/>
    </row>
    <row r="159" spans="1:17" ht="15.75">
      <c r="A159" s="2797" t="s">
        <v>3067</v>
      </c>
      <c r="B159" s="2813" t="s">
        <v>3068</v>
      </c>
      <c r="C159" s="2797">
        <f>ROUND(1/(2*PI())*(C17*(TAN(C133)-TAN(C114))+C18*(TAN(G133)-TAN(C114))),3)</f>
        <v>1.4530000000000001</v>
      </c>
      <c r="D159" s="2797"/>
      <c r="E159" s="3191">
        <f>(0.5*(SQRT(C128^2-C113^2)+SQRT(G128^2-G11364))-C109*SIN(C114))/(PI()*C110*COS(C102))</f>
        <v>4.63498873786481</v>
      </c>
      <c r="F159" s="3192" t="s">
        <v>4206</v>
      </c>
      <c r="G159" s="2797"/>
      <c r="H159" s="2797"/>
      <c r="I159" s="2810"/>
      <c r="J159" s="2892"/>
      <c r="K159" s="2808"/>
      <c r="L159" s="2863"/>
      <c r="M159" s="2860"/>
      <c r="N159" s="2860"/>
      <c r="O159" s="2860"/>
      <c r="P159" s="2817">
        <f>C19*C18*COS(C102)/(COS(C103)*COS(G148))*COS(PI()/(2*C17))+G146</f>
        <v>91.195883400374896</v>
      </c>
      <c r="Q159" s="2860"/>
    </row>
    <row r="160" spans="1:17">
      <c r="A160" s="2797" t="s">
        <v>3070</v>
      </c>
      <c r="B160" s="2813" t="s">
        <v>3071</v>
      </c>
      <c r="C160" s="2797">
        <f>ROUND(C23*SIN(C103)/(PI()*C19),3)</f>
        <v>1.085</v>
      </c>
      <c r="D160" s="2797"/>
      <c r="E160" s="2797"/>
      <c r="F160" s="2813"/>
      <c r="G160" s="2797"/>
      <c r="H160" s="2797"/>
      <c r="I160" s="2972"/>
      <c r="J160" s="2892"/>
      <c r="K160" s="2808"/>
      <c r="L160" s="2863"/>
      <c r="M160" s="2860"/>
      <c r="N160" s="2860"/>
      <c r="O160" s="2860"/>
      <c r="P160" s="2817">
        <f>ATAN(TAN(G148)-G146/G113*COS(C106))</f>
        <v>0.38007359328993301</v>
      </c>
      <c r="Q160" s="2860"/>
    </row>
    <row r="161" spans="1:17">
      <c r="A161" s="2791" t="s">
        <v>3073</v>
      </c>
      <c r="B161" s="2896" t="s">
        <v>2449</v>
      </c>
      <c r="C161" s="2791">
        <f>ROUND(C159+C160,3)</f>
        <v>2.5379999999999998</v>
      </c>
      <c r="D161" s="2957"/>
      <c r="E161" s="2791"/>
      <c r="F161" s="2896"/>
      <c r="G161" s="2791"/>
      <c r="H161" s="2791"/>
      <c r="I161" s="2972"/>
      <c r="J161" s="2892"/>
      <c r="K161" s="2808"/>
      <c r="L161" s="2863"/>
      <c r="M161" s="2860"/>
      <c r="N161" s="2860"/>
      <c r="O161" s="2860"/>
      <c r="P161" s="2817">
        <f>G113/COS(P160)</f>
        <v>85.206863907931904</v>
      </c>
      <c r="Q161" s="2860"/>
    </row>
    <row r="162" spans="1:17" ht="15.75">
      <c r="A162" s="2810" t="s">
        <v>4207</v>
      </c>
      <c r="B162" s="2806"/>
      <c r="C162" s="2797">
        <f>TAN(C114)-C18/C17*(TAN(G133)-TAN(C114))</f>
        <v>0.23678874120149501</v>
      </c>
      <c r="D162" s="2797"/>
      <c r="E162" s="2797"/>
      <c r="F162" s="2813"/>
      <c r="G162" s="2797">
        <f>TAN(C114)-C17/C18*(TAN(C133)-TAN(C114))</f>
        <v>0.245653657787862</v>
      </c>
      <c r="H162" s="2797"/>
      <c r="I162" s="2972"/>
      <c r="J162" s="2892"/>
      <c r="K162" s="2905"/>
      <c r="L162" s="2863"/>
      <c r="M162" s="2860"/>
      <c r="N162" s="2860"/>
      <c r="O162" s="2860"/>
      <c r="P162" s="2860"/>
      <c r="Q162" s="2860"/>
    </row>
    <row r="163" spans="1:17" ht="15.75">
      <c r="A163" s="2958"/>
      <c r="B163" s="2872"/>
      <c r="C163" s="2791">
        <f>TAN(C102)-4*(C25-C122)/(C17*SIN(2*C100))</f>
        <v>0.1947242366825</v>
      </c>
      <c r="D163" s="2866" t="str">
        <f>IF(C162&lt;C163,"发生干涉！","不发生干涉")</f>
        <v>不发生干涉</v>
      </c>
      <c r="E163" s="2791"/>
      <c r="F163" s="2896"/>
      <c r="G163" s="2791">
        <f>TAN(C102)-4*(C25-G122)/(C18*SIN(2*C100))</f>
        <v>0.18062464687881599</v>
      </c>
      <c r="H163" s="2866" t="str">
        <f>IF(G162&lt;G163,"发生干涉！","不发生干涉")</f>
        <v>不发生干涉</v>
      </c>
      <c r="I163" s="2972"/>
      <c r="J163" s="2892"/>
      <c r="K163" s="2965"/>
      <c r="L163" s="2863"/>
      <c r="M163" s="2860"/>
      <c r="N163" s="2860"/>
      <c r="O163" s="2860"/>
      <c r="P163" s="2860"/>
      <c r="Q163" s="2860"/>
    </row>
    <row r="164" spans="1:17" ht="15.75">
      <c r="A164" s="2959" t="s">
        <v>4208</v>
      </c>
      <c r="B164" s="3193"/>
      <c r="C164" s="2959">
        <f>ROUND(C134*COS(C107)/C19,2)</f>
        <v>0.57999999999999996</v>
      </c>
      <c r="D164" s="2962" t="str">
        <f>IF(C164&lt;0.4,"齿顶变尖 ！","齿顶未变尖")</f>
        <v>齿顶未变尖</v>
      </c>
      <c r="E164" s="2959"/>
      <c r="F164" s="3194"/>
      <c r="G164" s="2959">
        <f>ROUND(G134*COS(C107)/C19,2)</f>
        <v>0.77</v>
      </c>
      <c r="H164" s="2962" t="str">
        <f>IF(G164&lt;0.4,"齿顶变尖 ！","齿顶未变尖")</f>
        <v>齿顶未变尖</v>
      </c>
      <c r="I164" s="2972"/>
      <c r="J164" s="2892"/>
      <c r="K164" s="2965"/>
      <c r="L164" s="3200"/>
      <c r="M164" s="2860"/>
      <c r="N164" s="2860"/>
      <c r="O164" s="2860"/>
      <c r="P164" s="2860"/>
      <c r="Q164" s="2860"/>
    </row>
    <row r="165" spans="1:17" ht="15">
      <c r="A165" s="2807" t="s">
        <v>3083</v>
      </c>
      <c r="B165" s="3122" t="s">
        <v>3084</v>
      </c>
      <c r="C165" s="2797">
        <f>INT(2*C25/SIN(C102)^2)</f>
        <v>16</v>
      </c>
      <c r="D165" s="2911"/>
      <c r="E165" s="2797"/>
      <c r="F165" s="2813"/>
      <c r="G165" s="2797"/>
      <c r="H165" s="2911"/>
      <c r="I165" s="2972"/>
      <c r="J165" s="2892"/>
      <c r="K165" s="2965"/>
      <c r="L165" s="2817"/>
      <c r="M165" s="2860"/>
      <c r="N165" s="2860"/>
      <c r="O165" s="2860"/>
      <c r="P165" s="2860"/>
      <c r="Q165" s="2860"/>
    </row>
    <row r="166" spans="1:17" ht="15">
      <c r="A166" s="2963" t="s">
        <v>3086</v>
      </c>
      <c r="B166" s="3195" t="s">
        <v>3087</v>
      </c>
      <c r="C166" s="2791">
        <f>ROUND(C25*(C165-C17)/C165,3)</f>
        <v>-0.313</v>
      </c>
      <c r="D166" s="2866" t="str">
        <f>IF(E41&gt;=C166,"不根切","根切 ！")</f>
        <v>不根切</v>
      </c>
      <c r="E166" s="2791"/>
      <c r="F166" s="2864" t="s">
        <v>4209</v>
      </c>
      <c r="G166" s="2791">
        <f>ROUND(C25*(C165-C18)/C165,3)</f>
        <v>-1.0629999999999999</v>
      </c>
      <c r="H166" s="2866" t="str">
        <f>IF(C42&gt;=G166,"不根切","根切 ！")</f>
        <v>不根切</v>
      </c>
      <c r="I166" s="2972"/>
      <c r="J166" s="2892"/>
      <c r="K166" s="2965"/>
      <c r="L166" s="2817"/>
      <c r="M166" s="2860"/>
      <c r="N166" s="2860"/>
      <c r="O166" s="2860"/>
      <c r="P166" s="2860"/>
      <c r="Q166" s="2860"/>
    </row>
    <row r="167" spans="1:17">
      <c r="A167" s="2807"/>
      <c r="B167" s="2836" t="s">
        <v>4210</v>
      </c>
      <c r="C167" s="2797">
        <f>IF(D167&gt;C168,C168,D167)</f>
        <v>6.5506640602008401</v>
      </c>
      <c r="D167" s="2797">
        <f>C129/2*SIN(C133)-C112/2*SIN(C114)</f>
        <v>6.5506640602008401</v>
      </c>
      <c r="E167" s="2797"/>
      <c r="F167" s="2813" t="s">
        <v>4211</v>
      </c>
      <c r="G167" s="2797">
        <f>IF(H167&gt;G168,G168,H167)</f>
        <v>4.3917923473707097</v>
      </c>
      <c r="H167" s="2953">
        <f>G129/2*SIN(G133)-G112/2*SIN(C114)</f>
        <v>4.3917923473707097</v>
      </c>
      <c r="I167" s="2972"/>
      <c r="J167" s="2892"/>
      <c r="K167" s="2965"/>
      <c r="L167" s="2817"/>
      <c r="M167" s="2860"/>
      <c r="N167" s="2860"/>
      <c r="O167" s="2860"/>
      <c r="P167" s="2860"/>
      <c r="Q167" s="2860"/>
    </row>
    <row r="168" spans="1:17">
      <c r="A168" s="2807"/>
      <c r="B168" s="2836" t="s">
        <v>4212</v>
      </c>
      <c r="C168" s="2797">
        <f>C112/2*SIN(C114)-0.3*C110</f>
        <v>9.5856937703880796</v>
      </c>
      <c r="D168" s="2797"/>
      <c r="E168" s="2797"/>
      <c r="F168" s="2788" t="s">
        <v>4213</v>
      </c>
      <c r="G168" s="2797">
        <f>G112/2*SIN(C114)-0.3*C110</f>
        <v>15.5018732292612</v>
      </c>
      <c r="H168" s="2821"/>
      <c r="I168" s="2972"/>
      <c r="J168" s="2892"/>
      <c r="K168" s="2965"/>
      <c r="L168" s="2817"/>
      <c r="M168" s="2860"/>
      <c r="N168" s="2860"/>
      <c r="O168" s="2860"/>
      <c r="P168" s="2860"/>
      <c r="Q168" s="2860"/>
    </row>
    <row r="169" spans="1:17">
      <c r="A169" s="2807"/>
      <c r="B169" s="2858" t="s">
        <v>2971</v>
      </c>
      <c r="C169" s="2797">
        <f>C113/C17</f>
        <v>2.3977659118691599</v>
      </c>
      <c r="D169" s="2797"/>
      <c r="E169" s="2797"/>
      <c r="F169" s="2803" t="s">
        <v>2971</v>
      </c>
      <c r="G169" s="2797">
        <f>G113/C18</f>
        <v>2.3977659118691599</v>
      </c>
      <c r="H169" s="2821"/>
      <c r="I169" s="2972"/>
      <c r="J169" s="2892"/>
      <c r="K169" s="2965"/>
      <c r="L169" s="2817"/>
      <c r="M169" s="2860"/>
      <c r="N169" s="2860"/>
      <c r="O169" s="2860"/>
      <c r="P169" s="2860"/>
      <c r="Q169" s="2860"/>
    </row>
    <row r="170" spans="1:17" ht="15.75">
      <c r="A170" s="2803" t="s">
        <v>4154</v>
      </c>
      <c r="B170" s="2836" t="s">
        <v>4155</v>
      </c>
      <c r="C170" s="2797">
        <f>IF(C167&lt;C169,E170,D170)</f>
        <v>1.2054924313833799</v>
      </c>
      <c r="D170" s="2953">
        <f>(1+C17/C18)*G167/(C112/2*SIN(C114)-G167)</f>
        <v>1.2054924313833799</v>
      </c>
      <c r="E170" s="2797">
        <f>(C169-C167)*(1+C17/C18)/(C112/2*SIN(C114)-C169+C167)</f>
        <v>-0.46846491841715299</v>
      </c>
      <c r="F170" s="2813" t="s">
        <v>4156</v>
      </c>
      <c r="G170" s="2797">
        <f>IF(G167&lt;G169,I170,H170)</f>
        <v>1.7331886324318599</v>
      </c>
      <c r="H170" s="2953">
        <f>(1+C18/C17)*C167/(G112/2*SIN(C114)-C167)</f>
        <v>1.7331886324318599</v>
      </c>
      <c r="I170" s="2966">
        <f>(G169-G167)*(1+C18/C17)/(G112/2*SIN(C114)-G169+G167)</f>
        <v>-0.28075072949788998</v>
      </c>
      <c r="J170" s="2892"/>
      <c r="K170" s="2965"/>
      <c r="L170" s="2817"/>
      <c r="M170" s="2860"/>
      <c r="N170" s="2860"/>
      <c r="O170" s="2860"/>
      <c r="P170" s="2860"/>
      <c r="Q170" s="2860"/>
    </row>
    <row r="171" spans="1:17">
      <c r="A171" s="2803"/>
      <c r="B171" s="2836" t="s">
        <v>4214</v>
      </c>
      <c r="C171" s="2797">
        <f>C112/2*SIN(C114)</f>
        <v>10.3533140530279</v>
      </c>
      <c r="D171" s="2911"/>
      <c r="E171" s="2935">
        <f>(TAN(G133)-TAN(C114))/((1+C17/C18)*TAN(C114)-TAN(G133))*((C18/C17+1)/(C18/C17))</f>
        <v>1.2054924313833799</v>
      </c>
      <c r="F171" s="2813" t="s">
        <v>4215</v>
      </c>
      <c r="G171" s="2797">
        <f>G112/2*SIN(C114)</f>
        <v>16.269493511901</v>
      </c>
      <c r="H171" s="2953"/>
      <c r="I171" s="3201">
        <f>(TAN(C133)-TAN(C114))/((1+C18/C17)*TAN(C114)-TAN(C133))*(C18/C17+1)</f>
        <v>1.7331886324318599</v>
      </c>
      <c r="J171" s="2892"/>
      <c r="K171" s="2965"/>
      <c r="L171" s="2817"/>
      <c r="M171" s="2860"/>
      <c r="N171" s="2860"/>
      <c r="O171" s="2860"/>
      <c r="P171" s="2860"/>
      <c r="Q171" s="2860"/>
    </row>
    <row r="172" spans="1:17" ht="15.75">
      <c r="A172" s="2896" t="s">
        <v>4157</v>
      </c>
      <c r="B172" s="2871" t="s">
        <v>4158</v>
      </c>
      <c r="C172" s="2791">
        <f>IF(C167&lt;C169,E172,D172)</f>
        <v>1.1694171872679</v>
      </c>
      <c r="D172" s="2926">
        <f>1/SQRT((1-G167/C171)*(1+G167/G171))</f>
        <v>1.1694171872679</v>
      </c>
      <c r="E172" s="2791">
        <f>1/SQRT((1-(C169-C167)/C171)*(1+(C169-C167)/G171))</f>
        <v>0.97894748508039198</v>
      </c>
      <c r="F172" s="2896" t="s">
        <v>4160</v>
      </c>
      <c r="G172" s="2791">
        <f>IF(G167&lt;G169,I172,H172)</f>
        <v>1.01257049644991</v>
      </c>
      <c r="H172" s="2926">
        <f>1/SQRT((1+C167/C171)*(1-C167/G171))</f>
        <v>1.01257049644991</v>
      </c>
      <c r="I172" s="2966">
        <f>1/SQRT((1+(G169-G167)/C171)*(1-(G169-G167)/G171))</f>
        <v>1.0503882010930701</v>
      </c>
      <c r="J172" s="2892"/>
      <c r="K172" s="2965"/>
      <c r="L172" s="2817"/>
      <c r="M172" s="2860"/>
      <c r="N172" s="2860"/>
      <c r="O172" s="2860"/>
      <c r="P172" s="2860"/>
      <c r="Q172" s="2860"/>
    </row>
    <row r="173" spans="1:17" ht="15.75">
      <c r="A173" s="2956" t="s">
        <v>3088</v>
      </c>
      <c r="B173" s="2801"/>
      <c r="C173" s="2797"/>
      <c r="D173" s="2953"/>
      <c r="E173" s="2797"/>
      <c r="F173" s="2803"/>
      <c r="G173" s="2797"/>
      <c r="H173" s="2953"/>
      <c r="I173" s="2966"/>
      <c r="J173" s="2892"/>
      <c r="K173" s="2965"/>
      <c r="L173" s="2817"/>
      <c r="M173" s="2860"/>
      <c r="N173" s="2860"/>
      <c r="O173" s="2860"/>
      <c r="P173" s="2860"/>
      <c r="Q173" s="2860"/>
    </row>
    <row r="174" spans="1:17" ht="15.75">
      <c r="A174" s="2797" t="s">
        <v>4216</v>
      </c>
      <c r="B174" s="2806" t="s">
        <v>3090</v>
      </c>
      <c r="C174" s="2797">
        <f>C109*SIN(C114)-SQRT((G129/2)^2-(G113/2)^2)</f>
        <v>5.9615217056572201</v>
      </c>
      <c r="D174" s="2810" t="s">
        <v>2820</v>
      </c>
      <c r="E174" s="2797"/>
      <c r="F174" s="2813"/>
      <c r="G174" s="2797">
        <f>C109*SIN(C114)-SQRT((C129/2)^2-(C113/2)^2)</f>
        <v>9.7188294517001808</v>
      </c>
      <c r="H174" s="2810" t="s">
        <v>2820</v>
      </c>
      <c r="I174" s="2972"/>
      <c r="J174" s="2892"/>
      <c r="K174" s="2965"/>
      <c r="L174" s="2817"/>
      <c r="M174" s="2860"/>
      <c r="N174" s="2860"/>
      <c r="O174" s="2860"/>
      <c r="P174" s="2860"/>
      <c r="Q174" s="2860"/>
    </row>
    <row r="175" spans="1:17" ht="15.75">
      <c r="A175" s="2797" t="s">
        <v>4217</v>
      </c>
      <c r="B175" s="2806" t="s">
        <v>3093</v>
      </c>
      <c r="C175" s="2797">
        <f>IF(SQRT(C174^2+(C113/2)^2)&lt;C113/2,C113/2,SQRT(C174^2+(C113/2)^2))</f>
        <v>25.872727182932302</v>
      </c>
      <c r="D175" s="2810" t="s">
        <v>2820</v>
      </c>
      <c r="E175" s="2797"/>
      <c r="F175" s="2813"/>
      <c r="G175" s="2797">
        <f>IF(SQRT(G174^2+(G113/2)^2)&lt;G113/2,G113/2,SQRT(G174^2+(G113/2)^2))</f>
        <v>40.739385100690797</v>
      </c>
      <c r="H175" s="2810"/>
      <c r="I175" s="2972"/>
      <c r="J175" s="2892"/>
      <c r="K175" s="2965"/>
      <c r="L175" s="2817"/>
      <c r="M175" s="2860"/>
      <c r="N175" s="2860"/>
      <c r="O175" s="2860"/>
      <c r="P175" s="2860"/>
      <c r="Q175" s="2860"/>
    </row>
    <row r="176" spans="1:17" ht="15.75">
      <c r="A176" s="2797" t="s">
        <v>4218</v>
      </c>
      <c r="B176" s="2806" t="s">
        <v>3095</v>
      </c>
      <c r="C176" s="2797">
        <f>SQRT((C129/2)^2-(C113/2)^2)</f>
        <v>16.903978113228799</v>
      </c>
      <c r="D176" s="2810" t="s">
        <v>2820</v>
      </c>
      <c r="E176" s="2797"/>
      <c r="F176" s="2813"/>
      <c r="G176" s="2797">
        <f>SQRT((G129/2)^2-(G113/2)^2)</f>
        <v>20.6612858592717</v>
      </c>
      <c r="H176" s="2810" t="s">
        <v>2820</v>
      </c>
      <c r="I176" s="2972"/>
      <c r="J176" s="2892"/>
      <c r="K176" s="2965"/>
      <c r="L176" s="2817"/>
      <c r="M176" s="2860"/>
      <c r="N176" s="2860"/>
      <c r="O176" s="2860"/>
      <c r="P176" s="2860"/>
      <c r="Q176" s="2860"/>
    </row>
    <row r="177" spans="1:20" ht="15.75">
      <c r="A177" s="2797" t="s">
        <v>4219</v>
      </c>
      <c r="B177" s="2806" t="s">
        <v>3098</v>
      </c>
      <c r="C177" s="2797">
        <f>C129/2</f>
        <v>30.3249525455184</v>
      </c>
      <c r="D177" s="2810" t="s">
        <v>2820</v>
      </c>
      <c r="E177" s="2797"/>
      <c r="F177" s="2813"/>
      <c r="G177" s="2797">
        <f>G129/2</f>
        <v>44.633290107605703</v>
      </c>
      <c r="H177" s="2810"/>
      <c r="I177" s="2972"/>
      <c r="J177" s="2892"/>
      <c r="K177" s="2965"/>
      <c r="L177" s="2817"/>
      <c r="M177" s="2860"/>
      <c r="N177" s="2860"/>
      <c r="O177" s="2860"/>
      <c r="P177" s="2860"/>
      <c r="Q177" s="2860"/>
    </row>
    <row r="178" spans="1:20" ht="15.75">
      <c r="A178" s="2797" t="s">
        <v>4220</v>
      </c>
      <c r="B178" s="2813" t="s">
        <v>3100</v>
      </c>
      <c r="C178" s="2797">
        <f>DEGREES(C174/(C113/2))</f>
        <v>13.5669955070612</v>
      </c>
      <c r="D178" s="2810" t="s">
        <v>257</v>
      </c>
      <c r="E178" s="2797">
        <f t="shared" ref="E178:E181" si="1">ROUND(INT(C178)+INT((C178-INT(C178))*60)/100+((C178-INT(C178))*60-INT((C178-INT(C178))*60))*60/10000,4)</f>
        <v>13.3401</v>
      </c>
      <c r="F178" s="2813"/>
      <c r="G178" s="2797">
        <f>DEGREES(G174/(G113/2))</f>
        <v>14.0749178131955</v>
      </c>
      <c r="H178" s="2810" t="s">
        <v>257</v>
      </c>
      <c r="I178" s="2797">
        <f t="shared" ref="I178:I181" si="2">ROUND(INT(G178)+INT((G178-INT(G178))*60)/100+((G178-INT(G178))*60-INT((G178-INT(G178))*60))*60/10000,4)</f>
        <v>14.042999999999999</v>
      </c>
      <c r="J178" s="2810" t="s">
        <v>2938</v>
      </c>
      <c r="K178" s="2965"/>
      <c r="L178" s="2817"/>
      <c r="M178" s="2860"/>
      <c r="N178" s="2860"/>
      <c r="O178" s="2860"/>
      <c r="P178" s="2860"/>
      <c r="Q178" s="2860"/>
    </row>
    <row r="179" spans="1:20" ht="15.75">
      <c r="A179" s="2797" t="s">
        <v>4221</v>
      </c>
      <c r="B179" s="2813" t="s">
        <v>3104</v>
      </c>
      <c r="C179" s="2797">
        <f>DEGREES(C176/(C113/2))</f>
        <v>38.469405369438697</v>
      </c>
      <c r="D179" s="2810" t="s">
        <v>257</v>
      </c>
      <c r="E179" s="2797">
        <f t="shared" si="1"/>
        <v>38.280999999999999</v>
      </c>
      <c r="F179" s="2813"/>
      <c r="G179" s="2797">
        <f>DEGREES(G176/(G113/2))</f>
        <v>29.921905907435701</v>
      </c>
      <c r="H179" s="2810" t="s">
        <v>257</v>
      </c>
      <c r="I179" s="2797">
        <f t="shared" si="2"/>
        <v>29.5519</v>
      </c>
      <c r="J179" s="2810" t="s">
        <v>2938</v>
      </c>
      <c r="K179" s="2965"/>
      <c r="L179" s="2817"/>
      <c r="M179" s="2860"/>
      <c r="N179" s="2860"/>
      <c r="O179" s="2860"/>
      <c r="P179" s="2860"/>
      <c r="Q179" s="2860"/>
    </row>
    <row r="180" spans="1:20" ht="15">
      <c r="A180" s="2803" t="s">
        <v>4222</v>
      </c>
      <c r="B180" s="2813" t="s">
        <v>4223</v>
      </c>
      <c r="C180" s="2797">
        <f>C178+1/3*(C179-C178)</f>
        <v>21.867798794520301</v>
      </c>
      <c r="D180" s="2810" t="s">
        <v>257</v>
      </c>
      <c r="E180" s="2797">
        <f t="shared" si="1"/>
        <v>21.520399999999999</v>
      </c>
      <c r="F180" s="2813"/>
      <c r="G180" s="2797">
        <f>G178+1/3*(G179-G178)</f>
        <v>19.357247177942199</v>
      </c>
      <c r="H180" s="2810" t="s">
        <v>257</v>
      </c>
      <c r="I180" s="2797">
        <f t="shared" si="2"/>
        <v>19.212599999999998</v>
      </c>
      <c r="J180" s="2810" t="s">
        <v>2938</v>
      </c>
      <c r="K180" s="2965"/>
      <c r="L180" s="2817"/>
      <c r="M180" s="2885"/>
      <c r="N180" s="2885"/>
      <c r="O180" s="2885"/>
      <c r="P180" s="2885"/>
      <c r="Q180" s="2885"/>
      <c r="R180" s="3202"/>
      <c r="S180" s="3202"/>
      <c r="T180" s="3202"/>
    </row>
    <row r="181" spans="1:20" ht="15">
      <c r="A181" s="2896"/>
      <c r="B181" s="2813" t="s">
        <v>4224</v>
      </c>
      <c r="C181" s="2791">
        <f>C178+2/3*(C179-C178)</f>
        <v>30.1686020819795</v>
      </c>
      <c r="D181" s="2842" t="s">
        <v>257</v>
      </c>
      <c r="E181" s="2791">
        <f t="shared" si="1"/>
        <v>30.1007</v>
      </c>
      <c r="F181" s="2896"/>
      <c r="G181" s="2791">
        <f>G178+2/3*(G179-G178)</f>
        <v>24.639576542688999</v>
      </c>
      <c r="H181" s="2842" t="s">
        <v>257</v>
      </c>
      <c r="I181" s="2797">
        <f t="shared" si="2"/>
        <v>24.382200000000001</v>
      </c>
      <c r="J181" s="2810" t="s">
        <v>2938</v>
      </c>
      <c r="K181" s="2965"/>
      <c r="L181" s="2818"/>
      <c r="M181" s="2860"/>
      <c r="N181" s="2860"/>
      <c r="O181" s="2860"/>
      <c r="P181" s="2860"/>
      <c r="Q181" s="2860"/>
    </row>
    <row r="182" spans="1:20" ht="15.75">
      <c r="A182" s="2956" t="s">
        <v>3187</v>
      </c>
      <c r="B182" s="2806"/>
      <c r="C182" s="2797"/>
      <c r="D182" s="2797"/>
      <c r="E182" s="2797"/>
      <c r="F182" s="2813"/>
      <c r="G182" s="2797"/>
      <c r="H182" s="2965"/>
      <c r="I182" s="2972"/>
      <c r="J182" s="2975"/>
      <c r="K182" s="2807"/>
      <c r="L182" s="2817"/>
      <c r="M182" s="2860"/>
      <c r="N182" s="2860"/>
      <c r="O182" s="2860"/>
      <c r="P182" s="2860"/>
      <c r="Q182" s="2860"/>
    </row>
    <row r="183" spans="1:20" ht="15.75">
      <c r="A183" s="2803" t="s">
        <v>3188</v>
      </c>
      <c r="B183" s="2801"/>
      <c r="C183" s="2797">
        <f>PI()*C111/2</f>
        <v>84.4042584240742</v>
      </c>
      <c r="D183" s="2953"/>
      <c r="E183" s="2848"/>
      <c r="F183" s="2797" t="s">
        <v>4225</v>
      </c>
      <c r="G183" s="2797">
        <f>PI()*G111/2</f>
        <v>132.635263237831</v>
      </c>
      <c r="H183" s="2797"/>
      <c r="I183" s="2972"/>
      <c r="J183" s="2975"/>
      <c r="K183" s="2807"/>
      <c r="L183" s="2817"/>
      <c r="M183" s="2860"/>
      <c r="N183" s="2860"/>
      <c r="O183" s="2860"/>
      <c r="P183" s="2860"/>
      <c r="Q183" s="2860"/>
    </row>
    <row r="184" spans="1:20" ht="15.75">
      <c r="A184" s="2803" t="s">
        <v>3190</v>
      </c>
      <c r="B184" s="2801" t="s">
        <v>3191</v>
      </c>
      <c r="C184" s="2797">
        <f>IF(AND(C183&gt;20,C183&lt;=32,C43=3),5,IF(AND(C183&gt;32,C183&lt;=50,C43=3),5.5,IF(AND(C183&gt;50,C183&lt;=80,C43=3),6,IF(AND(C183&gt;80,C183&lt;=160,C43=3),8,IF(AND(C183&gt;160,C183&lt;=315,C43=3),11,IF(AND(C183&gt;315,C183&lt;=630,C43=3),16,IF(AND(C183&gt;630,C183&lt;=1000,C43=3),20,C185)))))))</f>
        <v>20</v>
      </c>
      <c r="D184" s="2953"/>
      <c r="E184" s="2848"/>
      <c r="F184" s="2803" t="s">
        <v>4226</v>
      </c>
      <c r="G184" s="2797">
        <f>IF(AND(G183&gt;20,G183&lt;=32,C43=3),5,IF(AND(G183&gt;32,G183&lt;=50,C43=3),5.5,IF(AND(G183&gt;50,G183&lt;=80,C43=3),6,IF(AND(G183&gt;80,G183&lt;=160,C43=3),8,IF(AND(G183&gt;160,G183&lt;=315,C43=3),11,IF(AND(G183&gt;315,G183&lt;=630,C43=3),16,IF(AND(G183&gt;630,G183&lt;=1000,C43=3),20,G185)))))))</f>
        <v>20</v>
      </c>
      <c r="H184" s="2797"/>
      <c r="I184" s="2972"/>
      <c r="J184" s="2975"/>
      <c r="K184" s="2807"/>
      <c r="L184" s="2817"/>
      <c r="M184" s="2860"/>
      <c r="N184" s="2860"/>
      <c r="O184" s="2860"/>
      <c r="P184" s="2860"/>
      <c r="Q184" s="2860"/>
    </row>
    <row r="185" spans="1:20" ht="15.75">
      <c r="A185" s="2803"/>
      <c r="B185" s="2801"/>
      <c r="C185" s="2809">
        <f>IF(AND(C183&gt;20,C183&lt;=32,C43=4),8,IF(AND(C183&gt;32,C183&lt;=50,C43=4),9,IF(AND(C183&gt;50,C183&lt;=80,C43=4),10,IF(AND(C183&gt;80,C183&lt;=160,C43=4),12,IF(AND(C183&gt;160,C183&lt;=315,C43=4),18,IF(AND(C183&gt;315,C183&lt;=630,C43=4),25,IF(AND(C183&gt;630,C183&lt;=1000,C43=4),32,C186)))))))</f>
        <v>20</v>
      </c>
      <c r="D185" s="2953"/>
      <c r="E185" s="2848"/>
      <c r="F185" s="2803"/>
      <c r="G185" s="2809">
        <f>IF(AND(G183&gt;20,G183&lt;=32,C43=4),8,IF(AND(G183&gt;32,G183&lt;=50,C43=4),9,IF(AND(3,G183&lt;=80,C43=4),10,IF(AND(G183&gt;80,G183&lt;=160,C43=4),12,IF(AND(G183&gt;160,G183&lt;=315,C43=4),18,IF(AND(G183&gt;315,G183&lt;=630,C43=4),25,IF(AND(G183&gt;630,G183&lt;=1000,C43=4),32,G186)))))))</f>
        <v>20</v>
      </c>
      <c r="H185" s="2797"/>
      <c r="I185" s="2972"/>
      <c r="J185" s="2975"/>
      <c r="K185" s="2807"/>
      <c r="L185" s="2817"/>
      <c r="M185" s="2860"/>
      <c r="N185" s="2860"/>
      <c r="O185" s="2860"/>
      <c r="P185" s="2860"/>
      <c r="Q185" s="2860"/>
    </row>
    <row r="186" spans="1:20" ht="15.75">
      <c r="A186" s="2966"/>
      <c r="B186" s="2801"/>
      <c r="C186" s="2809">
        <f>IF(AND(C183&gt;20,C183&lt;=32,C43=5),12,IF(AND(C183&gt;32,C183&lt;=50,C43=5),14,IF(AND(C183&gt;50,C183&lt;=80,C43=5),16,IF(AND(C183&gt;80,C183&lt;=160,C43=5),20,IF(AND(C183&gt;160,C183&lt;=315,C43=5),28,IF(AND(C183&gt;315,C183&lt;=630,C43=5),40,IF(AND(C183&gt;630,C183&lt;=1000,C43=5),50,C187)))))))</f>
        <v>20</v>
      </c>
      <c r="D186" s="2953"/>
      <c r="E186" s="2848"/>
      <c r="F186" s="2803"/>
      <c r="G186" s="2809">
        <f>IF(AND(G183&gt;20,G183&lt;=32,C43=5),12,IF(AND(G183&gt;32,G183&lt;=50,C43=5),14,IF(AND(G183&gt;50,G183&lt;=80,C43=5),16,IF(AND(G183&gt;80,G183&lt;=160,C43=5),20,IF(AND(G183&gt;160,G183&lt;=315,C43=5),28,IF(AND(G183&gt;315,G183&lt;=630,C43=5),40,IF(AND(G183&gt;630,G183&lt;=1000,C43=5),50,G187)))))))</f>
        <v>20</v>
      </c>
      <c r="H186" s="2797"/>
      <c r="I186" s="2972"/>
      <c r="J186" s="2975"/>
      <c r="K186" s="2807"/>
      <c r="L186" s="2817"/>
      <c r="M186" s="2860"/>
      <c r="N186" s="2860"/>
      <c r="O186" s="2860"/>
      <c r="P186" s="2860"/>
      <c r="Q186" s="2860"/>
    </row>
    <row r="187" spans="1:20" ht="15.75">
      <c r="A187" s="2966"/>
      <c r="B187" s="2801"/>
      <c r="C187" s="2809" t="str">
        <f>IF(AND(C183&gt;20,C183&lt;=32,C43=6),20,IF(AND(C183&gt;32,C183&lt;=50,C43=6),22,IF(AND(C183&gt;50,C183&lt;=80,C43=6),25,IF(AND(C183&gt;80,C183&lt;=160,C43=6),32,IF(AND(C183&gt;160,C183&lt;=315,C43=6),45,IF(AND(C183&gt;315,C183&lt;=630,C43=6),63,IF(AND(C183&gt;630,C183&lt;=1000,C43=6),80,C188)))))))</f>
        <v>*</v>
      </c>
      <c r="D187" s="2953"/>
      <c r="E187" s="2848"/>
      <c r="F187" s="2803"/>
      <c r="G187" s="2809" t="str">
        <f>IF(AND(G183&gt;20,G183&lt;=32,C43=6),20,IF(AND(G183&gt;32,G183&lt;=50,C43=6),22,IF(AND(G183&gt;50,G183&lt;=80,C43=6),25,IF(AND(G183&gt;80,G183&lt;=160,C43=6),32,IF(AND(G183&gt;160,G183&lt;=315,C43=6),45,IF(AND(G183&gt;315,G183&lt;=630,C43=6),63,IF(AND(G183&gt;630,G183&lt;=1000,C43=6),80,G188)))))))</f>
        <v>*</v>
      </c>
      <c r="H187" s="2797"/>
      <c r="I187" s="2972"/>
      <c r="J187" s="2975"/>
      <c r="K187" s="2807"/>
      <c r="L187" s="2817"/>
      <c r="M187" s="2860"/>
      <c r="N187" s="2860"/>
      <c r="O187" s="2860"/>
      <c r="P187" s="2860"/>
      <c r="Q187" s="2860"/>
    </row>
    <row r="188" spans="1:20" ht="15.75">
      <c r="A188" s="2966"/>
      <c r="B188" s="2801"/>
      <c r="C188" s="2809" t="str">
        <f>IF(AND(C183&gt;20,C183&lt;=32,C43=7),28,IF(AND(C183&gt;32,C183&lt;=50,C43=7),32,IF(AND(C183&gt;50,C183&lt;=80,C43=7),36,IF(AND(C183&gt;80,C183&lt;=160,C43=7),45,IF(AND(C183&gt;160,C183&lt;=315,C43=7),63,IF(AND(C183&gt;315,C183&lt;=630,C43=7),90,IF(AND(C183&gt;630,C183&lt;=1000,C43=7),112,C189)))))))</f>
        <v>*</v>
      </c>
      <c r="D188" s="2953"/>
      <c r="E188" s="2848"/>
      <c r="F188" s="2803"/>
      <c r="G188" s="2809" t="str">
        <f>IF(AND(G183&gt;20,G183&lt;=32,C43=7),28,IF(AND(G183&gt;32,G183&lt;=50,C43=7),32,IF(AND(G183&gt;50,G183&lt;=80,C43=7),36,IF(AND(G183&gt;80,G183&lt;=160,C43=7),45,IF(AND(G183&gt;160,G183&lt;=315,C43=7),63,IF(AND(G183&gt;315,G183&lt;=630,C43=7),90,IF(AND(G183&gt;630,G183&lt;=1000,C43=7),112,G189)))))))</f>
        <v>*</v>
      </c>
      <c r="H188" s="2797"/>
      <c r="I188" s="2972"/>
      <c r="J188" s="2975"/>
      <c r="K188" s="2807"/>
      <c r="L188" s="2817"/>
      <c r="M188" s="2860"/>
      <c r="N188" s="2860"/>
      <c r="O188" s="2860"/>
      <c r="P188" s="2860"/>
      <c r="Q188" s="2860"/>
    </row>
    <row r="189" spans="1:20" ht="15.75">
      <c r="A189" s="2803"/>
      <c r="B189" s="2801"/>
      <c r="C189" s="2809" t="str">
        <f>IF(AND(C183&gt;20,C183&lt;=32,C43=8),40,IF(AND(C183&gt;32,C183&lt;=50,C43=8),45,IF(AND(C183&gt;50,C183&lt;=80,C43=8),50,IF(AND(C183&gt;80,C183&lt;=160,C43=8),63,IF(AND(C183&gt;160,C183&lt;=315,C43=8),90,IF(AND(C183&gt;315,C183&lt;=630,C43=8),125,IF(AND(C183&gt;630,C183&lt;=1000,C43=8),160,"*")))))))</f>
        <v>*</v>
      </c>
      <c r="D189" s="2953"/>
      <c r="E189" s="2848"/>
      <c r="F189" s="2803"/>
      <c r="G189" s="2809" t="str">
        <f>IF(AND(G183&gt;20,G183&lt;=32,C43=8),40,IF(AND(G183&gt;32,G183&lt;=50,C43=8),45,IF(AND(G183&gt;50,G183&lt;=80,C43=8),50,IF(AND(G183&gt;80,G183&lt;=160,C43=8),63,IF(AND(G183&gt;160,G183&lt;=315,C43=8),90,IF(AND(G183&gt;315,G183&lt;=630,C43=8),125,IF(AND(G183&gt;630,G183&lt;=1000,C43=8),160,"*")))))))</f>
        <v>*</v>
      </c>
      <c r="H189" s="2797"/>
      <c r="I189" s="2972"/>
      <c r="J189" s="2975"/>
      <c r="K189" s="2807"/>
      <c r="L189" s="2817"/>
      <c r="M189" s="2860"/>
      <c r="N189" s="2860"/>
      <c r="O189" s="2860"/>
      <c r="P189" s="2860"/>
      <c r="Q189" s="2860"/>
    </row>
    <row r="190" spans="1:20" ht="15.75">
      <c r="A190" s="2858" t="s">
        <v>3193</v>
      </c>
      <c r="B190" s="2801" t="s">
        <v>3194</v>
      </c>
      <c r="C190" s="2797">
        <f>IF(AND(C111&lt;=125,C19&gt;=1,C19&lt;=3.5,C43=3),6,IF(AND(C111&lt;=125,C19&gt;3.5,C19&lt;=6.3,C43=3),7,IF(AND(C111&lt;=125,C19&gt;6.3,C19&lt;=10,C43=3),8,IF(AND(C111&gt;125,C111&lt;=400,C19&gt;=1,C19&lt;=3.5,C43=3),9,IF(AND(C111&gt;125,C111&lt;=400,C19&gt;3.5,C19&lt;=6.3,C43=3),10,IF(AND(C111&gt;125,C111&lt;=400,C19&gt;6.3,C19&lt;=10,C43=3),11,C191))))))</f>
        <v>16</v>
      </c>
      <c r="D190" s="2953"/>
      <c r="E190" s="2797"/>
      <c r="F190" s="2797" t="s">
        <v>4227</v>
      </c>
      <c r="G190" s="2797">
        <f>IF(AND(G111&lt;=125,G19&gt;=1,G19&lt;=3.5,G43=3),6,IF(AND(G111&lt;=125,G19&gt;3.5,G19&lt;=6.3,G43=3),7,IF(AND(G111&lt;=125,G19&gt;6.3,G19&lt;=10,G43=3),8,IF(AND(G111&gt;125,G111&lt;=400,G19&gt;=1,G19&lt;=3.5,G43=3),9,IF(AND(G111&gt;125,G111&lt;=400,G19&gt;3.5,G19&lt;=6.3,G43=3),10,IF(AND(G111&gt;125,G111&lt;=400,G19&gt;6.3,G19&lt;=10,G43=3),11,G191))))))</f>
        <v>16</v>
      </c>
      <c r="H190" s="2797"/>
      <c r="I190" s="2972"/>
      <c r="J190" s="2975"/>
      <c r="K190" s="2807"/>
      <c r="L190" s="2817"/>
      <c r="M190" s="2860"/>
      <c r="N190" s="2860"/>
      <c r="O190" s="2860"/>
      <c r="P190" s="2860"/>
      <c r="Q190" s="2860"/>
    </row>
    <row r="191" spans="1:20" ht="15.75">
      <c r="A191" s="2803"/>
      <c r="B191" s="2801"/>
      <c r="C191" s="2809">
        <f>IF(AND(C111&gt;400,C111&lt;=800,C19&gt;=1,C19&lt;=3.5,C43=3),11,IF(AND(C111&gt;400,C111&lt;=800,C19&gt;3.5,C19&lt;=6.3,C43=3),13,IF(AND(C111&gt;400,C111&lt;=800,C19&gt;6.3,C19&lt;=10,C43=3),14,IF(AND(C111&gt;800,C111&lt;=1600,C19&gt;=1,C19&lt;=3.5,C43=3),13,IF(AND(C111&gt;800,C111&lt;=1600,C19&gt;3.5,C19&lt;=6.3,C43=3),14,IF(AND(C111&gt;800,C111&lt;=1600,C19&gt;6.3,C19&lt;=10,C43=3),16,C192))))))</f>
        <v>16</v>
      </c>
      <c r="D191" s="2953"/>
      <c r="E191" s="2848"/>
      <c r="F191" s="2803"/>
      <c r="G191" s="2809">
        <f>IF(AND(G111&gt;400,G111&lt;=800,G19&gt;=1,G19&lt;=3.5,G43=3),11,IF(AND(G111&gt;400,G111&lt;=800,G19&gt;3.5,G19&lt;=6.3,G43=3),13,IF(AND(G111&gt;400,G111&lt;=800,G19&gt;6.3,G19&lt;=10,G43=3),14,IF(AND(G111&gt;800,G111&lt;=1600,G19&gt;=1,G19&lt;=3.5,G43=3),13,IF(AND(G111&gt;800,G111&lt;=1600,G19&gt;3.5,G19&lt;=6.3,G43=3),14,IF(AND(G111&gt;800,G111&lt;=1600,G19&gt;6.3,G19&lt;=10,G43=3),16,G192))))))</f>
        <v>16</v>
      </c>
      <c r="H191" s="2797"/>
      <c r="I191" s="2972"/>
      <c r="J191" s="2975"/>
      <c r="K191" s="2807"/>
      <c r="L191" s="2817"/>
      <c r="M191" s="2860"/>
      <c r="N191" s="2860"/>
      <c r="O191" s="2860"/>
      <c r="P191" s="2860"/>
      <c r="Q191" s="2860"/>
    </row>
    <row r="192" spans="1:20" ht="15.75">
      <c r="A192" s="2803"/>
      <c r="B192" s="2801"/>
      <c r="C192" s="2809">
        <f>IF(AND(C111&lt;=125,C19&gt;=1,C19&lt;=3.5,C43=4),10,IF(AND(C111&lt;=125,C19&gt;3.5,C19&lt;=6.3,C43=4),11,IF(AND(C111&lt;=125,C19&gt;6.3,C19&lt;=10,C43=4),13,IF(AND(C111&gt;125,C111&lt;=400,C19&gt;=1,C19&lt;=3.5,C43=4),15,IF(AND(C111&gt;125,C111&lt;=400,C19&gt;3.5,C19&lt;=6.3,C43=4),16,IF(AND(C111&gt;125,C111&lt;=400,C19&gt;6.3,C19&lt;=10,C43=4),18,C193))))))</f>
        <v>16</v>
      </c>
      <c r="D192" s="2953"/>
      <c r="E192" s="2848"/>
      <c r="F192" s="2803"/>
      <c r="G192" s="2809">
        <f>IF(AND(G111&lt;=125,G19&gt;=1,G19&lt;=3.5,G43=4),10,IF(AND(G111&lt;=125,G19&gt;3.5,G19&lt;=6.3,G43=4),11,IF(AND(G111&lt;=125,G19&gt;6.3,G19&lt;=10,G43=4),13,IF(AND(G111&gt;125,G111&lt;=400,G19&gt;=1,G19&lt;=3.5,G43=4),15,IF(AND(G111&gt;125,G111&lt;=400,G19&gt;3.5,G19&lt;=6.3,G43=4),16,IF(AND(G111&gt;125,G111&lt;=400,G19&gt;6.3,G19&lt;=10,G43=4),18,G193))))))</f>
        <v>16</v>
      </c>
      <c r="H192" s="2797"/>
      <c r="I192" s="2972"/>
      <c r="J192" s="2975"/>
      <c r="K192" s="2807"/>
      <c r="L192" s="2817"/>
      <c r="M192" s="2860"/>
      <c r="N192" s="2860"/>
      <c r="O192" s="2860"/>
      <c r="P192" s="2860"/>
      <c r="Q192" s="2860"/>
    </row>
    <row r="193" spans="1:17" ht="15.75">
      <c r="A193" s="2803"/>
      <c r="B193" s="2801"/>
      <c r="C193" s="2809">
        <f>IF(AND(C111&gt;400,C111&lt;=800,C19&gt;=1,C19&lt;=3.5,C43=4),18,IF(AND(C111&gt;400,C111&lt;=800,C19&gt;3.5,C19&lt;=6.3,C43=4),20,IF(AND(C111&gt;400,C111&lt;=800,C19&gt;6.3,C19&lt;=10,C43=4),22,IF(AND(C111&gt;800,C111&lt;=1600,C19&gt;=1,C19&lt;=3.5,C43=4),20,IF(AND(C111&gt;800,C111&lt;=1600,C19&gt;3.5,C19&lt;=6.3,C43=4),22,IF(AND(C111&gt;800,C111&lt;=1600,C19&gt;6.3,C19&lt;=10,C43=4),25,C194))))))</f>
        <v>16</v>
      </c>
      <c r="D193" s="2953"/>
      <c r="E193" s="2848"/>
      <c r="F193" s="2803"/>
      <c r="G193" s="2809">
        <f>IF(AND(G111&gt;400,G111&lt;=800,G19&gt;=1,G19&lt;=3.5,G43=4),18,IF(AND(G111&gt;400,G111&lt;=800,G19&gt;3.5,G19&lt;=6.3,G43=4),20,IF(AND(G111&gt;400,G111&lt;=800,G19&gt;6.3,G19&lt;=10,G43=4),22,IF(AND(G111&gt;800,G111&lt;=1600,G19&gt;=1,G19&lt;=3.5,G43=4),20,IF(AND(G111&gt;800,G111&lt;=1600,G19&gt;3.5,G19&lt;=6.3,G43=4),22,IF(AND(G111&gt;800,G111&lt;=1600,G19&gt;6.3,G19&lt;=10,G43=4),25,G194))))))</f>
        <v>16</v>
      </c>
      <c r="H193" s="2797"/>
      <c r="I193" s="2972"/>
      <c r="J193" s="2975"/>
      <c r="K193" s="2807"/>
      <c r="L193" s="2817"/>
      <c r="M193" s="2860"/>
      <c r="N193" s="2860"/>
      <c r="O193" s="2860"/>
      <c r="P193" s="2860"/>
      <c r="Q193" s="2860"/>
    </row>
    <row r="194" spans="1:17" ht="15.75">
      <c r="A194" s="2803"/>
      <c r="B194" s="2801"/>
      <c r="C194" s="2809">
        <f>IF(AND(C111&lt;=125,C19&gt;=1,C19&lt;=3.5,C43=5),16,IF(AND(C111&lt;=125,C19&gt;3.5,C19&lt;=6.3,C43=5),18,IF(AND(C111&lt;=125,C19&gt;6.3,C19&lt;=10,C43=5),20,IF(AND(C111&gt;125,C111&lt;=400,C19&gt;=1,C19&lt;=3.5,C43=5),22,IF(AND(C111&gt;125,C111&lt;=400,C19&gt;3.5,C19&lt;=6.3,C43=5),25,IF(AND(C111&gt;125,C111&lt;=400,C19&gt;6.3,C19&lt;=10,C43=5),28,C195))))))</f>
        <v>16</v>
      </c>
      <c r="D194" s="2953"/>
      <c r="E194" s="2848"/>
      <c r="F194" s="2803"/>
      <c r="G194" s="2809">
        <f>IF(AND(G111&lt;=125,G19&gt;=1,G19&lt;=3.5,G43=5),16,IF(AND(G111&lt;=125,G19&gt;3.5,G19&lt;=6.3,G43=5),18,IF(AND(G111&lt;=125,G19&gt;6.3,G19&lt;=10,G43=5),20,IF(AND(G111&gt;125,G111&lt;=400,G19&gt;=1,G19&lt;=3.5,G43=5),22,IF(AND(G111&gt;125,G111&lt;=400,G19&gt;3.5,G19&lt;=6.3,G43=5),25,IF(AND(G111&gt;125,G111&lt;=400,G19&gt;6.3,G19&lt;=10,G43=5),28,G195))))))</f>
        <v>16</v>
      </c>
      <c r="H194" s="2797"/>
      <c r="I194" s="2972"/>
      <c r="J194" s="2975"/>
      <c r="K194" s="2807"/>
      <c r="L194" s="2817"/>
      <c r="M194" s="2860"/>
      <c r="N194" s="2860"/>
      <c r="O194" s="2860"/>
      <c r="P194" s="2860"/>
      <c r="Q194" s="2860"/>
    </row>
    <row r="195" spans="1:17" ht="15.75">
      <c r="A195" s="2803"/>
      <c r="B195" s="2801"/>
      <c r="C195" s="2809" t="str">
        <f>IF(AND(C111&gt;400,C111&lt;=800,C19&gt;=1,C19&lt;=3.5,C43=5),28,IF(AND(C111&gt;400,C111&lt;=800,C19&gt;3.5,C19&lt;=6.3,C43=5),32,IF(AND(C111&gt;400,C111&lt;=800,C19&gt;6.3,C19&lt;=10,C43=5),36,IF(AND(C111&gt;800,C111&lt;=1600,C19&gt;=1,C19&lt;=3.5,C43=5),32,IF(AND(C111&gt;800,C111&lt;=1600,C19&gt;3.5,C19&lt;=6.3,C43=5),36,IF(AND(C111&gt;800,C111&lt;=1600,C19&gt;6.5,C19&lt;=10,C43=5),40,C196))))))</f>
        <v>*</v>
      </c>
      <c r="D195" s="2953"/>
      <c r="E195" s="2848"/>
      <c r="F195" s="2803"/>
      <c r="G195" s="2809" t="str">
        <f>IF(AND(G111&gt;400,G111&lt;=800,G19&gt;=1,G19&lt;=3.5,G43=5),28,IF(AND(G111&gt;400,G111&lt;=800,G19&gt;3.5,G19&lt;=6.3,G43=5),32,IF(AND(G111&gt;400,G111&lt;=800,G19&gt;6.3,G19&lt;=10,G43=5),36,IF(AND(G111&gt;800,G111&lt;=1600,G19&gt;=1,G19&lt;=3.5,G43=5),32,IF(AND(G111&gt;800,G111&lt;=1600,G19&gt;3.5,G19&lt;=6.3,G43=5),36,IF(AND(G111&gt;800,G111&lt;=1600,G19&gt;6.5,G19&lt;=10,G43=5),40,G196))))))</f>
        <v>*</v>
      </c>
      <c r="H195" s="2797"/>
      <c r="I195" s="2972"/>
      <c r="J195" s="2975"/>
      <c r="K195" s="2807"/>
      <c r="L195" s="2817"/>
      <c r="M195" s="2860"/>
      <c r="N195" s="2860"/>
      <c r="O195" s="2860"/>
      <c r="P195" s="2860"/>
      <c r="Q195" s="2860"/>
    </row>
    <row r="196" spans="1:17" ht="15.75">
      <c r="A196" s="2803"/>
      <c r="B196" s="2801"/>
      <c r="C196" s="2809" t="str">
        <f>IF(AND(C111&lt;=125,C19&gt;=1,C19&lt;=3.5,C43=6),25,IF(AND(C111&lt;=125,C19&gt;3.5,C19&lt;=6.3,C43=6),28,IF(AND(C111&lt;=125,C19&gt;6.3,C19&lt;=10,C43=6),32,IF(AND(C111&gt;125,C111&lt;=400,C19&gt;=1,C19&lt;=3.5,C43=6),36,IF(AND(C111&gt;125,C111&lt;=400,C19&gt;3.5,C19&lt;=6.3,C43=6),40,IF(AND(C111&gt;125,C111&lt;=400,C19&gt;6.3,C19&lt;=10,C43=6),45,C197))))))</f>
        <v>*</v>
      </c>
      <c r="D196" s="2953"/>
      <c r="E196" s="2848"/>
      <c r="F196" s="2803"/>
      <c r="G196" s="2809" t="str">
        <f>IF(AND(G111&lt;=125,G19&gt;=1,G19&lt;=3.5,G43=6),25,IF(AND(G111&lt;=125,G19&gt;3.5,G19&lt;=6.3,G43=6),28,IF(AND(G111&lt;=125,G19&gt;6.3,G19&lt;=10,G43=6),32,IF(AND(G111&gt;125,G111&lt;=400,G19&gt;=1,G19&lt;=3.5,G43=6),36,IF(AND(G111&gt;125,G111&lt;=400,G19&gt;3.5,G19&lt;=6.3,G43=6),40,IF(AND(G111&gt;125,G111&lt;=400,G19&gt;6.3,G19&lt;=10,G43=6),45,G197))))))</f>
        <v>*</v>
      </c>
      <c r="H196" s="2797"/>
      <c r="I196" s="2972"/>
      <c r="J196" s="2975"/>
      <c r="K196" s="2807"/>
      <c r="L196" s="2817"/>
      <c r="M196" s="2860"/>
      <c r="N196" s="2860"/>
      <c r="O196" s="2860"/>
      <c r="P196" s="2860"/>
      <c r="Q196" s="2860"/>
    </row>
    <row r="197" spans="1:17" ht="15.75">
      <c r="A197" s="2803"/>
      <c r="B197" s="2801"/>
      <c r="C197" s="2809" t="str">
        <f>IF(AND(C111&gt;400,C111&lt;=800,C19&gt;=1,C19&lt;=3.5,C43=6),45,IF(AND(C111&gt;400,C111&lt;=800,C19&gt;3.5,C19&lt;=6.3,C43=6),50,IF(AND(C111&gt;400,C111&lt;=800,C19&gt;6.3,C19&lt;=10,C43=6),56,IF(AND(C111&gt;800,C111&lt;=1600,C19&gt;=1,C19&lt;=3.5,C43=6),50,IF(AND(C111&gt;800,C111&lt;=1600,C19&gt;3.5,C19&lt;=6.3,C43=6),56,IF(AND(C111&gt;800,C111&lt;=1600,C19&gt;6.3,C19&lt;=10,C43=6),63,C198))))))</f>
        <v>*</v>
      </c>
      <c r="D197" s="2953"/>
      <c r="E197" s="2848"/>
      <c r="F197" s="2803"/>
      <c r="G197" s="2809" t="str">
        <f>IF(AND(G111&gt;400,G111&lt;=800,G19&gt;=1,G19&lt;=3.5,G43=6),45,IF(AND(G111&gt;400,G111&lt;=800,G19&gt;3.5,G19&lt;=6.3,G43=6),50,IF(AND(G111&gt;400,G111&lt;=800,G19&gt;6.3,G19&lt;=10,G43=6),56,IF(AND(G111&gt;800,G111&lt;=1600,G19&gt;=1,G19&lt;=3.5,G43=6),50,IF(AND(G111&gt;800,G111&lt;=1600,G19&gt;3.5,G19&lt;=6.3,G43=6),56,IF(AND(G111&gt;800,G111&lt;=1600,G19&gt;6.3,G19&lt;=10,G43=6),63,G198))))))</f>
        <v>*</v>
      </c>
      <c r="H197" s="2797"/>
      <c r="I197" s="2972"/>
      <c r="J197" s="2975"/>
      <c r="K197" s="2807"/>
      <c r="L197" s="2817"/>
      <c r="M197" s="2860"/>
      <c r="N197" s="2860"/>
      <c r="O197" s="2860"/>
      <c r="P197" s="2860"/>
      <c r="Q197" s="2860"/>
    </row>
    <row r="198" spans="1:17" ht="15.75">
      <c r="A198" s="2803"/>
      <c r="B198" s="2801"/>
      <c r="C198" s="2809" t="str">
        <f>IF(AND(C111&lt;=125,C19&gt;=1,C19&lt;=3.5,C43=7),36,IF(AND(C111&lt;=125,C19&gt;3.5,C19&lt;=6.3,C43=7),40,IF(AND(C111&lt;=125,C19&gt;6.3,C19&lt;=10,C43=7),45,IF(AND(C111&gt;125,C111&lt;=400,C19&gt;=1,C19&lt;=3.5,C43=7),50,IF(AND(C111&gt;125,C111&lt;=400,C19&gt;3.5,C19&lt;=6.3,C43=7),56,IF(AND(C111&gt;125,C111&lt;=400,C19&gt;6.3,C19&lt;=10,C43=7),63,C199))))))</f>
        <v>*</v>
      </c>
      <c r="D198" s="2953"/>
      <c r="E198" s="2848"/>
      <c r="F198" s="2803"/>
      <c r="G198" s="2809" t="str">
        <f>IF(AND(G111&lt;=125,G19&gt;=1,G19&lt;=3.5,G43=7),36,IF(AND(G111&lt;=125,G19&gt;3.5,G19&lt;=6.3,G43=7),40,IF(AND(G111&lt;=125,G19&gt;6.3,G19&lt;=10,G43=7),45,IF(AND(G111&gt;125,G111&lt;=400,G19&gt;=1,G19&lt;=3.5,G43=7),50,IF(AND(G111&gt;125,G111&lt;=400,G19&gt;3.5,G19&lt;=6.3,G43=7),56,IF(AND(G111&gt;125,G111&lt;=400,G19&gt;6.3,G19&lt;=10,G43=7),63,G199))))))</f>
        <v>*</v>
      </c>
      <c r="H198" s="2797"/>
      <c r="I198" s="2972"/>
      <c r="J198" s="2975"/>
      <c r="K198" s="2807"/>
      <c r="L198" s="2817"/>
      <c r="M198" s="2860"/>
      <c r="N198" s="2860"/>
      <c r="O198" s="2860"/>
      <c r="P198" s="2860"/>
      <c r="Q198" s="2860"/>
    </row>
    <row r="199" spans="1:17" ht="15.75">
      <c r="A199" s="2803"/>
      <c r="B199" s="2801"/>
      <c r="C199" s="2809" t="str">
        <f>IF(AND(C111&gt;400,C111&lt;=800,C19&gt;=1,C19&lt;=3.5,C43=7),63,IF(AND(C111&gt;400,C111&lt;=800,C19&gt;3.5,C19&lt;=6.3,C43=7),71,IF(AND(C111&gt;400,C111&lt;=800,C19&gt;6.3,C19&lt;=10,C43=7),80,IF(AND(C111&gt;800,C111&lt;=1600,C19&gt;=1,C19&lt;=3.5,C43=7),71,IF(AND(C111&gt;800,C111&lt;=1600,C19&gt;3.5,C19&lt;=6.3,C43=7),80,IF(AND(C111&gt;800,C111&lt;=1600,C19&gt;6.3,C19&lt;=10,C43=7),90,C200))))))</f>
        <v>*</v>
      </c>
      <c r="D199" s="2953"/>
      <c r="E199" s="2848"/>
      <c r="F199" s="2803"/>
      <c r="G199" s="2809" t="str">
        <f>IF(AND(G111&gt;400,G111&lt;=800,G19&gt;=1,G19&lt;=3.5,G43=7),63,IF(AND(G111&gt;400,G111&lt;=800,G19&gt;3.5,G19&lt;=6.3,G43=7),71,IF(AND(G111&gt;400,G111&lt;=800,G19&gt;6.3,G19&lt;=10,G43=7),80,IF(AND(G111&gt;800,G111&lt;=1600,G19&gt;=1,G19&lt;=3.5,G43=7),71,IF(AND(G111&gt;800,G111&lt;=1600,G19&gt;3.5,G19&lt;=6.3,G43=7),80,IF(AND(G111&gt;800,G111&lt;=1600,G19&gt;6.3,G19&lt;=10,G43=7),90,G200))))))</f>
        <v>*</v>
      </c>
      <c r="H199" s="2797"/>
      <c r="I199" s="2972"/>
      <c r="J199" s="2975"/>
      <c r="K199" s="2807"/>
      <c r="L199" s="2817"/>
      <c r="M199" s="2860"/>
      <c r="N199" s="2860"/>
      <c r="O199" s="2860"/>
      <c r="P199" s="2860"/>
      <c r="Q199" s="2860"/>
    </row>
    <row r="200" spans="1:17" ht="15.75">
      <c r="A200" s="2803"/>
      <c r="B200" s="2801"/>
      <c r="C200" s="2809" t="str">
        <f>IF(AND(C111&lt;=125,C19&gt;=1,C19&lt;=3.5,C43=8),45,IF(AND(C111&lt;=125,C19&gt;3.5,C19&lt;=6.3,C43=8),50,IF(AND(C111&lt;=125,C19&gt;6.3,C19&lt;=10,C43=8),56,IF(AND(C111&gt;125,C111&lt;=400,C19&gt;=1,C19&lt;=3.5,C43=8),63,IF(AND(C111&gt;125,C111&lt;=400,C19&gt;3.5,C19&lt;=6.3,C43=8),71,IF(AND(C111&gt;125,C111&lt;=400,C19&gt;6.3,C19&lt;=10,C43=8),80,C201))))))</f>
        <v>*</v>
      </c>
      <c r="D200" s="2953"/>
      <c r="E200" s="2848"/>
      <c r="F200" s="2803"/>
      <c r="G200" s="2809" t="str">
        <f>IF(AND(G111&lt;=125,G19&gt;=1,G19&lt;=3.5,G43=8),45,IF(AND(G111&lt;=125,G19&gt;3.5,G19&lt;=6.3,G43=8),50,IF(AND(G111&lt;=125,G19&gt;6.3,G19&lt;=10,G43=8),56,IF(AND(G111&gt;125,G111&lt;=400,G19&gt;=1,G19&lt;=3.5,G43=8),63,IF(AND(G111&gt;125,G111&lt;=400,G19&gt;3.5,G19&lt;=6.3,G43=8),71,IF(AND(G111&gt;125,G111&lt;=400,G19&gt;6.3,G19&lt;=10,G43=8),80,G201))))))</f>
        <v>*</v>
      </c>
      <c r="H200" s="2797"/>
      <c r="I200" s="2972"/>
      <c r="J200" s="2975"/>
      <c r="K200" s="2807"/>
      <c r="L200" s="2817"/>
      <c r="M200" s="2860"/>
      <c r="N200" s="2860"/>
      <c r="O200" s="2860"/>
      <c r="P200" s="2860"/>
      <c r="Q200" s="2860"/>
    </row>
    <row r="201" spans="1:17" ht="15.75">
      <c r="A201" s="2803"/>
      <c r="B201" s="2801"/>
      <c r="C201" s="2809" t="str">
        <f>IF(AND(C111&gt;400,C111&lt;=800,C19&gt;=1,C19&lt;=3.5,C43=8),80,IF(AND(C111&gt;400,C111&lt;=800,C19&gt;3.5,C19&lt;=6.3,C43=8),90,IF(AND(C111&gt;400,C111&lt;=800,C19&gt;6.3,C19&lt;=10,C43=8),100,IF(AND(C111&gt;800,C111&lt;=1600,C19&gt;=1,C19&lt;=3.5,C43=8),90,IF(AND(C111&gt;800,C111&lt;=1600,C19&gt;3.5,C19&lt;=6.3,C43=8),100,IF(AND(C111&gt;800,C111&lt;=1600,C19&gt;6.3,C19&lt;=10,C43=8),112,"*"))))))</f>
        <v>*</v>
      </c>
      <c r="D201" s="2953"/>
      <c r="E201" s="2848"/>
      <c r="F201" s="2803"/>
      <c r="G201" s="2809" t="str">
        <f>IF(AND(G111&gt;400,G111&lt;=800,G19&gt;=1,G19&lt;=3.5,G43=8),80,IF(AND(G111&gt;400,G111&lt;=800,G19&gt;3.5,G19&lt;=6.3,G43=8),90,IF(AND(G111&gt;400,G111&lt;=800,G19&gt;6.3,G19&lt;=10,G43=8),100,IF(AND(G111&gt;800,G111&lt;=1600,G19&gt;=1,G19&lt;=3.5,G43=8),90,IF(AND(G111&gt;800,G111&lt;=1600,G19&gt;3.5,G19&lt;=6.3,G43=8),100,IF(AND(G111&gt;800,G111&lt;=1600,G19&gt;6.3,G19&lt;=10,G43=8),112,"*"))))))</f>
        <v>*</v>
      </c>
      <c r="H201" s="2797"/>
      <c r="I201" s="2972"/>
      <c r="J201" s="2975"/>
      <c r="K201" s="2807"/>
      <c r="L201" s="2817"/>
      <c r="M201" s="2860"/>
      <c r="N201" s="2860"/>
      <c r="O201" s="2860"/>
      <c r="P201" s="2860"/>
      <c r="Q201" s="2860"/>
    </row>
    <row r="202" spans="1:17" ht="15.75">
      <c r="A202" s="2857" t="s">
        <v>3196</v>
      </c>
      <c r="B202" s="2801" t="s">
        <v>3197</v>
      </c>
      <c r="C202" s="2797">
        <f>IF(AND(C111&lt;=125,C43=3),5,IF(AND(C111&lt;=125,C43=4),8,IF(AND(C111&lt;=125,C43=5),12,IF(AND(C111&lt;=125,C43=6),20,IF(AND(C111&lt;=125,C43=7),28,IF(AND(C111&lt;=125,C43=8),40,C203))))))</f>
        <v>12</v>
      </c>
      <c r="D202" s="2953"/>
      <c r="E202" s="2848"/>
      <c r="F202" s="2803" t="s">
        <v>3198</v>
      </c>
      <c r="G202" s="2797">
        <f>IF(AND(G111&lt;=125,G43=3),5,IF(AND(G111&lt;=125,G43=4),8,IF(AND(G111&lt;=125,G43=5),12,IF(AND(G111&lt;=125,G43=6),20,IF(AND(G111&lt;=125,G43=7),28,IF(AND(G111&lt;=125,G43=8),40,G203))))))</f>
        <v>12</v>
      </c>
      <c r="H202" s="2797"/>
      <c r="I202" s="2972"/>
      <c r="J202" s="2975"/>
      <c r="K202" s="2807"/>
      <c r="L202" s="2817"/>
      <c r="M202" s="2860"/>
      <c r="N202" s="2860"/>
      <c r="O202" s="2860"/>
      <c r="P202" s="2860"/>
      <c r="Q202" s="2860"/>
    </row>
    <row r="203" spans="1:17" ht="15.75">
      <c r="A203" s="2803"/>
      <c r="B203" s="2801"/>
      <c r="C203" s="2809" t="str">
        <f>IF(AND(C111&gt;125,C111&lt;=400,C43=3),6.5,IF(AND(C111&gt;125,C111&lt;=400,C43=4),10,IF(AND(C111&gt;125,C111&lt;=400,C43=5),16,IF(AND(C111&gt;125,C111&lt;=400,C43=6),25,IF(AND(C111&gt;125,C111&lt;=400,C43=7),36,IF(AND(C111&gt;125,C111&lt;=400,C43=8),50,C204))))))</f>
        <v>*</v>
      </c>
      <c r="D203" s="2953"/>
      <c r="E203" s="2848"/>
      <c r="F203" s="2803"/>
      <c r="G203" s="2809" t="str">
        <f>IF(AND(G111&gt;125,G111&lt;=400,G43=3),6.5,IF(AND(G111&gt;125,G111&lt;=400,G43=4),10,IF(AND(G111&gt;125,G111&lt;=400,G43=5),16,IF(AND(G111&gt;125,G111&lt;=400,G43=6),25,IF(AND(G111&gt;125,G111&lt;=400,G43=7),36,IF(AND(G111&gt;125,G111&lt;=400,G43=8),50,G204))))))</f>
        <v>*</v>
      </c>
      <c r="H203" s="2797"/>
      <c r="I203" s="2972"/>
      <c r="J203" s="2975"/>
      <c r="K203" s="2807"/>
      <c r="L203" s="2817"/>
      <c r="M203" s="2860"/>
      <c r="N203" s="2860"/>
      <c r="O203" s="2860"/>
      <c r="P203" s="2860"/>
      <c r="Q203" s="2860"/>
    </row>
    <row r="204" spans="1:17" ht="15.75">
      <c r="A204" s="2803"/>
      <c r="B204" s="2801"/>
      <c r="C204" s="2809" t="str">
        <f>IF(AND(C111&gt;400,C111&lt;=800,C43=3),8,IF(AND(C111&gt;400,C111&lt;=800,C43=4),12,IF(AND(C111&gt;400,C111&lt;=800,C43=5),20,IF(AND(C111&gt;400,C111&lt;=800,C43=6),32,IF(AND(C111&gt;400,C111&lt;=800,C43=7),45,IF(AND(C111&gt;400,C111&lt;=800,C43=8),63,C205))))))</f>
        <v>*</v>
      </c>
      <c r="D204" s="2953"/>
      <c r="E204" s="2848"/>
      <c r="F204" s="2803"/>
      <c r="G204" s="2809" t="str">
        <f>IF(AND(G111&gt;400,G111&lt;=800,G43=3),8,IF(AND(G111&gt;400,G111&lt;=800,G43=4),12,IF(AND(G111&gt;400,G111&lt;=800,G43=5),20,IF(AND(G111&gt;400,G111&lt;=800,G43=6),32,IF(AND(G111&gt;400,G111&lt;=800,G43=7),45,IF(AND(G111&gt;400,G111&lt;=800,G43=8),63,G205))))))</f>
        <v>*</v>
      </c>
      <c r="H204" s="2797"/>
      <c r="I204" s="2972"/>
      <c r="J204" s="2975"/>
      <c r="K204" s="2807"/>
      <c r="L204" s="2817"/>
      <c r="M204" s="2860"/>
      <c r="N204" s="2860"/>
      <c r="O204" s="2860"/>
      <c r="P204" s="2860"/>
      <c r="Q204" s="2860"/>
    </row>
    <row r="205" spans="1:17" ht="15.75">
      <c r="A205" s="2803"/>
      <c r="B205" s="2801"/>
      <c r="C205" s="2809" t="str">
        <f>IF(AND(C111&gt;800,C111&lt;=1600,C43=3),10,IF(AND(C111&gt;800,C111&lt;=1600,C43=4),16,IF(AND(C111&gt;800,C111&lt;=1600,C43=5),25,IF(AND(C111&gt;800,C111&lt;=1600,C43=6),40,IF(AND(C111&gt;800,C111&lt;=1600,C43=7),56,IF(AND(C111&gt;800,C111&lt;=1600,C43=8),80,"*"))))))</f>
        <v>*</v>
      </c>
      <c r="D205" s="2953"/>
      <c r="E205" s="2848"/>
      <c r="F205" s="2803"/>
      <c r="G205" s="2809" t="str">
        <f>IF(AND(G111&gt;800,G111&lt;=1600,G43=3),10,IF(AND(G111&gt;800,G111&lt;=1600,G43=4),16,IF(AND(G111&gt;800,G111&lt;=1600,G43=5),25,IF(AND(G111&gt;800,G111&lt;=1600,G43=6),40,IF(AND(G111&gt;800,G111&lt;=1600,G43=7),56,IF(AND(G111&gt;800,G111&lt;=1600,G43=8),80,"*"))))))</f>
        <v>*</v>
      </c>
      <c r="H205" s="2797"/>
      <c r="I205" s="2972"/>
      <c r="J205" s="2975"/>
      <c r="K205" s="2807"/>
      <c r="L205" s="2817"/>
      <c r="M205" s="2860"/>
      <c r="N205" s="2860"/>
      <c r="O205" s="2860"/>
      <c r="P205" s="2860"/>
      <c r="Q205" s="2860"/>
    </row>
    <row r="206" spans="1:17" ht="15.75">
      <c r="A206" s="2803" t="s">
        <v>3199</v>
      </c>
      <c r="B206" s="2855" t="s">
        <v>3200</v>
      </c>
      <c r="C206" s="2797">
        <f>IF(AND(C111&lt;=125,C19&gt;=1,C19&lt;=3.5,C45=3),2.5,IF(AND(C111&lt;=125,C19&gt;3.5,C19&lt;=6.3,C45=3),3.2,IF(AND(C111&lt;=125,C19&gt;6.3,C19&lt;=10,C45=3),3.6,IF(AND(C111&gt;125,C111&lt;=400,C19&gt;=1,C19&lt;=3.5,C45=3),2.8,IF(AND(C111&gt;125,C111&lt;=400,C19&gt;3.5,C19&lt;=6.3,C45=3),3.6,IF(AND(C111&gt;125,C111&lt;=400,C19&gt;6.3,C19&lt;=10,C45=3),4,C207))))))</f>
        <v>6</v>
      </c>
      <c r="D206" s="2953"/>
      <c r="E206" s="2797"/>
      <c r="F206" s="2855" t="s">
        <v>4228</v>
      </c>
      <c r="G206" s="2797">
        <f>IF(AND(G111&lt;=125,G19&gt;=1,G19&lt;=3.5,G45=3),2.5,IF(AND(G111&lt;=125,G19&gt;3.5,G19&lt;=6.3,G45=3),3.2,IF(AND(G111&lt;=125,G19&gt;6.3,G19&lt;=10,G45=3),3.6,IF(AND(G111&gt;125,G111&lt;=400,G19&gt;=1,G19&lt;=3.5,G45=3),2.8,IF(AND(G111&gt;125,G111&lt;=400,G19&gt;3.5,G19&lt;=6.3,G45=3),3.6,IF(AND(G111&gt;125,G111&lt;=400,G19&gt;6.3,G19&lt;=10,G45=3),4,G207))))))</f>
        <v>6</v>
      </c>
      <c r="H206" s="2797"/>
      <c r="I206" s="2972"/>
      <c r="J206" s="2975"/>
      <c r="K206" s="2807"/>
      <c r="L206" s="2817"/>
      <c r="M206" s="2860"/>
      <c r="N206" s="2860"/>
      <c r="O206" s="2860"/>
      <c r="P206" s="2860"/>
      <c r="Q206" s="2860"/>
    </row>
    <row r="207" spans="1:17" ht="15.75">
      <c r="A207" s="2803"/>
      <c r="B207" s="2855"/>
      <c r="C207" s="2809">
        <f>IF(AND(C111&gt;400,C111&lt;=800,C19&gt;=1,C19&lt;=3.5,C45=3),3.2,IF(AND(C111&gt;400,C111&lt;=800,C19&gt;3.5,C19&lt;=6.3,C45=3),3.6,IF(AND(C111&gt;400,C111&lt;=800,C19&gt;6.3,C19&lt;=10,C45=3),4.5,IF(AND(C111&gt;800,C111&lt;=1600,C19&gt;=1,C19&lt;=3.5,C45=3),3.6,IF(AND(C111&gt;800,C111&lt;=1600,C19&gt;3.5,C19&lt;=6.3,C45=3),4,IF(AND(C111&gt;800,C111&lt;=1600,C19&gt;6.3,C19&lt;=10,C45=3),4.5,C208))))))</f>
        <v>6</v>
      </c>
      <c r="D207" s="2967"/>
      <c r="E207" s="2809"/>
      <c r="F207" s="2844"/>
      <c r="G207" s="2809">
        <f>IF(AND(G111&gt;400,G111&lt;=800,G19&gt;=1,G19&lt;=3.5,G45=3),3.2,IF(AND(G111&gt;400,G111&lt;=800,G19&gt;3.5,G19&lt;=6.3,G45=3),3.6,IF(AND(G111&gt;400,G111&lt;=800,G19&gt;6.3,G19&lt;=10,G45=3),4.5,IF(AND(G111&gt;800,G111&lt;=1600,G19&gt;=1,G19&lt;=3.5,G45=3),3.6,IF(AND(G111&gt;800,G111&lt;=1600,G19&gt;3.5,G19&lt;=6.3,G45=3),4,IF(AND(G111&gt;800,G111&lt;=1600,G19&gt;6.3,G19&lt;=10,G45=3),4.5,G208))))))</f>
        <v>6</v>
      </c>
      <c r="H207" s="2797"/>
      <c r="I207" s="2972"/>
      <c r="J207" s="2975"/>
      <c r="K207" s="2807"/>
      <c r="L207" s="2817"/>
      <c r="M207" s="2860"/>
      <c r="N207" s="2860"/>
      <c r="O207" s="2860"/>
      <c r="P207" s="2860"/>
      <c r="Q207" s="2860"/>
    </row>
    <row r="208" spans="1:17" ht="15.75">
      <c r="A208" s="2803"/>
      <c r="B208" s="2855"/>
      <c r="C208" s="2809">
        <f>IF(AND(C111&lt;=125,C19&gt;=1,C19&lt;=3.5,C45=4),4,IF(AND(C111&lt;=125,C19&gt;3.5,C19&lt;=6.3,C45=4),5,IF(AND(C111&lt;=125,C19&gt;6.3,C19&lt;=10,C45=4),5.5,IF(AND(C111&gt;125,C111&lt;=400,C19&gt;=1,C19&lt;=3.5,C45=4),4.5,IF(AND(C111&gt;125,C111&lt;=400,C19&gt;3.5,C19&lt;=6.3,C45=4),5.5,IF(AND(C111&gt;125,C111&lt;=400,C19&gt;6.3,C19&lt;=10,C45=4),6,C209))))))</f>
        <v>6</v>
      </c>
      <c r="D208" s="2967"/>
      <c r="E208" s="2809"/>
      <c r="F208" s="2844"/>
      <c r="G208" s="2809">
        <f>IF(AND(G111&lt;=125,G19&gt;=1,G19&lt;=3.5,G45=4),4,IF(AND(G111&lt;=125,G19&gt;3.5,G19&lt;=6.3,G45=4),5,IF(AND(G111&lt;=125,G19&gt;6.3,G19&lt;=10,G45=4),5.5,IF(AND(G111&gt;125,G111&lt;=400,G19&gt;=1,G19&lt;=3.5,G45=4),4.5,IF(AND(G111&gt;125,G111&lt;=400,G19&gt;3.5,G19&lt;=6.3,G45=4),5.5,IF(AND(G111&gt;125,G111&lt;=400,G19&gt;6.3,G19&lt;=10,G45=4),6,G209))))))</f>
        <v>6</v>
      </c>
      <c r="H208" s="2797"/>
      <c r="I208" s="2972"/>
      <c r="J208" s="2975"/>
      <c r="K208" s="2807"/>
      <c r="L208" s="2817"/>
      <c r="M208" s="2860"/>
      <c r="N208" s="2860"/>
      <c r="O208" s="2860"/>
      <c r="P208" s="2860"/>
      <c r="Q208" s="2860"/>
    </row>
    <row r="209" spans="1:17" ht="15.75">
      <c r="A209" s="2803"/>
      <c r="B209" s="2855"/>
      <c r="C209" s="2809">
        <f>IF(AND(C111&gt;400,C111&lt;=800,C19&gt;=1,C19&lt;=3.5,C45=4),5,IF(AND(C111&gt;400,C111&lt;=800,C19&gt;3.5,C19&lt;=6.3,C45=4),5.5,IF(AND(C111&gt;400,C111&lt;=800,C19&gt;6.3,C19&lt;=10,C45=4),7,IF(AND(C111&gt;800,C111&lt;=1600,C19&gt;=1,C19&lt;=3.5,C45=4),5.5,IF(AND(C111&gt;800,C111&lt;=1600,C19&gt;3.5,C19&lt;=6.3,C45=4),6,IF(AND(C111&gt;800,C111&lt;=1600,C19&gt;6.3,C19&lt;=10,C45=4),7,C210))))))</f>
        <v>6</v>
      </c>
      <c r="D209" s="2967"/>
      <c r="E209" s="2809"/>
      <c r="F209" s="2844"/>
      <c r="G209" s="2809">
        <f>IF(AND(G111&gt;400,G111&lt;=800,G19&gt;=1,G19&lt;=3.5,G45=4),5,IF(AND(G111&gt;400,G111&lt;=800,G19&gt;3.5,G19&lt;=6.3,G45=4),5.5,IF(AND(G111&gt;400,G111&lt;=800,G19&gt;6.3,G19&lt;=10,G45=4),7,IF(AND(G111&gt;800,G111&lt;=1600,G19&gt;=1,G19&lt;=3.5,G45=4),5.5,IF(AND(G111&gt;800,G111&lt;=1600,G19&gt;3.5,G19&lt;=6.3,G45=4),6,IF(AND(G111&gt;800,G111&lt;=1600,G19&gt;6.3,G19&lt;=10,G45=4),7,G210))))))</f>
        <v>6</v>
      </c>
      <c r="H209" s="2797"/>
      <c r="I209" s="2972"/>
      <c r="J209" s="2975"/>
      <c r="K209" s="2807"/>
      <c r="L209" s="2817"/>
      <c r="M209" s="2860"/>
      <c r="N209" s="2860"/>
      <c r="O209" s="2860"/>
      <c r="P209" s="2860"/>
      <c r="Q209" s="2860"/>
    </row>
    <row r="210" spans="1:17" ht="15.75">
      <c r="A210" s="2803"/>
      <c r="B210" s="2801"/>
      <c r="C210" s="2809">
        <f>IF(AND(C111&lt;=125,C19&gt;=1,C19&lt;=3.5,C45=5),6,IF(AND(C111&lt;=125,C19&gt;3.5,C19&lt;=6.3,C45=5),8,IF(AND(C111&lt;=125,C19&gt;6.3,C19&lt;=10,C45=5),9,IF(AND(C111&gt;125,C111&lt;=400,C19&gt;=1,C19&lt;=3.5,C45=5),7,IF(AND(C111&gt;125,C111&lt;=400,C19&gt;3.5,C19&lt;=6.3,C45=5),9,IF(AND(C111&gt;125,C111&lt;=400,C19&gt;6.3,C19&lt;=10,C45=5),10,C211))))))</f>
        <v>6</v>
      </c>
      <c r="D210" s="2953"/>
      <c r="E210" s="2848"/>
      <c r="F210" s="2803"/>
      <c r="G210" s="2809">
        <f>IF(AND(G111&lt;=125,G19&gt;=1,G19&lt;=3.5,G45=5),6,IF(AND(G111&lt;=125,G19&gt;3.5,G19&lt;=6.3,G45=5),8,IF(AND(G111&lt;=125,G19&gt;6.3,G19&lt;=10,G45=5),9,IF(AND(G111&gt;125,G111&lt;=400,G19&gt;=1,G19&lt;=3.5,G45=5),7,IF(AND(G111&gt;125,G111&lt;=400,G19&gt;3.5,G19&lt;=6.3,G45=5),9,IF(AND(G111&gt;125,G111&lt;=400,G19&gt;6.3,G19&lt;=10,G45=5),10,G211))))))</f>
        <v>6</v>
      </c>
      <c r="H210" s="2797"/>
      <c r="I210" s="2972"/>
      <c r="J210" s="2975"/>
      <c r="K210" s="2807"/>
      <c r="L210" s="2817"/>
      <c r="M210" s="2860"/>
      <c r="N210" s="2860"/>
      <c r="O210" s="2860"/>
      <c r="P210" s="2860"/>
      <c r="Q210" s="2860"/>
    </row>
    <row r="211" spans="1:17" ht="15.75">
      <c r="A211" s="2803"/>
      <c r="B211" s="2855"/>
      <c r="C211" s="2809" t="str">
        <f>IF(AND(C111&gt;400,C111&lt;=800,C19&gt;=1,C19&lt;=3.5,C45=5),8,IF(AND(C111&gt;400,C111&lt;=800,C19&gt;3.5,C19&lt;=6.3,C45=5),9,IF(AND(C111&gt;400,C111&lt;=800,C19&gt;6.3,C19&lt;=10,C45=5),11,IF(AND(C111&gt;800,C111&lt;=1600,C19&gt;=1,C19&lt;=3.5,C45=5),9,IF(AND(C111&gt;800,C111&lt;=1600,C19&gt;3.5,C19&lt;=6.3,C45=5),10,IF(AND(C111&gt;800,C111&lt;=1600,C19&gt;6.3,C19&lt;=10,C45=5),11,C212))))))</f>
        <v>*</v>
      </c>
      <c r="D211" s="2953"/>
      <c r="E211" s="2848"/>
      <c r="F211" s="2803"/>
      <c r="G211" s="2809" t="str">
        <f>IF(AND(G111&gt;400,G111&lt;=800,G19&gt;=1,G19&lt;=3.5,G45=5),8,IF(AND(G111&gt;400,G111&lt;=800,G19&gt;3.5,G19&lt;=6.3,G45=5),9,IF(AND(G111&gt;400,G111&lt;=800,G19&gt;6.3,G19&lt;=10,G45=5),11,IF(AND(G111&gt;800,G111&lt;=1600,G19&gt;=1,G19&lt;=3.5,G45=5),9,IF(AND(G111&gt;800,G111&lt;=1600,G19&gt;3.5,G19&lt;=6.3,G45=5),10,IF(AND(G111&gt;800,G111&lt;=1600,G19&gt;6.3,G19&lt;=10,G45=5),11,G212))))))</f>
        <v>*</v>
      </c>
      <c r="H211" s="2797"/>
      <c r="I211" s="2972"/>
      <c r="J211" s="2975"/>
      <c r="K211" s="2807"/>
      <c r="L211" s="2817"/>
      <c r="M211" s="2860"/>
      <c r="N211" s="2860"/>
      <c r="O211" s="2860"/>
      <c r="P211" s="2860"/>
      <c r="Q211" s="2860"/>
    </row>
    <row r="212" spans="1:17" ht="15.75">
      <c r="A212" s="2803"/>
      <c r="B212" s="2855"/>
      <c r="C212" s="2809" t="str">
        <f>IF(AND(C111&lt;=125,C19&gt;=1,C19&lt;=3.5,C45=6),10,IF(AND(C111&lt;=125,C19&gt;3.5,C19&lt;=6.3,C45=6),13,IF(AND(C111&lt;=125,C19&gt;6.3,C19&lt;=10,C45=6),14,IF(AND(C111&gt;125,C111&lt;=400,C19&gt;=1,C19&lt;=3.5,C45=6),11,IF(AND(C111&gt;125,C111&lt;=400,C19&gt;3.5,C19&lt;=6.3,C45=6),14,IF(AND(C111&gt;125,C111&lt;=400,C19&gt;6.3,C19&lt;=10,C45=6),16,C213))))))</f>
        <v>*</v>
      </c>
      <c r="D212" s="2953"/>
      <c r="E212" s="2848"/>
      <c r="F212" s="2803"/>
      <c r="G212" s="2809" t="str">
        <f>IF(AND(G111&lt;=125,G19&gt;=1,G19&lt;=3.5,G45=6),10,IF(AND(G111&lt;=125,G19&gt;3.5,G19&lt;=6.3,G45=6),13,IF(AND(G111&lt;=125,G19&gt;6.3,G19&lt;=10,G45=6),14,IF(AND(G111&gt;125,G111&lt;=400,G19&gt;=1,G19&lt;=3.5,G45=6),11,IF(AND(G111&gt;125,G111&lt;=400,G19&gt;3.5,G19&lt;=6.3,G45=6),14,IF(AND(G111&gt;125,G111&lt;=400,G19&gt;6.3,G19&lt;=10,G45=6),16,G213))))))</f>
        <v>*</v>
      </c>
      <c r="H212" s="2797"/>
      <c r="I212" s="2972"/>
      <c r="J212" s="2975"/>
      <c r="K212" s="2807"/>
      <c r="L212" s="2817"/>
      <c r="M212" s="2860"/>
      <c r="N212" s="2860"/>
      <c r="O212" s="2860"/>
      <c r="P212" s="2860"/>
      <c r="Q212" s="2860"/>
    </row>
    <row r="213" spans="1:17" ht="15.75">
      <c r="A213" s="2803"/>
      <c r="B213" s="2855"/>
      <c r="C213" s="2809" t="str">
        <f>IF(AND(C111&gt;400,C111&lt;=800,C19&gt;=1,C19&lt;=3.5,C45=6),13,IF(AND(C111&gt;400,C111&lt;=800,C19&gt;3.5,C19&lt;=6.3,C45=6),14,IF(AND(C111&gt;400,C111&lt;=800,C19&gt;6.3,C19&lt;=10,C45=6),18,IF(AND(C111&gt;800,C111&lt;=1600,C19&gt;=1,C19&lt;=3.5,C45=6),14,IF(AND(C111&gt;800,C111&lt;=1600,C19&gt;3.5,C19&lt;=6.3,C45=6),16,IF(AND(C111&gt;800,C111&lt;=1600,C19&gt;6.3,C19&lt;=10,C45=6),18,C214))))))</f>
        <v>*</v>
      </c>
      <c r="D213" s="2953"/>
      <c r="E213" s="2848"/>
      <c r="F213" s="2803"/>
      <c r="G213" s="2809" t="str">
        <f>IF(AND(G111&gt;400,G111&lt;=800,G19&gt;=1,G19&lt;=3.5,G45=6),13,IF(AND(G111&gt;400,G111&lt;=800,G19&gt;3.5,G19&lt;=6.3,G45=6),14,IF(AND(G111&gt;400,G111&lt;=800,G19&gt;6.3,G19&lt;=10,G45=6),18,IF(AND(G111&gt;800,G111&lt;=1600,G19&gt;=1,G19&lt;=3.5,G45=6),14,IF(AND(G111&gt;800,G111&lt;=1600,G19&gt;3.5,G19&lt;=6.3,G45=6),16,IF(AND(G111&gt;800,G111&lt;=1600,G19&gt;6.3,G19&lt;=10,G45=6),18,G214))))))</f>
        <v>*</v>
      </c>
      <c r="H213" s="2797"/>
      <c r="I213" s="2972"/>
      <c r="J213" s="2975"/>
      <c r="K213" s="2807"/>
      <c r="L213" s="2817"/>
      <c r="M213" s="2860"/>
      <c r="N213" s="2860"/>
      <c r="O213" s="2860"/>
      <c r="P213" s="2860"/>
      <c r="Q213" s="2860"/>
    </row>
    <row r="214" spans="1:17" ht="15.75">
      <c r="A214" s="2803"/>
      <c r="B214" s="2855"/>
      <c r="C214" s="2809" t="str">
        <f>IF(AND(C111&lt;=125,C19&gt;=1,C19&lt;=3.5,C45=7),14,IF(AND(C111&lt;=125,C19&gt;3.5,C19&lt;=6.3,C45=7),18,IF(AND(C111&lt;=125,C19&gt;6.3,C19&lt;=10,C45=7),20,IF(AND(C111&gt;125,C111&lt;=400,C19&gt;=1,C19&lt;=3.5,C45=7),16,IF(AND(C111&gt;125,C111&lt;=400,C19&gt;3.5,C19&lt;=6.3,C45=7),20,IF(AND(C111&gt;125,C111&lt;=400,C19&gt;6.3,C19&lt;=10,C45=7),22,C215))))))</f>
        <v>*</v>
      </c>
      <c r="D214" s="2953"/>
      <c r="E214" s="2848"/>
      <c r="F214" s="2803"/>
      <c r="G214" s="2809" t="str">
        <f>IF(AND(G111&lt;=125,G19&gt;=1,G19&lt;=3.5,G45=7),14,IF(AND(G111&lt;=125,G19&gt;3.5,G19&lt;=6.3,G45=7),18,IF(AND(G111&lt;=125,G19&gt;6.3,G19&lt;=10,G45=7),20,IF(AND(G111&gt;125,G111&lt;=400,G19&gt;=1,G19&lt;=3.5,G45=7),16,IF(AND(G111&gt;125,G111&lt;=400,G19&gt;3.5,G19&lt;=6.3,G45=7),20,IF(AND(G111&gt;125,G111&lt;=400,G19&gt;6.3,G19&lt;=10,G45=7),22,G215))))))</f>
        <v>*</v>
      </c>
      <c r="H214" s="2797"/>
      <c r="I214" s="2972"/>
      <c r="J214" s="2975"/>
      <c r="K214" s="2807"/>
      <c r="L214" s="2817"/>
      <c r="M214" s="2860"/>
      <c r="N214" s="2860"/>
      <c r="O214" s="2860"/>
      <c r="P214" s="2860"/>
      <c r="Q214" s="2860"/>
    </row>
    <row r="215" spans="1:17" ht="15.75">
      <c r="A215" s="2803"/>
      <c r="B215" s="2855"/>
      <c r="C215" s="2809" t="str">
        <f>IF(AND(C111&gt;400,C111&lt;=800,C19&gt;=1,C19&lt;=3.5,C45=7),18,IF(AND(C111&gt;400,C111&lt;=800,C19&gt;3.5,C19&lt;=6.3,C45=7),20,IF(AND(C111&gt;400,C111&lt;=800,C19&gt;6.3,C19&lt;=10,C45=7),25,IF(AND(C111&gt;800,C111&lt;=1600,C19&gt;=1,C19&lt;=3.5,C45=7),20,IF(AND(C111&gt;800,C111&lt;=1600,C19&gt;3.5,C19&lt;=6.3,C45=7),22,IF(AND(C111&gt;800,C111&lt;=1600,C19&gt;6.3,C19&lt;=10,C45=7),25,C216))))))</f>
        <v>*</v>
      </c>
      <c r="D215" s="2953"/>
      <c r="E215" s="2848"/>
      <c r="F215" s="2803"/>
      <c r="G215" s="2809" t="str">
        <f>IF(AND(G111&gt;400,G111&lt;=800,G19&gt;=1,G19&lt;=3.5,G45=7),18,IF(AND(G111&gt;400,G111&lt;=800,G19&gt;3.5,G19&lt;=6.3,G45=7),20,IF(AND(G111&gt;400,G111&lt;=800,G19&gt;6.3,G19&lt;=10,G45=7),25,IF(AND(G111&gt;800,G111&lt;=1600,G19&gt;=1,G19&lt;=3.5,G45=7),20,IF(AND(G111&gt;800,G111&lt;=1600,G19&gt;3.5,G19&lt;=6.3,G45=7),22,IF(AND(G111&gt;800,G111&lt;=1600,G19&gt;6.3,G19&lt;=10,G45=7),25,G216))))))</f>
        <v>*</v>
      </c>
      <c r="H215" s="2797"/>
      <c r="I215" s="2972"/>
      <c r="J215" s="2975"/>
      <c r="K215" s="2807"/>
      <c r="L215" s="2817"/>
      <c r="M215" s="2860"/>
      <c r="N215" s="2860"/>
      <c r="O215" s="2860"/>
      <c r="P215" s="2860"/>
      <c r="Q215" s="2860"/>
    </row>
    <row r="216" spans="1:17" ht="15.75">
      <c r="A216" s="2803"/>
      <c r="B216" s="2855"/>
      <c r="C216" s="2809" t="str">
        <f>IF(AND(C111&lt;=125,C19&gt;=1,C19&lt;=3.5,C45=8),20,IF(AND(C111&lt;=125,C19&gt;3.5,C19&lt;=6.3,C45=8),25,IF(AND(C111&lt;=125,C19&gt;6.3,C19&lt;=10,C45=8),28,IF(AND(C111&gt;125,C111&lt;=400,C19&gt;=1,C19&lt;=3.5,C45=8),22,IF(AND(C111&gt;125,C111&lt;=400,C19&gt;3.5,C19&lt;=6.3,C45=8),28,IF(AND(C111&gt;125,C111&lt;=400,C19&gt;6.3,C19&lt;=10,C45=8),32,C217))))))</f>
        <v>*</v>
      </c>
      <c r="D216" s="2953"/>
      <c r="E216" s="2848"/>
      <c r="F216" s="2803"/>
      <c r="G216" s="2809" t="str">
        <f>IF(AND(G111&lt;=125,G19&gt;=1,G19&lt;=3.5,G45=8),20,IF(AND(G111&lt;=125,G19&gt;3.5,G19&lt;=6.3,G45=8),25,IF(AND(G111&lt;=125,G19&gt;6.3,G19&lt;=10,G45=8),28,IF(AND(G111&gt;125,G111&lt;=400,G19&gt;=1,G19&lt;=3.5,G45=8),22,IF(AND(G111&gt;125,G111&lt;=400,G19&gt;3.5,G19&lt;=6.3,G45=8),28,IF(AND(G111&gt;125,G111&lt;=400,G19&gt;6.3,G19&lt;=10,G45=8),32,G217))))))</f>
        <v>*</v>
      </c>
      <c r="H216" s="2797"/>
      <c r="I216" s="2972"/>
      <c r="J216" s="2975"/>
      <c r="K216" s="2807"/>
      <c r="L216" s="2817"/>
      <c r="M216" s="2860"/>
      <c r="N216" s="2860"/>
      <c r="O216" s="2860"/>
      <c r="P216" s="2860"/>
      <c r="Q216" s="2860"/>
    </row>
    <row r="217" spans="1:17" ht="15.75">
      <c r="A217" s="2803"/>
      <c r="B217" s="2855"/>
      <c r="C217" s="2809" t="str">
        <f>IF(AND(C111&gt;400,C111&lt;=800,C19&gt;=1,C19&lt;=3.5,C45=8),25,IF(AND(C111&gt;400,C111&lt;=800,C19&gt;3.5,C19&lt;=6.3,C45=8),28,IF(AND(C111&gt;400,C111&lt;=800,C19&gt;6.3,C19&lt;=10,C45=8),36,IF(AND(C111&gt;800,C111&lt;=1600,C19&gt;=1,C19&lt;=3.5,C45=8),28,IF(AND(C111&gt;800,C111&lt;=1600,C19&gt;3.5,C19&lt;=6.3,C45=8),32,IF(AND(C111&gt;800,C111&lt;=1600,C19&gt;6.3,C19&lt;=10,C45=8),36,"*"))))))</f>
        <v>*</v>
      </c>
      <c r="D217" s="2953"/>
      <c r="E217" s="2848"/>
      <c r="F217" s="2803"/>
      <c r="G217" s="2809" t="str">
        <f>IF(AND(G111&gt;400,G111&lt;=800,G19&gt;=1,G19&lt;=3.5,G45=8),25,IF(AND(G111&gt;400,G111&lt;=800,G19&gt;3.5,G19&lt;=6.3,G45=8),28,IF(AND(G111&gt;400,G111&lt;=800,G19&gt;6.3,G19&lt;=10,G45=8),36,IF(AND(G111&gt;800,G111&lt;=1600,G19&gt;=1,G19&lt;=3.5,G45=8),28,IF(AND(G111&gt;800,G111&lt;=1600,G19&gt;3.5,G19&lt;=6.3,G45=8),32,IF(AND(G111&gt;800,G111&lt;=1600,G19&gt;6.3,G19&lt;=10,G45=8),36,"*"))))))</f>
        <v>*</v>
      </c>
      <c r="H217" s="2797"/>
      <c r="I217" s="2972"/>
      <c r="J217" s="2975"/>
      <c r="K217" s="2807"/>
      <c r="L217" s="2817"/>
      <c r="M217" s="2860"/>
      <c r="N217" s="2860"/>
      <c r="O217" s="2860"/>
      <c r="P217" s="2860"/>
      <c r="Q217" s="2860"/>
    </row>
    <row r="218" spans="1:17" ht="15.75">
      <c r="A218" s="2803" t="s">
        <v>3202</v>
      </c>
      <c r="B218" s="2855" t="s">
        <v>3203</v>
      </c>
      <c r="C218" s="2797">
        <f>IF(AND(C111&lt;=125,C19&gt;=1,C19&lt;=3.5,C45=3),2.4,IF(AND(C111&lt;=125,C19&gt;3.5,C19&lt;=6.3,C45=3),3,IF(AND(C111&lt;=125,C19&gt;6.3,C19&lt;=10,C45=3),3.2,IF(AND(C111&gt;125,C111&lt;=400,C19&gt;=1,C19&lt;=3.5,C45=3),2.4,IF(AND(C111&gt;125,C111&lt;=400,C19&gt;3.5,C19&lt;=6.3,C45=3),3.2,IF(AND(C111&gt;125,C111&lt;=400,C19&gt;6.3,C19&lt;=10,C45=3),3.6,C219))))))</f>
        <v>5</v>
      </c>
      <c r="D218" s="2797"/>
      <c r="E218" s="2848"/>
      <c r="F218" s="2855" t="s">
        <v>4229</v>
      </c>
      <c r="G218" s="2797">
        <f>IF(AND(G111&lt;=125,G19&gt;=1,G19&lt;=3.5,G45=3),2.4,IF(AND(G111&lt;=125,G19&gt;3.5,G19&lt;=6.3,G45=3),3,IF(AND(G111&lt;=125,G19&gt;6.3,G19&lt;=10,G45=3),3.2,IF(AND(G111&gt;125,G111&lt;=400,G19&gt;=1,G19&lt;=3.5,G45=3),2.4,IF(AND(G111&gt;125,G111&lt;=400,G19&gt;3.5,G19&lt;=6.3,G45=3),3.2,IF(AND(G111&gt;125,G111&lt;=400,G19&gt;6.3,G19&lt;=10,G45=3),3.6,G219))))))</f>
        <v>5</v>
      </c>
      <c r="H218" s="2797"/>
      <c r="I218" s="2972"/>
      <c r="J218" s="2975"/>
      <c r="K218" s="2807"/>
      <c r="L218" s="2817"/>
      <c r="M218" s="2860"/>
      <c r="N218" s="2860"/>
      <c r="O218" s="2860"/>
      <c r="P218" s="2860"/>
      <c r="Q218" s="2860"/>
    </row>
    <row r="219" spans="1:17" ht="15.75">
      <c r="A219" s="2803"/>
      <c r="B219" s="2855"/>
      <c r="C219" s="2809">
        <f>IF(AND(C111&gt;400,C111&lt;=800,C19&gt;=1,C19&lt;=3.5,C45=3),3,IF(AND(C111&gt;400,C111&lt;=800,C19&gt;3.5,C19&lt;=6.3,C45=3),3.2,IF(AND(C111&gt;400,C111&lt;=800,C19&gt;6.3,C19&lt;=10,C45=3),4.2,IF(AND(C111&gt;800,C111&lt;=1600,C19&gt;=1,C19&lt;=3.5,C45=3),3.2,IF(AND(C111&gt;800,C111&lt;=1600,C19&gt;3.5,C19&lt;=6.3,C45=3),3.6,IF(AND(C111&gt;800,C111&lt;=1600,C19&gt;6.3,C19&lt;=10,C45=3),4.2,C220))))))</f>
        <v>5</v>
      </c>
      <c r="D219" s="2797"/>
      <c r="E219" s="2848"/>
      <c r="F219" s="2803"/>
      <c r="G219" s="2809">
        <f>IF(AND(G111&gt;400,G111&lt;=800,G19&gt;=1,G19&lt;=3.5,G45=3),3,IF(AND(G111&gt;400,G111&lt;=800,G19&gt;3.5,G19&lt;=6.3,G45=3),3.2,IF(AND(G111&gt;400,G111&lt;=800,G19&gt;6.3,G19&lt;=10,G45=3),4.2,IF(AND(G111&gt;800,G111&lt;=1600,G19&gt;=1,G19&lt;=3.5,G45=3),3.2,IF(AND(G111&gt;800,G111&lt;=1600,G19&gt;3.5,G19&lt;=6.3,G45=3),3.6,IF(AND(G111&gt;800,G111&lt;=1600,G19&gt;6.3,G19&lt;=10,G45=3),4.2,G220))))))</f>
        <v>5</v>
      </c>
      <c r="H219" s="2797"/>
      <c r="I219" s="2972"/>
      <c r="J219" s="2975"/>
      <c r="K219" s="2807"/>
      <c r="L219" s="2817"/>
      <c r="M219" s="2860"/>
      <c r="N219" s="2860"/>
      <c r="O219" s="2860"/>
      <c r="P219" s="2860"/>
      <c r="Q219" s="2860"/>
    </row>
    <row r="220" spans="1:17" ht="15.75">
      <c r="A220" s="2803"/>
      <c r="B220" s="2855"/>
      <c r="C220" s="2809">
        <f>IF(AND(C111&lt;=125,C19&gt;=1,C19&lt;=3.5,C45=4),3.6,IF(AND(C111&lt;=125,C19&gt;3.5,C19&lt;=6.3,C45=4),4.5,IF(AND(C111&lt;=125,C19&gt;6.3,C19&lt;=10,C45=4),5,IF(AND(C111&gt;125,C111&lt;=400,C19&gt;=1,C19&lt;=3.5,C45=4),4.2,IF(AND(C111&gt;125,C111&lt;=400,C19&gt;3.5,C19&lt;=6.3,C45=4),5,IF(AND(C111&gt;125,C111&lt;=400,C19&gt;6.3,C19&lt;=10,C45=4),5.5,C221))))))</f>
        <v>5</v>
      </c>
      <c r="D220" s="2953"/>
      <c r="E220" s="2848"/>
      <c r="F220" s="2803"/>
      <c r="G220" s="2809">
        <f>IF(AND(G111&lt;=125,G19&gt;=1,G19&lt;=3.5,G45=4),3.6,IF(AND(G111&lt;=125,G19&gt;3.5,G19&lt;=6.3,G45=4),4.5,IF(AND(G111&lt;=125,G19&gt;6.3,G19&lt;=10,G45=4),5,IF(AND(G111&gt;125,G111&lt;=400,G19&gt;=1,G19&lt;=3.5,G45=4),4.2,IF(AND(G111&gt;125,G111&lt;=400,G19&gt;3.5,G19&lt;=6.3,G45=4),5,IF(AND(G111&gt;125,G111&lt;=400,G19&gt;6.3,G19&lt;=10,G45=4),5.5,G221))))))</f>
        <v>5</v>
      </c>
      <c r="H220" s="2797"/>
      <c r="I220" s="2972"/>
      <c r="J220" s="2975"/>
      <c r="K220" s="2807"/>
      <c r="L220" s="2817"/>
      <c r="M220" s="2860"/>
      <c r="N220" s="2860"/>
      <c r="O220" s="2860"/>
      <c r="P220" s="2860"/>
      <c r="Q220" s="2860"/>
    </row>
    <row r="221" spans="1:17" ht="15.75">
      <c r="A221" s="2855" t="s">
        <v>3205</v>
      </c>
      <c r="B221" s="2855"/>
      <c r="C221" s="2809">
        <f>IF(AND(C111&gt;400,C111&lt;=800,C19&gt;=1,C19&lt;=3.5,C45=4),4.5,IF(AND(C111&gt;400,C111&lt;=800,C19&gt;3.5,C19&lt;=6.3,C45=4),5,IF(AND(C111&gt;400,C111&lt;=800,C19&gt;6.3,C19&lt;=10,C45=4),6.5,IF(AND(C111&gt;800,C111&lt;=1600,C19&gt;=1,C19&lt;=3.5,C45=4),5,IF(AND(C111&gt;800,C111&lt;=1600,C19&gt;3.5,C19&lt;=6.3,C45=4),5.5,IF(AND(C111&gt;800,C111&lt;=1600,C19&gt;6.3,C19&lt;=10,C45=4),6.5,C222))))))</f>
        <v>5</v>
      </c>
      <c r="D221" s="2953"/>
      <c r="E221" s="2848"/>
      <c r="F221" s="2803"/>
      <c r="G221" s="2809">
        <f>IF(AND(G111&gt;400,G111&lt;=800,G19&gt;=1,G19&lt;=3.5,G45=4),4.5,IF(AND(G111&gt;400,G111&lt;=800,G19&gt;3.5,G19&lt;=6.3,G45=4),5,IF(AND(G111&gt;400,G111&lt;=800,G19&gt;6.3,G19&lt;=10,G45=4),6.5,IF(AND(G111&gt;800,G111&lt;=1600,G19&gt;=1,G19&lt;=3.5,G45=4),5,IF(AND(G111&gt;800,G111&lt;=1600,G19&gt;3.5,G19&lt;=6.3,G45=4),5.5,IF(AND(G111&gt;800,G111&lt;=1600,G19&gt;6.3,G19&lt;=10,G45=4),6.5,G222))))))</f>
        <v>5</v>
      </c>
      <c r="H221" s="2797"/>
      <c r="I221" s="2972"/>
      <c r="J221" s="2975"/>
      <c r="K221" s="2807"/>
      <c r="L221" s="2817"/>
      <c r="M221" s="2860"/>
      <c r="N221" s="2860"/>
      <c r="O221" s="2860"/>
      <c r="P221" s="2860"/>
      <c r="Q221" s="2860"/>
    </row>
    <row r="222" spans="1:17" ht="15.75">
      <c r="A222" s="2803"/>
      <c r="B222" s="2855"/>
      <c r="C222" s="2809">
        <f>IF(AND(C111&lt;=125,C19&gt;=1,C19&lt;=3.5,C45=5),5,IF(AND(C111&lt;=125,C19&gt;3.5,C19&lt;=6.3,C45=5),7,IF(AND(C111&lt;=125,C19&gt;6.3,C19&lt;=10,C45=5),8,IF(AND(C111&gt;125,C111&lt;=400,C19&gt;=1,C19&lt;=3.5,C45=5),6,IF(AND(C111&gt;125,C111&lt;=400,C19&gt;3.5,C19&lt;=6.3,C45=5),8,IF(AND(C111&gt;125,C111&lt;=400,C19&gt;6.3,C19&lt;=10,C45=5),9,C223))))))</f>
        <v>5</v>
      </c>
      <c r="D222" s="2953"/>
      <c r="E222" s="2848"/>
      <c r="F222" s="2803"/>
      <c r="G222" s="2809">
        <f>IF(AND(G111&lt;=125,G19&gt;=1,G19&lt;=3.5,G45=5),5,IF(AND(G111&lt;=125,G19&gt;3.5,G19&lt;=6.3,G45=5),7,IF(AND(G111&lt;=125,G19&gt;6.3,G19&lt;=10,G45=5),8,IF(AND(G111&gt;125,G111&lt;=400,G19&gt;=1,G19&lt;=3.5,G45=5),6,IF(AND(G111&gt;125,G111&lt;=400,G19&gt;3.5,G19&lt;=6.3,G45=5),8,IF(AND(G111&gt;125,G111&lt;=400,G19&gt;6.3,G19&lt;=10,G45=5),9,G223))))))</f>
        <v>5</v>
      </c>
      <c r="H222" s="2797"/>
      <c r="I222" s="2972"/>
      <c r="J222" s="2975"/>
      <c r="K222" s="2807"/>
      <c r="L222" s="2817"/>
      <c r="M222" s="2860"/>
      <c r="N222" s="2860"/>
      <c r="O222" s="2860"/>
      <c r="P222" s="2860"/>
      <c r="Q222" s="2860"/>
    </row>
    <row r="223" spans="1:17" ht="15.75">
      <c r="A223" s="2803"/>
      <c r="B223" s="2855"/>
      <c r="C223" s="2809" t="str">
        <f>IF(AND(C111&gt;400,C111&lt;=800,C19&gt;=1,C19&lt;=3.5,C45=5),7,IF(AND(C111&gt;400,C111&lt;=800,C19&gt;3.5,C19&lt;=6.3,C45=5),8,IF(AND(C111&gt;400,C111&lt;=800,C19&gt;6.3,C19&lt;=10,C45=5),10,IF(AND(C111&gt;800,C111&lt;=1600,C19&gt;=1,C19&lt;=3.5,C45=5),8,IF(AND(C111&gt;800,C111&lt;=1600,C19&gt;3.5,C19&lt;=6.3,C45=5),9,IF(AND(C111&gt;800,C111&lt;=1600,C19&gt;6.3,C19&lt;=10,C45=5),10,C224))))))</f>
        <v>*</v>
      </c>
      <c r="D223" s="2953"/>
      <c r="E223" s="2848"/>
      <c r="F223" s="2803"/>
      <c r="G223" s="2809" t="str">
        <f>IF(AND(G111&gt;400,G111&lt;=800,G19&gt;=1,G19&lt;=3.5,G45=5),7,IF(AND(G111&gt;400,G111&lt;=800,G19&gt;3.5,G19&lt;=6.3,G45=5),8,IF(AND(G111&gt;400,G111&lt;=800,G19&gt;6.3,G19&lt;=10,G45=5),10,IF(AND(G111&gt;800,G111&lt;=1600,G19&gt;=1,G19&lt;=3.5,G45=5),8,IF(AND(G111&gt;800,G111&lt;=1600,G19&gt;3.5,G19&lt;=6.3,G45=5),9,IF(AND(G111&gt;800,G111&lt;=1600,G19&gt;6.3,G19&lt;=10,G45=5),10,G224))))))</f>
        <v>*</v>
      </c>
      <c r="H223" s="2797"/>
      <c r="I223" s="2972"/>
      <c r="J223" s="2975"/>
      <c r="K223" s="2807"/>
      <c r="L223" s="2817"/>
      <c r="M223" s="2860"/>
      <c r="N223" s="2860"/>
      <c r="O223" s="2860"/>
      <c r="P223" s="2860"/>
      <c r="Q223" s="2860"/>
    </row>
    <row r="224" spans="1:17" ht="15.75">
      <c r="A224" s="2966"/>
      <c r="B224" s="2974"/>
      <c r="C224" s="2809" t="str">
        <f>IF(AND(C111&lt;=125,C19&gt;=1,C19&lt;=3.5,C45=6),9,IF(AND(C111&lt;=125,C19&gt;3.5,C19&lt;=6.3,C45=6),11,IF(AND(C111&lt;=125,C19&gt;6.3,C19&lt;=10,C45=6),13,IF(AND(C111&gt;125,C111&lt;=400,C19&gt;=1,C19&lt;=3.5,C45=6),10,IF(AND(C111&gt;125,C111&lt;=400,C19&gt;3.5,C19&lt;=6.3,C45=6),13,IF(AND(C111&gt;125,C111&lt;=400,C19&gt;6.3,C19&lt;=10,C45=6),14,C225))))))</f>
        <v>*</v>
      </c>
      <c r="D224" s="2953"/>
      <c r="E224" s="2848"/>
      <c r="F224" s="2803"/>
      <c r="G224" s="2809" t="str">
        <f>IF(AND(G111&lt;=125,G19&gt;=1,G19&lt;=3.5,G45=6),9,IF(AND(G111&lt;=125,G19&gt;3.5,G19&lt;=6.3,G45=6),11,IF(AND(G111&lt;=125,G19&gt;6.3,G19&lt;=10,G45=6),13,IF(AND(G111&gt;125,G111&lt;=400,G19&gt;=1,G19&lt;=3.5,G45=6),10,IF(AND(G111&gt;125,G111&lt;=400,G19&gt;3.5,G19&lt;=6.3,G45=6),13,IF(AND(G111&gt;125,G111&lt;=400,G19&gt;6.3,G19&lt;=10,G45=6),14,G225))))))</f>
        <v>*</v>
      </c>
      <c r="H224" s="2797"/>
      <c r="I224" s="2972"/>
      <c r="J224" s="2975"/>
      <c r="K224" s="2807"/>
      <c r="L224" s="2817"/>
      <c r="M224" s="2860"/>
      <c r="N224" s="2860"/>
      <c r="O224" s="2860"/>
      <c r="P224" s="2860"/>
      <c r="Q224" s="2860"/>
    </row>
    <row r="225" spans="1:17" ht="15.75">
      <c r="A225" s="2966"/>
      <c r="B225" s="2974"/>
      <c r="C225" s="2809" t="str">
        <f>IF(AND(C111&gt;400,C111&lt;=800,C19&gt;=1,C19&lt;=3.5,C45=6),11,IF(AND(C111&gt;400,C111&lt;=800,C19&gt;3.5,C19&lt;=6.3,C45=6),13,IF(AND(C111&gt;400,C111&lt;=800,C19&gt;6.3,C19&lt;=10,C45=6),16,IF(AND(C111&gt;800,C111&lt;=1600,C19&gt;=1,C19&lt;=3.5,C45=6),13,IF(AND(C111&gt;800,C111&lt;=1600,C19&gt;3.5,C19&lt;=6.3,C45=6),14,IF(AND(C111&gt;800,C111&lt;=1600,C19&gt;6.3,C19&lt;=10,C45=6),16,C226))))))</f>
        <v>*</v>
      </c>
      <c r="D225" s="2953"/>
      <c r="E225" s="2848"/>
      <c r="F225" s="2803"/>
      <c r="G225" s="2809" t="str">
        <f>IF(AND(G111&gt;400,G111&lt;=800,G19&gt;=1,G19&lt;=3.5,G45=6),11,IF(AND(G111&gt;400,G111&lt;=800,G19&gt;3.5,G19&lt;=6.3,G45=6),13,IF(AND(G111&gt;400,G111&lt;=800,G19&gt;6.3,G19&lt;=10,G45=6),16,IF(AND(G111&gt;800,G111&lt;=1600,G19&gt;=1,G19&lt;=3.5,G45=6),13,IF(AND(G111&gt;800,G111&lt;=1600,G19&gt;3.5,G19&lt;=6.3,G45=6),14,IF(AND(G111&gt;800,G111&lt;=1600,G19&gt;6.3,G19&lt;=10,G45=6),16,G226))))))</f>
        <v>*</v>
      </c>
      <c r="H225" s="2797"/>
      <c r="I225" s="2972"/>
      <c r="J225" s="2975"/>
      <c r="K225" s="2807"/>
      <c r="L225" s="2817"/>
      <c r="M225" s="2860"/>
      <c r="N225" s="2860"/>
      <c r="O225" s="2860"/>
      <c r="P225" s="2860"/>
      <c r="Q225" s="2860"/>
    </row>
    <row r="226" spans="1:17" ht="15.75">
      <c r="A226" s="2966"/>
      <c r="B226" s="2974"/>
      <c r="C226" s="2809" t="str">
        <f>IF(AND(C111&lt;=125,C19&gt;=1,C19&lt;=3.5,C45=7),13,IF(AND(C111&lt;=125,C19&gt;3.5,C19&lt;=6.3,C45=7),16,IF(AND(C111&lt;=125,C19&gt;6.3,C19&lt;=10,C45=7),18,IF(AND(C111&gt;125,C111&lt;=400,C19&gt;=1,C19&lt;=3.5,C45=7),14,IF(AND(C111&gt;125,C111&lt;=400,C19&gt;3.5,C19&lt;=6.3,C45=7),18,IF(AND(C111&gt;125,C111&lt;=400,C19&gt;6.3,C19&lt;=10,C45=7),20,C227))))))</f>
        <v>*</v>
      </c>
      <c r="D226" s="2953"/>
      <c r="E226" s="2848"/>
      <c r="F226" s="2803"/>
      <c r="G226" s="2809" t="str">
        <f>IF(AND(G111&lt;=125,G19&gt;=1,G19&lt;=3.5,G45=7),13,IF(AND(G111&lt;=125,G19&gt;3.5,G19&lt;=6.3,G45=7),16,IF(AND(G111&lt;=125,G19&gt;6.3,G19&lt;=10,G45=7),18,IF(AND(G111&gt;125,G111&lt;=400,G19&gt;=1,G19&lt;=3.5,G45=7),14,IF(AND(G111&gt;125,G111&lt;=400,G19&gt;3.5,G19&lt;=6.3,G45=7),18,IF(AND(G111&gt;125,G111&lt;=400,G19&gt;6.3,G19&lt;=10,G45=7),20,G227))))))</f>
        <v>*</v>
      </c>
      <c r="H226" s="2797"/>
      <c r="I226" s="2972"/>
      <c r="J226" s="2975"/>
      <c r="K226" s="2807"/>
      <c r="L226" s="2817"/>
      <c r="M226" s="2860"/>
      <c r="N226" s="2860"/>
      <c r="O226" s="2860"/>
      <c r="P226" s="2860"/>
      <c r="Q226" s="2860"/>
    </row>
    <row r="227" spans="1:17" ht="15.75">
      <c r="A227" s="2966"/>
      <c r="B227" s="2974"/>
      <c r="C227" s="2809" t="str">
        <f>IF(AND(C111&gt;400,C111&lt;=800,C19&gt;=1,C19&lt;=3.5,C45=7),16,IF(AND(C111&gt;400,C111&lt;=800,C19&gt;3.5,C19&lt;=6.3,C45=7),18,IF(AND(C111&gt;400,C111&lt;=800,C19&gt;6.3,C19&lt;=10,C45=7),22,IF(AND(C111&gt;800,C111&lt;=1600,C19&gt;=1,C19&lt;=3.5,C45=7),18,IF(AND(C111&gt;800,C111&lt;=1600,C19&gt;3.5,C19&lt;=6.3,C45=7),20,IF(AND(C111&gt;800,C111&lt;=1600,C19&gt;6.3,C19&lt;=10,C45=7),22,C228))))))</f>
        <v>*</v>
      </c>
      <c r="D227" s="2953"/>
      <c r="E227" s="2848"/>
      <c r="F227" s="2803"/>
      <c r="G227" s="2809" t="str">
        <f>IF(AND(G111&gt;400,G111&lt;=800,G19&gt;=1,G19&lt;=3.5,G45=7),16,IF(AND(G111&gt;400,G111&lt;=800,G19&gt;3.5,G19&lt;=6.3,G45=7),18,IF(AND(G111&gt;400,G111&lt;=800,G19&gt;6.3,G19&lt;=10,G45=7),22,IF(AND(G111&gt;800,G111&lt;=1600,G19&gt;=1,G19&lt;=3.5,G45=7),18,IF(AND(G111&gt;800,G111&lt;=1600,G19&gt;3.5,G19&lt;=6.3,G45=7),20,IF(AND(G111&gt;800,G111&lt;=1600,G19&gt;6.3,G19&lt;=10,G45=7),22,G228))))))</f>
        <v>*</v>
      </c>
      <c r="H227" s="2797"/>
      <c r="I227" s="2972"/>
      <c r="J227" s="2975"/>
      <c r="K227" s="2807"/>
      <c r="L227" s="2817"/>
      <c r="M227" s="2860"/>
      <c r="N227" s="2860"/>
      <c r="O227" s="2860"/>
      <c r="P227" s="2860"/>
      <c r="Q227" s="2860"/>
    </row>
    <row r="228" spans="1:17" ht="15.75">
      <c r="A228" s="2966"/>
      <c r="B228" s="2974"/>
      <c r="C228" s="2809" t="str">
        <f>IF(AND(C111&lt;=125,C19&gt;=1,C19&lt;=3.5,C45=8),18,IF(AND(C111&lt;=125,C19&gt;3.5,C19&lt;=6.3,C45=8),22,IF(AND(C111&lt;=125,C19&gt;6.3,C19&lt;=10,C45=8),25,IF(AND(C111&gt;125,C111&lt;=400,C19&gt;=1,C19&lt;=3.5,C45=8),20,IF(AND(C111&gt;125,C111&lt;=400,C19&gt;3.5,C19&lt;=6.3,C45=8),25,IF(AND(C111&gt;125,C111&lt;=400,C19&gt;6.3,C19&lt;=10,C45=8),30,C229))))))</f>
        <v>*</v>
      </c>
      <c r="D228" s="2953"/>
      <c r="E228" s="2848"/>
      <c r="F228" s="2803"/>
      <c r="G228" s="2809" t="str">
        <f>IF(AND(G111&lt;=125,G19&gt;=1,G19&lt;=3.5,G45=8),18,IF(AND(G111&lt;=125,G19&gt;3.5,G19&lt;=6.3,G45=8),22,IF(AND(G111&lt;=125,G19&gt;6.3,G19&lt;=10,G45=8),25,IF(AND(G111&gt;125,G111&lt;=400,G19&gt;=1,G19&lt;=3.5,G45=8),20,IF(AND(G111&gt;125,G111&lt;=400,G19&gt;3.5,G19&lt;=6.3,G45=8),25,IF(AND(G111&gt;125,G111&lt;=400,G19&gt;6.3,G19&lt;=10,G45=8),30,G229))))))</f>
        <v>*</v>
      </c>
      <c r="H228" s="2797"/>
      <c r="I228" s="2972"/>
      <c r="J228" s="2975"/>
      <c r="K228" s="2807"/>
      <c r="L228" s="2817"/>
      <c r="M228" s="2860"/>
      <c r="N228" s="2860"/>
      <c r="O228" s="2860"/>
      <c r="P228" s="2860"/>
      <c r="Q228" s="2860"/>
    </row>
    <row r="229" spans="1:17" ht="15.75">
      <c r="A229" s="2966"/>
      <c r="B229" s="2974"/>
      <c r="C229" s="2809" t="str">
        <f>IF(AND(C111&gt;400,C111&lt;=800,C19&gt;=1,C19&lt;=3.5,C45=8),22,IF(AND(C111&gt;400,C111&lt;=800,C19&gt;3.5,C19&lt;=6.3,C45=8),25,IF(AND(C111&gt;400,C111&lt;=800,C19&gt;6.3,C19&lt;=10,C45=8),32,IF(AND(C111&gt;800,C111&lt;=1600,C19&gt;=1,C19&lt;=3.5,C45=8),25,IF(AND(C111&gt;800,C111&lt;=1600,C19&gt;3.5,C19&lt;=6.3,C45=8),30,IF(AND(C111&gt;800,C111&lt;=1600,C19&gt;6.3,C19&lt;=10,C45=8),32,"*"))))))</f>
        <v>*</v>
      </c>
      <c r="D229" s="2953"/>
      <c r="E229" s="2848"/>
      <c r="F229" s="2803"/>
      <c r="G229" s="2809" t="str">
        <f>IF(AND(G111&gt;400,G111&lt;=800,G19&gt;=1,G19&lt;=3.5,G45=8),22,IF(AND(G111&gt;400,G111&lt;=800,G19&gt;3.5,G19&lt;=6.3,G45=8),25,IF(AND(G111&gt;400,G111&lt;=800,G19&gt;6.3,G19&lt;=10,G45=8),32,IF(AND(G111&gt;800,G111&lt;=1600,G19&gt;=1,G19&lt;=3.5,G45=8),25,IF(AND(G111&gt;800,G111&lt;=1600,G19&gt;3.5,G19&lt;=6.3,G45=8),30,IF(AND(G111&gt;800,G111&lt;=1600,G19&gt;6.3,G19&lt;=10,G45=8),32,"*"))))))</f>
        <v>*</v>
      </c>
      <c r="H229" s="2797"/>
      <c r="I229" s="2972"/>
      <c r="J229" s="2975"/>
      <c r="K229" s="2807"/>
      <c r="L229" s="2817"/>
      <c r="M229" s="2860"/>
      <c r="N229" s="2860"/>
      <c r="O229" s="2860"/>
      <c r="P229" s="2860"/>
      <c r="Q229" s="2860"/>
    </row>
    <row r="230" spans="1:17" ht="15.75">
      <c r="A230" s="2803" t="s">
        <v>3206</v>
      </c>
      <c r="B230" s="2801" t="s">
        <v>3207</v>
      </c>
      <c r="C230" s="2797">
        <f>IF(AND(C111&lt;=125,C19&gt;=1,C19&lt;=3.5,C45=3),3.6,IF(AND(C111&lt;=125,C19&gt;3.5,C19&lt;=6.3,C45=3),4,IF(AND(C111&lt;=125,C19&gt;6.3,C19&lt;=10,C45=3),4.5,IF(AND(C111&gt;125,C111&lt;=400,C19&gt;=1,C19&lt;=3.5,C45=3),4,IF(AND(C111&gt;125,C111&lt;=400,C19&gt;3.5,C19&lt;=6.3,C45=3),4.5,IF(AND(C111&gt;125,C111&lt;=400,C19&gt;6.3,C19&lt;=10,C45=3),5,C231))))))</f>
        <v>6</v>
      </c>
      <c r="D230" s="2953"/>
      <c r="E230" s="2848"/>
      <c r="F230" s="2797" t="s">
        <v>4230</v>
      </c>
      <c r="G230" s="2797">
        <f>IF(AND(G111&lt;=125,G19&gt;=1,G19&lt;=3.5,G45=3),3.6,IF(AND(G111&lt;=125,G19&gt;3.5,G19&lt;=6.3,G45=3),4,IF(AND(G111&lt;=125,G19&gt;6.3,G19&lt;=10,G45=3),4.5,IF(AND(G111&gt;125,G111&lt;=400,G19&gt;=1,G19&lt;=3.5,G45=3),4,IF(AND(G111&gt;125,G111&lt;=400,G19&gt;3.5,G19&lt;=6.3,G45=3),4.5,IF(AND(G111&gt;125,G111&lt;=400,G19&gt;6.3,G19&lt;=10,G45=3),5,G231))))))</f>
        <v>6</v>
      </c>
      <c r="H230" s="2797"/>
      <c r="I230" s="2972"/>
      <c r="J230" s="2975"/>
      <c r="K230" s="2807"/>
      <c r="L230" s="2817"/>
      <c r="M230" s="2860"/>
      <c r="N230" s="2860"/>
      <c r="O230" s="2860"/>
      <c r="P230" s="2860"/>
      <c r="Q230" s="2860"/>
    </row>
    <row r="231" spans="1:17" ht="15.75">
      <c r="A231" s="2966"/>
      <c r="B231" s="2870"/>
      <c r="C231" s="2809">
        <f>IF(AND(C111&gt;400,C111&lt;=800,C19&gt;=1,C19&lt;=3.5,C45=3),4.5,IF(AND(C111&gt;400,C111&lt;=800,C19&gt;3.5,C19&lt;=6.3,C45=3),5,IF(AND(C111&gt;400,C111&lt;=800,C19&gt;6.3,C19&lt;=10,C45=3),5.5,IF(AND(C111&gt;800,C111&lt;=1600,C19&gt;=1,C19&lt;=3.5,C45=3),5.5,IF(AND(C111&gt;800,C111&lt;=1600,C19&gt;3.5,C19&lt;=6.3,C45=3),6,IF(AND(C111&gt;800,C111&lt;=1600,C19&gt;6.3,C19&lt;=10,C45=3),6.5,C232))))))</f>
        <v>6</v>
      </c>
      <c r="D231" s="2953"/>
      <c r="E231" s="2848"/>
      <c r="F231" s="2986"/>
      <c r="G231" s="2809">
        <f>IF(AND(G111&gt;400,G111&lt;=800,G19&gt;=1,G19&lt;=3.5,G45=3),4.5,IF(AND(G111&gt;400,G111&lt;=800,G19&gt;3.5,G19&lt;=6.3,G45=3),5,IF(AND(G111&gt;400,G111&lt;=800,G19&gt;6.3,G19&lt;=10,G45=3),5.5,IF(AND(G111&gt;800,G111&lt;=1600,G19&gt;=1,G19&lt;=3.5,G45=3),5.5,IF(AND(G111&gt;800,G111&lt;=1600,G19&gt;3.5,G19&lt;=6.3,G45=3),6,IF(AND(G111&gt;800,G111&lt;=1600,G19&gt;6.3,G19&lt;=10,G45=3),6.5,G232))))))</f>
        <v>6</v>
      </c>
      <c r="H231" s="2797"/>
      <c r="I231" s="2972"/>
      <c r="J231" s="2975"/>
      <c r="K231" s="2807"/>
      <c r="L231" s="2817"/>
      <c r="M231" s="2860"/>
      <c r="N231" s="2860"/>
      <c r="O231" s="2860"/>
      <c r="P231" s="2860"/>
      <c r="Q231" s="2860"/>
    </row>
    <row r="232" spans="1:17" ht="15.75">
      <c r="A232" s="2966"/>
      <c r="B232" s="2870"/>
      <c r="C232" s="2809">
        <f>IF(AND(C111&lt;=125,C19&gt;=1,C19&lt;=3.5,C45=4),4.8,IF(AND(C111&lt;=125,C19&gt;3.5,C19&lt;=6.3,C45=4),5.3,IF(AND(C111&lt;=125,C19&gt;6.3,C19&lt;=10,C45=4),6,IF(AND(C111&gt;125,C111&lt;=400,C19&gt;=1,C19&lt;=3.5,C45=4),5.3,IF(AND(C111&gt;125,C111&lt;=400,C19&gt;3.5,C19&lt;=6.3,C45=4),6,IF(AND(C111&gt;125,C111&lt;=400,C19&gt;6.3,C19&lt;=10,C45=4),6.5,C233))))))</f>
        <v>6</v>
      </c>
      <c r="D232" s="2953"/>
      <c r="E232" s="2848"/>
      <c r="F232" s="2986"/>
      <c r="G232" s="2809">
        <f>IF(AND(G111&lt;=125,G19&gt;=1,G19&lt;=3.5,G45=4),4.8,IF(AND(G111&lt;=125,G19&gt;3.5,G19&lt;=6.3,G45=4),5.3,IF(AND(G111&lt;=125,G19&gt;6.3,G19&lt;=10,G45=4),6,IF(AND(G111&gt;125,G111&lt;=400,G19&gt;=1,G19&lt;=3.5,G45=4),5.3,IF(AND(G111&gt;125,G111&lt;=400,G19&gt;3.5,G19&lt;=6.3,G45=4),6,IF(AND(G111&gt;125,G111&lt;=400,G19&gt;6.3,G19&lt;=10,G45=4),6.5,G233))))))</f>
        <v>6</v>
      </c>
      <c r="H232" s="2797"/>
      <c r="I232" s="2972"/>
      <c r="J232" s="2975"/>
      <c r="K232" s="2807"/>
      <c r="L232" s="2817"/>
      <c r="M232" s="2860"/>
      <c r="N232" s="2860"/>
      <c r="O232" s="2860"/>
      <c r="P232" s="2860"/>
      <c r="Q232" s="2860"/>
    </row>
    <row r="233" spans="1:17" ht="15.75">
      <c r="A233" s="2953"/>
      <c r="B233" s="2870"/>
      <c r="C233" s="2809">
        <f>IF(AND(C111&gt;400,C111&lt;=800,C19&gt;=1,C19&lt;=3.5,C45=4),6.5,IF(AND(C111&gt;400,C111&lt;=800,C19&gt;3.5,C19&lt;=6.3,C45=4),7,IF(AND(C111&gt;400,C111&lt;=800,C19&gt;6.3,C19&lt;=10,C45=4),7.5,IF(AND(C111&gt;800,C111&lt;=1600,C19&gt;=1,C19&lt;=3.5,C45=4),8,IF(AND(C111&gt;800,C111&lt;=1600,C19&gt;3.5,C19&lt;=6.3,C45=4),9,IF(AND(C111&gt;800,C111&lt;=1600,C19&gt;6.3,C19&lt;=10,C45=4),9.5,C234))))))</f>
        <v>6</v>
      </c>
      <c r="D233" s="2953"/>
      <c r="E233" s="2848"/>
      <c r="F233" s="2986"/>
      <c r="G233" s="2809">
        <f>IF(AND(G111&gt;400,G111&lt;=800,G19&gt;=1,G19&lt;=3.5,G45=4),6.5,IF(AND(G111&gt;400,G111&lt;=800,G19&gt;3.5,G19&lt;=6.3,G45=4),7,IF(AND(G111&gt;400,G111&lt;=800,G19&gt;6.3,G19&lt;=10,G45=4),7.5,IF(AND(G111&gt;800,G111&lt;=1600,G19&gt;=1,G19&lt;=3.5,G45=4),8,IF(AND(G111&gt;800,G111&lt;=1600,G19&gt;3.5,G19&lt;=6.3,G45=4),9,IF(AND(G111&gt;800,G111&lt;=1600,G19&gt;6.3,G19&lt;=10,G45=4),9.5,G234))))))</f>
        <v>6</v>
      </c>
      <c r="H233" s="2797"/>
      <c r="I233" s="2972"/>
      <c r="J233" s="2975"/>
      <c r="K233" s="2807"/>
      <c r="L233" s="2817"/>
      <c r="M233" s="2860"/>
      <c r="N233" s="2860"/>
      <c r="O233" s="2860"/>
      <c r="P233" s="2860"/>
      <c r="Q233" s="2860"/>
    </row>
    <row r="234" spans="1:17" ht="15.75">
      <c r="A234" s="2953"/>
      <c r="B234" s="2870"/>
      <c r="C234" s="2809">
        <f>IF(AND(C111&lt;=125,C19&gt;=1,C19&lt;=3.5,C45=5),6,IF(AND(C111&lt;=125,C19&gt;3.5,C19&lt;=6.3,C45=5),7,IF(AND(C111&lt;=125,C19&gt;6.3,C19&lt;=10,C45=5),8,IF(AND(C111&gt;125,C111&lt;=400,C19&gt;=1,C19&lt;=3.5,C45=5),7,IF(AND(C111&gt;125,C111&lt;=400,C19&gt;3.5,C19&lt;=6.3,C45=5),8,IF(AND(C111&gt;125,C111&lt;=400,C19&gt;6.3,C19&lt;=10,C45=5),9,C235))))))</f>
        <v>6</v>
      </c>
      <c r="D234" s="2953"/>
      <c r="E234" s="2848"/>
      <c r="F234" s="2986"/>
      <c r="G234" s="2809">
        <f>IF(AND(G111&lt;=125,G19&gt;=1,G19&lt;=3.5,G45=5),6,IF(AND(G111&lt;=125,G19&gt;3.5,G19&lt;=6.3,G45=5),7,IF(AND(G111&lt;=125,G19&gt;6.3,G19&lt;=10,G45=5),8,IF(AND(G111&gt;125,G111&lt;=400,G19&gt;=1,G19&lt;=3.5,G45=5),7,IF(AND(G111&gt;125,G111&lt;=400,G19&gt;3.5,G19&lt;=6.3,G45=5),8,IF(AND(G111&gt;125,G111&lt;=400,G19&gt;6.3,G19&lt;=10,G45=5),9,G235))))))</f>
        <v>6</v>
      </c>
      <c r="H234" s="2797"/>
      <c r="I234" s="2972"/>
      <c r="J234" s="2975"/>
      <c r="K234" s="2807"/>
      <c r="L234" s="2817"/>
      <c r="M234" s="2860"/>
      <c r="N234" s="2860"/>
      <c r="O234" s="2860"/>
      <c r="P234" s="2860"/>
      <c r="Q234" s="2860"/>
    </row>
    <row r="235" spans="1:17" ht="15.75">
      <c r="A235" s="2953"/>
      <c r="B235" s="2870"/>
      <c r="C235" s="2809" t="str">
        <f>IF(AND(C111&gt;400,C111&lt;=800,C19&gt;=1,C19&lt;=3.5,C45=5),9,IF(AND(C111&gt;400,C111&lt;=800,C19&gt;3.5,C19&lt;=6.3,C45=5),10,IF(AND(C111&gt;400,C111&lt;=800,C19&gt;6.3,C19&lt;=11,C45=5),11,IF(AND(C111&gt;800,C111&lt;=1600,C19&gt;=1,C19&lt;=3.5,C45=5),11,IF(AND(C111&gt;800,C111&lt;=1600,C19&gt;3.5,C19&lt;=6.3,C45=5),13,IF(AND(C111&gt;800,C111&lt;=1600,C19&gt;6.3,C19&lt;=10,C45=5),14,C236))))))</f>
        <v>*</v>
      </c>
      <c r="D235" s="2953"/>
      <c r="E235" s="2848"/>
      <c r="F235" s="2986"/>
      <c r="G235" s="2809" t="str">
        <f>IF(AND(G111&gt;400,G111&lt;=800,G19&gt;=1,G19&lt;=3.5,G45=5),9,IF(AND(G111&gt;400,G111&lt;=800,G19&gt;3.5,G19&lt;=6.3,G45=5),10,IF(AND(G111&gt;400,G111&lt;=800,G19&gt;6.3,G19&lt;=11,G45=5),11,IF(AND(G111&gt;800,G111&lt;=1600,G19&gt;=1,G19&lt;=3.5,G45=5),11,IF(AND(G111&gt;800,G111&lt;=1600,G19&gt;3.5,G19&lt;=6.3,G45=5),13,IF(AND(G111&gt;800,G111&lt;=1600,G19&gt;6.3,G19&lt;=10,G45=5),14,G236))))))</f>
        <v>*</v>
      </c>
      <c r="H235" s="2797"/>
      <c r="I235" s="2972"/>
      <c r="J235" s="2975"/>
      <c r="K235" s="2807"/>
      <c r="L235" s="2817"/>
      <c r="M235" s="2860"/>
      <c r="N235" s="2860"/>
      <c r="O235" s="2860"/>
      <c r="P235" s="2860"/>
      <c r="Q235" s="2860"/>
    </row>
    <row r="236" spans="1:17" ht="15.75">
      <c r="A236" s="2953"/>
      <c r="B236" s="2870"/>
      <c r="C236" s="2809" t="str">
        <f>IF(AND(C111&lt;=125,C19&gt;=1,C19&lt;=3.5,C45=6),8,IF(AND(C111&lt;=125,C19&gt;3.5,C19&lt;=6.3,C45=6),10,IF(AND(C111&lt;=125,C19&gt;6.3,C19&lt;=10,C45=6),12,IF(AND(C111&gt;125,C111&lt;=400,C19&gt;=1,C19&lt;=3.5,C45=6),9,IF(AND(C111&gt;125,C111&lt;=400,C19&gt;3.5,C19&lt;=6.3,C45=6),10,IF(AND(C111&gt;125,C111&lt;=400,C19&gt;6.3,C19&lt;=10,C45=6),13,C237))))))</f>
        <v>*</v>
      </c>
      <c r="D236" s="2953"/>
      <c r="E236" s="2848"/>
      <c r="F236" s="2986"/>
      <c r="G236" s="2809" t="str">
        <f>IF(AND(G111&lt;=125,G19&gt;=1,G19&lt;=3.5,G45=6),8,IF(AND(G111&lt;=125,G19&gt;3.5,G19&lt;=6.3,G45=6),10,IF(AND(G111&lt;=125,G19&gt;6.3,G19&lt;=10,G45=6),12,IF(AND(G111&gt;125,G111&lt;=400,G19&gt;=1,G19&lt;=3.5,G45=6),9,IF(AND(G111&gt;125,G111&lt;=400,G19&gt;3.5,G19&lt;=6.3,G45=6),10,IF(AND(G111&gt;125,G111&lt;=400,G19&gt;6.3,G19&lt;=10,G45=6),13,G237))))))</f>
        <v>*</v>
      </c>
      <c r="H236" s="2797"/>
      <c r="I236" s="2972"/>
      <c r="J236" s="2975"/>
      <c r="K236" s="2807"/>
      <c r="L236" s="2817"/>
      <c r="M236" s="2860"/>
      <c r="N236" s="2860"/>
      <c r="O236" s="2860"/>
      <c r="P236" s="2860"/>
      <c r="Q236" s="2860"/>
    </row>
    <row r="237" spans="1:17" ht="15.75">
      <c r="A237" s="2953"/>
      <c r="B237" s="2870"/>
      <c r="C237" s="2809" t="str">
        <f>IF(AND(C111&gt;400,C111&lt;=800,C19&gt;=1,C19&lt;=3.5,C45=6),12,IF(AND(C111&gt;400,C111&lt;=800,C19&gt;3.5,C19&lt;=6.3,C45=6),14,IF(AND(C111&gt;400,C111&lt;=800,C19&gt;6.3,C19&lt;=10,C45=6),16,IF(AND(C111&gt;800,C111&lt;=1600,C19&gt;=1,C19&lt;=3.5,C45=6),17,IF(AND(C111&gt;800,C111&lt;=1600,C19&gt;3.5,C19&lt;=6.3,C45=6),18,IF(AND(C111&gt;800,C111&lt;=1600,C19&gt;6.3,C19&lt;=10,C45=6),20,C238))))))</f>
        <v>*</v>
      </c>
      <c r="D237" s="2953"/>
      <c r="E237" s="2848"/>
      <c r="F237" s="2986"/>
      <c r="G237" s="2809" t="str">
        <f>IF(AND(G111&gt;400,G111&lt;=800,G19&gt;=1,G19&lt;=3.5,G45=6),12,IF(AND(G111&gt;400,G111&lt;=800,G19&gt;3.5,G19&lt;=6.3,G45=6),14,IF(AND(G111&gt;400,G111&lt;=800,G19&gt;6.3,G19&lt;=10,G45=6),16,IF(AND(G111&gt;800,G111&lt;=1600,G19&gt;=1,G19&lt;=3.5,G45=6),17,IF(AND(G111&gt;800,G111&lt;=1600,G19&gt;3.5,G19&lt;=6.3,G45=6),18,IF(AND(G111&gt;800,G111&lt;=1600,G19&gt;6.3,G19&lt;=10,G45=6),20,G238))))))</f>
        <v>*</v>
      </c>
      <c r="H237" s="2797"/>
      <c r="I237" s="2972"/>
      <c r="J237" s="2975"/>
      <c r="K237" s="2807"/>
      <c r="L237" s="2817"/>
      <c r="M237" s="2860"/>
      <c r="N237" s="2860"/>
      <c r="O237" s="2860"/>
      <c r="P237" s="2860"/>
      <c r="Q237" s="2860"/>
    </row>
    <row r="238" spans="1:17" ht="15.75">
      <c r="A238" s="2953"/>
      <c r="B238" s="2870"/>
      <c r="C238" s="2809" t="str">
        <f>IF(AND(C111&lt;=125,C19&gt;=1,C19&lt;=3.5,C45=7),11,IF(AND(C111&lt;=125,C19&gt;3.5,C19&lt;=6.3,C45=7),14,IF(AND(C111&lt;=125,C19&gt;6.3,C19&lt;=10,C45=7),17,IF(AND(C111&gt;125,C111&lt;=400,C19&gt;=1,C19&lt;=3.5,C45=7),13,IF(AND(C111&gt;125,C111&lt;=400,C19&gt;3.5,C19&lt;=6.3,C45=7),16,IF(AND(C111&gt;125,C111&lt;=400,C19&gt;6.3,C19&lt;=10,C45=7),19,C239))))))</f>
        <v>*</v>
      </c>
      <c r="D238" s="2953"/>
      <c r="E238" s="2848"/>
      <c r="F238" s="2986"/>
      <c r="G238" s="2809" t="str">
        <f>IF(AND(G111&lt;=125,G19&gt;=1,G19&lt;=3.5,G45=7),11,IF(AND(G111&lt;=125,G19&gt;3.5,G19&lt;=6.3,G45=7),14,IF(AND(G111&lt;=125,G19&gt;6.3,G19&lt;=10,G45=7),17,IF(AND(G111&gt;125,G111&lt;=400,G19&gt;=1,G19&lt;=3.5,G45=7),13,IF(AND(G111&gt;125,G111&lt;=400,G19&gt;3.5,G19&lt;=6.3,G45=7),16,IF(AND(G111&gt;125,G111&lt;=400,G19&gt;6.3,G19&lt;=10,G45=7),19,G239))))))</f>
        <v>*</v>
      </c>
      <c r="H238" s="2797"/>
      <c r="I238" s="2972"/>
      <c r="J238" s="2975"/>
      <c r="K238" s="2807"/>
      <c r="L238" s="2817"/>
      <c r="M238" s="2860"/>
      <c r="N238" s="2860"/>
      <c r="O238" s="2860"/>
      <c r="P238" s="2860"/>
      <c r="Q238" s="2860"/>
    </row>
    <row r="239" spans="1:17" ht="15.75">
      <c r="A239" s="2953"/>
      <c r="B239" s="2870"/>
      <c r="C239" s="2809" t="str">
        <f>IF(AND(C111&gt;400,C111&lt;=800,C19&gt;=1,C19&lt;=3.5,C45=7),17,IF(AND(C111&gt;400,C111&lt;=800,C19&gt;3.5,C19&lt;=6.3,C45=7),20,IF(AND(C111&gt;400,C111&lt;=800,C19&gt;6.3,C19&lt;=10,C45=7),24,IF(AND(C111&gt;800,C111&lt;=1600,C19&gt;=1,C19&lt;=3.5,C45=7),24,IF(AND(C111&gt;800,C111&lt;=1600,C19&gt;3.5,C19&lt;=6.3,C45=7),28,IF(AND(C111&gt;800,C111&lt;=1600,C19&gt;6.3,C19&lt;=10,C45=7),30,C240))))))</f>
        <v>*</v>
      </c>
      <c r="D239" s="2953"/>
      <c r="E239" s="2848"/>
      <c r="F239" s="2986"/>
      <c r="G239" s="2809" t="str">
        <f>IF(AND(G111&gt;400,G111&lt;=800,G19&gt;=1,G19&lt;=3.5,G45=7),17,IF(AND(G111&gt;400,G111&lt;=800,G19&gt;3.5,G19&lt;=6.3,G45=7),20,IF(AND(G111&gt;400,G111&lt;=800,G19&gt;6.3,G19&lt;=10,G45=7),24,IF(AND(G111&gt;800,G111&lt;=1600,G19&gt;=1,G19&lt;=3.5,G45=7),24,IF(AND(G111&gt;800,G111&lt;=1600,G19&gt;3.5,G19&lt;=6.3,G45=7),28,IF(AND(G111&gt;800,G111&lt;=1600,G19&gt;6.3,G19&lt;=10,G45=7),30,G240))))))</f>
        <v>*</v>
      </c>
      <c r="H239" s="2797"/>
      <c r="I239" s="2972"/>
      <c r="J239" s="2975"/>
      <c r="K239" s="2807"/>
      <c r="L239" s="2817"/>
      <c r="M239" s="2860"/>
      <c r="N239" s="2860"/>
      <c r="O239" s="2860"/>
      <c r="P239" s="2860"/>
      <c r="Q239" s="2860"/>
    </row>
    <row r="240" spans="1:17" ht="15.75">
      <c r="A240" s="2953"/>
      <c r="B240" s="2870"/>
      <c r="C240" s="2809" t="str">
        <f>IF(AND(C111&lt;=125,C19&gt;=1,C19&lt;=3.5,C45=8),14,IF(AND(C111&lt;=125,C19&gt;3.5,C19&lt;=6.3,C45=8),20,IF(AND(C111&lt;=125,C19&gt;6.3,C19&lt;=10,C45=8),22,IF(AND(C111&gt;125,C111&lt;=400,C19&gt;=1,C19&lt;=3.5,C45=8),18,IF(AND(C111&gt;125,C111&lt;=400,C19&gt;3.5,C19&lt;=6.3,C45=8),22,IF(AND(C111&gt;125,C111&lt;=400,C19&gt;6.3,C19&lt;=10,C45=8),28,C241))))))</f>
        <v>*</v>
      </c>
      <c r="D240" s="2953"/>
      <c r="E240" s="2848"/>
      <c r="F240" s="2986"/>
      <c r="G240" s="2809" t="str">
        <f>IF(AND(G111&lt;=125,G19&gt;=1,G19&lt;=3.5,G45=8),14,IF(AND(G111&lt;=125,G19&gt;3.5,G19&lt;=6.3,G45=8),20,IF(AND(G111&lt;=125,G19&gt;6.3,G19&lt;=10,G45=8),22,IF(AND(G111&gt;125,G111&lt;=400,G19&gt;=1,G19&lt;=3.5,G45=8),18,IF(AND(G111&gt;125,G111&lt;=400,G19&gt;3.5,G19&lt;=6.3,G45=8),22,IF(AND(G111&gt;125,G111&lt;=400,G19&gt;6.3,G19&lt;=10,G45=8),28,G241))))))</f>
        <v>*</v>
      </c>
      <c r="H240" s="2797"/>
      <c r="I240" s="2972"/>
      <c r="J240" s="2975"/>
      <c r="K240" s="2807"/>
      <c r="L240" s="2817"/>
      <c r="M240" s="2860"/>
      <c r="N240" s="2860"/>
      <c r="O240" s="2860"/>
      <c r="P240" s="2860"/>
      <c r="Q240" s="2860"/>
    </row>
    <row r="241" spans="1:17" ht="15.75">
      <c r="A241" s="2953"/>
      <c r="B241" s="2870"/>
      <c r="C241" s="2809" t="str">
        <f>IF(AND(C111&gt;400,C111&lt;=800,C19&gt;=1,C19&lt;=3.5,C45=8),25,IF(AND(C111&gt;400,C111&lt;=800,C19&gt;3.5,C19&lt;=6.3,C45=8),28,IF(AND(C111&gt;400,C111&lt;=800,C19&gt;6.3,C19&lt;=10,C45=8),36,IF(AND(C111&gt;800,C111&lt;=1600,C19&gt;=1,C19&lt;=3.5,C45=8),36,IF(AND(C111&gt;800,C111&lt;=1600,C19&gt;3.5,C19&lt;=6.3,C45=8),40,IF(AND(C111&gt;800,C111&lt;=1600,C19&gt;6.3,C19&lt;=10,C45=8),45,"*"))))))</f>
        <v>*</v>
      </c>
      <c r="D241" s="2953"/>
      <c r="E241" s="2848"/>
      <c r="F241" s="2986"/>
      <c r="G241" s="2809" t="str">
        <f>IF(AND(G111&gt;400,G111&lt;=800,G19&gt;=1,G19&lt;=3.5,G45=8),25,IF(AND(G111&gt;400,G111&lt;=800,G19&gt;3.5,G19&lt;=6.3,G45=8),28,IF(AND(G111&gt;400,G111&lt;=800,G19&gt;6.3,G19&lt;=10,G45=8),36,IF(AND(G111&gt;800,G111&lt;=1600,G19&gt;=1,G19&lt;=3.5,G45=8),36,IF(AND(G111&gt;800,G111&lt;=1600,G19&gt;3.5,G19&lt;=6.3,G45=8),40,IF(AND(G111&gt;800,G111&lt;=1600,G19&gt;6.3,G19&lt;=10,G45=8),45,"*"))))))</f>
        <v>*</v>
      </c>
      <c r="H241" s="2797"/>
      <c r="I241" s="2972"/>
      <c r="J241" s="2975"/>
      <c r="K241" s="2807"/>
      <c r="L241" s="2817"/>
      <c r="M241" s="2860"/>
      <c r="N241" s="2860"/>
      <c r="O241" s="2860"/>
      <c r="P241" s="2860"/>
      <c r="Q241" s="2860"/>
    </row>
    <row r="242" spans="1:17" ht="15.75">
      <c r="A242" s="2803" t="s">
        <v>3209</v>
      </c>
      <c r="B242" s="2806" t="s">
        <v>3210</v>
      </c>
      <c r="C242" s="2797">
        <f>IF(AND(C23&lt;=40,C46=3),4.5,IF(AND(C23&gt;40,C23&lt;=100,C46=3),6,IF(AND(C23&gt;100,C23&lt;=160,C46=3),8,IF(AND(C23&gt;160,C23&lt;=250,C46=3),10,C243))))</f>
        <v>7</v>
      </c>
      <c r="D242" s="2953"/>
      <c r="E242" s="2848"/>
      <c r="F242" s="2813"/>
      <c r="G242" s="2809"/>
      <c r="H242" s="2797"/>
      <c r="I242" s="2972"/>
      <c r="J242" s="2975"/>
      <c r="K242" s="2807"/>
      <c r="L242" s="2817"/>
      <c r="M242" s="2860"/>
      <c r="N242" s="2860"/>
      <c r="O242" s="2860"/>
      <c r="P242" s="2860"/>
      <c r="Q242" s="2860"/>
    </row>
    <row r="243" spans="1:17" ht="15.75">
      <c r="A243" s="2953"/>
      <c r="B243" s="2870"/>
      <c r="C243" s="2809">
        <f>IF(AND(C23&lt;=40,C46=4),5.5,IF(AND(C23&gt;40,C23&lt;=100,C46=4),8,IF(AND(C23&gt;100,C23&lt;=160,C46=4),10,IF(AND(C23&gt;160,C23&lt;=250,C46=4),12,C244))))</f>
        <v>7</v>
      </c>
      <c r="D243" s="2953"/>
      <c r="E243" s="2848"/>
      <c r="F243" s="2986"/>
      <c r="G243" s="2809"/>
      <c r="H243" s="2797"/>
      <c r="I243" s="2972"/>
      <c r="J243" s="2975"/>
      <c r="K243" s="2807"/>
      <c r="L243" s="2817"/>
      <c r="M243" s="2860"/>
      <c r="N243" s="2860"/>
      <c r="O243" s="2860"/>
      <c r="P243" s="2860"/>
      <c r="Q243" s="2860"/>
    </row>
    <row r="244" spans="1:17" ht="15.75">
      <c r="A244" s="2953"/>
      <c r="B244" s="2870"/>
      <c r="C244" s="2809">
        <f>IF(AND(C23&lt;=40,C46=5),7,IF(AND(C23&gt;40,C23&lt;=100,C46=5),10,IF(AND(C23&gt;100,C23&lt;=160,C46=5),12,IF(AND(C23&gt;160,C23&lt;=250,C46=5),16,C245))))</f>
        <v>7</v>
      </c>
      <c r="D244" s="2953"/>
      <c r="E244" s="2848"/>
      <c r="F244" s="2986"/>
      <c r="G244" s="2809"/>
      <c r="H244" s="2797"/>
      <c r="I244" s="2972"/>
      <c r="J244" s="2975"/>
      <c r="K244" s="2807"/>
      <c r="L244" s="2817"/>
      <c r="M244" s="2860"/>
      <c r="N244" s="2860"/>
      <c r="O244" s="2860"/>
      <c r="P244" s="2860"/>
      <c r="Q244" s="2860"/>
    </row>
    <row r="245" spans="1:17" ht="15.75">
      <c r="A245" s="2953"/>
      <c r="B245" s="2870"/>
      <c r="C245" s="2809" t="str">
        <f>IF(AND(C23&lt;=40,C46=6),9,IF(AND(C23&gt;40,C23&lt;=100,C46=6),12,IF(AND(C23&gt;100,C23&lt;=160,C46=6),16,IF(AND(C23&gt;160,C23&lt;=250,C46=6),19,C246))))</f>
        <v>*</v>
      </c>
      <c r="D245" s="2953"/>
      <c r="E245" s="2848"/>
      <c r="F245" s="2986"/>
      <c r="G245" s="2809"/>
      <c r="H245" s="2797"/>
      <c r="I245" s="2972"/>
      <c r="J245" s="2975"/>
      <c r="K245" s="2807"/>
      <c r="L245" s="2817"/>
      <c r="M245" s="2860"/>
      <c r="N245" s="2860"/>
      <c r="O245" s="2860"/>
      <c r="P245" s="2860"/>
      <c r="Q245" s="2860"/>
    </row>
    <row r="246" spans="1:17" ht="15.75">
      <c r="A246" s="2953"/>
      <c r="B246" s="2870"/>
      <c r="C246" s="2809" t="str">
        <f>IF(AND(C23&lt;=40,C46=7),11,IF(AND(C23&gt;40,C23&lt;=100,C46=7),16,IF(AND(C23&gt;100,C23&lt;=160,C46=7),20,IF(AND(C23&gt;160,C23&lt;=250,C46=7),24,C247))))</f>
        <v>*</v>
      </c>
      <c r="D246" s="2953"/>
      <c r="E246" s="2848"/>
      <c r="F246" s="2986"/>
      <c r="G246" s="2809"/>
      <c r="H246" s="2797"/>
      <c r="I246" s="2972"/>
      <c r="J246" s="2975"/>
      <c r="K246" s="2807"/>
      <c r="L246" s="2817"/>
      <c r="M246" s="2860"/>
      <c r="N246" s="2860"/>
      <c r="O246" s="2860"/>
      <c r="P246" s="2860"/>
      <c r="Q246" s="2860"/>
    </row>
    <row r="247" spans="1:17" ht="15.75">
      <c r="A247" s="2953"/>
      <c r="B247" s="2870"/>
      <c r="C247" s="2809" t="str">
        <f>IF(AND(C23&lt;=40,C46=8),18,IF(AND(C23&gt;40,C23&lt;=100,C46=8),25,IF(AND(C23&gt;100,C23&lt;=160,C46=8),32,IF(AND(C23&gt;160,C23&lt;=250,C46=8),38,"*"))))</f>
        <v>*</v>
      </c>
      <c r="D247" s="2953"/>
      <c r="E247" s="2848"/>
      <c r="F247" s="2986"/>
      <c r="G247" s="2809"/>
      <c r="H247" s="2797"/>
      <c r="I247" s="2972"/>
      <c r="J247" s="2975"/>
      <c r="K247" s="2807"/>
      <c r="L247" s="2817"/>
      <c r="M247" s="2860"/>
      <c r="N247" s="2860"/>
      <c r="O247" s="2860"/>
      <c r="P247" s="2860"/>
      <c r="Q247" s="2860"/>
    </row>
    <row r="248" spans="1:17" ht="15.75">
      <c r="A248" s="2797" t="s">
        <v>3211</v>
      </c>
      <c r="B248" s="2810" t="s">
        <v>3212</v>
      </c>
      <c r="C248" s="2797">
        <f>IF(C46=3,65,IF(C46=4,60,IF(AND(C46=5,C160&gt;0.8),45,IF(AND(C46=5,C160&lt;=0.8),55,IF(AND(C46=6,C160&gt;0.8),40,IF(AND(C46=6,C160&lt;=0.8),50,D248))))))</f>
        <v>45</v>
      </c>
      <c r="D248" s="2809" t="str">
        <f>IF(AND(C46=7,C160&gt;0.8),35,IF(AND(C46=7,C160&lt;=0.8),45,IF(AND(C46=8,C160&gt;0.8),30,IF(AND(C46=8,C160&lt;=0.8),40,"*"))))</f>
        <v>*</v>
      </c>
      <c r="E248" s="2848"/>
      <c r="F248" s="2986"/>
      <c r="G248" s="2809"/>
      <c r="H248" s="2797"/>
      <c r="I248" s="2972"/>
      <c r="J248" s="2975"/>
      <c r="K248" s="2807"/>
      <c r="L248" s="2817"/>
      <c r="M248" s="2860"/>
      <c r="N248" s="2860"/>
      <c r="O248" s="2860"/>
      <c r="P248" s="2860"/>
      <c r="Q248" s="2860"/>
    </row>
    <row r="249" spans="1:17">
      <c r="A249" s="2797"/>
      <c r="B249" s="2810" t="s">
        <v>3213</v>
      </c>
      <c r="C249" s="2797">
        <f>IF(C46=3,95,IF(C46=4,90,IF(C46=5,80,IF(C46=6,70,IF(C46=7,60,IF(C46=8,50,""))))))</f>
        <v>80</v>
      </c>
      <c r="D249" s="2953"/>
      <c r="E249" s="2848"/>
      <c r="F249" s="2986"/>
      <c r="G249" s="2809"/>
      <c r="H249" s="2797"/>
      <c r="I249" s="2972"/>
      <c r="J249" s="2975"/>
      <c r="K249" s="2807"/>
      <c r="L249" s="2817"/>
      <c r="M249" s="2860"/>
      <c r="N249" s="2860"/>
      <c r="O249" s="2860"/>
      <c r="P249" s="2860"/>
      <c r="Q249" s="2860"/>
    </row>
    <row r="250" spans="1:17" ht="15.75">
      <c r="A250" s="2797" t="s">
        <v>3214</v>
      </c>
      <c r="B250" s="2801" t="s">
        <v>3215</v>
      </c>
      <c r="C250" s="2797">
        <f>IF(AND(C132&lt;=40,C46=3),4.5,IF(AND(C132&gt;40,C132&lt;=100,C46=3),6,IF(AND(C132&gt;100,C132&lt;=160,C46=3),8,IF(AND(C132&gt;160,C132&lt;=250,C46=3),10,C243))))</f>
        <v>7</v>
      </c>
      <c r="D250" s="2953"/>
      <c r="E250" s="2848"/>
      <c r="F250" s="2986"/>
      <c r="G250" s="2809"/>
      <c r="H250" s="2797"/>
      <c r="I250" s="2972"/>
      <c r="J250" s="2965"/>
      <c r="K250" s="2900"/>
      <c r="L250" s="2817"/>
      <c r="M250" s="2860"/>
      <c r="N250" s="2860"/>
      <c r="O250" s="2860"/>
      <c r="P250" s="2860"/>
      <c r="Q250" s="2860"/>
    </row>
    <row r="251" spans="1:17" ht="15.75">
      <c r="A251" s="2797"/>
      <c r="B251" s="2801"/>
      <c r="C251" s="2809">
        <f>IF(AND(C132&lt;=40,C46=4),5.5,IF(AND(C132&gt;40,C132&lt;=100,C46=4),8,IF(AND(C132&gt;100,C132&lt;=160,C46=4),10,IF(AND(C132&gt;160,C132&lt;=250,C46=4),12,C244))))</f>
        <v>7</v>
      </c>
      <c r="D251" s="2953"/>
      <c r="E251" s="2848"/>
      <c r="F251" s="2986"/>
      <c r="G251" s="2809"/>
      <c r="H251" s="2797"/>
      <c r="I251" s="2972"/>
      <c r="J251" s="2965"/>
      <c r="K251" s="2900"/>
      <c r="L251" s="2817"/>
      <c r="M251" s="2860"/>
      <c r="N251" s="2860"/>
      <c r="O251" s="2860"/>
      <c r="P251" s="2860"/>
      <c r="Q251" s="2860"/>
    </row>
    <row r="252" spans="1:17" ht="15.75">
      <c r="A252" s="2797"/>
      <c r="B252" s="2801"/>
      <c r="C252" s="2809">
        <f>IF(AND(C132&lt;=40,C46=5),7,IF(AND(C132&gt;40,C132&lt;=100,C46=5),10,IF(AND(C132&gt;100,C132&lt;=160,C46=5),12,IF(AND(C132&gt;160,C132&lt;=250,C46=5),16,C245))))</f>
        <v>7</v>
      </c>
      <c r="D252" s="2953"/>
      <c r="E252" s="2848"/>
      <c r="F252" s="2986"/>
      <c r="G252" s="2809"/>
      <c r="H252" s="2797"/>
      <c r="I252" s="2972"/>
      <c r="J252" s="2965"/>
      <c r="K252" s="2900"/>
      <c r="L252" s="2817"/>
      <c r="M252" s="2860"/>
      <c r="N252" s="2860"/>
      <c r="O252" s="2860"/>
      <c r="P252" s="2860"/>
      <c r="Q252" s="2860"/>
    </row>
    <row r="253" spans="1:17" ht="15.75">
      <c r="A253" s="2797"/>
      <c r="B253" s="2801"/>
      <c r="C253" s="2809">
        <f>IF(AND(C132&lt;=40,C46=3),4.5,IF(AND(C132&gt;40,C132&lt;=100,C46=3),6,IF(AND(C132&gt;100,C132&lt;=160,C46=3),8,IF(AND(C132&gt;160,C132&lt;=250,C46=3),10,C243))))</f>
        <v>7</v>
      </c>
      <c r="D253" s="2953"/>
      <c r="E253" s="2848"/>
      <c r="F253" s="2986"/>
      <c r="G253" s="2809"/>
      <c r="H253" s="2797"/>
      <c r="I253" s="2972"/>
      <c r="J253" s="2965"/>
      <c r="K253" s="2900"/>
      <c r="L253" s="2817"/>
      <c r="M253" s="2860"/>
      <c r="N253" s="2860"/>
      <c r="O253" s="2860"/>
      <c r="P253" s="2860"/>
      <c r="Q253" s="2860"/>
    </row>
    <row r="254" spans="1:17" ht="15.75">
      <c r="A254" s="2797"/>
      <c r="B254" s="2801"/>
      <c r="C254" s="2809" t="str">
        <f>IF(AND(C132&lt;=40,C46=7),11,IF(AND(C132&gt;40,C132&lt;=100,C46=7),16,IF(AND(C132&gt;100,C132&lt;=160,C46=7),20,IF(AND(C132&gt;160,C132&lt;=250,C46=7),24,C247))))</f>
        <v>*</v>
      </c>
      <c r="D254" s="2953"/>
      <c r="E254" s="2848"/>
      <c r="F254" s="2986"/>
      <c r="G254" s="2809"/>
      <c r="H254" s="2797"/>
      <c r="I254" s="2972"/>
      <c r="J254" s="2965"/>
      <c r="K254" s="2900"/>
      <c r="L254" s="2817"/>
      <c r="M254" s="2860"/>
      <c r="N254" s="2860"/>
      <c r="O254" s="2860"/>
      <c r="P254" s="2860"/>
      <c r="Q254" s="2860"/>
    </row>
    <row r="255" spans="1:17" ht="15.75">
      <c r="A255" s="2797"/>
      <c r="B255" s="2801"/>
      <c r="C255" s="2809" t="str">
        <f>IF(AND(C132&lt;=40,C46=8),18,IF(AND(C132&gt;40,C132&lt;=100,C46=8),25,IF(AND(C132&gt;100,C132&lt;=160,C46=8),32,IF(AND(C132&gt;160,C132&lt;=250,C46=8),38,"*"))))</f>
        <v>*</v>
      </c>
      <c r="D255" s="2953"/>
      <c r="E255" s="2848"/>
      <c r="F255" s="2986"/>
      <c r="G255" s="2809"/>
      <c r="H255" s="2797"/>
      <c r="I255" s="2972"/>
      <c r="J255" s="2965"/>
      <c r="K255" s="2900"/>
      <c r="L255" s="2817"/>
      <c r="M255" s="2860"/>
      <c r="N255" s="2860"/>
      <c r="O255" s="2860"/>
      <c r="P255" s="2860"/>
      <c r="Q255" s="2860"/>
    </row>
    <row r="256" spans="1:17" ht="15.75">
      <c r="A256" s="2797" t="s">
        <v>3216</v>
      </c>
      <c r="B256" s="2801" t="s">
        <v>3217</v>
      </c>
      <c r="C256" s="2797">
        <f>C242</f>
        <v>7</v>
      </c>
      <c r="D256" s="2953"/>
      <c r="E256" s="2848"/>
      <c r="F256" s="2986"/>
      <c r="G256" s="2809"/>
      <c r="H256" s="2797"/>
      <c r="I256" s="2972"/>
      <c r="J256" s="2965"/>
      <c r="K256" s="2900"/>
      <c r="L256" s="2817"/>
      <c r="M256" s="2860"/>
      <c r="N256" s="2860"/>
      <c r="O256" s="2860"/>
      <c r="P256" s="2860"/>
      <c r="Q256" s="2860"/>
    </row>
    <row r="257" spans="1:17" ht="15.75">
      <c r="A257" s="2797" t="s">
        <v>3218</v>
      </c>
      <c r="B257" s="2806" t="s">
        <v>3219</v>
      </c>
      <c r="C257" s="2797">
        <f>ROUND(C258*COS(C103),0)</f>
        <v>25</v>
      </c>
      <c r="D257" s="2953"/>
      <c r="E257" s="2848"/>
      <c r="F257" s="2986"/>
      <c r="G257" s="2809"/>
      <c r="H257" s="2797"/>
      <c r="I257" s="2972"/>
      <c r="J257" s="2965"/>
      <c r="K257" s="2900"/>
      <c r="L257" s="2817"/>
      <c r="M257" s="2860"/>
      <c r="N257" s="2860"/>
      <c r="O257" s="2860"/>
      <c r="P257" s="2860"/>
      <c r="Q257" s="2860"/>
    </row>
    <row r="258" spans="1:17" ht="15.75">
      <c r="A258" s="2900" t="s">
        <v>3220</v>
      </c>
      <c r="B258" s="2801" t="s">
        <v>3221</v>
      </c>
      <c r="C258" s="2797">
        <f>ROUND(C184+C230,0)</f>
        <v>26</v>
      </c>
      <c r="D258" s="2953"/>
      <c r="E258" s="2848"/>
      <c r="F258" s="2797" t="s">
        <v>4231</v>
      </c>
      <c r="G258" s="2797">
        <f>ROUND(G184+G230,0)</f>
        <v>26</v>
      </c>
      <c r="H258" s="2797"/>
      <c r="I258" s="2972"/>
      <c r="J258" s="2965"/>
      <c r="K258" s="2900"/>
      <c r="L258" s="2817"/>
      <c r="M258" s="2860"/>
      <c r="N258" s="2860"/>
      <c r="O258" s="2860"/>
      <c r="P258" s="2860"/>
      <c r="Q258" s="2860"/>
    </row>
    <row r="259" spans="1:17" ht="15.75">
      <c r="A259" s="2976" t="s">
        <v>3223</v>
      </c>
      <c r="B259" s="2801" t="s">
        <v>3224</v>
      </c>
      <c r="C259" s="2797">
        <f>ROUND(0.6*(C206+C230),0)</f>
        <v>7</v>
      </c>
      <c r="D259" s="2953"/>
      <c r="E259" s="2848"/>
      <c r="F259" s="2797" t="s">
        <v>4232</v>
      </c>
      <c r="G259" s="2797">
        <f>ROUND(0.6*(G206+G230),0)</f>
        <v>7</v>
      </c>
      <c r="H259" s="2797"/>
      <c r="I259" s="2972"/>
      <c r="J259" s="2965"/>
      <c r="K259" s="2900"/>
      <c r="L259" s="2817"/>
      <c r="M259" s="2860"/>
      <c r="N259" s="2860"/>
      <c r="O259" s="2860"/>
      <c r="P259" s="2860"/>
      <c r="Q259" s="2860"/>
    </row>
    <row r="260" spans="1:17" ht="15.75">
      <c r="A260" s="2900" t="s">
        <v>3226</v>
      </c>
      <c r="B260" s="2801" t="s">
        <v>3227</v>
      </c>
      <c r="C260" s="2797">
        <f>IF(C58&lt;&gt;"",C58,D287/1000)</f>
        <v>-2.4E-2</v>
      </c>
      <c r="D260" s="2953"/>
      <c r="E260" s="2848"/>
      <c r="F260" s="2797" t="s">
        <v>3228</v>
      </c>
      <c r="G260" s="2797">
        <f>IF(C60&lt;&gt;"",C60,D289/1000)</f>
        <v>-0.06</v>
      </c>
      <c r="H260" s="2797"/>
      <c r="I260" s="2803"/>
      <c r="J260" s="2965"/>
      <c r="K260" s="2900"/>
      <c r="L260" s="2817"/>
      <c r="M260" s="2860"/>
      <c r="N260" s="2860"/>
      <c r="O260" s="2860"/>
      <c r="P260" s="2860"/>
      <c r="Q260" s="2860"/>
    </row>
    <row r="261" spans="1:17" ht="15.75">
      <c r="A261" s="2900" t="s">
        <v>3229</v>
      </c>
      <c r="B261" s="2801" t="s">
        <v>3230</v>
      </c>
      <c r="C261" s="2797">
        <f>IF(C59&lt;&gt;"",C59,D288/1000)</f>
        <v>-4.8000000000000001E-2</v>
      </c>
      <c r="D261" s="2953"/>
      <c r="E261" s="2848"/>
      <c r="F261" s="2797" t="s">
        <v>3231</v>
      </c>
      <c r="G261" s="2797">
        <f>IF(C61&lt;&gt;"",C61,D290/1000)</f>
        <v>-0.12</v>
      </c>
      <c r="H261" s="2797"/>
      <c r="I261" s="2803"/>
      <c r="J261" s="2965"/>
      <c r="K261" s="2900"/>
      <c r="L261" s="2817"/>
      <c r="M261" s="2860"/>
      <c r="N261" s="2860"/>
      <c r="O261" s="2860"/>
      <c r="P261" s="2860"/>
      <c r="Q261" s="2860"/>
    </row>
    <row r="262" spans="1:17" ht="15.75">
      <c r="A262" s="2813" t="s">
        <v>3232</v>
      </c>
      <c r="B262" s="2801" t="s">
        <v>3233</v>
      </c>
      <c r="C262" s="2797">
        <f>ABS(C260-C261)</f>
        <v>2.4E-2</v>
      </c>
      <c r="D262" s="2953"/>
      <c r="E262" s="2848"/>
      <c r="F262" s="2797" t="s">
        <v>3234</v>
      </c>
      <c r="G262" s="2797">
        <f>ABS(G260-G261)</f>
        <v>0.06</v>
      </c>
      <c r="H262" s="2797"/>
      <c r="I262" s="2803"/>
      <c r="J262" s="2965"/>
      <c r="K262" s="2900"/>
      <c r="L262" s="2817"/>
      <c r="M262" s="2860"/>
      <c r="N262" s="2860"/>
      <c r="O262" s="2860"/>
      <c r="P262" s="2860"/>
      <c r="Q262" s="2860"/>
    </row>
    <row r="263" spans="1:17" ht="15.75">
      <c r="A263" s="2821"/>
      <c r="B263" s="2801" t="s">
        <v>3235</v>
      </c>
      <c r="C263" s="2797">
        <f>IF(0.002*C109*SIN(C115)*(12*(F263-20)-D263*(E263-20))&lt;0,0,ROUND(0.002*C109*SIN(C115)*(12*(F263-20)-D263*(E263-20)),0))</f>
        <v>0</v>
      </c>
      <c r="D263" s="2809">
        <f>IF(OR(C47=0,C47="C"),11,IF(C47="S",12,24))</f>
        <v>24</v>
      </c>
      <c r="E263" s="2809">
        <f>IF(C49=0,60,C49)</f>
        <v>70</v>
      </c>
      <c r="F263" s="2809">
        <f>IF(C48="",80,C48)</f>
        <v>100</v>
      </c>
      <c r="G263" s="2821"/>
      <c r="H263" s="2797"/>
      <c r="I263" s="2803"/>
      <c r="J263" s="2965"/>
      <c r="K263" s="2900"/>
      <c r="L263" s="2817"/>
      <c r="M263" s="2860"/>
      <c r="N263" s="2860"/>
      <c r="O263" s="2860"/>
      <c r="P263" s="2860"/>
      <c r="Q263" s="2860"/>
    </row>
    <row r="264" spans="1:17" ht="15.75">
      <c r="A264" s="2821"/>
      <c r="B264" s="2801" t="s">
        <v>3236</v>
      </c>
      <c r="C264" s="2797">
        <f>ROUND(20*C19,0)</f>
        <v>50</v>
      </c>
      <c r="D264" s="2953"/>
      <c r="E264" s="2821"/>
      <c r="F264" s="2797"/>
      <c r="G264" s="2821"/>
      <c r="H264" s="2797"/>
      <c r="I264" s="2803"/>
      <c r="J264" s="2965"/>
      <c r="K264" s="2900"/>
      <c r="L264" s="2817"/>
      <c r="M264" s="2860"/>
      <c r="N264" s="2860"/>
      <c r="O264" s="2860"/>
      <c r="P264" s="2860"/>
      <c r="Q264" s="2860"/>
    </row>
    <row r="265" spans="1:17" ht="15.75">
      <c r="A265" s="2821"/>
      <c r="B265" s="2801" t="s">
        <v>3237</v>
      </c>
      <c r="C265" s="2797">
        <f>ROUND(SQRT(C218^2+G218^2+(1.25*COS(C115)^2+1)*C250^2),0)</f>
        <v>12</v>
      </c>
      <c r="D265" s="2953"/>
      <c r="E265" s="2821"/>
      <c r="F265" s="2797"/>
      <c r="G265" s="2821"/>
      <c r="H265" s="2797"/>
      <c r="I265" s="2803"/>
      <c r="J265" s="2978"/>
      <c r="K265" s="2801"/>
      <c r="L265" s="2817"/>
      <c r="M265" s="2860"/>
      <c r="N265" s="2860"/>
      <c r="O265" s="2860"/>
      <c r="P265" s="2860"/>
      <c r="Q265" s="2860"/>
    </row>
    <row r="266" spans="1:17" ht="15.75">
      <c r="A266" s="2821"/>
      <c r="B266" s="2801" t="s">
        <v>3238</v>
      </c>
      <c r="C266" s="2797">
        <f>ROUND(0.45*C109^0.3333+0.001*C109,0)</f>
        <v>2</v>
      </c>
      <c r="D266" s="2953"/>
      <c r="E266" s="2821"/>
      <c r="F266" s="2797"/>
      <c r="G266" s="2821"/>
      <c r="H266" s="2797"/>
      <c r="I266" s="2803"/>
      <c r="J266" s="2978"/>
      <c r="K266" s="2900"/>
      <c r="L266" s="2817"/>
      <c r="M266" s="2860"/>
      <c r="N266" s="2860"/>
      <c r="O266" s="2860"/>
      <c r="P266" s="2860"/>
      <c r="Q266" s="2860"/>
    </row>
    <row r="267" spans="1:17" ht="15.75">
      <c r="A267" s="2821"/>
      <c r="B267" s="2801" t="s">
        <v>3239</v>
      </c>
      <c r="C267" s="2797">
        <f>ROUND(0.45*C111^0.3333+0.001*C111,0)</f>
        <v>2</v>
      </c>
      <c r="D267" s="2953"/>
      <c r="E267" s="2821"/>
      <c r="F267" s="2797"/>
      <c r="G267" s="2821"/>
      <c r="H267" s="2797"/>
      <c r="I267" s="2803"/>
      <c r="J267" s="2978"/>
      <c r="K267" s="2900"/>
      <c r="L267" s="2817"/>
      <c r="M267" s="2860"/>
      <c r="N267" s="2860"/>
      <c r="O267" s="2860"/>
      <c r="P267" s="2860"/>
      <c r="Q267" s="2860"/>
    </row>
    <row r="268" spans="1:17" ht="15.75">
      <c r="A268" s="2821"/>
      <c r="B268" s="2801" t="s">
        <v>3240</v>
      </c>
      <c r="C268" s="2797">
        <f>ROUND(0.45*G111^0.3333+0.001*G111,0)</f>
        <v>2</v>
      </c>
      <c r="D268" s="2953"/>
      <c r="E268" s="2821"/>
      <c r="F268" s="2797"/>
      <c r="G268" s="2821"/>
      <c r="H268" s="2797"/>
      <c r="I268" s="2803"/>
      <c r="J268" s="2978"/>
      <c r="K268" s="2900"/>
      <c r="L268" s="2817"/>
      <c r="M268" s="2860"/>
      <c r="N268" s="2860"/>
      <c r="O268" s="2860"/>
      <c r="P268" s="2860"/>
      <c r="Q268" s="2860"/>
    </row>
    <row r="269" spans="1:17" ht="15.75">
      <c r="A269" s="2821"/>
      <c r="B269" s="2801" t="s">
        <v>1072</v>
      </c>
      <c r="C269" s="2797">
        <f>IF(C45&lt;=6,ROUND(-8*C266,0),ROUND(-12.5*C266,0))</f>
        <v>-16</v>
      </c>
      <c r="D269" s="2953"/>
      <c r="E269" s="2821"/>
      <c r="F269" s="2797"/>
      <c r="G269" s="2821"/>
      <c r="H269" s="2797"/>
      <c r="I269" s="2803"/>
      <c r="J269" s="2978"/>
      <c r="K269" s="2900"/>
      <c r="L269" s="2817"/>
      <c r="M269" s="2860"/>
      <c r="N269" s="2860"/>
      <c r="O269" s="2860"/>
      <c r="P269" s="2860"/>
      <c r="Q269" s="2860"/>
    </row>
    <row r="270" spans="1:17" ht="15.75">
      <c r="A270" s="2821"/>
      <c r="B270" s="2801" t="s">
        <v>3241</v>
      </c>
      <c r="C270" s="2797">
        <f>ROUND(-2*C269*TAN(C115)-(C263+C264+C265)/COS(C115),0)</f>
        <v>-54</v>
      </c>
      <c r="D270" s="2953"/>
      <c r="E270" s="2821"/>
      <c r="F270" s="2797"/>
      <c r="G270" s="2821"/>
      <c r="H270" s="2797"/>
      <c r="I270" s="2803"/>
      <c r="J270" s="2978"/>
      <c r="K270" s="2900"/>
      <c r="L270" s="2817"/>
      <c r="M270" s="2860"/>
      <c r="N270" s="2860"/>
      <c r="O270" s="2860"/>
      <c r="P270" s="2860"/>
      <c r="Q270" s="2860"/>
    </row>
    <row r="271" spans="1:17" ht="15.75">
      <c r="A271" s="2821"/>
      <c r="B271" s="2801" t="s">
        <v>3242</v>
      </c>
      <c r="C271" s="2797">
        <f>ROUND(C270*C17/(C17+C18),0)</f>
        <v>-21</v>
      </c>
      <c r="D271" s="2953"/>
      <c r="E271" s="2821"/>
      <c r="F271" s="2797"/>
      <c r="G271" s="2821"/>
      <c r="H271" s="2797"/>
      <c r="I271" s="2803"/>
      <c r="J271" s="2978"/>
      <c r="K271" s="2900"/>
      <c r="L271" s="2817"/>
      <c r="M271" s="2860"/>
      <c r="N271" s="2860"/>
      <c r="O271" s="2860"/>
      <c r="P271" s="2860"/>
      <c r="Q271" s="2860"/>
    </row>
    <row r="272" spans="1:17" ht="15.75">
      <c r="A272" s="2821"/>
      <c r="B272" s="2801" t="s">
        <v>3243</v>
      </c>
      <c r="C272" s="2797">
        <f>ROUND(C270*C18/(C17+C18),0)</f>
        <v>-33</v>
      </c>
      <c r="D272" s="2953"/>
      <c r="E272" s="2821"/>
      <c r="F272" s="2797"/>
      <c r="G272" s="2821"/>
      <c r="H272" s="2797"/>
      <c r="I272" s="2803"/>
      <c r="J272" s="2978"/>
      <c r="K272" s="2900"/>
      <c r="L272" s="2817"/>
      <c r="M272" s="2860"/>
      <c r="N272" s="2860"/>
      <c r="O272" s="2860"/>
      <c r="P272" s="2860"/>
      <c r="Q272" s="2860"/>
    </row>
    <row r="273" spans="1:17" ht="15.75">
      <c r="A273" s="2821"/>
      <c r="B273" s="2801" t="s">
        <v>3244</v>
      </c>
      <c r="C273" s="2797">
        <f>IF(C43=3,16*C267,IF(C43=4,20*C267,IF(C43=5,25*C267,IF(C43=6,31.5*C267,IF(C43=7,40*C267,50.4*C267)))))</f>
        <v>50</v>
      </c>
      <c r="D273" s="2953"/>
      <c r="E273" s="2821"/>
      <c r="F273" s="2797"/>
      <c r="G273" s="2821"/>
      <c r="H273" s="2797"/>
      <c r="I273" s="2803"/>
      <c r="J273" s="2978"/>
      <c r="K273" s="2900"/>
      <c r="L273" s="2817"/>
      <c r="M273" s="2860"/>
      <c r="N273" s="2860"/>
      <c r="O273" s="2860"/>
      <c r="P273" s="2860"/>
      <c r="Q273" s="2860"/>
    </row>
    <row r="274" spans="1:17" ht="15.75">
      <c r="A274" s="2821"/>
      <c r="B274" s="2801" t="s">
        <v>3245</v>
      </c>
      <c r="C274" s="2797">
        <f>IF(C43=3,16*C268,IF(C43=4,20*C268,IF(C43=5,25*C268,IF(C43=6,31.5*C268,IF(C43=7,40*C268,50.4*C268)))))</f>
        <v>50</v>
      </c>
      <c r="D274" s="2953"/>
      <c r="E274" s="2821"/>
      <c r="F274" s="2797"/>
      <c r="G274" s="2821"/>
      <c r="H274" s="2797"/>
      <c r="I274" s="2803"/>
      <c r="J274" s="2978"/>
      <c r="K274" s="2900"/>
      <c r="L274" s="2817"/>
      <c r="M274" s="2860"/>
      <c r="N274" s="2860"/>
      <c r="O274" s="2860"/>
      <c r="P274" s="2860"/>
      <c r="Q274" s="2860"/>
    </row>
    <row r="275" spans="1:17" ht="15.75">
      <c r="A275" s="2821"/>
      <c r="B275" s="2801" t="s">
        <v>3246</v>
      </c>
      <c r="C275" s="2797">
        <f>ROUND(SQRT(C190^2+C273^2)*2*TAN(C115),0)</f>
        <v>42</v>
      </c>
      <c r="D275" s="2953"/>
      <c r="E275" s="2821"/>
      <c r="F275" s="2797"/>
      <c r="G275" s="2821"/>
      <c r="H275" s="2797"/>
      <c r="I275" s="2803"/>
      <c r="J275" s="2978"/>
      <c r="K275" s="2900"/>
      <c r="L275" s="2817"/>
      <c r="M275" s="2860"/>
      <c r="N275" s="2860"/>
      <c r="O275" s="2860"/>
      <c r="P275" s="2860"/>
      <c r="Q275" s="2860"/>
    </row>
    <row r="276" spans="1:17" ht="15.75">
      <c r="A276" s="2821"/>
      <c r="B276" s="2801" t="s">
        <v>3247</v>
      </c>
      <c r="C276" s="2797">
        <f>ROUND(SQRT(G190^2+C274^2)*2*TAN(C115),0)</f>
        <v>42</v>
      </c>
      <c r="D276" s="2953"/>
      <c r="E276" s="2821"/>
      <c r="F276" s="2797"/>
      <c r="G276" s="2821"/>
      <c r="H276" s="2797"/>
      <c r="I276" s="2803"/>
      <c r="J276" s="2978"/>
      <c r="K276" s="2900"/>
      <c r="L276" s="2817"/>
      <c r="M276" s="2860"/>
      <c r="N276" s="2860"/>
      <c r="O276" s="2860"/>
      <c r="P276" s="2860"/>
      <c r="Q276" s="2860"/>
    </row>
    <row r="277" spans="1:17" ht="15.75">
      <c r="A277" s="2821"/>
      <c r="B277" s="2801" t="s">
        <v>3248</v>
      </c>
      <c r="C277" s="2797">
        <f>C271-C275</f>
        <v>-63</v>
      </c>
      <c r="D277" s="2953"/>
      <c r="E277" s="2821"/>
      <c r="F277" s="2797"/>
      <c r="G277" s="2821"/>
      <c r="H277" s="2797"/>
      <c r="I277" s="2803"/>
      <c r="J277" s="2978"/>
      <c r="K277" s="2900"/>
      <c r="L277" s="2817"/>
      <c r="M277" s="2860"/>
      <c r="N277" s="2860"/>
      <c r="O277" s="2860"/>
      <c r="P277" s="2860"/>
      <c r="Q277" s="2860"/>
    </row>
    <row r="278" spans="1:17" ht="15.75">
      <c r="A278" s="2821"/>
      <c r="B278" s="2801" t="s">
        <v>3249</v>
      </c>
      <c r="C278" s="2797">
        <f>C272-C276</f>
        <v>-75</v>
      </c>
      <c r="D278" s="2953"/>
      <c r="E278" s="2821"/>
      <c r="F278" s="2797"/>
      <c r="G278" s="2821"/>
      <c r="H278" s="2797"/>
      <c r="I278" s="2803"/>
      <c r="J278" s="2978"/>
      <c r="K278" s="2900"/>
      <c r="L278" s="2817"/>
      <c r="M278" s="2860"/>
      <c r="N278" s="2860"/>
      <c r="O278" s="2860"/>
      <c r="P278" s="2860"/>
      <c r="Q278" s="2860"/>
    </row>
    <row r="279" spans="1:17" ht="15.75">
      <c r="A279" s="2821"/>
      <c r="B279" s="2801" t="s">
        <v>3250</v>
      </c>
      <c r="C279" s="2797">
        <f>ROUND(C271/C206,0)</f>
        <v>-4</v>
      </c>
      <c r="D279" s="2797" t="str">
        <f t="shared" ref="D279:D282" si="3">IF(C279&gt;0.5,"C",IF(AND(C279&gt;-1,C279&lt;=0.5),"D",IF(AND(C279&gt;-3,C279&lt;=-1),"E",IF(AND(C279&gt;-5,C279&lt;=-3),"F",IF(AND(C279&gt;-7,C279&lt;=-5),"G",IF(AND(C279&gt;-9,C279&lt;=-7),"H",IF(AND(C279&gt;-11,C279&lt;=-9),"J",E279)))))))</f>
        <v>F</v>
      </c>
      <c r="E279" s="2809" t="str">
        <f t="shared" ref="E279:E282" si="4">IF(AND(C279&gt;-14,C279&lt;=-11),"K",IF(AND(C279&gt;-18,C279&lt;=-14),"L",IF(AND(C279&gt;-22.5,C279&lt;=-18),"M",IF(AND(C279&gt;-28.5,C279&lt;=-22.5),"N",IF(AND(C279&gt;-36,C279&lt;=-28.5),"P",IF(AND(C279&gt;-45,C279&lt;=-36),"R",IF(C279&lt;=-45,"S","*")))))))</f>
        <v>*</v>
      </c>
      <c r="F279" s="2809"/>
      <c r="G279" s="2821"/>
      <c r="H279" s="2797"/>
      <c r="I279" s="2803"/>
      <c r="J279" s="2965"/>
      <c r="K279" s="2900"/>
      <c r="L279" s="2817"/>
      <c r="M279" s="2860"/>
      <c r="N279" s="2860"/>
      <c r="O279" s="2860"/>
      <c r="P279" s="2860"/>
      <c r="Q279" s="2860"/>
    </row>
    <row r="280" spans="1:17" ht="15.75">
      <c r="A280" s="2821"/>
      <c r="B280" s="2801" t="s">
        <v>3251</v>
      </c>
      <c r="C280" s="2797">
        <f>ROUND(C277/C206,0)</f>
        <v>-11</v>
      </c>
      <c r="D280" s="2797" t="str">
        <f t="shared" si="3"/>
        <v>K</v>
      </c>
      <c r="E280" s="2809" t="str">
        <f t="shared" si="4"/>
        <v>K</v>
      </c>
      <c r="F280" s="2809"/>
      <c r="G280" s="2821"/>
      <c r="H280" s="2797"/>
      <c r="I280" s="2803"/>
      <c r="J280" s="2965"/>
      <c r="K280" s="2900"/>
      <c r="L280" s="2817"/>
      <c r="M280" s="2860"/>
      <c r="N280" s="2860"/>
      <c r="O280" s="2860"/>
      <c r="P280" s="2860"/>
      <c r="Q280" s="2860"/>
    </row>
    <row r="281" spans="1:17" ht="15.75">
      <c r="A281" s="2821"/>
      <c r="B281" s="2801" t="s">
        <v>3252</v>
      </c>
      <c r="C281" s="2797">
        <f>ROUND(C272/G206,0)</f>
        <v>-6</v>
      </c>
      <c r="D281" s="2797" t="str">
        <f t="shared" si="3"/>
        <v>G</v>
      </c>
      <c r="E281" s="2809" t="str">
        <f t="shared" si="4"/>
        <v>*</v>
      </c>
      <c r="F281" s="2809"/>
      <c r="G281" s="2821"/>
      <c r="H281" s="2797"/>
      <c r="I281" s="2803"/>
      <c r="J281" s="2965"/>
      <c r="K281" s="2900"/>
      <c r="L281" s="2817"/>
      <c r="M281" s="2860"/>
      <c r="N281" s="2860"/>
      <c r="O281" s="2860"/>
      <c r="P281" s="2860"/>
      <c r="Q281" s="2860"/>
    </row>
    <row r="282" spans="1:17" ht="15.75">
      <c r="A282" s="2821"/>
      <c r="B282" s="2801" t="s">
        <v>3253</v>
      </c>
      <c r="C282" s="2797">
        <f>ROUND(C278/G206,0)</f>
        <v>-13</v>
      </c>
      <c r="D282" s="2797" t="str">
        <f t="shared" si="3"/>
        <v>K</v>
      </c>
      <c r="E282" s="2809" t="str">
        <f t="shared" si="4"/>
        <v>K</v>
      </c>
      <c r="F282" s="2809"/>
      <c r="G282" s="2821"/>
      <c r="H282" s="2797"/>
      <c r="I282" s="2803"/>
      <c r="J282" s="2965"/>
      <c r="K282" s="2900"/>
      <c r="L282" s="2817"/>
      <c r="M282" s="2860"/>
      <c r="N282" s="2860"/>
      <c r="O282" s="2860"/>
      <c r="P282" s="2860"/>
      <c r="Q282" s="2860"/>
    </row>
    <row r="283" spans="1:17" ht="15.75">
      <c r="A283" s="2821"/>
      <c r="B283" s="2801" t="s">
        <v>3254</v>
      </c>
      <c r="C283" s="2797">
        <f t="shared" ref="C283:C288" si="5">ABS(D283+D285)</f>
        <v>60</v>
      </c>
      <c r="D283" s="2809">
        <f>IF(D279="C",C206,IF(D279="D",0,IF(D279="E",-2*C206,IF(D279="F",-4*C206,IF(D279="G",-6*C206,IF(D279="H",-8*C206,IF(D279="J",-10*C206,E283)))))))</f>
        <v>-24</v>
      </c>
      <c r="E283" s="2809" t="str">
        <f>IF(D279="K",-12*C206,IF(D279="L",-16*C206,IF(D279="M",-20*C206,IF(D279="N",-25*C206,IF(D279="P",-32*C206,IF(D279="R",-40*C206,IF(D279="S",-50*C206,"*")))))))</f>
        <v>*</v>
      </c>
      <c r="F283" s="2797"/>
      <c r="G283" s="2821"/>
      <c r="H283" s="2797"/>
      <c r="I283" s="2803"/>
      <c r="J283" s="2965"/>
      <c r="K283" s="2900"/>
      <c r="L283" s="2817"/>
      <c r="M283" s="2860"/>
      <c r="N283" s="2860"/>
      <c r="O283" s="2860"/>
      <c r="P283" s="2860"/>
      <c r="Q283" s="2860"/>
    </row>
    <row r="284" spans="1:17" ht="15.75">
      <c r="A284" s="2821"/>
      <c r="B284" s="2801" t="s">
        <v>3255</v>
      </c>
      <c r="C284" s="2797">
        <f t="shared" si="5"/>
        <v>144</v>
      </c>
      <c r="D284" s="2809">
        <f>IF(D280="C",C206,IF(D280="D",0,IF(D280="E",-2*C206,IF(D280="F",-4*C206,IF(D280="G",-6*C206,IF(D280="H",-8*C206,IF(D280="J",-10*C206,E284)))))))</f>
        <v>-72</v>
      </c>
      <c r="E284" s="2809">
        <f>IF(D280="K",-12*C206,IF(D280="L",-16*C206,IF(D280="M",-20*C206,IF(D280="N",-25*C206,IF(D280="P",-32*C206,IF(D280="R",-40*C206,IF(D280="S",-50*C206,"*")))))))</f>
        <v>-72</v>
      </c>
      <c r="F284" s="2797"/>
      <c r="G284" s="2821"/>
      <c r="H284" s="2797"/>
      <c r="I284" s="2803"/>
      <c r="J284" s="2965"/>
      <c r="K284" s="2900"/>
      <c r="L284" s="2817"/>
      <c r="M284" s="2860"/>
      <c r="N284" s="2860"/>
      <c r="O284" s="2860"/>
      <c r="P284" s="2860"/>
      <c r="Q284" s="2860"/>
    </row>
    <row r="285" spans="1:17" ht="15.75">
      <c r="A285" s="2821"/>
      <c r="B285" s="2801"/>
      <c r="C285" s="2797"/>
      <c r="D285" s="2809">
        <f>IF(D281="C",G206,IF(D281="D",0,IF(D281="E",-2*G206,IF(D281="F",-4*G206,IF(D281="G",-6*G206,IF(D281="H",-8*G206,IF(D281="J",-10*G206,E285)))))))</f>
        <v>-36</v>
      </c>
      <c r="E285" s="2809" t="str">
        <f>IF(D281="K",-12*G206,IF(D281="L",-16*G206,IF(D281="M",-20*G206,IF(D281="N",-25*G206,IF(D281="P",-32*G206,IF(D281="R",-40*G206,IF(D281="S",-50*G206,"*")))))))</f>
        <v>*</v>
      </c>
      <c r="F285" s="2797"/>
      <c r="G285" s="2821"/>
      <c r="H285" s="2797"/>
      <c r="I285" s="2803"/>
      <c r="J285" s="2965"/>
      <c r="K285" s="2900"/>
      <c r="L285" s="2817"/>
      <c r="M285" s="2860"/>
      <c r="N285" s="2860"/>
      <c r="O285" s="2860"/>
      <c r="P285" s="2860"/>
      <c r="Q285" s="2860"/>
    </row>
    <row r="286" spans="1:17" ht="15.75">
      <c r="A286" s="2821"/>
      <c r="B286" s="2801"/>
      <c r="C286" s="2797"/>
      <c r="D286" s="2809">
        <f>IF(D282="C",G206,IF(D282="D",0,IF(D282="E",-2*G206,IF(D282="F",-4*G206,IF(D282="G",-6*G206,IF(D282="H",-8*G206,IF(D282="J",-10*G206,E286)))))))</f>
        <v>-72</v>
      </c>
      <c r="E286" s="2809">
        <f>IF(D282="K",-12*G206,IF(D282="L",-16*G206,IF(D282="M",-20*G206,IF(D282="N",-25*G206,IF(D282="P",-32*G206,IF(D282="R",-40*G206,IF(D282="S",-50*G206,"*")))))))</f>
        <v>-72</v>
      </c>
      <c r="F286" s="2797"/>
      <c r="G286" s="2821"/>
      <c r="H286" s="2797"/>
      <c r="I286" s="2803"/>
      <c r="J286" s="2965"/>
      <c r="K286" s="2900"/>
      <c r="L286" s="2817"/>
      <c r="M286" s="2860"/>
      <c r="N286" s="2860"/>
      <c r="O286" s="2860"/>
      <c r="P286" s="2860"/>
      <c r="Q286" s="2860"/>
    </row>
    <row r="287" spans="1:17" ht="15.75">
      <c r="A287" s="2821"/>
      <c r="B287" s="2801" t="s">
        <v>2885</v>
      </c>
      <c r="C287" s="2797">
        <f t="shared" si="5"/>
        <v>84</v>
      </c>
      <c r="D287" s="2809">
        <f>IF(F287="C",C206,IF(F287="D",0,IF(F287="E",-2*C206,IF(F287="F",-4*C206,IF(F287="G",-6*C206,IF(F287="H",-8*C206,IF(F287="J",-10*C206,E287)))))))</f>
        <v>-24</v>
      </c>
      <c r="E287" s="2809" t="str">
        <f>IF(F287="K",-12*C206,IF(F287="L",-16*C206,IF(F287="M",-20*C206,IF(F287="N",-25*C206,IF(F287="P",-32*C206,IF(F287="R",-40*C206,IF(F287="S",-50*C206,"*")))))))</f>
        <v>*</v>
      </c>
      <c r="F287" s="2809" t="str">
        <f t="shared" ref="F287:F290" si="6">IF(C51="",D279,C51)</f>
        <v>F</v>
      </c>
      <c r="G287" s="2821"/>
      <c r="H287" s="2797"/>
      <c r="I287" s="2803"/>
      <c r="J287" s="2965"/>
      <c r="K287" s="2900"/>
      <c r="L287" s="2817"/>
      <c r="M287" s="2860"/>
      <c r="N287" s="2860"/>
      <c r="O287" s="2860"/>
      <c r="P287" s="2860"/>
      <c r="Q287" s="2860"/>
    </row>
    <row r="288" spans="1:17" ht="15.75">
      <c r="A288" s="2821"/>
      <c r="B288" s="2801" t="s">
        <v>2886</v>
      </c>
      <c r="C288" s="2797">
        <f t="shared" si="5"/>
        <v>168</v>
      </c>
      <c r="D288" s="2809">
        <f>IF(F288="C",C206,IF(F288="D",0,IF(F288="E",-2*C206,IF(F288="F",-4*C206,IF(F288="G",-6*C206,IF(F288="H",-8*C206,IF(F288="J",-10*C206,E288)))))))</f>
        <v>-48</v>
      </c>
      <c r="E288" s="2809" t="str">
        <f>IF(F288="K",-12*C206,IF(F288="L",-16*C206,IF(F288="M",-20*C206,IF(F288="N",-25*C206,IF(F288="P",-32*C206,IF(F288="R",-40*C206,IF(F288="S",-50*C206,"*")))))))</f>
        <v>*</v>
      </c>
      <c r="F288" s="2809" t="str">
        <f t="shared" si="6"/>
        <v>H</v>
      </c>
      <c r="G288" s="2821"/>
      <c r="H288" s="2797"/>
      <c r="I288" s="2803"/>
      <c r="J288" s="2965"/>
      <c r="K288" s="2900"/>
      <c r="L288" s="2817"/>
      <c r="M288" s="2860"/>
      <c r="N288" s="2860"/>
      <c r="O288" s="2860"/>
      <c r="P288" s="2860"/>
      <c r="Q288" s="2860"/>
    </row>
    <row r="289" spans="1:17" ht="15.75">
      <c r="A289" s="2821"/>
      <c r="B289" s="2801"/>
      <c r="C289" s="2797"/>
      <c r="D289" s="2809">
        <f>IF(F289="C",G206,IF(F289="D",0,IF(F289="E",-2*G206,IF(F289="F",-4*G206,IF(F289="G",-6*G206,IF(F289="H",-8*G206,IF(F289="J",-10*G206,E289)))))))</f>
        <v>-60</v>
      </c>
      <c r="E289" s="2809" t="str">
        <f>IF(F289="K",-12*G206,IF(F289="L",-16*G206,IF(F289="M",-20*G206,IF(F289="N",-25*G206,IF(F289="P",-32*G206,IF(F289="R",-40*G206,IF(F289="S",-50*G206,"*")))))))</f>
        <v>*</v>
      </c>
      <c r="F289" s="2809" t="str">
        <f t="shared" si="6"/>
        <v>J</v>
      </c>
      <c r="G289" s="2821"/>
      <c r="H289" s="2797"/>
      <c r="I289" s="2803"/>
      <c r="J289" s="2965"/>
      <c r="K289" s="2900"/>
      <c r="L289" s="2817"/>
      <c r="M289" s="2860"/>
      <c r="N289" s="2860"/>
      <c r="O289" s="2860"/>
      <c r="P289" s="2860"/>
      <c r="Q289" s="2860"/>
    </row>
    <row r="290" spans="1:17" ht="15.75">
      <c r="A290" s="2980"/>
      <c r="B290" s="2801"/>
      <c r="C290" s="2797"/>
      <c r="D290" s="2809">
        <f>IF(F290="C",G206,IF(F290="D",0,IF(F290="E",-2*G206,IF(F290="F",-4*G206,IF(F290="G",-6*G206,IF(F290="H",-8*G206,IF(F290="J",-10*G206,E290)))))))</f>
        <v>-120</v>
      </c>
      <c r="E290" s="2809">
        <f>IF(F290="K",-12*G206,IF(F290="L",-16*G206,IF(F290="M",-20*G206,IF(F290="N",-25*G206,IF(F290="P",-32*G206,IF(F290="R",-40*G206,IF(F290="S",-50*G206,"*")))))))</f>
        <v>-120</v>
      </c>
      <c r="F290" s="2809" t="str">
        <f t="shared" si="6"/>
        <v>M</v>
      </c>
      <c r="G290" s="2821"/>
      <c r="H290" s="2797"/>
      <c r="I290" s="2803"/>
      <c r="J290" s="2965"/>
      <c r="K290" s="2900"/>
      <c r="L290" s="2817"/>
      <c r="M290" s="2860"/>
      <c r="N290" s="2860"/>
      <c r="O290" s="2860"/>
      <c r="P290" s="2860"/>
      <c r="Q290" s="2860"/>
    </row>
    <row r="291" spans="1:17" ht="15.75">
      <c r="A291" s="2947" t="s">
        <v>4233</v>
      </c>
      <c r="B291" s="2801"/>
      <c r="C291" s="2797"/>
      <c r="D291" s="2809"/>
      <c r="E291" s="2809"/>
      <c r="F291" s="2809"/>
      <c r="G291" s="2821"/>
      <c r="H291" s="2797"/>
      <c r="I291" s="2803"/>
      <c r="J291" s="2965"/>
      <c r="K291" s="2900"/>
      <c r="L291" s="2817"/>
      <c r="M291" s="2860"/>
      <c r="N291" s="2860"/>
      <c r="O291" s="2860"/>
      <c r="P291" s="2860"/>
      <c r="Q291" s="2860"/>
    </row>
    <row r="292" spans="1:17" ht="15.75">
      <c r="A292" s="2855" t="s">
        <v>4234</v>
      </c>
      <c r="B292" s="2801" t="s">
        <v>3257</v>
      </c>
      <c r="C292" s="2797">
        <f>ROUND(C260*COS(C100)-0.72*C190/1000*SIN(C100),3)</f>
        <v>-2.5999999999999999E-2</v>
      </c>
      <c r="D292" s="2848"/>
      <c r="E292" s="2848"/>
      <c r="F292" s="2848"/>
      <c r="G292" s="2797">
        <f>ROUND(G260*COS(G100)-0.72*C190/1000*SIN(C100),3)</f>
        <v>-6.4000000000000001E-2</v>
      </c>
      <c r="H292" s="2797"/>
      <c r="I292" s="2803"/>
      <c r="J292" s="2965"/>
      <c r="K292" s="2900"/>
      <c r="L292" s="2817"/>
      <c r="M292" s="2860"/>
      <c r="N292" s="2860"/>
      <c r="O292" s="2860"/>
      <c r="P292" s="2860"/>
      <c r="Q292" s="2860"/>
    </row>
    <row r="293" spans="1:17" ht="15.75">
      <c r="A293" s="2857"/>
      <c r="B293" s="2801" t="s">
        <v>3259</v>
      </c>
      <c r="C293" s="2797">
        <f>ROUND(C261*COS(C100)+0.72*C190/1000*SIN(C100),3)</f>
        <v>-4.1000000000000002E-2</v>
      </c>
      <c r="D293" s="2848"/>
      <c r="E293" s="2848"/>
      <c r="F293" s="2848"/>
      <c r="G293" s="2797">
        <f>ROUND(G261*COS(G100)+0.72*C190/1000*SIN(C100),3)</f>
        <v>-0.11600000000000001</v>
      </c>
      <c r="H293" s="2797"/>
      <c r="I293" s="2803"/>
      <c r="J293" s="2965"/>
      <c r="K293" s="2900"/>
      <c r="L293" s="2817"/>
      <c r="M293" s="2860"/>
      <c r="N293" s="2860"/>
      <c r="O293" s="2860"/>
      <c r="P293" s="2860"/>
      <c r="Q293" s="2860"/>
    </row>
    <row r="294" spans="1:17" ht="15.75">
      <c r="A294" s="2857"/>
      <c r="B294" s="2801" t="s">
        <v>3261</v>
      </c>
      <c r="C294" s="2797">
        <f>C292-C293</f>
        <v>1.4999999999999999E-2</v>
      </c>
      <c r="D294" s="2848"/>
      <c r="E294" s="2848"/>
      <c r="F294" s="2848"/>
      <c r="G294" s="2797">
        <f>G292-G293</f>
        <v>5.1999999999999998E-2</v>
      </c>
      <c r="H294" s="2797"/>
      <c r="I294" s="2803"/>
      <c r="J294" s="2965"/>
      <c r="K294" s="2900"/>
      <c r="L294" s="2817"/>
      <c r="M294" s="2860"/>
      <c r="N294" s="2860"/>
      <c r="O294" s="2860"/>
      <c r="P294" s="2860"/>
      <c r="Q294" s="2860"/>
    </row>
    <row r="295" spans="1:17" ht="15.75">
      <c r="A295" s="2981" t="s">
        <v>4235</v>
      </c>
      <c r="B295" s="2982" t="s">
        <v>3257</v>
      </c>
      <c r="C295" s="2848">
        <f>ROUND(C260*COS(C100),3)</f>
        <v>-2.3E-2</v>
      </c>
      <c r="D295" s="2848"/>
      <c r="E295" s="2848"/>
      <c r="F295" s="2848"/>
      <c r="G295" s="2848">
        <f>ROUND(G260*COS(C100),3)</f>
        <v>-5.6000000000000001E-2</v>
      </c>
      <c r="H295" s="2797"/>
      <c r="I295" s="2803"/>
      <c r="J295" s="2965"/>
      <c r="K295" s="2900"/>
      <c r="L295" s="2817"/>
      <c r="M295" s="2860"/>
      <c r="N295" s="2860"/>
      <c r="O295" s="2860"/>
      <c r="P295" s="2860"/>
      <c r="Q295" s="2860"/>
    </row>
    <row r="296" spans="1:17" ht="15.75">
      <c r="A296" s="2981"/>
      <c r="B296" s="2982" t="s">
        <v>3259</v>
      </c>
      <c r="C296" s="2848">
        <f>ROUND(C261*COS(C100),3)</f>
        <v>-4.4999999999999998E-2</v>
      </c>
      <c r="D296" s="2848"/>
      <c r="E296" s="2848"/>
      <c r="F296" s="2848"/>
      <c r="G296" s="2848">
        <f>ROUND(G261*COS(C100),3)</f>
        <v>-0.113</v>
      </c>
      <c r="H296" s="2797"/>
      <c r="I296" s="2803"/>
      <c r="J296" s="2965"/>
      <c r="K296" s="2900"/>
      <c r="L296" s="2817"/>
      <c r="M296" s="2860"/>
      <c r="N296" s="2860"/>
      <c r="O296" s="2860"/>
      <c r="P296" s="2860"/>
      <c r="Q296" s="2860"/>
    </row>
    <row r="297" spans="1:17" ht="15.75">
      <c r="A297" s="2857"/>
      <c r="B297" s="2982" t="s">
        <v>3261</v>
      </c>
      <c r="C297" s="2848">
        <f>C295-C296</f>
        <v>2.1999999999999999E-2</v>
      </c>
      <c r="D297" s="2848"/>
      <c r="E297" s="2848"/>
      <c r="F297" s="2848"/>
      <c r="G297" s="2848">
        <f>G295-G296</f>
        <v>5.7000000000000002E-2</v>
      </c>
      <c r="H297" s="2797"/>
      <c r="I297" s="2803"/>
      <c r="J297" s="2965"/>
      <c r="K297" s="2900"/>
      <c r="L297" s="2817"/>
      <c r="M297" s="2860"/>
      <c r="N297" s="2860"/>
      <c r="O297" s="2860"/>
      <c r="P297" s="2860"/>
      <c r="Q297" s="2860"/>
    </row>
    <row r="298" spans="1:17" ht="15.75">
      <c r="A298" s="2947" t="s">
        <v>4236</v>
      </c>
      <c r="B298" s="2982"/>
      <c r="C298" s="2848"/>
      <c r="D298" s="2848"/>
      <c r="E298" s="2848"/>
      <c r="F298" s="2848"/>
      <c r="G298" s="2848"/>
      <c r="H298" s="2797"/>
      <c r="I298" s="2803"/>
      <c r="J298" s="2965"/>
      <c r="K298" s="2900"/>
      <c r="L298" s="2817"/>
      <c r="M298" s="2860"/>
      <c r="N298" s="2860"/>
      <c r="O298" s="2860"/>
      <c r="P298" s="2860"/>
      <c r="Q298" s="2860"/>
    </row>
    <row r="299" spans="1:17" ht="15.75">
      <c r="A299" s="2855" t="s">
        <v>4234</v>
      </c>
      <c r="B299" s="2801" t="s">
        <v>3263</v>
      </c>
      <c r="C299" s="2797">
        <f>IF(ODD((C17)-C17)=0,D299,E299)</f>
        <v>-5.2999999999999999E-2</v>
      </c>
      <c r="D299" s="2809">
        <f>ROUND(C292/(SIN(C148)*COS(C106)),3)</f>
        <v>-5.2999999999999999E-2</v>
      </c>
      <c r="E299" s="2809">
        <f>ROUND(C292/(SIN(C148)*COS(C106))*COS(PI()/(2*C17)),3)</f>
        <v>-5.2999999999999999E-2</v>
      </c>
      <c r="F299" s="2809"/>
      <c r="G299" s="2797">
        <f>IF(ODD((C18)-C18)=0,H299,I299)</f>
        <v>-0.157</v>
      </c>
      <c r="H299" s="2809">
        <f>ROUND(G292/(SIN(G148)*COS(C106)),3)</f>
        <v>-0.158</v>
      </c>
      <c r="I299" s="2844">
        <f>ROUND(G292/(SIN(G148)*COS(C106))*COS(PI()/(2*C18)),3)</f>
        <v>-0.157</v>
      </c>
      <c r="J299" s="2965"/>
      <c r="K299" s="2900"/>
      <c r="L299" s="2817"/>
      <c r="M299" s="2860"/>
      <c r="N299" s="2860"/>
      <c r="O299" s="2860"/>
      <c r="P299" s="2860"/>
      <c r="Q299" s="2860"/>
    </row>
    <row r="300" spans="1:17" ht="15.75">
      <c r="A300" s="2857"/>
      <c r="B300" s="2801" t="s">
        <v>3265</v>
      </c>
      <c r="C300" s="2797">
        <f>IF(ODD((C17)-C17)=0,D300,E300)</f>
        <v>-8.4000000000000005E-2</v>
      </c>
      <c r="D300" s="2809">
        <f>ROUND(C293/(SIN(C148)*COS(C106)),3)</f>
        <v>-8.4000000000000005E-2</v>
      </c>
      <c r="E300" s="2809">
        <f>ROUND(C293/(SIN(C148)*COS(C106))*COS(PI()/(2*C17)),3)</f>
        <v>-8.4000000000000005E-2</v>
      </c>
      <c r="F300" s="2809"/>
      <c r="G300" s="2797">
        <f>IF(ODD((C18)-C18)=0,H300,I300)</f>
        <v>-0.28499999999999998</v>
      </c>
      <c r="H300" s="2809">
        <f>ROUND(G293/(SIN(G148)*COS(C106)),3)</f>
        <v>-0.28599999999999998</v>
      </c>
      <c r="I300" s="2844">
        <f>ROUND(G293/(SIN(G148)*COS(C106))*COS(PI()/(2*C18)),3)</f>
        <v>-0.28499999999999998</v>
      </c>
      <c r="J300" s="2965"/>
      <c r="K300" s="2900"/>
      <c r="L300" s="2817"/>
      <c r="M300" s="2860"/>
      <c r="N300" s="2860"/>
      <c r="O300" s="2860"/>
      <c r="P300" s="2860"/>
      <c r="Q300" s="2860"/>
    </row>
    <row r="301" spans="1:17" ht="15.75">
      <c r="A301" s="2857"/>
      <c r="B301" s="2801" t="s">
        <v>3267</v>
      </c>
      <c r="C301" s="2797">
        <f>C299-C300</f>
        <v>3.1E-2</v>
      </c>
      <c r="D301" s="2809"/>
      <c r="E301" s="2809"/>
      <c r="F301" s="2809"/>
      <c r="G301" s="2797">
        <f>G299-G300</f>
        <v>0.128</v>
      </c>
      <c r="H301" s="2809"/>
      <c r="I301" s="2844"/>
      <c r="J301" s="2965"/>
      <c r="K301" s="2900"/>
      <c r="L301" s="2817"/>
      <c r="M301" s="2860"/>
      <c r="N301" s="2860"/>
      <c r="O301" s="2860"/>
      <c r="P301" s="2860"/>
      <c r="Q301" s="2860"/>
    </row>
    <row r="302" spans="1:17" ht="15.75">
      <c r="A302" s="2981" t="s">
        <v>4235</v>
      </c>
      <c r="B302" s="2982" t="s">
        <v>3263</v>
      </c>
      <c r="C302" s="2848">
        <f>IF(ODD((C17)-C17)=0,D302,E302)</f>
        <v>-4.5999999999999999E-2</v>
      </c>
      <c r="D302" s="2809">
        <f>ROUND(C260*COS(C102)/(SIN(C148)*COS(C106)),3)</f>
        <v>-4.5999999999999999E-2</v>
      </c>
      <c r="E302" s="2809">
        <f>ROUND(C260*COS(C102)/(SIN(C148)*COS(C106))*COS(PI()/(2*C17)),3)</f>
        <v>-4.5999999999999999E-2</v>
      </c>
      <c r="F302" s="2809"/>
      <c r="G302" s="2848">
        <f>IF(ODD((C18)-C18)=0,H302,I302)</f>
        <v>-0.13800000000000001</v>
      </c>
      <c r="H302" s="2809">
        <f>ROUND(G260*COS(C102)/(SIN(G148)*COS(C106)),3)</f>
        <v>-0.13900000000000001</v>
      </c>
      <c r="I302" s="2844">
        <f>ROUND(G260*COS(C102)/(SIN(G148)*COS(C106))*COS(PI()/(2*C18)),3)</f>
        <v>-0.13800000000000001</v>
      </c>
      <c r="J302" s="2965"/>
      <c r="K302" s="2900"/>
      <c r="L302" s="2817"/>
      <c r="M302" s="2860"/>
      <c r="N302" s="2860"/>
      <c r="O302" s="2860"/>
      <c r="P302" s="2860"/>
      <c r="Q302" s="2860"/>
    </row>
    <row r="303" spans="1:17" ht="15.75">
      <c r="A303" s="2981"/>
      <c r="B303" s="2982" t="s">
        <v>3265</v>
      </c>
      <c r="C303" s="2848">
        <f>IF(ODD((C17)-C17)=0,D303,E303)</f>
        <v>-9.1999999999999998E-2</v>
      </c>
      <c r="D303" s="2809">
        <f>ROUND(C261*COS(C102)/(SIN(C148)*COS(C106)),3)</f>
        <v>-9.1999999999999998E-2</v>
      </c>
      <c r="E303" s="2809">
        <f>ROUND(C261*COS(C102)/(SIN(C148)*COS(C106))*COS(PI()/(2*C17)),3)</f>
        <v>-9.1999999999999998E-2</v>
      </c>
      <c r="F303" s="2809"/>
      <c r="G303" s="2848">
        <f>IF(ODD((C18)-C18)=0,H303,I303)</f>
        <v>-0.27700000000000002</v>
      </c>
      <c r="H303" s="2809">
        <f>ROUND(G261*COS(C102)/(SIN(G148)*COS(C106)),3)</f>
        <v>-0.27700000000000002</v>
      </c>
      <c r="I303" s="2844">
        <f>ROUND(G261*COS(C102)/(SIN(G148)*COS(C106))*COS(PI()/(2*C18)),3)</f>
        <v>-0.27700000000000002</v>
      </c>
      <c r="J303" s="2965"/>
      <c r="K303" s="2900"/>
      <c r="L303" s="2817"/>
      <c r="M303" s="2860"/>
      <c r="N303" s="2860"/>
      <c r="O303" s="2860"/>
      <c r="P303" s="2860"/>
      <c r="Q303" s="2860"/>
    </row>
    <row r="304" spans="1:17" ht="15.75">
      <c r="A304" s="2857"/>
      <c r="B304" s="2982" t="s">
        <v>3267</v>
      </c>
      <c r="C304" s="2848">
        <f>C302-C303</f>
        <v>4.5999999999999999E-2</v>
      </c>
      <c r="D304" s="2809"/>
      <c r="E304" s="2809"/>
      <c r="F304" s="2809"/>
      <c r="G304" s="2848">
        <f>G302-G303</f>
        <v>0.13900000000000001</v>
      </c>
      <c r="H304" s="2797"/>
      <c r="I304" s="2803"/>
      <c r="J304" s="2965"/>
      <c r="K304" s="2900"/>
      <c r="L304" s="2817"/>
      <c r="M304" s="2860"/>
      <c r="N304" s="2860"/>
      <c r="O304" s="2860"/>
      <c r="P304" s="2860"/>
      <c r="Q304" s="2860"/>
    </row>
    <row r="305" spans="1:17" ht="15.75">
      <c r="A305" s="2838" t="s">
        <v>3268</v>
      </c>
      <c r="B305" s="2801" t="s">
        <v>3269</v>
      </c>
      <c r="C305" s="2797">
        <f>C242</f>
        <v>7</v>
      </c>
      <c r="D305" s="2809"/>
      <c r="E305" s="2809"/>
      <c r="F305" s="2797"/>
      <c r="G305" s="2821"/>
      <c r="H305" s="2797"/>
      <c r="I305" s="2803"/>
      <c r="J305" s="2965"/>
      <c r="K305" s="2900"/>
      <c r="L305" s="2817"/>
      <c r="M305" s="2860"/>
      <c r="N305" s="2860"/>
      <c r="O305" s="2860"/>
      <c r="P305" s="2860"/>
      <c r="Q305" s="2860"/>
    </row>
    <row r="306" spans="1:17" ht="15.75">
      <c r="A306" s="2810" t="s">
        <v>3270</v>
      </c>
      <c r="B306" s="2801" t="s">
        <v>3271</v>
      </c>
      <c r="C306" s="2797">
        <f>C242/2</f>
        <v>3.5</v>
      </c>
      <c r="D306" s="2809"/>
      <c r="E306" s="2809"/>
      <c r="F306" s="2797"/>
      <c r="G306" s="2821"/>
      <c r="H306" s="2797"/>
      <c r="I306" s="2803"/>
      <c r="J306" s="2965"/>
      <c r="K306" s="2900"/>
      <c r="L306" s="2817"/>
      <c r="M306" s="2860"/>
      <c r="N306" s="2860"/>
      <c r="O306" s="2860"/>
      <c r="P306" s="2860"/>
      <c r="Q306" s="2860"/>
    </row>
    <row r="307" spans="1:17" ht="15.75">
      <c r="A307" s="2803" t="s">
        <v>3272</v>
      </c>
      <c r="B307" s="2855" t="s">
        <v>3273</v>
      </c>
      <c r="C307" s="2797">
        <f>IF(AND(C109&gt;18,C109&lt;=30,C45&lt;=4),6.5,IF(AND(C109&gt;18,C109&lt;=30,C45&lt;=6),10.5,IF(AND(C109&gt;18,C109&lt;=30,C45&lt;=8),16.5,IF(AND(C109&gt;30,C109&lt;=50,C45&lt;=4),8,IF(AND(C109&gt;30,C109&lt;=50,C45&lt;=6),12.5,IF(AND(C109&gt;30,C109&lt;=50,C45&lt;=8),19.5,D307))))))</f>
        <v>15</v>
      </c>
      <c r="D307" s="2809">
        <f>IF(AND(C109&gt;50,C109&lt;=80,C45&lt;=4),9.5,IF(AND(C109&gt;50,C109&lt;=80,C45&lt;=6),15,IF(AND(C109&gt;50,C109&lt;=80,C45&lt;=8),23,IF(AND(C109&gt;80,C109&lt;=120,C45&lt;=4),11,IF(AND(C109&gt;80,C109&lt;=120,C45&lt;=6),17.5,IF(AND(C109&gt;80,C109&lt;=120,C45&lt;=8),27,E307))))))</f>
        <v>15</v>
      </c>
      <c r="E307" s="2809" t="str">
        <f>IF(AND(C109&gt;120,C109&lt;=180,C45&lt;=4),12.5,IF(AND(C109&gt;120,C109&lt;=180,C45&lt;=6),20,IF(AND(C109&gt;120,C109&lt;=180,C45&lt;=8),31.5,IF(AND(C109&gt;180,C109&lt;=250,C45&lt;=4),14.5,IF(AND(C109&gt;180,C109&lt;=250,C45&lt;=6),23,IF(AND(C109&gt;180,C109&lt;=250,C45&lt;=8),36,F307))))))</f>
        <v>*</v>
      </c>
      <c r="F307" s="2809" t="str">
        <f>IF(AND(C109&gt;250,C109&lt;=315,C45&lt;=4),16,IF(AND(C109&gt;250,C109&lt;=315,C45&lt;=6),26,IF(AND(C109&gt;250,C109&lt;=315,C45&lt;=8),40.5,IF(AND(C109&gt;315,C109&lt;=400,C45&lt;=4),18,IF(AND(C109&gt;315,C109&lt;=400,C45&lt;=6),28.5,IF(AND(C109&gt;315,C109&lt;=400,C45&lt;=8),44.5,G307))))))</f>
        <v>*</v>
      </c>
      <c r="G307" s="2809" t="str">
        <f>IF(AND(C109&gt;400,C109&lt;=500,C45&lt;=4),20,IF(AND(C109&gt;400,C109&lt;=500,C45&lt;=6),31.5,IF(AND(C109&gt;400,C109&lt;=500,C45&lt;=8),48.5,IF(AND(C109&gt;500,C109&lt;=630,C45&lt;=4),22,IF(AND(C109&gt;500,C109&lt;=630,C45&lt;=6),35,IF(AND(C109&gt;500,C109&lt;=630,C45&lt;=8),55,H307))))))</f>
        <v>*</v>
      </c>
      <c r="H307" s="2809" t="str">
        <f>IF(AND(C109&gt;630,C109&lt;=800,C45&lt;=4),25,IF(AND(C109&gt;630,C109&lt;=800,C45&lt;=6),40,IF(AND(C109&gt;630,C109&lt;=800,C45&lt;=8),62,IF(AND(C109&gt;800,C109&lt;=1000,C45&lt;=4),28,IF(AND(C109&gt;800,C109&lt;=1000,C45&lt;=6),45,IF(AND(C109&gt;800,C109&lt;=1000,C45&lt;=8),70,"*"))))))</f>
        <v>*</v>
      </c>
      <c r="I307" s="2803"/>
      <c r="J307" s="2965"/>
      <c r="K307" s="2900"/>
      <c r="L307" s="2817"/>
      <c r="M307" s="2860"/>
      <c r="N307" s="2860"/>
      <c r="O307" s="2860"/>
      <c r="P307" s="2860"/>
      <c r="Q307" s="2860"/>
    </row>
    <row r="308" spans="1:17" ht="15.75">
      <c r="A308" s="2983" t="s">
        <v>3274</v>
      </c>
      <c r="B308" s="2801"/>
      <c r="C308" s="2797">
        <f>IF(AND(C43&lt;=C45,C43&lt;=C46),C43,IF(C45&lt;=C46,C45,C46))</f>
        <v>5</v>
      </c>
      <c r="D308" s="2809"/>
      <c r="E308" s="2809"/>
      <c r="F308" s="2809"/>
      <c r="G308" s="2809">
        <f>C308</f>
        <v>5</v>
      </c>
      <c r="H308" s="2809"/>
      <c r="I308" s="2803"/>
      <c r="J308" s="2965"/>
      <c r="K308" s="2900"/>
      <c r="L308" s="2817"/>
      <c r="M308" s="2860"/>
      <c r="N308" s="2860"/>
      <c r="O308" s="2860"/>
      <c r="P308" s="2860"/>
      <c r="Q308" s="2860"/>
    </row>
    <row r="309" spans="1:17" ht="15.75">
      <c r="A309" s="2953" t="s">
        <v>3275</v>
      </c>
      <c r="B309" s="2801"/>
      <c r="C309" s="2797"/>
      <c r="D309" s="2809"/>
      <c r="E309" s="2809"/>
      <c r="F309" s="2797"/>
      <c r="G309" s="2821"/>
      <c r="H309" s="2797"/>
      <c r="I309" s="2803"/>
      <c r="J309" s="2965"/>
      <c r="K309" s="2900"/>
      <c r="L309" s="2817"/>
      <c r="M309" s="2860"/>
      <c r="N309" s="2860"/>
      <c r="O309" s="2860"/>
      <c r="P309" s="2860"/>
      <c r="Q309" s="2860"/>
    </row>
    <row r="310" spans="1:17" ht="15.75">
      <c r="A310" s="2797" t="s">
        <v>3276</v>
      </c>
      <c r="B310" s="2985"/>
      <c r="C310" s="2797" t="str">
        <f>IF(C308=3,"IT4",IF(C308=4,"IT4",IF(C308=5,"IT5",IF(C308=6,"IT6",IF(C308=7,"IT7",IF(C308=8,"IT7",))))))</f>
        <v>IT5</v>
      </c>
      <c r="D310" s="2809"/>
      <c r="E310" s="2809"/>
      <c r="F310" s="2797"/>
      <c r="G310" s="2821"/>
      <c r="H310" s="2797"/>
      <c r="I310" s="2803"/>
      <c r="J310" s="2965"/>
      <c r="K310" s="2900"/>
      <c r="L310" s="2817"/>
      <c r="M310" s="2860"/>
      <c r="N310" s="2860"/>
      <c r="O310" s="2860"/>
      <c r="P310" s="2860"/>
      <c r="Q310" s="2860"/>
    </row>
    <row r="311" spans="1:17" ht="15.75">
      <c r="A311" s="2797" t="s">
        <v>3277</v>
      </c>
      <c r="B311" s="2985"/>
      <c r="C311" s="2797" t="str">
        <f>IF(C308=3,"IT4",IF(C308=4,"IT4",IF(C308=5,"IT5",IF(C308=6,"IT5",IF(C308=7,"IT6",IF(C308=8,"IT7"))))))</f>
        <v>IT5</v>
      </c>
      <c r="D311" s="2809"/>
      <c r="E311" s="2809"/>
      <c r="F311" s="2797"/>
      <c r="G311" s="2821"/>
      <c r="H311" s="2797"/>
      <c r="I311" s="2803"/>
      <c r="J311" s="2965"/>
      <c r="K311" s="2900"/>
      <c r="L311" s="2817"/>
      <c r="M311" s="2860"/>
      <c r="N311" s="2860"/>
      <c r="O311" s="2860"/>
      <c r="P311" s="2860"/>
      <c r="Q311" s="2860"/>
    </row>
    <row r="312" spans="1:17" ht="15.75">
      <c r="A312" s="2797" t="s">
        <v>3278</v>
      </c>
      <c r="B312" s="2985"/>
      <c r="C312" s="2797" t="str">
        <f>IF(C308&lt;=5,"IT7",IF(C308&gt;5,"IT8"))</f>
        <v>IT7</v>
      </c>
      <c r="D312" s="2809"/>
      <c r="E312" s="2800" t="s">
        <v>3279</v>
      </c>
      <c r="F312" s="2797">
        <f>0.1*C19</f>
        <v>0.25</v>
      </c>
      <c r="G312" s="2821"/>
      <c r="H312" s="2797"/>
      <c r="I312" s="2803"/>
      <c r="J312" s="2965"/>
      <c r="K312" s="2900"/>
      <c r="L312" s="2817"/>
      <c r="M312" s="2860"/>
      <c r="N312" s="2860"/>
      <c r="O312" s="2860"/>
      <c r="P312" s="2860"/>
      <c r="Q312" s="2860"/>
    </row>
    <row r="313" spans="1:17" ht="15.75">
      <c r="A313" s="2810" t="s">
        <v>3280</v>
      </c>
      <c r="B313" s="2801"/>
      <c r="C313" s="2797">
        <f>IF(AND(C111&lt;=125,OR(C308=3,C308=4)),7,IF(AND(C111&lt;=125,OR(C308=5,C308=6)),11,IF(AND(C111&lt;=125,OR(C308=7,C308=8)),18,IF(AND(C111&gt;125,C111&lt;=400,OR(C308=3,C308=4)),9,IF(AND(C111&gt;125,C111&lt;=400,OR(C308=5,C308=6)),14,IF(AND(C111&gt;125,C111&lt;=400,OR(C308=7,C308=8)),22,D313))))))</f>
        <v>11</v>
      </c>
      <c r="D313" s="2809" t="str">
        <f>IF(AND(C111&gt;400,C111&lt;=800,OR(C308=3,C308=4)),12,IF(AND(C111&gt;400,C111&lt;=800,OR(C308=5,C308=6)),20,IF(AND(C111&gt;400,C111&lt;=800,OR(C308=7,C308=8)),32,IF(AND(C111&gt;800,C111&lt;=1600,OR(C308=3,C308=4)),18,IF(AND(C111&gt;800,C111&lt;=1600,OR(C308=5,C308=6)),28,IF(AND(C111&gt;800,C111&lt;=1600,OR(C308=7,C308=8)),45,"*"))))))</f>
        <v>*</v>
      </c>
      <c r="E313" s="2809"/>
      <c r="F313" s="2797"/>
      <c r="G313" s="2797">
        <f>IF(AND(G111&lt;=125,OR(G308=3,G308=4)),7,IF(AND(G111&lt;=125,OR(G308=5,G308=6)),11,IF(AND(G111&lt;=125,OR(G308=7,G308=8)),18,IF(AND(G111&gt;125,G111&lt;=400,OR(G308=3,G308=4)),9,IF(AND(G111&gt;125,G111&lt;=400,OR(G308=5,G308=6)),14,IF(AND(G111&gt;125,G111&lt;=400,OR(G308=7,G308=8)),22,H313))))))</f>
        <v>11</v>
      </c>
      <c r="H313" s="2809" t="str">
        <f>IF(AND(G111&gt;400,G111&lt;=800,OR(G308=3,G308=4)),12,IF(AND(G111&gt;400,G111&lt;=800,OR(G308=5,G308=6)),20,IF(AND(G111&gt;400,G111&lt;=800,OR(G308=7,G308=8)),32,IF(AND(G111&gt;800,G111&lt;=1600,OR(G308=3,G308=4)),18,IF(AND(G111&gt;800,G111&lt;=1600,OR(G308=5,G308=6)),28,IF(AND(G111&gt;800,G111&lt;=1600,OR(G308=7,G308=8)),45,"*"))))))</f>
        <v>*</v>
      </c>
      <c r="I313" s="2803"/>
      <c r="J313" s="2965"/>
      <c r="K313" s="2900"/>
      <c r="L313" s="2817"/>
      <c r="M313" s="2860"/>
      <c r="N313" s="2860"/>
      <c r="O313" s="2860"/>
      <c r="P313" s="2860"/>
      <c r="Q313" s="2860"/>
    </row>
    <row r="314" spans="1:17" ht="15.75">
      <c r="A314" s="2864"/>
      <c r="B314" s="3203"/>
      <c r="C314" s="2791"/>
      <c r="D314" s="2926"/>
      <c r="E314" s="2791"/>
      <c r="F314" s="3204"/>
      <c r="G314" s="2791"/>
      <c r="H314" s="2791"/>
      <c r="I314" s="2803"/>
      <c r="J314" s="2965"/>
      <c r="K314" s="2900"/>
      <c r="L314" s="2817"/>
      <c r="M314" s="2860"/>
      <c r="N314" s="2860"/>
      <c r="O314" s="2860"/>
      <c r="P314" s="2860"/>
      <c r="Q314" s="2860"/>
    </row>
    <row r="315" spans="1:17" ht="15.75">
      <c r="A315" s="2933" t="s">
        <v>4237</v>
      </c>
      <c r="B315" s="2855"/>
      <c r="C315" s="2797"/>
      <c r="D315" s="2809"/>
      <c r="E315" s="2809"/>
      <c r="F315" s="2809"/>
      <c r="G315" s="2809"/>
      <c r="H315" s="2810"/>
      <c r="I315" s="2797"/>
      <c r="J315" s="2965"/>
      <c r="K315" s="2900"/>
      <c r="L315" s="2817"/>
      <c r="M315" s="2860"/>
      <c r="N315" s="2860"/>
      <c r="O315" s="2860"/>
      <c r="P315" s="2860"/>
      <c r="Q315" s="2860"/>
    </row>
    <row r="316" spans="1:17" ht="15.75">
      <c r="A316" s="2803" t="s">
        <v>4238</v>
      </c>
      <c r="B316" s="2855" t="s">
        <v>4239</v>
      </c>
      <c r="C316" s="2797">
        <v>1</v>
      </c>
      <c r="D316" s="2848"/>
      <c r="E316" s="2809"/>
      <c r="F316" s="2797"/>
      <c r="G316" s="2797"/>
      <c r="H316" s="2810"/>
      <c r="I316" s="2797"/>
      <c r="J316" s="2797"/>
      <c r="K316" s="2900"/>
      <c r="L316" s="2817"/>
      <c r="M316" s="2860"/>
      <c r="N316" s="2860"/>
      <c r="O316" s="2860"/>
      <c r="P316" s="2860"/>
      <c r="Q316" s="2860"/>
    </row>
    <row r="317" spans="1:17" ht="15.75">
      <c r="A317" s="2803" t="s">
        <v>4240</v>
      </c>
      <c r="B317" s="2855" t="s">
        <v>4241</v>
      </c>
      <c r="C317" s="2797">
        <f>ROUND(E317+4*(1-E317)/(1.2+134/32)^2,3)</f>
        <v>0.92200000000000004</v>
      </c>
      <c r="D317" s="2803" t="s">
        <v>4242</v>
      </c>
      <c r="E317" s="2797">
        <f>IF(C331&lt;850,0.83+(850-850)/350*0.08,IF(C331&gt;1200,0.83+(1200-850)/350*0.08,0.83+(C331-850)/350*0.08))</f>
        <v>0.91</v>
      </c>
      <c r="F317" s="3073" t="s">
        <v>4243</v>
      </c>
      <c r="G317" s="2797"/>
      <c r="H317" s="2810"/>
      <c r="I317" s="2797"/>
      <c r="J317" s="2855"/>
      <c r="K317" s="2900"/>
      <c r="L317" s="2817"/>
      <c r="M317" s="2860"/>
      <c r="N317" s="2860"/>
      <c r="O317" s="2860"/>
      <c r="P317" s="2860"/>
      <c r="Q317" s="2860"/>
    </row>
    <row r="318" spans="1:17" ht="15.75">
      <c r="A318" s="2803" t="s">
        <v>4244</v>
      </c>
      <c r="B318" s="2855" t="s">
        <v>4245</v>
      </c>
      <c r="C318" s="2797">
        <f>ROUND(E318+2*(1-E318)/SQRT(0.8+32/E86),3)</f>
        <v>0.98499999999999999</v>
      </c>
      <c r="D318" s="2803" t="s">
        <v>4246</v>
      </c>
      <c r="E318" s="2797">
        <f>IF(C331&lt;850,0.85+(850-850)/350*0.08,IF(C331&gt;1200,0.85+(1200-850)/350*0.08,0.85+(C331-850)/350*0.08))</f>
        <v>0.93</v>
      </c>
      <c r="F318" s="2797"/>
      <c r="G318" s="2797"/>
      <c r="H318" s="2797"/>
      <c r="I318" s="2797"/>
      <c r="J318" s="2855"/>
      <c r="K318" s="2900"/>
      <c r="L318" s="2817"/>
      <c r="M318" s="2860"/>
      <c r="N318" s="2860"/>
      <c r="O318" s="2860"/>
      <c r="P318" s="2860"/>
      <c r="Q318" s="2860"/>
    </row>
    <row r="319" spans="1:17" ht="15.75">
      <c r="A319" s="2803" t="s">
        <v>4247</v>
      </c>
      <c r="B319" s="2801" t="s">
        <v>4248</v>
      </c>
      <c r="C319" s="2797">
        <f>IF(ROUND((3/G319)^E319,3)&gt;1.15,1.15,ROUND((3/G319)^E319,3))</f>
        <v>0.98499999999999999</v>
      </c>
      <c r="D319" s="2803" t="s">
        <v>4249</v>
      </c>
      <c r="E319" s="2797">
        <f>IF(C331&lt;850,0.12+(1000-850)/5000,IF(C331&gt;1200,0.12+(1000-1200)/5000,0.12+(1000-C331)/5000))</f>
        <v>0.08</v>
      </c>
      <c r="F319" s="2797" t="s">
        <v>4250</v>
      </c>
      <c r="G319" s="2797">
        <f>ROUND(H319*(100/C109)^0.3333,3)</f>
        <v>3.6040000000000001</v>
      </c>
      <c r="H319" s="2809">
        <f>IF(C45&lt;=4,1.6,IF(AND(C45&gt;4,C45&lt;=6),3.2,6.3))</f>
        <v>3.2</v>
      </c>
      <c r="I319" s="2797"/>
      <c r="J319" s="2912"/>
      <c r="K319" s="2900"/>
      <c r="L319" s="2817"/>
      <c r="M319" s="2860"/>
      <c r="N319" s="2860"/>
      <c r="O319" s="2860"/>
      <c r="P319" s="2860"/>
      <c r="Q319" s="2860"/>
    </row>
    <row r="320" spans="1:17" ht="15.75">
      <c r="A320" s="2803" t="s">
        <v>4251</v>
      </c>
      <c r="B320" s="2855" t="s">
        <v>4252</v>
      </c>
      <c r="C320" s="2797">
        <v>1</v>
      </c>
      <c r="D320" s="2912"/>
      <c r="E320" s="2797"/>
      <c r="F320" s="2912"/>
      <c r="G320" s="2797"/>
      <c r="H320" s="2912"/>
      <c r="I320" s="2797"/>
      <c r="J320" s="3205"/>
      <c r="K320" s="2900"/>
      <c r="L320" s="2817"/>
      <c r="M320" s="2860"/>
      <c r="N320" s="2860"/>
      <c r="O320" s="2860"/>
      <c r="P320" s="2860"/>
      <c r="Q320" s="2860"/>
    </row>
    <row r="321" spans="1:17" ht="15.75">
      <c r="A321" s="2803" t="s">
        <v>4253</v>
      </c>
      <c r="B321" s="2855" t="s">
        <v>4254</v>
      </c>
      <c r="C321" s="2797">
        <v>1</v>
      </c>
      <c r="D321" s="2803"/>
      <c r="E321" s="2797"/>
      <c r="F321" s="2912"/>
      <c r="G321" s="2797"/>
      <c r="H321" s="2912"/>
      <c r="I321" s="2797"/>
      <c r="J321" s="2809"/>
      <c r="K321" s="2900"/>
      <c r="L321" s="2817"/>
      <c r="M321" s="2860"/>
      <c r="N321" s="2860"/>
      <c r="O321" s="2860"/>
      <c r="P321" s="2860"/>
      <c r="Q321" s="2860"/>
    </row>
    <row r="322" spans="1:17" ht="15.75">
      <c r="A322" s="2803" t="s">
        <v>1064</v>
      </c>
      <c r="B322" s="2855" t="s">
        <v>4255</v>
      </c>
      <c r="C322" s="2797">
        <v>1.5</v>
      </c>
      <c r="D322" s="2802"/>
      <c r="E322" s="2797"/>
      <c r="F322" s="2803"/>
      <c r="G322" s="2797">
        <f>ROUND(E86*C17/100,0)</f>
        <v>1</v>
      </c>
      <c r="H322" s="2797"/>
      <c r="I322" s="2797"/>
      <c r="J322" s="2809"/>
      <c r="K322" s="2900"/>
      <c r="L322" s="2817"/>
      <c r="M322" s="2860"/>
      <c r="N322" s="2860"/>
      <c r="O322" s="2860"/>
      <c r="P322" s="2860"/>
      <c r="Q322" s="2860"/>
    </row>
    <row r="323" spans="1:17" ht="15.75">
      <c r="A323" s="2803" t="s">
        <v>4256</v>
      </c>
      <c r="B323" s="2855" t="s">
        <v>4257</v>
      </c>
      <c r="C323" s="2797">
        <f>ROUND(1.2*(IF(C22=0,I323,IF(AND(C22&gt;0,C160&gt;1),G323,I323-C160*(I323-G323)))),2)</f>
        <v>1.22</v>
      </c>
      <c r="D323" s="2803"/>
      <c r="E323" s="2809">
        <f>IF(C45=0,7,C45)</f>
        <v>5</v>
      </c>
      <c r="F323" s="2803" t="s">
        <v>4258</v>
      </c>
      <c r="G323" s="2797">
        <f>ROUND((IF(E323=3,1.8/14*G322,IF(E323=4,2.3/14*G322,IF(E323=5,3.2/14*G322,IF(E323=6,4.5/14*G322,IF(E323=7,6.5/14*G322,IF(E323=8,5.4/8*G322,1)))))))/10+1,2)</f>
        <v>1.02</v>
      </c>
      <c r="H323" s="2803" t="s">
        <v>4259</v>
      </c>
      <c r="I323" s="2797">
        <f>ROUND((IF(E323=3,2.2/10*G322,IF(E323=4,3/10*G322,IF(E323=5,4.3/10*G322,IF(E323=6,6.2/10*G322,IF(E323=7,9.3/10*G322,IF(E323=8,10/8*G322,1)))))))/10+1,2)</f>
        <v>1.04</v>
      </c>
      <c r="J323" s="2809"/>
      <c r="K323" s="2900"/>
      <c r="L323" s="3106"/>
      <c r="M323" s="2860"/>
      <c r="N323" s="2860"/>
      <c r="O323" s="2860"/>
      <c r="P323" s="2860"/>
      <c r="Q323" s="2860"/>
    </row>
    <row r="324" spans="1:17" ht="15.75">
      <c r="A324" s="2803"/>
      <c r="B324" s="2855"/>
      <c r="C324" s="2809">
        <f>ROUND(E324+0.18*I324+G324*C23,3)</f>
        <v>1.244</v>
      </c>
      <c r="D324" s="2844"/>
      <c r="E324" s="2809">
        <f>IF(C45=5,1.135,IF(C45=6,1.15,IF(C45=7,1.17,IF(C45=8,1.23,1.125))))</f>
        <v>1.135</v>
      </c>
      <c r="F324" s="2844"/>
      <c r="G324" s="2809">
        <f>(IF(E323=5,0.23,IF(E323=6,0.3,IF(E323=7,0.47,IF(E323=8,0.61,0.18)))))/1000</f>
        <v>2.3000000000000001E-4</v>
      </c>
      <c r="H324" s="2803"/>
      <c r="I324" s="2809">
        <f>ROUND((C23/C111)^2,3)</f>
        <v>0.55400000000000005</v>
      </c>
      <c r="J324" s="2809"/>
      <c r="K324" s="2809">
        <f>IF(C218&gt;C230,C218,C230)</f>
        <v>6</v>
      </c>
      <c r="L324" s="2817"/>
      <c r="M324" s="2860"/>
      <c r="N324" s="2860"/>
      <c r="O324" s="2860"/>
      <c r="P324" s="2860"/>
      <c r="Q324" s="2860"/>
    </row>
    <row r="325" spans="1:17" ht="15.75">
      <c r="A325" s="2803"/>
      <c r="B325" s="2855"/>
      <c r="C325" s="2809">
        <f>ROUND(E324+0.36*I324+G324*C23,3)</f>
        <v>1.3440000000000001</v>
      </c>
      <c r="D325" s="2803"/>
      <c r="E325" s="2797"/>
      <c r="F325" s="2803"/>
      <c r="G325" s="2797"/>
      <c r="H325" s="2803"/>
      <c r="I325" s="2797"/>
      <c r="J325" s="2809"/>
      <c r="K325" s="2809"/>
      <c r="L325" s="2817"/>
      <c r="M325" s="2860"/>
      <c r="N325" s="2860"/>
      <c r="O325" s="2860"/>
      <c r="P325" s="2860"/>
      <c r="Q325" s="2860"/>
    </row>
    <row r="326" spans="1:17" ht="15.75">
      <c r="A326" s="2803"/>
      <c r="B326" s="2855"/>
      <c r="C326" s="2809">
        <f>ROUND(E324+1.1*I324+G324*C23,3)</f>
        <v>1.754</v>
      </c>
      <c r="D326" s="2803"/>
      <c r="E326" s="2797"/>
      <c r="F326" s="2803"/>
      <c r="G326" s="2797"/>
      <c r="H326" s="2803"/>
      <c r="I326" s="2797"/>
      <c r="J326" s="2809"/>
      <c r="K326" s="2809"/>
      <c r="L326" s="2817"/>
      <c r="M326" s="2860"/>
      <c r="N326" s="2860"/>
      <c r="O326" s="2860"/>
      <c r="P326" s="2860"/>
      <c r="Q326" s="2860"/>
    </row>
    <row r="327" spans="1:17" ht="15.75">
      <c r="A327" s="2803" t="s">
        <v>4260</v>
      </c>
      <c r="B327" s="2855" t="s">
        <v>4261</v>
      </c>
      <c r="C327" s="2797">
        <f>IF(C82=1,C324,IF(C82=2,C325,C326))</f>
        <v>1.3440000000000001</v>
      </c>
      <c r="D327" s="2803"/>
      <c r="E327" s="2797"/>
      <c r="F327" s="2803"/>
      <c r="G327" s="2797"/>
      <c r="H327" s="2803"/>
      <c r="I327" s="2797"/>
      <c r="J327" s="2809"/>
      <c r="K327" s="2809"/>
      <c r="L327" s="2817"/>
      <c r="M327" s="2860"/>
      <c r="N327" s="2860"/>
      <c r="O327" s="2860"/>
      <c r="P327" s="2860"/>
      <c r="Q327" s="2860"/>
    </row>
    <row r="328" spans="1:17" ht="15.75">
      <c r="A328" s="2803" t="s">
        <v>4262</v>
      </c>
      <c r="B328" s="2855" t="s">
        <v>4263</v>
      </c>
      <c r="C328" s="2797">
        <f>IF(C329&gt;C161/(C159*G334^2),C161/(C159*G334^2),IF(C329&lt;1,1,C329))</f>
        <v>1</v>
      </c>
      <c r="D328" s="2803" t="s">
        <v>4264</v>
      </c>
      <c r="E328" s="2797">
        <f>ROUND((0.75*C159+0.25)/G328,3)</f>
        <v>6.2309999999999999</v>
      </c>
      <c r="F328" s="2803" t="s">
        <v>1155</v>
      </c>
      <c r="G328" s="2797">
        <f>ROUND(0.04723+0.15551/C340+0.25791/C348-0.00635*C121-0.11654*C121/C340-0.00193*G121-0.24188*G121/C348+0.00529+C121^2+0.00182*G121^2,3)</f>
        <v>0.215</v>
      </c>
      <c r="H328" s="2803" t="s">
        <v>4265</v>
      </c>
      <c r="I328" s="2797">
        <f>C330*C322*C323*C327</f>
        <v>10527.704812800001</v>
      </c>
      <c r="J328" s="2855" t="s">
        <v>4266</v>
      </c>
      <c r="K328" s="2900">
        <f>IF(OR(C80=5,C80=6,C80=7),K332,K331)</f>
        <v>0.375</v>
      </c>
      <c r="L328" s="2817"/>
      <c r="M328" s="2860"/>
      <c r="N328" s="2860"/>
      <c r="O328" s="2860"/>
      <c r="P328" s="2860"/>
      <c r="Q328" s="2860"/>
    </row>
    <row r="329" spans="1:17" ht="15.75">
      <c r="A329" s="2803"/>
      <c r="B329" s="2855"/>
      <c r="C329" s="2809">
        <f>ROUND(IF(C161&lt;=2,C161/2*(0.9+0.4*E328*(K324-K328)/(I328/C23)),0.9+0.4*SQRT(2*(C161-1)/C161)*E328*(K324-K328)/(I328/C23)),3)</f>
        <v>0.95899999999999996</v>
      </c>
      <c r="D329" s="2803"/>
      <c r="E329" s="2797"/>
      <c r="F329" s="2803"/>
      <c r="G329" s="2797"/>
      <c r="H329" s="2803"/>
      <c r="I329" s="2797"/>
      <c r="J329" s="2855"/>
      <c r="K329" s="2900"/>
      <c r="L329" s="2817"/>
      <c r="M329" s="2860"/>
      <c r="N329" s="2860"/>
      <c r="O329" s="2860"/>
      <c r="P329" s="2860"/>
      <c r="Q329" s="2860"/>
    </row>
    <row r="330" spans="1:17" ht="15.75">
      <c r="A330" s="2803" t="s">
        <v>4267</v>
      </c>
      <c r="B330" s="2855" t="s">
        <v>4268</v>
      </c>
      <c r="C330" s="2797">
        <f>ROUND(2000*E84/C111,2)</f>
        <v>4280.3900000000003</v>
      </c>
      <c r="D330" s="2966" t="s">
        <v>464</v>
      </c>
      <c r="E330" s="2797"/>
      <c r="F330" s="2803"/>
      <c r="G330" s="2797"/>
      <c r="H330" s="2803"/>
      <c r="I330" s="2797"/>
      <c r="J330" s="3214"/>
      <c r="K330" s="2809">
        <f>160*C218/C331</f>
        <v>0.55172413793103403</v>
      </c>
      <c r="L330" s="2863"/>
      <c r="M330" s="2860"/>
      <c r="N330" s="2860"/>
      <c r="O330" s="2860"/>
      <c r="P330" s="2860"/>
      <c r="Q330" s="2860"/>
    </row>
    <row r="331" spans="1:17" ht="15">
      <c r="A331" s="2857" t="s">
        <v>4269</v>
      </c>
      <c r="B331" s="2797" t="s">
        <v>4270</v>
      </c>
      <c r="C331" s="2797">
        <f>IF(C80=1,400,IF(C80=2,520,IF(C80=3,700,IF(C80=4,1100,IF(C80=5,1450,IF(C80=6,1250,900))))))</f>
        <v>1450</v>
      </c>
      <c r="D331" s="2810" t="s">
        <v>4271</v>
      </c>
      <c r="E331" s="2808" t="s">
        <v>4272</v>
      </c>
      <c r="F331" s="2912"/>
      <c r="G331" s="2797"/>
      <c r="H331" s="2912"/>
      <c r="I331" s="2797"/>
      <c r="J331" s="3215"/>
      <c r="K331" s="2809">
        <f>IF(AND(E86&gt;10,K330&gt;6400/C331),6400/C331,IF(AND(E86&gt;5,E86&lt;=10,K330&gt;12800/C331),12800/C331,K330))</f>
        <v>0.55172413793103403</v>
      </c>
      <c r="L331" s="2863"/>
      <c r="M331" s="2860"/>
      <c r="N331" s="2860"/>
      <c r="O331" s="2860"/>
      <c r="P331" s="2860"/>
      <c r="Q331" s="2860"/>
    </row>
    <row r="332" spans="1:17" ht="15.75">
      <c r="A332" s="2857" t="s">
        <v>4273</v>
      </c>
      <c r="B332" s="2801" t="s">
        <v>4274</v>
      </c>
      <c r="C332" s="2797">
        <v>1.25</v>
      </c>
      <c r="D332" s="2810"/>
      <c r="E332" s="2808" t="s">
        <v>4275</v>
      </c>
      <c r="F332" s="2912"/>
      <c r="G332" s="2797"/>
      <c r="H332" s="2912"/>
      <c r="I332" s="2803"/>
      <c r="J332" s="3215"/>
      <c r="K332" s="2809">
        <f>IF(L332&gt;3,3,C218*0.075)</f>
        <v>0.375</v>
      </c>
      <c r="L332" s="2863"/>
      <c r="M332" s="2860"/>
      <c r="N332" s="2860"/>
      <c r="O332" s="2860"/>
      <c r="P332" s="2860"/>
      <c r="Q332" s="2860"/>
    </row>
    <row r="333" spans="1:17" ht="15">
      <c r="A333" s="2803" t="s">
        <v>4276</v>
      </c>
      <c r="B333" s="2797" t="s">
        <v>4277</v>
      </c>
      <c r="C333" s="2797">
        <f>ROUND(C331*C316*C317*C318*C319*C320*C321/C332,2)</f>
        <v>1037.68</v>
      </c>
      <c r="D333" s="2810" t="s">
        <v>4271</v>
      </c>
      <c r="E333" s="2797"/>
      <c r="F333" s="2797"/>
      <c r="G333" s="2797"/>
      <c r="H333" s="2912"/>
      <c r="I333" s="2797"/>
      <c r="J333" s="3215"/>
      <c r="K333" s="2809"/>
      <c r="L333" s="2863"/>
      <c r="M333" s="2860"/>
      <c r="N333" s="2860"/>
      <c r="O333" s="2860"/>
      <c r="P333" s="2860"/>
      <c r="Q333" s="2860"/>
    </row>
    <row r="334" spans="1:17" ht="15.75">
      <c r="A334" s="2803"/>
      <c r="B334" s="2801" t="s">
        <v>4278</v>
      </c>
      <c r="C334" s="2797">
        <f>ROUND(SQRT(2*COS(C106)*COS(C114)/(COS(C102)^2*SIN(C114))),3)</f>
        <v>2.3290000000000002</v>
      </c>
      <c r="D334" s="2797" t="s">
        <v>4279</v>
      </c>
      <c r="E334" s="2797">
        <f>ROUND(SQRT(0.175*206000),2)</f>
        <v>189.87</v>
      </c>
      <c r="F334" s="2797" t="s">
        <v>4280</v>
      </c>
      <c r="G334" s="2797">
        <f>ROUND(IF(C103=0,SQRT((4-C159)/3),IF(C160&lt;1,SQRT((4-C159)/3*(1-C160)+C160/C159),SQRT(1/C159))),3)</f>
        <v>0.83</v>
      </c>
      <c r="H334" s="2797" t="s">
        <v>4281</v>
      </c>
      <c r="I334" s="2797">
        <f>ROUND(SQRT(COS(C103)),3)</f>
        <v>0.98799999999999999</v>
      </c>
      <c r="J334" s="3215"/>
      <c r="K334" s="2809"/>
      <c r="L334" s="2863"/>
      <c r="M334" s="2860"/>
      <c r="N334" s="2860"/>
      <c r="O334" s="2860"/>
      <c r="P334" s="2860"/>
      <c r="Q334" s="2860"/>
    </row>
    <row r="335" spans="1:17" ht="15">
      <c r="A335" s="2803" t="s">
        <v>4282</v>
      </c>
      <c r="B335" s="2797" t="s">
        <v>4283</v>
      </c>
      <c r="C335" s="2797">
        <f>ROUND(C336*SQRT(C322*C323*C327*C328),2)</f>
        <v>1026.6300000000001</v>
      </c>
      <c r="D335" s="2810" t="s">
        <v>4271</v>
      </c>
      <c r="E335" s="2797"/>
      <c r="F335" s="2912"/>
      <c r="G335" s="2797"/>
      <c r="H335" s="2912"/>
      <c r="I335" s="2809"/>
      <c r="J335" s="3216"/>
      <c r="K335" s="2809"/>
      <c r="L335" s="2863"/>
      <c r="M335" s="2860"/>
      <c r="N335" s="2860"/>
      <c r="O335" s="2860"/>
      <c r="P335" s="2860"/>
      <c r="Q335" s="2860"/>
    </row>
    <row r="336" spans="1:17" ht="15">
      <c r="A336" s="2857" t="s">
        <v>4284</v>
      </c>
      <c r="B336" s="2797" t="s">
        <v>4285</v>
      </c>
      <c r="C336" s="2797">
        <f>ROUND(C334*E334*G334*I334*SQRT(C330/(C111*C23)*(C18/C17+1)/(C18/C17)),2)</f>
        <v>654.62</v>
      </c>
      <c r="D336" s="2810" t="s">
        <v>4271</v>
      </c>
      <c r="E336" s="2797"/>
      <c r="F336" s="2912"/>
      <c r="G336" s="2797">
        <f>ROUND(SQRT(C330/(C111*C23)*(C18/C17+1)/(C18/C17)),2)</f>
        <v>1.81</v>
      </c>
      <c r="H336" s="2912"/>
      <c r="I336" s="2809"/>
      <c r="J336" s="3216"/>
      <c r="K336" s="2809"/>
      <c r="L336" s="2863"/>
      <c r="M336" s="2860"/>
      <c r="N336" s="2860"/>
      <c r="O336" s="2860"/>
      <c r="P336" s="2860"/>
      <c r="Q336" s="2860"/>
    </row>
    <row r="337" spans="1:17" ht="15.75">
      <c r="A337" s="2857" t="s">
        <v>4286</v>
      </c>
      <c r="B337" s="2855" t="s">
        <v>4287</v>
      </c>
      <c r="C337" s="2848">
        <f>ROUND(C331*C316*C317*C318*C319*C320*C321/(C336*SQRT(C322*C323*C327*C328)),2)</f>
        <v>1.26</v>
      </c>
      <c r="D337" s="3182" t="str">
        <f>IF(C337&gt;=C332,"","?")</f>
        <v/>
      </c>
      <c r="E337" s="2848"/>
      <c r="F337" s="2912"/>
      <c r="G337" s="2797"/>
      <c r="H337" s="2912"/>
      <c r="I337" s="2809"/>
      <c r="J337" s="3078"/>
      <c r="K337" s="2809"/>
      <c r="L337" s="2863"/>
      <c r="M337" s="2860"/>
      <c r="N337" s="2860"/>
      <c r="O337" s="2860"/>
      <c r="P337" s="2860"/>
      <c r="Q337" s="2860"/>
    </row>
    <row r="338" spans="1:17" ht="15.75">
      <c r="A338" s="2803" t="s">
        <v>4288</v>
      </c>
      <c r="B338" s="2855" t="s">
        <v>4289</v>
      </c>
      <c r="C338" s="2797">
        <f>ROUND(6*E342*COS(I342)/(I340^2*COS(C100)),3)</f>
        <v>1.361</v>
      </c>
      <c r="D338" s="2797"/>
      <c r="E338" s="2797"/>
      <c r="F338" s="2797"/>
      <c r="G338" s="2797"/>
      <c r="H338" s="2797"/>
      <c r="I338" s="2809"/>
      <c r="J338" s="3217"/>
      <c r="K338" s="3078"/>
      <c r="L338" s="2863"/>
      <c r="M338" s="2860"/>
      <c r="N338" s="2860"/>
      <c r="O338" s="2860"/>
      <c r="P338" s="2860"/>
      <c r="Q338" s="2860"/>
    </row>
    <row r="339" spans="1:17" ht="15.75">
      <c r="A339" s="2803"/>
      <c r="B339" s="2968" t="s">
        <v>4290</v>
      </c>
      <c r="C339" s="2809">
        <v>0</v>
      </c>
      <c r="D339" s="2809" t="s">
        <v>4291</v>
      </c>
      <c r="E339" s="2809">
        <f>ROUND(PI()*C19/4-(C25+C28)*C19*TAN(C100)-(1-SIN(C100))*0.3*C19/COS(C100),3)</f>
        <v>0.30099999999999999</v>
      </c>
      <c r="F339" s="2809" t="s">
        <v>4292</v>
      </c>
      <c r="G339" s="2809">
        <f>0.3-(C25+C28)+C122</f>
        <v>-0.55000000000000004</v>
      </c>
      <c r="H339" s="2809" t="s">
        <v>4293</v>
      </c>
      <c r="I339" s="2809">
        <f>IF(OR(C45=3,C45=4),1.6,IF(OR(C45=5,C45=6),3.2,6.3))</f>
        <v>3.2</v>
      </c>
      <c r="J339" s="2809"/>
      <c r="K339" s="2809"/>
      <c r="L339" s="2863"/>
      <c r="M339" s="2860"/>
      <c r="N339" s="2860"/>
      <c r="O339" s="2860"/>
      <c r="P339" s="2860"/>
      <c r="Q339" s="2860"/>
    </row>
    <row r="340" spans="1:17" ht="15.75">
      <c r="A340" s="2803"/>
      <c r="B340" s="2968" t="s">
        <v>4294</v>
      </c>
      <c r="C340" s="2809">
        <f>ROUND(C17/(COS(C106)^2*COS(C103)),3)</f>
        <v>22.390999999999998</v>
      </c>
      <c r="D340" s="2809" t="s">
        <v>4295</v>
      </c>
      <c r="E340" s="2809">
        <f>ROUND(2/C340*(PI()/2-E339/C19)-PI()/3,7)</f>
        <v>-0.91764579999999996</v>
      </c>
      <c r="F340" s="2809" t="s">
        <v>4296</v>
      </c>
      <c r="G340" s="2809">
        <f>C88</f>
        <v>0.86052190811930596</v>
      </c>
      <c r="H340" s="3206" t="s">
        <v>4297</v>
      </c>
      <c r="I340" s="2809">
        <f>ROUND(C340*SIN(PI()/3-G340)+1.732*(G339/COS(G340)-0.3),3)</f>
        <v>2.1749999999999998</v>
      </c>
      <c r="J340" s="2809"/>
      <c r="K340" s="2797"/>
      <c r="L340" s="2863"/>
      <c r="M340" s="2860"/>
      <c r="N340" s="2860"/>
      <c r="O340" s="2860"/>
      <c r="P340" s="2860"/>
      <c r="Q340" s="2860"/>
    </row>
    <row r="341" spans="1:17" ht="15.75">
      <c r="A341" s="2803"/>
      <c r="B341" s="3207" t="s">
        <v>4298</v>
      </c>
      <c r="C341" s="2809">
        <f>ROUND(0.3+2*G339^2/(COS(G340)*(C340*COS(G340)^2-2*G339)),3)</f>
        <v>0.38700000000000001</v>
      </c>
      <c r="D341" s="2809" t="s">
        <v>4299</v>
      </c>
      <c r="E341" s="2809">
        <f>2*SQRT((C118*(1-C159)+SQRT((C128/2)^2-(C113/2)^2))^2+(C113/2)^2)</f>
        <v>57.127297404783597</v>
      </c>
      <c r="F341" s="2809" t="s">
        <v>4300</v>
      </c>
      <c r="G341" s="2809">
        <f>ACOS(C113/E341)</f>
        <v>0.49193831820267903</v>
      </c>
      <c r="H341" s="2809" t="s">
        <v>4301</v>
      </c>
      <c r="I341" s="2809">
        <f>1/C17*(PI()/2+2*C122*TAN(C100))+E102-(TAN(G341)-G341)</f>
        <v>6.0648672941820601E-2</v>
      </c>
      <c r="J341" s="2809"/>
      <c r="K341" s="2797"/>
      <c r="L341" s="2863"/>
      <c r="M341" s="2860"/>
      <c r="N341" s="2860"/>
      <c r="O341" s="2860"/>
      <c r="P341" s="2860"/>
      <c r="Q341" s="2860"/>
    </row>
    <row r="342" spans="1:17" ht="15">
      <c r="A342" s="2803"/>
      <c r="B342" s="2809" t="s">
        <v>4302</v>
      </c>
      <c r="C342" s="2809">
        <f>G341-I341</f>
        <v>0.431289645260859</v>
      </c>
      <c r="D342" s="2809" t="s">
        <v>4303</v>
      </c>
      <c r="E342" s="2809">
        <f>ROUND(0.5*(C17/COS(C103)*(COS(C102)/COS(C342)-1)+C340*(1-COS(PI()/3-G340))-G339/COS(G340)+0.3),3)</f>
        <v>1.105</v>
      </c>
      <c r="F342" s="2809" t="s">
        <v>4304</v>
      </c>
      <c r="G342" s="2809">
        <f>ATAN(C113/(C111*COS(C342))*TAN(C103))</f>
        <v>0.22123338527615299</v>
      </c>
      <c r="H342" s="2809" t="s">
        <v>4305</v>
      </c>
      <c r="I342" s="2809">
        <f>ATAN(TAN(C342)*COS(G342))</f>
        <v>0.42199460314535298</v>
      </c>
      <c r="J342" s="2809"/>
      <c r="K342" s="2797"/>
      <c r="L342" s="2863"/>
      <c r="M342" s="2860"/>
      <c r="N342" s="2860"/>
      <c r="O342" s="2860"/>
      <c r="P342" s="2860"/>
      <c r="Q342" s="2860"/>
    </row>
    <row r="343" spans="1:17" ht="15.75">
      <c r="A343" s="3208"/>
      <c r="B343" s="2801" t="s">
        <v>4306</v>
      </c>
      <c r="C343" s="2797">
        <f>ROUND((1.2+0.13*I344)*I346^(1/(1.21+2.3/I344)),3)</f>
        <v>2.2480000000000002</v>
      </c>
      <c r="D343" s="2797" t="s">
        <v>4307</v>
      </c>
      <c r="E343" s="2797">
        <f>ROUND(0.25+0.75/C159,3)</f>
        <v>0.76600000000000001</v>
      </c>
      <c r="F343" s="2797" t="s">
        <v>4308</v>
      </c>
      <c r="G343" s="2797">
        <f>IF(K343&lt;0.75,0.75,K343)</f>
        <v>0.89749999999999996</v>
      </c>
      <c r="H343" s="2809" t="s">
        <v>4309</v>
      </c>
      <c r="I343" s="2809">
        <f>IF(1-0.25*J343&lt;0.75,0.75,1-0.25*J343)</f>
        <v>0.75</v>
      </c>
      <c r="J343" s="2809">
        <f>IF(C160&gt;1,1,C160)</f>
        <v>1</v>
      </c>
      <c r="K343" s="2809">
        <f>1-J343*C22/120</f>
        <v>0.89749999999999996</v>
      </c>
      <c r="L343" s="2863"/>
      <c r="M343" s="2860"/>
      <c r="N343" s="2860"/>
      <c r="O343" s="2860"/>
      <c r="P343" s="2860"/>
      <c r="Q343" s="2860"/>
    </row>
    <row r="344" spans="1:17" ht="15.75">
      <c r="A344" s="3208"/>
      <c r="B344" s="2855" t="s">
        <v>4310</v>
      </c>
      <c r="C344" s="2797">
        <v>1</v>
      </c>
      <c r="D344" s="2797" t="s">
        <v>4311</v>
      </c>
      <c r="E344" s="2797">
        <f>ROUND(IF(C80=6,4.299-3.259*(I339+1)^0.001,1.674-0.529*(I339+1)^0.01),3)</f>
        <v>1.137</v>
      </c>
      <c r="F344" s="2807" t="s">
        <v>4312</v>
      </c>
      <c r="G344" s="2797">
        <f>ROUND((1+SQRT(G345*I345))/(1+SQRT(G345*J345)),3)</f>
        <v>1.0029999999999999</v>
      </c>
      <c r="H344" s="2809" t="s">
        <v>4313</v>
      </c>
      <c r="I344" s="2809">
        <f>ROUND(I340/E342,3)</f>
        <v>1.968</v>
      </c>
      <c r="J344" s="2809"/>
      <c r="K344" s="2809"/>
      <c r="L344" s="2863"/>
      <c r="M344" s="2860"/>
      <c r="N344" s="2860"/>
      <c r="O344" s="2860"/>
      <c r="P344" s="2860"/>
      <c r="Q344" s="2860"/>
    </row>
    <row r="345" spans="1:17" ht="15.75">
      <c r="A345" s="3209"/>
      <c r="B345" s="2901" t="s">
        <v>4314</v>
      </c>
      <c r="C345" s="2791">
        <f>IF(OR(C80=4,C80=5,C80=6),1.05-0.01*C19,1.03-0.006*C19)</f>
        <v>1.0249999999999999</v>
      </c>
      <c r="D345" s="2791" t="s">
        <v>4315</v>
      </c>
      <c r="E345" s="2791">
        <v>2</v>
      </c>
      <c r="F345" s="2955" t="s">
        <v>4316</v>
      </c>
      <c r="G345" s="2955">
        <f>IF(C80=1,0.0281,IF(C80=2,0.0194,IF(C80=3,0.0064,IF(C80=4,0.0014,IF(C80=5,0.003,0.003)))))</f>
        <v>3.0000000000000001E-3</v>
      </c>
      <c r="H345" s="3205" t="s">
        <v>4317</v>
      </c>
      <c r="I345" s="2809">
        <f>0.2*(1+2*I346)</f>
        <v>1.3240000000000001</v>
      </c>
      <c r="J345" s="2809">
        <f>0.2*(1+2*2.5)</f>
        <v>1.2</v>
      </c>
      <c r="K345" s="2809"/>
      <c r="L345" s="2863"/>
      <c r="M345" s="2860"/>
      <c r="N345" s="2860"/>
      <c r="O345" s="2860"/>
      <c r="P345" s="2860"/>
      <c r="Q345" s="2860"/>
    </row>
    <row r="346" spans="1:17" ht="15.75">
      <c r="A346" s="2818" t="s">
        <v>4318</v>
      </c>
      <c r="B346" s="2855" t="s">
        <v>4319</v>
      </c>
      <c r="C346" s="2797">
        <f>ROUND(6*E350*COS(I350)/(I348^2*COS(C100)),3)</f>
        <v>1.6679999999999999</v>
      </c>
      <c r="D346" s="2809"/>
      <c r="E346" s="2809"/>
      <c r="F346" s="2809"/>
      <c r="G346" s="2809"/>
      <c r="H346" s="3210" t="s">
        <v>4320</v>
      </c>
      <c r="I346" s="2955">
        <f>ROUND(I340/(2*C341),3)</f>
        <v>2.81</v>
      </c>
      <c r="J346" s="2955"/>
      <c r="K346" s="2955"/>
      <c r="L346" s="2863"/>
      <c r="M346" s="2860"/>
      <c r="N346" s="2860"/>
      <c r="O346" s="2860"/>
      <c r="P346" s="2860"/>
      <c r="Q346" s="2860"/>
    </row>
    <row r="347" spans="1:17" ht="15.75">
      <c r="A347" s="2968"/>
      <c r="B347" s="2968" t="s">
        <v>4321</v>
      </c>
      <c r="C347" s="2809">
        <v>0</v>
      </c>
      <c r="D347" s="2809" t="s">
        <v>4322</v>
      </c>
      <c r="E347" s="2809">
        <f>ROUND(PI()*C19/4-(C25+C28)*C19*TAN(C100)-(1-SIN(C100))*0.3*C19/COS(C100),3)</f>
        <v>0.30099999999999999</v>
      </c>
      <c r="F347" s="2809" t="s">
        <v>4323</v>
      </c>
      <c r="G347" s="2809">
        <f>0.3-(C25+C28)+G122</f>
        <v>-0.967627236283779</v>
      </c>
      <c r="H347" s="2809" t="s">
        <v>4324</v>
      </c>
      <c r="I347" s="2809">
        <f>IF(OR(C45=3,C45=4),1.6,IF(OR(C45=5,C45=6),3.2,6.3))</f>
        <v>3.2</v>
      </c>
      <c r="J347" s="2809"/>
      <c r="K347" s="2809"/>
      <c r="L347" s="2863"/>
      <c r="M347" s="2860"/>
      <c r="N347" s="2860"/>
      <c r="O347" s="2860"/>
      <c r="P347" s="2860"/>
      <c r="Q347" s="2860"/>
    </row>
    <row r="348" spans="1:17" ht="15.75">
      <c r="A348" s="3207"/>
      <c r="B348" s="2968" t="s">
        <v>4325</v>
      </c>
      <c r="C348" s="2809">
        <f>ROUND(C18/(COS(C106)^2*COS(C103)),3)</f>
        <v>35.185000000000002</v>
      </c>
      <c r="D348" s="2809" t="s">
        <v>4326</v>
      </c>
      <c r="E348" s="2809">
        <f>ROUND(2/C348*(PI()/2-E347/C19)-PI()/3,7)</f>
        <v>-0.96475350000000004</v>
      </c>
      <c r="F348" s="2809" t="s">
        <v>4327</v>
      </c>
      <c r="G348" s="2809">
        <f>G88</f>
        <v>0.89600743585630105</v>
      </c>
      <c r="H348" s="3206" t="s">
        <v>4328</v>
      </c>
      <c r="I348" s="2809">
        <f>ROUND(C348*SIN(PI()/3-G348)+1.732*(G347/COS(G348)-0.3),3)</f>
        <v>2.097</v>
      </c>
      <c r="J348" s="2809"/>
      <c r="K348" s="2797"/>
      <c r="L348" s="2863"/>
      <c r="M348" s="2860"/>
      <c r="N348" s="2860"/>
      <c r="O348" s="2860"/>
      <c r="P348" s="2860"/>
      <c r="Q348" s="2860"/>
    </row>
    <row r="349" spans="1:17" ht="15.75">
      <c r="A349" s="2809"/>
      <c r="B349" s="3207" t="s">
        <v>4329</v>
      </c>
      <c r="C349" s="2809">
        <f>ROUND(0.3+2*G347^2/(COS(G348)*(C348*COS(G348)^2-2*G347)),3)</f>
        <v>0.49099999999999999</v>
      </c>
      <c r="D349" s="2809" t="s">
        <v>4299</v>
      </c>
      <c r="E349" s="2809">
        <f>2*SQRT((C118*(1-C159)+SQRT((G128/2)^2-(G113/2)^2))^2+(G113/2)^2)</f>
        <v>86.319575809705796</v>
      </c>
      <c r="F349" s="2809" t="s">
        <v>4330</v>
      </c>
      <c r="G349" s="2809">
        <f>ACOS(G113/E349)</f>
        <v>0.41113794157022598</v>
      </c>
      <c r="H349" s="2809" t="s">
        <v>4331</v>
      </c>
      <c r="I349" s="2809">
        <f>1/C18*(PI()/2+2*G122*TAN(C100))+E102-(TAN(G349)-G349)</f>
        <v>3.8289715141524502E-2</v>
      </c>
      <c r="J349" s="2797"/>
      <c r="K349" s="2797"/>
      <c r="L349" s="2863"/>
      <c r="M349" s="2860"/>
      <c r="N349" s="2860"/>
      <c r="O349" s="2860"/>
      <c r="P349" s="2860"/>
      <c r="Q349" s="2860"/>
    </row>
    <row r="350" spans="1:17" ht="15.75">
      <c r="A350" s="2801"/>
      <c r="B350" s="2809" t="s">
        <v>4332</v>
      </c>
      <c r="C350" s="2809">
        <f>G349-I349</f>
        <v>0.37284822642870202</v>
      </c>
      <c r="D350" s="2809" t="s">
        <v>4333</v>
      </c>
      <c r="E350" s="2809">
        <f>ROUND(0.5*(C18/COS(C103)*(COS(C102)/COS(C350)-1)+C348*(1-COS(PI()/3-G348))-G347/COS(G348)+0.3),3)</f>
        <v>1.23</v>
      </c>
      <c r="F350" s="2809" t="s">
        <v>4334</v>
      </c>
      <c r="G350" s="2809">
        <f>ATAN(G113/(G111*COS(C350))*TAN(C103))</f>
        <v>0.21597074360202201</v>
      </c>
      <c r="H350" s="2809" t="s">
        <v>4335</v>
      </c>
      <c r="I350" s="2809">
        <f>ATAN(TAN(C350)*COS(G350))</f>
        <v>0.36494303757674901</v>
      </c>
      <c r="J350" s="2797"/>
      <c r="K350" s="2797"/>
      <c r="L350" s="2863"/>
      <c r="M350" s="2860"/>
      <c r="N350" s="2860"/>
      <c r="O350" s="2860"/>
      <c r="P350" s="2860"/>
      <c r="Q350" s="2860"/>
    </row>
    <row r="351" spans="1:17" ht="15.75">
      <c r="A351" s="2855"/>
      <c r="B351" s="2801" t="s">
        <v>4336</v>
      </c>
      <c r="C351" s="2797">
        <f>ROUND((1.2+0.13*I352)*I354^(1/(1.21+2.3/I352)),3)</f>
        <v>1.9119999999999999</v>
      </c>
      <c r="D351" s="2797" t="s">
        <v>4337</v>
      </c>
      <c r="E351" s="2797">
        <f>ROUND(0.25+0.75/C159,3)</f>
        <v>0.76600000000000001</v>
      </c>
      <c r="F351" s="2797" t="s">
        <v>4338</v>
      </c>
      <c r="G351" s="2797">
        <f>IF(K351&lt;0.75,0.75,K351)</f>
        <v>0.89749999999999996</v>
      </c>
      <c r="H351" s="3206" t="s">
        <v>4339</v>
      </c>
      <c r="I351" s="2809">
        <f>IF(1-0.25*J351&lt;0.75,0.75,1-0.25*J351)</f>
        <v>0.75</v>
      </c>
      <c r="J351" s="2809">
        <f>IF(C160&gt;1,1,C160)</f>
        <v>1</v>
      </c>
      <c r="K351" s="2809">
        <f>1-J351*C22/120</f>
        <v>0.89749999999999996</v>
      </c>
      <c r="L351" s="2863"/>
      <c r="M351" s="2860"/>
      <c r="N351" s="2860"/>
      <c r="O351" s="2860"/>
      <c r="P351" s="2860"/>
      <c r="Q351" s="2860"/>
    </row>
    <row r="352" spans="1:17" ht="15.75">
      <c r="A352" s="2801"/>
      <c r="B352" s="2855" t="s">
        <v>4340</v>
      </c>
      <c r="C352" s="2797">
        <v>1</v>
      </c>
      <c r="D352" s="2976" t="s">
        <v>4341</v>
      </c>
      <c r="E352" s="2797">
        <f>ROUND(IF(C80=6,4.299-3.259*(I347+1)^0.001,1.674-0.529*(I347+1)^0.01),3)</f>
        <v>1.137</v>
      </c>
      <c r="F352" s="2807" t="s">
        <v>4342</v>
      </c>
      <c r="G352" s="2797">
        <f>ROUND((1+SQRT(G353*I353))/(1+SQRT(G353*J353)),3)</f>
        <v>0.996</v>
      </c>
      <c r="H352" s="2809" t="s">
        <v>4343</v>
      </c>
      <c r="I352" s="2809">
        <f>ROUND(I348/E350,3)</f>
        <v>1.7050000000000001</v>
      </c>
      <c r="J352" s="2809"/>
      <c r="K352" s="2809"/>
      <c r="L352" s="2863"/>
      <c r="M352" s="2860"/>
      <c r="N352" s="2860"/>
      <c r="O352" s="2860"/>
      <c r="P352" s="2860"/>
      <c r="Q352" s="2860"/>
    </row>
    <row r="353" spans="1:17" ht="15.75">
      <c r="A353" s="3209"/>
      <c r="B353" s="2901" t="s">
        <v>4344</v>
      </c>
      <c r="C353" s="2791">
        <f>IF(OR(C80=4,C80=5,C80=6),1.05-0.01*C19,1.03-0.006*C19)</f>
        <v>1.0249999999999999</v>
      </c>
      <c r="D353" s="2791" t="s">
        <v>4345</v>
      </c>
      <c r="E353" s="2791">
        <v>2</v>
      </c>
      <c r="F353" s="2955" t="s">
        <v>4346</v>
      </c>
      <c r="G353" s="2955">
        <f>IF(C80=1,0.0281,IF(C80=2,0.0194,IF(C80=3,0.0064,IF(C80=4,0.0014,IF(C80=5,0.003,0.003)))))</f>
        <v>3.0000000000000001E-3</v>
      </c>
      <c r="H353" s="3205" t="s">
        <v>4347</v>
      </c>
      <c r="I353" s="2809">
        <f>0.2*(1+2*I354)</f>
        <v>1.054</v>
      </c>
      <c r="J353" s="2809">
        <f>0.2*(1+2*2.5)</f>
        <v>1.2</v>
      </c>
      <c r="K353" s="2809"/>
      <c r="L353" s="2863"/>
      <c r="M353" s="2860"/>
      <c r="N353" s="2860"/>
      <c r="O353" s="2860"/>
      <c r="P353" s="2860"/>
      <c r="Q353" s="2860"/>
    </row>
    <row r="354" spans="1:17" ht="15.75">
      <c r="A354" s="3208"/>
      <c r="B354" s="2977"/>
      <c r="C354" s="2809"/>
      <c r="D354" s="2809"/>
      <c r="E354" s="2809"/>
      <c r="F354" s="2809"/>
      <c r="G354" s="2809"/>
      <c r="H354" s="3210" t="s">
        <v>4348</v>
      </c>
      <c r="I354" s="2955">
        <f>ROUND(I348/(2*C349),3)</f>
        <v>2.1349999999999998</v>
      </c>
      <c r="J354" s="3218"/>
      <c r="K354" s="2955"/>
      <c r="L354" s="2863"/>
      <c r="M354" s="2860"/>
      <c r="N354" s="2860"/>
      <c r="O354" s="2860"/>
      <c r="P354" s="2860"/>
      <c r="Q354" s="2860"/>
    </row>
    <row r="355" spans="1:17" ht="15.75">
      <c r="A355" s="2803" t="s">
        <v>4260</v>
      </c>
      <c r="B355" s="2855" t="s">
        <v>4349</v>
      </c>
      <c r="C355" s="2797">
        <f>ROUND(C327^E355,3)</f>
        <v>1.2909999999999999</v>
      </c>
      <c r="D355" s="2809" t="s">
        <v>464</v>
      </c>
      <c r="E355" s="2809">
        <f>ROUND((C23/C127)^2/(1+C23/C127+(C23/C127)^2),3)</f>
        <v>0.86299999999999999</v>
      </c>
      <c r="F355" s="2912"/>
      <c r="G355" s="2797"/>
      <c r="H355" s="2912"/>
      <c r="I355" s="2809"/>
      <c r="J355" s="3217"/>
      <c r="K355" s="3078"/>
      <c r="L355" s="2863"/>
      <c r="M355" s="2860"/>
      <c r="N355" s="2860"/>
      <c r="O355" s="2860"/>
      <c r="P355" s="2860"/>
      <c r="Q355" s="2860"/>
    </row>
    <row r="356" spans="1:17" ht="15.75">
      <c r="A356" s="2803" t="s">
        <v>4262</v>
      </c>
      <c r="B356" s="2855" t="s">
        <v>4350</v>
      </c>
      <c r="C356" s="2797">
        <f>ROUND(IF(C329&gt;C161,C161/(C159*G343),IF(C329&lt;1,1,C329)),3)</f>
        <v>1</v>
      </c>
      <c r="D356" s="2797"/>
      <c r="E356" s="2797"/>
      <c r="F356" s="2797"/>
      <c r="G356" s="2797"/>
      <c r="H356" s="2797"/>
      <c r="I356" s="2809"/>
      <c r="J356" s="3216"/>
      <c r="K356" s="2848"/>
      <c r="L356" s="2817"/>
      <c r="M356" s="2860"/>
      <c r="N356" s="2860"/>
      <c r="O356" s="2860"/>
      <c r="P356" s="2860"/>
      <c r="Q356" s="2860"/>
    </row>
    <row r="357" spans="1:17" ht="15">
      <c r="A357" s="2857" t="s">
        <v>4351</v>
      </c>
      <c r="B357" s="2797" t="s">
        <v>4352</v>
      </c>
      <c r="C357" s="2797">
        <f>IF(C80=1,150,IF(C80=2,180,IF(C80=3,240,IF(C80=4,180,IF(C80=5,350,IF(C80=6,350,280))))))</f>
        <v>350</v>
      </c>
      <c r="D357" s="2912" t="s">
        <v>4271</v>
      </c>
      <c r="E357" s="2808" t="s">
        <v>4272</v>
      </c>
      <c r="F357" s="2912"/>
      <c r="G357" s="2797"/>
      <c r="H357" s="2912"/>
      <c r="I357" s="2808"/>
      <c r="J357" s="2809"/>
      <c r="K357" s="3078"/>
      <c r="L357" s="3219"/>
      <c r="M357" s="2860"/>
      <c r="N357" s="2860"/>
      <c r="O357" s="2860"/>
      <c r="P357" s="2860"/>
      <c r="Q357" s="2860"/>
    </row>
    <row r="358" spans="1:17" ht="15.75">
      <c r="A358" s="2857" t="s">
        <v>4353</v>
      </c>
      <c r="B358" s="2801" t="s">
        <v>4354</v>
      </c>
      <c r="C358" s="2797">
        <v>1.25</v>
      </c>
      <c r="D358" s="2912"/>
      <c r="E358" s="2808" t="s">
        <v>4275</v>
      </c>
      <c r="F358" s="2912"/>
      <c r="G358" s="2797"/>
      <c r="H358" s="2912"/>
      <c r="I358" s="2808"/>
      <c r="J358" s="2809"/>
      <c r="K358" s="2797"/>
      <c r="L358" s="3219"/>
      <c r="M358" s="2860"/>
      <c r="N358" s="2860"/>
      <c r="O358" s="2860"/>
      <c r="P358" s="2860"/>
      <c r="Q358" s="2860"/>
    </row>
    <row r="359" spans="1:17" ht="15.75">
      <c r="A359" s="2803" t="s">
        <v>4355</v>
      </c>
      <c r="B359" s="2797" t="s">
        <v>4356</v>
      </c>
      <c r="C359" s="2797">
        <f>ROUND(C357*E345*C344*E344*G344*C345/C358,2)</f>
        <v>654.6</v>
      </c>
      <c r="D359" s="2912" t="s">
        <v>4271</v>
      </c>
      <c r="E359" s="2797"/>
      <c r="F359" s="2797"/>
      <c r="G359" s="2797">
        <f>ROUND(C357*E353*C352*E352*G352*C353/C358,2)</f>
        <v>650.03</v>
      </c>
      <c r="H359" s="2912" t="s">
        <v>4271</v>
      </c>
      <c r="I359" s="2797"/>
      <c r="J359" s="2809"/>
      <c r="K359" s="2797"/>
      <c r="L359" s="3219"/>
      <c r="M359" s="2860"/>
      <c r="N359" s="2860"/>
      <c r="O359" s="2860"/>
      <c r="P359" s="2860"/>
      <c r="Q359" s="2860"/>
    </row>
    <row r="360" spans="1:17" ht="15.75">
      <c r="A360" s="2803" t="s">
        <v>4357</v>
      </c>
      <c r="B360" s="2797" t="s">
        <v>4358</v>
      </c>
      <c r="C360" s="2797">
        <f>ROUND(C361*C322*C323*C355*C356,2)</f>
        <v>277.69</v>
      </c>
      <c r="D360" s="2912" t="s">
        <v>4271</v>
      </c>
      <c r="E360" s="2797"/>
      <c r="F360" s="2912"/>
      <c r="G360" s="2797">
        <f>ROUND(G361*C322*C323*C355*C356,2)</f>
        <v>289.45999999999998</v>
      </c>
      <c r="H360" s="2912" t="s">
        <v>4271</v>
      </c>
      <c r="I360" s="2797"/>
      <c r="J360" s="2809"/>
      <c r="K360" s="2900"/>
      <c r="L360" s="2817"/>
      <c r="M360" s="2860"/>
      <c r="N360" s="2860"/>
      <c r="O360" s="2860"/>
      <c r="P360" s="2860"/>
      <c r="Q360" s="2860"/>
    </row>
    <row r="361" spans="1:17" ht="15">
      <c r="A361" s="2803" t="s">
        <v>4359</v>
      </c>
      <c r="B361" s="2797" t="s">
        <v>4360</v>
      </c>
      <c r="C361" s="2797">
        <f>ROUND(C330/(C23*C19)*C338*C343*G343,2)</f>
        <v>117.54</v>
      </c>
      <c r="D361" s="2912" t="s">
        <v>4271</v>
      </c>
      <c r="E361" s="2797"/>
      <c r="F361" s="2912"/>
      <c r="G361" s="2797">
        <f>ROUND(C330/(C23*C19)*C346*C351*G351,2)</f>
        <v>122.52</v>
      </c>
      <c r="H361" s="2912" t="s">
        <v>4271</v>
      </c>
      <c r="I361" s="2797"/>
      <c r="J361" s="2809"/>
      <c r="K361" s="2900"/>
      <c r="L361" s="2817"/>
      <c r="M361" s="2860"/>
      <c r="N361" s="2860"/>
      <c r="O361" s="2860"/>
      <c r="P361" s="2860"/>
      <c r="Q361" s="2860"/>
    </row>
    <row r="362" spans="1:17" ht="15.75">
      <c r="A362" s="2864" t="s">
        <v>4361</v>
      </c>
      <c r="B362" s="2872" t="s">
        <v>4362</v>
      </c>
      <c r="C362" s="2920">
        <f>ROUND(C357*E345*C344*E344*G344*C345/(C361*C322*C323*C355*C356),2)</f>
        <v>2.95</v>
      </c>
      <c r="D362" s="3211" t="str">
        <f>IF(C362&gt;=C358,"","?")</f>
        <v/>
      </c>
      <c r="E362" s="2791"/>
      <c r="F362" s="2917"/>
      <c r="G362" s="2920">
        <f>ROUND(C357*E353*C352*E352*G352*C353/(G361*C322*C323*C355*C356),2)</f>
        <v>2.81</v>
      </c>
      <c r="H362" s="3211" t="str">
        <f>IF(G362&gt;=G358,"","?")</f>
        <v/>
      </c>
      <c r="I362" s="2797"/>
      <c r="J362" s="2809"/>
      <c r="K362" s="2900"/>
      <c r="L362" s="2817"/>
      <c r="M362" s="2860"/>
      <c r="N362" s="2860"/>
      <c r="O362" s="2860"/>
      <c r="P362" s="2860"/>
      <c r="Q362" s="2860"/>
    </row>
    <row r="363" spans="1:17" ht="15">
      <c r="A363" s="2815"/>
      <c r="B363" s="2946"/>
      <c r="C363" s="2797"/>
      <c r="D363" s="2911"/>
      <c r="E363" s="2797"/>
      <c r="F363" s="2912"/>
      <c r="G363" s="2797"/>
      <c r="H363" s="2912"/>
      <c r="I363" s="2797"/>
      <c r="J363" s="2809"/>
      <c r="K363" s="2900"/>
      <c r="L363" s="2817"/>
      <c r="M363" s="2860"/>
      <c r="N363" s="2860"/>
      <c r="O363" s="2860"/>
      <c r="P363" s="2860"/>
      <c r="Q363" s="2860"/>
    </row>
    <row r="364" spans="1:17" ht="15">
      <c r="A364" s="2987"/>
      <c r="B364" s="2988"/>
      <c r="C364" s="2928"/>
      <c r="D364" s="2989"/>
      <c r="E364" s="2928"/>
      <c r="F364" s="2990"/>
      <c r="G364" s="2928"/>
      <c r="H364" s="2990"/>
      <c r="I364" s="2797"/>
      <c r="J364" s="2809"/>
      <c r="K364" s="2900"/>
      <c r="L364" s="2817"/>
      <c r="M364" s="2860"/>
      <c r="N364" s="2860"/>
      <c r="O364" s="2860"/>
      <c r="P364" s="2860"/>
      <c r="Q364" s="2860"/>
    </row>
    <row r="365" spans="1:17" ht="15.75">
      <c r="A365" s="2991" t="s">
        <v>4363</v>
      </c>
      <c r="B365" s="2992"/>
      <c r="C365" s="2959"/>
      <c r="D365" s="2835"/>
      <c r="E365" s="2835"/>
      <c r="F365" s="2835"/>
      <c r="G365" s="2959"/>
      <c r="H365" s="2993"/>
      <c r="I365" s="2797"/>
      <c r="J365" s="2809"/>
      <c r="K365" s="2809"/>
      <c r="L365" s="2817"/>
      <c r="M365" s="2860"/>
      <c r="N365" s="2860"/>
      <c r="O365" s="2860"/>
      <c r="P365" s="2860"/>
      <c r="Q365" s="2860"/>
    </row>
    <row r="366" spans="1:17" ht="15.75">
      <c r="A366" s="2815"/>
      <c r="B366" s="2801"/>
      <c r="C366" s="2797"/>
      <c r="D366" s="2809"/>
      <c r="E366" s="2809"/>
      <c r="F366" s="2809"/>
      <c r="G366" s="2797"/>
      <c r="H366" s="2810"/>
      <c r="I366" s="2797"/>
      <c r="J366" s="2900"/>
      <c r="K366" s="2809"/>
      <c r="L366" s="2817"/>
      <c r="M366" s="2860"/>
      <c r="N366" s="2860"/>
      <c r="O366" s="2860"/>
      <c r="P366" s="2860"/>
      <c r="Q366" s="2860"/>
    </row>
    <row r="367" spans="1:17" ht="21">
      <c r="A367" s="2994" t="s">
        <v>4364</v>
      </c>
      <c r="B367" s="2806"/>
      <c r="C367" s="3129"/>
      <c r="D367" s="2813"/>
      <c r="E367" s="2813"/>
      <c r="F367" s="2813"/>
      <c r="G367" s="2770" t="str">
        <f>H1</f>
        <v>编号：</v>
      </c>
      <c r="H367" s="2996">
        <f>IF(I1=0,"",I1)</f>
        <v>12</v>
      </c>
      <c r="I367" s="2797"/>
      <c r="J367" s="2900"/>
      <c r="K367" s="2900"/>
      <c r="L367" s="2817"/>
      <c r="M367" s="2860"/>
      <c r="N367" s="2860"/>
      <c r="O367" s="2860"/>
      <c r="P367" s="2860"/>
      <c r="Q367" s="2860"/>
    </row>
    <row r="368" spans="1:17" ht="15.75">
      <c r="A368" s="3130"/>
      <c r="B368" s="2831"/>
      <c r="C368" s="2999" t="str">
        <f>IF(AND(C109=C108,C121=0,G121=0),"     （平行轴非变位圆柱齿轮传动）",IF(AND(C109=C108,C121=-G121),"     （平行轴高变位圆柱齿轮传动）","     （平行轴角变位圆柱齿轮传动）"))</f>
        <v>（平行轴角变位圆柱齿轮传动）</v>
      </c>
      <c r="D368" s="3131"/>
      <c r="E368" s="2789"/>
      <c r="F368" s="3133"/>
      <c r="G368" s="2786"/>
      <c r="H368" s="2813"/>
      <c r="I368" s="2797"/>
      <c r="J368" s="2900"/>
      <c r="K368" s="2900"/>
      <c r="L368" s="2809"/>
      <c r="M368" s="2860"/>
      <c r="N368" s="2860"/>
      <c r="O368" s="2860"/>
      <c r="P368" s="2860"/>
      <c r="Q368" s="2860"/>
    </row>
    <row r="369" spans="1:17" ht="15">
      <c r="A369" s="2997" t="s">
        <v>2804</v>
      </c>
      <c r="B369" s="3147"/>
      <c r="C369" s="2903" t="str">
        <f t="shared" ref="C369:C371" si="7">IF(C12=0,"",C12)</f>
        <v/>
      </c>
      <c r="D369" s="2781"/>
      <c r="E369" s="2997" t="s">
        <v>2805</v>
      </c>
      <c r="F369" s="2784"/>
      <c r="G369" s="2903">
        <f t="shared" ref="G369:G371" si="8">IF(G12=0,"",G12)</f>
        <v>10026</v>
      </c>
      <c r="H369" s="2783"/>
      <c r="I369" s="2797"/>
      <c r="J369" s="2900"/>
      <c r="K369" s="2900"/>
      <c r="L369" s="2817"/>
      <c r="M369" s="2860"/>
      <c r="N369" s="2860"/>
      <c r="O369" s="2860"/>
      <c r="P369" s="2860"/>
      <c r="Q369" s="2860"/>
    </row>
    <row r="370" spans="1:17" ht="15.75">
      <c r="A370" s="2997" t="s">
        <v>2806</v>
      </c>
      <c r="B370" s="3099"/>
      <c r="C370" s="2903">
        <f t="shared" si="7"/>
        <v>30201</v>
      </c>
      <c r="D370" s="2781"/>
      <c r="E370" s="2999"/>
      <c r="F370" s="2789"/>
      <c r="G370" s="2903">
        <f t="shared" si="8"/>
        <v>30202</v>
      </c>
      <c r="H370" s="2783"/>
      <c r="I370" s="2797"/>
      <c r="J370" s="2900"/>
      <c r="K370" s="2900"/>
      <c r="L370" s="2817"/>
      <c r="M370" s="2860"/>
      <c r="N370" s="2860"/>
      <c r="O370" s="2860"/>
      <c r="P370" s="2860"/>
      <c r="Q370" s="2860"/>
    </row>
    <row r="371" spans="1:17" ht="15.75">
      <c r="A371" s="2997" t="s">
        <v>3282</v>
      </c>
      <c r="B371" s="2801"/>
      <c r="C371" s="2797" t="str">
        <f t="shared" si="7"/>
        <v/>
      </c>
      <c r="D371" s="3000"/>
      <c r="E371" s="2997" t="s">
        <v>2810</v>
      </c>
      <c r="F371" s="2800"/>
      <c r="G371" s="2797" t="str">
        <f t="shared" si="8"/>
        <v/>
      </c>
      <c r="H371" s="2783"/>
      <c r="I371" s="2797"/>
      <c r="J371" s="2900"/>
      <c r="K371" s="2900"/>
      <c r="L371" s="2817"/>
      <c r="M371" s="2860"/>
      <c r="N371" s="2860"/>
      <c r="O371" s="2860"/>
      <c r="P371" s="2860"/>
      <c r="Q371" s="2860"/>
    </row>
    <row r="372" spans="1:17" ht="15.75">
      <c r="A372" s="3001" t="s">
        <v>3283</v>
      </c>
      <c r="B372" s="2801"/>
      <c r="C372" s="2791"/>
      <c r="D372" s="3002"/>
      <c r="E372" s="2794"/>
      <c r="F372" s="2794"/>
      <c r="G372" s="2791"/>
      <c r="H372" s="2783"/>
      <c r="I372" s="2797"/>
      <c r="J372" s="2900"/>
      <c r="K372" s="2900"/>
      <c r="L372" s="2817"/>
      <c r="M372" s="2860"/>
      <c r="N372" s="2860"/>
      <c r="O372" s="2860"/>
      <c r="P372" s="2860"/>
      <c r="Q372" s="2860"/>
    </row>
    <row r="373" spans="1:17" ht="15.75">
      <c r="A373" s="3004" t="s">
        <v>3284</v>
      </c>
      <c r="B373" s="3212"/>
      <c r="C373" s="3004" t="s">
        <v>4152</v>
      </c>
      <c r="D373" s="3006"/>
      <c r="E373" s="3007"/>
      <c r="F373" s="3213"/>
      <c r="G373" s="3004" t="s">
        <v>4153</v>
      </c>
      <c r="H373" s="3009"/>
      <c r="I373" s="2797"/>
      <c r="J373" s="2900"/>
      <c r="K373" s="2900"/>
      <c r="L373" s="2817"/>
      <c r="M373" s="2860"/>
      <c r="N373" s="2860"/>
      <c r="O373" s="2860"/>
      <c r="P373" s="2860"/>
      <c r="Q373" s="2860"/>
    </row>
    <row r="374" spans="1:17" ht="15">
      <c r="A374" s="3010" t="s">
        <v>3285</v>
      </c>
      <c r="B374" s="2983"/>
      <c r="C374" s="3011"/>
      <c r="D374" s="2807"/>
      <c r="E374" s="2797"/>
      <c r="F374" s="2807"/>
      <c r="G374" s="3011"/>
      <c r="H374" s="2807"/>
      <c r="I374" s="2797"/>
      <c r="J374" s="2900"/>
      <c r="K374" s="2900"/>
      <c r="L374" s="2817"/>
      <c r="M374" s="2860"/>
      <c r="N374" s="2860"/>
      <c r="O374" s="2860"/>
      <c r="P374" s="2860"/>
      <c r="Q374" s="2860"/>
    </row>
    <row r="375" spans="1:17" ht="15.75">
      <c r="A375" s="2818" t="s">
        <v>3287</v>
      </c>
      <c r="B375" s="2801" t="s">
        <v>1139</v>
      </c>
      <c r="C375" s="2797">
        <f>C17</f>
        <v>21</v>
      </c>
      <c r="D375" s="2797"/>
      <c r="E375" s="2797"/>
      <c r="F375" s="2797"/>
      <c r="G375" s="2797">
        <f>C18</f>
        <v>33</v>
      </c>
      <c r="H375" s="2797"/>
      <c r="I375" s="2797"/>
      <c r="J375" s="2900"/>
      <c r="K375" s="2900"/>
      <c r="L375" s="2817"/>
      <c r="M375" s="2860"/>
      <c r="N375" s="2860"/>
      <c r="O375" s="2860"/>
      <c r="P375" s="2860"/>
      <c r="Q375" s="2860"/>
    </row>
    <row r="376" spans="1:17" ht="15.75">
      <c r="A376" s="2818" t="s">
        <v>3288</v>
      </c>
      <c r="B376" s="2801" t="s">
        <v>2819</v>
      </c>
      <c r="C376" s="2797"/>
      <c r="D376" s="2810"/>
      <c r="E376" s="2797">
        <f>C19</f>
        <v>2.5</v>
      </c>
      <c r="F376" s="2810" t="s">
        <v>2820</v>
      </c>
      <c r="G376" s="2797"/>
      <c r="H376" s="2797"/>
      <c r="I376" s="2797"/>
      <c r="J376" s="2900"/>
      <c r="K376" s="2900"/>
      <c r="L376" s="2817"/>
      <c r="M376" s="2860"/>
      <c r="N376" s="2860"/>
      <c r="O376" s="2860"/>
      <c r="P376" s="2860"/>
      <c r="Q376" s="2860"/>
    </row>
    <row r="377" spans="1:17" ht="15.75">
      <c r="A377" s="2818" t="s">
        <v>3289</v>
      </c>
      <c r="B377" s="2797" t="s">
        <v>2822</v>
      </c>
      <c r="C377" s="2797"/>
      <c r="D377" s="2810"/>
      <c r="E377" s="2797">
        <f>C101</f>
        <v>20</v>
      </c>
      <c r="F377" s="2810" t="s">
        <v>257</v>
      </c>
      <c r="G377" s="2797"/>
      <c r="H377" s="2797"/>
      <c r="I377" s="2797"/>
      <c r="J377" s="2854"/>
      <c r="K377" s="2900"/>
      <c r="L377" s="2817"/>
      <c r="M377" s="2860"/>
      <c r="N377" s="2860"/>
      <c r="O377" s="2860"/>
      <c r="P377" s="2860"/>
      <c r="Q377" s="2860"/>
    </row>
    <row r="378" spans="1:17" ht="15.75">
      <c r="A378" s="2818">
        <f>A22</f>
        <v>0</v>
      </c>
      <c r="B378" s="2801">
        <f>B22</f>
        <v>0</v>
      </c>
      <c r="C378" s="2797"/>
      <c r="D378" s="2810"/>
      <c r="E378" s="2797">
        <f>C22</f>
        <v>12.3</v>
      </c>
      <c r="F378" s="2810" t="s">
        <v>257</v>
      </c>
      <c r="G378" s="2797"/>
      <c r="H378" s="2797"/>
      <c r="I378" s="2797"/>
      <c r="J378" s="2854"/>
      <c r="K378" s="2900"/>
      <c r="L378" s="2817"/>
      <c r="M378" s="2860"/>
      <c r="N378" s="2860"/>
      <c r="O378" s="2860"/>
      <c r="P378" s="2860"/>
      <c r="Q378" s="2860"/>
    </row>
    <row r="379" spans="1:17" ht="15.75">
      <c r="A379" s="2818" t="s">
        <v>3290</v>
      </c>
      <c r="B379" s="2801" t="s">
        <v>2534</v>
      </c>
      <c r="C379" s="2797"/>
      <c r="D379" s="2810"/>
      <c r="E379" s="2797">
        <f>C23</f>
        <v>40</v>
      </c>
      <c r="F379" s="2810" t="s">
        <v>2820</v>
      </c>
      <c r="G379" s="2797"/>
      <c r="H379" s="2797"/>
      <c r="I379" s="2797"/>
      <c r="J379" s="2854"/>
      <c r="K379" s="2900"/>
      <c r="L379" s="2817"/>
      <c r="M379" s="2860"/>
      <c r="N379" s="2860"/>
      <c r="O379" s="2860"/>
      <c r="P379" s="2860"/>
      <c r="Q379" s="2860"/>
    </row>
    <row r="380" spans="1:17" ht="15.75">
      <c r="A380" s="2813" t="s">
        <v>3291</v>
      </c>
      <c r="B380" s="2806" t="s">
        <v>2831</v>
      </c>
      <c r="C380" s="2797"/>
      <c r="D380" s="2810"/>
      <c r="E380" s="2797">
        <f t="shared" ref="E380:E384" si="9">C25</f>
        <v>1</v>
      </c>
      <c r="F380" s="2810"/>
      <c r="G380" s="2797"/>
      <c r="H380" s="2797"/>
      <c r="I380" s="2797"/>
      <c r="J380" s="2854"/>
      <c r="K380" s="2900"/>
      <c r="L380" s="2817"/>
      <c r="M380" s="2860"/>
      <c r="N380" s="2860"/>
      <c r="O380" s="2860"/>
      <c r="P380" s="2860"/>
      <c r="Q380" s="2860"/>
    </row>
    <row r="381" spans="1:17" ht="15.75">
      <c r="A381" s="2813" t="s">
        <v>3292</v>
      </c>
      <c r="B381" s="2806" t="s">
        <v>2834</v>
      </c>
      <c r="C381" s="2797"/>
      <c r="D381" s="2810"/>
      <c r="E381" s="2797">
        <f t="shared" si="9"/>
        <v>0</v>
      </c>
      <c r="F381" s="2810"/>
      <c r="G381" s="2797"/>
      <c r="H381" s="2797"/>
      <c r="I381" s="2797"/>
      <c r="J381" s="2854"/>
      <c r="K381" s="2900"/>
      <c r="L381" s="2817"/>
      <c r="M381" s="2860"/>
      <c r="N381" s="2860"/>
      <c r="O381" s="2860"/>
      <c r="P381" s="2860"/>
      <c r="Q381" s="2860"/>
    </row>
    <row r="382" spans="1:17" ht="15.75">
      <c r="A382" s="2813" t="s">
        <v>2835</v>
      </c>
      <c r="B382" s="2806" t="s">
        <v>2836</v>
      </c>
      <c r="C382" s="2797"/>
      <c r="D382" s="2810"/>
      <c r="E382" s="2797">
        <f>C28</f>
        <v>0.25</v>
      </c>
      <c r="F382" s="2810"/>
      <c r="G382" s="2797"/>
      <c r="H382" s="2797"/>
      <c r="I382" s="2797"/>
      <c r="J382" s="2854"/>
      <c r="K382" s="2900"/>
      <c r="L382" s="2817"/>
      <c r="M382" s="2860"/>
      <c r="N382" s="2860"/>
      <c r="O382" s="2860"/>
      <c r="P382" s="2860"/>
      <c r="Q382" s="2860"/>
    </row>
    <row r="383" spans="1:17" ht="15.75">
      <c r="A383" s="2818" t="s">
        <v>3293</v>
      </c>
      <c r="B383" s="2801" t="s">
        <v>3294</v>
      </c>
      <c r="C383" s="2797"/>
      <c r="D383" s="2810"/>
      <c r="E383" s="2797">
        <f>2*C25+C28</f>
        <v>2.25</v>
      </c>
      <c r="F383" s="2797"/>
      <c r="G383" s="2797"/>
      <c r="H383" s="2797"/>
      <c r="I383" s="2797"/>
      <c r="J383" s="2854"/>
      <c r="K383" s="2900"/>
      <c r="L383" s="2817"/>
      <c r="M383" s="2860"/>
      <c r="N383" s="2860"/>
      <c r="O383" s="2860"/>
      <c r="P383" s="2860"/>
      <c r="Q383" s="2860"/>
    </row>
    <row r="384" spans="1:17" ht="15.75">
      <c r="A384" s="2818" t="s">
        <v>3295</v>
      </c>
      <c r="B384" s="2801" t="s">
        <v>2839</v>
      </c>
      <c r="C384" s="2797"/>
      <c r="D384" s="2810"/>
      <c r="E384" s="2797">
        <f t="shared" si="9"/>
        <v>69.085800000000006</v>
      </c>
      <c r="F384" s="2810" t="s">
        <v>2820</v>
      </c>
      <c r="G384" s="2797"/>
      <c r="H384" s="2797"/>
      <c r="I384" s="2797"/>
      <c r="J384" s="2854"/>
      <c r="K384" s="2900"/>
      <c r="L384" s="2817"/>
      <c r="M384" s="2860"/>
      <c r="N384" s="2860"/>
      <c r="O384" s="2860"/>
      <c r="P384" s="2860"/>
      <c r="Q384" s="2860"/>
    </row>
    <row r="385" spans="1:17" ht="15.75">
      <c r="A385" s="2818" t="s">
        <v>3296</v>
      </c>
      <c r="B385" s="2801" t="s">
        <v>1874</v>
      </c>
      <c r="C385" s="2797"/>
      <c r="D385" s="2810"/>
      <c r="E385" s="2797">
        <f>ROUND(C109,4)</f>
        <v>70</v>
      </c>
      <c r="F385" s="2810" t="s">
        <v>2820</v>
      </c>
      <c r="G385" s="2797"/>
      <c r="H385" s="2797"/>
      <c r="I385" s="2797"/>
      <c r="J385" s="2854"/>
      <c r="K385" s="2900"/>
      <c r="L385" s="2817"/>
      <c r="M385" s="2860"/>
      <c r="N385" s="2860"/>
      <c r="O385" s="2860"/>
      <c r="P385" s="2860"/>
      <c r="Q385" s="2860"/>
    </row>
    <row r="386" spans="1:17" ht="15.75">
      <c r="A386" s="2803" t="s">
        <v>2977</v>
      </c>
      <c r="B386" s="2831" t="s">
        <v>2978</v>
      </c>
      <c r="C386" s="2797"/>
      <c r="D386" s="2810"/>
      <c r="E386" s="2797">
        <f>ROUND(C123,4)</f>
        <v>0.35730000000000001</v>
      </c>
      <c r="F386" s="2810"/>
      <c r="G386" s="2797"/>
      <c r="H386" s="2797"/>
      <c r="I386" s="2797"/>
      <c r="J386" s="2854"/>
      <c r="K386" s="2900"/>
      <c r="L386" s="2817"/>
      <c r="M386" s="2860"/>
      <c r="N386" s="2860"/>
      <c r="O386" s="2860"/>
      <c r="P386" s="2860"/>
      <c r="Q386" s="2860"/>
    </row>
    <row r="387" spans="1:17" ht="15.75">
      <c r="A387" s="2818" t="s">
        <v>3297</v>
      </c>
      <c r="B387" s="2801" t="s">
        <v>407</v>
      </c>
      <c r="C387" s="2797">
        <f>ROUND(C121,4)</f>
        <v>0.39079999999999998</v>
      </c>
      <c r="D387" s="2810"/>
      <c r="E387" s="2797"/>
      <c r="F387" s="2797"/>
      <c r="G387" s="2797">
        <f>ROUND(G121,4)</f>
        <v>-1.72E-2</v>
      </c>
      <c r="H387" s="2797"/>
      <c r="I387" s="2797"/>
      <c r="J387" s="2854"/>
      <c r="K387" s="2900"/>
      <c r="L387" s="2817"/>
      <c r="M387" s="2860"/>
      <c r="N387" s="2860"/>
      <c r="O387" s="2860"/>
      <c r="P387" s="2860"/>
      <c r="Q387" s="2860"/>
    </row>
    <row r="388" spans="1:17" ht="15.75">
      <c r="A388" s="2818" t="s">
        <v>3298</v>
      </c>
      <c r="B388" s="2801" t="s">
        <v>3299</v>
      </c>
      <c r="C388" s="2797">
        <f>ROUND(C122,4)</f>
        <v>0.4</v>
      </c>
      <c r="D388" s="2810"/>
      <c r="E388" s="2797"/>
      <c r="F388" s="2797"/>
      <c r="G388" s="2797">
        <f>ROUND(G122,4)</f>
        <v>-1.7600000000000001E-2</v>
      </c>
      <c r="H388" s="2797"/>
      <c r="I388" s="2797"/>
      <c r="J388" s="2854"/>
      <c r="K388" s="2812"/>
      <c r="L388" s="2817"/>
      <c r="M388" s="2860"/>
      <c r="N388" s="2860"/>
      <c r="O388" s="2860"/>
      <c r="P388" s="2860"/>
      <c r="Q388" s="2860"/>
    </row>
    <row r="389" spans="1:17" ht="15.75">
      <c r="A389" s="2818" t="s">
        <v>3300</v>
      </c>
      <c r="B389" s="2801" t="s">
        <v>411</v>
      </c>
      <c r="C389" s="2797">
        <f>ROUND(C111,3)</f>
        <v>53.732999999999997</v>
      </c>
      <c r="D389" s="2810" t="s">
        <v>2820</v>
      </c>
      <c r="E389" s="2797"/>
      <c r="F389" s="2797"/>
      <c r="G389" s="2797">
        <f>ROUND(G111,3)</f>
        <v>84.438000000000002</v>
      </c>
      <c r="H389" s="2810" t="s">
        <v>2820</v>
      </c>
      <c r="I389" s="2912"/>
      <c r="J389" s="2854"/>
      <c r="K389" s="2812"/>
      <c r="L389" s="2817"/>
      <c r="M389" s="2860"/>
      <c r="N389" s="2860"/>
      <c r="O389" s="2860"/>
      <c r="P389" s="2860"/>
      <c r="Q389" s="2860"/>
    </row>
    <row r="390" spans="1:17" ht="15.75">
      <c r="A390" s="2818" t="s">
        <v>3301</v>
      </c>
      <c r="B390" s="2801" t="s">
        <v>3302</v>
      </c>
      <c r="C390" s="2797">
        <f>ROUND(C113,3)</f>
        <v>50.353000000000002</v>
      </c>
      <c r="D390" s="2810" t="s">
        <v>2820</v>
      </c>
      <c r="E390" s="2797"/>
      <c r="F390" s="2797"/>
      <c r="G390" s="2797">
        <f>ROUND(G113,3)</f>
        <v>79.126000000000005</v>
      </c>
      <c r="H390" s="2810" t="s">
        <v>2820</v>
      </c>
      <c r="I390" s="2912"/>
      <c r="J390" s="2854"/>
      <c r="K390" s="2812"/>
      <c r="L390" s="2817"/>
      <c r="M390" s="2860"/>
      <c r="N390" s="2860"/>
      <c r="O390" s="2860"/>
      <c r="P390" s="2860"/>
      <c r="Q390" s="2860"/>
    </row>
    <row r="391" spans="1:17" ht="15.75">
      <c r="A391" s="2818" t="s">
        <v>3303</v>
      </c>
      <c r="B391" s="2801" t="s">
        <v>3304</v>
      </c>
      <c r="C391" s="2797">
        <f>ROUND(C128,3)</f>
        <v>60.65</v>
      </c>
      <c r="D391" s="2810" t="s">
        <v>2820</v>
      </c>
      <c r="E391" s="2797"/>
      <c r="F391" s="2797"/>
      <c r="G391" s="2797">
        <f>ROUND(G128,3)</f>
        <v>89.266999999999996</v>
      </c>
      <c r="H391" s="2810" t="s">
        <v>2820</v>
      </c>
      <c r="I391" s="2912"/>
      <c r="J391" s="2854"/>
      <c r="K391" s="2812"/>
      <c r="L391" s="2817"/>
      <c r="M391" s="2860"/>
      <c r="N391" s="2860"/>
      <c r="O391" s="2860"/>
      <c r="P391" s="2860"/>
      <c r="Q391" s="2860"/>
    </row>
    <row r="392" spans="1:17" ht="15.75">
      <c r="A392" s="2818" t="s">
        <v>3305</v>
      </c>
      <c r="B392" s="2801" t="s">
        <v>3306</v>
      </c>
      <c r="C392" s="2797">
        <f>ROUND(C130,3)</f>
        <v>49.482999999999997</v>
      </c>
      <c r="D392" s="2810" t="s">
        <v>2820</v>
      </c>
      <c r="E392" s="2797"/>
      <c r="F392" s="2797"/>
      <c r="G392" s="2797">
        <f>ROUND(G130,3)</f>
        <v>78.099999999999994</v>
      </c>
      <c r="H392" s="2810" t="s">
        <v>2820</v>
      </c>
      <c r="I392" s="2912"/>
      <c r="J392" s="2854"/>
      <c r="K392" s="2812"/>
      <c r="L392" s="2817"/>
      <c r="M392" s="2860"/>
      <c r="N392" s="2860"/>
      <c r="O392" s="2860"/>
      <c r="P392" s="2860"/>
      <c r="Q392" s="2860"/>
    </row>
    <row r="393" spans="1:17" ht="15.75">
      <c r="A393" s="2818" t="s">
        <v>3307</v>
      </c>
      <c r="B393" s="2801" t="s">
        <v>3308</v>
      </c>
      <c r="C393" s="2797">
        <f>ROUND(C125,3)</f>
        <v>3.4580000000000002</v>
      </c>
      <c r="D393" s="2810" t="s">
        <v>2820</v>
      </c>
      <c r="E393" s="2797"/>
      <c r="F393" s="2797"/>
      <c r="G393" s="2797">
        <f>ROUND(G125,3)</f>
        <v>2.4140000000000001</v>
      </c>
      <c r="H393" s="2810" t="s">
        <v>2820</v>
      </c>
      <c r="I393" s="2912"/>
      <c r="J393" s="2854"/>
      <c r="K393" s="2812"/>
      <c r="L393" s="2817"/>
      <c r="M393" s="2860"/>
      <c r="N393" s="2860"/>
      <c r="O393" s="2860"/>
      <c r="P393" s="2860"/>
      <c r="Q393" s="2860"/>
    </row>
    <row r="394" spans="1:17" ht="15.75">
      <c r="A394" s="2818" t="s">
        <v>3309</v>
      </c>
      <c r="B394" s="2801" t="s">
        <v>3310</v>
      </c>
      <c r="C394" s="2797">
        <f>ROUND(C126,3)</f>
        <v>2.125</v>
      </c>
      <c r="D394" s="2810" t="s">
        <v>2820</v>
      </c>
      <c r="E394" s="2797"/>
      <c r="F394" s="2797"/>
      <c r="G394" s="2797">
        <f>ROUND(G126,3)</f>
        <v>3.169</v>
      </c>
      <c r="H394" s="2810" t="s">
        <v>2820</v>
      </c>
      <c r="I394" s="2912"/>
      <c r="J394" s="2854"/>
      <c r="K394" s="2812"/>
      <c r="L394" s="2817"/>
      <c r="M394" s="2860"/>
      <c r="N394" s="2860"/>
      <c r="O394" s="2860"/>
      <c r="P394" s="2860"/>
      <c r="Q394" s="2860"/>
    </row>
    <row r="395" spans="1:17" ht="15.75">
      <c r="A395" s="2818" t="s">
        <v>3311</v>
      </c>
      <c r="B395" s="2801" t="s">
        <v>3312</v>
      </c>
      <c r="C395" s="2797"/>
      <c r="D395" s="2810"/>
      <c r="E395" s="2797">
        <f>ROUND(C127,3)</f>
        <v>5.5830000000000002</v>
      </c>
      <c r="F395" s="2810" t="s">
        <v>2820</v>
      </c>
      <c r="G395" s="2797"/>
      <c r="H395" s="2810"/>
      <c r="I395" s="2912"/>
      <c r="J395" s="2854"/>
      <c r="K395" s="2812"/>
      <c r="L395" s="2817"/>
      <c r="M395" s="2860"/>
      <c r="N395" s="2860"/>
      <c r="O395" s="2860"/>
      <c r="P395" s="2860"/>
      <c r="Q395" s="2860"/>
    </row>
    <row r="396" spans="1:17" ht="15.75">
      <c r="A396" s="2813" t="s">
        <v>3313</v>
      </c>
      <c r="B396" s="2806" t="s">
        <v>3314</v>
      </c>
      <c r="C396" s="2797">
        <f>ROUND(C131,3)</f>
        <v>4.7640000000000002</v>
      </c>
      <c r="D396" s="2810" t="s">
        <v>2820</v>
      </c>
      <c r="E396" s="2797"/>
      <c r="F396" s="2810"/>
      <c r="G396" s="2797">
        <f>ROUND(G131,3)</f>
        <v>3.9860000000000002</v>
      </c>
      <c r="H396" s="2810" t="s">
        <v>2820</v>
      </c>
      <c r="I396" s="2912"/>
      <c r="J396" s="2854"/>
      <c r="K396" s="2812"/>
      <c r="L396" s="2817"/>
      <c r="M396" s="2860"/>
      <c r="N396" s="2860"/>
      <c r="O396" s="2860"/>
      <c r="P396" s="2860"/>
      <c r="Q396" s="2860"/>
    </row>
    <row r="397" spans="1:17" ht="15.75">
      <c r="A397" s="2896"/>
      <c r="B397" s="2872"/>
      <c r="C397" s="2791"/>
      <c r="D397" s="2842"/>
      <c r="E397" s="2791"/>
      <c r="F397" s="2842"/>
      <c r="G397" s="2791"/>
      <c r="H397" s="2842"/>
      <c r="I397" s="2912"/>
      <c r="J397" s="2854"/>
      <c r="K397" s="2812"/>
      <c r="L397" s="2817"/>
      <c r="M397" s="2860"/>
      <c r="N397" s="2860"/>
      <c r="O397" s="2860"/>
      <c r="P397" s="2860"/>
      <c r="Q397" s="2860"/>
    </row>
    <row r="398" spans="1:17" ht="15.75">
      <c r="A398" s="3014" t="s">
        <v>3315</v>
      </c>
      <c r="B398" s="2806"/>
      <c r="C398" s="2797"/>
      <c r="D398" s="2810"/>
      <c r="E398" s="2797"/>
      <c r="F398" s="2810"/>
      <c r="G398" s="2797"/>
      <c r="H398" s="2810"/>
      <c r="I398" s="2912"/>
      <c r="J398" s="2854"/>
      <c r="K398" s="2812"/>
      <c r="L398" s="2817"/>
      <c r="M398" s="2860"/>
      <c r="N398" s="2860"/>
      <c r="O398" s="2860"/>
      <c r="P398" s="2860"/>
      <c r="Q398" s="2860"/>
    </row>
    <row r="399" spans="1:17" ht="15.75">
      <c r="A399" s="2817" t="s">
        <v>3316</v>
      </c>
      <c r="B399" s="2806" t="s">
        <v>3317</v>
      </c>
      <c r="C399" s="2797">
        <f>ROUND(C135,3)</f>
        <v>27.300999999999998</v>
      </c>
      <c r="D399" s="2810" t="s">
        <v>2820</v>
      </c>
      <c r="E399" s="2797"/>
      <c r="F399" s="2810"/>
      <c r="G399" s="2797">
        <f>ROUND(G135,3)</f>
        <v>34.415999999999997</v>
      </c>
      <c r="H399" s="2810" t="s">
        <v>2820</v>
      </c>
      <c r="I399" s="2912"/>
      <c r="J399" s="2854"/>
      <c r="K399" s="2812"/>
      <c r="L399" s="2817"/>
      <c r="M399" s="2860"/>
      <c r="N399" s="2860"/>
      <c r="O399" s="2860"/>
      <c r="P399" s="2860"/>
      <c r="Q399" s="2860"/>
    </row>
    <row r="400" spans="1:17" ht="15.75">
      <c r="A400" s="2817" t="s">
        <v>3318</v>
      </c>
      <c r="B400" s="2806" t="s">
        <v>3319</v>
      </c>
      <c r="C400" s="2797">
        <f>C136</f>
        <v>4</v>
      </c>
      <c r="D400" s="2810"/>
      <c r="E400" s="2797"/>
      <c r="F400" s="2810"/>
      <c r="G400" s="2797">
        <f>G136</f>
        <v>5</v>
      </c>
      <c r="H400" s="2810"/>
      <c r="I400" s="2912"/>
      <c r="J400" s="2854"/>
      <c r="K400" s="2812"/>
      <c r="L400" s="2817"/>
      <c r="M400" s="2860"/>
      <c r="N400" s="2860"/>
      <c r="O400" s="2860"/>
      <c r="P400" s="2860"/>
      <c r="Q400" s="2860"/>
    </row>
    <row r="401" spans="1:17" ht="15.75">
      <c r="A401" s="2806" t="s">
        <v>3320</v>
      </c>
      <c r="B401" s="2806"/>
      <c r="C401" s="2976" t="str">
        <f>C137</f>
        <v>可以测量</v>
      </c>
      <c r="D401" s="2810"/>
      <c r="E401" s="2797"/>
      <c r="F401" s="2810"/>
      <c r="G401" s="2976" t="str">
        <f>G137</f>
        <v>可以测量</v>
      </c>
      <c r="H401" s="2810"/>
      <c r="I401" s="2912"/>
      <c r="J401" s="2854"/>
      <c r="K401" s="2812"/>
      <c r="L401" s="2817"/>
      <c r="M401" s="2860"/>
      <c r="N401" s="2860"/>
      <c r="O401" s="2860"/>
      <c r="P401" s="2860"/>
      <c r="Q401" s="2860"/>
    </row>
    <row r="402" spans="1:17" ht="15.75">
      <c r="A402" s="2818" t="s">
        <v>3321</v>
      </c>
      <c r="B402" s="2801" t="s">
        <v>3322</v>
      </c>
      <c r="C402" s="2797">
        <f t="shared" ref="C402:C405" si="10">ROUND(C141,3)</f>
        <v>4.1100000000000003</v>
      </c>
      <c r="D402" s="2810" t="s">
        <v>2820</v>
      </c>
      <c r="E402" s="2810"/>
      <c r="F402" s="2797"/>
      <c r="G402" s="2797">
        <f t="shared" ref="G402:G405" si="11">ROUND(G141,3)</f>
        <v>3.4390000000000001</v>
      </c>
      <c r="H402" s="2810" t="s">
        <v>2820</v>
      </c>
      <c r="I402" s="2912"/>
      <c r="J402" s="2854"/>
      <c r="K402" s="2817"/>
      <c r="L402" s="2817"/>
      <c r="M402" s="2860"/>
      <c r="N402" s="2860"/>
      <c r="O402" s="2860"/>
      <c r="P402" s="2860"/>
      <c r="Q402" s="2860"/>
    </row>
    <row r="403" spans="1:17" ht="15.75">
      <c r="A403" s="2818" t="s">
        <v>3323</v>
      </c>
      <c r="B403" s="2801" t="s">
        <v>3324</v>
      </c>
      <c r="C403" s="2797">
        <f t="shared" si="10"/>
        <v>2.71</v>
      </c>
      <c r="D403" s="2810" t="s">
        <v>2820</v>
      </c>
      <c r="E403" s="2797"/>
      <c r="F403" s="2797"/>
      <c r="G403" s="2797">
        <f t="shared" si="11"/>
        <v>1.788</v>
      </c>
      <c r="H403" s="2810" t="s">
        <v>2820</v>
      </c>
      <c r="I403" s="2786"/>
      <c r="J403" s="2854"/>
      <c r="K403" s="2817"/>
      <c r="L403" s="2817"/>
      <c r="M403" s="2860"/>
      <c r="N403" s="2860"/>
      <c r="O403" s="2860"/>
      <c r="P403" s="2860"/>
      <c r="Q403" s="2860"/>
    </row>
    <row r="404" spans="1:17" ht="15.75">
      <c r="A404" s="2803" t="s">
        <v>3325</v>
      </c>
      <c r="B404" s="2855" t="s">
        <v>3326</v>
      </c>
      <c r="C404" s="2797">
        <f t="shared" si="10"/>
        <v>4.6500000000000004</v>
      </c>
      <c r="D404" s="2810" t="s">
        <v>2820</v>
      </c>
      <c r="E404" s="2797"/>
      <c r="F404" s="2797"/>
      <c r="G404" s="2797">
        <f t="shared" si="11"/>
        <v>3.8940000000000001</v>
      </c>
      <c r="H404" s="2810" t="s">
        <v>2820</v>
      </c>
      <c r="I404" s="2786"/>
      <c r="J404" s="2854"/>
      <c r="K404" s="2817"/>
      <c r="L404" s="2817"/>
      <c r="M404" s="2860"/>
      <c r="N404" s="2860"/>
      <c r="O404" s="2860"/>
      <c r="P404" s="2860"/>
      <c r="Q404" s="2860"/>
    </row>
    <row r="405" spans="1:17" ht="15.75">
      <c r="A405" s="2803" t="s">
        <v>3327</v>
      </c>
      <c r="B405" s="2855" t="s">
        <v>3328</v>
      </c>
      <c r="C405" s="2797">
        <f t="shared" si="10"/>
        <v>3.5539999999999998</v>
      </c>
      <c r="D405" s="2810" t="s">
        <v>2820</v>
      </c>
      <c r="E405" s="2797"/>
      <c r="F405" s="2797"/>
      <c r="G405" s="2797">
        <f t="shared" si="11"/>
        <v>2.4569999999999999</v>
      </c>
      <c r="H405" s="2810" t="s">
        <v>2820</v>
      </c>
      <c r="I405" s="2786"/>
      <c r="J405" s="2854"/>
      <c r="K405" s="2817"/>
      <c r="L405" s="2817"/>
      <c r="M405" s="2860"/>
      <c r="N405" s="2860"/>
      <c r="O405" s="2860"/>
      <c r="P405" s="2860"/>
      <c r="Q405" s="2860"/>
    </row>
    <row r="406" spans="1:17" ht="15.75">
      <c r="A406" s="2803" t="s">
        <v>3047</v>
      </c>
      <c r="B406" s="2855" t="s">
        <v>3329</v>
      </c>
      <c r="C406" s="2797">
        <f>IF(C67=0,"",C146)</f>
        <v>5</v>
      </c>
      <c r="D406" s="2810" t="s">
        <v>2820</v>
      </c>
      <c r="E406" s="2797"/>
      <c r="F406" s="2797"/>
      <c r="G406" s="2797">
        <f>IF(G67=0,"",G146)</f>
        <v>4.5</v>
      </c>
      <c r="H406" s="2810" t="s">
        <v>2820</v>
      </c>
      <c r="I406" s="2786"/>
      <c r="J406" s="2854"/>
      <c r="K406" s="2817"/>
      <c r="L406" s="2817"/>
      <c r="M406" s="2860"/>
      <c r="N406" s="2860"/>
      <c r="O406" s="2860"/>
      <c r="P406" s="2860"/>
      <c r="Q406" s="2860"/>
    </row>
    <row r="407" spans="1:17" ht="15.75">
      <c r="A407" s="2803" t="s">
        <v>3060</v>
      </c>
      <c r="B407" s="2855" t="s">
        <v>235</v>
      </c>
      <c r="C407" s="2797">
        <f>IF(C67=0,"",ROUND(C151,3))</f>
        <v>62.917000000000002</v>
      </c>
      <c r="D407" s="2810" t="s">
        <v>2820</v>
      </c>
      <c r="E407" s="2797"/>
      <c r="F407" s="2797"/>
      <c r="G407" s="2797">
        <f>IF(G67=0,"",ROUND(G151,3))</f>
        <v>91.340999999999994</v>
      </c>
      <c r="H407" s="2810" t="s">
        <v>2820</v>
      </c>
      <c r="I407" s="2786"/>
      <c r="J407" s="2854"/>
      <c r="K407" s="2817"/>
      <c r="L407" s="2817"/>
      <c r="M407" s="2860"/>
      <c r="N407" s="2860"/>
      <c r="O407" s="2860"/>
      <c r="P407" s="2860"/>
      <c r="Q407" s="2860"/>
    </row>
    <row r="408" spans="1:17" ht="15.75">
      <c r="A408" s="2803" t="s">
        <v>3330</v>
      </c>
      <c r="B408" s="2801" t="s">
        <v>3331</v>
      </c>
      <c r="C408" s="2797">
        <f>IF(C67=0,"",ROUND(C153,2))</f>
        <v>55.8</v>
      </c>
      <c r="D408" s="2810" t="s">
        <v>2820</v>
      </c>
      <c r="E408" s="2797"/>
      <c r="F408" s="2797"/>
      <c r="G408" s="2797">
        <f>IF(G67=0,"",ROUND(G153,2))</f>
        <v>85.21</v>
      </c>
      <c r="H408" s="2810" t="s">
        <v>2820</v>
      </c>
      <c r="I408" s="2786"/>
      <c r="J408" s="2854"/>
      <c r="K408" s="2817"/>
      <c r="L408" s="2817"/>
      <c r="M408" s="2860"/>
      <c r="N408" s="2860"/>
      <c r="O408" s="2860"/>
      <c r="P408" s="2860"/>
      <c r="Q408" s="2860"/>
    </row>
    <row r="409" spans="1:17" ht="15.75">
      <c r="A409" s="2871"/>
      <c r="B409" s="2872"/>
      <c r="C409" s="2791"/>
      <c r="D409" s="2842"/>
      <c r="E409" s="2791"/>
      <c r="F409" s="2791"/>
      <c r="G409" s="2791"/>
      <c r="H409" s="2842"/>
      <c r="I409" s="2786"/>
      <c r="J409" s="2854"/>
      <c r="K409" s="2817"/>
      <c r="L409" s="2817"/>
      <c r="M409" s="2860"/>
      <c r="N409" s="2860"/>
      <c r="O409" s="2860"/>
      <c r="P409" s="2860"/>
      <c r="Q409" s="2860"/>
    </row>
    <row r="410" spans="1:17" ht="15.75">
      <c r="A410" s="3010" t="s">
        <v>3332</v>
      </c>
      <c r="B410" s="2801"/>
      <c r="C410" s="2797"/>
      <c r="D410" s="2810"/>
      <c r="E410" s="2797"/>
      <c r="F410" s="2797"/>
      <c r="G410" s="2797"/>
      <c r="H410" s="2810"/>
      <c r="I410" s="2786"/>
      <c r="J410" s="2854"/>
      <c r="K410" s="2817"/>
      <c r="L410" s="2817"/>
      <c r="M410" s="2860"/>
      <c r="N410" s="2860"/>
      <c r="O410" s="2860"/>
      <c r="P410" s="2860"/>
      <c r="Q410" s="2860"/>
    </row>
    <row r="411" spans="1:17" ht="15.75">
      <c r="A411" s="2976" t="s">
        <v>3089</v>
      </c>
      <c r="B411" s="2806" t="s">
        <v>3090</v>
      </c>
      <c r="C411" s="2797">
        <f t="shared" ref="C411:C414" si="12">ROUND(C174,3)</f>
        <v>5.9619999999999997</v>
      </c>
      <c r="D411" s="2810" t="s">
        <v>2820</v>
      </c>
      <c r="E411" s="2797"/>
      <c r="F411" s="2797"/>
      <c r="G411" s="2797">
        <f t="shared" ref="G411:G414" si="13">ROUND(G174,3)</f>
        <v>9.7189999999999994</v>
      </c>
      <c r="H411" s="2810" t="s">
        <v>2820</v>
      </c>
      <c r="I411" s="2786"/>
      <c r="J411" s="2854"/>
      <c r="K411" s="2817"/>
      <c r="L411" s="2817"/>
      <c r="M411" s="2860"/>
      <c r="N411" s="2860"/>
      <c r="O411" s="2860"/>
      <c r="P411" s="2860"/>
      <c r="Q411" s="2860"/>
    </row>
    <row r="412" spans="1:17" ht="15.75">
      <c r="A412" s="2797" t="s">
        <v>4365</v>
      </c>
      <c r="B412" s="2806" t="s">
        <v>3093</v>
      </c>
      <c r="C412" s="2797">
        <f t="shared" si="12"/>
        <v>25.873000000000001</v>
      </c>
      <c r="D412" s="2810" t="s">
        <v>2820</v>
      </c>
      <c r="E412" s="2797"/>
      <c r="F412" s="2797"/>
      <c r="G412" s="2797">
        <f t="shared" si="13"/>
        <v>40.738999999999997</v>
      </c>
      <c r="H412" s="2810" t="s">
        <v>2820</v>
      </c>
      <c r="I412" s="2786"/>
      <c r="J412" s="2854"/>
      <c r="K412" s="2817"/>
      <c r="L412" s="2817"/>
      <c r="M412" s="2860"/>
      <c r="N412" s="2860"/>
      <c r="O412" s="2860"/>
      <c r="P412" s="2860"/>
      <c r="Q412" s="2860"/>
    </row>
    <row r="413" spans="1:17" ht="15.75">
      <c r="A413" s="2976" t="s">
        <v>3094</v>
      </c>
      <c r="B413" s="2806" t="s">
        <v>3095</v>
      </c>
      <c r="C413" s="2797">
        <f t="shared" si="12"/>
        <v>16.904</v>
      </c>
      <c r="D413" s="2810" t="s">
        <v>2820</v>
      </c>
      <c r="E413" s="2797"/>
      <c r="F413" s="2797"/>
      <c r="G413" s="2797">
        <f t="shared" si="13"/>
        <v>20.661000000000001</v>
      </c>
      <c r="H413" s="2810" t="s">
        <v>2820</v>
      </c>
      <c r="I413" s="2786"/>
      <c r="J413" s="2854"/>
      <c r="K413" s="2817"/>
      <c r="L413" s="2817"/>
      <c r="M413" s="2860"/>
      <c r="N413" s="2860"/>
      <c r="O413" s="2860"/>
      <c r="P413" s="2860"/>
      <c r="Q413" s="2860"/>
    </row>
    <row r="414" spans="1:17" ht="15.75">
      <c r="A414" s="2797" t="s">
        <v>4366</v>
      </c>
      <c r="B414" s="2806" t="s">
        <v>3098</v>
      </c>
      <c r="C414" s="2797">
        <f t="shared" si="12"/>
        <v>30.324999999999999</v>
      </c>
      <c r="D414" s="2810" t="s">
        <v>2820</v>
      </c>
      <c r="E414" s="2797"/>
      <c r="F414" s="2797"/>
      <c r="G414" s="2797">
        <f t="shared" si="13"/>
        <v>44.633000000000003</v>
      </c>
      <c r="H414" s="2810" t="s">
        <v>2820</v>
      </c>
      <c r="I414" s="2786"/>
      <c r="J414" s="2854"/>
      <c r="K414" s="2817"/>
      <c r="L414" s="2817"/>
      <c r="M414" s="2860"/>
      <c r="N414" s="2860"/>
      <c r="O414" s="2860"/>
      <c r="P414" s="2860"/>
      <c r="Q414" s="2860"/>
    </row>
    <row r="415" spans="1:17" ht="15.75">
      <c r="A415" s="2797" t="s">
        <v>4367</v>
      </c>
      <c r="B415" s="2813" t="s">
        <v>3100</v>
      </c>
      <c r="C415" s="2797">
        <f>ROUND(C178,4)</f>
        <v>13.567</v>
      </c>
      <c r="D415" s="2810" t="s">
        <v>257</v>
      </c>
      <c r="E415" s="2797"/>
      <c r="F415" s="2797"/>
      <c r="G415" s="2797">
        <f>ROUND(G178,4)</f>
        <v>14.0749</v>
      </c>
      <c r="H415" s="2810" t="s">
        <v>257</v>
      </c>
      <c r="I415" s="2786"/>
      <c r="J415" s="2854"/>
      <c r="K415" s="2817"/>
      <c r="L415" s="2817"/>
      <c r="M415" s="2860"/>
      <c r="N415" s="2860"/>
      <c r="O415" s="2860"/>
      <c r="P415" s="2860"/>
      <c r="Q415" s="2860"/>
    </row>
    <row r="416" spans="1:17" ht="15.75">
      <c r="A416" s="2797"/>
      <c r="B416" s="2806"/>
      <c r="C416" s="2797">
        <f>E178</f>
        <v>13.3401</v>
      </c>
      <c r="D416" s="2810" t="s">
        <v>3102</v>
      </c>
      <c r="E416" s="2797"/>
      <c r="F416" s="2797"/>
      <c r="G416" s="2797">
        <f>I178</f>
        <v>14.042999999999999</v>
      </c>
      <c r="H416" s="2810" t="s">
        <v>3102</v>
      </c>
      <c r="I416" s="2786"/>
      <c r="J416" s="2854"/>
      <c r="K416" s="2817"/>
      <c r="L416" s="2817"/>
      <c r="M416" s="2860"/>
      <c r="N416" s="2860"/>
      <c r="O416" s="2860"/>
      <c r="P416" s="2860"/>
      <c r="Q416" s="2860"/>
    </row>
    <row r="417" spans="1:17" ht="15.75">
      <c r="A417" s="2797" t="s">
        <v>4368</v>
      </c>
      <c r="B417" s="2813" t="s">
        <v>3104</v>
      </c>
      <c r="C417" s="2797">
        <f>ROUND(C179,4)</f>
        <v>38.4694</v>
      </c>
      <c r="D417" s="2810" t="s">
        <v>257</v>
      </c>
      <c r="E417" s="2797"/>
      <c r="F417" s="2797"/>
      <c r="G417" s="2797">
        <f>ROUND(G179,4)</f>
        <v>29.921900000000001</v>
      </c>
      <c r="H417" s="2810" t="s">
        <v>257</v>
      </c>
      <c r="I417" s="2786"/>
      <c r="J417" s="2854"/>
      <c r="K417" s="2817"/>
      <c r="L417" s="2817"/>
      <c r="M417" s="2860"/>
      <c r="N417" s="2860"/>
      <c r="O417" s="2860"/>
      <c r="P417" s="2860"/>
      <c r="Q417" s="2860"/>
    </row>
    <row r="418" spans="1:17" ht="15.75">
      <c r="A418" s="2803"/>
      <c r="B418" s="2806"/>
      <c r="C418" s="2797">
        <f>E179</f>
        <v>38.280999999999999</v>
      </c>
      <c r="D418" s="2810" t="s">
        <v>3102</v>
      </c>
      <c r="E418" s="2797"/>
      <c r="F418" s="2797"/>
      <c r="G418" s="2797">
        <f>I179</f>
        <v>29.5519</v>
      </c>
      <c r="H418" s="2810" t="s">
        <v>3102</v>
      </c>
      <c r="I418" s="2786"/>
      <c r="J418" s="2854"/>
      <c r="K418" s="2817"/>
      <c r="L418" s="2817"/>
      <c r="M418" s="2860"/>
      <c r="N418" s="2860"/>
      <c r="O418" s="2860"/>
      <c r="P418" s="2860"/>
      <c r="Q418" s="2860"/>
    </row>
    <row r="419" spans="1:17" ht="15.75">
      <c r="A419" s="2803" t="s">
        <v>4369</v>
      </c>
      <c r="B419" s="2813" t="s">
        <v>4223</v>
      </c>
      <c r="C419" s="2797">
        <f>ROUND(C180,4)</f>
        <v>21.867799999999999</v>
      </c>
      <c r="D419" s="2810" t="s">
        <v>257</v>
      </c>
      <c r="E419" s="2797"/>
      <c r="F419" s="2797"/>
      <c r="G419" s="2797">
        <f>ROUND(G180,4)</f>
        <v>19.357199999999999</v>
      </c>
      <c r="H419" s="2810" t="s">
        <v>257</v>
      </c>
      <c r="I419" s="2786"/>
      <c r="J419" s="2854"/>
      <c r="K419" s="2817"/>
      <c r="L419" s="2817"/>
      <c r="M419" s="2860"/>
      <c r="N419" s="2860"/>
      <c r="O419" s="2860"/>
      <c r="P419" s="2860"/>
      <c r="Q419" s="2860"/>
    </row>
    <row r="420" spans="1:17" ht="15.75">
      <c r="A420" s="2803"/>
      <c r="B420" s="2806"/>
      <c r="C420" s="2797">
        <f>E180</f>
        <v>21.520399999999999</v>
      </c>
      <c r="D420" s="2810" t="s">
        <v>3102</v>
      </c>
      <c r="E420" s="2797"/>
      <c r="F420" s="2797"/>
      <c r="G420" s="2797">
        <f>I180</f>
        <v>19.212599999999998</v>
      </c>
      <c r="H420" s="2810" t="s">
        <v>3102</v>
      </c>
      <c r="I420" s="2786"/>
      <c r="J420" s="2854"/>
      <c r="K420" s="2817"/>
      <c r="L420" s="2817"/>
      <c r="M420" s="2860"/>
      <c r="N420" s="2860"/>
      <c r="O420" s="2860"/>
      <c r="P420" s="2860"/>
      <c r="Q420" s="2860"/>
    </row>
    <row r="421" spans="1:17" ht="15">
      <c r="A421" s="2803"/>
      <c r="B421" s="2813" t="s">
        <v>4224</v>
      </c>
      <c r="C421" s="2797">
        <f>ROUND(C181,4)</f>
        <v>30.168600000000001</v>
      </c>
      <c r="D421" s="2810" t="s">
        <v>257</v>
      </c>
      <c r="E421" s="2797"/>
      <c r="F421" s="2797"/>
      <c r="G421" s="2797">
        <f>ROUND(G181,4)</f>
        <v>24.639600000000002</v>
      </c>
      <c r="H421" s="2810" t="s">
        <v>257</v>
      </c>
      <c r="I421" s="2786"/>
      <c r="J421" s="2854"/>
      <c r="K421" s="2817"/>
      <c r="L421" s="2817"/>
      <c r="M421" s="2860"/>
      <c r="N421" s="2860"/>
      <c r="O421" s="2860"/>
      <c r="P421" s="2860"/>
      <c r="Q421" s="2860"/>
    </row>
    <row r="422" spans="1:17" ht="15.75">
      <c r="A422" s="2803"/>
      <c r="B422" s="2855"/>
      <c r="C422" s="2797">
        <f>E181</f>
        <v>30.1007</v>
      </c>
      <c r="D422" s="2810" t="s">
        <v>3102</v>
      </c>
      <c r="E422" s="2797"/>
      <c r="F422" s="2797"/>
      <c r="G422" s="2797">
        <f>I181</f>
        <v>24.382200000000001</v>
      </c>
      <c r="H422" s="2810" t="s">
        <v>3102</v>
      </c>
      <c r="I422" s="2786"/>
      <c r="J422" s="2854"/>
      <c r="K422" s="2817"/>
      <c r="L422" s="2817"/>
      <c r="M422" s="2860"/>
      <c r="N422" s="2860"/>
      <c r="O422" s="2860"/>
      <c r="P422" s="2860"/>
      <c r="Q422" s="2860"/>
    </row>
    <row r="423" spans="1:17" ht="15.75">
      <c r="A423" s="2896"/>
      <c r="B423" s="2872"/>
      <c r="C423" s="2791"/>
      <c r="D423" s="2842"/>
      <c r="E423" s="2791"/>
      <c r="F423" s="2791"/>
      <c r="G423" s="2791"/>
      <c r="H423" s="2842"/>
      <c r="I423" s="2786"/>
      <c r="J423" s="2854"/>
      <c r="K423" s="2817"/>
      <c r="L423" s="2817"/>
      <c r="M423" s="2860"/>
      <c r="N423" s="2860"/>
      <c r="O423" s="2860"/>
      <c r="P423" s="2860"/>
      <c r="Q423" s="2860"/>
    </row>
    <row r="424" spans="1:17" ht="15">
      <c r="A424" s="3010" t="s">
        <v>4370</v>
      </c>
      <c r="B424" s="2838"/>
      <c r="C424" s="3011"/>
      <c r="D424" s="2904"/>
      <c r="E424" s="2905"/>
      <c r="F424" s="2986"/>
      <c r="G424" s="3011"/>
      <c r="H424" s="2810"/>
      <c r="I424" s="2786"/>
      <c r="J424" s="2854"/>
      <c r="K424" s="2817"/>
      <c r="L424" s="2817"/>
      <c r="M424" s="2860"/>
      <c r="N424" s="2860"/>
      <c r="O424" s="2860"/>
      <c r="P424" s="2860"/>
      <c r="Q424" s="2860"/>
    </row>
    <row r="425" spans="1:17" ht="15.75">
      <c r="A425" s="2818" t="s">
        <v>4371</v>
      </c>
      <c r="B425" s="3062" t="s">
        <v>4372</v>
      </c>
      <c r="C425" s="2797"/>
      <c r="D425" s="2953"/>
      <c r="E425" s="2797">
        <f>C161</f>
        <v>2.5379999999999998</v>
      </c>
      <c r="F425" s="3062"/>
      <c r="G425" s="2797"/>
      <c r="H425" s="2911"/>
      <c r="I425" s="2786"/>
      <c r="J425" s="2854"/>
      <c r="K425" s="2817"/>
      <c r="L425" s="2817"/>
      <c r="M425" s="2860"/>
      <c r="N425" s="2860"/>
      <c r="O425" s="2860"/>
      <c r="P425" s="2860"/>
      <c r="Q425" s="2860"/>
    </row>
    <row r="426" spans="1:17" ht="15">
      <c r="A426" s="2976" t="s">
        <v>3364</v>
      </c>
      <c r="B426" s="3220"/>
      <c r="C426" s="2976" t="str">
        <f>D163</f>
        <v>不发生干涉</v>
      </c>
      <c r="D426" s="3017"/>
      <c r="E426" s="2976"/>
      <c r="F426" s="3018"/>
      <c r="G426" s="2976" t="str">
        <f>H163</f>
        <v>不发生干涉</v>
      </c>
      <c r="H426" s="2911"/>
      <c r="I426" s="2786"/>
      <c r="J426" s="2854"/>
      <c r="K426" s="2817"/>
      <c r="L426" s="2817"/>
      <c r="M426" s="2860"/>
      <c r="N426" s="2860"/>
      <c r="O426" s="2860"/>
      <c r="P426" s="2860"/>
      <c r="Q426" s="2860"/>
    </row>
    <row r="427" spans="1:17" ht="15.75">
      <c r="A427" s="2900" t="s">
        <v>4373</v>
      </c>
      <c r="B427" s="2855"/>
      <c r="C427" s="2976" t="str">
        <f>D166</f>
        <v>不根切</v>
      </c>
      <c r="D427" s="3017"/>
      <c r="E427" s="2976"/>
      <c r="F427" s="3018"/>
      <c r="G427" s="2976" t="str">
        <f>H166</f>
        <v>不根切</v>
      </c>
      <c r="H427" s="2911"/>
      <c r="I427" s="2786"/>
      <c r="J427" s="2854"/>
      <c r="K427" s="2817"/>
      <c r="L427" s="2817"/>
      <c r="M427" s="2860"/>
      <c r="N427" s="2860"/>
      <c r="O427" s="2860"/>
      <c r="P427" s="2860"/>
      <c r="Q427" s="2860"/>
    </row>
    <row r="428" spans="1:17" ht="15.75">
      <c r="A428" s="2797" t="s">
        <v>4374</v>
      </c>
      <c r="B428" s="2855"/>
      <c r="C428" s="2976" t="str">
        <f>D164</f>
        <v>齿顶未变尖</v>
      </c>
      <c r="D428" s="3017"/>
      <c r="E428" s="2976"/>
      <c r="F428" s="3018"/>
      <c r="G428" s="2976" t="str">
        <f>H164</f>
        <v>齿顶未变尖</v>
      </c>
      <c r="H428" s="2911"/>
      <c r="I428" s="2786"/>
      <c r="J428" s="2854"/>
      <c r="K428" s="2817"/>
      <c r="L428" s="2817"/>
      <c r="M428" s="2860"/>
      <c r="N428" s="2860"/>
      <c r="O428" s="2860"/>
      <c r="P428" s="2860"/>
      <c r="Q428" s="2860"/>
    </row>
    <row r="429" spans="1:17" ht="15.75">
      <c r="A429" s="2803" t="s">
        <v>4375</v>
      </c>
      <c r="B429" s="2803" t="s">
        <v>3150</v>
      </c>
      <c r="C429" s="2797">
        <f>ROUND(C170,2)</f>
        <v>1.21</v>
      </c>
      <c r="D429" s="2810"/>
      <c r="E429" s="2953"/>
      <c r="F429" s="3062"/>
      <c r="G429" s="2797">
        <f>ROUND(G170,2)</f>
        <v>1.73</v>
      </c>
      <c r="H429" s="2810"/>
      <c r="I429" s="2953"/>
      <c r="J429" s="2854"/>
      <c r="K429" s="2817"/>
      <c r="L429" s="2817"/>
      <c r="M429" s="2860"/>
      <c r="N429" s="2860"/>
      <c r="O429" s="2860"/>
      <c r="P429" s="2860"/>
      <c r="Q429" s="2860"/>
    </row>
    <row r="430" spans="1:17" ht="15.75">
      <c r="A430" s="2803" t="s">
        <v>4376</v>
      </c>
      <c r="B430" s="2855" t="s">
        <v>1858</v>
      </c>
      <c r="C430" s="2797">
        <f>ROUND(C172,2)</f>
        <v>1.17</v>
      </c>
      <c r="D430" s="2810"/>
      <c r="E430" s="2953"/>
      <c r="F430" s="3062"/>
      <c r="G430" s="2797">
        <f>ROUND(G172,2)</f>
        <v>1.01</v>
      </c>
      <c r="H430" s="2810"/>
      <c r="I430" s="2953"/>
      <c r="J430" s="2854"/>
      <c r="K430" s="2817"/>
      <c r="L430" s="2817"/>
      <c r="M430" s="2860"/>
      <c r="N430" s="2860"/>
      <c r="O430" s="2860"/>
      <c r="P430" s="2860"/>
      <c r="Q430" s="2860"/>
    </row>
    <row r="431" spans="1:17" ht="15.75">
      <c r="A431" s="2963"/>
      <c r="B431" s="2901"/>
      <c r="C431" s="3019"/>
      <c r="D431" s="2842"/>
      <c r="E431" s="3019"/>
      <c r="F431" s="2866"/>
      <c r="G431" s="2957"/>
      <c r="H431" s="2842"/>
      <c r="I431" s="2786"/>
      <c r="J431" s="2854"/>
      <c r="K431" s="2817"/>
      <c r="L431" s="2817"/>
      <c r="M431" s="2860"/>
      <c r="N431" s="2860"/>
      <c r="O431" s="2860"/>
      <c r="P431" s="2860"/>
      <c r="Q431" s="2860"/>
    </row>
    <row r="432" spans="1:17" ht="15">
      <c r="A432" s="3010" t="s">
        <v>3333</v>
      </c>
      <c r="B432" s="2838"/>
      <c r="C432" s="3017" t="str">
        <f>IF(OR(C43=0,C45=0,C46=0),"             （未输入精度等级）","        （按 GB10095—88 渐开线圆柱齿轮 精度）")</f>
        <v>（按 GB10095—88 渐开线圆柱齿轮 精度）</v>
      </c>
      <c r="D432" s="2904"/>
      <c r="E432" s="2905"/>
      <c r="F432" s="2986"/>
      <c r="G432" s="3011"/>
      <c r="H432" s="2810"/>
      <c r="I432" s="2786"/>
      <c r="J432" s="2854"/>
      <c r="K432" s="2817"/>
      <c r="L432" s="2817"/>
      <c r="M432" s="2860"/>
      <c r="N432" s="2860"/>
      <c r="O432" s="2860"/>
      <c r="P432" s="2860"/>
      <c r="Q432" s="2860"/>
    </row>
    <row r="433" spans="1:17" ht="15.75">
      <c r="A433" s="2900" t="s">
        <v>3334</v>
      </c>
      <c r="B433" s="3011" t="s">
        <v>3335</v>
      </c>
      <c r="C433" s="3011"/>
      <c r="D433" s="2797"/>
      <c r="E433" s="2797">
        <f>IF(OR(C43=0,C45=0,C46=0),"",C43)</f>
        <v>5</v>
      </c>
      <c r="F433" s="2797"/>
      <c r="G433" s="3011"/>
      <c r="H433" s="2810"/>
      <c r="I433" s="2797"/>
      <c r="J433" s="2854"/>
      <c r="K433" s="2817"/>
      <c r="L433" s="2817"/>
      <c r="M433" s="2860"/>
      <c r="N433" s="2860"/>
      <c r="O433" s="2860"/>
      <c r="P433" s="2860"/>
      <c r="Q433" s="2860"/>
    </row>
    <row r="434" spans="1:17" ht="15.75">
      <c r="A434" s="2912"/>
      <c r="B434" s="3011" t="s">
        <v>3336</v>
      </c>
      <c r="C434" s="3011"/>
      <c r="D434" s="2797"/>
      <c r="E434" s="2797">
        <f>IF(OR(C43=0,C45=0,C46=0),"",C45)</f>
        <v>5</v>
      </c>
      <c r="F434" s="2953"/>
      <c r="G434" s="3011"/>
      <c r="H434" s="2810"/>
      <c r="I434" s="2786"/>
      <c r="J434" s="2854"/>
      <c r="K434" s="2817"/>
      <c r="L434" s="2817"/>
      <c r="M434" s="2860"/>
      <c r="N434" s="2860"/>
      <c r="O434" s="2860"/>
      <c r="P434" s="2860"/>
      <c r="Q434" s="2860"/>
    </row>
    <row r="435" spans="1:17" ht="15.75">
      <c r="A435" s="2912"/>
      <c r="B435" s="3011" t="s">
        <v>3337</v>
      </c>
      <c r="C435" s="3011"/>
      <c r="D435" s="2797"/>
      <c r="E435" s="2797">
        <f>IF(OR(C43=0,C45=0,C46=0),"",C46)</f>
        <v>5</v>
      </c>
      <c r="F435" s="2797"/>
      <c r="G435" s="3011"/>
      <c r="H435" s="2810"/>
      <c r="I435" s="2786"/>
      <c r="J435" s="2854"/>
      <c r="K435" s="2817"/>
      <c r="L435" s="2817"/>
      <c r="M435" s="2860"/>
      <c r="N435" s="2860"/>
      <c r="O435" s="2860"/>
      <c r="P435" s="2860"/>
      <c r="Q435" s="2860"/>
    </row>
    <row r="436" spans="1:17" ht="15.75">
      <c r="A436" s="2858" t="s">
        <v>3338</v>
      </c>
      <c r="B436" s="2807" t="s">
        <v>937</v>
      </c>
      <c r="C436" s="2801" t="str">
        <f>IF(OR(C43=0,C45=0,C46=0,C58&lt;&gt;""),"",F287)</f>
        <v>F</v>
      </c>
      <c r="D436" s="2810"/>
      <c r="E436" s="3011"/>
      <c r="F436" s="2810"/>
      <c r="G436" s="2801" t="str">
        <f>IF(OR(C43=0,C45=0,C46=0,C60&lt;&gt;""),"",F289)</f>
        <v>J</v>
      </c>
      <c r="H436" s="2810"/>
      <c r="I436" s="2786"/>
      <c r="J436" s="2854"/>
      <c r="K436" s="2817"/>
      <c r="L436" s="2817"/>
      <c r="M436" s="2860"/>
      <c r="N436" s="2860"/>
      <c r="O436" s="2860"/>
      <c r="P436" s="2860"/>
      <c r="Q436" s="2860"/>
    </row>
    <row r="437" spans="1:17" ht="15.75">
      <c r="A437" s="2858"/>
      <c r="B437" s="2807" t="s">
        <v>938</v>
      </c>
      <c r="C437" s="2801" t="str">
        <f>IF(OR(C43=0,C45=0,C46=0,C59&lt;&gt;""),"",F288)</f>
        <v>H</v>
      </c>
      <c r="D437" s="2810"/>
      <c r="E437" s="3011"/>
      <c r="F437" s="2810"/>
      <c r="G437" s="2801" t="str">
        <f>IF(OR(C43=0,C45=0,C46=0,C61&lt;&gt;""),"",F290)</f>
        <v>M</v>
      </c>
      <c r="H437" s="2810"/>
      <c r="I437" s="2786"/>
      <c r="J437" s="2854"/>
      <c r="K437" s="2817"/>
      <c r="L437" s="2817"/>
      <c r="M437" s="2860"/>
      <c r="N437" s="2860"/>
      <c r="O437" s="2860"/>
      <c r="P437" s="2860"/>
      <c r="Q437" s="2860"/>
    </row>
    <row r="438" spans="1:17" ht="15.75">
      <c r="A438" s="2900" t="s">
        <v>3226</v>
      </c>
      <c r="B438" s="2801" t="s">
        <v>3339</v>
      </c>
      <c r="C438" s="2797">
        <f>IF(OR(C43=0,C45=0,C46=0),"",C260)</f>
        <v>-2.4E-2</v>
      </c>
      <c r="D438" s="2810" t="s">
        <v>2820</v>
      </c>
      <c r="E438" s="2797"/>
      <c r="F438" s="2797"/>
      <c r="G438" s="2797">
        <f>IF(OR(C43=0,C45=0,C46=0),"",G260)</f>
        <v>-0.06</v>
      </c>
      <c r="H438" s="2810" t="s">
        <v>2820</v>
      </c>
      <c r="I438" s="2786"/>
      <c r="J438" s="2854"/>
      <c r="K438" s="2817"/>
      <c r="L438" s="2817"/>
      <c r="M438" s="2860"/>
      <c r="N438" s="2860"/>
      <c r="O438" s="2860"/>
      <c r="P438" s="2860"/>
      <c r="Q438" s="2860"/>
    </row>
    <row r="439" spans="1:17" ht="15.75">
      <c r="A439" s="2900" t="s">
        <v>3229</v>
      </c>
      <c r="B439" s="2801" t="s">
        <v>3340</v>
      </c>
      <c r="C439" s="2797">
        <f>IF(OR(C43=0,C45=0,C46=0),"",C261)</f>
        <v>-4.8000000000000001E-2</v>
      </c>
      <c r="D439" s="2810" t="s">
        <v>2820</v>
      </c>
      <c r="E439" s="2797"/>
      <c r="F439" s="2797"/>
      <c r="G439" s="2797">
        <f>IF(OR(C43=0,C45=0,C46=0),"",G261)</f>
        <v>-0.12</v>
      </c>
      <c r="H439" s="2810" t="s">
        <v>2820</v>
      </c>
      <c r="I439" s="2786"/>
      <c r="J439" s="2854"/>
      <c r="K439" s="2817"/>
      <c r="L439" s="2817"/>
      <c r="M439" s="2860"/>
      <c r="N439" s="2860"/>
      <c r="O439" s="2860"/>
      <c r="P439" s="2860"/>
      <c r="Q439" s="2860"/>
    </row>
    <row r="440" spans="1:17" ht="15.75">
      <c r="A440" s="2900" t="s">
        <v>3341</v>
      </c>
      <c r="B440" s="2801" t="s">
        <v>3342</v>
      </c>
      <c r="C440" s="2797">
        <f>IF(OR(C43=0,C45=0,C46=0),"",C262)</f>
        <v>2.4E-2</v>
      </c>
      <c r="D440" s="2810" t="s">
        <v>2820</v>
      </c>
      <c r="E440" s="2797"/>
      <c r="F440" s="2797"/>
      <c r="G440" s="2797">
        <f>IF(OR(C43=0,C45=0,C46=0),"",G262)</f>
        <v>0.06</v>
      </c>
      <c r="H440" s="2810" t="s">
        <v>2820</v>
      </c>
      <c r="I440" s="2786"/>
      <c r="J440" s="2854"/>
      <c r="K440" s="2817"/>
      <c r="L440" s="2817"/>
      <c r="M440" s="2860"/>
      <c r="N440" s="2860"/>
      <c r="O440" s="2860"/>
      <c r="P440" s="2860"/>
      <c r="Q440" s="2860"/>
    </row>
    <row r="441" spans="1:17" ht="15.75">
      <c r="A441" s="2803" t="s">
        <v>3343</v>
      </c>
      <c r="B441" s="2801" t="s">
        <v>3344</v>
      </c>
      <c r="C441" s="2797"/>
      <c r="D441" s="2810"/>
      <c r="E441" s="2797">
        <f>IF(OR(C43=0,C45=0,C46=0),"",ABS(C438+G438))</f>
        <v>8.4000000000000005E-2</v>
      </c>
      <c r="F441" s="2810" t="s">
        <v>2820</v>
      </c>
      <c r="G441" s="2797"/>
      <c r="H441" s="2810"/>
      <c r="I441" s="2786"/>
      <c r="J441" s="2854"/>
      <c r="K441" s="2817"/>
      <c r="L441" s="2817"/>
      <c r="M441" s="2860"/>
      <c r="N441" s="2860"/>
      <c r="O441" s="2860"/>
      <c r="P441" s="2860"/>
      <c r="Q441" s="2860"/>
    </row>
    <row r="442" spans="1:17" ht="15.75">
      <c r="A442" s="2803" t="s">
        <v>3345</v>
      </c>
      <c r="B442" s="2801" t="s">
        <v>3346</v>
      </c>
      <c r="C442" s="2797"/>
      <c r="D442" s="2810"/>
      <c r="E442" s="2797">
        <f>IF(OR(C43=0,C45=0,C46=0),"",ABS(C439+G439))</f>
        <v>0.16800000000000001</v>
      </c>
      <c r="F442" s="2810" t="s">
        <v>2820</v>
      </c>
      <c r="G442" s="2797"/>
      <c r="H442" s="2810"/>
      <c r="I442" s="2786"/>
      <c r="J442" s="2854"/>
      <c r="K442" s="2817"/>
      <c r="L442" s="2817"/>
      <c r="M442" s="2860"/>
      <c r="N442" s="2860"/>
      <c r="O442" s="2860"/>
      <c r="P442" s="2860"/>
      <c r="Q442" s="2860"/>
    </row>
    <row r="443" spans="1:17" ht="15.75">
      <c r="A443" s="2947" t="s">
        <v>4233</v>
      </c>
      <c r="B443" s="2801"/>
      <c r="C443" s="2797"/>
      <c r="D443" s="2810"/>
      <c r="E443" s="2797"/>
      <c r="F443" s="2810"/>
      <c r="G443" s="2797"/>
      <c r="H443" s="2810"/>
      <c r="I443" s="2786"/>
      <c r="J443" s="2854"/>
      <c r="K443" s="2817"/>
      <c r="L443" s="2817"/>
      <c r="M443" s="2860"/>
      <c r="N443" s="2860"/>
      <c r="O443" s="2860"/>
      <c r="P443" s="2860"/>
      <c r="Q443" s="2860"/>
    </row>
    <row r="444" spans="1:17" ht="15.75">
      <c r="A444" s="2855"/>
      <c r="B444" s="2801" t="s">
        <v>3257</v>
      </c>
      <c r="C444" s="2797">
        <f>IF(OR(C43=0,C45=0,C46=0),"",C292)</f>
        <v>-2.5999999999999999E-2</v>
      </c>
      <c r="D444" s="2810" t="s">
        <v>2820</v>
      </c>
      <c r="E444" s="2797"/>
      <c r="F444" s="2810"/>
      <c r="G444" s="2797">
        <f>IF(OR(C43=0,C45=0,C46=0),"",G292)</f>
        <v>-6.4000000000000001E-2</v>
      </c>
      <c r="H444" s="2810" t="s">
        <v>2820</v>
      </c>
      <c r="I444" s="2786"/>
      <c r="J444" s="2854"/>
      <c r="K444" s="2817"/>
      <c r="L444" s="2817"/>
      <c r="M444" s="2860"/>
      <c r="N444" s="2860"/>
      <c r="O444" s="2860"/>
      <c r="P444" s="2860"/>
      <c r="Q444" s="2860"/>
    </row>
    <row r="445" spans="1:17" ht="15.75">
      <c r="A445" s="2857"/>
      <c r="B445" s="2801" t="s">
        <v>3259</v>
      </c>
      <c r="C445" s="2797">
        <f>IF(OR(C43=0,C45=0,C46=0),"",C293)</f>
        <v>-4.1000000000000002E-2</v>
      </c>
      <c r="D445" s="2810" t="s">
        <v>2820</v>
      </c>
      <c r="E445" s="2797"/>
      <c r="F445" s="2810"/>
      <c r="G445" s="2797">
        <f>IF(OR(C43=0,C45=0,C46=0),"",G293)</f>
        <v>-0.11600000000000001</v>
      </c>
      <c r="H445" s="2810" t="s">
        <v>2820</v>
      </c>
      <c r="I445" s="2786"/>
      <c r="J445" s="2854"/>
      <c r="K445" s="2817"/>
      <c r="L445" s="2817"/>
      <c r="M445" s="2860"/>
      <c r="N445" s="2860"/>
      <c r="O445" s="2860"/>
      <c r="P445" s="2860"/>
      <c r="Q445" s="2860"/>
    </row>
    <row r="446" spans="1:17" ht="15.75">
      <c r="A446" s="2857"/>
      <c r="B446" s="2801" t="s">
        <v>3261</v>
      </c>
      <c r="C446" s="2797">
        <f>IF(OR(C43=0,C45=0,C46=0),"",C294)</f>
        <v>1.4999999999999999E-2</v>
      </c>
      <c r="D446" s="2810" t="s">
        <v>2820</v>
      </c>
      <c r="E446" s="2797"/>
      <c r="F446" s="2810"/>
      <c r="G446" s="2797">
        <f>IF(OR(C43=0,C45=0,C46=0),"",G294)</f>
        <v>5.1999999999999998E-2</v>
      </c>
      <c r="H446" s="2810" t="s">
        <v>2820</v>
      </c>
      <c r="I446" s="2786"/>
      <c r="J446" s="2854"/>
      <c r="K446" s="2817"/>
      <c r="L446" s="2817"/>
      <c r="M446" s="2860"/>
      <c r="N446" s="2860"/>
      <c r="O446" s="2860"/>
      <c r="P446" s="2860"/>
      <c r="Q446" s="2860"/>
    </row>
    <row r="447" spans="1:17" ht="15.75">
      <c r="A447" s="2947" t="s">
        <v>4236</v>
      </c>
      <c r="B447" s="2801"/>
      <c r="C447" s="2797"/>
      <c r="D447" s="2810"/>
      <c r="E447" s="2797"/>
      <c r="F447" s="2810"/>
      <c r="G447" s="2797"/>
      <c r="H447" s="2810"/>
      <c r="I447" s="2786"/>
      <c r="J447" s="2854"/>
      <c r="K447" s="2817"/>
      <c r="L447" s="2817"/>
      <c r="M447" s="2860"/>
      <c r="N447" s="2860"/>
      <c r="O447" s="2860"/>
      <c r="P447" s="2860"/>
      <c r="Q447" s="2860"/>
    </row>
    <row r="448" spans="1:17" ht="15.75">
      <c r="A448" s="2855"/>
      <c r="B448" s="2801" t="s">
        <v>3263</v>
      </c>
      <c r="C448" s="2797">
        <f>IF(OR(C43=0,C45=0,C46=0),"",C299)</f>
        <v>-5.2999999999999999E-2</v>
      </c>
      <c r="D448" s="2810" t="s">
        <v>2820</v>
      </c>
      <c r="E448" s="2797"/>
      <c r="F448" s="2810"/>
      <c r="G448" s="2797">
        <f>IF(OR(C43=0,C45=0,C46=0),"",G299)</f>
        <v>-0.157</v>
      </c>
      <c r="H448" s="2810" t="s">
        <v>2820</v>
      </c>
      <c r="I448" s="2786"/>
      <c r="J448" s="2854"/>
      <c r="K448" s="2817"/>
      <c r="L448" s="2817"/>
      <c r="M448" s="2860"/>
      <c r="N448" s="2860"/>
      <c r="O448" s="2860"/>
      <c r="P448" s="2860"/>
      <c r="Q448" s="2860"/>
    </row>
    <row r="449" spans="1:17" ht="15.75">
      <c r="A449" s="2857"/>
      <c r="B449" s="2801" t="s">
        <v>3265</v>
      </c>
      <c r="C449" s="2797">
        <f>IF(OR(C43=0,C45=0,C46=0),"",C300)</f>
        <v>-8.4000000000000005E-2</v>
      </c>
      <c r="D449" s="2810" t="s">
        <v>2820</v>
      </c>
      <c r="E449" s="2797"/>
      <c r="F449" s="2810"/>
      <c r="G449" s="2797">
        <f>IF(OR(C43=0,C45=0,C46=0),"",G300)</f>
        <v>-0.28499999999999998</v>
      </c>
      <c r="H449" s="2810" t="s">
        <v>2820</v>
      </c>
      <c r="I449" s="2786"/>
      <c r="J449" s="2854"/>
      <c r="K449" s="2817"/>
      <c r="L449" s="2817"/>
      <c r="M449" s="2860"/>
      <c r="N449" s="2860"/>
      <c r="O449" s="2860"/>
      <c r="P449" s="2860"/>
      <c r="Q449" s="2860"/>
    </row>
    <row r="450" spans="1:17" ht="15.75">
      <c r="A450" s="2857"/>
      <c r="B450" s="2801" t="s">
        <v>3267</v>
      </c>
      <c r="C450" s="2797">
        <f>IF(OR(C43=0,C45=0,C46=0),"",C301)</f>
        <v>3.1E-2</v>
      </c>
      <c r="D450" s="2810" t="s">
        <v>2820</v>
      </c>
      <c r="E450" s="2797"/>
      <c r="F450" s="2810"/>
      <c r="G450" s="2797">
        <f>IF(OR(C43=0,C45=0,C46=0),"",G301)</f>
        <v>0.128</v>
      </c>
      <c r="H450" s="2810" t="s">
        <v>2820</v>
      </c>
      <c r="I450" s="2786"/>
      <c r="J450" s="2854"/>
      <c r="K450" s="2817"/>
      <c r="L450" s="2817"/>
      <c r="M450" s="2860"/>
      <c r="N450" s="2860"/>
      <c r="O450" s="2860"/>
      <c r="P450" s="2860"/>
      <c r="Q450" s="2860"/>
    </row>
    <row r="451" spans="1:17" ht="15.75">
      <c r="A451" s="2900" t="s">
        <v>3220</v>
      </c>
      <c r="B451" s="2801" t="s">
        <v>3347</v>
      </c>
      <c r="C451" s="2797">
        <f>IF(OR(C43=0,C45=0,C46=0),"",C258/1000)</f>
        <v>2.5999999999999999E-2</v>
      </c>
      <c r="D451" s="2810" t="s">
        <v>2820</v>
      </c>
      <c r="E451" s="2797"/>
      <c r="F451" s="2797"/>
      <c r="G451" s="2797">
        <f>IF(OR(C43=0,C45=0,C46=0),"",G258/1000)</f>
        <v>2.5999999999999999E-2</v>
      </c>
      <c r="H451" s="2810" t="s">
        <v>2820</v>
      </c>
      <c r="I451" s="2786"/>
      <c r="J451" s="2854"/>
      <c r="K451" s="2817"/>
      <c r="L451" s="2817"/>
      <c r="M451" s="2860"/>
      <c r="N451" s="2860"/>
      <c r="O451" s="2860"/>
      <c r="P451" s="2860"/>
      <c r="Q451" s="2860"/>
    </row>
    <row r="452" spans="1:17" ht="15.75">
      <c r="A452" s="2976" t="s">
        <v>3223</v>
      </c>
      <c r="B452" s="2801" t="s">
        <v>3348</v>
      </c>
      <c r="C452" s="2797">
        <f>IF(OR(C43=0,C45=0,C46=0),"",C259/1000)</f>
        <v>7.0000000000000001E-3</v>
      </c>
      <c r="D452" s="2810" t="s">
        <v>2820</v>
      </c>
      <c r="E452" s="2797"/>
      <c r="F452" s="2797"/>
      <c r="G452" s="2797">
        <f>IF(OR(C43=0,C45=0,C46=0),"",G259/1000)</f>
        <v>7.0000000000000001E-3</v>
      </c>
      <c r="H452" s="2810" t="s">
        <v>2820</v>
      </c>
      <c r="I452" s="2786"/>
      <c r="J452" s="2854"/>
      <c r="K452" s="2817"/>
      <c r="L452" s="2817"/>
      <c r="M452" s="2860"/>
      <c r="N452" s="2860"/>
      <c r="O452" s="2860"/>
      <c r="P452" s="2860"/>
      <c r="Q452" s="2860"/>
    </row>
    <row r="453" spans="1:17" ht="15.75">
      <c r="A453" s="2858" t="s">
        <v>3193</v>
      </c>
      <c r="B453" s="2801" t="s">
        <v>3349</v>
      </c>
      <c r="C453" s="2797">
        <f>C190/1000</f>
        <v>1.6E-2</v>
      </c>
      <c r="D453" s="2810" t="s">
        <v>2820</v>
      </c>
      <c r="E453" s="2797"/>
      <c r="F453" s="2797"/>
      <c r="G453" s="2797">
        <f>G190/1000</f>
        <v>1.6E-2</v>
      </c>
      <c r="H453" s="2810" t="s">
        <v>2820</v>
      </c>
      <c r="I453" s="2786"/>
      <c r="J453" s="2854"/>
      <c r="K453" s="2817"/>
      <c r="L453" s="2817"/>
      <c r="M453" s="2860"/>
      <c r="N453" s="2860"/>
      <c r="O453" s="2860"/>
      <c r="P453" s="2860"/>
      <c r="Q453" s="2860"/>
    </row>
    <row r="454" spans="1:17" ht="15.75">
      <c r="A454" s="2857" t="s">
        <v>3196</v>
      </c>
      <c r="B454" s="2801" t="s">
        <v>3350</v>
      </c>
      <c r="C454" s="2797">
        <f>C202/1000</f>
        <v>1.2E-2</v>
      </c>
      <c r="D454" s="2810" t="s">
        <v>2820</v>
      </c>
      <c r="E454" s="2797"/>
      <c r="F454" s="2797"/>
      <c r="G454" s="2797">
        <f>G202/1000</f>
        <v>1.2E-2</v>
      </c>
      <c r="H454" s="2810" t="s">
        <v>2820</v>
      </c>
      <c r="I454" s="2786"/>
      <c r="J454" s="2854"/>
      <c r="K454" s="2817"/>
      <c r="L454" s="2817"/>
      <c r="M454" s="2860"/>
      <c r="N454" s="2860"/>
      <c r="O454" s="2860"/>
      <c r="P454" s="2860"/>
      <c r="Q454" s="2860"/>
    </row>
    <row r="455" spans="1:17" ht="15.75">
      <c r="A455" s="2818" t="s">
        <v>3351</v>
      </c>
      <c r="B455" s="2801" t="s">
        <v>3352</v>
      </c>
      <c r="C455" s="2797">
        <f>IF(OR(C43=0,C45=0,C46=0),"",C184/1000)</f>
        <v>0.02</v>
      </c>
      <c r="D455" s="2810" t="s">
        <v>2820</v>
      </c>
      <c r="E455" s="3022"/>
      <c r="F455" s="2797"/>
      <c r="G455" s="2797">
        <f>IF(OR(C43=0,C45=0,C46=0),"",G184/1000)</f>
        <v>0.02</v>
      </c>
      <c r="H455" s="2810" t="s">
        <v>2820</v>
      </c>
      <c r="I455" s="2786"/>
      <c r="J455" s="2854"/>
      <c r="K455" s="2817"/>
      <c r="L455" s="2817"/>
      <c r="M455" s="2860"/>
      <c r="N455" s="2860"/>
      <c r="O455" s="2860"/>
      <c r="P455" s="2860"/>
      <c r="Q455" s="2860"/>
    </row>
    <row r="456" spans="1:17" ht="15.75">
      <c r="A456" s="2818" t="s">
        <v>3353</v>
      </c>
      <c r="B456" s="2801" t="s">
        <v>4377</v>
      </c>
      <c r="C456" s="2797">
        <f>IF(OR(C43=0,C45=0,C46=0),"",C206/1000)</f>
        <v>6.0000000000000001E-3</v>
      </c>
      <c r="D456" s="2810" t="s">
        <v>2820</v>
      </c>
      <c r="E456" s="3022"/>
      <c r="F456" s="2797"/>
      <c r="G456" s="2797">
        <f>IF(OR(C43=0,C45=0,C46=0),"",G206/1000)</f>
        <v>6.0000000000000001E-3</v>
      </c>
      <c r="H456" s="2810" t="s">
        <v>2820</v>
      </c>
      <c r="I456" s="2786"/>
      <c r="J456" s="2854"/>
      <c r="K456" s="2817"/>
      <c r="L456" s="2817"/>
      <c r="M456" s="2860"/>
      <c r="N456" s="2860"/>
      <c r="O456" s="2860"/>
      <c r="P456" s="2860"/>
      <c r="Q456" s="2860"/>
    </row>
    <row r="457" spans="1:17" ht="15.75">
      <c r="A457" s="2803" t="s">
        <v>3202</v>
      </c>
      <c r="B457" s="2855" t="s">
        <v>3355</v>
      </c>
      <c r="C457" s="2797">
        <f>IF(OR(C43=0,C45=0,C46=0),"",C218/1000)</f>
        <v>5.0000000000000001E-3</v>
      </c>
      <c r="D457" s="2810" t="s">
        <v>2820</v>
      </c>
      <c r="E457" s="3022"/>
      <c r="F457" s="2797"/>
      <c r="G457" s="2797">
        <f>IF(OR(C43=0,C45=0,C46=0),"",G218/1000)</f>
        <v>5.0000000000000001E-3</v>
      </c>
      <c r="H457" s="2810" t="s">
        <v>2820</v>
      </c>
      <c r="I457" s="2786"/>
      <c r="J457" s="2854"/>
      <c r="K457" s="2817"/>
      <c r="L457" s="2817"/>
      <c r="M457" s="2860"/>
      <c r="N457" s="2860"/>
      <c r="O457" s="2860"/>
      <c r="P457" s="2860"/>
      <c r="Q457" s="2860"/>
    </row>
    <row r="458" spans="1:17" ht="15.75">
      <c r="A458" s="2803" t="s">
        <v>3206</v>
      </c>
      <c r="B458" s="2801" t="s">
        <v>3356</v>
      </c>
      <c r="C458" s="2797">
        <f>IF(OR(C43=0,C45=0,C46=0),"",C230/1000)</f>
        <v>6.0000000000000001E-3</v>
      </c>
      <c r="D458" s="2810" t="s">
        <v>2820</v>
      </c>
      <c r="E458" s="3022"/>
      <c r="F458" s="2797"/>
      <c r="G458" s="2797">
        <f>IF(OR(C43=0,C45=0,C46=0),"",G230/1000)</f>
        <v>6.0000000000000001E-3</v>
      </c>
      <c r="H458" s="2810" t="s">
        <v>2820</v>
      </c>
      <c r="I458" s="2786"/>
      <c r="J458" s="2854"/>
      <c r="K458" s="2817"/>
      <c r="L458" s="2817"/>
      <c r="M458" s="2860"/>
      <c r="N458" s="2860"/>
      <c r="O458" s="2860"/>
      <c r="P458" s="2860"/>
      <c r="Q458" s="2860"/>
    </row>
    <row r="459" spans="1:17" ht="15.75">
      <c r="A459" s="2803" t="s">
        <v>3209</v>
      </c>
      <c r="B459" s="2806" t="s">
        <v>3210</v>
      </c>
      <c r="C459" s="2797"/>
      <c r="D459" s="2810"/>
      <c r="E459" s="2797">
        <f>IF(OR(C43=0,C45=0,C46=0),"",C242/1000)</f>
        <v>7.0000000000000001E-3</v>
      </c>
      <c r="F459" s="2810" t="s">
        <v>2820</v>
      </c>
      <c r="G459" s="2797"/>
      <c r="H459" s="2810"/>
      <c r="I459" s="2786"/>
      <c r="J459" s="2854"/>
      <c r="K459" s="2817"/>
      <c r="L459" s="2817"/>
      <c r="M459" s="2860"/>
      <c r="N459" s="2860"/>
      <c r="O459" s="2860"/>
      <c r="P459" s="2860"/>
      <c r="Q459" s="2860"/>
    </row>
    <row r="460" spans="1:17" ht="15.75">
      <c r="A460" s="2797" t="s">
        <v>3214</v>
      </c>
      <c r="B460" s="2801" t="s">
        <v>3215</v>
      </c>
      <c r="C460" s="2797"/>
      <c r="D460" s="2810"/>
      <c r="E460" s="2797">
        <f>IF(OR(C43=0,C45=0,C46=0),"",C250/1000)</f>
        <v>7.0000000000000001E-3</v>
      </c>
      <c r="F460" s="2810" t="s">
        <v>2820</v>
      </c>
      <c r="G460" s="2797"/>
      <c r="H460" s="2810"/>
      <c r="I460" s="2786"/>
      <c r="J460" s="2854"/>
      <c r="K460" s="2817"/>
      <c r="L460" s="2817"/>
      <c r="M460" s="2860"/>
      <c r="N460" s="2860"/>
      <c r="O460" s="2860"/>
      <c r="P460" s="2860"/>
      <c r="Q460" s="2860"/>
    </row>
    <row r="461" spans="1:17" ht="15.75">
      <c r="A461" s="2797" t="s">
        <v>3216</v>
      </c>
      <c r="B461" s="2801" t="s">
        <v>3217</v>
      </c>
      <c r="C461" s="2797"/>
      <c r="D461" s="2810"/>
      <c r="E461" s="2797">
        <f>IF(OR(C43=0,C45=0,C46=0),"",C256/1000)</f>
        <v>7.0000000000000001E-3</v>
      </c>
      <c r="F461" s="2810" t="s">
        <v>2820</v>
      </c>
      <c r="G461" s="2797"/>
      <c r="H461" s="2810"/>
      <c r="I461" s="2786"/>
      <c r="J461" s="2854"/>
      <c r="K461" s="2817"/>
      <c r="L461" s="2817"/>
      <c r="M461" s="2860"/>
      <c r="N461" s="2860"/>
      <c r="O461" s="2860"/>
      <c r="P461" s="2860"/>
      <c r="Q461" s="2860"/>
    </row>
    <row r="462" spans="1:17" ht="15.75">
      <c r="A462" s="2797" t="s">
        <v>3218</v>
      </c>
      <c r="B462" s="2806" t="s">
        <v>3219</v>
      </c>
      <c r="C462" s="2797"/>
      <c r="D462" s="2810"/>
      <c r="E462" s="2797">
        <f>IF(OR(C43=0,C45=0,C46=0),"",C257/1000)</f>
        <v>2.5000000000000001E-2</v>
      </c>
      <c r="F462" s="2810" t="s">
        <v>2820</v>
      </c>
      <c r="G462" s="2797"/>
      <c r="H462" s="2810"/>
      <c r="I462" s="2786"/>
      <c r="J462" s="2854"/>
      <c r="K462" s="2817"/>
      <c r="L462" s="2817"/>
      <c r="M462" s="2860"/>
      <c r="N462" s="2860"/>
      <c r="O462" s="2860"/>
      <c r="P462" s="2860"/>
      <c r="Q462" s="2860"/>
    </row>
    <row r="463" spans="1:17" ht="15.75">
      <c r="A463" s="2797" t="s">
        <v>3211</v>
      </c>
      <c r="B463" s="2810" t="s">
        <v>3212</v>
      </c>
      <c r="C463" s="2797"/>
      <c r="D463" s="2800"/>
      <c r="E463" s="3221">
        <f>IF(OR(C43=0,C45=0,C46=0),"",C248/100)</f>
        <v>0.45</v>
      </c>
      <c r="F463" s="2800"/>
      <c r="G463" s="2953"/>
      <c r="H463" s="3022"/>
      <c r="I463" s="2786"/>
      <c r="J463" s="2854"/>
      <c r="K463" s="2817"/>
      <c r="L463" s="2817"/>
      <c r="M463" s="2860"/>
      <c r="N463" s="2860"/>
      <c r="O463" s="2860"/>
      <c r="P463" s="2860"/>
      <c r="Q463" s="2860"/>
    </row>
    <row r="464" spans="1:17">
      <c r="A464" s="2797"/>
      <c r="B464" s="2810" t="s">
        <v>3213</v>
      </c>
      <c r="C464" s="2797"/>
      <c r="D464" s="2800"/>
      <c r="E464" s="3221">
        <f>IF(OR(C43=0,C45=0,C46=0),"",C249/100)</f>
        <v>0.8</v>
      </c>
      <c r="F464" s="2800"/>
      <c r="G464" s="2953"/>
      <c r="H464" s="3022"/>
      <c r="I464" s="2786"/>
      <c r="J464" s="2854"/>
      <c r="K464" s="2817"/>
      <c r="L464" s="2817"/>
      <c r="M464" s="2860"/>
      <c r="N464" s="2860"/>
      <c r="O464" s="2860"/>
      <c r="P464" s="2860"/>
      <c r="Q464" s="2860"/>
    </row>
    <row r="465" spans="1:17" ht="15.75">
      <c r="A465" s="2953" t="s">
        <v>3275</v>
      </c>
      <c r="B465" s="2801"/>
      <c r="C465" s="2797"/>
      <c r="D465" s="2810"/>
      <c r="E465" s="3022"/>
      <c r="F465" s="3022"/>
      <c r="G465" s="2797"/>
      <c r="H465" s="2810"/>
      <c r="I465" s="2786"/>
      <c r="J465" s="2854"/>
      <c r="K465" s="2817"/>
      <c r="L465" s="2817"/>
      <c r="M465" s="2860"/>
      <c r="N465" s="2860"/>
      <c r="O465" s="2860"/>
      <c r="P465" s="2860"/>
      <c r="Q465" s="2860"/>
    </row>
    <row r="466" spans="1:17" ht="15">
      <c r="A466" s="2797" t="s">
        <v>3276</v>
      </c>
      <c r="B466" s="2983"/>
      <c r="C466" s="2797"/>
      <c r="D466" s="2810"/>
      <c r="E466" s="2797" t="str">
        <f>IF(OR(C43=0,C45=0,C46=0),"",C310)</f>
        <v>IT5</v>
      </c>
      <c r="F466" s="2953" t="str">
        <f>IF(OR(C43=0,C45=0,C46=0),"","GB 1800—79")</f>
        <v>GB 1800—79</v>
      </c>
      <c r="G466" s="2797"/>
      <c r="H466" s="2810"/>
      <c r="I466" s="2786"/>
      <c r="J466" s="2854"/>
      <c r="K466" s="2817"/>
      <c r="L466" s="2817"/>
      <c r="M466" s="2860"/>
      <c r="N466" s="2860"/>
      <c r="O466" s="2860"/>
      <c r="P466" s="2860"/>
      <c r="Q466" s="2860"/>
    </row>
    <row r="467" spans="1:17" ht="15">
      <c r="A467" s="2797" t="s">
        <v>3277</v>
      </c>
      <c r="B467" s="2983"/>
      <c r="C467" s="2797"/>
      <c r="D467" s="2810"/>
      <c r="E467" s="2797" t="str">
        <f>IF(OR(C43=0,C45=0,C46=0),"",C311)</f>
        <v>IT5</v>
      </c>
      <c r="F467" s="2953" t="str">
        <f>IF(OR(C43=0,C45=0,C46=0),"","GB 1800—79")</f>
        <v>GB 1800—79</v>
      </c>
      <c r="G467" s="2797"/>
      <c r="H467" s="2810"/>
      <c r="I467" s="2786"/>
      <c r="J467" s="2854"/>
      <c r="K467" s="2817"/>
      <c r="L467" s="2817"/>
      <c r="M467" s="2860"/>
      <c r="N467" s="2860"/>
      <c r="O467" s="2860"/>
      <c r="P467" s="2860"/>
      <c r="Q467" s="2860"/>
    </row>
    <row r="468" spans="1:17">
      <c r="A468" s="2797" t="s">
        <v>3278</v>
      </c>
      <c r="B468" s="2810" t="s">
        <v>3357</v>
      </c>
      <c r="C468" s="2797"/>
      <c r="D468" s="3012"/>
      <c r="E468" s="2797" t="str">
        <f>IF(OR(C43=0,C45=0,C46=0),"",C312)</f>
        <v>IT7</v>
      </c>
      <c r="F468" s="2953" t="str">
        <f>IF(OR(C43=0,C45=0,C46=0),"","GB 1800—79")</f>
        <v>GB 1800—79</v>
      </c>
      <c r="G468" s="2797"/>
      <c r="H468" s="2810"/>
      <c r="I468" s="2786"/>
      <c r="J468" s="2854"/>
      <c r="K468" s="2817"/>
      <c r="L468" s="2817"/>
      <c r="M468" s="2860"/>
      <c r="N468" s="2860"/>
      <c r="O468" s="2860"/>
      <c r="P468" s="2860"/>
      <c r="Q468" s="2860"/>
    </row>
    <row r="469" spans="1:17">
      <c r="A469" s="2871"/>
      <c r="B469" s="2810" t="s">
        <v>3358</v>
      </c>
      <c r="C469" s="2791"/>
      <c r="D469" s="3023"/>
      <c r="E469" s="3024" t="str">
        <f>IF(OR(C43=0,C45=0,C46=0),"",E312)</f>
        <v>IT11， 但不大于</v>
      </c>
      <c r="F469" s="2791">
        <f>IF(OR(C43=0,C45=0,C46=0),"",F312)</f>
        <v>0.25</v>
      </c>
      <c r="G469" s="2842" t="str">
        <f>IF(OR(C43=0,C45=0,C46=0),"","毫米")</f>
        <v>毫米</v>
      </c>
      <c r="H469" s="2842"/>
      <c r="I469" s="2786"/>
      <c r="J469" s="2854"/>
      <c r="K469" s="2817"/>
      <c r="L469" s="2817"/>
      <c r="M469" s="2860"/>
      <c r="N469" s="2860"/>
      <c r="O469" s="2860"/>
      <c r="P469" s="2860"/>
      <c r="Q469" s="2860"/>
    </row>
    <row r="470" spans="1:17" ht="21">
      <c r="A470" s="3025" t="s">
        <v>4378</v>
      </c>
      <c r="B470" s="3222" t="str">
        <f>IF(OR(C43=0,C45=0,C46=0),"",IF(OR(E433&lt;&gt;E434,E433&lt;&gt;E435),E433,""))</f>
        <v/>
      </c>
      <c r="C470" s="3027" t="str">
        <f>IF(OR(C43=0,C45=0,C46=0),"",IF(OR(E433&lt;&gt;E434,E433&lt;&gt;E435),-E434,""))</f>
        <v/>
      </c>
      <c r="D470" s="3028">
        <f>IF(OR(C43=0,C45=0,C46=0),"",IF(OR(E433&lt;&gt;E434,E433&lt;&gt;E435),-E435,E435))</f>
        <v>5</v>
      </c>
      <c r="E470" s="3223" t="str">
        <f>IF(OR(C43=0,C45=0,C46=0),"",IF(C58&lt;&gt;"",C58,F287))</f>
        <v>F</v>
      </c>
      <c r="F470" s="3224" t="str">
        <f>IF(OR(C43=0,C45=0,C46=0,C59&lt;&gt;""),"",F288)</f>
        <v>H</v>
      </c>
      <c r="G470" s="3225" t="str">
        <f>IF(OR(C43=0,C45=0,C46=0),"","GB 10095—88")</f>
        <v>GB 10095—88</v>
      </c>
      <c r="H470" s="3029"/>
      <c r="I470" s="3035"/>
      <c r="J470" s="2854"/>
      <c r="K470" s="2817"/>
      <c r="L470" s="2817"/>
      <c r="M470" s="2860"/>
      <c r="N470" s="2860"/>
      <c r="O470" s="2860"/>
      <c r="P470" s="2860"/>
      <c r="Q470" s="2860"/>
    </row>
    <row r="471" spans="1:17" ht="20.25">
      <c r="A471" s="3025"/>
      <c r="B471" s="3226"/>
      <c r="C471" s="3011"/>
      <c r="D471" s="3010"/>
      <c r="E471" s="3021" t="str">
        <f>IF(OR(C43=0,C45=0,C46=0),"",IF(C59&lt;&gt;"",C59,""))</f>
        <v/>
      </c>
      <c r="F471" s="3225"/>
      <c r="G471" s="2870"/>
      <c r="H471" s="2953"/>
      <c r="I471" s="3035"/>
      <c r="J471" s="2854"/>
      <c r="K471" s="2817"/>
      <c r="L471" s="2817"/>
      <c r="M471" s="2860"/>
      <c r="N471" s="2860"/>
      <c r="O471" s="2860"/>
      <c r="P471" s="2860"/>
      <c r="Q471" s="2860"/>
    </row>
    <row r="472" spans="1:17" ht="20.25">
      <c r="A472" s="2803" t="s">
        <v>4379</v>
      </c>
      <c r="B472" s="3226" t="str">
        <f>IF(OR(C43=0,C45=0,C46=0),"",IF(OR(E433&lt;&gt;E434,E433&lt;&gt;E435),E433,""))</f>
        <v/>
      </c>
      <c r="C472" s="3011" t="str">
        <f>IF(OR(C43=0,C45=0,C46=0),"",IF(OR(E433&lt;&gt;E434,E433&lt;&gt;E435),-E434,""))</f>
        <v/>
      </c>
      <c r="D472" s="3010">
        <f>IF(OR(C43=0,C45=0,C46=0),"",IF(OR(E433&lt;&gt;E434,E433&lt;&gt;E435),-E435,E435))</f>
        <v>5</v>
      </c>
      <c r="E472" s="3021" t="str">
        <f>IF(OR(C43=0,C45=0,C46=0),"",IF(C60&lt;&gt;"",C60,F289))</f>
        <v>J</v>
      </c>
      <c r="F472" s="3225" t="str">
        <f>IF(OR(C43=0,C45=0,C46=0,C61&lt;&gt;""),"",F290)</f>
        <v>M</v>
      </c>
      <c r="G472" s="3225" t="str">
        <f>IF(OR(C43=0,C45=0,C46=0),"","GB 10095—88")</f>
        <v>GB 10095—88</v>
      </c>
      <c r="H472" s="2953"/>
      <c r="I472" s="3035"/>
      <c r="J472" s="2854"/>
      <c r="K472" s="2817"/>
      <c r="L472" s="2817"/>
      <c r="M472" s="2860"/>
      <c r="N472" s="2860"/>
      <c r="O472" s="2860"/>
      <c r="P472" s="2860"/>
      <c r="Q472" s="2860"/>
    </row>
    <row r="473" spans="1:17" ht="20.25">
      <c r="A473" s="2803"/>
      <c r="B473" s="3226"/>
      <c r="C473" s="3011"/>
      <c r="D473" s="3010"/>
      <c r="E473" s="3011" t="str">
        <f>IF(OR(C43=0,C45=0,C46=0),"",IF(C61&lt;&gt;"",C61,""))</f>
        <v/>
      </c>
      <c r="F473" s="3010"/>
      <c r="G473" s="3010"/>
      <c r="H473" s="2953"/>
      <c r="I473" s="3035"/>
      <c r="J473" s="2854"/>
      <c r="K473" s="2817"/>
      <c r="L473" s="2817"/>
      <c r="M473" s="2860"/>
      <c r="N473" s="2860"/>
      <c r="O473" s="2860"/>
      <c r="P473" s="2860"/>
      <c r="Q473" s="2860"/>
    </row>
    <row r="474" spans="1:17" ht="15.75">
      <c r="A474" s="2896"/>
      <c r="B474" s="3227"/>
      <c r="C474" s="2791"/>
      <c r="D474" s="2926"/>
      <c r="E474" s="2963" t="str">
        <f>IF(OR(C43=0,C45=0,C46=0),"",IF(C58&lt;&gt;"","注：齿厚上、下偏差两边加括号",""))</f>
        <v/>
      </c>
      <c r="F474" s="2926"/>
      <c r="G474" s="2791"/>
      <c r="H474" s="2842"/>
      <c r="I474" s="2786"/>
      <c r="J474" s="2854"/>
      <c r="K474" s="3074"/>
      <c r="L474" s="2817"/>
      <c r="M474" s="2860"/>
      <c r="N474" s="2860"/>
      <c r="O474" s="2860"/>
      <c r="P474" s="2860"/>
      <c r="Q474" s="2860"/>
    </row>
    <row r="475" spans="1:17" ht="15.75">
      <c r="A475" s="3010" t="s">
        <v>4380</v>
      </c>
      <c r="B475" s="2801"/>
      <c r="C475" s="2797" t="str">
        <f>IF(C80=0,"（未输入有关参数）","")</f>
        <v/>
      </c>
      <c r="D475" s="2904"/>
      <c r="E475" s="2905"/>
      <c r="F475" s="2986"/>
      <c r="G475" s="3011"/>
      <c r="H475" s="2810"/>
      <c r="I475" s="2786"/>
      <c r="J475" s="2854"/>
      <c r="K475" s="2817"/>
      <c r="L475" s="2817"/>
      <c r="M475" s="2860"/>
      <c r="N475" s="2860"/>
      <c r="O475" s="2860"/>
      <c r="P475" s="2860"/>
      <c r="Q475" s="2860"/>
    </row>
    <row r="476" spans="1:17" ht="15.75">
      <c r="A476" s="2803" t="s">
        <v>4381</v>
      </c>
      <c r="B476" s="2801" t="s">
        <v>2520</v>
      </c>
      <c r="C476" s="2797">
        <f>IF(C80=0,"",E84)</f>
        <v>115</v>
      </c>
      <c r="D476" s="2870" t="str">
        <f>IF(C80=0,"","N·m")</f>
        <v>N·m</v>
      </c>
      <c r="E476" s="3228"/>
      <c r="F476" s="2797"/>
      <c r="G476" s="2797">
        <f>IF(C80=0,"",ROUND(C18/C17*C476,2))</f>
        <v>180.71</v>
      </c>
      <c r="H476" s="2870" t="str">
        <f>IF(C80=0,"","N·m")</f>
        <v>N·m</v>
      </c>
      <c r="I476" s="2786"/>
      <c r="J476" s="2854"/>
      <c r="K476" s="2817"/>
      <c r="L476" s="2817"/>
      <c r="M476" s="2860"/>
      <c r="N476" s="2860"/>
      <c r="O476" s="2860"/>
      <c r="P476" s="2860"/>
      <c r="Q476" s="2860"/>
    </row>
    <row r="477" spans="1:17" ht="15.75">
      <c r="A477" s="2803" t="s">
        <v>4382</v>
      </c>
      <c r="B477" s="2806" t="s">
        <v>445</v>
      </c>
      <c r="C477" s="2786">
        <f>IF(C80=0,"",E85)</f>
        <v>24.085999999999999</v>
      </c>
      <c r="D477" s="3074" t="str">
        <f>IF(C80=0,"","Kw")</f>
        <v>Kw</v>
      </c>
      <c r="E477" s="2810"/>
      <c r="F477" s="2976"/>
      <c r="G477" s="2797">
        <f>IF(C80=0,"",ROUND(C18/C17*C477,2))</f>
        <v>37.85</v>
      </c>
      <c r="H477" s="3074" t="str">
        <f>IF(C80=0,"","Kw")</f>
        <v>Kw</v>
      </c>
      <c r="I477" s="2786"/>
      <c r="J477" s="2854"/>
      <c r="K477" s="2817"/>
      <c r="L477" s="2817"/>
      <c r="M477" s="2860"/>
      <c r="N477" s="2860"/>
      <c r="O477" s="2860"/>
      <c r="P477" s="2860"/>
      <c r="Q477" s="2860"/>
    </row>
    <row r="478" spans="1:17" ht="15.75">
      <c r="A478" s="2803" t="s">
        <v>4383</v>
      </c>
      <c r="B478" s="2806" t="s">
        <v>2487</v>
      </c>
      <c r="C478" s="2786">
        <f>IF(C80=0,"",C86)</f>
        <v>2000</v>
      </c>
      <c r="D478" s="3074" t="str">
        <f>IF(C80=0,"","r / min")</f>
        <v>r / min</v>
      </c>
      <c r="E478" s="2810"/>
      <c r="F478" s="2976"/>
      <c r="G478" s="2797">
        <f>IF(C80=0,"",ROUND(C17/C18*C478,2))</f>
        <v>1272.73</v>
      </c>
      <c r="H478" s="3074" t="str">
        <f>IF(C80=0,"","r / min")</f>
        <v>r / min</v>
      </c>
      <c r="I478" s="2786"/>
      <c r="J478" s="2854"/>
      <c r="K478" s="2817"/>
      <c r="L478" s="2817"/>
      <c r="M478" s="2860"/>
      <c r="N478" s="2860"/>
      <c r="O478" s="2860"/>
      <c r="P478" s="2860"/>
      <c r="Q478" s="2860"/>
    </row>
    <row r="479" spans="1:17" ht="15.75">
      <c r="A479" s="2803" t="s">
        <v>4384</v>
      </c>
      <c r="B479" s="2806" t="s">
        <v>412</v>
      </c>
      <c r="C479" s="2786">
        <f>IF(C80=0,"",E86)</f>
        <v>5.63</v>
      </c>
      <c r="D479" s="3074" t="str">
        <f>IF(C80=0,"","m / s")</f>
        <v>m / s</v>
      </c>
      <c r="E479" s="2810"/>
      <c r="F479" s="2976"/>
      <c r="G479" s="2797">
        <f>IF(C80=0,"",C479)</f>
        <v>5.63</v>
      </c>
      <c r="H479" s="3074" t="str">
        <f>IF(C80=0,"","m / s")</f>
        <v>m / s</v>
      </c>
      <c r="I479" s="2786"/>
      <c r="J479" s="2854"/>
      <c r="K479" s="2817"/>
      <c r="L479" s="2817"/>
      <c r="M479" s="2860"/>
      <c r="N479" s="2860"/>
      <c r="O479" s="2860"/>
      <c r="P479" s="2860"/>
      <c r="Q479" s="2860"/>
    </row>
    <row r="480" spans="1:17" ht="15.75">
      <c r="A480" s="2803" t="s">
        <v>4385</v>
      </c>
      <c r="B480" s="2806"/>
      <c r="C480" s="3229"/>
      <c r="D480" s="3074"/>
      <c r="E480" s="2797" t="str">
        <f>IF(C80=0,"",IF(C80=1,"结构钢正火",IF(C80=2,"碳钢调质或正火",IF(C80=3,"合金钢调质",IF(C80=4,"调质钢表面淬火",IF(C80=5,"合金钢渗碳淬火","氮化钢气体氮化"))))))</f>
        <v>合金钢渗碳淬火</v>
      </c>
      <c r="F480" s="2976"/>
      <c r="G480" s="2810"/>
      <c r="H480" s="3074"/>
      <c r="I480" s="2786"/>
      <c r="J480" s="2854"/>
      <c r="K480" s="2817"/>
      <c r="L480" s="2817"/>
      <c r="M480" s="2860"/>
      <c r="N480" s="2860"/>
      <c r="O480" s="2860"/>
      <c r="P480" s="2860"/>
      <c r="Q480" s="2860"/>
    </row>
    <row r="481" spans="1:17" ht="15.75">
      <c r="A481" s="2803" t="s">
        <v>4386</v>
      </c>
      <c r="B481" s="2806"/>
      <c r="C481" s="3229"/>
      <c r="D481" s="3074"/>
      <c r="E481" s="2797" t="str">
        <f>IF(C80=0,"",IF(C82=1,"对称支承",IF(C82=2,"非对称支承","悬臂支承")))</f>
        <v>非对称支承</v>
      </c>
      <c r="F481" s="2976"/>
      <c r="G481" s="2810"/>
      <c r="H481" s="3074"/>
      <c r="I481" s="2786"/>
      <c r="J481" s="2854"/>
      <c r="K481" s="2817"/>
      <c r="L481" s="2817"/>
      <c r="M481" s="2860"/>
      <c r="N481" s="2860"/>
      <c r="O481" s="2860"/>
      <c r="P481" s="2860"/>
      <c r="Q481" s="2860"/>
    </row>
    <row r="482" spans="1:17" ht="15.75">
      <c r="A482" s="2803" t="s">
        <v>4387</v>
      </c>
      <c r="B482" s="2797" t="s">
        <v>4388</v>
      </c>
      <c r="C482" s="2797"/>
      <c r="D482" s="2983"/>
      <c r="E482" s="2797">
        <f>E94</f>
        <v>1026.6300000000001</v>
      </c>
      <c r="F482" s="2807" t="str">
        <f>F94</f>
        <v>N/mm2</v>
      </c>
      <c r="G482" s="2797"/>
      <c r="H482" s="2983"/>
      <c r="I482" s="2786"/>
      <c r="J482" s="2854"/>
      <c r="K482" s="2817"/>
      <c r="L482" s="2817"/>
      <c r="M482" s="2860"/>
      <c r="N482" s="2860"/>
      <c r="O482" s="2860"/>
      <c r="P482" s="2860"/>
      <c r="Q482" s="2860"/>
    </row>
    <row r="483" spans="1:17" ht="15.75">
      <c r="A483" s="2858" t="s">
        <v>4389</v>
      </c>
      <c r="B483" s="2855" t="s">
        <v>4390</v>
      </c>
      <c r="C483" s="2797"/>
      <c r="D483" s="3230"/>
      <c r="E483" s="2797">
        <f>E95</f>
        <v>1.26</v>
      </c>
      <c r="F483" s="3182" t="str">
        <f>F95</f>
        <v/>
      </c>
      <c r="G483" s="2797"/>
      <c r="H483" s="3230"/>
      <c r="I483" s="2786"/>
      <c r="J483" s="2854"/>
      <c r="K483" s="2817"/>
      <c r="L483" s="2817"/>
      <c r="M483" s="2860"/>
      <c r="N483" s="2860"/>
      <c r="O483" s="2860"/>
      <c r="P483" s="2860"/>
      <c r="Q483" s="2860"/>
    </row>
    <row r="484" spans="1:17" ht="15.75">
      <c r="A484" s="2803" t="s">
        <v>4357</v>
      </c>
      <c r="B484" s="2797" t="s">
        <v>4391</v>
      </c>
      <c r="C484" s="2797">
        <f t="shared" ref="C484:H485" si="14">C97</f>
        <v>277.69</v>
      </c>
      <c r="D484" s="2983" t="str">
        <f t="shared" si="14"/>
        <v>N/mm2</v>
      </c>
      <c r="E484" s="2797"/>
      <c r="F484" s="2912"/>
      <c r="G484" s="2797">
        <f t="shared" si="14"/>
        <v>289.45999999999998</v>
      </c>
      <c r="H484" s="2983" t="str">
        <f t="shared" si="14"/>
        <v>N/mm2</v>
      </c>
      <c r="I484" s="2786"/>
      <c r="J484" s="2854"/>
      <c r="K484" s="2817"/>
      <c r="L484" s="2817"/>
      <c r="M484" s="2860"/>
      <c r="N484" s="2860"/>
      <c r="O484" s="2860"/>
      <c r="P484" s="2860"/>
      <c r="Q484" s="2860"/>
    </row>
    <row r="485" spans="1:17" ht="15.75">
      <c r="A485" s="2858" t="s">
        <v>4392</v>
      </c>
      <c r="B485" s="2855" t="s">
        <v>4393</v>
      </c>
      <c r="C485" s="2797">
        <f t="shared" si="14"/>
        <v>2.95</v>
      </c>
      <c r="D485" s="3138" t="str">
        <f t="shared" si="14"/>
        <v/>
      </c>
      <c r="E485" s="2797"/>
      <c r="F485" s="2810"/>
      <c r="G485" s="2797">
        <f t="shared" si="14"/>
        <v>2.81</v>
      </c>
      <c r="H485" s="3138" t="str">
        <f t="shared" si="14"/>
        <v/>
      </c>
      <c r="I485" s="2786"/>
      <c r="J485" s="2854"/>
      <c r="K485" s="2817"/>
      <c r="L485" s="2817"/>
      <c r="M485" s="2860"/>
      <c r="N485" s="2860"/>
      <c r="O485" s="2860"/>
      <c r="P485" s="2860"/>
      <c r="Q485" s="2860"/>
    </row>
    <row r="486" spans="1:17" ht="15.75">
      <c r="A486" s="3195"/>
      <c r="B486" s="2872"/>
      <c r="C486" s="2791"/>
      <c r="D486" s="3023"/>
      <c r="E486" s="2791"/>
      <c r="F486" s="2842"/>
      <c r="G486" s="2791"/>
      <c r="H486" s="2898"/>
      <c r="I486" s="2797"/>
      <c r="J486" s="2854"/>
      <c r="K486" s="2817"/>
      <c r="L486" s="2817"/>
      <c r="M486" s="2860"/>
      <c r="N486" s="2860"/>
      <c r="O486" s="2860"/>
      <c r="P486" s="2860"/>
      <c r="Q486" s="2860"/>
    </row>
    <row r="487" spans="1:17" ht="15">
      <c r="A487" s="2815" t="s">
        <v>4394</v>
      </c>
      <c r="B487" s="2838"/>
      <c r="C487" s="2797"/>
      <c r="D487" s="2810"/>
      <c r="E487" s="3031"/>
      <c r="F487" s="3022"/>
      <c r="G487" s="2797"/>
      <c r="H487" s="2810"/>
      <c r="I487" s="2786"/>
      <c r="J487" s="2854"/>
      <c r="K487" s="2817"/>
      <c r="L487" s="2817"/>
      <c r="M487" s="2860"/>
      <c r="N487" s="2860"/>
      <c r="O487" s="2860"/>
      <c r="P487" s="2860"/>
      <c r="Q487" s="2860"/>
    </row>
    <row r="488" spans="1:17" ht="15.75">
      <c r="A488" s="3032"/>
      <c r="B488" s="2930"/>
      <c r="C488" s="3142"/>
      <c r="D488" s="3142"/>
      <c r="E488" s="3142"/>
      <c r="F488" s="3142"/>
      <c r="G488" s="3142"/>
      <c r="H488" s="3142"/>
      <c r="I488" s="2786"/>
      <c r="J488" s="2854"/>
      <c r="K488" s="2817"/>
      <c r="L488" s="2817"/>
      <c r="M488" s="2860"/>
      <c r="N488" s="2860"/>
      <c r="O488" s="2860"/>
      <c r="P488" s="2860"/>
      <c r="Q488" s="2860"/>
    </row>
    <row r="489" spans="1:17" ht="15.75">
      <c r="A489" s="2860"/>
      <c r="B489" s="3143"/>
      <c r="C489" s="3144"/>
      <c r="D489" s="3144"/>
      <c r="E489" s="3144"/>
      <c r="F489" s="3144"/>
      <c r="G489" s="3144"/>
      <c r="H489" s="3144"/>
      <c r="I489" s="2786"/>
      <c r="J489" s="2854"/>
      <c r="K489" s="2817"/>
      <c r="L489" s="2817"/>
      <c r="M489" s="2860"/>
      <c r="N489" s="2860"/>
      <c r="O489" s="2860"/>
      <c r="P489" s="2860"/>
      <c r="Q489" s="2860"/>
    </row>
    <row r="490" spans="1:17" ht="15.75">
      <c r="A490" s="2860"/>
      <c r="B490" s="3143"/>
      <c r="C490" s="3144"/>
      <c r="D490" s="3144"/>
      <c r="E490" s="3144"/>
      <c r="F490" s="3144"/>
      <c r="G490" s="3144"/>
      <c r="H490" s="3144"/>
      <c r="I490" s="2786"/>
      <c r="J490" s="2854"/>
      <c r="K490" s="2817"/>
      <c r="L490" s="2817"/>
      <c r="M490" s="2860"/>
      <c r="N490" s="2860"/>
      <c r="O490" s="2860"/>
      <c r="P490" s="2860"/>
      <c r="Q490" s="2860"/>
    </row>
    <row r="491" spans="1:17" ht="15.75">
      <c r="A491" s="2860"/>
      <c r="B491" s="3143"/>
      <c r="C491" s="3144"/>
      <c r="D491" s="3144"/>
      <c r="E491" s="3144"/>
      <c r="F491" s="3144"/>
      <c r="G491" s="3144"/>
      <c r="H491" s="3144"/>
      <c r="I491" s="2786"/>
      <c r="J491" s="2854"/>
      <c r="K491" s="2817"/>
      <c r="L491" s="2817"/>
      <c r="M491" s="2860"/>
      <c r="N491" s="2860"/>
      <c r="O491" s="2860"/>
      <c r="P491" s="2860"/>
      <c r="Q491" s="2860"/>
    </row>
    <row r="492" spans="1:17" ht="15.75">
      <c r="A492" s="2860"/>
      <c r="B492" s="3143"/>
      <c r="C492" s="3144"/>
      <c r="D492" s="3144"/>
      <c r="E492" s="3144"/>
      <c r="F492" s="3144"/>
      <c r="G492" s="3144"/>
      <c r="H492" s="3144"/>
      <c r="I492" s="2786"/>
      <c r="J492" s="2854"/>
      <c r="K492" s="2817"/>
      <c r="L492" s="2817"/>
      <c r="M492" s="2860"/>
      <c r="N492" s="2860"/>
      <c r="O492" s="2860"/>
      <c r="P492" s="2860"/>
      <c r="Q492" s="2860"/>
    </row>
    <row r="493" spans="1:17" ht="15.75">
      <c r="A493" s="2860"/>
      <c r="B493" s="3143"/>
      <c r="C493" s="3144"/>
      <c r="D493" s="3144"/>
      <c r="E493" s="3144"/>
      <c r="F493" s="3144"/>
      <c r="G493" s="3144"/>
      <c r="H493" s="3144"/>
      <c r="I493" s="2786"/>
      <c r="J493" s="2854"/>
      <c r="K493" s="2817"/>
      <c r="L493" s="2817"/>
      <c r="M493" s="2860"/>
      <c r="N493" s="2860"/>
      <c r="O493" s="2860"/>
      <c r="P493" s="2860"/>
      <c r="Q493" s="2860"/>
    </row>
    <row r="494" spans="1:17" ht="15.75">
      <c r="A494" s="2860"/>
      <c r="B494" s="3143"/>
      <c r="C494" s="3144"/>
      <c r="D494" s="3144"/>
      <c r="E494" s="3144"/>
      <c r="F494" s="3144"/>
      <c r="G494" s="3144"/>
      <c r="H494" s="3144"/>
      <c r="I494" s="2786"/>
      <c r="J494" s="2854"/>
      <c r="K494" s="2817"/>
      <c r="L494" s="2817"/>
      <c r="M494" s="2860"/>
      <c r="N494" s="2860"/>
      <c r="O494" s="2860"/>
      <c r="P494" s="2860"/>
      <c r="Q494" s="2860"/>
    </row>
    <row r="495" spans="1:17" ht="15.75">
      <c r="A495" s="2860"/>
      <c r="B495" s="3143"/>
      <c r="C495" s="3144"/>
      <c r="D495" s="3144"/>
      <c r="E495" s="3144"/>
      <c r="F495" s="3144"/>
      <c r="G495" s="3144"/>
      <c r="H495" s="3144"/>
      <c r="I495" s="2786"/>
      <c r="J495" s="2854"/>
      <c r="K495" s="2817"/>
      <c r="L495" s="2817"/>
      <c r="M495" s="2860"/>
      <c r="N495" s="2860"/>
      <c r="O495" s="2860"/>
      <c r="P495" s="2860"/>
      <c r="Q495" s="2860"/>
    </row>
    <row r="496" spans="1:17" ht="15.75">
      <c r="A496" s="2860"/>
      <c r="B496" s="3143"/>
      <c r="C496" s="3144"/>
      <c r="D496" s="3144"/>
      <c r="E496" s="3144"/>
      <c r="F496" s="3144"/>
      <c r="G496" s="3144"/>
      <c r="H496" s="3144"/>
      <c r="I496" s="2786"/>
      <c r="J496" s="2854"/>
      <c r="K496" s="2817"/>
      <c r="L496" s="2817"/>
      <c r="M496" s="2860"/>
      <c r="N496" s="2860"/>
      <c r="O496" s="2860"/>
      <c r="P496" s="2860"/>
      <c r="Q496" s="2860"/>
    </row>
    <row r="497" spans="1:17" ht="15.75">
      <c r="A497" s="2860"/>
      <c r="B497" s="3143"/>
      <c r="C497" s="3144"/>
      <c r="D497" s="3144"/>
      <c r="E497" s="3144"/>
      <c r="F497" s="3144"/>
      <c r="G497" s="3144"/>
      <c r="H497" s="3144"/>
      <c r="I497" s="2786"/>
      <c r="J497" s="2854"/>
      <c r="K497" s="2817"/>
      <c r="L497" s="2817"/>
      <c r="M497" s="2860"/>
      <c r="N497" s="2860"/>
      <c r="O497" s="2860"/>
      <c r="P497" s="2860"/>
      <c r="Q497" s="2860"/>
    </row>
    <row r="498" spans="1:17" ht="15.75">
      <c r="A498" s="2860"/>
      <c r="B498" s="3143"/>
      <c r="C498" s="3144"/>
      <c r="D498" s="3144"/>
      <c r="E498" s="3144"/>
      <c r="F498" s="3144"/>
      <c r="G498" s="3144"/>
      <c r="H498" s="3144"/>
      <c r="I498" s="2786"/>
      <c r="J498" s="2854"/>
      <c r="K498" s="2817"/>
      <c r="L498" s="2817"/>
      <c r="M498" s="2860"/>
      <c r="N498" s="2860"/>
      <c r="O498" s="2860"/>
      <c r="P498" s="2860"/>
      <c r="Q498" s="2860"/>
    </row>
    <row r="499" spans="1:17" ht="15.75">
      <c r="A499" s="2860"/>
      <c r="B499" s="3143"/>
      <c r="C499" s="3144"/>
      <c r="D499" s="3144"/>
      <c r="E499" s="3144"/>
      <c r="F499" s="3144"/>
      <c r="G499" s="3144"/>
      <c r="H499" s="3144"/>
      <c r="I499" s="2786"/>
      <c r="J499" s="2854"/>
      <c r="K499" s="2817"/>
      <c r="L499" s="2817"/>
      <c r="M499" s="2860"/>
      <c r="N499" s="2860"/>
      <c r="O499" s="2860"/>
      <c r="P499" s="2860"/>
      <c r="Q499" s="2860"/>
    </row>
    <row r="500" spans="1:17" ht="15.75">
      <c r="A500" s="2860"/>
      <c r="B500" s="3143"/>
      <c r="C500" s="3144"/>
      <c r="D500" s="3144"/>
      <c r="E500" s="3144"/>
      <c r="F500" s="3144"/>
      <c r="G500" s="3144"/>
      <c r="H500" s="3144"/>
      <c r="I500" s="2786"/>
      <c r="J500" s="2854"/>
      <c r="K500" s="2817"/>
      <c r="L500" s="2817"/>
      <c r="M500" s="2860"/>
      <c r="N500" s="2860"/>
      <c r="O500" s="2860"/>
      <c r="P500" s="2860"/>
      <c r="Q500" s="2860"/>
    </row>
    <row r="501" spans="1:17" ht="15.75">
      <c r="A501" s="2860"/>
      <c r="B501" s="3143"/>
      <c r="C501" s="3144"/>
      <c r="D501" s="3144"/>
      <c r="E501" s="3144"/>
      <c r="F501" s="3144"/>
      <c r="G501" s="3144"/>
      <c r="H501" s="3144"/>
      <c r="I501" s="2786"/>
      <c r="J501" s="2854"/>
      <c r="K501" s="2817"/>
      <c r="L501" s="2817"/>
      <c r="M501" s="2860"/>
      <c r="N501" s="2860"/>
      <c r="O501" s="2860"/>
      <c r="P501" s="2860"/>
      <c r="Q501" s="2860"/>
    </row>
    <row r="502" spans="1:17" ht="15.75">
      <c r="A502" s="2860"/>
      <c r="B502" s="3143"/>
      <c r="C502" s="3144"/>
      <c r="D502" s="3144"/>
      <c r="E502" s="3144"/>
      <c r="F502" s="3144"/>
      <c r="G502" s="3144"/>
      <c r="H502" s="3144"/>
      <c r="I502" s="2786"/>
      <c r="J502" s="2854"/>
      <c r="K502" s="2817"/>
      <c r="L502" s="2817"/>
      <c r="M502" s="2860"/>
      <c r="N502" s="2860"/>
      <c r="O502" s="2860"/>
      <c r="P502" s="2860"/>
      <c r="Q502" s="2860"/>
    </row>
  </sheetData>
  <phoneticPr fontId="214" type="noConversion"/>
  <pageMargins left="0.75" right="0.75" top="1" bottom="1" header="0.51" footer="0.51"/>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I370"/>
  <sheetViews>
    <sheetView workbookViewId="0"/>
  </sheetViews>
  <sheetFormatPr defaultColWidth="9" defaultRowHeight="14.25"/>
  <cols>
    <col min="1" max="1" width="24.5" style="2694" customWidth="1"/>
    <col min="2" max="256" width="9" style="2694"/>
    <col min="257" max="257" width="24.5" style="2694" customWidth="1"/>
    <col min="258" max="512" width="9" style="2694"/>
    <col min="513" max="513" width="24.5" style="2694" customWidth="1"/>
    <col min="514" max="768" width="9" style="2694"/>
    <col min="769" max="769" width="24.5" style="2694" customWidth="1"/>
    <col min="770" max="1024" width="9" style="2694"/>
    <col min="1025" max="1025" width="24.5" style="2694" customWidth="1"/>
    <col min="1026" max="1280" width="9" style="2694"/>
    <col min="1281" max="1281" width="24.5" style="2694" customWidth="1"/>
    <col min="1282" max="1536" width="9" style="2694"/>
    <col min="1537" max="1537" width="24.5" style="2694" customWidth="1"/>
    <col min="1538" max="1792" width="9" style="2694"/>
    <col min="1793" max="1793" width="24.5" style="2694" customWidth="1"/>
    <col min="1794" max="2048" width="9" style="2694"/>
    <col min="2049" max="2049" width="24.5" style="2694" customWidth="1"/>
    <col min="2050" max="2304" width="9" style="2694"/>
    <col min="2305" max="2305" width="24.5" style="2694" customWidth="1"/>
    <col min="2306" max="2560" width="9" style="2694"/>
    <col min="2561" max="2561" width="24.5" style="2694" customWidth="1"/>
    <col min="2562" max="2816" width="9" style="2694"/>
    <col min="2817" max="2817" width="24.5" style="2694" customWidth="1"/>
    <col min="2818" max="3072" width="9" style="2694"/>
    <col min="3073" max="3073" width="24.5" style="2694" customWidth="1"/>
    <col min="3074" max="3328" width="9" style="2694"/>
    <col min="3329" max="3329" width="24.5" style="2694" customWidth="1"/>
    <col min="3330" max="3584" width="9" style="2694"/>
    <col min="3585" max="3585" width="24.5" style="2694" customWidth="1"/>
    <col min="3586" max="3840" width="9" style="2694"/>
    <col min="3841" max="3841" width="24.5" style="2694" customWidth="1"/>
    <col min="3842" max="4096" width="9" style="2694"/>
    <col min="4097" max="4097" width="24.5" style="2694" customWidth="1"/>
    <col min="4098" max="4352" width="9" style="2694"/>
    <col min="4353" max="4353" width="24.5" style="2694" customWidth="1"/>
    <col min="4354" max="4608" width="9" style="2694"/>
    <col min="4609" max="4609" width="24.5" style="2694" customWidth="1"/>
    <col min="4610" max="4864" width="9" style="2694"/>
    <col min="4865" max="4865" width="24.5" style="2694" customWidth="1"/>
    <col min="4866" max="5120" width="9" style="2694"/>
    <col min="5121" max="5121" width="24.5" style="2694" customWidth="1"/>
    <col min="5122" max="5376" width="9" style="2694"/>
    <col min="5377" max="5377" width="24.5" style="2694" customWidth="1"/>
    <col min="5378" max="5632" width="9" style="2694"/>
    <col min="5633" max="5633" width="24.5" style="2694" customWidth="1"/>
    <col min="5634" max="5888" width="9" style="2694"/>
    <col min="5889" max="5889" width="24.5" style="2694" customWidth="1"/>
    <col min="5890" max="6144" width="9" style="2694"/>
    <col min="6145" max="6145" width="24.5" style="2694" customWidth="1"/>
    <col min="6146" max="6400" width="9" style="2694"/>
    <col min="6401" max="6401" width="24.5" style="2694" customWidth="1"/>
    <col min="6402" max="6656" width="9" style="2694"/>
    <col min="6657" max="6657" width="24.5" style="2694" customWidth="1"/>
    <col min="6658" max="6912" width="9" style="2694"/>
    <col min="6913" max="6913" width="24.5" style="2694" customWidth="1"/>
    <col min="6914" max="7168" width="9" style="2694"/>
    <col min="7169" max="7169" width="24.5" style="2694" customWidth="1"/>
    <col min="7170" max="7424" width="9" style="2694"/>
    <col min="7425" max="7425" width="24.5" style="2694" customWidth="1"/>
    <col min="7426" max="7680" width="9" style="2694"/>
    <col min="7681" max="7681" width="24.5" style="2694" customWidth="1"/>
    <col min="7682" max="7936" width="9" style="2694"/>
    <col min="7937" max="7937" width="24.5" style="2694" customWidth="1"/>
    <col min="7938" max="8192" width="9" style="2694"/>
    <col min="8193" max="8193" width="24.5" style="2694" customWidth="1"/>
    <col min="8194" max="8448" width="9" style="2694"/>
    <col min="8449" max="8449" width="24.5" style="2694" customWidth="1"/>
    <col min="8450" max="8704" width="9" style="2694"/>
    <col min="8705" max="8705" width="24.5" style="2694" customWidth="1"/>
    <col min="8706" max="8960" width="9" style="2694"/>
    <col min="8961" max="8961" width="24.5" style="2694" customWidth="1"/>
    <col min="8962" max="9216" width="9" style="2694"/>
    <col min="9217" max="9217" width="24.5" style="2694" customWidth="1"/>
    <col min="9218" max="9472" width="9" style="2694"/>
    <col min="9473" max="9473" width="24.5" style="2694" customWidth="1"/>
    <col min="9474" max="9728" width="9" style="2694"/>
    <col min="9729" max="9729" width="24.5" style="2694" customWidth="1"/>
    <col min="9730" max="9984" width="9" style="2694"/>
    <col min="9985" max="9985" width="24.5" style="2694" customWidth="1"/>
    <col min="9986" max="10240" width="9" style="2694"/>
    <col min="10241" max="10241" width="24.5" style="2694" customWidth="1"/>
    <col min="10242" max="10496" width="9" style="2694"/>
    <col min="10497" max="10497" width="24.5" style="2694" customWidth="1"/>
    <col min="10498" max="10752" width="9" style="2694"/>
    <col min="10753" max="10753" width="24.5" style="2694" customWidth="1"/>
    <col min="10754" max="11008" width="9" style="2694"/>
    <col min="11009" max="11009" width="24.5" style="2694" customWidth="1"/>
    <col min="11010" max="11264" width="9" style="2694"/>
    <col min="11265" max="11265" width="24.5" style="2694" customWidth="1"/>
    <col min="11266" max="11520" width="9" style="2694"/>
    <col min="11521" max="11521" width="24.5" style="2694" customWidth="1"/>
    <col min="11522" max="11776" width="9" style="2694"/>
    <col min="11777" max="11777" width="24.5" style="2694" customWidth="1"/>
    <col min="11778" max="12032" width="9" style="2694"/>
    <col min="12033" max="12033" width="24.5" style="2694" customWidth="1"/>
    <col min="12034" max="12288" width="9" style="2694"/>
    <col min="12289" max="12289" width="24.5" style="2694" customWidth="1"/>
    <col min="12290" max="12544" width="9" style="2694"/>
    <col min="12545" max="12545" width="24.5" style="2694" customWidth="1"/>
    <col min="12546" max="12800" width="9" style="2694"/>
    <col min="12801" max="12801" width="24.5" style="2694" customWidth="1"/>
    <col min="12802" max="13056" width="9" style="2694"/>
    <col min="13057" max="13057" width="24.5" style="2694" customWidth="1"/>
    <col min="13058" max="13312" width="9" style="2694"/>
    <col min="13313" max="13313" width="24.5" style="2694" customWidth="1"/>
    <col min="13314" max="13568" width="9" style="2694"/>
    <col min="13569" max="13569" width="24.5" style="2694" customWidth="1"/>
    <col min="13570" max="13824" width="9" style="2694"/>
    <col min="13825" max="13825" width="24.5" style="2694" customWidth="1"/>
    <col min="13826" max="14080" width="9" style="2694"/>
    <col min="14081" max="14081" width="24.5" style="2694" customWidth="1"/>
    <col min="14082" max="14336" width="9" style="2694"/>
    <col min="14337" max="14337" width="24.5" style="2694" customWidth="1"/>
    <col min="14338" max="14592" width="9" style="2694"/>
    <col min="14593" max="14593" width="24.5" style="2694" customWidth="1"/>
    <col min="14594" max="14848" width="9" style="2694"/>
    <col min="14849" max="14849" width="24.5" style="2694" customWidth="1"/>
    <col min="14850" max="15104" width="9" style="2694"/>
    <col min="15105" max="15105" width="24.5" style="2694" customWidth="1"/>
    <col min="15106" max="15360" width="9" style="2694"/>
    <col min="15361" max="15361" width="24.5" style="2694" customWidth="1"/>
    <col min="15362" max="15616" width="9" style="2694"/>
    <col min="15617" max="15617" width="24.5" style="2694" customWidth="1"/>
    <col min="15618" max="15872" width="9" style="2694"/>
    <col min="15873" max="15873" width="24.5" style="2694" customWidth="1"/>
    <col min="15874" max="16128" width="9" style="2694"/>
    <col min="16129" max="16129" width="24.5" style="2694" customWidth="1"/>
    <col min="16130" max="16384" width="9" style="2694"/>
  </cols>
  <sheetData>
    <row r="1" spans="1:9" ht="24">
      <c r="A1" s="2768" t="s">
        <v>4395</v>
      </c>
      <c r="B1" s="3036"/>
      <c r="C1" s="2768"/>
      <c r="D1" s="2769"/>
      <c r="E1" s="2770"/>
      <c r="F1" s="2770" t="s">
        <v>2794</v>
      </c>
      <c r="G1" s="3037">
        <v>12</v>
      </c>
      <c r="H1" s="2998"/>
      <c r="I1" s="3074"/>
    </row>
    <row r="2" spans="1:9" ht="24">
      <c r="A2" s="2771" t="s">
        <v>4396</v>
      </c>
      <c r="B2" s="3036"/>
      <c r="C2" s="2769"/>
      <c r="D2" s="2769"/>
      <c r="E2" s="2769"/>
      <c r="F2" s="2769"/>
      <c r="G2" s="2769"/>
      <c r="H2" s="2769"/>
      <c r="I2" s="2860"/>
    </row>
    <row r="3" spans="1:9" ht="24">
      <c r="A3" s="3038" t="s">
        <v>4397</v>
      </c>
      <c r="B3" s="3036"/>
      <c r="C3" s="2769"/>
      <c r="D3" s="2769"/>
      <c r="E3" s="2769"/>
      <c r="F3" s="2769"/>
      <c r="G3" s="2769"/>
      <c r="H3" s="2769"/>
      <c r="I3" s="2860"/>
    </row>
    <row r="4" spans="1:9" ht="24">
      <c r="A4" s="2771" t="s">
        <v>4398</v>
      </c>
      <c r="B4" s="3036"/>
      <c r="C4" s="2769"/>
      <c r="D4" s="2769"/>
      <c r="E4" s="2769"/>
      <c r="F4" s="2769"/>
      <c r="G4" s="2769"/>
      <c r="H4" s="2769"/>
      <c r="I4" s="2860"/>
    </row>
    <row r="5" spans="1:9" ht="24">
      <c r="A5" s="2773"/>
      <c r="B5" s="3039"/>
      <c r="C5" s="2774"/>
      <c r="D5" s="2780"/>
      <c r="E5" s="2775" t="s">
        <v>4399</v>
      </c>
      <c r="F5" s="2780"/>
      <c r="G5" s="2780"/>
      <c r="H5" s="3040"/>
      <c r="I5" s="2885"/>
    </row>
    <row r="6" spans="1:9" ht="24">
      <c r="A6" s="2776" t="s">
        <v>2802</v>
      </c>
      <c r="B6" s="3036"/>
      <c r="C6" s="2769"/>
      <c r="D6" s="2769"/>
      <c r="E6" s="2769"/>
      <c r="F6" s="3041"/>
      <c r="G6" s="3040"/>
      <c r="H6" s="3040"/>
      <c r="I6" s="2885"/>
    </row>
    <row r="7" spans="1:9" ht="24">
      <c r="A7" s="2776" t="s">
        <v>2803</v>
      </c>
      <c r="B7" s="3036"/>
      <c r="C7" s="3042"/>
      <c r="D7" s="2769"/>
      <c r="E7" s="2769"/>
      <c r="F7" s="3041"/>
      <c r="G7" s="3041"/>
      <c r="H7" s="3040"/>
      <c r="I7" s="2885"/>
    </row>
    <row r="8" spans="1:9" ht="15.75">
      <c r="A8" s="2770" t="s">
        <v>2804</v>
      </c>
      <c r="B8" s="3043" t="s">
        <v>4400</v>
      </c>
      <c r="C8" s="2903"/>
      <c r="D8" s="2812" t="s">
        <v>4401</v>
      </c>
      <c r="E8" s="2814">
        <v>10026</v>
      </c>
      <c r="F8" s="3044"/>
      <c r="G8" s="3011"/>
      <c r="H8" s="2785"/>
      <c r="I8" s="2885"/>
    </row>
    <row r="9" spans="1:9" ht="15.75">
      <c r="A9" s="2770" t="s">
        <v>2806</v>
      </c>
      <c r="B9" s="3045">
        <v>30201</v>
      </c>
      <c r="C9" s="2903"/>
      <c r="D9" s="2812"/>
      <c r="E9" s="3046"/>
      <c r="F9" s="2800"/>
      <c r="G9" s="3011"/>
      <c r="H9" s="2785"/>
      <c r="I9" s="3075"/>
    </row>
    <row r="10" spans="1:9" ht="15.75">
      <c r="A10" s="2790" t="s">
        <v>3282</v>
      </c>
      <c r="B10" s="3047"/>
      <c r="C10" s="2791"/>
      <c r="D10" s="2964" t="s">
        <v>4402</v>
      </c>
      <c r="E10" s="3048">
        <v>2002.03</v>
      </c>
      <c r="F10" s="2794"/>
      <c r="G10" s="2791"/>
      <c r="H10" s="2785"/>
      <c r="I10" s="2885"/>
    </row>
    <row r="11" spans="1:9" ht="15.75">
      <c r="A11" s="2813" t="s">
        <v>4403</v>
      </c>
      <c r="B11" s="3049" t="str">
        <f>IF(C11="L","左旋",IF(C11="R","右旋","直齿"))</f>
        <v>直齿</v>
      </c>
      <c r="C11" s="2782"/>
      <c r="D11" s="2815" t="str">
        <f>IF(OR(C11="",C11="L",C11="R"),"","错误！")</f>
        <v/>
      </c>
      <c r="E11" s="2802" t="s">
        <v>2812</v>
      </c>
      <c r="F11" s="2800"/>
      <c r="G11" s="2797"/>
      <c r="H11" s="2785"/>
      <c r="I11" s="2885"/>
    </row>
    <row r="12" spans="1:9" ht="15.75">
      <c r="A12" s="2813" t="s">
        <v>4404</v>
      </c>
      <c r="B12" s="2806" t="s">
        <v>4405</v>
      </c>
      <c r="C12" s="2787">
        <v>21</v>
      </c>
      <c r="D12" s="2844"/>
      <c r="E12" s="2833"/>
      <c r="F12" s="2800"/>
      <c r="G12" s="2797"/>
      <c r="H12" s="2785"/>
      <c r="I12" s="2885"/>
    </row>
    <row r="13" spans="1:9" ht="15.75">
      <c r="A13" s="2803"/>
      <c r="B13" s="2806" t="s">
        <v>4406</v>
      </c>
      <c r="C13" s="2814">
        <v>59</v>
      </c>
      <c r="D13" s="2802" t="str">
        <f>IF(C13="","注：如未知，则默认 Z2 = Z1","")</f>
        <v/>
      </c>
      <c r="E13" s="2833"/>
      <c r="F13" s="2800"/>
      <c r="G13" s="2797"/>
      <c r="H13" s="2785"/>
      <c r="I13" s="2885"/>
    </row>
    <row r="14" spans="1:9" ht="15.75">
      <c r="A14" s="2813"/>
      <c r="B14" s="2831"/>
      <c r="C14" s="3050">
        <f>IF(C13=0,C12,C13)</f>
        <v>59</v>
      </c>
      <c r="D14" s="2808"/>
      <c r="E14" s="2833"/>
      <c r="F14" s="2800"/>
      <c r="G14" s="2797"/>
      <c r="H14" s="2785"/>
      <c r="I14" s="2885"/>
    </row>
    <row r="15" spans="1:9" ht="15.75">
      <c r="A15" s="2813" t="s">
        <v>4407</v>
      </c>
      <c r="B15" s="2806" t="s">
        <v>2819</v>
      </c>
      <c r="C15" s="2787">
        <v>7</v>
      </c>
      <c r="D15" s="2810" t="s">
        <v>2820</v>
      </c>
      <c r="E15" s="2833"/>
      <c r="F15" s="2800"/>
      <c r="G15" s="2809"/>
      <c r="H15" s="2785"/>
      <c r="I15" s="2885"/>
    </row>
    <row r="16" spans="1:9" ht="15">
      <c r="A16" s="2813" t="s">
        <v>4408</v>
      </c>
      <c r="B16" s="2813" t="s">
        <v>2822</v>
      </c>
      <c r="C16" s="2787"/>
      <c r="D16" s="2808" t="str">
        <f>IF(C16="","注：如不输入，则默认 αn = 20 度","度")</f>
        <v>注：如不输入，则默认 αn = 20 度</v>
      </c>
      <c r="E16" s="2803"/>
      <c r="F16" s="2797"/>
      <c r="G16" s="2808"/>
      <c r="H16" s="2810"/>
      <c r="I16" s="2807"/>
    </row>
    <row r="17" spans="1:9" ht="15">
      <c r="A17" s="2813" t="s">
        <v>2823</v>
      </c>
      <c r="B17" s="2813" t="s">
        <v>2824</v>
      </c>
      <c r="C17" s="2787"/>
      <c r="D17" s="2821" t="str">
        <f>IF(AND(C11&lt;&gt;"",C17=0),"输入螺旋角！",IF(AND(C11="",C17&lt;&gt;0),"错误！","度"))</f>
        <v>度</v>
      </c>
      <c r="E17" s="2814"/>
      <c r="F17" s="2810" t="s">
        <v>2825</v>
      </c>
      <c r="G17" s="2814"/>
      <c r="H17" s="2810" t="s">
        <v>2826</v>
      </c>
      <c r="I17" s="2808" t="s">
        <v>2827</v>
      </c>
    </row>
    <row r="18" spans="1:9" ht="15.75">
      <c r="A18" s="2813"/>
      <c r="B18" s="2806"/>
      <c r="C18" s="3051">
        <f>C17+E17/60+G17/3600</f>
        <v>0</v>
      </c>
      <c r="D18" s="2937" t="s">
        <v>257</v>
      </c>
      <c r="E18" s="2936"/>
      <c r="F18" s="2937"/>
      <c r="G18" s="3052"/>
      <c r="H18" s="2821"/>
      <c r="I18" s="2807"/>
    </row>
    <row r="19" spans="1:9" ht="15.75">
      <c r="A19" s="2813" t="s">
        <v>4409</v>
      </c>
      <c r="B19" s="2806" t="s">
        <v>2534</v>
      </c>
      <c r="C19" s="2811">
        <v>50</v>
      </c>
      <c r="D19" s="2810" t="s">
        <v>2820</v>
      </c>
      <c r="E19" s="2858"/>
      <c r="F19" s="2807"/>
      <c r="G19" s="3052"/>
      <c r="H19" s="2821"/>
      <c r="I19" s="2807"/>
    </row>
    <row r="20" spans="1:9" ht="15.75">
      <c r="A20" s="2813" t="s">
        <v>4410</v>
      </c>
      <c r="B20" s="2806" t="s">
        <v>2831</v>
      </c>
      <c r="C20" s="2787"/>
      <c r="D20" s="2808" t="s">
        <v>4411</v>
      </c>
      <c r="E20" s="2858"/>
      <c r="F20" s="2807"/>
      <c r="G20" s="3052"/>
      <c r="H20" s="2821"/>
      <c r="I20" s="2807"/>
    </row>
    <row r="21" spans="1:9" ht="15.75">
      <c r="A21" s="2786"/>
      <c r="B21" s="2831"/>
      <c r="C21" s="2832">
        <f>IF(C20="",1,C20)</f>
        <v>1</v>
      </c>
      <c r="D21" s="2808"/>
      <c r="E21" s="2802"/>
      <c r="F21" s="2808"/>
      <c r="G21" s="2808"/>
      <c r="H21" s="2817"/>
      <c r="I21" s="2891"/>
    </row>
    <row r="22" spans="1:9" ht="15.75">
      <c r="A22" s="2813" t="s">
        <v>3292</v>
      </c>
      <c r="B22" s="2806" t="s">
        <v>2834</v>
      </c>
      <c r="C22" s="2787"/>
      <c r="D22" s="2808"/>
      <c r="E22" s="2857"/>
      <c r="F22" s="2807"/>
      <c r="G22" s="2808"/>
      <c r="H22" s="2817"/>
      <c r="I22" s="2860"/>
    </row>
    <row r="23" spans="1:9" ht="15.75">
      <c r="A23" s="2803" t="s">
        <v>4412</v>
      </c>
      <c r="B23" s="2801" t="s">
        <v>4413</v>
      </c>
      <c r="C23" s="2814"/>
      <c r="D23" s="2808" t="s">
        <v>4414</v>
      </c>
      <c r="E23" s="2857"/>
      <c r="F23" s="2807"/>
      <c r="G23" s="2808"/>
      <c r="H23" s="2817"/>
      <c r="I23" s="2860"/>
    </row>
    <row r="24" spans="1:9" ht="15.75">
      <c r="A24" s="2797"/>
      <c r="B24" s="2801"/>
      <c r="C24" s="2835">
        <f>IF(C23="",2.25,C23)</f>
        <v>2.25</v>
      </c>
      <c r="D24" s="2808"/>
      <c r="E24" s="2857"/>
      <c r="F24" s="2807"/>
      <c r="G24" s="2808"/>
      <c r="H24" s="2817"/>
      <c r="I24" s="2860"/>
    </row>
    <row r="25" spans="1:9" ht="15.75">
      <c r="A25" s="2803" t="s">
        <v>4415</v>
      </c>
      <c r="B25" s="2801" t="s">
        <v>2836</v>
      </c>
      <c r="C25" s="2882">
        <f>C24-2*C21</f>
        <v>0.25</v>
      </c>
      <c r="D25" s="2808"/>
      <c r="E25" s="2857"/>
      <c r="F25" s="2807"/>
      <c r="G25" s="2809"/>
      <c r="H25" s="2817"/>
      <c r="I25" s="2860"/>
    </row>
    <row r="26" spans="1:9" ht="15.75">
      <c r="A26" s="2817" t="s">
        <v>3297</v>
      </c>
      <c r="B26" s="2801" t="s">
        <v>2852</v>
      </c>
      <c r="C26" s="2811"/>
      <c r="D26" s="2808"/>
      <c r="E26" s="2857"/>
      <c r="F26" s="2807"/>
      <c r="G26" s="2809"/>
      <c r="H26" s="2817"/>
      <c r="I26" s="2860"/>
    </row>
    <row r="27" spans="1:9" ht="15.75">
      <c r="A27" s="3053" t="str">
        <f>IF(C26&lt;&gt;"","","或      法 向 变 位 系 数")</f>
        <v>或      法 向 变 位 系 数</v>
      </c>
      <c r="B27" s="2801" t="str">
        <f>IF(C26&lt;&gt;"","","xn")</f>
        <v>xn</v>
      </c>
      <c r="C27" s="3037">
        <v>0.5</v>
      </c>
      <c r="D27" s="2821" t="str">
        <f>IF(AND(C26&lt;&gt;"",C27&lt;&gt;""),"取消！","")</f>
        <v/>
      </c>
      <c r="E27" s="2844">
        <f>IF(C26&lt;&gt;"",C26,C27*COS(C118))</f>
        <v>0.5</v>
      </c>
      <c r="F27" s="3054" t="s">
        <v>4146</v>
      </c>
      <c r="G27" s="2809"/>
      <c r="H27" s="2817"/>
      <c r="I27" s="2860"/>
    </row>
    <row r="28" spans="1:9" ht="15.75">
      <c r="A28" s="2813" t="s">
        <v>4416</v>
      </c>
      <c r="B28" s="2831" t="s">
        <v>4417</v>
      </c>
      <c r="C28" s="2819">
        <f>ROUND(C133,3)</f>
        <v>280</v>
      </c>
      <c r="D28" s="2810" t="s">
        <v>2820</v>
      </c>
      <c r="E28" s="2802" t="str">
        <f>IF(C13="","注：按 Z2 = Z1 计算","")</f>
        <v/>
      </c>
      <c r="F28" s="2807"/>
      <c r="G28" s="2809"/>
      <c r="H28" s="2817"/>
      <c r="I28" s="2860"/>
    </row>
    <row r="29" spans="1:9" ht="15.75">
      <c r="A29" s="2813" t="s">
        <v>4418</v>
      </c>
      <c r="B29" s="2806"/>
      <c r="C29" s="2814"/>
      <c r="D29" s="2808" t="str">
        <f>IF(C29="","注：如未知，则默认标准中心距","毫米")</f>
        <v>注：如未知，则默认标准中心距</v>
      </c>
      <c r="E29" s="2857"/>
      <c r="F29" s="2807"/>
      <c r="G29" s="2809"/>
      <c r="H29" s="2817"/>
      <c r="I29" s="2860"/>
    </row>
    <row r="30" spans="1:9" ht="15.75">
      <c r="A30" s="2896"/>
      <c r="B30" s="2872"/>
      <c r="C30" s="3019"/>
      <c r="D30" s="2897"/>
      <c r="E30" s="2864"/>
      <c r="F30" s="2963"/>
      <c r="G30" s="2955"/>
      <c r="H30" s="2817"/>
      <c r="I30" s="2860"/>
    </row>
    <row r="31" spans="1:9" ht="15.75">
      <c r="A31" s="2921" t="s">
        <v>2906</v>
      </c>
      <c r="B31" s="2908"/>
      <c r="C31" s="3055"/>
      <c r="D31" s="2810"/>
      <c r="E31" s="2905"/>
      <c r="F31" s="2810"/>
      <c r="G31" s="2786"/>
      <c r="H31" s="2810"/>
      <c r="I31" s="2818"/>
    </row>
    <row r="32" spans="1:9" ht="15.75">
      <c r="A32" s="2976" t="s">
        <v>4419</v>
      </c>
      <c r="B32" s="2908"/>
      <c r="C32" s="3056" t="str">
        <f>D167</f>
        <v>不发生干涉</v>
      </c>
      <c r="D32" s="2808" t="str">
        <f>IF(C13="","注:按传动比为1","")</f>
        <v/>
      </c>
      <c r="E32" s="2905"/>
      <c r="F32" s="2810"/>
      <c r="G32" s="2786"/>
      <c r="H32" s="2810"/>
      <c r="I32" s="2818"/>
    </row>
    <row r="33" spans="1:9" ht="15.75">
      <c r="A33" s="2896" t="s">
        <v>4420</v>
      </c>
      <c r="B33" s="3057"/>
      <c r="C33" s="3058" t="str">
        <f>D165</f>
        <v>不根切</v>
      </c>
      <c r="D33" s="2926"/>
      <c r="E33" s="2920"/>
      <c r="F33" s="3059"/>
      <c r="G33" s="2866"/>
      <c r="H33" s="2911"/>
      <c r="I33" s="2900"/>
    </row>
    <row r="34" spans="1:9" ht="15">
      <c r="A34" s="3060" t="s">
        <v>4421</v>
      </c>
      <c r="B34" s="3061"/>
      <c r="C34" s="3056" t="str">
        <f>IF(AND(C35="*",D35="*",E35="*"),"无标准插齿刀可选！","")</f>
        <v/>
      </c>
      <c r="D34" s="2904"/>
      <c r="E34" s="2905"/>
      <c r="F34" s="3062"/>
      <c r="G34" s="2797"/>
      <c r="H34" s="2911"/>
      <c r="I34" s="2900"/>
    </row>
    <row r="35" spans="1:9" ht="15">
      <c r="A35" s="2947" t="str">
        <f>IF(C18&lt;&gt;0,"","可供选择的标准插齿刀公称分度圆直径")</f>
        <v>可供选择的标准插齿刀公称分度圆直径</v>
      </c>
      <c r="B35" s="3061"/>
      <c r="C35" s="3063" t="str">
        <f>IF(AND(C18=0,C21=1,C24=2.25,OR(C15=1,C15=1.25,C15=1.5,C15=1.75,C15=2,C15=2.25,C15=2.5,C15=2.75,C15=3,C15=3.25,C15=3.5,C15=3.75,C15=4)),75,"*")</f>
        <v>*</v>
      </c>
      <c r="D35" s="3064" t="str">
        <f>IF(AND(C18=0,C21=1,C24=2.25,OR(C15=1,C15=1.25,C15=1.5,C15=1.75,C15=2,C15=2.25,C15=2.5,C15=2.75,C15=3,C15=3.25,C15=3.5,C15=3.75,C15=4,C15=4.5,C15=5,C15=5.5,C15=6)),100,"*")</f>
        <v>*</v>
      </c>
      <c r="E35" s="3064">
        <f>IF(AND(C18=0,C21=1,C24=2.25,OR(C15=4,C15=4.5,C15=5,C15=5.5,C15=6,C15=6.5,C15=7,C15=8)),125,"*")</f>
        <v>125</v>
      </c>
      <c r="F35" s="2810" t="str">
        <f>IF(OR(C18&lt;&gt;0,C37=0),"","毫米")</f>
        <v>毫米</v>
      </c>
      <c r="G35" s="2797"/>
      <c r="H35" s="2911"/>
      <c r="I35" s="2900"/>
    </row>
    <row r="36" spans="1:9" ht="15.75">
      <c r="A36" s="3065" t="str">
        <f>IF(AND(C18=0,OR(C35&lt;&gt;"*",D35&lt;&gt;"*",E35&lt;&gt;"*")),"参照上面选取标准插齿刀公称分度圆直径","")</f>
        <v>参照上面选取标准插齿刀公称分度圆直径</v>
      </c>
      <c r="B36" s="2855"/>
      <c r="C36" s="2814"/>
      <c r="D36" s="2810" t="str">
        <f>IF(C36="","","毫米")</f>
        <v/>
      </c>
      <c r="E36" s="2808" t="str">
        <f>IF(AND(C18=0,OR(C35&lt;&gt;"*",D35&lt;&gt;"*",E35&lt;&gt;"*"),C36=""),"注：如不输入，则默认上面较小的直径。",IF(AND(C35="*",D35="*",E35="*",C36&lt;&gt;""),"取消！",""))</f>
        <v>注：如不输入，则默认上面较小的直径。</v>
      </c>
      <c r="F36" s="2810"/>
      <c r="G36" s="2797"/>
      <c r="H36" s="2911"/>
      <c r="I36" s="2900"/>
    </row>
    <row r="37" spans="1:9" ht="15.75">
      <c r="A37" s="2797"/>
      <c r="B37" s="2801"/>
      <c r="C37" s="2809">
        <f>IF(AND(C36=0,C35&lt;&gt;"*"),C35,IF(AND(C36=0,C35="*",D35&lt;&gt;"*"),D35,E35))</f>
        <v>125</v>
      </c>
      <c r="D37" s="2808"/>
      <c r="E37" s="2797"/>
      <c r="F37" s="2797"/>
      <c r="G37" s="3011"/>
      <c r="H37" s="2911"/>
      <c r="I37" s="2900"/>
    </row>
    <row r="38" spans="1:9" ht="15.75">
      <c r="A38" s="2818" t="s">
        <v>4422</v>
      </c>
      <c r="B38" s="2831" t="s">
        <v>2926</v>
      </c>
      <c r="C38" s="2819">
        <f>IF(C34="无标准插齿刀可选！","",C170)</f>
        <v>0</v>
      </c>
      <c r="D38" s="2808"/>
      <c r="E38" s="2797"/>
      <c r="F38" s="2797"/>
      <c r="G38" s="3011"/>
      <c r="H38" s="2911"/>
      <c r="I38" s="2900"/>
    </row>
    <row r="39" spans="1:9" ht="15.75">
      <c r="A39" s="2797" t="s">
        <v>2913</v>
      </c>
      <c r="B39" s="2806" t="s">
        <v>4423</v>
      </c>
      <c r="C39" s="2819">
        <f>IF(C34="无标准插齿刀可选！","",C177)</f>
        <v>0</v>
      </c>
      <c r="D39" s="2808"/>
      <c r="E39" s="2797"/>
      <c r="F39" s="2797"/>
      <c r="G39" s="3011"/>
      <c r="H39" s="2911"/>
      <c r="I39" s="2900"/>
    </row>
    <row r="40" spans="1:9" ht="15.75">
      <c r="A40" s="2797" t="s">
        <v>2927</v>
      </c>
      <c r="B40" s="2813" t="s">
        <v>4424</v>
      </c>
      <c r="C40" s="2819">
        <f>IF(C34="无标准插齿刀可选！","",6)</f>
        <v>6</v>
      </c>
      <c r="D40" s="2810" t="str">
        <f>IF(C40="","","度")</f>
        <v>度</v>
      </c>
      <c r="E40" s="2797"/>
      <c r="F40" s="2797"/>
      <c r="G40" s="3011"/>
      <c r="H40" s="2911"/>
      <c r="I40" s="2900"/>
    </row>
    <row r="41" spans="1:9" ht="15.75">
      <c r="A41" s="2803" t="s">
        <v>4425</v>
      </c>
      <c r="B41" s="2801"/>
      <c r="C41" s="2819">
        <f>IF(C34="无标准插齿刀可选！","",C173)</f>
        <v>0</v>
      </c>
      <c r="D41" s="2810" t="str">
        <f t="shared" ref="D41:D43" si="0">IF(C41="","","毫米")</f>
        <v>毫米</v>
      </c>
      <c r="E41" s="2797"/>
      <c r="F41" s="2797"/>
      <c r="G41" s="3011"/>
      <c r="H41" s="2911"/>
      <c r="I41" s="2900"/>
    </row>
    <row r="42" spans="1:9" ht="15.75">
      <c r="A42" s="2803" t="s">
        <v>3117</v>
      </c>
      <c r="B42" s="2801"/>
      <c r="C42" s="2819">
        <f>IF(C34="无标准插齿刀可选！","",D172)</f>
        <v>0</v>
      </c>
      <c r="D42" s="2810" t="str">
        <f t="shared" si="0"/>
        <v>毫米</v>
      </c>
      <c r="E42" s="2797"/>
      <c r="F42" s="2797"/>
      <c r="G42" s="3011"/>
      <c r="H42" s="2911"/>
      <c r="I42" s="2900"/>
    </row>
    <row r="43" spans="1:9" ht="15.75">
      <c r="A43" s="2858" t="s">
        <v>2931</v>
      </c>
      <c r="B43" s="2855" t="s">
        <v>4426</v>
      </c>
      <c r="C43" s="2814"/>
      <c r="D43" s="2810" t="str">
        <f t="shared" si="0"/>
        <v/>
      </c>
      <c r="E43" s="2808" t="str">
        <f>IF(C34="无标准插齿刀可选！","",IF(C43="","注：如不输入，则默认新插齿刀顶圆直径。",""))</f>
        <v>注：如不输入，则默认新插齿刀顶圆直径。</v>
      </c>
      <c r="F43" s="2797"/>
      <c r="G43" s="3011"/>
      <c r="H43" s="2911"/>
      <c r="I43" s="2900"/>
    </row>
    <row r="44" spans="1:9" ht="15.75">
      <c r="A44" s="2858"/>
      <c r="B44" s="2801"/>
      <c r="C44" s="2809">
        <f>IF(C43="",C42,C43)</f>
        <v>0</v>
      </c>
      <c r="D44" s="2810"/>
      <c r="E44" s="2808"/>
      <c r="F44" s="2797"/>
      <c r="G44" s="3011"/>
      <c r="H44" s="2911"/>
      <c r="I44" s="2900"/>
    </row>
    <row r="45" spans="1:9" ht="15.75">
      <c r="A45" s="2976" t="s">
        <v>3132</v>
      </c>
      <c r="B45" s="2855" t="s">
        <v>4427</v>
      </c>
      <c r="C45" s="2819">
        <f>IF(C34="无标准插齿刀可选！","",ROUND(C171,2))</f>
        <v>0</v>
      </c>
      <c r="D45" s="2810" t="str">
        <f>IF(C45="","","毫米")</f>
        <v>毫米</v>
      </c>
      <c r="E45" s="2808" t="str">
        <f>IF(C45="","",IF(C45&lt;0,"注:在原始截面后",IF(C45&gt;0,"注:在原始截面后","注:在原始截面上")))</f>
        <v>注:在原始截面上</v>
      </c>
      <c r="F45" s="2797"/>
      <c r="G45" s="3011"/>
      <c r="H45" s="2911"/>
      <c r="I45" s="2900"/>
    </row>
    <row r="46" spans="1:9" ht="15">
      <c r="A46" s="2810"/>
      <c r="B46" s="2913" t="str">
        <f>IF(OR(C18&lt;&gt;0,C37=0),"",IF(ROUND(C49,4)&lt;&gt;ROUND(C48,4),"单变量求解计算：",""))</f>
        <v>单变量求解计算：</v>
      </c>
      <c r="C46" s="2914"/>
      <c r="D46" s="2810"/>
      <c r="E46" s="2808"/>
      <c r="F46" s="2808"/>
      <c r="G46" s="3011"/>
      <c r="H46" s="2810"/>
      <c r="I46" s="2808"/>
    </row>
    <row r="47" spans="1:9" ht="15">
      <c r="A47" s="2803"/>
      <c r="B47" s="2915" t="str">
        <f>IF(OR(C18&lt;&gt;0,C37=0),"",IF(ROUND(C49,4)&lt;&gt;ROUND(C48,4),"可变格",""))</f>
        <v>可变格</v>
      </c>
      <c r="C47" s="2825">
        <v>0.41854139805012303</v>
      </c>
      <c r="D47" s="2810"/>
      <c r="E47" s="2808"/>
      <c r="F47" s="2807"/>
      <c r="G47" s="2809"/>
      <c r="H47" s="2810"/>
      <c r="I47" s="2808"/>
    </row>
    <row r="48" spans="1:9" ht="15">
      <c r="A48" s="2803"/>
      <c r="B48" s="2915" t="str">
        <f>IF(OR(C18&lt;&gt;0,C37=0),"",IF(ROUND(C49,4)&lt;&gt;ROUND(C48,4),"目标格",""))</f>
        <v>目标格</v>
      </c>
      <c r="C48" s="2826">
        <f>TAN(C47)-C47-C178</f>
        <v>-5.9535005832605402E-3</v>
      </c>
      <c r="D48" s="2810"/>
      <c r="E48" s="2808"/>
      <c r="F48" s="2807"/>
      <c r="G48" s="2809"/>
      <c r="H48" s="2810"/>
      <c r="I48" s="2808"/>
    </row>
    <row r="49" spans="1:9" ht="15">
      <c r="A49" s="2857"/>
      <c r="B49" s="3066" t="str">
        <f>IF(OR(C18&lt;&gt;0,C37=0),"",IF(ROUND(C49,4)&lt;&gt;ROUND(C48,4),"目标值",""))</f>
        <v>目标值</v>
      </c>
      <c r="C49" s="2919">
        <f>IF(OR(C18&lt;&gt;0,C37=0),"",0)</f>
        <v>0</v>
      </c>
      <c r="D49" s="2810"/>
      <c r="E49" s="2808"/>
      <c r="F49" s="2807"/>
      <c r="G49" s="3067"/>
      <c r="H49" s="2810"/>
      <c r="I49" s="2808"/>
    </row>
    <row r="50" spans="1:9" ht="15.75">
      <c r="A50" s="2803" t="s">
        <v>4428</v>
      </c>
      <c r="B50" s="2908"/>
      <c r="C50" s="3056" t="str">
        <f>IF(C34="无标准插齿刀可选！","",IF(B46&lt;&gt;"","",D188))</f>
        <v/>
      </c>
      <c r="D50" s="2904"/>
      <c r="E50" s="2808"/>
      <c r="F50" s="3068"/>
      <c r="G50" s="2821"/>
      <c r="H50" s="2821"/>
      <c r="I50" s="2900"/>
    </row>
    <row r="51" spans="1:9" ht="15.75">
      <c r="A51" s="2803" t="s">
        <v>4429</v>
      </c>
      <c r="B51" s="2908"/>
      <c r="C51" s="3056" t="str">
        <f>IF(C34="无标准插齿刀可选！","",IF(B46&lt;&gt;"","",D187))</f>
        <v/>
      </c>
      <c r="D51" s="2904"/>
      <c r="E51" s="2808"/>
      <c r="F51" s="3068"/>
      <c r="G51" s="2821"/>
      <c r="H51" s="2821"/>
      <c r="I51" s="2900"/>
    </row>
    <row r="52" spans="1:9" ht="15.75">
      <c r="A52" s="3069" t="s">
        <v>4419</v>
      </c>
      <c r="B52" s="3057"/>
      <c r="C52" s="3058" t="str">
        <f>IF(C34="无标准插齿刀可选！","",IF(B46&lt;&gt;"","",D186))</f>
        <v/>
      </c>
      <c r="D52" s="2897" t="str">
        <f>IF(OR(C18&lt;&gt;0,C37=0),"",IF(C13="","注:按传动比为1",""))</f>
        <v/>
      </c>
      <c r="E52" s="2897"/>
      <c r="F52" s="3070"/>
      <c r="G52" s="2866"/>
      <c r="H52" s="2821"/>
      <c r="I52" s="2900"/>
    </row>
    <row r="53" spans="1:9" ht="15.75">
      <c r="A53" s="2921" t="s">
        <v>2924</v>
      </c>
      <c r="B53" s="2908"/>
      <c r="C53" s="2924"/>
      <c r="D53" s="2808"/>
      <c r="E53" s="2808"/>
      <c r="F53" s="3068"/>
      <c r="G53" s="2821"/>
      <c r="H53" s="2821"/>
      <c r="I53" s="2900"/>
    </row>
    <row r="54" spans="1:9" ht="15.75">
      <c r="A54" s="2818" t="s">
        <v>2925</v>
      </c>
      <c r="B54" s="2831" t="s">
        <v>2926</v>
      </c>
      <c r="C54" s="2811">
        <v>20</v>
      </c>
      <c r="D54" s="2808"/>
      <c r="E54" s="2808"/>
      <c r="F54" s="2813"/>
      <c r="G54" s="2821"/>
      <c r="H54" s="2821"/>
      <c r="I54" s="2900"/>
    </row>
    <row r="55" spans="1:9" ht="15.75">
      <c r="A55" s="2797" t="s">
        <v>2913</v>
      </c>
      <c r="B55" s="2806" t="s">
        <v>4430</v>
      </c>
      <c r="C55" s="3071">
        <v>1.3</v>
      </c>
      <c r="D55" s="2808"/>
      <c r="E55" s="2808" t="str">
        <f>IF(AND(C54&lt;&gt;"",C55=""),"注：如不输入，则默认工件齿根高系数。","")</f>
        <v/>
      </c>
      <c r="F55" s="2813"/>
      <c r="G55" s="2821"/>
      <c r="H55" s="2821"/>
      <c r="I55" s="2900"/>
    </row>
    <row r="56" spans="1:9" ht="15.75">
      <c r="A56" s="2797" t="s">
        <v>2927</v>
      </c>
      <c r="B56" s="2813" t="s">
        <v>4424</v>
      </c>
      <c r="C56" s="3072"/>
      <c r="D56" s="2808"/>
      <c r="E56" s="2808" t="str">
        <f>IF(AND(C54&lt;&gt;"",C56=""),"注：如不输入，则默认 6 度。","")</f>
        <v>注：如不输入，则默认 6 度。</v>
      </c>
      <c r="F56" s="3068"/>
      <c r="G56" s="2821"/>
      <c r="H56" s="2821"/>
      <c r="I56" s="2900"/>
    </row>
    <row r="57" spans="1:9">
      <c r="A57" s="2803" t="s">
        <v>4425</v>
      </c>
      <c r="B57" s="2813"/>
      <c r="C57" s="2819">
        <f>IF(C54="","",ROUND(C196,3))</f>
        <v>158.19999999999999</v>
      </c>
      <c r="D57" s="2810" t="str">
        <f t="shared" ref="D57:D59" si="1">IF(C57="","","毫米")</f>
        <v>毫米</v>
      </c>
      <c r="E57" s="2808"/>
      <c r="F57" s="3068"/>
      <c r="G57" s="2821"/>
      <c r="H57" s="2821"/>
      <c r="I57" s="2900"/>
    </row>
    <row r="58" spans="1:9" ht="15.75">
      <c r="A58" s="2803" t="s">
        <v>3371</v>
      </c>
      <c r="B58" s="2855" t="s">
        <v>4426</v>
      </c>
      <c r="C58" s="2814">
        <v>160</v>
      </c>
      <c r="D58" s="2810" t="str">
        <f t="shared" si="1"/>
        <v>毫米</v>
      </c>
      <c r="E58" s="2808" t="str">
        <f>IF(AND(C54&lt;&gt;"",C58=""),"注：如不输入，则默认基本截面顶圆直径。","")</f>
        <v/>
      </c>
      <c r="F58" s="3068"/>
      <c r="G58" s="2821"/>
      <c r="H58" s="2821"/>
      <c r="I58" s="2900"/>
    </row>
    <row r="59" spans="1:9" ht="15.75">
      <c r="A59" s="2976" t="s">
        <v>3132</v>
      </c>
      <c r="B59" s="2855" t="s">
        <v>4427</v>
      </c>
      <c r="C59" s="2819">
        <f>IF(C54="","",ROUND((C197-C57)/2/TAN(C194),2))</f>
        <v>8.56</v>
      </c>
      <c r="D59" s="2810" t="str">
        <f t="shared" si="1"/>
        <v>毫米</v>
      </c>
      <c r="E59" s="2808" t="str">
        <f>IF(C59="","",IF(C59&lt;0,"注:在原始截面后",IF(C59&gt;0,"注:在原始截面后","注:在原始截面上")))</f>
        <v>注:在原始截面后</v>
      </c>
      <c r="F59" s="3068"/>
      <c r="G59" s="2821"/>
      <c r="H59" s="2821"/>
      <c r="I59" s="2900"/>
    </row>
    <row r="60" spans="1:9" ht="15.75">
      <c r="A60" s="2797" t="s">
        <v>4431</v>
      </c>
      <c r="B60" s="2813" t="s">
        <v>4432</v>
      </c>
      <c r="C60" s="2819">
        <f>IF(C54="","",C18)</f>
        <v>0</v>
      </c>
      <c r="D60" s="2810" t="str">
        <f>IF(C60="","","度")</f>
        <v>度</v>
      </c>
      <c r="E60" s="3073" t="str">
        <f>IF(C60="","",IF(C11="L","右  旋",IF(C11="R","左  旋","直  齿")))</f>
        <v>直  齿</v>
      </c>
      <c r="F60" s="3068"/>
      <c r="G60" s="2821"/>
      <c r="H60" s="2821"/>
      <c r="I60" s="2900"/>
    </row>
    <row r="61" spans="1:9" ht="15">
      <c r="A61" s="2810"/>
      <c r="B61" s="2913" t="str">
        <f>IF(C54=0,"",IF(ROUND(C64,4)&lt;&gt;ROUND(C63,4),"单变量求解计算：",""))</f>
        <v/>
      </c>
      <c r="C61" s="2914"/>
      <c r="D61" s="2808"/>
      <c r="E61" s="2808"/>
      <c r="F61" s="3068"/>
      <c r="G61" s="2821"/>
      <c r="H61" s="2821"/>
      <c r="I61" s="2900"/>
    </row>
    <row r="62" spans="1:9" ht="15">
      <c r="A62" s="2803"/>
      <c r="B62" s="2915" t="str">
        <f>IF(C54=0,"",IF(ROUND(C64,4)&lt;&gt;ROUND(C63,4),"可变格",""))</f>
        <v/>
      </c>
      <c r="C62" s="2825">
        <v>0.41743057444780901</v>
      </c>
      <c r="D62" s="2808"/>
      <c r="E62" s="2808"/>
      <c r="F62" s="3068"/>
      <c r="G62" s="2821"/>
      <c r="H62" s="2821"/>
      <c r="I62" s="2900"/>
    </row>
    <row r="63" spans="1:9" ht="15">
      <c r="A63" s="2803"/>
      <c r="B63" s="2915" t="str">
        <f>IF(C54=0,"",IF(ROUND(C64,4)&lt;&gt;ROUND(C63,4),"目标格",""))</f>
        <v/>
      </c>
      <c r="C63" s="2826">
        <f>TAN(C62)-C62-C201</f>
        <v>-7.4948897053894703E-9</v>
      </c>
      <c r="D63" s="2808"/>
      <c r="E63" s="2808"/>
      <c r="F63" s="3068"/>
      <c r="G63" s="2821"/>
      <c r="H63" s="2821"/>
      <c r="I63" s="2900"/>
    </row>
    <row r="64" spans="1:9" ht="15">
      <c r="A64" s="2857"/>
      <c r="B64" s="3066" t="str">
        <f>IF(C54=0,"",IF(ROUND(C64,4)&lt;&gt;ROUND(C63,4),"目标值",""))</f>
        <v/>
      </c>
      <c r="C64" s="2919">
        <f>IF(C54=0,"",0)</f>
        <v>0</v>
      </c>
      <c r="D64" s="2808"/>
      <c r="E64" s="2808"/>
      <c r="F64" s="3068"/>
      <c r="G64" s="2821"/>
      <c r="H64" s="2821"/>
      <c r="I64" s="2900"/>
    </row>
    <row r="65" spans="1:9" ht="15.75">
      <c r="A65" s="2803" t="s">
        <v>4428</v>
      </c>
      <c r="B65" s="2908"/>
      <c r="C65" s="2924" t="str">
        <f>IF(OR(C54="",B61&lt;&gt;""),"",D211)</f>
        <v>不根切</v>
      </c>
      <c r="D65" s="2808"/>
      <c r="E65" s="2808"/>
      <c r="F65" s="3068"/>
      <c r="G65" s="2821"/>
      <c r="H65" s="2821"/>
      <c r="I65" s="2900"/>
    </row>
    <row r="66" spans="1:9" ht="15.75">
      <c r="A66" s="2803" t="s">
        <v>4429</v>
      </c>
      <c r="B66" s="2908"/>
      <c r="C66" s="2924" t="str">
        <f>IF(OR(C54="",B61&lt;&gt;""),"",D210)</f>
        <v>不发生顶切</v>
      </c>
      <c r="D66" s="2808"/>
      <c r="E66" s="2808"/>
      <c r="F66" s="3068"/>
      <c r="G66" s="2821"/>
      <c r="H66" s="2821"/>
      <c r="I66" s="2900"/>
    </row>
    <row r="67" spans="1:9" ht="15.75">
      <c r="A67" s="2976" t="s">
        <v>4419</v>
      </c>
      <c r="B67" s="2908"/>
      <c r="C67" s="2924" t="str">
        <f>IF(OR(C54="",B61&lt;&gt;""),"",D209)</f>
        <v>不发生干涉</v>
      </c>
      <c r="D67" s="2808"/>
      <c r="E67" s="2808"/>
      <c r="F67" s="3068"/>
      <c r="G67" s="2821"/>
      <c r="H67" s="2821"/>
      <c r="I67" s="2900"/>
    </row>
    <row r="68" spans="1:9" ht="15.75">
      <c r="A68" s="3069"/>
      <c r="B68" s="3057"/>
      <c r="C68" s="3058"/>
      <c r="D68" s="2897"/>
      <c r="E68" s="2897"/>
      <c r="F68" s="3070"/>
      <c r="G68" s="2866"/>
      <c r="H68" s="2821"/>
      <c r="I68" s="2900"/>
    </row>
    <row r="69" spans="1:9" ht="15">
      <c r="A69" s="3060" t="s">
        <v>4433</v>
      </c>
      <c r="B69" s="3061"/>
      <c r="C69" s="2939" t="str">
        <f>IF(AND(D71="*",E71="*",G71="*"),"无标准剃齿刀可选！","")</f>
        <v/>
      </c>
      <c r="D69" s="2904"/>
      <c r="E69" s="2905"/>
      <c r="F69" s="3062"/>
      <c r="G69" s="2797"/>
      <c r="H69" s="2911"/>
      <c r="I69" s="2900"/>
    </row>
    <row r="70" spans="1:9" ht="15">
      <c r="A70" s="3060" t="s">
        <v>4434</v>
      </c>
      <c r="B70" s="3061"/>
      <c r="C70" s="2939"/>
      <c r="D70" s="2904"/>
      <c r="E70" s="2905"/>
      <c r="F70" s="3062"/>
      <c r="G70" s="2797"/>
      <c r="H70" s="2911"/>
      <c r="I70" s="2900"/>
    </row>
    <row r="71" spans="1:9" ht="15.75">
      <c r="A71" s="2947" t="s">
        <v>4435</v>
      </c>
      <c r="B71" s="2855"/>
      <c r="C71" s="3056" t="str">
        <f>IF(AND(D71="*",E71="*",G71="*"),"","按后面显示的数据选取")</f>
        <v>按后面显示的数据选取</v>
      </c>
      <c r="D71" s="2935" t="str">
        <f>IF(OR(C15=1,C15=1.25,C15=1.5),85,"*")</f>
        <v>*</v>
      </c>
      <c r="E71" s="3076" t="str">
        <f>IF(OR(C15=1.25,C15=1.5,C15=1.75,C15=2,C15=2.25,C15=2.5,C15=2.75,C15=3,C15=3.25,C15=3.5,C15=3.75,C15=4,C15=4.5,C15=5,C15=5.5,C15=6),180,"*")</f>
        <v>*</v>
      </c>
      <c r="F71" s="3077"/>
      <c r="G71" s="3078">
        <f>IF(OR(C15=2,C15=2.25,C15=2.5,C15=2.75,C15=3,C15=3.25,C15=3.5,C15=3.75,C15=4,C15=4.5,C15=5,C15=5.5,C15=6,C15=6.5,C15=7,C15=8),240,"*")</f>
        <v>240</v>
      </c>
      <c r="H71" s="3079"/>
      <c r="I71" s="2810" t="str">
        <f>IF(AND(D71="*",E71="",G71=""),"","毫米")</f>
        <v>毫米</v>
      </c>
    </row>
    <row r="72" spans="1:9" ht="15.75">
      <c r="A72" s="3065" t="str">
        <f>IF(C71="无标准剃齿刀可选！","","可选择的标准剃齿刀分度圆柱螺旋角")</f>
        <v>可选择的标准剃齿刀分度圆柱螺旋角</v>
      </c>
      <c r="B72" s="2806"/>
      <c r="C72" s="3056" t="str">
        <f>IF(C71="","",IF(AND(D72="*",E72="*",F72="*",G72="*",H72="*"),"无标准剃齿刀可选！","按后面显示的数据选取"))</f>
        <v>按后面显示的数据选取</v>
      </c>
      <c r="D72" s="2935" t="str">
        <f>IF(OR(D71="*",AND(C18+10&gt;15,ABS(C18-10)&lt;=5)),"*",IF(AND(C18+10&lt;=15,C18+10&gt;5),10,IF(AND(C18-10&lt;=15,C18-10&gt;5),-10,"*")))</f>
        <v>*</v>
      </c>
      <c r="E72" s="3076" t="str">
        <f>IF(OR(E71="*",AND(C18+5&gt;15,ABS(C18-5)&lt;=5)),"*",IF(C18=0,5,IF(AND(C18+5&lt;=15,C18+5&gt;5),5,IF(AND(C18-5&lt;=15,C18-5&gt;5),-5,"*"))))</f>
        <v>*</v>
      </c>
      <c r="F72" s="3076" t="str">
        <f>IF(OR(E71="*",AND(C18+15&gt;15,ABS(C18-15)&lt;=5)),"*",IF(C18=0,15,IF(AND(C18+15&lt;=15,C18+15&gt;5),15,IF(AND(C18-15&lt;=15,C18-15&gt;5),-15,"*"))))</f>
        <v>*</v>
      </c>
      <c r="G72" s="3078">
        <f>IF(OR(G71="*",AND(C18+5&gt;15,ABS(C18-5)&lt;=5)),"*",IF(C18=0,5,IF(AND(C18+5&lt;=15,C18+5&gt;5),5,IF(AND(C18-5&lt;=15,C18-5&gt;5),-5,"*"))))</f>
        <v>5</v>
      </c>
      <c r="H72" s="3078">
        <f>IF(OR(G71="*",AND(C18+15&gt;15,ABS(C18-15)&lt;=5)),"*",IF(C18=0,15,IF(AND(C18+15&lt;=15,C18+15&gt;5),15,IF(AND(C18-15&lt;=15,C18-15&gt;5),-15,"*"))))</f>
        <v>15</v>
      </c>
      <c r="I72" s="2810" t="str">
        <f>IF(AND(D72="*",E72="",F72="",G72="",H72=""),"","度")</f>
        <v>度</v>
      </c>
    </row>
    <row r="73" spans="1:9" ht="15.75">
      <c r="A73" s="2858"/>
      <c r="B73" s="2806"/>
      <c r="C73" s="2843"/>
      <c r="D73" s="2935"/>
      <c r="E73" s="3076" t="str">
        <f>IF(AND(E71&lt;&gt;"*",C18=0),-5,"")</f>
        <v/>
      </c>
      <c r="F73" s="3076" t="str">
        <f>IF(AND(E71&lt;&gt;"*",C18=0),-15,"")</f>
        <v/>
      </c>
      <c r="G73" s="3078">
        <f>IF(AND(G71&lt;&gt;"*",C18=0),-5,"")</f>
        <v>-5</v>
      </c>
      <c r="H73" s="3078">
        <f>IF(AND(G71&lt;&gt;"*",C18=0),-15,"")</f>
        <v>-15</v>
      </c>
      <c r="I73" s="2810" t="str">
        <f>IF(AND(E73="",F73="",G73="",H73=""),"","度")</f>
        <v>度</v>
      </c>
    </row>
    <row r="74" spans="1:9" ht="15.75">
      <c r="A74" s="2857" t="str">
        <f>IF(C71="无标准剃齿刀可选！","","标准剃齿刀公称分度圆直径")</f>
        <v>标准剃齿刀公称分度圆直径</v>
      </c>
      <c r="B74" s="2855" t="str">
        <f>IF(C71="无标准剃齿刀可选！","","d0")</f>
        <v>d0</v>
      </c>
      <c r="C74" s="2811">
        <v>240</v>
      </c>
      <c r="D74" s="2810" t="s">
        <v>2820</v>
      </c>
      <c r="E74" s="2808"/>
      <c r="F74" s="2797"/>
      <c r="G74" s="2797"/>
      <c r="H74" s="2810"/>
      <c r="I74" s="2900"/>
    </row>
    <row r="75" spans="1:9" ht="15">
      <c r="A75" s="2858" t="s">
        <v>4436</v>
      </c>
      <c r="B75" s="2813" t="s">
        <v>4432</v>
      </c>
      <c r="C75" s="2834">
        <v>-15</v>
      </c>
      <c r="D75" s="2810" t="s">
        <v>257</v>
      </c>
      <c r="E75" s="3073" t="str">
        <f>IF(OR(C69="无标准剃齿刀可选！",C74="",C75=""),"",IF(C75=0,"直齿",IF(AND(C11="",C75&gt;0),"左旋或右旋",IF(AND(C11="",C75&lt;0),"左旋或右旋",IF(AND(C11="L",C75&gt;0),"左旋",IF(AND(C11="L",C75&lt;0),"右旋",IF(AND(C11="R",C75&gt;0),"右旋","左旋")))))))</f>
        <v>左旋或右旋</v>
      </c>
      <c r="F75" s="2797"/>
      <c r="G75" s="2797"/>
      <c r="H75" s="2810"/>
      <c r="I75" s="2900"/>
    </row>
    <row r="76" spans="1:9" ht="15.75">
      <c r="A76" s="2803" t="str">
        <f>IF(C74="","","标准剃齿刀齿数")</f>
        <v>标准剃齿刀齿数</v>
      </c>
      <c r="B76" s="2855" t="s">
        <v>4437</v>
      </c>
      <c r="C76" s="2819">
        <f>IF(C74="","",IF(C222="*","",C222))</f>
        <v>0</v>
      </c>
      <c r="D76" s="2810"/>
      <c r="E76" s="2905"/>
      <c r="F76" s="2797"/>
      <c r="G76" s="2797"/>
      <c r="H76" s="2810"/>
      <c r="I76" s="2900"/>
    </row>
    <row r="77" spans="1:9" ht="15.75">
      <c r="A77" s="2857" t="s">
        <v>4438</v>
      </c>
      <c r="B77" s="2806" t="s">
        <v>2855</v>
      </c>
      <c r="C77" s="2882">
        <f>IF(C74="","",IF(C222="*","",C217))</f>
        <v>0</v>
      </c>
      <c r="D77" s="2810" t="str">
        <f>IF(C74="","","毫米")</f>
        <v>毫米</v>
      </c>
      <c r="E77" s="2808"/>
      <c r="F77" s="2797"/>
      <c r="G77" s="2797"/>
      <c r="H77" s="2810"/>
      <c r="I77" s="2808"/>
    </row>
    <row r="78" spans="1:9" ht="15.75">
      <c r="A78" s="2858" t="s">
        <v>4439</v>
      </c>
      <c r="B78" s="2806"/>
      <c r="C78" s="3037">
        <v>245</v>
      </c>
      <c r="D78" s="2810" t="s">
        <v>2820</v>
      </c>
      <c r="E78" s="2808"/>
      <c r="F78" s="2797"/>
      <c r="G78" s="2797"/>
      <c r="H78" s="2810"/>
      <c r="I78" s="2808"/>
    </row>
    <row r="79" spans="1:9" ht="15.75">
      <c r="A79" s="2807" t="s">
        <v>4440</v>
      </c>
      <c r="B79" s="2806" t="s">
        <v>4441</v>
      </c>
      <c r="C79" s="2882">
        <f>IF(C74="","",IF(C222="*","",C219))</f>
        <v>0</v>
      </c>
      <c r="D79" s="2810" t="str">
        <f>IF(C74="","","毫米")</f>
        <v>毫米</v>
      </c>
      <c r="E79" s="2808"/>
      <c r="F79" s="2797"/>
      <c r="G79" s="2797"/>
      <c r="H79" s="2810"/>
      <c r="I79" s="2808"/>
    </row>
    <row r="80" spans="1:9" ht="15.75">
      <c r="A80" s="2857" t="s">
        <v>4442</v>
      </c>
      <c r="B80" s="2806"/>
      <c r="C80" s="3037">
        <v>12.9</v>
      </c>
      <c r="D80" s="2810" t="s">
        <v>2820</v>
      </c>
      <c r="E80" s="2808" t="str">
        <f>IF(OR(C69="无标准剃齿刀可选！",C74="",B81&lt;&gt;""),"",IF(C80="","注：如不输入,则默认新剃齿刀参数。",""))</f>
        <v/>
      </c>
      <c r="F80" s="2797"/>
      <c r="G80" s="2797"/>
      <c r="H80" s="2810"/>
      <c r="I80" s="2808"/>
    </row>
    <row r="81" spans="1:9" ht="15">
      <c r="A81" s="2858"/>
      <c r="B81" s="2913" t="str">
        <f>IF(OR(C69="无标准剃齿刀可选！",C74=""),"",IF(ROUND(C84,4)&lt;&gt;ROUND(C83,4),"单变量求解计算：",""))</f>
        <v>单变量求解计算：</v>
      </c>
      <c r="C81" s="2914"/>
      <c r="D81" s="2810"/>
      <c r="E81" s="2808"/>
      <c r="F81" s="2808"/>
      <c r="G81" s="3011"/>
      <c r="H81" s="2810"/>
      <c r="I81" s="2808"/>
    </row>
    <row r="82" spans="1:9" ht="15">
      <c r="A82" s="2858"/>
      <c r="B82" s="2915" t="str">
        <f>IF(OR(C69="无标准剃齿刀可选！",C74=""),"",IF(ROUND(C84,4)&lt;&gt;ROUND(C83,4),"可变格",""))</f>
        <v>可变格</v>
      </c>
      <c r="C82" s="2825">
        <v>0.41946329849960601</v>
      </c>
      <c r="D82" s="2810"/>
      <c r="E82" s="2808"/>
      <c r="F82" s="2807"/>
      <c r="G82" s="2809"/>
      <c r="H82" s="2810"/>
      <c r="I82" s="2808"/>
    </row>
    <row r="83" spans="1:9" ht="15">
      <c r="A83" s="2858"/>
      <c r="B83" s="2915" t="str">
        <f>IF(OR(C69="无标准剃齿刀可选！",C74=""),"",IF(ROUND(C84,4)&lt;&gt;ROUND(C83,4),"目标格",""))</f>
        <v>目标格</v>
      </c>
      <c r="C83" s="2826">
        <f>TAN(C82)-C82-(C237-C222/C12*(TAN(ASIN(SIN(C82)*COS(C120))/COS(C232))-(ASIN(SIN(C82)*COS(C120))/COS(C232))))</f>
        <v>-1.87259090576153E-2</v>
      </c>
      <c r="D83" s="2810"/>
      <c r="E83" s="2808"/>
      <c r="F83" s="2807"/>
      <c r="G83" s="2809"/>
      <c r="H83" s="2810"/>
      <c r="I83" s="2808"/>
    </row>
    <row r="84" spans="1:9" ht="15">
      <c r="A84" s="2858"/>
      <c r="B84" s="3066" t="str">
        <f>IF(OR(C69="无标准剃齿刀可选！",C74=""),"",IF(ROUND(C84,4)&lt;&gt;ROUND(C83,4),"目标值",""))</f>
        <v>目标值</v>
      </c>
      <c r="C84" s="2919">
        <f>0</f>
        <v>0</v>
      </c>
      <c r="D84" s="2810"/>
      <c r="E84" s="2808"/>
      <c r="F84" s="2807"/>
      <c r="G84" s="3067"/>
      <c r="H84" s="2810"/>
      <c r="I84" s="2808"/>
    </row>
    <row r="85" spans="1:9" ht="15.75">
      <c r="A85" s="2858" t="s">
        <v>4443</v>
      </c>
      <c r="B85" s="2806" t="s">
        <v>4444</v>
      </c>
      <c r="C85" s="2882" t="str">
        <f>IF(OR(C69="无标准剃齿刀可选！",C74="",B81&lt;&gt;""),"",ROUND(C244,2))</f>
        <v/>
      </c>
      <c r="D85" s="2810" t="s">
        <v>2820</v>
      </c>
      <c r="E85" s="2808"/>
      <c r="F85" s="2797"/>
      <c r="G85" s="2797"/>
      <c r="H85" s="2810"/>
      <c r="I85" s="2808"/>
    </row>
    <row r="86" spans="1:9" ht="15.75">
      <c r="A86" s="2858" t="s">
        <v>4445</v>
      </c>
      <c r="B86" s="2813" t="s">
        <v>4446</v>
      </c>
      <c r="C86" s="2882" t="str">
        <f>IF(OR(C69="无标准剃齿刀可选！",C74="",B81&lt;&gt;""),"",F251)</f>
        <v/>
      </c>
      <c r="D86" s="2810" t="s">
        <v>2938</v>
      </c>
      <c r="E86" s="2821" t="str">
        <f>IF(OR(C69="无标准剃齿刀可选！",C74="",B81&lt;&gt;""),"",D251)</f>
        <v/>
      </c>
      <c r="F86" s="3068"/>
      <c r="G86" s="2821"/>
      <c r="H86" s="2911"/>
      <c r="I86" s="2900"/>
    </row>
    <row r="87" spans="1:9" ht="15.75">
      <c r="A87" s="2803" t="s">
        <v>4447</v>
      </c>
      <c r="B87" s="2806"/>
      <c r="C87" s="2882" t="str">
        <f>IF(OR(C69="无标准剃齿刀可选！",C74="",B81&lt;&gt;""),"",E75)</f>
        <v/>
      </c>
      <c r="D87" s="2810"/>
      <c r="E87" s="2821"/>
      <c r="F87" s="3068"/>
      <c r="G87" s="2821"/>
      <c r="H87" s="2817"/>
      <c r="I87" s="2900"/>
    </row>
    <row r="88" spans="1:9" ht="15.75">
      <c r="A88" s="2803" t="s">
        <v>4448</v>
      </c>
      <c r="B88" s="2806" t="s">
        <v>4449</v>
      </c>
      <c r="C88" s="3080" t="str">
        <f>IF(OR(C69="无标准剃齿刀可选！",C74="",B81&lt;&gt;""),"",ROUND(C250,2))</f>
        <v/>
      </c>
      <c r="D88" s="2810"/>
      <c r="E88" s="2821" t="str">
        <f>IF(OR(C69="无标准剃齿刀可选！",C74="",B81&lt;&gt;""),"",D250)</f>
        <v/>
      </c>
      <c r="F88" s="3068"/>
      <c r="G88" s="2821"/>
      <c r="H88" s="2806"/>
      <c r="I88" s="2900"/>
    </row>
    <row r="89" spans="1:9" ht="15">
      <c r="A89" s="2807" t="s">
        <v>4450</v>
      </c>
      <c r="B89" s="2813" t="s">
        <v>4451</v>
      </c>
      <c r="C89" s="3080" t="str">
        <f>IF(OR(C69="无标准剃齿刀可选！",C74="",B81&lt;&gt;""),"",ROUND(C249,2))</f>
        <v/>
      </c>
      <c r="D89" s="2821"/>
      <c r="E89" s="2821" t="str">
        <f>IF(OR(C69="无标准剃齿刀可选！",C74="",B81&lt;&gt;""),"",D249)</f>
        <v/>
      </c>
      <c r="F89" s="3068"/>
      <c r="G89" s="2821"/>
      <c r="H89" s="2813"/>
      <c r="I89" s="2900"/>
    </row>
    <row r="90" spans="1:9" ht="15.75">
      <c r="A90" s="2807" t="s">
        <v>4452</v>
      </c>
      <c r="B90" s="2797" t="s">
        <v>4453</v>
      </c>
      <c r="C90" s="3080" t="str">
        <f>IF(OR(C69="无标准剃齿刀可选！",C74="",B81&lt;&gt;""),"",ROUND(C252,2))</f>
        <v/>
      </c>
      <c r="D90" s="2821"/>
      <c r="E90" s="2821" t="str">
        <f>IF(OR(C69="无标准剃齿刀可选！",C74="",B81&lt;&gt;""),"",D252)</f>
        <v/>
      </c>
      <c r="F90" s="3068"/>
      <c r="G90" s="2821"/>
      <c r="H90" s="2813"/>
      <c r="I90" s="2900"/>
    </row>
    <row r="91" spans="1:9" ht="15.75">
      <c r="A91" s="2947" t="s">
        <v>4454</v>
      </c>
      <c r="B91" s="2908"/>
      <c r="C91" s="2939"/>
      <c r="D91" s="2953"/>
      <c r="E91" s="2848"/>
      <c r="F91" s="3062"/>
      <c r="G91" s="2797"/>
      <c r="H91" s="2911"/>
      <c r="I91" s="2900"/>
    </row>
    <row r="92" spans="1:9" ht="15.75">
      <c r="A92" s="2857" t="s">
        <v>4455</v>
      </c>
      <c r="B92" s="2855"/>
      <c r="C92" s="3037">
        <v>200</v>
      </c>
      <c r="D92" s="2810" t="s">
        <v>2820</v>
      </c>
      <c r="E92" s="2848"/>
      <c r="F92" s="2797"/>
      <c r="G92" s="3011"/>
      <c r="H92" s="2810"/>
      <c r="I92" s="2900"/>
    </row>
    <row r="93" spans="1:9" ht="15">
      <c r="A93" s="2857" t="s">
        <v>4456</v>
      </c>
      <c r="B93" s="3081" t="s">
        <v>4457</v>
      </c>
      <c r="C93" s="2819" t="str">
        <f>IF(OR(C69="无标准剃齿刀可选！",C74="",B81&lt;&gt;"",C92=""),"",IF(C92&lt;=C150,0,ROUND(C260,2)))</f>
        <v/>
      </c>
      <c r="D93" s="2810" t="s">
        <v>2820</v>
      </c>
      <c r="E93" s="2848"/>
      <c r="F93" s="2912"/>
      <c r="G93" s="2797"/>
      <c r="H93" s="2810"/>
      <c r="I93" s="2900"/>
    </row>
    <row r="94" spans="1:9" ht="15">
      <c r="A94" s="2864"/>
      <c r="B94" s="3082"/>
      <c r="C94" s="2791"/>
      <c r="D94" s="2842"/>
      <c r="E94" s="2920"/>
      <c r="F94" s="2917"/>
      <c r="G94" s="2791"/>
      <c r="H94" s="2810"/>
      <c r="I94" s="2900"/>
    </row>
    <row r="95" spans="1:9" ht="15">
      <c r="A95" s="3060" t="s">
        <v>4458</v>
      </c>
      <c r="B95" s="3081"/>
      <c r="C95" s="2797"/>
      <c r="D95" s="2810"/>
      <c r="E95" s="2848"/>
      <c r="F95" s="2912"/>
      <c r="G95" s="2797"/>
      <c r="H95" s="2810"/>
      <c r="I95" s="2900"/>
    </row>
    <row r="96" spans="1:9" ht="15.75">
      <c r="A96" s="2858" t="s">
        <v>4459</v>
      </c>
      <c r="B96" s="2806" t="s">
        <v>2926</v>
      </c>
      <c r="C96" s="2811">
        <v>31</v>
      </c>
      <c r="D96" s="2810" t="s">
        <v>2820</v>
      </c>
      <c r="E96" s="2848"/>
      <c r="F96" s="2912"/>
      <c r="G96" s="2797"/>
      <c r="H96" s="2810"/>
      <c r="I96" s="2900"/>
    </row>
    <row r="97" spans="1:9" ht="15">
      <c r="A97" s="2858" t="s">
        <v>4436</v>
      </c>
      <c r="B97" s="2813" t="s">
        <v>4432</v>
      </c>
      <c r="C97" s="2787">
        <v>-15</v>
      </c>
      <c r="D97" s="2810" t="s">
        <v>257</v>
      </c>
      <c r="E97" s="3073" t="str">
        <f>IF(C97=0,"直齿",IF(C97="","",IF(AND(C11="",C97&gt;0),"左旋或右旋",IF(AND(C11="",C97&lt;0),"左旋或右旋",IF(AND(C11="L",C97&gt;0),"左旋",IF(AND(C11="L",C97&lt;0),"右旋",IF(AND(C11="R",C97&gt;0),"右旋","左旋")))))))</f>
        <v>左旋或右旋</v>
      </c>
      <c r="F97" s="2912"/>
      <c r="G97" s="2797"/>
      <c r="H97" s="2810"/>
      <c r="I97" s="2900"/>
    </row>
    <row r="98" spans="1:9" ht="15.75">
      <c r="A98" s="2858" t="s">
        <v>4460</v>
      </c>
      <c r="B98" s="2806" t="s">
        <v>2855</v>
      </c>
      <c r="C98" s="2787">
        <v>245</v>
      </c>
      <c r="D98" s="2810" t="s">
        <v>2820</v>
      </c>
      <c r="E98" s="2848"/>
      <c r="F98" s="2912"/>
      <c r="G98" s="2797"/>
      <c r="H98" s="2810"/>
      <c r="I98" s="2900"/>
    </row>
    <row r="99" spans="1:9" ht="15.75">
      <c r="A99" s="2857" t="s">
        <v>4461</v>
      </c>
      <c r="B99" s="2806" t="s">
        <v>4441</v>
      </c>
      <c r="C99" s="2814">
        <v>12.9</v>
      </c>
      <c r="D99" s="2810" t="s">
        <v>2820</v>
      </c>
      <c r="E99" s="2848"/>
      <c r="F99" s="2912"/>
      <c r="G99" s="2797"/>
      <c r="H99" s="2810"/>
      <c r="I99" s="2900"/>
    </row>
    <row r="100" spans="1:9" ht="15">
      <c r="A100" s="2858"/>
      <c r="B100" s="2913" t="str">
        <f>IF(C96="","",IF(ROUND(C103,4)&lt;&gt;ROUND(C102,4),"单变量求解计算：",""))</f>
        <v/>
      </c>
      <c r="C100" s="2914"/>
      <c r="D100" s="2810"/>
      <c r="E100" s="2848"/>
      <c r="F100" s="2912"/>
      <c r="G100" s="2797"/>
      <c r="H100" s="2810"/>
      <c r="I100" s="2900"/>
    </row>
    <row r="101" spans="1:9" ht="15">
      <c r="A101" s="2858"/>
      <c r="B101" s="2915" t="str">
        <f>IF(C96="","",IF(ROUND(C103,4)&lt;&gt;ROUND(C102,4),"可变格",""))</f>
        <v/>
      </c>
      <c r="C101" s="2825">
        <v>0.41946329849956998</v>
      </c>
      <c r="D101" s="2810"/>
      <c r="E101" s="2848"/>
      <c r="F101" s="2912"/>
      <c r="G101" s="2797"/>
      <c r="H101" s="2810"/>
      <c r="I101" s="2900"/>
    </row>
    <row r="102" spans="1:9" ht="15">
      <c r="A102" s="2858"/>
      <c r="B102" s="2915" t="str">
        <f>IF(C96="","",IF(ROUND(C103,4)&lt;&gt;ROUND(C102,4),"目标格",""))</f>
        <v/>
      </c>
      <c r="C102" s="2826">
        <f>TAN(C101)-C101-(G237-G222/C12*(TAN(ASIN(SIN(C101)*COS(C120))/COS(G232))-(ASIN(SIN(C101)*COS(C120))/COS(G232))))</f>
        <v>8.9922430283884104E-7</v>
      </c>
      <c r="D102" s="2810"/>
      <c r="E102" s="2848"/>
      <c r="F102" s="2912"/>
      <c r="G102" s="2797"/>
      <c r="H102" s="2810"/>
      <c r="I102" s="2900"/>
    </row>
    <row r="103" spans="1:9" ht="15">
      <c r="A103" s="2858"/>
      <c r="B103" s="3066" t="str">
        <f>IF(C96="","",IF(ROUND(C103,4)&lt;&gt;ROUND(C102,4),"目标值",""))</f>
        <v/>
      </c>
      <c r="C103" s="2919">
        <f>0</f>
        <v>0</v>
      </c>
      <c r="D103" s="2810"/>
      <c r="E103" s="2848"/>
      <c r="F103" s="2912"/>
      <c r="G103" s="2797"/>
      <c r="H103" s="2810"/>
      <c r="I103" s="2900"/>
    </row>
    <row r="104" spans="1:9" ht="15.75">
      <c r="A104" s="2858" t="s">
        <v>4443</v>
      </c>
      <c r="B104" s="2806" t="s">
        <v>4444</v>
      </c>
      <c r="C104" s="2882">
        <f>IF(OR(C96="",B100&lt;&gt;""),"",ROUND(G244,2))</f>
        <v>191.44</v>
      </c>
      <c r="D104" s="2810" t="s">
        <v>2820</v>
      </c>
      <c r="E104" s="2848"/>
      <c r="F104" s="2912"/>
      <c r="G104" s="2797"/>
      <c r="H104" s="2810"/>
      <c r="I104" s="2900"/>
    </row>
    <row r="105" spans="1:9" ht="15.75">
      <c r="A105" s="2858" t="s">
        <v>4445</v>
      </c>
      <c r="B105" s="2813" t="s">
        <v>4446</v>
      </c>
      <c r="C105" s="2882">
        <f>IF(OR(C96="",B100&lt;&gt;""),"",J251)</f>
        <v>0</v>
      </c>
      <c r="D105" s="2810" t="s">
        <v>2938</v>
      </c>
      <c r="E105" s="2821" t="str">
        <f>IF(B100&lt;&gt;"","",H251)</f>
        <v>符合要求</v>
      </c>
      <c r="F105" s="2912"/>
      <c r="G105" s="2797"/>
      <c r="H105" s="2810"/>
      <c r="I105" s="2900"/>
    </row>
    <row r="106" spans="1:9" ht="15.75">
      <c r="A106" s="2803" t="s">
        <v>4447</v>
      </c>
      <c r="B106" s="2806"/>
      <c r="C106" s="2882" t="str">
        <f>IF(OR(C96="",B100&lt;&gt;""),"",E97)</f>
        <v>左旋或右旋</v>
      </c>
      <c r="D106" s="2810"/>
      <c r="E106" s="2821"/>
      <c r="F106" s="2912"/>
      <c r="G106" s="2797"/>
      <c r="H106" s="2810"/>
      <c r="I106" s="2900"/>
    </row>
    <row r="107" spans="1:9" ht="15.75">
      <c r="A107" s="2803" t="s">
        <v>4448</v>
      </c>
      <c r="B107" s="2806" t="s">
        <v>4449</v>
      </c>
      <c r="C107" s="3080">
        <f>IF(OR(C96="",B100&lt;&gt;""),"",ROUND(G250,2))</f>
        <v>0.1</v>
      </c>
      <c r="D107" s="2810"/>
      <c r="E107" s="2821" t="str">
        <f>IF(B100&lt;&gt;"","",H250)</f>
        <v>符合要求</v>
      </c>
      <c r="F107" s="2912"/>
      <c r="G107" s="2797"/>
      <c r="H107" s="2810"/>
      <c r="I107" s="2900"/>
    </row>
    <row r="108" spans="1:9" ht="15">
      <c r="A108" s="2807" t="s">
        <v>4450</v>
      </c>
      <c r="B108" s="2813" t="s">
        <v>4451</v>
      </c>
      <c r="C108" s="3080">
        <f>IF(OR(C96="",B100&lt;&gt;""),"",ROUND(G249,2))</f>
        <v>1.54</v>
      </c>
      <c r="D108" s="2821"/>
      <c r="E108" s="2821" t="str">
        <f>IF(B100&lt;&gt;"","",H249)</f>
        <v>符合要求</v>
      </c>
      <c r="F108" s="2912"/>
      <c r="G108" s="2797"/>
      <c r="H108" s="2810"/>
      <c r="I108" s="2900"/>
    </row>
    <row r="109" spans="1:9" ht="15.75">
      <c r="A109" s="2807" t="s">
        <v>4452</v>
      </c>
      <c r="B109" s="2797" t="s">
        <v>4453</v>
      </c>
      <c r="C109" s="3080">
        <f>IF(OR(C96="",B100&lt;&gt;""),"",ROUND(G252,2))</f>
        <v>2.0499999999999998</v>
      </c>
      <c r="D109" s="2821"/>
      <c r="E109" s="2821" t="str">
        <f>IF(B100&lt;&gt;"","",H252)</f>
        <v>符合要求</v>
      </c>
      <c r="F109" s="2912"/>
      <c r="G109" s="2797"/>
      <c r="H109" s="2810"/>
      <c r="I109" s="2900"/>
    </row>
    <row r="110" spans="1:9" ht="15.75">
      <c r="A110" s="2947" t="s">
        <v>4454</v>
      </c>
      <c r="B110" s="2908"/>
      <c r="C110" s="2939"/>
      <c r="D110" s="2953"/>
      <c r="E110" s="2848"/>
      <c r="F110" s="2912"/>
      <c r="G110" s="2797"/>
      <c r="H110" s="2810"/>
      <c r="I110" s="2900"/>
    </row>
    <row r="111" spans="1:9" ht="15.75">
      <c r="A111" s="2857" t="s">
        <v>4455</v>
      </c>
      <c r="B111" s="2855"/>
      <c r="C111" s="3037">
        <v>200</v>
      </c>
      <c r="D111" s="2810" t="s">
        <v>2820</v>
      </c>
      <c r="E111" s="2848"/>
      <c r="F111" s="2912"/>
      <c r="G111" s="2797"/>
      <c r="H111" s="2810"/>
      <c r="I111" s="2900"/>
    </row>
    <row r="112" spans="1:9" ht="15">
      <c r="A112" s="2857" t="s">
        <v>4456</v>
      </c>
      <c r="B112" s="3081" t="s">
        <v>4457</v>
      </c>
      <c r="C112" s="2819">
        <f>IF(OR(C96="",B100&lt;&gt;"",C111=""),"",IF(C111&lt;=C150,0,ROUND(G260,2)))</f>
        <v>20.64</v>
      </c>
      <c r="D112" s="2810" t="s">
        <v>2820</v>
      </c>
      <c r="E112" s="2848"/>
      <c r="F112" s="2912"/>
      <c r="G112" s="2797"/>
      <c r="H112" s="2810"/>
      <c r="I112" s="2900"/>
    </row>
    <row r="113" spans="1:9" ht="15">
      <c r="A113" s="2864"/>
      <c r="B113" s="3082"/>
      <c r="C113" s="2791"/>
      <c r="D113" s="2842"/>
      <c r="E113" s="2920"/>
      <c r="F113" s="2912"/>
      <c r="G113" s="2797"/>
      <c r="H113" s="2810"/>
      <c r="I113" s="2900"/>
    </row>
    <row r="114" spans="1:9" ht="15.75">
      <c r="A114" s="2933" t="s">
        <v>2935</v>
      </c>
      <c r="B114" s="2806"/>
      <c r="C114" s="2786"/>
      <c r="D114" s="2934"/>
      <c r="E114" s="2821"/>
      <c r="F114" s="2821"/>
      <c r="G114" s="2848"/>
      <c r="H114" s="2810"/>
      <c r="I114" s="2821"/>
    </row>
    <row r="115" spans="1:9" ht="15">
      <c r="A115" s="2813" t="s">
        <v>4462</v>
      </c>
      <c r="B115" s="2813" t="s">
        <v>2822</v>
      </c>
      <c r="C115" s="2786">
        <f>IF(C16="",RADIANS(20),RADIANS(C16))</f>
        <v>0.34906585039886601</v>
      </c>
      <c r="D115" s="2812" t="s">
        <v>2048</v>
      </c>
      <c r="E115" s="2797">
        <f>TAN(C115)-C115</f>
        <v>1.4904383867336401E-2</v>
      </c>
      <c r="F115" s="2934" t="s">
        <v>2937</v>
      </c>
      <c r="G115" s="2848"/>
      <c r="H115" s="2797"/>
      <c r="I115" s="2810"/>
    </row>
    <row r="116" spans="1:9" ht="15.75">
      <c r="A116" s="2813"/>
      <c r="B116" s="2806"/>
      <c r="C116" s="2786">
        <f>IF(C16="",20,C16)</f>
        <v>20</v>
      </c>
      <c r="D116" s="2810" t="s">
        <v>257</v>
      </c>
      <c r="E116" s="2797">
        <f>ROUND(INT(C116)+INT((C116-INT(C116))*60)/100+((C116-INT(C116))*60-INT((C116-INT(C116))*60))*60/10000,4)</f>
        <v>20</v>
      </c>
      <c r="F116" s="2810" t="s">
        <v>3102</v>
      </c>
      <c r="G116" s="2848"/>
      <c r="H116" s="2797"/>
      <c r="I116" s="2810"/>
    </row>
    <row r="117" spans="1:9" ht="15">
      <c r="A117" s="2813" t="s">
        <v>4463</v>
      </c>
      <c r="B117" s="2813" t="s">
        <v>2940</v>
      </c>
      <c r="C117" s="2786">
        <f>ATAN(TAN(C115)/COS(C118))</f>
        <v>0.34906585039886601</v>
      </c>
      <c r="D117" s="2812" t="s">
        <v>2048</v>
      </c>
      <c r="E117" s="2797">
        <f>TAN(C117)-C117</f>
        <v>1.4904383867336401E-2</v>
      </c>
      <c r="F117" s="2934" t="s">
        <v>2941</v>
      </c>
      <c r="G117" s="2848"/>
      <c r="H117" s="2810"/>
      <c r="I117" s="2821"/>
    </row>
    <row r="118" spans="1:9" ht="15">
      <c r="A118" s="2836" t="s">
        <v>2823</v>
      </c>
      <c r="B118" s="2813" t="s">
        <v>2824</v>
      </c>
      <c r="C118" s="2786">
        <f>RADIANS(C18)</f>
        <v>0</v>
      </c>
      <c r="D118" s="2812" t="s">
        <v>2048</v>
      </c>
      <c r="E118" s="2797"/>
      <c r="F118" s="2810"/>
      <c r="G118" s="2786"/>
      <c r="H118" s="3012"/>
      <c r="I118" s="2821"/>
    </row>
    <row r="119" spans="1:9" ht="15.75">
      <c r="A119" s="2836"/>
      <c r="B119" s="2806"/>
      <c r="C119" s="2786">
        <f>C18</f>
        <v>0</v>
      </c>
      <c r="D119" s="2810" t="s">
        <v>257</v>
      </c>
      <c r="E119" s="2786">
        <f>ROUND(INT(C119)+INT((C119-INT(C119))*60)/100+((C119-INT(C119))*60-INT((C119-INT(C119))*60))*60/10000,4)</f>
        <v>0</v>
      </c>
      <c r="F119" s="2810" t="s">
        <v>3102</v>
      </c>
      <c r="G119" s="2786"/>
      <c r="H119" s="3012"/>
      <c r="I119" s="2821"/>
    </row>
    <row r="120" spans="1:9" ht="15">
      <c r="A120" s="2813" t="s">
        <v>2944</v>
      </c>
      <c r="B120" s="2813" t="s">
        <v>2945</v>
      </c>
      <c r="C120" s="2786">
        <f>ATAN(C125*TAN(C118)/C123)</f>
        <v>0</v>
      </c>
      <c r="D120" s="2812" t="s">
        <v>2048</v>
      </c>
      <c r="E120" s="2786">
        <f>DEGREES(C120)</f>
        <v>0</v>
      </c>
      <c r="F120" s="2810" t="s">
        <v>257</v>
      </c>
      <c r="G120" s="2786">
        <f>ROUND(INT(E120)+INT((E120-INT(E120))*60)/100+((E120-INT(E120))*60-INT((E120-INT(E120))*60))*60/10000,4)</f>
        <v>0</v>
      </c>
      <c r="H120" s="2810" t="s">
        <v>3102</v>
      </c>
      <c r="I120" s="2944"/>
    </row>
    <row r="121" spans="1:9" ht="15">
      <c r="A121" s="2813" t="s">
        <v>2946</v>
      </c>
      <c r="B121" s="2813" t="s">
        <v>2947</v>
      </c>
      <c r="C121" s="2786">
        <f>ATAN(C146*TAN(C118)/C123)</f>
        <v>0</v>
      </c>
      <c r="D121" s="2812" t="s">
        <v>2048</v>
      </c>
      <c r="E121" s="2786">
        <f>DEGREES(C121)</f>
        <v>0</v>
      </c>
      <c r="F121" s="2810" t="s">
        <v>257</v>
      </c>
      <c r="G121" s="2786">
        <f>ROUND(INT(E121)+INT((E121-INT(E121))*60)/100+((E121-INT(E121))*60-INT((E121-INT(E121))*60))*60/10000,4)</f>
        <v>0</v>
      </c>
      <c r="H121" s="2810" t="s">
        <v>3102</v>
      </c>
      <c r="I121" s="2944"/>
    </row>
    <row r="122" spans="1:9" ht="15.75">
      <c r="A122" s="2813" t="s">
        <v>4464</v>
      </c>
      <c r="B122" s="2806" t="s">
        <v>2951</v>
      </c>
      <c r="C122" s="2786">
        <f>C15/COS(C118)</f>
        <v>7</v>
      </c>
      <c r="D122" s="2810" t="s">
        <v>2820</v>
      </c>
      <c r="E122" s="2821"/>
      <c r="F122" s="2821"/>
      <c r="G122" s="2848"/>
      <c r="H122" s="2810"/>
      <c r="I122" s="2944"/>
    </row>
    <row r="123" spans="1:9" ht="15.75">
      <c r="A123" s="2813" t="s">
        <v>4465</v>
      </c>
      <c r="B123" s="2831" t="s">
        <v>4466</v>
      </c>
      <c r="C123" s="2786">
        <f>C12*C122</f>
        <v>147</v>
      </c>
      <c r="D123" s="2810" t="s">
        <v>2820</v>
      </c>
      <c r="E123" s="2786"/>
      <c r="F123" s="2813"/>
      <c r="G123" s="2786"/>
      <c r="H123" s="2810"/>
      <c r="I123" s="2944"/>
    </row>
    <row r="124" spans="1:9" ht="15.75">
      <c r="A124" s="2813"/>
      <c r="B124" s="2831" t="s">
        <v>4467</v>
      </c>
      <c r="C124" s="2786">
        <f>C14*C122</f>
        <v>413</v>
      </c>
      <c r="D124" s="2810" t="s">
        <v>2820</v>
      </c>
      <c r="E124" s="2786"/>
      <c r="F124" s="2813"/>
      <c r="G124" s="2786"/>
      <c r="H124" s="2810"/>
      <c r="I124" s="2944"/>
    </row>
    <row r="125" spans="1:9" ht="15.75">
      <c r="A125" s="2813" t="s">
        <v>4468</v>
      </c>
      <c r="B125" s="2831" t="s">
        <v>2959</v>
      </c>
      <c r="C125" s="2786">
        <f>C123*COS(C117)</f>
        <v>138.13481525552899</v>
      </c>
      <c r="D125" s="2810" t="s">
        <v>2820</v>
      </c>
      <c r="E125" s="2786"/>
      <c r="F125" s="2786"/>
      <c r="G125" s="3083"/>
      <c r="H125" s="2810"/>
      <c r="I125" s="2944"/>
    </row>
    <row r="126" spans="1:9" ht="15.75">
      <c r="A126" s="2813"/>
      <c r="B126" s="2831" t="s">
        <v>2960</v>
      </c>
      <c r="C126" s="2786">
        <f>C124*COS(C117)</f>
        <v>388.09305238458001</v>
      </c>
      <c r="D126" s="2810" t="s">
        <v>2820</v>
      </c>
      <c r="E126" s="2786"/>
      <c r="F126" s="2786"/>
      <c r="G126" s="3083"/>
      <c r="H126" s="2810"/>
      <c r="I126" s="2944"/>
    </row>
    <row r="127" spans="1:9" ht="15.75">
      <c r="A127" s="2813" t="s">
        <v>4469</v>
      </c>
      <c r="B127" s="2831" t="s">
        <v>2967</v>
      </c>
      <c r="C127" s="2786">
        <f>PI()*C15</f>
        <v>21.991148575128602</v>
      </c>
      <c r="D127" s="2810" t="s">
        <v>2820</v>
      </c>
      <c r="E127" s="2786"/>
      <c r="F127" s="2813"/>
      <c r="G127" s="3083"/>
      <c r="H127" s="2813"/>
      <c r="I127" s="2944"/>
    </row>
    <row r="128" spans="1:9" ht="15.75">
      <c r="A128" s="2813" t="s">
        <v>4470</v>
      </c>
      <c r="B128" s="2831" t="s">
        <v>2969</v>
      </c>
      <c r="C128" s="2786">
        <f>PI()*C122</f>
        <v>21.991148575128602</v>
      </c>
      <c r="D128" s="2810" t="s">
        <v>2820</v>
      </c>
      <c r="E128" s="2786"/>
      <c r="F128" s="2813"/>
      <c r="G128" s="3083"/>
      <c r="H128" s="2813"/>
      <c r="I128" s="2944"/>
    </row>
    <row r="129" spans="1:9" ht="15.75">
      <c r="A129" s="2813" t="s">
        <v>4471</v>
      </c>
      <c r="B129" s="2831" t="s">
        <v>4472</v>
      </c>
      <c r="C129" s="2786">
        <f>C125*PI()/C12</f>
        <v>20.664920038654799</v>
      </c>
      <c r="D129" s="2810" t="s">
        <v>2820</v>
      </c>
      <c r="E129" s="2936">
        <f>C128*COS(C117)</f>
        <v>20.664920038654799</v>
      </c>
      <c r="F129" s="2937" t="s">
        <v>2820</v>
      </c>
      <c r="G129" s="3083"/>
      <c r="H129" s="2813"/>
      <c r="I129" s="2944"/>
    </row>
    <row r="130" spans="1:9" ht="15.75">
      <c r="A130" s="2813"/>
      <c r="B130" s="2831" t="s">
        <v>4473</v>
      </c>
      <c r="C130" s="2786">
        <f>C129*COS(C118)</f>
        <v>20.664920038654799</v>
      </c>
      <c r="D130" s="2810" t="s">
        <v>2820</v>
      </c>
      <c r="E130" s="2936"/>
      <c r="F130" s="2937"/>
      <c r="G130" s="3083"/>
      <c r="H130" s="2813"/>
      <c r="I130" s="2944"/>
    </row>
    <row r="131" spans="1:9" ht="15.75">
      <c r="A131" s="2813" t="s">
        <v>2840</v>
      </c>
      <c r="B131" s="2831" t="s">
        <v>4474</v>
      </c>
      <c r="C131" s="2786">
        <f>E27</f>
        <v>0.5</v>
      </c>
      <c r="D131" s="2810"/>
      <c r="E131" s="2786"/>
      <c r="F131" s="2786"/>
      <c r="G131" s="3083"/>
      <c r="H131" s="2813"/>
      <c r="I131" s="2944"/>
    </row>
    <row r="132" spans="1:9" ht="15.75">
      <c r="A132" s="2813" t="s">
        <v>2974</v>
      </c>
      <c r="B132" s="2831" t="s">
        <v>2975</v>
      </c>
      <c r="C132" s="2786">
        <f>C131/COS(C118)</f>
        <v>0.5</v>
      </c>
      <c r="D132" s="2810"/>
      <c r="E132" s="2786"/>
      <c r="F132" s="2786"/>
      <c r="G132" s="3083"/>
      <c r="H132" s="2813"/>
      <c r="I132" s="2944"/>
    </row>
    <row r="133" spans="1:9" ht="15.75">
      <c r="A133" s="2813" t="s">
        <v>4416</v>
      </c>
      <c r="B133" s="2831" t="s">
        <v>4417</v>
      </c>
      <c r="C133" s="2786">
        <f>(C123+C124)/2</f>
        <v>280</v>
      </c>
      <c r="D133" s="2810" t="s">
        <v>2820</v>
      </c>
      <c r="E133" s="2786"/>
      <c r="F133" s="2786"/>
      <c r="G133" s="3083"/>
      <c r="H133" s="2813"/>
      <c r="I133" s="2944"/>
    </row>
    <row r="134" spans="1:9" ht="15.75">
      <c r="A134" s="2813" t="s">
        <v>4475</v>
      </c>
      <c r="B134" s="2831" t="s">
        <v>1874</v>
      </c>
      <c r="C134" s="2786">
        <f>IF(C29=0,C133,C29)</f>
        <v>280</v>
      </c>
      <c r="D134" s="2810" t="s">
        <v>2820</v>
      </c>
      <c r="E134" s="2786"/>
      <c r="F134" s="2786"/>
      <c r="G134" s="3083"/>
      <c r="H134" s="2813"/>
      <c r="I134" s="2944"/>
    </row>
    <row r="135" spans="1:9" ht="15">
      <c r="A135" s="2813" t="s">
        <v>4476</v>
      </c>
      <c r="B135" s="2813" t="s">
        <v>2962</v>
      </c>
      <c r="C135" s="2786">
        <f>ACOS(C133/C134*COS(C117))</f>
        <v>0.34906585039886601</v>
      </c>
      <c r="D135" s="2812" t="s">
        <v>2048</v>
      </c>
      <c r="E135" s="2786">
        <f>DEGREES(C135)</f>
        <v>20</v>
      </c>
      <c r="F135" s="2810" t="s">
        <v>257</v>
      </c>
      <c r="G135" s="2786">
        <f>ROUND(INT(E135)+INT((E135-INT(E135))*60)/100+((E135-INT(E135))*60-INT((E135-INT(E135))*60))*60/10000,4)</f>
        <v>20</v>
      </c>
      <c r="H135" s="2810" t="s">
        <v>3102</v>
      </c>
      <c r="I135" s="2944"/>
    </row>
    <row r="136" spans="1:9" ht="15.75">
      <c r="A136" s="2836" t="s">
        <v>2977</v>
      </c>
      <c r="B136" s="2806" t="s">
        <v>2978</v>
      </c>
      <c r="C136" s="2786">
        <f>(C134-C133)/C15</f>
        <v>0</v>
      </c>
      <c r="D136" s="2812"/>
      <c r="E136" s="2786"/>
      <c r="F136" s="2786"/>
      <c r="G136" s="3083"/>
      <c r="H136" s="2813"/>
      <c r="I136" s="2944"/>
    </row>
    <row r="137" spans="1:9" ht="15.75">
      <c r="A137" s="2836" t="s">
        <v>2979</v>
      </c>
      <c r="B137" s="2813" t="s">
        <v>4477</v>
      </c>
      <c r="C137" s="2786">
        <f>C138-C136</f>
        <v>0</v>
      </c>
      <c r="D137" s="2812"/>
      <c r="E137" s="2786"/>
      <c r="F137" s="2786"/>
      <c r="G137" s="3083"/>
      <c r="H137" s="2813"/>
      <c r="I137" s="2944"/>
    </row>
    <row r="138" spans="1:9" ht="15">
      <c r="A138" s="2813" t="s">
        <v>4478</v>
      </c>
      <c r="B138" s="3084" t="s">
        <v>4479</v>
      </c>
      <c r="C138" s="2786">
        <f>(C12+C14)/(2*TAN(C117))*(TAN(C135)-C135-E117)</f>
        <v>0</v>
      </c>
      <c r="D138" s="2810"/>
      <c r="E138" s="2786"/>
      <c r="F138" s="2786"/>
      <c r="G138" s="3083"/>
      <c r="H138" s="2813"/>
      <c r="I138" s="2944"/>
    </row>
    <row r="139" spans="1:9" ht="15.75">
      <c r="A139" s="2813" t="s">
        <v>2840</v>
      </c>
      <c r="B139" s="2831" t="s">
        <v>4480</v>
      </c>
      <c r="C139" s="2786">
        <f>C138-C131</f>
        <v>-0.5</v>
      </c>
      <c r="D139" s="2810"/>
      <c r="E139" s="2786"/>
      <c r="F139" s="2786"/>
      <c r="G139" s="3083"/>
      <c r="H139" s="2813"/>
      <c r="I139" s="2944"/>
    </row>
    <row r="140" spans="1:9" ht="15.75">
      <c r="A140" s="2813" t="s">
        <v>2974</v>
      </c>
      <c r="B140" s="2831" t="s">
        <v>2976</v>
      </c>
      <c r="C140" s="2786">
        <f>ROUND(C139/COS(C118),5)</f>
        <v>-0.5</v>
      </c>
      <c r="D140" s="2810"/>
      <c r="E140" s="2786"/>
      <c r="F140" s="2786"/>
      <c r="G140" s="3083"/>
      <c r="H140" s="2813"/>
      <c r="I140" s="2944"/>
    </row>
    <row r="141" spans="1:9" ht="15.75">
      <c r="A141" s="2813" t="s">
        <v>4481</v>
      </c>
      <c r="B141" s="2806" t="s">
        <v>2982</v>
      </c>
      <c r="C141" s="2813">
        <f>C15*(C21+C132)-C137*C122</f>
        <v>10.5</v>
      </c>
      <c r="D141" s="2810" t="s">
        <v>2820</v>
      </c>
      <c r="E141" s="2786"/>
      <c r="F141" s="2813"/>
      <c r="G141" s="3085"/>
      <c r="H141" s="2810"/>
      <c r="I141" s="2944"/>
    </row>
    <row r="142" spans="1:9" ht="15.75">
      <c r="A142" s="2813"/>
      <c r="B142" s="2806" t="s">
        <v>2983</v>
      </c>
      <c r="C142" s="2813">
        <f>C15*(C21+C140)-C137*C122</f>
        <v>3.5</v>
      </c>
      <c r="D142" s="2810" t="s">
        <v>2820</v>
      </c>
      <c r="E142" s="2786"/>
      <c r="F142" s="2813"/>
      <c r="G142" s="3085"/>
      <c r="H142" s="2810"/>
      <c r="I142" s="2944"/>
    </row>
    <row r="143" spans="1:9" ht="15.75">
      <c r="A143" s="2813" t="s">
        <v>4482</v>
      </c>
      <c r="B143" s="2806" t="s">
        <v>2985</v>
      </c>
      <c r="C143" s="2813">
        <f>C145-C141</f>
        <v>5.25</v>
      </c>
      <c r="D143" s="2810" t="s">
        <v>2820</v>
      </c>
      <c r="E143" s="2786"/>
      <c r="F143" s="2813"/>
      <c r="G143" s="3085"/>
      <c r="H143" s="2810"/>
      <c r="I143" s="2944"/>
    </row>
    <row r="144" spans="1:9" ht="15.75">
      <c r="A144" s="2813"/>
      <c r="B144" s="2806" t="s">
        <v>4483</v>
      </c>
      <c r="C144" s="2813">
        <f>C145-C142</f>
        <v>12.25</v>
      </c>
      <c r="D144" s="2810" t="s">
        <v>2820</v>
      </c>
      <c r="E144" s="2786"/>
      <c r="F144" s="2813"/>
      <c r="G144" s="3085"/>
      <c r="H144" s="2810"/>
      <c r="I144" s="2944"/>
    </row>
    <row r="145" spans="1:9" ht="15.75">
      <c r="A145" s="2813" t="s">
        <v>4484</v>
      </c>
      <c r="B145" s="2806" t="s">
        <v>1866</v>
      </c>
      <c r="C145" s="2813">
        <f>C24*C15</f>
        <v>15.75</v>
      </c>
      <c r="D145" s="2810" t="s">
        <v>2820</v>
      </c>
      <c r="E145" s="2786"/>
      <c r="F145" s="2813"/>
      <c r="G145" s="3085"/>
      <c r="H145" s="2810"/>
      <c r="I145" s="2944"/>
    </row>
    <row r="146" spans="1:9" ht="15.75">
      <c r="A146" s="2813" t="s">
        <v>4485</v>
      </c>
      <c r="B146" s="2831" t="s">
        <v>4486</v>
      </c>
      <c r="C146" s="2813">
        <f>C123+2*C141</f>
        <v>168</v>
      </c>
      <c r="D146" s="2810" t="s">
        <v>2820</v>
      </c>
      <c r="E146" s="2786"/>
      <c r="F146" s="2786"/>
      <c r="G146" s="3085"/>
      <c r="H146" s="2810"/>
      <c r="I146" s="3103"/>
    </row>
    <row r="147" spans="1:9" ht="15.75">
      <c r="A147" s="2813"/>
      <c r="B147" s="2831" t="s">
        <v>4487</v>
      </c>
      <c r="C147" s="2813">
        <f>C124+2*C142</f>
        <v>420</v>
      </c>
      <c r="D147" s="2810" t="s">
        <v>2820</v>
      </c>
      <c r="E147" s="2786"/>
      <c r="F147" s="2786"/>
      <c r="G147" s="3085"/>
      <c r="H147" s="2810"/>
      <c r="I147" s="3103"/>
    </row>
    <row r="148" spans="1:9" ht="15.75">
      <c r="A148" s="2788" t="s">
        <v>2991</v>
      </c>
      <c r="B148" s="2831" t="s">
        <v>4488</v>
      </c>
      <c r="C148" s="2813">
        <f>C146-2*C22*C15</f>
        <v>168</v>
      </c>
      <c r="D148" s="2810" t="s">
        <v>2820</v>
      </c>
      <c r="E148" s="2786"/>
      <c r="F148" s="2786"/>
      <c r="G148" s="3085"/>
      <c r="H148" s="2810"/>
      <c r="I148" s="3103"/>
    </row>
    <row r="149" spans="1:9" ht="15.75">
      <c r="A149" s="2788"/>
      <c r="B149" s="2831" t="s">
        <v>4489</v>
      </c>
      <c r="C149" s="2813">
        <f>C147-2*C22*C15</f>
        <v>420</v>
      </c>
      <c r="D149" s="2810" t="s">
        <v>2820</v>
      </c>
      <c r="E149" s="2786"/>
      <c r="F149" s="2786"/>
      <c r="G149" s="3085"/>
      <c r="H149" s="2810"/>
      <c r="I149" s="3103"/>
    </row>
    <row r="150" spans="1:9" ht="15.75">
      <c r="A150" s="2813" t="s">
        <v>4490</v>
      </c>
      <c r="B150" s="2831" t="s">
        <v>4491</v>
      </c>
      <c r="C150" s="2813">
        <f>C123-2*C143</f>
        <v>136.5</v>
      </c>
      <c r="D150" s="2810" t="s">
        <v>2820</v>
      </c>
      <c r="E150" s="2786"/>
      <c r="F150" s="2786"/>
      <c r="G150" s="3085"/>
      <c r="H150" s="2810"/>
      <c r="I150" s="3103"/>
    </row>
    <row r="151" spans="1:9" ht="15.75">
      <c r="A151" s="2817"/>
      <c r="B151" s="2831" t="s">
        <v>4492</v>
      </c>
      <c r="C151" s="2813">
        <f>C124-2*C144</f>
        <v>388.5</v>
      </c>
      <c r="D151" s="2810" t="s">
        <v>2820</v>
      </c>
      <c r="E151" s="2786"/>
      <c r="F151" s="2786"/>
      <c r="G151" s="3085"/>
      <c r="H151" s="2810"/>
      <c r="I151" s="3103"/>
    </row>
    <row r="152" spans="1:9" ht="15.75">
      <c r="A152" s="2813" t="s">
        <v>4493</v>
      </c>
      <c r="B152" s="2806" t="s">
        <v>2998</v>
      </c>
      <c r="C152" s="2813">
        <f>C122*(PI()/2+2*C131*TAN(C117))</f>
        <v>13.543365927427701</v>
      </c>
      <c r="D152" s="2810" t="s">
        <v>2820</v>
      </c>
      <c r="E152" s="2786"/>
      <c r="F152" s="2813"/>
      <c r="G152" s="3085"/>
      <c r="H152" s="2810"/>
      <c r="I152" s="3103"/>
    </row>
    <row r="153" spans="1:9" ht="15.75">
      <c r="A153" s="2813"/>
      <c r="B153" s="2806" t="s">
        <v>4494</v>
      </c>
      <c r="C153" s="2786">
        <f>C152*COS(C118)</f>
        <v>13.543365927427701</v>
      </c>
      <c r="D153" s="2810" t="s">
        <v>2820</v>
      </c>
      <c r="E153" s="2786"/>
      <c r="F153" s="2813"/>
      <c r="G153" s="3085"/>
      <c r="H153" s="2810"/>
      <c r="I153" s="3103"/>
    </row>
    <row r="154" spans="1:9" ht="15.75">
      <c r="A154" s="2813"/>
      <c r="B154" s="2806" t="s">
        <v>2999</v>
      </c>
      <c r="C154" s="2813">
        <f>C122*(PI()/2+2*C140*TAN(C117))</f>
        <v>8.4477826477008602</v>
      </c>
      <c r="D154" s="2810" t="s">
        <v>2820</v>
      </c>
      <c r="E154" s="2786"/>
      <c r="F154" s="2813"/>
      <c r="G154" s="3085"/>
      <c r="H154" s="2810"/>
      <c r="I154" s="3103"/>
    </row>
    <row r="155" spans="1:9" ht="15">
      <c r="A155" s="2788" t="s">
        <v>3005</v>
      </c>
      <c r="B155" s="2813" t="s">
        <v>3006</v>
      </c>
      <c r="C155" s="2813">
        <f>ACOS(C125/C148)</f>
        <v>0.60547640503474398</v>
      </c>
      <c r="D155" s="2809">
        <f>TAN(C155)-C155</f>
        <v>8.67303178278859E-2</v>
      </c>
      <c r="E155" s="2786"/>
      <c r="F155" s="2803"/>
      <c r="G155" s="3086"/>
      <c r="H155" s="2809"/>
      <c r="I155" s="2949"/>
    </row>
    <row r="156" spans="1:9" ht="15">
      <c r="A156" s="2788"/>
      <c r="B156" s="2813" t="s">
        <v>4495</v>
      </c>
      <c r="C156" s="2813">
        <f>ACOS(C126/C149)</f>
        <v>0.39230288709828198</v>
      </c>
      <c r="D156" s="2809">
        <f>TAN(C156)-C156</f>
        <v>2.1446580565530698E-2</v>
      </c>
      <c r="E156" s="2786"/>
      <c r="F156" s="2803"/>
      <c r="G156" s="3086"/>
      <c r="H156" s="2809"/>
      <c r="I156" s="2949"/>
    </row>
    <row r="157" spans="1:9" ht="15.75">
      <c r="A157" s="2813" t="s">
        <v>3008</v>
      </c>
      <c r="B157" s="2806" t="s">
        <v>4496</v>
      </c>
      <c r="C157" s="2786">
        <f>C152*C146/C123-C146*(D155-E117)</f>
        <v>3.4113755831164898</v>
      </c>
      <c r="D157" s="2810" t="s">
        <v>2820</v>
      </c>
      <c r="E157" s="2940"/>
      <c r="F157" s="3087"/>
      <c r="G157" s="3088"/>
      <c r="H157" s="2809"/>
      <c r="I157" s="2948"/>
    </row>
    <row r="158" spans="1:9" ht="15.75">
      <c r="A158" s="2813"/>
      <c r="B158" s="2806" t="s">
        <v>4182</v>
      </c>
      <c r="C158" s="2786">
        <f>C154*C147/C124-C147*(D156-E117)</f>
        <v>5.8432427911999802</v>
      </c>
      <c r="D158" s="2810" t="s">
        <v>2820</v>
      </c>
      <c r="E158" s="2940"/>
      <c r="F158" s="2803"/>
      <c r="G158" s="3089"/>
      <c r="H158" s="2809"/>
      <c r="I158" s="2948"/>
    </row>
    <row r="159" spans="1:9" ht="15.75">
      <c r="A159" s="2813" t="s">
        <v>4497</v>
      </c>
      <c r="B159" s="2806" t="s">
        <v>4498</v>
      </c>
      <c r="C159" s="2786">
        <f>0.5*(SQRT(C146^2-C125^2)+SQRT(C147^2-C126^2)-2*C134*SIN(C135))</f>
        <v>32.329930673516898</v>
      </c>
      <c r="D159" s="2810" t="s">
        <v>2820</v>
      </c>
      <c r="E159" s="2940"/>
      <c r="F159" s="2803"/>
      <c r="G159" s="3089">
        <f>0.5*(SQRT(C146^2-C125^2)+SQRT(C147^2-C126^2)-2*C134*SIN(C135))</f>
        <v>32.329930673516898</v>
      </c>
      <c r="H159" s="2809"/>
      <c r="I159" s="2948"/>
    </row>
    <row r="160" spans="1:9" ht="15">
      <c r="A160" s="2836" t="s">
        <v>4499</v>
      </c>
      <c r="B160" s="2813" t="s">
        <v>4500</v>
      </c>
      <c r="C160" s="2786">
        <f>0.5*SQRT(C146^2-C125^2)-C159</f>
        <v>15.4789932171152</v>
      </c>
      <c r="D160" s="2810"/>
      <c r="E160" s="2940"/>
      <c r="F160" s="2803"/>
      <c r="G160" s="3089"/>
      <c r="H160" s="2809"/>
      <c r="I160" s="2948"/>
    </row>
    <row r="161" spans="1:9" ht="15.75">
      <c r="A161" s="2871"/>
      <c r="B161" s="2872"/>
      <c r="C161" s="2791"/>
      <c r="D161" s="2842"/>
      <c r="E161" s="3090"/>
      <c r="F161" s="2896"/>
      <c r="G161" s="3089"/>
      <c r="H161" s="2809"/>
      <c r="I161" s="2948"/>
    </row>
    <row r="162" spans="1:9" ht="15.75">
      <c r="A162" s="2933" t="s">
        <v>3112</v>
      </c>
      <c r="B162" s="2806"/>
      <c r="C162" s="2786"/>
      <c r="D162" s="2809"/>
      <c r="E162" s="2940"/>
      <c r="F162" s="2803"/>
      <c r="G162" s="3088"/>
      <c r="H162" s="2809"/>
      <c r="I162" s="2948"/>
    </row>
    <row r="163" spans="1:9" ht="15.75">
      <c r="A163" s="2921" t="s">
        <v>3113</v>
      </c>
      <c r="B163" s="2806"/>
      <c r="C163" s="2786"/>
      <c r="D163" s="2809"/>
      <c r="E163" s="2940"/>
      <c r="F163" s="2813"/>
      <c r="G163" s="3091"/>
      <c r="H163" s="2809"/>
      <c r="I163" s="2948"/>
    </row>
    <row r="164" spans="1:9" ht="15.75">
      <c r="A164" s="3092"/>
      <c r="B164" s="2806" t="s">
        <v>4501</v>
      </c>
      <c r="C164" s="2786">
        <f>ROUNDDOWN(2*C21/SIN(C117)^2,0)</f>
        <v>17</v>
      </c>
      <c r="D164" s="2809"/>
      <c r="E164" s="2940"/>
      <c r="F164" s="2813"/>
      <c r="G164" s="3091"/>
      <c r="H164" s="2809"/>
      <c r="I164" s="2948"/>
    </row>
    <row r="165" spans="1:9" ht="15.75">
      <c r="A165" s="3092"/>
      <c r="B165" s="2806" t="s">
        <v>4502</v>
      </c>
      <c r="C165" s="2786">
        <f>ROUND(C21*(C164-C12)/C164,4)</f>
        <v>-0.23530000000000001</v>
      </c>
      <c r="D165" s="2904" t="str">
        <f>IF(C24&gt;=C165,"不根切","根切！")</f>
        <v>不根切</v>
      </c>
      <c r="E165" s="2940"/>
      <c r="F165" s="3093"/>
      <c r="G165" s="3094"/>
      <c r="H165" s="2935"/>
      <c r="I165" s="3104"/>
    </row>
    <row r="166" spans="1:9" ht="15.75">
      <c r="A166" s="2976" t="s">
        <v>4207</v>
      </c>
      <c r="B166" s="2806"/>
      <c r="C166" s="2786">
        <f>TAN(C135)-C13/C12*(TAN(C156)-TAN(C135))</f>
        <v>0.224114292815774</v>
      </c>
      <c r="D166" s="2904"/>
      <c r="E166" s="2940"/>
      <c r="F166" s="3093"/>
      <c r="G166" s="3094"/>
      <c r="H166" s="2935"/>
      <c r="I166" s="3104"/>
    </row>
    <row r="167" spans="1:9" ht="15.75">
      <c r="A167" s="2807"/>
      <c r="B167" s="2806"/>
      <c r="C167" s="2786">
        <f>TAN(C117)-4*(C21-C132)/(C12*SIN(2*C115))</f>
        <v>0.215806060279496</v>
      </c>
      <c r="D167" s="3095" t="str">
        <f>IF(C166&lt;C167,"发生干涉！","不发生干涉")</f>
        <v>不发生干涉</v>
      </c>
      <c r="E167" s="2940"/>
      <c r="F167" s="3093"/>
      <c r="G167" s="3094"/>
      <c r="H167" s="2935"/>
      <c r="I167" s="3104"/>
    </row>
    <row r="168" spans="1:9" ht="15.75">
      <c r="A168" s="3096"/>
      <c r="B168" s="2872"/>
      <c r="C168" s="2791"/>
      <c r="D168" s="2874"/>
      <c r="E168" s="3090"/>
      <c r="F168" s="3097"/>
      <c r="G168" s="3094"/>
      <c r="H168" s="2935"/>
      <c r="I168" s="3104"/>
    </row>
    <row r="169" spans="1:9" ht="15.75">
      <c r="A169" s="3060" t="s">
        <v>4421</v>
      </c>
      <c r="B169" s="2806"/>
      <c r="C169" s="2786"/>
      <c r="D169" s="2904"/>
      <c r="E169" s="2940"/>
      <c r="F169" s="3093"/>
      <c r="G169" s="3094"/>
      <c r="H169" s="2935"/>
      <c r="I169" s="3104"/>
    </row>
    <row r="170" spans="1:9" ht="15">
      <c r="A170" s="2797" t="s">
        <v>4503</v>
      </c>
      <c r="B170" s="3098" t="s">
        <v>4437</v>
      </c>
      <c r="C170" s="2797">
        <f>D170</f>
        <v>0</v>
      </c>
      <c r="D170" s="2863">
        <f>IF(AND(C37=75,C15=1),76,IF(AND(C37=75,C15=1.25),60,IF(AND(C37=75,C15=1.5),50,IF(AND(C37=75,C15=1.75),43,IF(AND(C37=75,C15=2),38,IF(AND(C37=75,C15=2.25),34,E170))))))</f>
        <v>0</v>
      </c>
      <c r="E170" s="2809">
        <f>IF(AND(C37=75,C15=2.5),30,IF(AND(C37=75,C15=2.75),28,IF(AND(C37=75,C15=3),25,IF(AND(C37=75,C15=3.25),24,IF(AND(C37=75,C15=3.5),22,IF(AND(C37=75,C15=3.75),20,F170))))))</f>
        <v>0</v>
      </c>
      <c r="F170" s="2809">
        <f>IF(AND(C37=75,C15=4),19,IF(AND(C37=100,C15=1),100,IF(AND(C37=100,C15=1.25),80,IF(AND(C37=100,C15=1.5),68,IF(AND(C37=100,C15=1.75),58,IF(AND(C37=100,C15=2),50,G170))))))</f>
        <v>0</v>
      </c>
      <c r="G170" s="2809">
        <f>IF(AND(C37=100,C15=2.25),45,IF(AND(C37=100,C15=2.5),40,IF(AND(C37=100,C15=2.75),36,IF(AND(C37=100,C15=3),34,IF(AND(C37=100,C15=3.25),31,IF(AND(C37=100,C15=3.5),29,H170))))))</f>
        <v>0</v>
      </c>
      <c r="H170" s="2863">
        <f>IF(AND(C37=100,C15=3.75),27,IF(AND(C37=100,C15=4),25,IF(AND(C37=100,C15=4.5),22,IF(AND(C37=100,C15=5),20,IF(AND(C37=100,C15=5.5),19,IF(AND(C37=100,C15=6),18,I170))))))</f>
        <v>0</v>
      </c>
      <c r="I170" s="2863">
        <f>IF(AND(C37=125,C15=4),31,IF(AND(C37=125,C15=4.5),28,IF(AND(C37=125,C15=5),25,IF(AND(C37=125,C15=5.5),23,IF(AND(C37=125,C15=6),21,J170)))))</f>
        <v>0</v>
      </c>
    </row>
    <row r="171" spans="1:9" ht="15.75">
      <c r="A171" s="2807" t="s">
        <v>3132</v>
      </c>
      <c r="B171" s="2831" t="s">
        <v>4427</v>
      </c>
      <c r="C171" s="2797">
        <f>ROUND((C172-D172)/2/TAN(C176)+D171,3)</f>
        <v>0</v>
      </c>
      <c r="D171" s="2863">
        <f>IF(AND(C37=75,C15=1),0,IF(AND(C37=75,C15=1.25),2.1,IF(AND(C37=75,C15=1.5),3.9,IF(AND(C37=75,C15=1.75),5,IF(AND(C37=75,C15=2),5.9,IF(AND(C37=75,C15=2.25),6.4,E171))))))</f>
        <v>0</v>
      </c>
      <c r="E171" s="2809">
        <f>IF(AND(C37=75,C15=2.5),5.2,IF(AND(C37=75,C15=2.75),5,IF(AND(C37=75,C15=3),4,IF(AND(C37=75,C15=3.25),4,IF(AND(C37=75,C15=3.5),3.3,IF(AND(C37=75,C15=3.75),2.5,F171))))))</f>
        <v>0</v>
      </c>
      <c r="F171" s="2809">
        <f>IF(AND(C37=75,C15=4),1.5,IF(AND(C37=100,C15=1),0.6,IF(AND(C37=100,C15=1.25),3.9,IF(AND(C37=100,C15=1.5),6.6,IF(AND(C37=100,C15=1.75),8.3,IF(AND(C37=100,C15=2),9.5,G171))))))</f>
        <v>0</v>
      </c>
      <c r="G171" s="2809">
        <f>IF(AND(C37=100,C15=2.25),10.5,IF(AND(C37=100,C15=2.5),10,IF(AND(C37=100,C15=2.75),9.4,IF(AND(C37=100,C15=3),9.7,IF(AND(C37=100,C15=3.25),8.7,IF(AND(C37=100,C15=3.5),8.7,H171))))))</f>
        <v>0</v>
      </c>
      <c r="H171" s="2863">
        <f>IF(AND(C37=100,C15=3.75),8.2,IF(AND(C37=100,C15=4),6.9,IF(AND(C37=100,C15=4.5),5.1,IF(AND(C37=100,C15=5),4.3,IF(AND(C37=100,C15=5.5),4.2,IF(AND(C37=100,C15=6),4.6,I171))))))</f>
        <v>0</v>
      </c>
      <c r="I171" s="2863">
        <f>IF(AND(C37=125,C15=4),11.4,IF(AND(C37=125,C15=4.5),11.6,IF(AND(C37=125,C15=5),10.5,IF(AND(C37=125,C15=5.5),10.5,IF(AND(C37=125,C15=6),9.1,J171)))))</f>
        <v>0</v>
      </c>
    </row>
    <row r="172" spans="1:9" ht="15.75">
      <c r="A172" s="2797" t="s">
        <v>1134</v>
      </c>
      <c r="B172" s="2831" t="s">
        <v>4426</v>
      </c>
      <c r="C172" s="2797">
        <f>C44</f>
        <v>0</v>
      </c>
      <c r="D172" s="2863">
        <f>IF(AND(C37=75,C15=1),78.5,IF(AND(C37=75,C15=1.25),78.56,IF(AND(C37=75,C15=1.5),79.56,IF(AND(C37=75,C15=1.75),80.67,IF(AND(C37=75,C15=2),82.24,IF(AND(C37=75,C15=2.25),83.48,E172))))))</f>
        <v>0</v>
      </c>
      <c r="E172" s="2809">
        <f>IF(AND(C37=75,C15=2.5),82.34,IF(AND(C37=75,C15=2.75),84.92,IF(AND(C37=75,C15=3),83.34,IF(AND(C37=75,C15=3.25),86.96,IF(AND(C37=75,C15=3.5),86.44,IF(AND(C37=75,C15=3.75),84.9,F172))))))</f>
        <v>0</v>
      </c>
      <c r="F172" s="2809">
        <f>IF(AND(C37=75,C15=4),86.32,IF(AND(C37=100,C15=1),102.62,IF(AND(C37=100,C15=1.25),103.94,IF(AND(C37=100,C15=1.5),107.14,IF(AND(C37=100,C15=1.75),107.62,IF(AND(C37=100,C15=2),107,G172))))))</f>
        <v>0</v>
      </c>
      <c r="G172" s="2809">
        <f>IF(AND(C37=100,C15=2.25),109.09,IF(AND(C37=100,C15=2.5),108.36,IF(AND(C37=100,C15=2.75),107.86,IF(AND(C37=100,C15=3),111.54,IF(AND(C37=100,C15=3.25),110.71,IF(AND(C37=100,C15=3.5),112.08,H172))))))</f>
        <v>0</v>
      </c>
      <c r="H172" s="2863">
        <f>IF(AND(C37=100,C15=3.75),112.35,IF(AND(C37=100,C15=4),111.46,IF(AND(C37=100,C15=4.5),111.78,IF(AND(C37=100,C15=5),113.9,IF(AND(C37=100,C15=5.5),119.68,IF(AND(C37=100,C15=6),124.56,I172))))))</f>
        <v>0</v>
      </c>
      <c r="I172" s="2863">
        <f>IF(AND(C37=125,C15=4),136.8,IF(AND(C37=125,C15=4.5),140.14,IF(AND(C37=125,C15=5),140.2,IF(AND(C37=125,C15=5.5),143,IF(AND(C37=125,C15=6),143.52,J172)))))</f>
        <v>0</v>
      </c>
    </row>
    <row r="173" spans="1:9" ht="15.75">
      <c r="A173" s="2976" t="s">
        <v>4504</v>
      </c>
      <c r="B173" s="2831" t="s">
        <v>4505</v>
      </c>
      <c r="C173" s="2797">
        <f>ROUND(C172-2*C171*TAN(C176),2)</f>
        <v>0</v>
      </c>
      <c r="D173" s="2863"/>
      <c r="E173" s="2809"/>
      <c r="F173" s="2809"/>
      <c r="G173" s="2809"/>
      <c r="H173" s="2863"/>
      <c r="I173" s="2863"/>
    </row>
    <row r="174" spans="1:9" ht="15.75">
      <c r="A174" s="2797" t="s">
        <v>4506</v>
      </c>
      <c r="B174" s="2806" t="s">
        <v>4507</v>
      </c>
      <c r="C174" s="2797">
        <f>C171*TAN(C176)/C15</f>
        <v>0</v>
      </c>
      <c r="D174" s="2863"/>
      <c r="E174" s="2809"/>
      <c r="F174" s="2809"/>
      <c r="G174" s="2809"/>
      <c r="H174" s="2863"/>
      <c r="I174" s="2863"/>
    </row>
    <row r="175" spans="1:9" ht="15">
      <c r="A175" s="2797" t="s">
        <v>1132</v>
      </c>
      <c r="B175" s="3098" t="s">
        <v>4508</v>
      </c>
      <c r="C175" s="2797">
        <f>C122*C170</f>
        <v>0</v>
      </c>
      <c r="D175" s="2788"/>
      <c r="E175" s="2810"/>
      <c r="F175" s="2810"/>
      <c r="G175" s="2965"/>
      <c r="H175" s="2817"/>
      <c r="I175" s="2860"/>
    </row>
    <row r="176" spans="1:9" ht="15">
      <c r="A176" s="2797" t="s">
        <v>4509</v>
      </c>
      <c r="B176" s="2813" t="s">
        <v>4424</v>
      </c>
      <c r="C176" s="2797">
        <f>RADIANS(6)</f>
        <v>0.10471975511966</v>
      </c>
      <c r="D176" s="2812" t="s">
        <v>2048</v>
      </c>
      <c r="E176" s="2797">
        <v>6</v>
      </c>
      <c r="F176" s="2810" t="s">
        <v>257</v>
      </c>
      <c r="G176" s="2965"/>
      <c r="H176" s="2817"/>
      <c r="I176" s="2860"/>
    </row>
    <row r="177" spans="1:9" ht="15.75">
      <c r="A177" s="2797" t="s">
        <v>2913</v>
      </c>
      <c r="B177" s="2806" t="s">
        <v>4423</v>
      </c>
      <c r="C177" s="2797">
        <f>ROUND((C173-C175)/(2*C15),2)</f>
        <v>0</v>
      </c>
      <c r="D177" s="2788"/>
      <c r="E177" s="2810"/>
      <c r="F177" s="2810"/>
      <c r="G177" s="2797"/>
      <c r="H177" s="2817"/>
      <c r="I177" s="2860"/>
    </row>
    <row r="178" spans="1:9" ht="15.75">
      <c r="A178" s="2809"/>
      <c r="B178" s="3099" t="s">
        <v>4510</v>
      </c>
      <c r="C178" s="2797">
        <f>2*(C174+C131)*TAN(C115)/(C12+C170)+E115</f>
        <v>3.22362997847747E-2</v>
      </c>
      <c r="D178" s="2812"/>
      <c r="E178" s="2953"/>
      <c r="F178" s="2810"/>
      <c r="G178" s="2797"/>
      <c r="H178" s="2817"/>
      <c r="I178" s="2860"/>
    </row>
    <row r="179" spans="1:9" ht="15">
      <c r="A179" s="2807" t="s">
        <v>4511</v>
      </c>
      <c r="B179" s="2786" t="s">
        <v>4512</v>
      </c>
      <c r="C179" s="2797">
        <f>C47</f>
        <v>0.41854139805012303</v>
      </c>
      <c r="D179" s="2812" t="s">
        <v>2048</v>
      </c>
      <c r="E179" s="2953">
        <f>DEGREES(C179)</f>
        <v>23.980655659777099</v>
      </c>
      <c r="F179" s="2810" t="s">
        <v>257</v>
      </c>
      <c r="G179" s="2797"/>
      <c r="H179" s="2817"/>
      <c r="I179" s="2860"/>
    </row>
    <row r="180" spans="1:9" ht="15.75">
      <c r="A180" s="2807" t="s">
        <v>4513</v>
      </c>
      <c r="B180" s="2831" t="s">
        <v>4514</v>
      </c>
      <c r="C180" s="2797">
        <f>C15*(C12+C170)*COS(C115)/(2*COS(C179))</f>
        <v>75.592331382253406</v>
      </c>
      <c r="D180" s="2788"/>
      <c r="E180" s="2810"/>
      <c r="F180" s="2810"/>
      <c r="G180" s="2797"/>
      <c r="H180" s="2817"/>
      <c r="I180" s="2860"/>
    </row>
    <row r="181" spans="1:9" ht="15.75">
      <c r="A181" s="2797" t="s">
        <v>4515</v>
      </c>
      <c r="B181" s="2831" t="s">
        <v>4516</v>
      </c>
      <c r="C181" s="2797">
        <f>C172/2</f>
        <v>0</v>
      </c>
      <c r="D181" s="2788"/>
      <c r="E181" s="2810"/>
      <c r="F181" s="2810"/>
      <c r="G181" s="2797"/>
      <c r="H181" s="2817"/>
      <c r="I181" s="2860"/>
    </row>
    <row r="182" spans="1:9" ht="15.75">
      <c r="A182" s="2797" t="s">
        <v>4517</v>
      </c>
      <c r="B182" s="2831" t="s">
        <v>4518</v>
      </c>
      <c r="C182" s="2797">
        <f>C175/2*COS(C115)</f>
        <v>0</v>
      </c>
      <c r="D182" s="2788"/>
      <c r="E182" s="2810"/>
      <c r="F182" s="3012"/>
      <c r="G182" s="2797"/>
      <c r="H182" s="2817"/>
      <c r="I182" s="2860"/>
    </row>
    <row r="183" spans="1:9" ht="15">
      <c r="A183" s="2807" t="s">
        <v>4519</v>
      </c>
      <c r="B183" s="2789" t="s">
        <v>4520</v>
      </c>
      <c r="C183" s="2797">
        <f>ATAN(2*SQRT((C146/2)^2-(C125/2)^2)/(C15*(C170+C12)*COS(C115)))</f>
        <v>0.60547640503474298</v>
      </c>
      <c r="D183" s="2812" t="s">
        <v>2048</v>
      </c>
      <c r="E183" s="2953">
        <f>DEGREES(C183)</f>
        <v>34.691242603244397</v>
      </c>
      <c r="F183" s="2810" t="s">
        <v>257</v>
      </c>
      <c r="G183" s="2797"/>
      <c r="H183" s="2817"/>
      <c r="I183" s="2860"/>
    </row>
    <row r="184" spans="1:9" ht="15.75">
      <c r="A184" s="2807"/>
      <c r="B184" s="3099" t="s">
        <v>4521</v>
      </c>
      <c r="C184" s="2797">
        <f>TAN(C183)-C183</f>
        <v>8.67303178278859E-2</v>
      </c>
      <c r="D184" s="2812"/>
      <c r="E184" s="2953"/>
      <c r="F184" s="2810"/>
      <c r="G184" s="2797"/>
      <c r="H184" s="2817"/>
      <c r="I184" s="2860"/>
    </row>
    <row r="185" spans="1:9" ht="15.75">
      <c r="A185" s="2807"/>
      <c r="B185" s="3099"/>
      <c r="C185" s="2797">
        <f>C134*SIN(C135)-SQRT((C146/2)^2-(C125/2)^2)</f>
        <v>47.956716240555103</v>
      </c>
      <c r="D185" s="2812"/>
      <c r="E185" s="2953"/>
      <c r="F185" s="2810"/>
      <c r="G185" s="2797"/>
      <c r="H185" s="2817"/>
      <c r="I185" s="2860"/>
    </row>
    <row r="186" spans="1:9" ht="15.75">
      <c r="A186" s="2797"/>
      <c r="B186" s="3099"/>
      <c r="C186" s="2797">
        <f>C180*SIN(C179)-SQRT(C181^2-C182^2)</f>
        <v>30.722854154271801</v>
      </c>
      <c r="D186" s="2816" t="str">
        <f>IF(C185&gt;=C186,"不发生干涉","发生干涉！")</f>
        <v>不发生干涉</v>
      </c>
      <c r="E186" s="2953"/>
      <c r="F186" s="2810"/>
      <c r="G186" s="2797"/>
      <c r="H186" s="2817"/>
      <c r="I186" s="2860"/>
    </row>
    <row r="187" spans="1:9" ht="15.75">
      <c r="A187" s="2807" t="s">
        <v>4522</v>
      </c>
      <c r="B187" s="2806" t="s">
        <v>4523</v>
      </c>
      <c r="C187" s="2797">
        <f>(C184-E115)*(C170+C12)/(2*TAN(C115))-C132</f>
        <v>1.57207138272241</v>
      </c>
      <c r="D187" s="2815" t="str">
        <f>IF(C174&gt;=C187,"不发生顶切","发生顶切！应适当减小插齿刀直径。")</f>
        <v>发生顶切！应适当减小插齿刀直径。</v>
      </c>
      <c r="E187" s="2821"/>
      <c r="F187" s="2965"/>
      <c r="G187" s="2797"/>
      <c r="H187" s="2817"/>
      <c r="I187" s="2860"/>
    </row>
    <row r="188" spans="1:9" ht="15.75">
      <c r="A188" s="2809"/>
      <c r="B188" s="2801"/>
      <c r="C188" s="2797">
        <f>C180*SIN(C183)-SQRT(C181^2-C182^2)</f>
        <v>43.023666878209397</v>
      </c>
      <c r="D188" s="2815" t="str">
        <f>IF(C188&gt;=0,"不根切","根切！")</f>
        <v>不根切</v>
      </c>
      <c r="E188" s="2821"/>
      <c r="F188" s="2965"/>
      <c r="G188" s="3089"/>
      <c r="H188" s="2817"/>
      <c r="I188" s="2860"/>
    </row>
    <row r="189" spans="1:9" ht="15.75">
      <c r="A189" s="2809"/>
      <c r="B189" s="2801" t="s">
        <v>4524</v>
      </c>
      <c r="C189" s="2797">
        <f>SQRT((C180*SIN(C183))^2+C182^2)</f>
        <v>43.023666878209397</v>
      </c>
      <c r="D189" s="2805"/>
      <c r="E189" s="2821"/>
      <c r="F189" s="2965"/>
      <c r="G189" s="3089"/>
      <c r="H189" s="2817"/>
      <c r="I189" s="2860"/>
    </row>
    <row r="190" spans="1:9" ht="15.75">
      <c r="A190" s="2955"/>
      <c r="B190" s="2901"/>
      <c r="C190" s="2791"/>
      <c r="D190" s="2873"/>
      <c r="E190" s="2866"/>
      <c r="F190" s="3100"/>
      <c r="G190" s="3088"/>
      <c r="H190" s="2817"/>
      <c r="I190" s="2860"/>
    </row>
    <row r="191" spans="1:9" ht="15.75">
      <c r="A191" s="3101" t="s">
        <v>2924</v>
      </c>
      <c r="B191" s="2852"/>
      <c r="C191" s="3067"/>
      <c r="D191" s="2805"/>
      <c r="E191" s="2821"/>
      <c r="F191" s="2965"/>
      <c r="G191" s="3088"/>
      <c r="H191" s="2817"/>
      <c r="I191" s="2860"/>
    </row>
    <row r="192" spans="1:9" ht="15">
      <c r="A192" s="3067" t="s">
        <v>4503</v>
      </c>
      <c r="B192" s="3102" t="s">
        <v>4437</v>
      </c>
      <c r="C192" s="3067">
        <f>C54</f>
        <v>20</v>
      </c>
      <c r="D192" s="2788"/>
      <c r="E192" s="2810"/>
      <c r="F192" s="2810"/>
      <c r="G192" s="2965"/>
      <c r="H192" s="2817"/>
      <c r="I192" s="2860"/>
    </row>
    <row r="193" spans="1:9" ht="15">
      <c r="A193" s="3067" t="s">
        <v>1132</v>
      </c>
      <c r="B193" s="3102" t="s">
        <v>4508</v>
      </c>
      <c r="C193" s="3067">
        <f>C192*C122</f>
        <v>140</v>
      </c>
      <c r="D193" s="2788"/>
      <c r="E193" s="2810"/>
      <c r="F193" s="2810"/>
      <c r="G193" s="2965"/>
      <c r="H193" s="2817"/>
      <c r="I193" s="2860"/>
    </row>
    <row r="194" spans="1:9" ht="15">
      <c r="A194" s="3067" t="s">
        <v>4509</v>
      </c>
      <c r="B194" s="3105" t="s">
        <v>4525</v>
      </c>
      <c r="C194" s="3067">
        <f>RADIANS(E194)</f>
        <v>0.10471975511966</v>
      </c>
      <c r="D194" s="3106" t="s">
        <v>2048</v>
      </c>
      <c r="E194" s="3067">
        <f>IF(C56="",6,C56)</f>
        <v>6</v>
      </c>
      <c r="F194" s="2808" t="s">
        <v>257</v>
      </c>
      <c r="G194" s="2965"/>
      <c r="H194" s="2817"/>
      <c r="I194" s="2860"/>
    </row>
    <row r="195" spans="1:9" ht="15.75">
      <c r="A195" s="3067" t="s">
        <v>2913</v>
      </c>
      <c r="B195" s="3107" t="s">
        <v>4423</v>
      </c>
      <c r="C195" s="3067">
        <f>IF(C55="",C24-C21,C55)</f>
        <v>1.3</v>
      </c>
      <c r="D195" s="3108"/>
      <c r="E195" s="2808"/>
      <c r="F195" s="2808"/>
      <c r="G195" s="2797"/>
      <c r="H195" s="2817"/>
      <c r="I195" s="2860"/>
    </row>
    <row r="196" spans="1:9" ht="15.75">
      <c r="A196" s="3109" t="s">
        <v>4504</v>
      </c>
      <c r="B196" s="3107"/>
      <c r="C196" s="3067">
        <f>C193+2*C195*C15</f>
        <v>158.19999999999999</v>
      </c>
      <c r="D196" s="3108"/>
      <c r="E196" s="2808"/>
      <c r="F196" s="2808"/>
      <c r="G196" s="2797"/>
      <c r="H196" s="2817"/>
      <c r="I196" s="2860"/>
    </row>
    <row r="197" spans="1:9" ht="15.75">
      <c r="A197" s="3067" t="s">
        <v>4526</v>
      </c>
      <c r="B197" s="3110" t="s">
        <v>4527</v>
      </c>
      <c r="C197" s="3067">
        <f>IF(C58="",C196,C58)</f>
        <v>160</v>
      </c>
      <c r="D197" s="3108"/>
      <c r="E197" s="2808"/>
      <c r="F197" s="2808"/>
      <c r="G197" s="2797"/>
      <c r="H197" s="2817"/>
      <c r="I197" s="2860"/>
    </row>
    <row r="198" spans="1:9" ht="15.75">
      <c r="A198" s="3111" t="s">
        <v>3132</v>
      </c>
      <c r="B198" s="3110" t="s">
        <v>4528</v>
      </c>
      <c r="C198" s="3067">
        <f>C59</f>
        <v>8.56</v>
      </c>
      <c r="D198" s="3108"/>
      <c r="E198" s="2808"/>
      <c r="F198" s="2808"/>
      <c r="G198" s="2797"/>
      <c r="H198" s="2817"/>
      <c r="I198" s="2860"/>
    </row>
    <row r="199" spans="1:9" ht="15.75">
      <c r="A199" s="3067" t="s">
        <v>4529</v>
      </c>
      <c r="B199" s="3107" t="s">
        <v>4530</v>
      </c>
      <c r="C199" s="3067">
        <f>C198*TAN(C194)/C15</f>
        <v>0.12852746483916999</v>
      </c>
      <c r="D199" s="3108"/>
      <c r="E199" s="2808"/>
      <c r="F199" s="2808"/>
      <c r="G199" s="2797"/>
      <c r="H199" s="2817"/>
      <c r="I199" s="2860"/>
    </row>
    <row r="200" spans="1:9" ht="15.75">
      <c r="A200" s="3067" t="s">
        <v>4531</v>
      </c>
      <c r="B200" s="3107" t="s">
        <v>4532</v>
      </c>
      <c r="C200" s="3067">
        <f>C199/COS(C118)</f>
        <v>0.12852746483916999</v>
      </c>
      <c r="D200" s="3108"/>
      <c r="E200" s="2808"/>
      <c r="F200" s="2808"/>
      <c r="G200" s="2797"/>
      <c r="H200" s="2817"/>
      <c r="I200" s="2860"/>
    </row>
    <row r="201" spans="1:9" ht="15.75">
      <c r="A201" s="3067"/>
      <c r="B201" s="3112" t="s">
        <v>4533</v>
      </c>
      <c r="C201" s="3067">
        <f>2*(C199+C131)*TAN(C115)/(C12+C192)+E115</f>
        <v>2.6063666239056201E-2</v>
      </c>
      <c r="D201" s="3106"/>
      <c r="E201" s="3073"/>
      <c r="F201" s="2808"/>
      <c r="G201" s="2797"/>
      <c r="H201" s="2817"/>
      <c r="I201" s="2860"/>
    </row>
    <row r="202" spans="1:9" ht="15">
      <c r="A202" s="3111" t="s">
        <v>4511</v>
      </c>
      <c r="B202" s="3113" t="s">
        <v>4534</v>
      </c>
      <c r="C202" s="3067">
        <f>C62</f>
        <v>0.41743057444780901</v>
      </c>
      <c r="D202" s="3106" t="s">
        <v>2048</v>
      </c>
      <c r="E202" s="3073"/>
      <c r="F202" s="2808" t="s">
        <v>257</v>
      </c>
      <c r="G202" s="2797"/>
      <c r="H202" s="2817"/>
      <c r="I202" s="2860"/>
    </row>
    <row r="203" spans="1:9" ht="15.75">
      <c r="A203" s="3111" t="s">
        <v>4513</v>
      </c>
      <c r="B203" s="3110" t="s">
        <v>4535</v>
      </c>
      <c r="C203" s="3067">
        <f>C122*(C12+C192)*COS(C117)/(2*COS(C202))</f>
        <v>147.512230038919</v>
      </c>
      <c r="D203" s="3108"/>
      <c r="E203" s="2808"/>
      <c r="F203" s="2808"/>
      <c r="G203" s="2797"/>
      <c r="H203" s="2817"/>
      <c r="I203" s="2860"/>
    </row>
    <row r="204" spans="1:9" ht="15.75">
      <c r="A204" s="3067" t="s">
        <v>4515</v>
      </c>
      <c r="B204" s="3110" t="s">
        <v>4536</v>
      </c>
      <c r="C204" s="3067">
        <f>C197/2</f>
        <v>80</v>
      </c>
      <c r="D204" s="3108"/>
      <c r="E204" s="2808"/>
      <c r="F204" s="2808"/>
      <c r="G204" s="2797"/>
      <c r="H204" s="2817"/>
      <c r="I204" s="2860"/>
    </row>
    <row r="205" spans="1:9" ht="15.75">
      <c r="A205" s="3067" t="s">
        <v>4517</v>
      </c>
      <c r="B205" s="3110" t="s">
        <v>4537</v>
      </c>
      <c r="C205" s="3067">
        <f>C193/2*COS(C117)</f>
        <v>65.7784834550136</v>
      </c>
      <c r="D205" s="3108"/>
      <c r="E205" s="2808"/>
      <c r="F205" s="2905"/>
      <c r="G205" s="2797"/>
      <c r="H205" s="2817"/>
      <c r="I205" s="2860"/>
    </row>
    <row r="206" spans="1:9" ht="15">
      <c r="A206" s="3111" t="s">
        <v>4519</v>
      </c>
      <c r="B206" s="3114" t="s">
        <v>4538</v>
      </c>
      <c r="C206" s="3067">
        <f>ATAN(2*SQRT((C146/2)^2-(C125/2)^2)/(C122*(C192+C12)*COS(C117)))</f>
        <v>0.34071798244846702</v>
      </c>
      <c r="D206" s="3106" t="s">
        <v>2048</v>
      </c>
      <c r="E206" s="3073"/>
      <c r="F206" s="2808" t="s">
        <v>257</v>
      </c>
      <c r="G206" s="2797"/>
      <c r="H206" s="2817"/>
      <c r="I206" s="2860"/>
    </row>
    <row r="207" spans="1:9" ht="15.75">
      <c r="A207" s="3111"/>
      <c r="B207" s="3112" t="s">
        <v>4539</v>
      </c>
      <c r="C207" s="3067">
        <f>TAN(C206)-C206</f>
        <v>1.38269243836119E-2</v>
      </c>
      <c r="D207" s="2812"/>
      <c r="E207" s="2953"/>
      <c r="F207" s="2810"/>
      <c r="G207" s="2797"/>
      <c r="H207" s="2817"/>
      <c r="I207" s="2860"/>
    </row>
    <row r="208" spans="1:9" ht="15.75">
      <c r="A208" s="3111"/>
      <c r="B208" s="3112"/>
      <c r="C208" s="3067">
        <f>C134*SIN(C135)-SQRT((C146/2)^2-(C125/2)^2)</f>
        <v>47.956716240555103</v>
      </c>
      <c r="D208" s="2812"/>
      <c r="E208" s="2953"/>
      <c r="F208" s="2810"/>
      <c r="G208" s="2797"/>
      <c r="H208" s="2817"/>
      <c r="I208" s="2860"/>
    </row>
    <row r="209" spans="1:9" ht="15.75">
      <c r="A209" s="3067"/>
      <c r="B209" s="3112"/>
      <c r="C209" s="3067">
        <f>C203*SIN(C202)-SQRT(C204^2-C205^2)</f>
        <v>14.271066597576599</v>
      </c>
      <c r="D209" s="2816" t="str">
        <f>IF(C208&gt;=C209,"不发生干涉","发生干涉！")</f>
        <v>不发生干涉</v>
      </c>
      <c r="E209" s="2953"/>
      <c r="F209" s="2810"/>
      <c r="G209" s="2797"/>
      <c r="H209" s="2817"/>
      <c r="I209" s="2860"/>
    </row>
    <row r="210" spans="1:9" ht="15.75">
      <c r="A210" s="3111" t="s">
        <v>4522</v>
      </c>
      <c r="B210" s="3107" t="s">
        <v>4540</v>
      </c>
      <c r="C210" s="3067">
        <f>(C207-E117)*(C192+C12)/(2*TAN(C117))-C131</f>
        <v>-0.56068605983916497</v>
      </c>
      <c r="D210" s="2815" t="str">
        <f>IF(C199&gt;=C210,"不发生顶切","发生顶切！应适当减少插齿刀齿数。")</f>
        <v>不发生顶切</v>
      </c>
      <c r="E210" s="2821"/>
      <c r="F210" s="2965"/>
      <c r="G210" s="2797"/>
      <c r="H210" s="2817"/>
      <c r="I210" s="2860"/>
    </row>
    <row r="211" spans="1:9" ht="15.75">
      <c r="A211" s="3067"/>
      <c r="B211" s="2852"/>
      <c r="C211" s="3067">
        <f>C203*SIN(C206)-SQRT(C204^2-C205^2)</f>
        <v>3.7609517659495899</v>
      </c>
      <c r="D211" s="2821" t="str">
        <f>IF(C211&gt;=0,"不根切","根切！")</f>
        <v>不根切</v>
      </c>
      <c r="E211" s="2821"/>
      <c r="F211" s="2965"/>
      <c r="G211" s="3088"/>
      <c r="H211" s="2817"/>
      <c r="I211" s="2860"/>
    </row>
    <row r="212" spans="1:9" ht="15.75">
      <c r="A212" s="3067"/>
      <c r="B212" s="3110" t="s">
        <v>4541</v>
      </c>
      <c r="C212" s="3067">
        <f>SQRT((C203*SIN(C206))^2+C205^2)</f>
        <v>82.198749321758399</v>
      </c>
      <c r="D212" s="2805"/>
      <c r="E212" s="2821"/>
      <c r="F212" s="2965"/>
      <c r="G212" s="3088"/>
      <c r="H212" s="2817"/>
      <c r="I212" s="2860"/>
    </row>
    <row r="213" spans="1:9" ht="15.75">
      <c r="A213" s="2955"/>
      <c r="B213" s="2901"/>
      <c r="C213" s="2791"/>
      <c r="D213" s="2873"/>
      <c r="E213" s="2866"/>
      <c r="F213" s="3100"/>
      <c r="G213" s="3115"/>
      <c r="H213" s="2820"/>
      <c r="I213" s="2860"/>
    </row>
    <row r="214" spans="1:9" ht="15.75">
      <c r="A214" s="2921" t="s">
        <v>4542</v>
      </c>
      <c r="B214" s="2801"/>
      <c r="C214" s="2797">
        <f>C74</f>
        <v>240</v>
      </c>
      <c r="D214" s="2855" t="s">
        <v>4543</v>
      </c>
      <c r="E214" s="2797"/>
      <c r="F214" s="3116" t="s">
        <v>4544</v>
      </c>
      <c r="G214" s="2797"/>
      <c r="H214" s="2813"/>
      <c r="I214" s="3126" t="s">
        <v>4545</v>
      </c>
    </row>
    <row r="215" spans="1:9" ht="15">
      <c r="A215" s="2921"/>
      <c r="B215" s="3117" t="s">
        <v>4437</v>
      </c>
      <c r="C215" s="2809">
        <f>IF(C214=85,D215,IF(C214=180,E215,IF(C214=240,H215,"*")))</f>
        <v>0</v>
      </c>
      <c r="D215" s="2803" t="str">
        <f>IF(C15=1,86,IF(C15=1.25,67,IF(C15=1.5,58,"*")))</f>
        <v>*</v>
      </c>
      <c r="E215" s="3118" t="str">
        <f>IF(C15=1.25,115,IF(C15=1.5,115,IF(C15=1.75,100,IF(C15=2,83,IF(C15=2.25,73,IF(C15=2.5,67,F215))))))</f>
        <v>*</v>
      </c>
      <c r="F215" s="3118" t="str">
        <f>IF(C15=2.75,61,IF(C15=3,53,IF(C15=3.25,53,IF(C15=3.5,47,IF(C15=3.75,43,IF(C15=4,41,G215))))))</f>
        <v>*</v>
      </c>
      <c r="G215" s="3118" t="str">
        <f>IF(C15=4.5,37,IF(C15=5,31,IF(C15=5.5,29,IF(C15=6,27,"*"))))</f>
        <v>*</v>
      </c>
      <c r="H215" s="3119">
        <f>IF(C15=2,115,IF(C15=2.25,103,IF(C15=2.5,91,I215)))</f>
        <v>0</v>
      </c>
      <c r="I215" s="3119">
        <f>IF(C15=2.75,83,IF(C15=3,73,IF(C15=3.25,67,IF(C15=3.5,61,IF(C15=3.75,61,IF(C15=4,53,J215))))))</f>
        <v>0</v>
      </c>
    </row>
    <row r="216" spans="1:9" ht="15">
      <c r="A216" s="2809"/>
      <c r="B216" s="2863" t="s">
        <v>4546</v>
      </c>
      <c r="C216" s="2809">
        <f>C75</f>
        <v>-15</v>
      </c>
      <c r="D216" s="2803"/>
      <c r="E216" s="3118"/>
      <c r="F216" s="3118"/>
      <c r="G216" s="3118"/>
      <c r="H216" s="3119"/>
      <c r="I216" s="3119"/>
    </row>
    <row r="217" spans="1:9" ht="15.75">
      <c r="A217" s="2797" t="s">
        <v>4547</v>
      </c>
      <c r="B217" s="2806" t="s">
        <v>4426</v>
      </c>
      <c r="C217" s="2797">
        <f>IF(C214=85,D217,IF(AND(C214=180,ABS(C216)=5),E217,IF(AND(C214=180,ABS(C216)=15),E218,IF(AND(C214=240,ABS(C216)=5),H217,IF(AND(C214=240,ABS(C216)=15),H218,"*")))))</f>
        <v>0</v>
      </c>
      <c r="D217" s="2803" t="str">
        <f>IF(C15=1,89.527,IF(C15=1.25,87.782,IF(C15=1.5,91.642,"*")))</f>
        <v>*</v>
      </c>
      <c r="E217" s="3118" t="str">
        <f>IF(C15=1.25,149.239,IF(C15=1.5,178.659,IF(C15=1.75,181.728,IF(C15=2,171.714,IF(C15=2.25,170.518,IF(C15=2.5,174.32,F217))))))</f>
        <v>*</v>
      </c>
      <c r="F217" s="3118" t="str">
        <f>IF(C15=2.75,175.131,IF(C15=3,167.307,IF(C15=3.25,181.948,IF(C15=3.5,175.728,IF(C15=3.75,174.006,IF(C15=4,177.726,G217))))))</f>
        <v>*</v>
      </c>
      <c r="G217" s="3118" t="str">
        <f>IF(C15=4.5,182.136,IF(C15=5,173.492,IF(C15=5.5,179.709,IF(C15=6,184.319,"*"))))</f>
        <v>*</v>
      </c>
      <c r="H217" s="3119">
        <f>IF(C15=2,235.818,IF(C15=2.25,238.135,IF(C15=2.5,234.549,I217)))</f>
        <v>0</v>
      </c>
      <c r="I217" s="3119">
        <f>IF(C15=2.75,235.862,IF(C15=3,227.536,IF(C15=3.25,226.822,IF(C15=3.5,223.115,IF(C15=3.75,238.964,IF(C15=4,222.71,J217))))))</f>
        <v>0</v>
      </c>
    </row>
    <row r="218" spans="1:9" ht="15">
      <c r="A218" s="2797"/>
      <c r="B218" s="3120"/>
      <c r="C218" s="2797"/>
      <c r="D218" s="2803"/>
      <c r="E218" s="3118" t="str">
        <f>IF(C15=1.25,153.761,IF(C15=1.5,184.085,IF(C15=1.75,187.233,IF(C15=2,176.936,IF(C15=2.25,175.685,IF(C15=2.5,179.59,F218))))))</f>
        <v>*</v>
      </c>
      <c r="F218" s="3118" t="str">
        <f>IF(C15=2.75,180.408,IF(C15=3,172.31,IF(C15=3.25,186.567,IF(C15=3.5,179.763,IF(C15=3.75,178.159,IF(C15=4,181.866,G218))))))</f>
        <v>*</v>
      </c>
      <c r="G218" s="3118" t="str">
        <f>IF(C15=4.5,186.394,IF(C15=5,177.369,IF(C15=5.5,183.827,IF(C15=6,187.856,"*"))))</f>
        <v>*</v>
      </c>
      <c r="H218" s="3121">
        <f>IF(C15=2,243.054,IF(C15=2.25,245.425,IF(C15=2.5,241.705,I218)))</f>
        <v>0</v>
      </c>
      <c r="I218" s="3121">
        <f>IF(C15=2.75,243.042,IF(C15=3,234.425,IF(C15=3.25,233.671,IF(C15=3.5,298.831,IF(C15=3.75,246.159,IF(C15=4,229.379,J218))))))</f>
        <v>0</v>
      </c>
    </row>
    <row r="219" spans="1:9" ht="15.75">
      <c r="A219" s="2976" t="s">
        <v>4548</v>
      </c>
      <c r="B219" s="2806" t="s">
        <v>4549</v>
      </c>
      <c r="C219" s="2797">
        <f>IF(C214=85,D219,IF(AND(C214=180,ABS(C216)=5),E219,IF(AND(C214=180,ABS(C216)=15),E220,IF(AND(C214=240,ABS(C216)=5),H219,IF(AND(C214=240,ABS(C216)=15),H220,"*")))))</f>
        <v>0</v>
      </c>
      <c r="D219" s="2803" t="str">
        <f>IF(C15=1,1.57,IF(C15=1.25,1.96,IF(C15=1.5,2.36,"*")))</f>
        <v>*</v>
      </c>
      <c r="E219" s="3118" t="str">
        <f>IF(C15=1.25,2.76,IF(C15=1.5,3.16,IF(C15=1.75,3.55,IF(C15=2,3.39,IF(C15=2.25,3.78,IF(C15=2.5,4.18,F219))))))</f>
        <v>*</v>
      </c>
      <c r="F219" s="3118" t="str">
        <f>IF(C15=2.75,4.57,IF(C15=3,5.11,IF(C15=3.25,5.8,IF(C15=3.5,6.55,IF(C15=3.75,7.31,IF(C15=4,7.85,G219))))))</f>
        <v>*</v>
      </c>
      <c r="G219" s="3118" t="str">
        <f>IF(C15=4.5,8.93,IF(C15=5,10.37,IF(C15=5.5,11.37,IF(C15=6,12.52,"*"))))</f>
        <v>*</v>
      </c>
      <c r="H219" s="3121">
        <f>IF(C15=2,3.34,IF(C15=2.25,3.73,IF(C15=2.5,4.18,I219)))</f>
        <v>0</v>
      </c>
      <c r="I219" s="3121">
        <f>IF(C15=2.75,4.57,IF(C15=3,5.11,IF(C15=3.25,5.5,IF(C15=3.5,5.9,IF(C15=3.75,6.29,IF(C15=4,6.68,J219))))))</f>
        <v>0</v>
      </c>
    </row>
    <row r="220" spans="1:9" ht="15.75">
      <c r="A220" s="2807"/>
      <c r="B220" s="2801"/>
      <c r="C220" s="2797"/>
      <c r="D220" s="2803"/>
      <c r="E220" s="3118" t="str">
        <f>IF(C15=1.25,2.76,IF(C15=1.5,3.16,IF(C15=1.75,3.55,IF(C15=2,3.39,IF(C15=2.25,3.78,IF(C15=2.5,4.18,F220))))))</f>
        <v>*</v>
      </c>
      <c r="F220" s="3118" t="str">
        <f>IF(C15=2.75,4.57,IF(C15=3,5.11,IF(C15=3.25,5.5,IF(C15=3.5,6.14,IF(C15=3.75,6.97,IF(C15=4,7.47,G220))))))</f>
        <v>*</v>
      </c>
      <c r="G220" s="3118" t="str">
        <f>IF(C15=4.5,8.57,IF(C15=5,10,IF(C15=5.5,11.04,IF(C15=6,11.94,"*"))))</f>
        <v>*</v>
      </c>
      <c r="H220" s="3121">
        <f>IF(C15=2,3.34,IF(C15=2.25,3.73,IF(C15=2.5,4.18,I220)))</f>
        <v>0</v>
      </c>
      <c r="I220" s="3121">
        <f>IF(C15=2.75,4.57,IF(C15=3,5.11,IF(C15=3.25,5.5,IF(C15=3.5,5.9,IF(C15=3.75,6.29,IF(C15=4,6.68,J220))))))</f>
        <v>0</v>
      </c>
    </row>
    <row r="221" spans="1:9" ht="15.75">
      <c r="A221" s="2921" t="s">
        <v>4434</v>
      </c>
      <c r="B221" s="2801"/>
      <c r="C221" s="2797"/>
      <c r="D221" s="2803"/>
      <c r="E221" s="3118"/>
      <c r="F221" s="3118"/>
      <c r="G221" s="3101" t="s">
        <v>4458</v>
      </c>
      <c r="H221" s="2885"/>
      <c r="I221" s="2860"/>
    </row>
    <row r="222" spans="1:9" ht="15">
      <c r="A222" s="2797" t="s">
        <v>4550</v>
      </c>
      <c r="B222" s="3122" t="s">
        <v>4437</v>
      </c>
      <c r="C222" s="3123">
        <f>C215</f>
        <v>0</v>
      </c>
      <c r="D222" s="2809"/>
      <c r="E222" s="2809"/>
      <c r="F222" s="3098"/>
      <c r="G222" s="3067">
        <f>C96</f>
        <v>31</v>
      </c>
      <c r="H222" s="2900"/>
      <c r="I222" s="2797"/>
    </row>
    <row r="223" spans="1:9" ht="15">
      <c r="A223" s="2797" t="s">
        <v>4551</v>
      </c>
      <c r="B223" s="2813" t="s">
        <v>4432</v>
      </c>
      <c r="C223" s="3123">
        <f>C75</f>
        <v>-15</v>
      </c>
      <c r="D223" s="2810" t="s">
        <v>257</v>
      </c>
      <c r="E223" s="2797"/>
      <c r="F223" s="3098"/>
      <c r="G223" s="3067">
        <f>C97</f>
        <v>-15</v>
      </c>
      <c r="H223" s="2900"/>
      <c r="I223" s="2797"/>
    </row>
    <row r="224" spans="1:9" ht="15">
      <c r="A224" s="3092"/>
      <c r="B224" s="3122"/>
      <c r="C224" s="2797">
        <f>RADIANS((C223))</f>
        <v>-0.26179938779914902</v>
      </c>
      <c r="D224" s="2812" t="s">
        <v>2048</v>
      </c>
      <c r="E224" s="2786">
        <f>DEGREES(C224)</f>
        <v>-15</v>
      </c>
      <c r="F224" s="2810" t="s">
        <v>257</v>
      </c>
      <c r="G224" s="3067">
        <f>RADIANS((G223))</f>
        <v>-0.26179938779914902</v>
      </c>
      <c r="H224" s="2900"/>
      <c r="I224" s="2797"/>
    </row>
    <row r="225" spans="1:9" ht="15.75">
      <c r="A225" s="2797" t="s">
        <v>4552</v>
      </c>
      <c r="B225" s="2806" t="s">
        <v>4426</v>
      </c>
      <c r="C225" s="3123">
        <f>IF(C78="",C217,C78)</f>
        <v>245</v>
      </c>
      <c r="D225" s="2809"/>
      <c r="E225" s="2809"/>
      <c r="F225" s="3098"/>
      <c r="G225" s="3067">
        <f>C98</f>
        <v>245</v>
      </c>
      <c r="H225" s="2900"/>
      <c r="I225" s="2797"/>
    </row>
    <row r="226" spans="1:9" ht="15.75">
      <c r="A226" s="2797" t="s">
        <v>4553</v>
      </c>
      <c r="B226" s="2806" t="s">
        <v>4554</v>
      </c>
      <c r="C226" s="2797">
        <f>C15/COS(C224)</f>
        <v>7.2469332628705798</v>
      </c>
      <c r="D226" s="2809"/>
      <c r="E226" s="2809"/>
      <c r="F226" s="3098"/>
      <c r="G226" s="3067">
        <f>C15/COS(G224)</f>
        <v>7.2469332628705798</v>
      </c>
      <c r="H226" s="2900"/>
      <c r="I226" s="2797"/>
    </row>
    <row r="227" spans="1:9" ht="15">
      <c r="A227" s="2797" t="s">
        <v>4555</v>
      </c>
      <c r="B227" s="2813" t="s">
        <v>4556</v>
      </c>
      <c r="C227" s="2797">
        <f>ATAN(TAN(C115)/COS(C224))</f>
        <v>0.36035632401741202</v>
      </c>
      <c r="D227" s="2900"/>
      <c r="E227" s="2797"/>
      <c r="F227" s="3098"/>
      <c r="G227" s="3067">
        <f>ATAN(TAN(C115)/COS(G224))</f>
        <v>0.36035632401741202</v>
      </c>
      <c r="H227" s="2900"/>
      <c r="I227" s="2797"/>
    </row>
    <row r="228" spans="1:9" ht="15">
      <c r="A228" s="3092"/>
      <c r="B228" s="3122" t="s">
        <v>4557</v>
      </c>
      <c r="C228" s="2797">
        <f>TAN(C227)-C227</f>
        <v>1.64533898966654E-2</v>
      </c>
      <c r="D228" s="2900"/>
      <c r="E228" s="2797"/>
      <c r="F228" s="3098"/>
      <c r="G228" s="3067">
        <f>TAN(G227)-G227</f>
        <v>1.64533898966654E-2</v>
      </c>
      <c r="H228" s="2900"/>
      <c r="I228" s="2797"/>
    </row>
    <row r="229" spans="1:9" ht="15.75">
      <c r="A229" s="2813" t="s">
        <v>4465</v>
      </c>
      <c r="B229" s="2806" t="s">
        <v>4558</v>
      </c>
      <c r="C229" s="2797">
        <f>C226*C222</f>
        <v>0</v>
      </c>
      <c r="D229" s="2900"/>
      <c r="E229" s="2797"/>
      <c r="F229" s="3098"/>
      <c r="G229" s="3067">
        <f>G222*G226</f>
        <v>224.654931148988</v>
      </c>
      <c r="H229" s="2900"/>
      <c r="I229" s="2797"/>
    </row>
    <row r="230" spans="1:9" ht="15.75">
      <c r="A230" s="2813" t="s">
        <v>4468</v>
      </c>
      <c r="B230" s="2806" t="s">
        <v>4559</v>
      </c>
      <c r="C230" s="2797">
        <f>C229*COS(C227)</f>
        <v>0</v>
      </c>
      <c r="D230" s="2900"/>
      <c r="E230" s="2797"/>
      <c r="F230" s="3098"/>
      <c r="G230" s="3067">
        <f>G229*COS(G227)</f>
        <v>210.22562360497699</v>
      </c>
      <c r="H230" s="2900"/>
      <c r="I230" s="2797"/>
    </row>
    <row r="231" spans="1:9" ht="15.75">
      <c r="A231" s="2813" t="s">
        <v>4560</v>
      </c>
      <c r="B231" s="2806" t="s">
        <v>4561</v>
      </c>
      <c r="C231" s="2797">
        <f>C15*PI()*COS(C115)</f>
        <v>20.664920038654799</v>
      </c>
      <c r="D231" s="2900"/>
      <c r="E231" s="2797"/>
      <c r="F231" s="3098"/>
      <c r="G231" s="3067">
        <f>C15*PI()*COS(C115)</f>
        <v>20.664920038654799</v>
      </c>
      <c r="H231" s="2900"/>
      <c r="I231" s="2797"/>
    </row>
    <row r="232" spans="1:9" ht="15.75">
      <c r="A232" s="2813" t="s">
        <v>4562</v>
      </c>
      <c r="B232" s="2813" t="s">
        <v>4563</v>
      </c>
      <c r="C232" s="2797">
        <f>ATAN(SIN(C224)*COS(C115)/SQRT(1-(SIN(C224)*COS(C115))^2))</f>
        <v>-0.24567421093291</v>
      </c>
      <c r="D232" s="2812" t="s">
        <v>2048</v>
      </c>
      <c r="E232" s="2786">
        <f>DEGREES(C232)</f>
        <v>-14.076095421662499</v>
      </c>
      <c r="F232" s="2810" t="s">
        <v>257</v>
      </c>
      <c r="G232" s="3067">
        <f>ATAN(SIN(G224)*COS(C115)/SQRT(1-(SIN(G224)*COS(C115))^2))</f>
        <v>-0.24567421093291</v>
      </c>
      <c r="H232" s="2812" t="s">
        <v>2048</v>
      </c>
      <c r="I232" s="2786">
        <f>DEGREES(G232)</f>
        <v>-14.076095421662499</v>
      </c>
    </row>
    <row r="233" spans="1:9" ht="15.75">
      <c r="A233" s="2807" t="s">
        <v>4564</v>
      </c>
      <c r="B233" s="2806" t="s">
        <v>4549</v>
      </c>
      <c r="C233" s="3123">
        <f>IF(C80="",C219,C80)</f>
        <v>12.9</v>
      </c>
      <c r="D233" s="2809"/>
      <c r="E233" s="2809"/>
      <c r="F233" s="3098"/>
      <c r="G233" s="3067">
        <f>C99</f>
        <v>12.9</v>
      </c>
      <c r="H233" s="2900"/>
      <c r="I233" s="2797"/>
    </row>
    <row r="234" spans="1:9" ht="15.75">
      <c r="A234" s="2807" t="s">
        <v>4565</v>
      </c>
      <c r="B234" s="2806" t="s">
        <v>4566</v>
      </c>
      <c r="C234" s="2797">
        <f>C233/COS(C224)</f>
        <v>13.3550627272901</v>
      </c>
      <c r="D234" s="2809"/>
      <c r="E234" s="2809"/>
      <c r="F234" s="3098"/>
      <c r="G234" s="3067">
        <f>G233/COS(G224)</f>
        <v>13.3550627272901</v>
      </c>
      <c r="H234" s="2900"/>
      <c r="I234" s="2797"/>
    </row>
    <row r="235" spans="1:9" ht="15.75">
      <c r="A235" s="2797" t="s">
        <v>4567</v>
      </c>
      <c r="B235" s="2801" t="s">
        <v>4568</v>
      </c>
      <c r="C235" s="2797">
        <f>(C234/C226-PI()/2)/(2*TAN(C227))</f>
        <v>0.36100557657635601</v>
      </c>
      <c r="D235" s="2809"/>
      <c r="E235" s="2809"/>
      <c r="F235" s="3098"/>
      <c r="G235" s="3067">
        <f>(G234/G226-PI()/2)/(2*TAN(G227))</f>
        <v>0.36100557657635601</v>
      </c>
      <c r="H235" s="2900"/>
      <c r="I235" s="2797"/>
    </row>
    <row r="236" spans="1:9" ht="15.75">
      <c r="A236" s="2797" t="s">
        <v>4569</v>
      </c>
      <c r="B236" s="2801" t="s">
        <v>4570</v>
      </c>
      <c r="C236" s="2797">
        <f>C235/COS(C224)</f>
        <v>0.37374047442470998</v>
      </c>
      <c r="D236" s="2809"/>
      <c r="E236" s="2809"/>
      <c r="F236" s="3098"/>
      <c r="G236" s="3067">
        <f>G235/COS(G224)</f>
        <v>0.37374047442470998</v>
      </c>
      <c r="H236" s="2900"/>
      <c r="I236" s="2797"/>
    </row>
    <row r="237" spans="1:9" ht="15.75">
      <c r="A237" s="3092"/>
      <c r="B237" s="2806" t="s">
        <v>475</v>
      </c>
      <c r="C237" s="2797">
        <f>E117+C222/C12*C228+(C153+C233-PI()*C15)/(C15*C12)</f>
        <v>4.5191576740119699E-2</v>
      </c>
      <c r="D237" s="2809"/>
      <c r="E237" s="2809"/>
      <c r="F237" s="3098"/>
      <c r="G237" s="3067">
        <f>E117+G222/C12*G228+(C153+G233-PI()*C15)/(C15*C12)</f>
        <v>6.9479914206625901E-2</v>
      </c>
      <c r="H237" s="2900"/>
      <c r="I237" s="2797"/>
    </row>
    <row r="238" spans="1:9" ht="15.75">
      <c r="A238" s="2976" t="s">
        <v>4571</v>
      </c>
      <c r="B238" s="2813" t="s">
        <v>4572</v>
      </c>
      <c r="C238" s="2797">
        <f>ASIN(SIN(C240)*COS(C120)/COS(C232))</f>
        <v>0.43331063739784798</v>
      </c>
      <c r="D238" s="2812" t="s">
        <v>2048</v>
      </c>
      <c r="E238" s="2786">
        <f t="shared" ref="E238:E241" si="2">DEGREES(C238)</f>
        <v>24.826870741020301</v>
      </c>
      <c r="F238" s="2810" t="s">
        <v>257</v>
      </c>
      <c r="G238" s="3067">
        <f>ASIN(SIN(G240)*COS(C120)/COS(G232))</f>
        <v>0.43331063739781001</v>
      </c>
      <c r="H238" s="3106" t="s">
        <v>2048</v>
      </c>
      <c r="I238" s="3113">
        <f t="shared" ref="I238:I241" si="3">DEGREES(G238)</f>
        <v>24.826870741018102</v>
      </c>
    </row>
    <row r="239" spans="1:9" ht="15.75">
      <c r="A239" s="2976" t="s">
        <v>4573</v>
      </c>
      <c r="B239" s="2813" t="s">
        <v>4574</v>
      </c>
      <c r="C239" s="2797">
        <f>ASIN(SIN(C238)*COS(C232))</f>
        <v>0.41946329849960601</v>
      </c>
      <c r="D239" s="2812" t="s">
        <v>2048</v>
      </c>
      <c r="E239" s="2786">
        <f t="shared" si="2"/>
        <v>24.033476664663699</v>
      </c>
      <c r="F239" s="2810" t="s">
        <v>257</v>
      </c>
      <c r="G239" s="3067">
        <f>ASIN(SIN(G238)*COS(G232))</f>
        <v>0.41946329849956998</v>
      </c>
      <c r="H239" s="3106" t="s">
        <v>2048</v>
      </c>
      <c r="I239" s="3113">
        <f t="shared" si="3"/>
        <v>24.033476664661599</v>
      </c>
    </row>
    <row r="240" spans="1:9" ht="15.75">
      <c r="A240" s="2976" t="s">
        <v>4575</v>
      </c>
      <c r="B240" s="2813" t="s">
        <v>4576</v>
      </c>
      <c r="C240" s="2797">
        <f>C82</f>
        <v>0.41946329849960601</v>
      </c>
      <c r="D240" s="2812" t="s">
        <v>2048</v>
      </c>
      <c r="E240" s="2786">
        <f t="shared" si="2"/>
        <v>24.033476664663699</v>
      </c>
      <c r="F240" s="2810" t="s">
        <v>257</v>
      </c>
      <c r="G240" s="3067">
        <f>C101</f>
        <v>0.41946329849956998</v>
      </c>
      <c r="H240" s="3106" t="s">
        <v>2048</v>
      </c>
      <c r="I240" s="3113">
        <f t="shared" si="3"/>
        <v>24.033476664661599</v>
      </c>
    </row>
    <row r="241" spans="1:9" ht="15.75">
      <c r="A241" s="2976" t="s">
        <v>4577</v>
      </c>
      <c r="B241" s="2813" t="s">
        <v>4578</v>
      </c>
      <c r="C241" s="2797">
        <f>ASIN(SIN(C240)*COS(C120))</f>
        <v>0.41946329849960601</v>
      </c>
      <c r="D241" s="2812" t="s">
        <v>2048</v>
      </c>
      <c r="E241" s="2786">
        <f t="shared" si="2"/>
        <v>24.033476664663699</v>
      </c>
      <c r="F241" s="2810" t="s">
        <v>257</v>
      </c>
      <c r="G241" s="3067">
        <f>ASIN(SIN(G240)*COS(C120))</f>
        <v>0.41946329849956998</v>
      </c>
      <c r="H241" s="3106" t="s">
        <v>2048</v>
      </c>
      <c r="I241" s="3113">
        <f t="shared" si="3"/>
        <v>24.033476664661599</v>
      </c>
    </row>
    <row r="242" spans="1:9" ht="15.75">
      <c r="A242" s="2797" t="s">
        <v>2955</v>
      </c>
      <c r="B242" s="2806" t="s">
        <v>4579</v>
      </c>
      <c r="C242" s="2797">
        <f>C230/COS(C238)</f>
        <v>0</v>
      </c>
      <c r="D242" s="2812"/>
      <c r="E242" s="2786"/>
      <c r="F242" s="2810"/>
      <c r="G242" s="3067">
        <f>G230/COS(G238)</f>
        <v>231.6329911039</v>
      </c>
      <c r="H242" s="2900"/>
      <c r="I242" s="2797"/>
    </row>
    <row r="243" spans="1:9" ht="15.75">
      <c r="A243" s="3092"/>
      <c r="B243" s="2806" t="s">
        <v>4580</v>
      </c>
      <c r="C243" s="2797">
        <f>C125/COS(C240)</f>
        <v>151.24675084427301</v>
      </c>
      <c r="D243" s="2812"/>
      <c r="E243" s="2786"/>
      <c r="F243" s="2810"/>
      <c r="G243" s="3067">
        <f>C125/COS(G240)</f>
        <v>151.24675084427099</v>
      </c>
      <c r="H243" s="2900"/>
      <c r="I243" s="2797"/>
    </row>
    <row r="244" spans="1:9" ht="15.75">
      <c r="A244" s="2807" t="s">
        <v>4581</v>
      </c>
      <c r="B244" s="2806" t="s">
        <v>4514</v>
      </c>
      <c r="C244" s="2797">
        <f>C242/2+C243/2</f>
        <v>75.623375422136604</v>
      </c>
      <c r="D244" s="2900"/>
      <c r="E244" s="2809"/>
      <c r="F244" s="3098"/>
      <c r="G244" s="3067">
        <f>G242/2+G243/2</f>
        <v>191.43987097408501</v>
      </c>
      <c r="H244" s="2900"/>
      <c r="I244" s="2797"/>
    </row>
    <row r="245" spans="1:9" ht="15.75">
      <c r="A245" s="2797" t="s">
        <v>4582</v>
      </c>
      <c r="B245" s="2813" t="s">
        <v>4583</v>
      </c>
      <c r="C245" s="2797">
        <f>ATAN(TAN(C232)/COS(C238))</f>
        <v>-0.26954841803132801</v>
      </c>
      <c r="D245" s="2900"/>
      <c r="E245" s="2821"/>
      <c r="F245" s="3098"/>
      <c r="G245" s="3067">
        <f>ATAN(TAN(G232)/COS(G238))</f>
        <v>-0.26954841803132401</v>
      </c>
      <c r="H245" s="2900"/>
      <c r="I245" s="2797"/>
    </row>
    <row r="246" spans="1:9" ht="15.75">
      <c r="A246" s="3092"/>
      <c r="B246" s="2813" t="s">
        <v>4584</v>
      </c>
      <c r="C246" s="2797">
        <f>ATAN(TAN(C120)/COS(C240))</f>
        <v>0</v>
      </c>
      <c r="D246" s="2900"/>
      <c r="E246" s="2821"/>
      <c r="F246" s="3098"/>
      <c r="G246" s="3067">
        <f>ATAN(TAN(C120)/COS(G240))</f>
        <v>0</v>
      </c>
      <c r="H246" s="2900"/>
      <c r="I246" s="2797"/>
    </row>
    <row r="247" spans="1:9" ht="15.75">
      <c r="A247" s="2807" t="s">
        <v>4585</v>
      </c>
      <c r="B247" s="2806" t="s">
        <v>4586</v>
      </c>
      <c r="C247" s="2797">
        <f>SQRT(C242^2-C230^2)/(2*COS(C232))+SQRT(C243^2-C125^2)/(2*COS(C120))</f>
        <v>30.799157680327401</v>
      </c>
      <c r="D247" s="2900"/>
      <c r="E247" s="2797"/>
      <c r="F247" s="3098"/>
      <c r="G247" s="3067">
        <f>SQRT(G242^2-G230^2)/(2*COS(G232))+SQRT(G243^2-C125^2)/(2*COS(C120))</f>
        <v>80.933278015373901</v>
      </c>
      <c r="H247" s="2900"/>
      <c r="I247" s="2797"/>
    </row>
    <row r="248" spans="1:9" ht="15.75">
      <c r="A248" s="2807" t="s">
        <v>4587</v>
      </c>
      <c r="B248" s="2806" t="s">
        <v>4588</v>
      </c>
      <c r="C248" s="2797">
        <f>SQRT(C225^2-C230^2)/(2*COS(C232))+SQRT(C146^2-C125^2)/(2*COS(C120))-C247</f>
        <v>143.30186709071799</v>
      </c>
      <c r="D248" s="2900"/>
      <c r="E248" s="2797"/>
      <c r="F248" s="3098"/>
      <c r="G248" s="3067">
        <f>SQRT(G225^2-G230^2)/(2*COS(G232))+SQRT(C146^2-C125^2)/(2*COS(C120))-G247</f>
        <v>31.732089183573201</v>
      </c>
      <c r="H248" s="2900"/>
      <c r="I248" s="2797"/>
    </row>
    <row r="249" spans="1:9" ht="15">
      <c r="A249" s="2807" t="s">
        <v>4450</v>
      </c>
      <c r="B249" s="2813" t="s">
        <v>4451</v>
      </c>
      <c r="C249" s="2797">
        <f>C248/C231</f>
        <v>6.9345473789719199</v>
      </c>
      <c r="D249" s="2821" t="str">
        <f>IF(C249&gt;1,"符合要求","应大于 1 ！")</f>
        <v>符合要求</v>
      </c>
      <c r="E249" s="2797"/>
      <c r="F249" s="3098"/>
      <c r="G249" s="3067">
        <f>G248/G231</f>
        <v>1.5355534463340099</v>
      </c>
      <c r="H249" s="2821" t="str">
        <f>IF(G249&gt;1,"符合要求","应大于 1 ！")</f>
        <v>符合要求</v>
      </c>
      <c r="I249" s="2821"/>
    </row>
    <row r="250" spans="1:9" ht="15.75">
      <c r="A250" s="2797" t="s">
        <v>4448</v>
      </c>
      <c r="B250" s="2806" t="s">
        <v>4589</v>
      </c>
      <c r="C250" s="2797">
        <f>ROUND((C244-C225/2-C150/2)/C15,2)</f>
        <v>-16.45</v>
      </c>
      <c r="D250" s="2821" t="str">
        <f>IF(C250&gt;=0.1,"符合要求","顶隙系数小，应大于 0.1！")</f>
        <v>顶隙系数小，应大于 0.1！</v>
      </c>
      <c r="E250" s="2797"/>
      <c r="F250" s="3098"/>
      <c r="G250" s="3067">
        <f>ROUND((G244-G225/2-C150/2)/C15,2)</f>
        <v>0.1</v>
      </c>
      <c r="H250" s="2821" t="str">
        <f>IF(G250&gt;=0.1,"符合要求","顶隙系数小，应大于 0.1！")</f>
        <v>符合要求</v>
      </c>
      <c r="I250" s="2797"/>
    </row>
    <row r="251" spans="1:9" ht="15.75">
      <c r="A251" s="2807" t="s">
        <v>4590</v>
      </c>
      <c r="B251" s="2813" t="s">
        <v>4446</v>
      </c>
      <c r="C251" s="2797">
        <f>ABS(C246+C245)</f>
        <v>0.26954841803132801</v>
      </c>
      <c r="D251" s="2821" t="str">
        <f>IF(C251&gt;RADIANS(16),"大于 16 度！",IF(C251&lt;RADIANS(5),"小于 5 度！","符合要求"))</f>
        <v>符合要求</v>
      </c>
      <c r="E251" s="2797">
        <f>DEGREES(ABS(C251))</f>
        <v>15.4439867276231</v>
      </c>
      <c r="F251" s="2786">
        <f>ROUND(INT(E251)+INT((E251-INT(E251))*60)/100+((E251-INT(E251))*60-INT((E251-INT(E251))*60))*60/10000,4)</f>
        <v>15.2638</v>
      </c>
      <c r="G251" s="3067">
        <f>ABS(G246+G245)</f>
        <v>0.26954841803132401</v>
      </c>
      <c r="H251" s="2821" t="str">
        <f>IF(G251&gt;RADIANS(16),"大于 16 度！",IF(G251&lt;RADIANS(5),"小于 5 度！","符合要求"))</f>
        <v>符合要求</v>
      </c>
      <c r="I251" s="2797">
        <f>DEGREES(ABS(G251))</f>
        <v>15.443986727622899</v>
      </c>
    </row>
    <row r="252" spans="1:9" ht="15.75">
      <c r="A252" s="2807" t="s">
        <v>4452</v>
      </c>
      <c r="B252" s="2797" t="s">
        <v>4453</v>
      </c>
      <c r="C252" s="2797">
        <f>(C25-0.15)*C15/SIN(C135)</f>
        <v>2.0466630801141599</v>
      </c>
      <c r="D252" s="2821" t="str">
        <f>IF(C252&gt;=0.5,"符合要求","超越量应大于或等于 0.5 ！")</f>
        <v>符合要求</v>
      </c>
      <c r="E252" s="2797"/>
      <c r="F252" s="3098"/>
      <c r="G252" s="3067">
        <f>(C25-0.15)*C15/SIN(C135)</f>
        <v>2.0466630801141599</v>
      </c>
      <c r="H252" s="2821" t="str">
        <f>IF(G252&gt;=0.5,"符合要求","超越量应大于或等于 0.5 ！")</f>
        <v>符合要求</v>
      </c>
      <c r="I252" s="2797"/>
    </row>
    <row r="253" spans="1:9" ht="15">
      <c r="A253" s="2836" t="s">
        <v>4591</v>
      </c>
      <c r="B253" s="2813" t="s">
        <v>4592</v>
      </c>
      <c r="C253" s="2797">
        <f>(C247-(C160-C252)/COS(C120))*COS(C232)</f>
        <v>16.8453637181312</v>
      </c>
      <c r="D253" s="2821"/>
      <c r="E253" s="2797"/>
      <c r="F253" s="3098"/>
      <c r="G253" s="3067">
        <f>(G247-(C160-G252)/COS(C120))*COS(G232)</f>
        <v>65.474135416675793</v>
      </c>
      <c r="H253" s="2900"/>
      <c r="I253" s="2797"/>
    </row>
    <row r="254" spans="1:9" ht="15">
      <c r="A254" s="3092"/>
      <c r="B254" s="3124"/>
      <c r="C254" s="2797">
        <f>IF(C92&lt;C150,C150,IF(C92&gt;C256,C256,C92))</f>
        <v>200</v>
      </c>
      <c r="D254" s="3125"/>
      <c r="E254" s="2821"/>
      <c r="F254" s="3098"/>
      <c r="G254" s="3067">
        <f>IF(C111&lt;C150,C150,IF(C111&gt;G256,G256,C111))</f>
        <v>200</v>
      </c>
      <c r="H254" s="2900"/>
      <c r="I254" s="2797"/>
    </row>
    <row r="255" spans="1:9" ht="15">
      <c r="A255" s="3092"/>
      <c r="B255" s="3124"/>
      <c r="C255" s="2797">
        <f>COS(C238)*(SQRT((C225/2)^2-(C230/2)^2)-SQRT((C242/2)^2-(C230/2)^2))</f>
        <v>111.178631199637</v>
      </c>
      <c r="D255" s="3125"/>
      <c r="E255" s="2821"/>
      <c r="F255" s="3098"/>
      <c r="G255" s="3067">
        <f>COS(G238)*(SQRT((G225/2)^2-(G230/2)^2)-SQRT((G242/2)^2-(G230/2)^2))</f>
        <v>12.9604916288197</v>
      </c>
      <c r="H255" s="2900"/>
      <c r="I255" s="2797"/>
    </row>
    <row r="256" spans="1:9" ht="15">
      <c r="A256" s="3092"/>
      <c r="B256" s="3124"/>
      <c r="C256" s="2797">
        <f>2*SQRT(C244^2+(C225/2)^2)</f>
        <v>287.92460756411498</v>
      </c>
      <c r="D256" s="3125"/>
      <c r="E256" s="2821"/>
      <c r="F256" s="3098"/>
      <c r="G256" s="3067">
        <f>2*SQRT(G244^2+(G225/2)^2)</f>
        <v>454.556813604524</v>
      </c>
      <c r="H256" s="2900"/>
      <c r="I256" s="2797"/>
    </row>
    <row r="257" spans="1:9" ht="15">
      <c r="A257" s="3092"/>
      <c r="B257" s="3124"/>
      <c r="C257" s="2797">
        <f>((C254/2)^2-(C225/2)^2+C244^2)/(2*C244)</f>
        <v>4.7118031049220397</v>
      </c>
      <c r="D257" s="3125"/>
      <c r="E257" s="2821"/>
      <c r="F257" s="3098"/>
      <c r="G257" s="3067">
        <f>((G254/2)^2-(G225/2)^2+G244^2)/(2*G244)</f>
        <v>82.644681166907603</v>
      </c>
      <c r="H257" s="2900"/>
      <c r="I257" s="2797"/>
    </row>
    <row r="258" spans="1:9" ht="15">
      <c r="A258" s="3092"/>
      <c r="B258" s="3124"/>
      <c r="C258" s="2797">
        <f>IF((C254/2)&lt;C257,0,SQRT((C254/2)^2-C257^2))</f>
        <v>99.888932877974298</v>
      </c>
      <c r="D258" s="2848"/>
      <c r="E258" s="2848"/>
      <c r="F258" s="3098"/>
      <c r="G258" s="3067">
        <f>IF((G254/2)&lt;G257,0,SQRT((G254/2)^2-G257^2))</f>
        <v>56.3014802187312</v>
      </c>
      <c r="H258" s="2900"/>
      <c r="I258" s="2797"/>
    </row>
    <row r="259" spans="1:9" ht="15">
      <c r="A259" s="3092"/>
      <c r="B259" s="3124"/>
      <c r="C259" s="2797">
        <f>TAN(C251)*(C255+C258)</f>
        <v>58.312063482280003</v>
      </c>
      <c r="D259" s="2900"/>
      <c r="E259" s="2797"/>
      <c r="F259" s="2983"/>
      <c r="G259" s="3067">
        <f>TAN(G251)*(G255+G258)</f>
        <v>19.135145264656099</v>
      </c>
      <c r="H259" s="2900"/>
      <c r="I259" s="2797"/>
    </row>
    <row r="260" spans="1:9" ht="15.75">
      <c r="A260" s="2858" t="s">
        <v>4456</v>
      </c>
      <c r="B260" s="2855" t="s">
        <v>4593</v>
      </c>
      <c r="C260" s="2797">
        <f>C259+1.5</f>
        <v>59.812063482280003</v>
      </c>
      <c r="D260" s="2900"/>
      <c r="E260" s="2797"/>
      <c r="F260" s="2983"/>
      <c r="G260" s="3067">
        <f>G259+1.5</f>
        <v>20.635145264656099</v>
      </c>
      <c r="H260" s="2900"/>
      <c r="I260" s="2797"/>
    </row>
    <row r="261" spans="1:9" ht="15.75">
      <c r="A261" s="2871"/>
      <c r="B261" s="2872"/>
      <c r="C261" s="2791"/>
      <c r="D261" s="2899"/>
      <c r="E261" s="2791"/>
      <c r="F261" s="3127"/>
      <c r="G261" s="3128"/>
      <c r="H261" s="3100"/>
      <c r="I261" s="3139"/>
    </row>
    <row r="262" spans="1:9" ht="15">
      <c r="A262" s="2987"/>
      <c r="B262" s="2988"/>
      <c r="C262" s="2928"/>
      <c r="D262" s="2989"/>
      <c r="E262" s="2928"/>
      <c r="F262" s="2912"/>
      <c r="G262" s="2797"/>
      <c r="H262" s="2912"/>
      <c r="I262" s="2797"/>
    </row>
    <row r="263" spans="1:9" ht="15.75">
      <c r="A263" s="2991" t="s">
        <v>4594</v>
      </c>
      <c r="B263" s="2992"/>
      <c r="C263" s="2959"/>
      <c r="D263" s="2835"/>
      <c r="E263" s="2835"/>
      <c r="F263" s="2809"/>
      <c r="G263" s="2797"/>
      <c r="H263" s="2810"/>
      <c r="I263" s="2797"/>
    </row>
    <row r="264" spans="1:9" ht="15.75">
      <c r="A264" s="2815"/>
      <c r="B264" s="2801"/>
      <c r="C264" s="2797"/>
      <c r="D264" s="2809"/>
      <c r="E264" s="2809"/>
      <c r="F264" s="2809"/>
      <c r="G264" s="2797"/>
      <c r="H264" s="2810"/>
      <c r="I264" s="2797"/>
    </row>
    <row r="265" spans="1:9" ht="22.5">
      <c r="A265" s="2768" t="s">
        <v>4595</v>
      </c>
      <c r="B265" s="2806"/>
      <c r="C265" s="3129"/>
      <c r="D265" s="2812" t="s">
        <v>4596</v>
      </c>
      <c r="E265" s="2996">
        <f>IF(G1="","",G1)</f>
        <v>12</v>
      </c>
      <c r="F265" s="2799"/>
      <c r="G265" s="3025"/>
      <c r="H265" s="3025" t="str">
        <f>IF(I1=0,"",I1)</f>
        <v/>
      </c>
      <c r="I265" s="2900"/>
    </row>
    <row r="266" spans="1:9" ht="15.75">
      <c r="A266" s="3130"/>
      <c r="B266" s="2831"/>
      <c r="C266" s="2999"/>
      <c r="D266" s="3131"/>
      <c r="E266" s="2789"/>
      <c r="F266" s="3010"/>
      <c r="G266" s="2797"/>
      <c r="H266" s="2818"/>
      <c r="I266" s="2900"/>
    </row>
    <row r="267" spans="1:9" ht="15.75">
      <c r="A267" s="2999" t="s">
        <v>2804</v>
      </c>
      <c r="B267" s="3132" t="str">
        <f t="shared" ref="B267:B269" si="4">IF(B8=0,"",B8)</f>
        <v>CK6120</v>
      </c>
      <c r="C267" s="3133"/>
      <c r="D267" s="2907" t="s">
        <v>4597</v>
      </c>
      <c r="E267" s="2903">
        <f>IF(E8=0,"",E8)</f>
        <v>10026</v>
      </c>
      <c r="F267" s="3044"/>
      <c r="G267" s="3011"/>
      <c r="H267" s="2785"/>
      <c r="I267" s="2900"/>
    </row>
    <row r="268" spans="1:9" ht="15.75">
      <c r="A268" s="2999" t="s">
        <v>2806</v>
      </c>
      <c r="B268" s="3132">
        <f t="shared" si="4"/>
        <v>30201</v>
      </c>
      <c r="C268" s="3133"/>
      <c r="D268" s="2781"/>
      <c r="E268" s="3131"/>
      <c r="F268" s="2800"/>
      <c r="G268" s="3011"/>
      <c r="H268" s="2785"/>
      <c r="I268" s="2900"/>
    </row>
    <row r="269" spans="1:9" ht="15.75">
      <c r="A269" s="2999" t="s">
        <v>3282</v>
      </c>
      <c r="B269" s="2870" t="str">
        <f t="shared" si="4"/>
        <v/>
      </c>
      <c r="C269" s="2953"/>
      <c r="D269" s="2907" t="s">
        <v>4598</v>
      </c>
      <c r="E269" s="3131">
        <f>IF(E10=0,"",E10)</f>
        <v>2002.03</v>
      </c>
      <c r="F269" s="2800"/>
      <c r="G269" s="2797" t="str">
        <f>IF(G10=0,"",G10)</f>
        <v/>
      </c>
      <c r="H269" s="2785"/>
      <c r="I269" s="2900"/>
    </row>
    <row r="270" spans="1:9" ht="15.75">
      <c r="A270" s="3001" t="s">
        <v>3283</v>
      </c>
      <c r="B270" s="2801"/>
      <c r="C270" s="2797"/>
      <c r="D270" s="3000"/>
      <c r="E270" s="2800"/>
      <c r="F270" s="2800"/>
      <c r="G270" s="2797"/>
      <c r="H270" s="2785"/>
      <c r="I270" s="2900"/>
    </row>
    <row r="271" spans="1:9" ht="15.75">
      <c r="A271" s="3004" t="s">
        <v>3284</v>
      </c>
      <c r="B271" s="3134" t="s">
        <v>4599</v>
      </c>
      <c r="C271" s="3004" t="s">
        <v>4600</v>
      </c>
      <c r="D271" s="3004" t="s">
        <v>213</v>
      </c>
      <c r="E271" s="3135"/>
      <c r="F271" s="2800"/>
      <c r="G271" s="3011"/>
      <c r="H271" s="2807"/>
      <c r="I271" s="2900"/>
    </row>
    <row r="272" spans="1:9" ht="15">
      <c r="A272" s="3010" t="s">
        <v>4601</v>
      </c>
      <c r="B272" s="2983"/>
      <c r="C272" s="3011"/>
      <c r="D272" s="2807"/>
      <c r="E272" s="2797"/>
      <c r="F272" s="2807"/>
      <c r="G272" s="3011"/>
      <c r="H272" s="2807"/>
      <c r="I272" s="2900"/>
    </row>
    <row r="273" spans="1:9" ht="15.75">
      <c r="A273" s="2818" t="s">
        <v>3287</v>
      </c>
      <c r="B273" s="2801" t="s">
        <v>4602</v>
      </c>
      <c r="C273" s="2797">
        <f>C12</f>
        <v>21</v>
      </c>
      <c r="D273" s="2801"/>
      <c r="E273" s="2797"/>
      <c r="F273" s="2801"/>
      <c r="G273" s="3011"/>
      <c r="H273" s="2900"/>
      <c r="I273" s="2900"/>
    </row>
    <row r="274" spans="1:9" ht="15.75">
      <c r="A274" s="2818"/>
      <c r="B274" s="2801" t="s">
        <v>4603</v>
      </c>
      <c r="C274" s="2797">
        <f>C13</f>
        <v>59</v>
      </c>
      <c r="D274" s="2801"/>
      <c r="E274" s="2797"/>
      <c r="F274" s="2801"/>
      <c r="G274" s="3011"/>
      <c r="H274" s="2900"/>
      <c r="I274" s="2900"/>
    </row>
    <row r="275" spans="1:9" ht="15.75">
      <c r="A275" s="2818" t="s">
        <v>3288</v>
      </c>
      <c r="B275" s="2801" t="s">
        <v>2819</v>
      </c>
      <c r="C275" s="2797">
        <f>C15</f>
        <v>7</v>
      </c>
      <c r="D275" s="2810" t="s">
        <v>2820</v>
      </c>
      <c r="E275" s="3011"/>
      <c r="F275" s="2810"/>
      <c r="G275" s="2797"/>
      <c r="H275" s="2900"/>
      <c r="I275" s="2900"/>
    </row>
    <row r="276" spans="1:9" ht="15.75">
      <c r="A276" s="2818" t="s">
        <v>3289</v>
      </c>
      <c r="B276" s="2797" t="s">
        <v>2822</v>
      </c>
      <c r="C276" s="2797">
        <f>C116</f>
        <v>20</v>
      </c>
      <c r="D276" s="2810" t="s">
        <v>257</v>
      </c>
      <c r="E276" s="3011"/>
      <c r="F276" s="3012"/>
      <c r="G276" s="2797"/>
      <c r="H276" s="2900"/>
      <c r="I276" s="2900"/>
    </row>
    <row r="277" spans="1:9" ht="15.75">
      <c r="A277" s="2818">
        <f>A18</f>
        <v>0</v>
      </c>
      <c r="B277" s="2801">
        <f>B18</f>
        <v>0</v>
      </c>
      <c r="C277" s="2797">
        <f>C18</f>
        <v>0</v>
      </c>
      <c r="D277" s="2810" t="s">
        <v>257</v>
      </c>
      <c r="E277" s="3011"/>
      <c r="F277" s="3012"/>
      <c r="G277" s="2797"/>
      <c r="H277" s="2900"/>
      <c r="I277" s="2900"/>
    </row>
    <row r="278" spans="1:9" ht="15.75">
      <c r="A278" s="2813" t="s">
        <v>4403</v>
      </c>
      <c r="B278" s="2801"/>
      <c r="C278" s="2797" t="str">
        <f>B11</f>
        <v>直齿</v>
      </c>
      <c r="D278" s="2810"/>
      <c r="E278" s="3011"/>
      <c r="F278" s="3012"/>
      <c r="G278" s="2797"/>
      <c r="H278" s="2900"/>
      <c r="I278" s="2900"/>
    </row>
    <row r="279" spans="1:9" ht="15.75">
      <c r="A279" s="2786" t="s">
        <v>4418</v>
      </c>
      <c r="B279" s="2831" t="s">
        <v>1874</v>
      </c>
      <c r="C279" s="2797">
        <f>ROUND(C134,3)</f>
        <v>280</v>
      </c>
      <c r="D279" s="2810" t="s">
        <v>2820</v>
      </c>
      <c r="E279" s="3011"/>
      <c r="F279" s="3012"/>
      <c r="G279" s="2797"/>
      <c r="H279" s="2900"/>
      <c r="I279" s="2900"/>
    </row>
    <row r="280" spans="1:9" ht="15.75">
      <c r="A280" s="2818" t="s">
        <v>3290</v>
      </c>
      <c r="B280" s="2801" t="s">
        <v>2534</v>
      </c>
      <c r="C280" s="2797">
        <f>C19</f>
        <v>50</v>
      </c>
      <c r="D280" s="2810" t="s">
        <v>2820</v>
      </c>
      <c r="E280" s="3011"/>
      <c r="F280" s="2810"/>
      <c r="G280" s="2797"/>
      <c r="H280" s="2900"/>
      <c r="I280" s="2900"/>
    </row>
    <row r="281" spans="1:9" ht="15.75">
      <c r="A281" s="2813" t="s">
        <v>3291</v>
      </c>
      <c r="B281" s="2806" t="s">
        <v>2831</v>
      </c>
      <c r="C281" s="2797">
        <f>C21</f>
        <v>1</v>
      </c>
      <c r="D281" s="2810"/>
      <c r="E281" s="3011"/>
      <c r="F281" s="2810"/>
      <c r="G281" s="2797"/>
      <c r="H281" s="2900"/>
      <c r="I281" s="2900"/>
    </row>
    <row r="282" spans="1:9" ht="15.75">
      <c r="A282" s="2813" t="s">
        <v>3292</v>
      </c>
      <c r="B282" s="2806" t="s">
        <v>2834</v>
      </c>
      <c r="C282" s="2797">
        <f>C22</f>
        <v>0</v>
      </c>
      <c r="D282" s="2810"/>
      <c r="E282" s="3011"/>
      <c r="F282" s="2810"/>
      <c r="G282" s="2797"/>
      <c r="H282" s="2900"/>
      <c r="I282" s="2900"/>
    </row>
    <row r="283" spans="1:9" ht="15.75">
      <c r="A283" s="2818" t="s">
        <v>3293</v>
      </c>
      <c r="B283" s="2801" t="s">
        <v>3294</v>
      </c>
      <c r="C283" s="2797">
        <f>C24</f>
        <v>2.25</v>
      </c>
      <c r="D283" s="2801"/>
      <c r="E283" s="2797"/>
      <c r="F283" s="2801"/>
      <c r="G283" s="2797"/>
      <c r="H283" s="2900"/>
      <c r="I283" s="2900"/>
    </row>
    <row r="284" spans="1:9" ht="15.75">
      <c r="A284" s="2818" t="s">
        <v>3297</v>
      </c>
      <c r="B284" s="2801" t="s">
        <v>407</v>
      </c>
      <c r="C284" s="2797">
        <f>ROUND(C131,4)</f>
        <v>0.5</v>
      </c>
      <c r="D284" s="2810"/>
      <c r="E284" s="2797"/>
      <c r="F284" s="2801"/>
      <c r="G284" s="2797"/>
      <c r="H284" s="2900"/>
      <c r="I284" s="2900"/>
    </row>
    <row r="285" spans="1:9" ht="15.75">
      <c r="A285" s="2818" t="s">
        <v>3298</v>
      </c>
      <c r="B285" s="2801" t="s">
        <v>3299</v>
      </c>
      <c r="C285" s="2797">
        <f>ROUND(C132,4)</f>
        <v>0.5</v>
      </c>
      <c r="D285" s="2810"/>
      <c r="E285" s="2797"/>
      <c r="F285" s="2801"/>
      <c r="G285" s="2797"/>
      <c r="H285" s="2900"/>
      <c r="I285" s="2900"/>
    </row>
    <row r="286" spans="1:9" ht="15.75">
      <c r="A286" s="2818" t="s">
        <v>3300</v>
      </c>
      <c r="B286" s="2801" t="s">
        <v>411</v>
      </c>
      <c r="C286" s="2797">
        <f>ROUND(C123,3)</f>
        <v>147</v>
      </c>
      <c r="D286" s="2810" t="s">
        <v>2820</v>
      </c>
      <c r="E286" s="2797"/>
      <c r="F286" s="2801"/>
      <c r="G286" s="2797"/>
      <c r="H286" s="2810"/>
      <c r="I286" s="3013"/>
    </row>
    <row r="287" spans="1:9" ht="15.75">
      <c r="A287" s="2818" t="s">
        <v>3301</v>
      </c>
      <c r="B287" s="2801" t="s">
        <v>3302</v>
      </c>
      <c r="C287" s="2797">
        <f>ROUND(C125,3)</f>
        <v>138.13499999999999</v>
      </c>
      <c r="D287" s="2810" t="s">
        <v>2820</v>
      </c>
      <c r="E287" s="2797"/>
      <c r="F287" s="2801"/>
      <c r="G287" s="2797"/>
      <c r="H287" s="2810"/>
      <c r="I287" s="3013"/>
    </row>
    <row r="288" spans="1:9" ht="15.75">
      <c r="A288" s="2818" t="s">
        <v>3303</v>
      </c>
      <c r="B288" s="2801" t="s">
        <v>3304</v>
      </c>
      <c r="C288" s="2797">
        <f>ROUND(C146,3)</f>
        <v>168</v>
      </c>
      <c r="D288" s="2810" t="s">
        <v>2820</v>
      </c>
      <c r="E288" s="2797"/>
      <c r="F288" s="2801"/>
      <c r="G288" s="2797"/>
      <c r="H288" s="2810"/>
      <c r="I288" s="3013"/>
    </row>
    <row r="289" spans="1:9" ht="15.75">
      <c r="A289" s="2818" t="s">
        <v>3305</v>
      </c>
      <c r="B289" s="2801" t="s">
        <v>3306</v>
      </c>
      <c r="C289" s="2797">
        <f>ROUND(C150,3)</f>
        <v>136.5</v>
      </c>
      <c r="D289" s="2810" t="s">
        <v>2820</v>
      </c>
      <c r="E289" s="2797"/>
      <c r="F289" s="2801"/>
      <c r="G289" s="2797"/>
      <c r="H289" s="2810"/>
      <c r="I289" s="3013"/>
    </row>
    <row r="290" spans="1:9" ht="15.75">
      <c r="A290" s="2818" t="s">
        <v>3307</v>
      </c>
      <c r="B290" s="2801" t="s">
        <v>3308</v>
      </c>
      <c r="C290" s="2797">
        <f>ROUND(C141,3)</f>
        <v>10.5</v>
      </c>
      <c r="D290" s="2810" t="s">
        <v>2820</v>
      </c>
      <c r="E290" s="2797"/>
      <c r="F290" s="2801"/>
      <c r="G290" s="2797"/>
      <c r="H290" s="2810"/>
      <c r="I290" s="3013"/>
    </row>
    <row r="291" spans="1:9" ht="15.75">
      <c r="A291" s="2818" t="s">
        <v>3309</v>
      </c>
      <c r="B291" s="2801" t="s">
        <v>3310</v>
      </c>
      <c r="C291" s="2797">
        <f>ROUND(C143,3)</f>
        <v>5.25</v>
      </c>
      <c r="D291" s="2810" t="s">
        <v>2820</v>
      </c>
      <c r="E291" s="2797"/>
      <c r="F291" s="2801"/>
      <c r="G291" s="2797"/>
      <c r="H291" s="2810"/>
      <c r="I291" s="3013"/>
    </row>
    <row r="292" spans="1:9" ht="15.75">
      <c r="A292" s="2818" t="s">
        <v>3311</v>
      </c>
      <c r="B292" s="2801" t="s">
        <v>3312</v>
      </c>
      <c r="C292" s="2797">
        <f>ROUND(C145,3)</f>
        <v>15.75</v>
      </c>
      <c r="D292" s="2810" t="s">
        <v>2820</v>
      </c>
      <c r="E292" s="2797"/>
      <c r="F292" s="2810"/>
      <c r="G292" s="2797"/>
      <c r="H292" s="2810"/>
      <c r="I292" s="3013"/>
    </row>
    <row r="293" spans="1:9" ht="15.75">
      <c r="A293" s="2813" t="s">
        <v>3313</v>
      </c>
      <c r="B293" s="2806" t="s">
        <v>3314</v>
      </c>
      <c r="C293" s="2797">
        <f>ROUND(C152,3)</f>
        <v>13.542999999999999</v>
      </c>
      <c r="D293" s="2810" t="s">
        <v>2820</v>
      </c>
      <c r="E293" s="2797"/>
      <c r="F293" s="2810"/>
      <c r="G293" s="2797"/>
      <c r="H293" s="2810"/>
      <c r="I293" s="3013"/>
    </row>
    <row r="294" spans="1:9" ht="15.75">
      <c r="A294" s="2896"/>
      <c r="B294" s="2872"/>
      <c r="C294" s="2791"/>
      <c r="D294" s="2842"/>
      <c r="E294" s="2791"/>
      <c r="F294" s="2810"/>
      <c r="G294" s="2797"/>
      <c r="H294" s="2810"/>
      <c r="I294" s="3013"/>
    </row>
    <row r="295" spans="1:9" ht="15.75">
      <c r="A295" s="3136" t="s">
        <v>4604</v>
      </c>
      <c r="B295" s="2855"/>
      <c r="C295" s="2797"/>
      <c r="D295" s="3012"/>
      <c r="E295" s="2797"/>
      <c r="F295" s="2838"/>
      <c r="G295" s="2797"/>
      <c r="H295" s="2810"/>
      <c r="I295" s="2900"/>
    </row>
    <row r="296" spans="1:9" ht="15.75">
      <c r="A296" s="3137" t="s">
        <v>4605</v>
      </c>
      <c r="B296" s="2855"/>
      <c r="C296" s="2797"/>
      <c r="D296" s="3012"/>
      <c r="E296" s="2797"/>
      <c r="F296" s="2838"/>
      <c r="G296" s="2797"/>
      <c r="H296" s="2810"/>
      <c r="I296" s="2854"/>
    </row>
    <row r="297" spans="1:9" ht="15.75">
      <c r="A297" s="2803" t="s">
        <v>4606</v>
      </c>
      <c r="B297" s="2855"/>
      <c r="C297" s="2924" t="str">
        <f>C33</f>
        <v>不根切</v>
      </c>
      <c r="D297" s="3012"/>
      <c r="E297" s="2797"/>
      <c r="F297" s="2838"/>
      <c r="G297" s="2976"/>
      <c r="H297" s="2810"/>
      <c r="I297" s="2854"/>
    </row>
    <row r="298" spans="1:9" ht="15.75">
      <c r="A298" s="2976" t="s">
        <v>4419</v>
      </c>
      <c r="B298" s="2855"/>
      <c r="C298" s="2924" t="str">
        <f>C32</f>
        <v>不发生干涉</v>
      </c>
      <c r="D298" s="3012"/>
      <c r="E298" s="2810" t="str">
        <f>D32</f>
        <v/>
      </c>
      <c r="F298" s="2838"/>
      <c r="G298" s="2976"/>
      <c r="H298" s="2810"/>
      <c r="I298" s="2854"/>
    </row>
    <row r="299" spans="1:9" ht="15.75">
      <c r="A299" s="2803"/>
      <c r="B299" s="2855"/>
      <c r="C299" s="2797"/>
      <c r="D299" s="3012"/>
      <c r="E299" s="2797"/>
      <c r="F299" s="2838"/>
      <c r="G299" s="2797"/>
      <c r="H299" s="2810"/>
      <c r="I299" s="2854"/>
    </row>
    <row r="300" spans="1:9" ht="15.75">
      <c r="A300" s="3137" t="s">
        <v>4607</v>
      </c>
      <c r="B300" s="2855"/>
      <c r="C300" s="2924" t="str">
        <f>C34</f>
        <v/>
      </c>
      <c r="D300" s="3012"/>
      <c r="E300" s="2797"/>
      <c r="F300" s="2838"/>
      <c r="G300" s="2797"/>
      <c r="H300" s="2810"/>
      <c r="I300" s="2854"/>
    </row>
    <row r="301" spans="1:9" ht="15.75">
      <c r="A301" s="2797" t="s">
        <v>4608</v>
      </c>
      <c r="B301" s="2831" t="s">
        <v>2926</v>
      </c>
      <c r="C301" s="2797">
        <f>C170</f>
        <v>0</v>
      </c>
      <c r="D301" s="3012"/>
      <c r="E301" s="2797"/>
      <c r="F301" s="2838"/>
      <c r="G301" s="3011"/>
      <c r="H301" s="2810"/>
      <c r="I301" s="2854"/>
    </row>
    <row r="302" spans="1:9" ht="15">
      <c r="A302" s="2803" t="s">
        <v>4425</v>
      </c>
      <c r="B302" s="3122"/>
      <c r="C302" s="2797">
        <f>C41</f>
        <v>0</v>
      </c>
      <c r="D302" s="2810" t="s">
        <v>2820</v>
      </c>
      <c r="E302" s="2797"/>
      <c r="F302" s="2838"/>
      <c r="G302" s="3011"/>
      <c r="H302" s="2810"/>
      <c r="I302" s="2854"/>
    </row>
    <row r="303" spans="1:9" ht="15">
      <c r="A303" s="2803" t="s">
        <v>3117</v>
      </c>
      <c r="B303" s="3122"/>
      <c r="C303" s="2797">
        <f>C42</f>
        <v>0</v>
      </c>
      <c r="D303" s="2810" t="s">
        <v>2820</v>
      </c>
      <c r="E303" s="2797"/>
      <c r="F303" s="2838"/>
      <c r="G303" s="3011"/>
      <c r="H303" s="2810"/>
      <c r="I303" s="2854"/>
    </row>
    <row r="304" spans="1:9" ht="15.75">
      <c r="A304" s="2858" t="s">
        <v>2931</v>
      </c>
      <c r="B304" s="2806" t="s">
        <v>4426</v>
      </c>
      <c r="C304" s="2797">
        <f>C44</f>
        <v>0</v>
      </c>
      <c r="D304" s="2810" t="s">
        <v>2820</v>
      </c>
      <c r="E304" s="2797"/>
      <c r="F304" s="2838"/>
      <c r="G304" s="3011"/>
      <c r="H304" s="2810"/>
      <c r="I304" s="2854"/>
    </row>
    <row r="305" spans="1:9" ht="15.75">
      <c r="A305" s="2976" t="s">
        <v>3132</v>
      </c>
      <c r="B305" s="2855" t="s">
        <v>4609</v>
      </c>
      <c r="C305" s="2797">
        <f>C45</f>
        <v>0</v>
      </c>
      <c r="D305" s="2810" t="s">
        <v>2820</v>
      </c>
      <c r="E305" s="2810" t="str">
        <f>E45</f>
        <v>注:在原始截面上</v>
      </c>
      <c r="F305" s="2838"/>
      <c r="G305" s="3011"/>
      <c r="H305" s="2810"/>
      <c r="I305" s="2854"/>
    </row>
    <row r="306" spans="1:9" ht="15.75">
      <c r="A306" s="3138" t="s">
        <v>4610</v>
      </c>
      <c r="B306" s="2855"/>
      <c r="C306" s="2976"/>
      <c r="D306" s="2810"/>
      <c r="E306" s="2976"/>
      <c r="F306" s="2838"/>
      <c r="G306" s="2797"/>
      <c r="H306" s="2810"/>
      <c r="I306" s="2854"/>
    </row>
    <row r="307" spans="1:9" ht="15.75">
      <c r="A307" s="2803" t="s">
        <v>4606</v>
      </c>
      <c r="B307" s="2855"/>
      <c r="C307" s="2924" t="str">
        <f t="shared" ref="C307:C309" si="5">C50</f>
        <v/>
      </c>
      <c r="D307" s="3012"/>
      <c r="E307" s="2797"/>
      <c r="F307" s="2838"/>
      <c r="G307" s="2797"/>
      <c r="H307" s="2810"/>
      <c r="I307" s="2854"/>
    </row>
    <row r="308" spans="1:9" ht="15.75">
      <c r="A308" s="2803" t="s">
        <v>4611</v>
      </c>
      <c r="B308" s="2855"/>
      <c r="C308" s="2924" t="str">
        <f t="shared" si="5"/>
        <v/>
      </c>
      <c r="D308" s="3012"/>
      <c r="E308" s="2797"/>
      <c r="F308" s="2838"/>
      <c r="G308" s="2797"/>
      <c r="H308" s="2810"/>
      <c r="I308" s="2854"/>
    </row>
    <row r="309" spans="1:9" ht="15.75">
      <c r="A309" s="2858" t="s">
        <v>4419</v>
      </c>
      <c r="B309" s="2855"/>
      <c r="C309" s="2924" t="str">
        <f t="shared" si="5"/>
        <v/>
      </c>
      <c r="D309" s="3012"/>
      <c r="E309" s="2797"/>
      <c r="F309" s="2838"/>
      <c r="G309" s="2797"/>
      <c r="H309" s="2810"/>
      <c r="I309" s="2854"/>
    </row>
    <row r="310" spans="1:9" ht="15.75">
      <c r="A310" s="2858"/>
      <c r="B310" s="2855"/>
      <c r="C310" s="2924"/>
      <c r="D310" s="3012"/>
      <c r="E310" s="2797"/>
      <c r="F310" s="2838"/>
      <c r="G310" s="2797"/>
      <c r="H310" s="2810"/>
      <c r="I310" s="2854"/>
    </row>
    <row r="311" spans="1:9" ht="15.75">
      <c r="A311" s="2857"/>
      <c r="B311" s="2855"/>
      <c r="C311" s="2797"/>
      <c r="D311" s="3012"/>
      <c r="E311" s="2797"/>
      <c r="F311" s="2838"/>
      <c r="G311" s="2797"/>
      <c r="H311" s="2810"/>
      <c r="I311" s="2854"/>
    </row>
    <row r="312" spans="1:9" ht="15.75">
      <c r="A312" s="3137" t="s">
        <v>4612</v>
      </c>
      <c r="B312" s="2855"/>
      <c r="C312" s="2797"/>
      <c r="D312" s="3012"/>
      <c r="E312" s="2797"/>
      <c r="F312" s="2838"/>
      <c r="G312" s="2797"/>
      <c r="H312" s="2810"/>
      <c r="I312" s="2854"/>
    </row>
    <row r="313" spans="1:9" ht="15.75">
      <c r="A313" s="2818" t="s">
        <v>4608</v>
      </c>
      <c r="B313" s="2831" t="s">
        <v>2926</v>
      </c>
      <c r="C313" s="2797">
        <f t="shared" ref="C313:C319" si="6">C54</f>
        <v>20</v>
      </c>
      <c r="D313" s="3012"/>
      <c r="E313" s="2797"/>
      <c r="F313" s="2838"/>
      <c r="G313" s="2797"/>
      <c r="H313" s="2810"/>
      <c r="I313" s="2854"/>
    </row>
    <row r="314" spans="1:9" ht="15.75">
      <c r="A314" s="2797" t="s">
        <v>2913</v>
      </c>
      <c r="B314" s="2806" t="s">
        <v>4430</v>
      </c>
      <c r="C314" s="2797">
        <f>C195</f>
        <v>1.3</v>
      </c>
      <c r="D314" s="3012"/>
      <c r="E314" s="2797"/>
      <c r="F314" s="2838"/>
      <c r="G314" s="2797"/>
      <c r="H314" s="2810"/>
      <c r="I314" s="2854"/>
    </row>
    <row r="315" spans="1:9" ht="15.75">
      <c r="A315" s="2797" t="s">
        <v>4613</v>
      </c>
      <c r="B315" s="2813" t="s">
        <v>4424</v>
      </c>
      <c r="C315" s="2797">
        <f>E194</f>
        <v>6</v>
      </c>
      <c r="D315" s="2810" t="s">
        <v>257</v>
      </c>
      <c r="E315" s="2797"/>
      <c r="F315" s="2838"/>
      <c r="G315" s="2797"/>
      <c r="H315" s="2810"/>
      <c r="I315" s="2854"/>
    </row>
    <row r="316" spans="1:9" ht="15">
      <c r="A316" s="2803" t="s">
        <v>4425</v>
      </c>
      <c r="B316" s="3122"/>
      <c r="C316" s="2797">
        <f t="shared" si="6"/>
        <v>158.19999999999999</v>
      </c>
      <c r="D316" s="2810" t="s">
        <v>2820</v>
      </c>
      <c r="E316" s="2797"/>
      <c r="F316" s="2838"/>
      <c r="G316" s="2797"/>
      <c r="H316" s="2810"/>
      <c r="I316" s="2854"/>
    </row>
    <row r="317" spans="1:9" ht="15.75">
      <c r="A317" s="2858" t="s">
        <v>2931</v>
      </c>
      <c r="B317" s="2806" t="s">
        <v>4426</v>
      </c>
      <c r="C317" s="2797">
        <f>C197</f>
        <v>160</v>
      </c>
      <c r="D317" s="2810" t="s">
        <v>2820</v>
      </c>
      <c r="E317" s="2797"/>
      <c r="F317" s="2838"/>
      <c r="G317" s="2797"/>
      <c r="H317" s="2810"/>
      <c r="I317" s="2854"/>
    </row>
    <row r="318" spans="1:9" ht="15.75">
      <c r="A318" s="2976" t="s">
        <v>3132</v>
      </c>
      <c r="B318" s="2855" t="s">
        <v>4609</v>
      </c>
      <c r="C318" s="2797">
        <f t="shared" si="6"/>
        <v>8.56</v>
      </c>
      <c r="D318" s="2810" t="s">
        <v>2820</v>
      </c>
      <c r="E318" s="2797"/>
      <c r="F318" s="2838"/>
      <c r="G318" s="2797"/>
      <c r="H318" s="2810"/>
      <c r="I318" s="2854"/>
    </row>
    <row r="319" spans="1:9" ht="15.75">
      <c r="A319" s="2797" t="s">
        <v>4431</v>
      </c>
      <c r="B319" s="2813" t="s">
        <v>4432</v>
      </c>
      <c r="C319" s="2797">
        <f t="shared" si="6"/>
        <v>0</v>
      </c>
      <c r="D319" s="2810" t="s">
        <v>257</v>
      </c>
      <c r="E319" s="2797"/>
      <c r="F319" s="2838"/>
      <c r="G319" s="2797"/>
      <c r="H319" s="2810"/>
      <c r="I319" s="2854"/>
    </row>
    <row r="320" spans="1:9" ht="15.75">
      <c r="A320" s="2797" t="s">
        <v>4614</v>
      </c>
      <c r="B320" s="2855"/>
      <c r="C320" s="2797" t="str">
        <f>E60</f>
        <v>直  齿</v>
      </c>
      <c r="D320" s="3012"/>
      <c r="E320" s="2797"/>
      <c r="F320" s="2838"/>
      <c r="G320" s="2797"/>
      <c r="H320" s="2810"/>
      <c r="I320" s="2854"/>
    </row>
    <row r="321" spans="1:9" ht="15.75">
      <c r="A321" s="3138" t="s">
        <v>4610</v>
      </c>
      <c r="B321" s="2855"/>
      <c r="C321" s="2797"/>
      <c r="D321" s="3012"/>
      <c r="E321" s="2797"/>
      <c r="F321" s="2838"/>
      <c r="G321" s="2797"/>
      <c r="H321" s="2810"/>
      <c r="I321" s="2854"/>
    </row>
    <row r="322" spans="1:9" ht="15.75">
      <c r="A322" s="2803" t="s">
        <v>4606</v>
      </c>
      <c r="B322" s="2855"/>
      <c r="C322" s="2924" t="str">
        <f t="shared" ref="C322:C324" si="7">C65</f>
        <v>不根切</v>
      </c>
      <c r="D322" s="3012"/>
      <c r="E322" s="2797"/>
      <c r="F322" s="2838"/>
      <c r="G322" s="2797"/>
      <c r="H322" s="2810"/>
      <c r="I322" s="2854"/>
    </row>
    <row r="323" spans="1:9" ht="15.75">
      <c r="A323" s="2803" t="s">
        <v>4611</v>
      </c>
      <c r="B323" s="2855"/>
      <c r="C323" s="2924" t="str">
        <f t="shared" si="7"/>
        <v>不发生顶切</v>
      </c>
      <c r="D323" s="3012"/>
      <c r="E323" s="2797"/>
      <c r="F323" s="2838"/>
      <c r="G323" s="2797"/>
      <c r="H323" s="2810"/>
      <c r="I323" s="2854"/>
    </row>
    <row r="324" spans="1:9" ht="15.75">
      <c r="A324" s="2858" t="s">
        <v>4419</v>
      </c>
      <c r="B324" s="2855"/>
      <c r="C324" s="2924" t="str">
        <f t="shared" si="7"/>
        <v>不发生干涉</v>
      </c>
      <c r="D324" s="3012"/>
      <c r="E324" s="2797"/>
      <c r="F324" s="2838"/>
      <c r="G324" s="2797"/>
      <c r="H324" s="2810"/>
      <c r="I324" s="2854"/>
    </row>
    <row r="325" spans="1:9" ht="15.75">
      <c r="A325" s="2857"/>
      <c r="B325" s="2855"/>
      <c r="C325" s="2797"/>
      <c r="D325" s="3012"/>
      <c r="E325" s="2797"/>
      <c r="F325" s="2838"/>
      <c r="G325" s="2797"/>
      <c r="H325" s="2810"/>
      <c r="I325" s="2854"/>
    </row>
    <row r="326" spans="1:9" ht="15.75">
      <c r="A326" s="3140" t="s">
        <v>4615</v>
      </c>
      <c r="B326" s="2855"/>
      <c r="C326" s="2924"/>
      <c r="D326" s="3012"/>
      <c r="E326" s="2797"/>
      <c r="F326" s="2838"/>
      <c r="G326" s="2797"/>
      <c r="H326" s="2810"/>
      <c r="I326" s="2854"/>
    </row>
    <row r="327" spans="1:9" ht="15.75">
      <c r="A327" s="3120" t="str">
        <f>IF(C74="","","剃齿刀公称分度圆直径")</f>
        <v>剃齿刀公称分度圆直径</v>
      </c>
      <c r="B327" s="2855"/>
      <c r="C327" s="2976">
        <f>IF(C74="","",C74)</f>
        <v>240</v>
      </c>
      <c r="D327" s="2810" t="str">
        <f>IF(C74="","","毫米")</f>
        <v>毫米</v>
      </c>
      <c r="E327" s="2797"/>
      <c r="F327" s="2838"/>
      <c r="G327" s="2797"/>
      <c r="H327" s="2810"/>
      <c r="I327" s="2854"/>
    </row>
    <row r="328" spans="1:9" ht="15.75">
      <c r="A328" s="2803" t="s">
        <v>4616</v>
      </c>
      <c r="B328" s="3122" t="s">
        <v>4617</v>
      </c>
      <c r="C328" s="2797">
        <f>IF(C222="*","",C222)</f>
        <v>0</v>
      </c>
      <c r="D328" s="2810"/>
      <c r="E328" s="2797"/>
      <c r="F328" s="2838"/>
      <c r="G328" s="2797"/>
      <c r="H328" s="2810"/>
      <c r="I328" s="2854"/>
    </row>
    <row r="329" spans="1:9" ht="15.75">
      <c r="A329" s="2803" t="s">
        <v>4618</v>
      </c>
      <c r="B329" s="2813" t="s">
        <v>4432</v>
      </c>
      <c r="C329" s="2797">
        <f>IF(C222="*","",ABS(C223))</f>
        <v>15</v>
      </c>
      <c r="D329" s="2810" t="s">
        <v>257</v>
      </c>
      <c r="E329" s="2797"/>
      <c r="F329" s="3122"/>
      <c r="G329" s="2797"/>
      <c r="H329" s="2810"/>
      <c r="I329" s="2854"/>
    </row>
    <row r="330" spans="1:9" ht="15.75">
      <c r="A330" s="2803" t="s">
        <v>3286</v>
      </c>
      <c r="B330" s="3122"/>
      <c r="C330" s="2976" t="str">
        <f>IF(C222="*","",E75)</f>
        <v>左旋或右旋</v>
      </c>
      <c r="D330" s="3012"/>
      <c r="E330" s="2797"/>
      <c r="F330" s="2813"/>
      <c r="G330" s="2797"/>
      <c r="H330" s="2810"/>
      <c r="I330" s="2854"/>
    </row>
    <row r="331" spans="1:9" ht="15.75">
      <c r="A331" s="2976" t="s">
        <v>4460</v>
      </c>
      <c r="B331" s="2806" t="s">
        <v>4426</v>
      </c>
      <c r="C331" s="2786">
        <f>C225</f>
        <v>245</v>
      </c>
      <c r="D331" s="2810" t="s">
        <v>2820</v>
      </c>
      <c r="E331" s="2797"/>
      <c r="F331" s="3122"/>
      <c r="G331" s="2797"/>
      <c r="H331" s="2810"/>
      <c r="I331" s="2854"/>
    </row>
    <row r="332" spans="1:9" ht="15.75">
      <c r="A332" s="2976" t="s">
        <v>4619</v>
      </c>
      <c r="B332" s="2831" t="s">
        <v>4549</v>
      </c>
      <c r="C332" s="2786">
        <f>C233</f>
        <v>12.9</v>
      </c>
      <c r="D332" s="2810" t="s">
        <v>2820</v>
      </c>
      <c r="E332" s="2797"/>
      <c r="F332" s="2838"/>
      <c r="G332" s="2797"/>
      <c r="H332" s="2810"/>
      <c r="I332" s="2854"/>
    </row>
    <row r="333" spans="1:9" ht="15.75">
      <c r="A333" s="2857" t="s">
        <v>4445</v>
      </c>
      <c r="B333" s="2836" t="s">
        <v>4620</v>
      </c>
      <c r="C333" s="2797" t="str">
        <f t="shared" ref="C333:C337" si="8">C86</f>
        <v/>
      </c>
      <c r="D333" s="2810" t="s">
        <v>2938</v>
      </c>
      <c r="E333" s="3141"/>
      <c r="F333" s="2838"/>
      <c r="G333" s="2797"/>
      <c r="H333" s="2810"/>
      <c r="I333" s="2854"/>
    </row>
    <row r="334" spans="1:9" ht="15.75">
      <c r="A334" s="2857" t="s">
        <v>4621</v>
      </c>
      <c r="B334" s="2806" t="s">
        <v>4444</v>
      </c>
      <c r="C334" s="2797" t="str">
        <f>C85</f>
        <v/>
      </c>
      <c r="D334" s="2810" t="s">
        <v>2820</v>
      </c>
      <c r="E334" s="3141"/>
      <c r="F334" s="2838"/>
      <c r="G334" s="2797"/>
      <c r="H334" s="2810"/>
      <c r="I334" s="2854"/>
    </row>
    <row r="335" spans="1:9" ht="15.75">
      <c r="A335" s="2803" t="s">
        <v>4448</v>
      </c>
      <c r="B335" s="2806" t="s">
        <v>4622</v>
      </c>
      <c r="C335" s="2797" t="str">
        <f t="shared" si="8"/>
        <v/>
      </c>
      <c r="D335" s="3012"/>
      <c r="E335" s="3141"/>
      <c r="F335" s="2838"/>
      <c r="G335" s="2797"/>
      <c r="H335" s="2810"/>
      <c r="I335" s="2854"/>
    </row>
    <row r="336" spans="1:9" ht="15.75">
      <c r="A336" s="2807" t="s">
        <v>4450</v>
      </c>
      <c r="B336" s="2813" t="s">
        <v>4451</v>
      </c>
      <c r="C336" s="2797" t="str">
        <f t="shared" si="8"/>
        <v/>
      </c>
      <c r="D336" s="3012"/>
      <c r="E336" s="3141"/>
      <c r="F336" s="2838"/>
      <c r="G336" s="2797"/>
      <c r="H336" s="2806"/>
      <c r="I336" s="2854"/>
    </row>
    <row r="337" spans="1:9" ht="15.75">
      <c r="A337" s="2807" t="s">
        <v>4452</v>
      </c>
      <c r="B337" s="2797" t="s">
        <v>4453</v>
      </c>
      <c r="C337" s="2797" t="str">
        <f t="shared" si="8"/>
        <v/>
      </c>
      <c r="D337" s="2810" t="s">
        <v>2820</v>
      </c>
      <c r="E337" s="3141"/>
      <c r="F337" s="2838"/>
      <c r="G337" s="2797"/>
      <c r="H337" s="2806"/>
      <c r="I337" s="2854"/>
    </row>
    <row r="338" spans="1:9" ht="15.75">
      <c r="A338" s="2857" t="s">
        <v>4623</v>
      </c>
      <c r="B338" s="2855"/>
      <c r="C338" s="2797">
        <f>IF(C222="*","",C92)</f>
        <v>200</v>
      </c>
      <c r="D338" s="2810" t="s">
        <v>2820</v>
      </c>
      <c r="E338" s="2797"/>
      <c r="F338" s="2838"/>
      <c r="G338" s="2797"/>
      <c r="H338" s="2813"/>
      <c r="I338" s="2854"/>
    </row>
    <row r="339" spans="1:9" ht="15">
      <c r="A339" s="2857" t="s">
        <v>4456</v>
      </c>
      <c r="B339" s="3081" t="s">
        <v>4457</v>
      </c>
      <c r="C339" s="2797" t="str">
        <f>IF(C222="*","",C93)</f>
        <v/>
      </c>
      <c r="D339" s="2810" t="s">
        <v>2820</v>
      </c>
      <c r="E339" s="2797"/>
      <c r="F339" s="2838"/>
      <c r="G339" s="2797"/>
      <c r="H339" s="2900"/>
      <c r="I339" s="2854"/>
    </row>
    <row r="340" spans="1:9" ht="15">
      <c r="A340" s="3138" t="s">
        <v>4610</v>
      </c>
      <c r="B340" s="3081"/>
      <c r="C340" s="2797"/>
      <c r="D340" s="2810"/>
      <c r="E340" s="2797"/>
      <c r="F340" s="2838"/>
      <c r="G340" s="2797"/>
      <c r="H340" s="2900"/>
      <c r="I340" s="2854"/>
    </row>
    <row r="341" spans="1:9" ht="15.75">
      <c r="A341" s="2803" t="s">
        <v>4624</v>
      </c>
      <c r="B341" s="3081"/>
      <c r="C341" s="2924" t="str">
        <f>E86</f>
        <v/>
      </c>
      <c r="D341" s="2810"/>
      <c r="E341" s="2797"/>
      <c r="F341" s="2838"/>
      <c r="G341" s="2797"/>
      <c r="H341" s="2900"/>
      <c r="I341" s="2854"/>
    </row>
    <row r="342" spans="1:9" ht="15">
      <c r="A342" s="2803" t="s">
        <v>4448</v>
      </c>
      <c r="B342" s="3081"/>
      <c r="C342" s="2924" t="str">
        <f t="shared" ref="C342:C344" si="9">E88</f>
        <v/>
      </c>
      <c r="D342" s="2810"/>
      <c r="E342" s="2797"/>
      <c r="F342" s="2838"/>
      <c r="G342" s="2797"/>
      <c r="H342" s="2900"/>
      <c r="I342" s="2854"/>
    </row>
    <row r="343" spans="1:9" ht="15.75">
      <c r="A343" s="2803" t="s">
        <v>4625</v>
      </c>
      <c r="B343" s="3081"/>
      <c r="C343" s="2924" t="str">
        <f t="shared" si="9"/>
        <v/>
      </c>
      <c r="D343" s="2810"/>
      <c r="E343" s="2797"/>
      <c r="F343" s="2838"/>
      <c r="G343" s="2797"/>
      <c r="H343" s="2900"/>
      <c r="I343" s="2854"/>
    </row>
    <row r="344" spans="1:9" ht="15">
      <c r="A344" s="2807" t="s">
        <v>4626</v>
      </c>
      <c r="B344" s="3081"/>
      <c r="C344" s="2924" t="str">
        <f t="shared" si="9"/>
        <v/>
      </c>
      <c r="D344" s="2810"/>
      <c r="E344" s="2797"/>
      <c r="F344" s="2838"/>
      <c r="G344" s="2797"/>
      <c r="H344" s="2900"/>
      <c r="I344" s="2854"/>
    </row>
    <row r="345" spans="1:9" ht="15">
      <c r="A345" s="2857"/>
      <c r="B345" s="3081"/>
      <c r="C345" s="2797"/>
      <c r="D345" s="2810"/>
      <c r="E345" s="2797"/>
      <c r="F345" s="2838"/>
      <c r="G345" s="2797"/>
      <c r="H345" s="2900"/>
      <c r="I345" s="2854"/>
    </row>
    <row r="346" spans="1:9" ht="15.75">
      <c r="A346" s="3140" t="s">
        <v>4627</v>
      </c>
      <c r="B346" s="2855"/>
      <c r="C346" s="2797"/>
      <c r="D346" s="2810"/>
      <c r="E346" s="2797"/>
      <c r="F346" s="2838"/>
      <c r="G346" s="2797"/>
      <c r="H346" s="2900"/>
      <c r="I346" s="2854"/>
    </row>
    <row r="347" spans="1:9" ht="15.75">
      <c r="A347" s="3120" t="str">
        <f>IF(C93="","","剃齿刀公称分度圆直径")</f>
        <v/>
      </c>
      <c r="B347" s="2855"/>
      <c r="C347" s="2797"/>
      <c r="D347" s="2810"/>
      <c r="E347" s="2797"/>
      <c r="F347" s="2838"/>
      <c r="G347" s="2797"/>
      <c r="H347" s="2900"/>
      <c r="I347" s="2854"/>
    </row>
    <row r="348" spans="1:9" ht="15.75">
      <c r="A348" s="2803" t="s">
        <v>4616</v>
      </c>
      <c r="B348" s="3122" t="s">
        <v>4617</v>
      </c>
      <c r="C348" s="2797">
        <f>IF(C96="","",C96)</f>
        <v>31</v>
      </c>
      <c r="D348" s="2810"/>
      <c r="E348" s="2797"/>
      <c r="F348" s="2838"/>
      <c r="G348" s="2797"/>
      <c r="H348" s="2900"/>
      <c r="I348" s="2854"/>
    </row>
    <row r="349" spans="1:9" ht="15.75">
      <c r="A349" s="2803" t="s">
        <v>4618</v>
      </c>
      <c r="B349" s="2813" t="s">
        <v>4432</v>
      </c>
      <c r="C349" s="2797">
        <f>IF(C96="","",ABS(C97))</f>
        <v>15</v>
      </c>
      <c r="D349" s="2810" t="s">
        <v>257</v>
      </c>
      <c r="E349" s="2797"/>
      <c r="F349" s="2838"/>
      <c r="G349" s="2797"/>
      <c r="H349" s="2900"/>
      <c r="I349" s="2854"/>
    </row>
    <row r="350" spans="1:9" ht="15.75">
      <c r="A350" s="2803" t="s">
        <v>3286</v>
      </c>
      <c r="B350" s="3122"/>
      <c r="C350" s="2797" t="str">
        <f>IF(C96="","",E97)</f>
        <v>左旋或右旋</v>
      </c>
      <c r="D350" s="3012"/>
      <c r="E350" s="2797"/>
      <c r="F350" s="2838"/>
      <c r="G350" s="2797"/>
      <c r="H350" s="2900"/>
      <c r="I350" s="2854"/>
    </row>
    <row r="351" spans="1:9" ht="15.75">
      <c r="A351" s="2976" t="s">
        <v>4460</v>
      </c>
      <c r="B351" s="2806" t="s">
        <v>4426</v>
      </c>
      <c r="C351" s="2797">
        <f>IF(C96="","",C98)</f>
        <v>245</v>
      </c>
      <c r="D351" s="2810" t="s">
        <v>2820</v>
      </c>
      <c r="E351" s="2797"/>
      <c r="F351" s="2838"/>
      <c r="G351" s="2797"/>
      <c r="H351" s="2900"/>
      <c r="I351" s="2854"/>
    </row>
    <row r="352" spans="1:9" ht="15.75">
      <c r="A352" s="2976" t="s">
        <v>4619</v>
      </c>
      <c r="B352" s="2831" t="s">
        <v>4549</v>
      </c>
      <c r="C352" s="2797">
        <f>IF(C96="","",C99)</f>
        <v>12.9</v>
      </c>
      <c r="D352" s="2810" t="s">
        <v>2820</v>
      </c>
      <c r="E352" s="2797"/>
      <c r="F352" s="2838"/>
      <c r="G352" s="2797"/>
      <c r="H352" s="2900"/>
      <c r="I352" s="2854"/>
    </row>
    <row r="353" spans="1:9" ht="15.75">
      <c r="A353" s="2857" t="s">
        <v>4445</v>
      </c>
      <c r="B353" s="2836" t="s">
        <v>4620</v>
      </c>
      <c r="C353" s="2797">
        <f>IF(C96="","",C105)</f>
        <v>0</v>
      </c>
      <c r="D353" s="2810" t="s">
        <v>2938</v>
      </c>
      <c r="E353" s="2797"/>
      <c r="F353" s="2838"/>
      <c r="G353" s="2797"/>
      <c r="H353" s="2900"/>
      <c r="I353" s="2854"/>
    </row>
    <row r="354" spans="1:9" ht="15.75">
      <c r="A354" s="2857" t="s">
        <v>4621</v>
      </c>
      <c r="B354" s="2806" t="s">
        <v>4444</v>
      </c>
      <c r="C354" s="2797">
        <f>IF(C96="","",C104)</f>
        <v>191.44</v>
      </c>
      <c r="D354" s="2810" t="s">
        <v>2820</v>
      </c>
      <c r="E354" s="2797"/>
      <c r="F354" s="2838"/>
      <c r="G354" s="2797"/>
      <c r="H354" s="2900"/>
      <c r="I354" s="2854"/>
    </row>
    <row r="355" spans="1:9" ht="15.75">
      <c r="A355" s="2803" t="s">
        <v>4448</v>
      </c>
      <c r="B355" s="2806" t="s">
        <v>4622</v>
      </c>
      <c r="C355" s="2797">
        <f>IF(C96="","",C107)</f>
        <v>0.1</v>
      </c>
      <c r="D355" s="3012"/>
      <c r="E355" s="2797"/>
      <c r="F355" s="2838"/>
      <c r="G355" s="2797"/>
      <c r="H355" s="2900"/>
      <c r="I355" s="2854"/>
    </row>
    <row r="356" spans="1:9" ht="15">
      <c r="A356" s="2807" t="s">
        <v>4450</v>
      </c>
      <c r="B356" s="2813" t="s">
        <v>4451</v>
      </c>
      <c r="C356" s="2797">
        <f>IF(C96="","",C108)</f>
        <v>1.54</v>
      </c>
      <c r="D356" s="3012"/>
      <c r="E356" s="2797"/>
      <c r="F356" s="2838"/>
      <c r="G356" s="2797"/>
      <c r="H356" s="2900"/>
      <c r="I356" s="2854"/>
    </row>
    <row r="357" spans="1:9" ht="15.75">
      <c r="A357" s="2807" t="s">
        <v>4452</v>
      </c>
      <c r="B357" s="2797" t="s">
        <v>4453</v>
      </c>
      <c r="C357" s="2797">
        <f>IF(C96="","",C109)</f>
        <v>2.0499999999999998</v>
      </c>
      <c r="D357" s="2810" t="s">
        <v>2820</v>
      </c>
      <c r="E357" s="2797"/>
      <c r="F357" s="2838"/>
      <c r="G357" s="2797"/>
      <c r="H357" s="2900"/>
      <c r="I357" s="2854"/>
    </row>
    <row r="358" spans="1:9" ht="15.75">
      <c r="A358" s="2857" t="s">
        <v>4623</v>
      </c>
      <c r="B358" s="2855"/>
      <c r="C358" s="2797">
        <f>IF(C96="","",C111)</f>
        <v>200</v>
      </c>
      <c r="D358" s="2810" t="s">
        <v>2820</v>
      </c>
      <c r="E358" s="2797"/>
      <c r="F358" s="2838"/>
      <c r="G358" s="2797"/>
      <c r="H358" s="2900"/>
      <c r="I358" s="2854"/>
    </row>
    <row r="359" spans="1:9" ht="15">
      <c r="A359" s="2857" t="s">
        <v>4456</v>
      </c>
      <c r="B359" s="3081" t="s">
        <v>4457</v>
      </c>
      <c r="C359" s="2797">
        <f>IF(C96="","",C112)</f>
        <v>20.64</v>
      </c>
      <c r="D359" s="2810" t="s">
        <v>2820</v>
      </c>
      <c r="E359" s="2797"/>
      <c r="F359" s="2838"/>
      <c r="G359" s="2797"/>
      <c r="H359" s="2900"/>
      <c r="I359" s="2854"/>
    </row>
    <row r="360" spans="1:9" ht="15">
      <c r="A360" s="3138" t="s">
        <v>4610</v>
      </c>
      <c r="B360" s="3081"/>
      <c r="C360" s="2797"/>
      <c r="D360" s="2810"/>
      <c r="E360" s="2797"/>
      <c r="F360" s="2838"/>
      <c r="G360" s="2797"/>
      <c r="H360" s="2900"/>
      <c r="I360" s="2854"/>
    </row>
    <row r="361" spans="1:9" ht="15.75">
      <c r="A361" s="2803" t="s">
        <v>4624</v>
      </c>
      <c r="B361" s="3081"/>
      <c r="C361" s="2924" t="str">
        <f>E105</f>
        <v>符合要求</v>
      </c>
      <c r="D361" s="2810"/>
      <c r="E361" s="2797"/>
      <c r="F361" s="2838"/>
      <c r="G361" s="2797"/>
      <c r="H361" s="2900"/>
      <c r="I361" s="2854"/>
    </row>
    <row r="362" spans="1:9" ht="15">
      <c r="A362" s="2803" t="s">
        <v>4448</v>
      </c>
      <c r="B362" s="3081"/>
      <c r="C362" s="2924" t="str">
        <f t="shared" ref="C362:C364" si="10">E107</f>
        <v>符合要求</v>
      </c>
      <c r="D362" s="2810"/>
      <c r="E362" s="2797"/>
      <c r="F362" s="2838"/>
      <c r="G362" s="2797"/>
      <c r="H362" s="2900"/>
      <c r="I362" s="2854"/>
    </row>
    <row r="363" spans="1:9" ht="15.75">
      <c r="A363" s="2803" t="s">
        <v>4625</v>
      </c>
      <c r="B363" s="3081"/>
      <c r="C363" s="2924" t="str">
        <f t="shared" si="10"/>
        <v>符合要求</v>
      </c>
      <c r="D363" s="2810"/>
      <c r="E363" s="2797"/>
      <c r="F363" s="2838"/>
      <c r="G363" s="2797"/>
      <c r="H363" s="2900"/>
      <c r="I363" s="2854"/>
    </row>
    <row r="364" spans="1:9" ht="15">
      <c r="A364" s="2807" t="s">
        <v>4626</v>
      </c>
      <c r="B364" s="3081"/>
      <c r="C364" s="2924" t="str">
        <f t="shared" si="10"/>
        <v>符合要求</v>
      </c>
      <c r="D364" s="2810"/>
      <c r="E364" s="2797"/>
      <c r="F364" s="2838"/>
      <c r="G364" s="2797"/>
      <c r="H364" s="2900"/>
      <c r="I364" s="2854"/>
    </row>
    <row r="365" spans="1:9" ht="15">
      <c r="A365" s="2963"/>
      <c r="B365" s="3082"/>
      <c r="C365" s="2791"/>
      <c r="D365" s="2842"/>
      <c r="E365" s="2791"/>
      <c r="F365" s="2838"/>
      <c r="G365" s="2797"/>
      <c r="H365" s="2900"/>
      <c r="I365" s="2854"/>
    </row>
    <row r="366" spans="1:9" ht="15">
      <c r="A366" s="2815" t="s">
        <v>4628</v>
      </c>
      <c r="B366" s="2838"/>
      <c r="C366" s="2797"/>
      <c r="D366" s="2810"/>
      <c r="E366" s="3031"/>
      <c r="F366" s="2891"/>
      <c r="G366" s="2797"/>
      <c r="H366" s="2810"/>
      <c r="I366" s="2900"/>
    </row>
    <row r="367" spans="1:9" ht="15.75">
      <c r="A367" s="3032"/>
      <c r="B367" s="2930"/>
      <c r="C367" s="3142"/>
      <c r="D367" s="3033"/>
      <c r="E367" s="3142"/>
      <c r="F367" s="2891"/>
      <c r="G367" s="3022"/>
      <c r="H367" s="2891"/>
      <c r="I367" s="2900"/>
    </row>
    <row r="368" spans="1:9" ht="15.75">
      <c r="A368" s="2860"/>
      <c r="B368" s="3143"/>
      <c r="C368" s="3144"/>
      <c r="D368" s="2893"/>
      <c r="E368" s="3144"/>
      <c r="F368" s="2893"/>
      <c r="G368" s="3144"/>
      <c r="H368" s="2893"/>
      <c r="I368" s="2854"/>
    </row>
    <row r="369" spans="1:9" ht="15.75">
      <c r="A369" s="2860"/>
      <c r="B369" s="3143"/>
      <c r="C369" s="3144"/>
      <c r="D369" s="2893"/>
      <c r="E369" s="3144"/>
      <c r="F369" s="2893"/>
      <c r="G369" s="3144"/>
      <c r="H369" s="2893"/>
      <c r="I369" s="2854"/>
    </row>
    <row r="370" spans="1:9" ht="15.75">
      <c r="A370" s="2860"/>
      <c r="B370" s="3143"/>
      <c r="C370" s="3144"/>
      <c r="D370" s="2893"/>
      <c r="E370" s="3144"/>
      <c r="F370" s="2893"/>
      <c r="G370" s="3144"/>
      <c r="H370" s="2893"/>
      <c r="I370" s="2854"/>
    </row>
  </sheetData>
  <phoneticPr fontId="214" type="noConversion"/>
  <pageMargins left="0.75" right="0.75" top="1" bottom="1" header="0.51" footer="0.51"/>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M396"/>
  <sheetViews>
    <sheetView workbookViewId="0"/>
  </sheetViews>
  <sheetFormatPr defaultColWidth="9" defaultRowHeight="14.25"/>
  <cols>
    <col min="1" max="1" width="20.25" style="2694" customWidth="1"/>
    <col min="2" max="256" width="9" style="2694"/>
    <col min="257" max="257" width="20.25" style="2694" customWidth="1"/>
    <col min="258" max="512" width="9" style="2694"/>
    <col min="513" max="513" width="20.25" style="2694" customWidth="1"/>
    <col min="514" max="768" width="9" style="2694"/>
    <col min="769" max="769" width="20.25" style="2694" customWidth="1"/>
    <col min="770" max="1024" width="9" style="2694"/>
    <col min="1025" max="1025" width="20.25" style="2694" customWidth="1"/>
    <col min="1026" max="1280" width="9" style="2694"/>
    <col min="1281" max="1281" width="20.25" style="2694" customWidth="1"/>
    <col min="1282" max="1536" width="9" style="2694"/>
    <col min="1537" max="1537" width="20.25" style="2694" customWidth="1"/>
    <col min="1538" max="1792" width="9" style="2694"/>
    <col min="1793" max="1793" width="20.25" style="2694" customWidth="1"/>
    <col min="1794" max="2048" width="9" style="2694"/>
    <col min="2049" max="2049" width="20.25" style="2694" customWidth="1"/>
    <col min="2050" max="2304" width="9" style="2694"/>
    <col min="2305" max="2305" width="20.25" style="2694" customWidth="1"/>
    <col min="2306" max="2560" width="9" style="2694"/>
    <col min="2561" max="2561" width="20.25" style="2694" customWidth="1"/>
    <col min="2562" max="2816" width="9" style="2694"/>
    <col min="2817" max="2817" width="20.25" style="2694" customWidth="1"/>
    <col min="2818" max="3072" width="9" style="2694"/>
    <col min="3073" max="3073" width="20.25" style="2694" customWidth="1"/>
    <col min="3074" max="3328" width="9" style="2694"/>
    <col min="3329" max="3329" width="20.25" style="2694" customWidth="1"/>
    <col min="3330" max="3584" width="9" style="2694"/>
    <col min="3585" max="3585" width="20.25" style="2694" customWidth="1"/>
    <col min="3586" max="3840" width="9" style="2694"/>
    <col min="3841" max="3841" width="20.25" style="2694" customWidth="1"/>
    <col min="3842" max="4096" width="9" style="2694"/>
    <col min="4097" max="4097" width="20.25" style="2694" customWidth="1"/>
    <col min="4098" max="4352" width="9" style="2694"/>
    <col min="4353" max="4353" width="20.25" style="2694" customWidth="1"/>
    <col min="4354" max="4608" width="9" style="2694"/>
    <col min="4609" max="4609" width="20.25" style="2694" customWidth="1"/>
    <col min="4610" max="4864" width="9" style="2694"/>
    <col min="4865" max="4865" width="20.25" style="2694" customWidth="1"/>
    <col min="4866" max="5120" width="9" style="2694"/>
    <col min="5121" max="5121" width="20.25" style="2694" customWidth="1"/>
    <col min="5122" max="5376" width="9" style="2694"/>
    <col min="5377" max="5377" width="20.25" style="2694" customWidth="1"/>
    <col min="5378" max="5632" width="9" style="2694"/>
    <col min="5633" max="5633" width="20.25" style="2694" customWidth="1"/>
    <col min="5634" max="5888" width="9" style="2694"/>
    <col min="5889" max="5889" width="20.25" style="2694" customWidth="1"/>
    <col min="5890" max="6144" width="9" style="2694"/>
    <col min="6145" max="6145" width="20.25" style="2694" customWidth="1"/>
    <col min="6146" max="6400" width="9" style="2694"/>
    <col min="6401" max="6401" width="20.25" style="2694" customWidth="1"/>
    <col min="6402" max="6656" width="9" style="2694"/>
    <col min="6657" max="6657" width="20.25" style="2694" customWidth="1"/>
    <col min="6658" max="6912" width="9" style="2694"/>
    <col min="6913" max="6913" width="20.25" style="2694" customWidth="1"/>
    <col min="6914" max="7168" width="9" style="2694"/>
    <col min="7169" max="7169" width="20.25" style="2694" customWidth="1"/>
    <col min="7170" max="7424" width="9" style="2694"/>
    <col min="7425" max="7425" width="20.25" style="2694" customWidth="1"/>
    <col min="7426" max="7680" width="9" style="2694"/>
    <col min="7681" max="7681" width="20.25" style="2694" customWidth="1"/>
    <col min="7682" max="7936" width="9" style="2694"/>
    <col min="7937" max="7937" width="20.25" style="2694" customWidth="1"/>
    <col min="7938" max="8192" width="9" style="2694"/>
    <col min="8193" max="8193" width="20.25" style="2694" customWidth="1"/>
    <col min="8194" max="8448" width="9" style="2694"/>
    <col min="8449" max="8449" width="20.25" style="2694" customWidth="1"/>
    <col min="8450" max="8704" width="9" style="2694"/>
    <col min="8705" max="8705" width="20.25" style="2694" customWidth="1"/>
    <col min="8706" max="8960" width="9" style="2694"/>
    <col min="8961" max="8961" width="20.25" style="2694" customWidth="1"/>
    <col min="8962" max="9216" width="9" style="2694"/>
    <col min="9217" max="9217" width="20.25" style="2694" customWidth="1"/>
    <col min="9218" max="9472" width="9" style="2694"/>
    <col min="9473" max="9473" width="20.25" style="2694" customWidth="1"/>
    <col min="9474" max="9728" width="9" style="2694"/>
    <col min="9729" max="9729" width="20.25" style="2694" customWidth="1"/>
    <col min="9730" max="9984" width="9" style="2694"/>
    <col min="9985" max="9985" width="20.25" style="2694" customWidth="1"/>
    <col min="9986" max="10240" width="9" style="2694"/>
    <col min="10241" max="10241" width="20.25" style="2694" customWidth="1"/>
    <col min="10242" max="10496" width="9" style="2694"/>
    <col min="10497" max="10497" width="20.25" style="2694" customWidth="1"/>
    <col min="10498" max="10752" width="9" style="2694"/>
    <col min="10753" max="10753" width="20.25" style="2694" customWidth="1"/>
    <col min="10754" max="11008" width="9" style="2694"/>
    <col min="11009" max="11009" width="20.25" style="2694" customWidth="1"/>
    <col min="11010" max="11264" width="9" style="2694"/>
    <col min="11265" max="11265" width="20.25" style="2694" customWidth="1"/>
    <col min="11266" max="11520" width="9" style="2694"/>
    <col min="11521" max="11521" width="20.25" style="2694" customWidth="1"/>
    <col min="11522" max="11776" width="9" style="2694"/>
    <col min="11777" max="11777" width="20.25" style="2694" customWidth="1"/>
    <col min="11778" max="12032" width="9" style="2694"/>
    <col min="12033" max="12033" width="20.25" style="2694" customWidth="1"/>
    <col min="12034" max="12288" width="9" style="2694"/>
    <col min="12289" max="12289" width="20.25" style="2694" customWidth="1"/>
    <col min="12290" max="12544" width="9" style="2694"/>
    <col min="12545" max="12545" width="20.25" style="2694" customWidth="1"/>
    <col min="12546" max="12800" width="9" style="2694"/>
    <col min="12801" max="12801" width="20.25" style="2694" customWidth="1"/>
    <col min="12802" max="13056" width="9" style="2694"/>
    <col min="13057" max="13057" width="20.25" style="2694" customWidth="1"/>
    <col min="13058" max="13312" width="9" style="2694"/>
    <col min="13313" max="13313" width="20.25" style="2694" customWidth="1"/>
    <col min="13314" max="13568" width="9" style="2694"/>
    <col min="13569" max="13569" width="20.25" style="2694" customWidth="1"/>
    <col min="13570" max="13824" width="9" style="2694"/>
    <col min="13825" max="13825" width="20.25" style="2694" customWidth="1"/>
    <col min="13826" max="14080" width="9" style="2694"/>
    <col min="14081" max="14081" width="20.25" style="2694" customWidth="1"/>
    <col min="14082" max="14336" width="9" style="2694"/>
    <col min="14337" max="14337" width="20.25" style="2694" customWidth="1"/>
    <col min="14338" max="14592" width="9" style="2694"/>
    <col min="14593" max="14593" width="20.25" style="2694" customWidth="1"/>
    <col min="14594" max="14848" width="9" style="2694"/>
    <col min="14849" max="14849" width="20.25" style="2694" customWidth="1"/>
    <col min="14850" max="15104" width="9" style="2694"/>
    <col min="15105" max="15105" width="20.25" style="2694" customWidth="1"/>
    <col min="15106" max="15360" width="9" style="2694"/>
    <col min="15361" max="15361" width="20.25" style="2694" customWidth="1"/>
    <col min="15362" max="15616" width="9" style="2694"/>
    <col min="15617" max="15617" width="20.25" style="2694" customWidth="1"/>
    <col min="15618" max="15872" width="9" style="2694"/>
    <col min="15873" max="15873" width="20.25" style="2694" customWidth="1"/>
    <col min="15874" max="16128" width="9" style="2694"/>
    <col min="16129" max="16129" width="20.25" style="2694" customWidth="1"/>
    <col min="16130" max="16384" width="9" style="2694"/>
  </cols>
  <sheetData>
    <row r="1" spans="1:13" ht="22.5">
      <c r="A1" s="2768" t="s">
        <v>4629</v>
      </c>
      <c r="B1" s="2769"/>
      <c r="C1" s="2768"/>
      <c r="D1" s="2769"/>
      <c r="E1" s="2769"/>
      <c r="F1" s="2769"/>
      <c r="G1" s="2769"/>
      <c r="H1" s="2770" t="s">
        <v>2794</v>
      </c>
      <c r="I1" s="2883">
        <v>12</v>
      </c>
      <c r="J1" s="2884"/>
      <c r="K1" s="2860"/>
      <c r="L1" s="2860"/>
      <c r="M1" s="2860"/>
    </row>
    <row r="2" spans="1:13" ht="22.5">
      <c r="A2" s="2771" t="s">
        <v>4630</v>
      </c>
      <c r="B2" s="2769"/>
      <c r="C2" s="2769"/>
      <c r="D2" s="2769"/>
      <c r="E2" s="2769"/>
      <c r="F2" s="2769"/>
      <c r="G2" s="2769"/>
      <c r="H2" s="2769"/>
      <c r="I2" s="2860"/>
      <c r="J2" s="2860"/>
      <c r="K2" s="2860"/>
      <c r="L2" s="2860"/>
      <c r="M2" s="2860"/>
    </row>
    <row r="3" spans="1:13" ht="22.5">
      <c r="A3" s="2772" t="s">
        <v>4631</v>
      </c>
      <c r="B3" s="2769"/>
      <c r="C3" s="2769"/>
      <c r="D3" s="2769"/>
      <c r="E3" s="2769"/>
      <c r="F3" s="2769"/>
      <c r="G3" s="2769"/>
      <c r="H3" s="2769"/>
      <c r="I3" s="2860"/>
      <c r="J3" s="2860"/>
      <c r="K3" s="2860"/>
      <c r="L3" s="2860"/>
      <c r="M3" s="2860"/>
    </row>
    <row r="4" spans="1:13" ht="22.5">
      <c r="A4" s="2771" t="s">
        <v>2799</v>
      </c>
      <c r="B4" s="2769"/>
      <c r="C4" s="2769"/>
      <c r="D4" s="2769"/>
      <c r="E4" s="2769"/>
      <c r="F4" s="2769"/>
      <c r="G4" s="2769"/>
      <c r="H4" s="2769"/>
      <c r="I4" s="2860"/>
      <c r="J4" s="2860"/>
      <c r="K4" s="2860"/>
      <c r="L4" s="2860"/>
      <c r="M4" s="2860"/>
    </row>
    <row r="5" spans="1:13" ht="22.5">
      <c r="A5" s="2771" t="s">
        <v>4632</v>
      </c>
      <c r="B5" s="2769"/>
      <c r="C5" s="2769"/>
      <c r="D5" s="2769"/>
      <c r="E5" s="2769"/>
      <c r="F5" s="2769"/>
      <c r="G5" s="2769"/>
      <c r="H5" s="2769"/>
      <c r="I5" s="2860"/>
      <c r="J5" s="2860"/>
      <c r="K5" s="2860"/>
      <c r="L5" s="2860"/>
      <c r="M5" s="2860"/>
    </row>
    <row r="6" spans="1:13" ht="22.5">
      <c r="A6" s="2773"/>
      <c r="B6" s="2774"/>
      <c r="C6" s="2774"/>
      <c r="D6" s="2774"/>
      <c r="E6" s="2774"/>
      <c r="F6" s="2775"/>
      <c r="G6" s="2775" t="s">
        <v>4633</v>
      </c>
      <c r="H6" s="2774"/>
      <c r="I6" s="2885"/>
      <c r="J6" s="2885"/>
      <c r="K6" s="2885"/>
      <c r="L6" s="2860"/>
      <c r="M6" s="2860"/>
    </row>
    <row r="7" spans="1:13" ht="22.5">
      <c r="A7" s="2776" t="s">
        <v>2802</v>
      </c>
      <c r="B7" s="2769"/>
      <c r="C7" s="2769"/>
      <c r="D7" s="2769"/>
      <c r="E7" s="2769"/>
      <c r="F7" s="2777"/>
      <c r="G7" s="2769"/>
      <c r="H7" s="2769"/>
      <c r="I7" s="2885"/>
      <c r="J7" s="2885"/>
      <c r="K7" s="2885"/>
      <c r="L7" s="2860"/>
      <c r="M7" s="2860"/>
    </row>
    <row r="8" spans="1:13" ht="22.5">
      <c r="A8" s="2778" t="s">
        <v>2803</v>
      </c>
      <c r="B8" s="2774"/>
      <c r="C8" s="2779"/>
      <c r="D8" s="2774"/>
      <c r="E8" s="2774"/>
      <c r="F8" s="2780"/>
      <c r="G8" s="2775"/>
      <c r="H8" s="2774"/>
      <c r="I8" s="2885"/>
      <c r="J8" s="2885"/>
      <c r="K8" s="2885"/>
      <c r="L8" s="2860"/>
      <c r="M8" s="2860"/>
    </row>
    <row r="9" spans="1:13" ht="15.75">
      <c r="A9" s="2770" t="s">
        <v>2804</v>
      </c>
      <c r="B9" s="2781"/>
      <c r="C9" s="2782"/>
      <c r="D9" s="2783"/>
      <c r="E9" s="2770" t="s">
        <v>4634</v>
      </c>
      <c r="F9" s="2784"/>
      <c r="G9" s="2782">
        <v>10026</v>
      </c>
      <c r="H9" s="2785"/>
      <c r="I9" s="2885"/>
      <c r="J9" s="2885"/>
      <c r="K9" s="2885"/>
      <c r="L9" s="2860"/>
      <c r="M9" s="2860"/>
    </row>
    <row r="10" spans="1:13">
      <c r="A10" s="2770" t="s">
        <v>2806</v>
      </c>
      <c r="B10" s="2786" t="s">
        <v>2677</v>
      </c>
      <c r="C10" s="2787">
        <v>30201</v>
      </c>
      <c r="D10" s="2788"/>
      <c r="E10" s="2788"/>
      <c r="F10" s="2789" t="s">
        <v>2680</v>
      </c>
      <c r="G10" s="2787">
        <v>30202</v>
      </c>
      <c r="H10" s="2788"/>
      <c r="I10" s="2885"/>
      <c r="J10" s="2885"/>
      <c r="K10" s="2885"/>
      <c r="L10" s="2860"/>
      <c r="M10" s="2860"/>
    </row>
    <row r="11" spans="1:13" ht="15.75">
      <c r="A11" s="2790" t="s">
        <v>2809</v>
      </c>
      <c r="B11" s="2791"/>
      <c r="C11" s="2792"/>
      <c r="D11" s="2793"/>
      <c r="E11" s="2790" t="s">
        <v>2810</v>
      </c>
      <c r="F11" s="2794"/>
      <c r="G11" s="2795"/>
      <c r="H11" s="2793"/>
      <c r="I11" s="2886"/>
      <c r="J11" s="2887"/>
      <c r="K11" s="2885"/>
      <c r="L11" s="2860"/>
      <c r="M11" s="2860"/>
    </row>
    <row r="12" spans="1:13" ht="15.75">
      <c r="A12" s="2796" t="s">
        <v>4635</v>
      </c>
      <c r="B12" s="2797"/>
      <c r="C12" s="2798"/>
      <c r="D12" s="2785"/>
      <c r="E12" s="2799"/>
      <c r="F12" s="2800"/>
      <c r="G12" s="2801"/>
      <c r="H12" s="2785"/>
      <c r="I12" s="2886"/>
      <c r="J12" s="2887"/>
      <c r="K12" s="2885"/>
      <c r="L12" s="2860"/>
      <c r="M12" s="2860"/>
    </row>
    <row r="13" spans="1:13" ht="15.75">
      <c r="A13" s="2802" t="s">
        <v>4636</v>
      </c>
      <c r="B13" s="2797"/>
      <c r="C13" s="2801"/>
      <c r="D13" s="2785"/>
      <c r="E13" s="2799"/>
      <c r="F13" s="2800"/>
      <c r="G13" s="2801"/>
      <c r="H13" s="2785"/>
      <c r="I13" s="2886"/>
      <c r="J13" s="2887"/>
      <c r="K13" s="2885"/>
      <c r="L13" s="2860"/>
      <c r="M13" s="2860"/>
    </row>
    <row r="14" spans="1:13" ht="15.75">
      <c r="A14" s="2802" t="s">
        <v>4637</v>
      </c>
      <c r="B14" s="2797"/>
      <c r="C14" s="2801"/>
      <c r="D14" s="2785"/>
      <c r="E14" s="2799"/>
      <c r="F14" s="2800"/>
      <c r="G14" s="2801"/>
      <c r="H14" s="2785"/>
      <c r="I14" s="2886"/>
      <c r="J14" s="2887"/>
      <c r="K14" s="2885"/>
      <c r="L14" s="2860"/>
      <c r="M14" s="2860"/>
    </row>
    <row r="15" spans="1:13" ht="15.75">
      <c r="A15" s="2803" t="s">
        <v>4638</v>
      </c>
      <c r="B15" s="2797"/>
      <c r="C15" s="2804">
        <v>1</v>
      </c>
      <c r="D15" s="2805" t="str">
        <f>IF(OR(C15="",C15=1,C15=2),"","错误！")</f>
        <v/>
      </c>
      <c r="E15" s="2802"/>
      <c r="F15" s="2800"/>
      <c r="G15" s="2801"/>
      <c r="H15" s="2785"/>
      <c r="I15" s="2886"/>
      <c r="J15" s="2887"/>
      <c r="K15" s="2885"/>
      <c r="L15" s="2860"/>
      <c r="M15" s="2860"/>
    </row>
    <row r="16" spans="1:13" ht="15.75">
      <c r="A16" s="2806" t="str">
        <f>IF(C15=1,"","轴     交     角")</f>
        <v/>
      </c>
      <c r="B16" s="2807" t="str">
        <f>IF(C15=1,"","Σ")</f>
        <v/>
      </c>
      <c r="C16" s="2787"/>
      <c r="D16" s="2808" t="str">
        <f>IF(AND(C15=1,C16&lt;&gt;""),"取消！",IF(C15=1,"",IF(AND(C15=2,C16=""),"注：如不输入，则默认 90 度。","度")))</f>
        <v/>
      </c>
      <c r="E16" s="2802"/>
      <c r="F16" s="2800"/>
      <c r="G16" s="2797"/>
      <c r="H16" s="2785"/>
      <c r="I16" s="2886"/>
      <c r="J16" s="2887"/>
      <c r="K16" s="2885"/>
      <c r="L16" s="2860"/>
      <c r="M16" s="2860"/>
    </row>
    <row r="17" spans="1:13">
      <c r="A17" s="2797"/>
      <c r="B17" s="2807"/>
      <c r="C17" s="2809">
        <f>IF(C15=1,90,IF(AND(C15=2,C16=""),90,C16))</f>
        <v>90</v>
      </c>
      <c r="D17" s="2810"/>
      <c r="E17" s="2802"/>
      <c r="F17" s="2800"/>
      <c r="G17" s="2797"/>
      <c r="H17" s="2785"/>
      <c r="I17" s="2885"/>
      <c r="J17" s="2888"/>
      <c r="K17" s="2885"/>
      <c r="L17" s="2860"/>
      <c r="M17" s="2860"/>
    </row>
    <row r="18" spans="1:13" ht="15.75">
      <c r="A18" s="2806" t="str">
        <f>IF(C15=1,"中     心     距","齿               数")</f>
        <v>中     心     距</v>
      </c>
      <c r="B18" s="2806" t="str">
        <f>IF(C15=1,"a","Z1")</f>
        <v>a</v>
      </c>
      <c r="C18" s="2811">
        <v>100</v>
      </c>
      <c r="D18" s="2812" t="str">
        <f>IF(C15=1,"毫米","")</f>
        <v>毫米</v>
      </c>
      <c r="E18" s="2802"/>
      <c r="F18" s="2813" t="str">
        <f>IF(C15=1,"","Z2")</f>
        <v/>
      </c>
      <c r="G18" s="2814"/>
      <c r="H18" s="2815" t="str">
        <f>IF(AND(B18="a",G18&lt;&gt;""),"取消！","")</f>
        <v/>
      </c>
      <c r="I18" s="2885"/>
      <c r="J18" s="2887"/>
      <c r="K18" s="2889"/>
      <c r="L18" s="2860"/>
      <c r="M18" s="2860"/>
    </row>
    <row r="19" spans="1:13" ht="15.75">
      <c r="A19" s="2806" t="str">
        <f>IF(C15=1,"传动比原始值","")</f>
        <v>传动比原始值</v>
      </c>
      <c r="B19" s="2806" t="str">
        <f>IF(C15=1,"u0","")</f>
        <v>u0</v>
      </c>
      <c r="C19" s="2787">
        <v>3</v>
      </c>
      <c r="D19" s="2816" t="str">
        <f>IF(AND(B19="",C19&lt;&gt;""),"取消！","")</f>
        <v/>
      </c>
      <c r="E19" s="2802" t="str">
        <f>IF(A19="","","( Z2 / Z1 )")</f>
        <v>( Z2 / Z1 )</v>
      </c>
      <c r="F19" s="2800"/>
      <c r="G19" s="2797"/>
      <c r="H19" s="2785"/>
      <c r="I19" s="2885"/>
      <c r="J19" s="2887"/>
      <c r="K19" s="2889"/>
      <c r="L19" s="2860"/>
      <c r="M19" s="2860"/>
    </row>
    <row r="20" spans="1:13" ht="15.75">
      <c r="A20" s="2813" t="s">
        <v>4639</v>
      </c>
      <c r="B20" s="2806" t="s">
        <v>2819</v>
      </c>
      <c r="C20" s="2787">
        <v>3</v>
      </c>
      <c r="D20" s="2810" t="s">
        <v>2820</v>
      </c>
      <c r="E20" s="2802"/>
      <c r="F20" s="2800"/>
      <c r="G20" s="2809">
        <f>C20</f>
        <v>3</v>
      </c>
      <c r="H20" s="2785"/>
      <c r="I20" s="2885"/>
      <c r="J20" s="2887"/>
      <c r="K20" s="2889"/>
      <c r="L20" s="2860"/>
      <c r="M20" s="2860"/>
    </row>
    <row r="21" spans="1:13" ht="15.75">
      <c r="A21" s="2813" t="s">
        <v>2936</v>
      </c>
      <c r="B21" s="2817" t="s">
        <v>4640</v>
      </c>
      <c r="C21" s="2814"/>
      <c r="D21" s="2808" t="str">
        <f>IF(C21="","注：如不输入，则默认 αn = 20 度","度")</f>
        <v>注：如不输入，则默认 αn = 20 度</v>
      </c>
      <c r="E21" s="2802"/>
      <c r="F21" s="2800"/>
      <c r="G21" s="2797"/>
      <c r="H21" s="2785"/>
      <c r="I21" s="2885"/>
      <c r="J21" s="2887"/>
      <c r="K21" s="2889"/>
      <c r="L21" s="2860"/>
      <c r="M21" s="2860"/>
    </row>
    <row r="22" spans="1:13">
      <c r="A22" s="2813" t="str">
        <f>IF(C15=2,"","螺旋角初选值")</f>
        <v>螺旋角初选值</v>
      </c>
      <c r="B22" s="2818" t="str">
        <f>IF(C15=2,"","β10")</f>
        <v>β10</v>
      </c>
      <c r="C22" s="2819">
        <f>IF(C15=2,"",IF(B24&lt;&gt;"","",ROUND(C25,5)))</f>
        <v>60</v>
      </c>
      <c r="D22" s="2810" t="str">
        <f>IF(C15=2,"","度")</f>
        <v>度</v>
      </c>
      <c r="E22" s="2802" t="str">
        <f>IF(C15=2,"","注：按最小直径")</f>
        <v>注：按最小直径</v>
      </c>
      <c r="F22" s="2803" t="str">
        <f>IF(C15=2,"","β20")</f>
        <v>β20</v>
      </c>
      <c r="G22" s="2819">
        <f>IF(C15=2,"",IF(B24&lt;&gt;"","",ROUND(C17-C22,5)))</f>
        <v>30</v>
      </c>
      <c r="H22" s="2810" t="str">
        <f>IF(C15=2,"","度")</f>
        <v>度</v>
      </c>
      <c r="I22" s="2802" t="str">
        <f>IF(C15=2,"","注：按最小直径")</f>
        <v>注：按最小直径</v>
      </c>
      <c r="J22" s="2887"/>
      <c r="K22" s="2889"/>
      <c r="L22" s="2860"/>
      <c r="M22" s="2890"/>
    </row>
    <row r="23" spans="1:13">
      <c r="A23" s="2813" t="str">
        <f>IF(C15=1,"","螺旋角实选值")</f>
        <v/>
      </c>
      <c r="B23" s="2820" t="str">
        <f>IF(C15=1,"","β1")</f>
        <v/>
      </c>
      <c r="C23" s="2811"/>
      <c r="D23" s="2821" t="str">
        <f>IF(AND(C15=1,C23&lt;&gt;""),"取消！",IF(C15=2,"度",""))</f>
        <v/>
      </c>
      <c r="E23" s="2802"/>
      <c r="F23" s="2803" t="str">
        <f>IF(C15=1,"","β2")</f>
        <v/>
      </c>
      <c r="G23" s="2814"/>
      <c r="H23" s="2821" t="str">
        <f>IF(AND(C15=1,G23&lt;&gt;""),"取消！",IF(C15=2,"度",""))</f>
        <v/>
      </c>
      <c r="I23" s="2802"/>
      <c r="J23" s="2887"/>
      <c r="K23" s="2889"/>
      <c r="L23" s="2860"/>
      <c r="M23" s="2890"/>
    </row>
    <row r="24" spans="1:13">
      <c r="A24" s="2788"/>
      <c r="B24" s="2822" t="str">
        <f>IF(C15=2,"",IF(ROUND(C27,4)&lt;&gt;ROUND(C26,4),"单变量求解计算：",""))</f>
        <v/>
      </c>
      <c r="C24" s="2823"/>
      <c r="D24" s="2808" t="str">
        <f>IF(C15=1,"","注：螺旋角选择的原则——为便于加工，可选 β1=β2，")</f>
        <v/>
      </c>
      <c r="E24" s="2802"/>
      <c r="F24" s="2813"/>
      <c r="G24" s="2797"/>
      <c r="H24" s="2810"/>
      <c r="I24" s="2885"/>
      <c r="J24" s="2887"/>
      <c r="K24" s="2889"/>
      <c r="L24" s="2860"/>
      <c r="M24" s="2890"/>
    </row>
    <row r="25" spans="1:13" ht="15.75">
      <c r="A25" s="2788"/>
      <c r="B25" s="2824" t="str">
        <f>IF(C15=2,"",IF(ROUND(C27,4)&lt;&gt;ROUND(C26,4),"可变格",""))</f>
        <v/>
      </c>
      <c r="C25" s="2825">
        <v>60.000000045843699</v>
      </c>
      <c r="D25" s="2808" t="str">
        <f>IF(C15=1,"","    同时使 β1+β2 接近或等于轴交角Σ。")</f>
        <v/>
      </c>
      <c r="E25" s="2802"/>
      <c r="F25" s="2817"/>
      <c r="G25" s="2801"/>
      <c r="H25" s="2810"/>
      <c r="I25" s="2885"/>
      <c r="J25" s="2887"/>
      <c r="K25" s="2889"/>
      <c r="L25" s="2860"/>
      <c r="M25" s="2890"/>
    </row>
    <row r="26" spans="1:13" ht="15.75">
      <c r="A26" s="2788"/>
      <c r="B26" s="2824" t="str">
        <f>IF(C15=2,"",IF(ROUND(C27,4)&lt;&gt;ROUND(C26,4),"目标格",""))</f>
        <v/>
      </c>
      <c r="C26" s="2826">
        <f>IF(C15=1,C19^2*TAN(RADIANS(C17-C25))/(COS(RADIANS(C17-C25)))^2-TAN(RADIANS(C25))/(COS(RADIANS(C25)))^2,(G37/C37)^2*TAN(RADIANS(C17-C25))/(COS(RADIANS(C17-C25)))^2-TAN(RADIANS(C25))/(COS(RADIANS(C25)))^2)</f>
        <v>-5.1207897477922903E-8</v>
      </c>
      <c r="D26" s="2810"/>
      <c r="E26" s="2802"/>
      <c r="F26" s="2817"/>
      <c r="G26" s="2801"/>
      <c r="H26" s="2810"/>
      <c r="I26" s="2885"/>
      <c r="J26" s="2887"/>
      <c r="K26" s="2889"/>
      <c r="L26" s="2860"/>
      <c r="M26" s="2890"/>
    </row>
    <row r="27" spans="1:13" ht="15.75">
      <c r="A27" s="2788"/>
      <c r="B27" s="2827" t="str">
        <f>IF(C15=2,"",IF(ROUND(C27,4)&lt;&gt;ROUND(C26,4),"目标值",""))</f>
        <v/>
      </c>
      <c r="C27" s="2828">
        <f>IF(C15=2,"",0)</f>
        <v>0</v>
      </c>
      <c r="D27" s="2810"/>
      <c r="E27" s="2802"/>
      <c r="F27" s="2817"/>
      <c r="G27" s="2801"/>
      <c r="H27" s="2810"/>
      <c r="I27" s="2885"/>
      <c r="J27" s="2887"/>
      <c r="K27" s="2889"/>
      <c r="L27" s="2860"/>
      <c r="M27" s="2890"/>
    </row>
    <row r="28" spans="1:13" ht="15.75">
      <c r="A28" s="2813" t="s">
        <v>4641</v>
      </c>
      <c r="B28" s="2801" t="s">
        <v>4642</v>
      </c>
      <c r="C28" s="2819">
        <f>IF(OR(B44&lt;&gt;"",D44&lt;&gt;""),"",ROUND(C120,2))</f>
        <v>5.41</v>
      </c>
      <c r="D28" s="2810" t="s">
        <v>2820</v>
      </c>
      <c r="E28" s="2802"/>
      <c r="F28" s="2801" t="s">
        <v>4643</v>
      </c>
      <c r="G28" s="2819">
        <f>IF(OR(B44&lt;&gt;"",D44&lt;&gt;""),"",ROUND(G120,2))</f>
        <v>2.8</v>
      </c>
      <c r="H28" s="2810" t="s">
        <v>2820</v>
      </c>
      <c r="I28" s="2885"/>
      <c r="J28" s="2887"/>
      <c r="K28" s="2889"/>
      <c r="L28" s="2860"/>
      <c r="M28" s="2890"/>
    </row>
    <row r="29" spans="1:13" ht="15.75">
      <c r="A29" s="2813" t="s">
        <v>4644</v>
      </c>
      <c r="B29" s="2801" t="s">
        <v>4645</v>
      </c>
      <c r="C29" s="2819">
        <f>IF(OR(B44&lt;&gt;"",D44&lt;&gt;""),"",ROUND(3*PI()*C20*SIN(C91),1))</f>
        <v>25.1</v>
      </c>
      <c r="D29" s="2810" t="s">
        <v>2820</v>
      </c>
      <c r="E29" s="2802"/>
      <c r="F29" s="2801" t="s">
        <v>4646</v>
      </c>
      <c r="G29" s="2819">
        <f>IF(OR(B44&lt;&gt;"",D44&lt;&gt;""),"",ROUND(3*PI()*G20*SIN(G91),1))</f>
        <v>13</v>
      </c>
      <c r="H29" s="2810" t="s">
        <v>2820</v>
      </c>
      <c r="I29" s="2885"/>
      <c r="J29" s="2887"/>
      <c r="K29" s="2889"/>
      <c r="L29" s="2860"/>
      <c r="M29" s="2890"/>
    </row>
    <row r="30" spans="1:13" ht="15.75">
      <c r="A30" s="2813" t="s">
        <v>4647</v>
      </c>
      <c r="B30" s="2801" t="s">
        <v>4648</v>
      </c>
      <c r="C30" s="2811">
        <v>20</v>
      </c>
      <c r="D30" s="2810" t="s">
        <v>2820</v>
      </c>
      <c r="E30" s="2802"/>
      <c r="F30" s="2801" t="s">
        <v>4649</v>
      </c>
      <c r="G30" s="2811">
        <v>20</v>
      </c>
      <c r="H30" s="2810" t="s">
        <v>2820</v>
      </c>
      <c r="I30" s="2885"/>
      <c r="J30" s="2887"/>
      <c r="K30" s="2889"/>
      <c r="L30" s="2860"/>
      <c r="M30" s="2860"/>
    </row>
    <row r="31" spans="1:13" ht="15.75">
      <c r="A31" s="2813" t="s">
        <v>2830</v>
      </c>
      <c r="B31" s="2806" t="s">
        <v>2831</v>
      </c>
      <c r="C31" s="2787"/>
      <c r="D31" s="2829" t="s">
        <v>4650</v>
      </c>
      <c r="E31" s="2802"/>
      <c r="F31" s="2801"/>
      <c r="G31" s="2830"/>
      <c r="H31" s="2810"/>
      <c r="I31" s="2885"/>
      <c r="J31" s="2887"/>
      <c r="K31" s="2889"/>
      <c r="L31" s="2860"/>
      <c r="M31" s="2860"/>
    </row>
    <row r="32" spans="1:13" ht="15.75">
      <c r="A32" s="2786"/>
      <c r="B32" s="2831"/>
      <c r="C32" s="2832">
        <f>IF(C31="",1,C31)</f>
        <v>1</v>
      </c>
      <c r="D32" s="2808"/>
      <c r="E32" s="2833"/>
      <c r="F32" s="2800"/>
      <c r="G32" s="2809">
        <f t="shared" ref="G32:G35" si="0">C32</f>
        <v>1</v>
      </c>
      <c r="H32" s="2785"/>
      <c r="I32" s="2885"/>
      <c r="J32" s="2885"/>
      <c r="K32" s="2889"/>
      <c r="L32" s="2860"/>
      <c r="M32" s="2860"/>
    </row>
    <row r="33" spans="1:13" ht="15.75">
      <c r="A33" s="2813" t="s">
        <v>2833</v>
      </c>
      <c r="B33" s="2806" t="s">
        <v>2834</v>
      </c>
      <c r="C33" s="2787"/>
      <c r="D33" s="2808"/>
      <c r="E33" s="2833"/>
      <c r="F33" s="2800"/>
      <c r="G33" s="2809">
        <f t="shared" si="0"/>
        <v>0</v>
      </c>
      <c r="H33" s="2785"/>
      <c r="I33" s="2885"/>
      <c r="J33" s="2885"/>
      <c r="K33" s="2889"/>
      <c r="L33" s="2860"/>
      <c r="M33" s="2860"/>
    </row>
    <row r="34" spans="1:13" ht="15.75">
      <c r="A34" s="2813" t="s">
        <v>4651</v>
      </c>
      <c r="B34" s="2806" t="s">
        <v>2836</v>
      </c>
      <c r="C34" s="2834"/>
      <c r="D34" s="2829" t="s">
        <v>4652</v>
      </c>
      <c r="E34" s="2833"/>
      <c r="F34" s="2800"/>
      <c r="G34" s="2809"/>
      <c r="H34" s="2785"/>
      <c r="I34" s="2885"/>
      <c r="J34" s="2885"/>
      <c r="K34" s="2889"/>
      <c r="L34" s="2860"/>
      <c r="M34" s="2860"/>
    </row>
    <row r="35" spans="1:13" ht="15.75">
      <c r="A35" s="2786"/>
      <c r="B35" s="2831"/>
      <c r="C35" s="2835">
        <f>IF(C34="",0.25,C34)</f>
        <v>0.25</v>
      </c>
      <c r="D35" s="2808"/>
      <c r="E35" s="2833"/>
      <c r="F35" s="2800"/>
      <c r="G35" s="2809">
        <f t="shared" si="0"/>
        <v>0.25</v>
      </c>
      <c r="H35" s="2785"/>
      <c r="I35" s="2885"/>
      <c r="J35" s="2885"/>
      <c r="K35" s="2889"/>
      <c r="L35" s="2860"/>
      <c r="M35" s="2860"/>
    </row>
    <row r="36" spans="1:13" ht="15.75">
      <c r="A36" s="2836" t="str">
        <f>IF(C15=2,"","计算系数理论值")</f>
        <v>计算系数理论值</v>
      </c>
      <c r="B36" s="2806" t="str">
        <f>IF(C15=2,"","k 0")</f>
        <v>k 0</v>
      </c>
      <c r="C36" s="2819">
        <f>IF(C15=2,"",IF(B24&lt;&gt;"","",ROUND(2*SIN(RADIANS(C22))/(C19+TAN(RADIANS(C22))),6)))</f>
        <v>0.36602499999999999</v>
      </c>
      <c r="D36" s="2808"/>
      <c r="E36" s="2833"/>
      <c r="F36" s="2800"/>
      <c r="G36" s="2809"/>
      <c r="H36" s="2785"/>
      <c r="I36" s="2885"/>
      <c r="J36" s="2885"/>
      <c r="K36" s="2889"/>
      <c r="L36" s="2860"/>
      <c r="M36" s="2860"/>
    </row>
    <row r="37" spans="1:13" ht="15.75">
      <c r="A37" s="2813" t="s">
        <v>4653</v>
      </c>
      <c r="B37" s="2806" t="s">
        <v>4654</v>
      </c>
      <c r="C37" s="2819">
        <f>IF(B24&lt;&gt;"","",IF(C15=2,C18,ROUND(C18*C36/C20,0)))</f>
        <v>12</v>
      </c>
      <c r="D37" s="2808"/>
      <c r="E37" s="2833"/>
      <c r="F37" s="2801" t="s">
        <v>4655</v>
      </c>
      <c r="G37" s="2819">
        <f>IF(B24&lt;&gt;"","",IF(C15=2,G18,ROUND(C19*C37,0)))</f>
        <v>36</v>
      </c>
      <c r="H37" s="2785"/>
      <c r="I37" s="2885"/>
      <c r="J37" s="2885"/>
      <c r="K37" s="2889"/>
      <c r="L37" s="2860"/>
      <c r="M37" s="2860"/>
    </row>
    <row r="38" spans="1:13" ht="15.75">
      <c r="A38" s="2813" t="s">
        <v>4656</v>
      </c>
      <c r="B38" s="2806" t="s">
        <v>4657</v>
      </c>
      <c r="C38" s="2819">
        <f>IF(B24&lt;&gt;"",0,ROUND(G37/C37,4))</f>
        <v>3</v>
      </c>
      <c r="D38" s="2837" t="s">
        <v>4658</v>
      </c>
      <c r="E38" s="2837"/>
      <c r="F38" s="2801"/>
      <c r="G38" s="2797"/>
      <c r="H38" s="2785"/>
      <c r="I38" s="2885"/>
      <c r="J38" s="2885"/>
      <c r="K38" s="2889"/>
      <c r="L38" s="2860"/>
      <c r="M38" s="2860"/>
    </row>
    <row r="39" spans="1:13" ht="15.75">
      <c r="A39" s="2836" t="str">
        <f>IF(C15=2,"","计算系数实际值")</f>
        <v>计算系数实际值</v>
      </c>
      <c r="B39" s="2806" t="str">
        <f>IF(C15=2,"","k")</f>
        <v>k</v>
      </c>
      <c r="C39" s="2819">
        <f>IF(B24&lt;&gt;"",0,IF(C15=2,"",ROUND(C37*C20/C18,6)))</f>
        <v>0.36</v>
      </c>
      <c r="D39" s="2808"/>
      <c r="E39" s="2833"/>
      <c r="F39" s="2800"/>
      <c r="G39" s="2809"/>
      <c r="H39" s="2785"/>
      <c r="I39" s="2885"/>
      <c r="J39" s="2885"/>
      <c r="K39" s="2889"/>
      <c r="L39" s="2860"/>
      <c r="M39" s="2860"/>
    </row>
    <row r="40" spans="1:13" ht="15">
      <c r="A40" s="2813" t="str">
        <f>IF(C15=2,"","螺旋角推荐值 A")</f>
        <v>螺旋角推荐值 A</v>
      </c>
      <c r="B40" s="2797" t="str">
        <f>IF(C15=2,"","β1")</f>
        <v>β1</v>
      </c>
      <c r="C40" s="2819">
        <f>IF(C15=2,"",IF(B44&lt;&gt;"","",ROUND(C45,5)))</f>
        <v>47.329819999999998</v>
      </c>
      <c r="D40" s="2838" t="str">
        <f>IF(C15=2,"","度")</f>
        <v>度</v>
      </c>
      <c r="E40" s="2810"/>
      <c r="F40" s="2797" t="str">
        <f>IF(C15=2,"","β2")</f>
        <v>β2</v>
      </c>
      <c r="G40" s="2819">
        <f>IF(C15=2,"",IF(B44&lt;&gt;"","",ROUND(C17-C40,5)))</f>
        <v>42.670180000000002</v>
      </c>
      <c r="H40" s="2810" t="str">
        <f>IF(C15=2,"","度")</f>
        <v>度</v>
      </c>
      <c r="I40" s="2885"/>
      <c r="J40" s="2885"/>
      <c r="K40" s="2889"/>
      <c r="L40" s="2860"/>
      <c r="M40" s="2860"/>
    </row>
    <row r="41" spans="1:13" ht="15.75">
      <c r="A41" s="2839" t="str">
        <f>IF(OR(C15=2,C40=""),"","      说明：如对推荐值 A 不满意，可在右边单变量求解的可变格内输入大于左边可变格内数值 10 左右或更大的整数。")</f>
        <v>说明：如对推荐值 A 不满意，可在右边单变量求解的可变格内输入大于左边可变格内数值 10 左右或更大的整数。</v>
      </c>
      <c r="B41" s="2840"/>
      <c r="C41" s="2797"/>
      <c r="D41" s="2810"/>
      <c r="E41" s="2810"/>
      <c r="F41" s="2797"/>
      <c r="G41" s="2797"/>
      <c r="H41" s="2810"/>
      <c r="I41" s="2891"/>
      <c r="J41" s="2891"/>
      <c r="K41" s="2892"/>
      <c r="L41" s="2893"/>
      <c r="M41" s="2893"/>
    </row>
    <row r="42" spans="1:13">
      <c r="A42" s="2813" t="str">
        <f>IF(C15=2,"","螺旋角推荐值 B")</f>
        <v>螺旋角推荐值 B</v>
      </c>
      <c r="B42" s="2797"/>
      <c r="C42" s="2819">
        <f>IF(C15=2,"",IF(D44&lt;&gt;"","",ROUND(E45,5)))</f>
        <v>62.681759999999997</v>
      </c>
      <c r="D42" s="2810" t="str">
        <f>IF(C15=2,"","度")</f>
        <v>度</v>
      </c>
      <c r="E42" s="2810"/>
      <c r="F42" s="2797"/>
      <c r="G42" s="2819">
        <f>IF(C15=2,"",IF(D44&lt;&gt;"","",ROUND(C17-C42,5)))</f>
        <v>27.318239999999999</v>
      </c>
      <c r="H42" s="2810" t="str">
        <f>IF(C15=2,"","度")</f>
        <v>度</v>
      </c>
      <c r="I42" s="2885"/>
      <c r="J42" s="2885"/>
      <c r="K42" s="2889"/>
      <c r="L42" s="2860"/>
      <c r="M42" s="2860"/>
    </row>
    <row r="43" spans="1:13" ht="15.75">
      <c r="A43" s="2813" t="s">
        <v>4659</v>
      </c>
      <c r="B43" s="2791"/>
      <c r="C43" s="2841">
        <f>IF(C15=2,C23,IF(B44&lt;&gt;"","",IF(C42="",ROUND(C40,5),ROUND(C42,5))))</f>
        <v>62.681759999999997</v>
      </c>
      <c r="D43" s="2842" t="s">
        <v>257</v>
      </c>
      <c r="E43" s="2842"/>
      <c r="F43" s="2797"/>
      <c r="G43" s="2819">
        <f>IF(C15=2,G23,IF(B44&lt;&gt;"","",IF(G42="",ROUND(G40,5),ROUND(G42,5))))</f>
        <v>27.318239999999999</v>
      </c>
      <c r="H43" s="2810" t="s">
        <v>257</v>
      </c>
      <c r="I43" s="2802"/>
      <c r="J43" s="2885"/>
      <c r="K43" s="2889"/>
      <c r="L43" s="2860"/>
      <c r="M43" s="2860"/>
    </row>
    <row r="44" spans="1:13">
      <c r="A44" s="2843"/>
      <c r="B44" s="2822" t="str">
        <f>IF(C15=2,"",IF(ROUND(C47,4)&lt;&gt;ROUND(C46,4),"单变量求解计算：",""))</f>
        <v/>
      </c>
      <c r="C44" s="2823"/>
      <c r="D44" s="2822" t="str">
        <f>IF(C15=2,"",IF(ROUND(E47,4)&lt;&gt;ROUND(E46,4),"单变量求解计算：",""))</f>
        <v/>
      </c>
      <c r="E44" s="2844"/>
      <c r="F44" s="2822"/>
      <c r="G44" s="2809"/>
      <c r="H44" s="2810"/>
      <c r="I44" s="2891"/>
      <c r="J44" s="2821"/>
      <c r="K44" s="2809"/>
      <c r="L44" s="2893"/>
      <c r="M44" s="2893"/>
    </row>
    <row r="45" spans="1:13" ht="15">
      <c r="A45" s="2843"/>
      <c r="B45" s="2824" t="str">
        <f>IF(C15=2,"",IF(ROUND(C47,4)&lt;&gt;ROUND(C46,4),"可变格",""))</f>
        <v/>
      </c>
      <c r="C45" s="2845">
        <v>47.3298160793845</v>
      </c>
      <c r="D45" s="2824" t="str">
        <f>IF(C15=2,"",IF(ROUND(E47,4)&lt;&gt;ROUND(E46,4),"可变格",""))</f>
        <v/>
      </c>
      <c r="E45" s="2846">
        <v>62.681757279646703</v>
      </c>
      <c r="F45" s="2847" t="str">
        <f>IF(C15=2,"","注：如单变量求解时不能正常解出（数据闪烁或过大）")</f>
        <v>注：如单变量求解时不能正常解出（数据闪烁或过大）</v>
      </c>
      <c r="G45" s="2848"/>
      <c r="H45" s="2810"/>
      <c r="I45" s="2891"/>
      <c r="J45" s="2807"/>
      <c r="K45" s="2848"/>
      <c r="L45" s="2893"/>
      <c r="M45" s="2893"/>
    </row>
    <row r="46" spans="1:13" ht="15">
      <c r="A46" s="2843"/>
      <c r="B46" s="2824" t="str">
        <f>IF(C15=2,"",IF(ROUND(C47,4)&lt;&gt;ROUND(C46,4),"目标格",""))</f>
        <v/>
      </c>
      <c r="C46" s="2826">
        <f>2*SIN(RADIANS(C45))/(C38+TAN(RADIANS(C45)))-C39</f>
        <v>-2.5397896102896698E-7</v>
      </c>
      <c r="D46" s="2824" t="str">
        <f>IF(C15=2,"",IF(ROUND(E47,4)&lt;&gt;ROUND(E46,4),"目标格",""))</f>
        <v/>
      </c>
      <c r="E46" s="2849">
        <f>2*SIN(RADIANS(E45))/(C38+TAN(RADIANS(E45)))-C39</f>
        <v>-7.2640170545312799E-8</v>
      </c>
      <c r="F46" s="2847" t="str">
        <f>IF(C15=2,"","        可适当调整中心距或传动比。")</f>
        <v>可适当调整中心距或传动比。</v>
      </c>
      <c r="G46" s="2809"/>
      <c r="H46" s="2810"/>
      <c r="I46" s="2891"/>
      <c r="J46" s="2807"/>
      <c r="K46" s="2809"/>
      <c r="L46" s="2893"/>
      <c r="M46" s="2893"/>
    </row>
    <row r="47" spans="1:13" ht="15.75">
      <c r="A47" s="2843"/>
      <c r="B47" s="2827" t="str">
        <f>IF(C15=2,"",IF(ROUND(C47,4)&lt;&gt;ROUND(C46,4),"目标值",""))</f>
        <v/>
      </c>
      <c r="C47" s="2850">
        <f>IF(C15=2,"",0)</f>
        <v>0</v>
      </c>
      <c r="D47" s="2827" t="str">
        <f>IF(C15=2,"",IF(ROUND(E47,4)&lt;&gt;ROUND(E46,4),"目标值",""))</f>
        <v/>
      </c>
      <c r="E47" s="2851">
        <f>IF(C15=2,"",0)</f>
        <v>0</v>
      </c>
      <c r="F47" s="2824"/>
      <c r="G47" s="2852"/>
      <c r="H47" s="2810"/>
      <c r="I47" s="2891"/>
      <c r="J47" s="2807"/>
      <c r="K47" s="2852"/>
      <c r="L47" s="2893"/>
      <c r="M47" s="2893"/>
    </row>
    <row r="48" spans="1:13" ht="15.75">
      <c r="A48" s="2853" t="str">
        <f>IF(C15=1,"","法向总变位系数")</f>
        <v/>
      </c>
      <c r="B48" s="2831" t="str">
        <f>IF(C15=1,"","x nΣ")</f>
        <v/>
      </c>
      <c r="C48" s="2819" t="str">
        <f>IF(C15=1,"",ROUND(C109,4))</f>
        <v/>
      </c>
      <c r="D48" s="2810"/>
      <c r="E48" s="2808"/>
      <c r="F48" s="2854"/>
      <c r="G48" s="2801"/>
      <c r="H48" s="2810"/>
      <c r="I48" s="2891"/>
      <c r="J48" s="2891"/>
      <c r="K48" s="2892"/>
      <c r="L48" s="2893"/>
      <c r="M48" s="2893"/>
    </row>
    <row r="49" spans="1:13" ht="15.75">
      <c r="A49" s="2803" t="str">
        <f>IF(C15=1,"","法向变位系数")</f>
        <v/>
      </c>
      <c r="B49" s="2855" t="str">
        <f>IF(C15=1,"","x n1")</f>
        <v/>
      </c>
      <c r="C49" s="2814"/>
      <c r="D49" s="2821" t="str">
        <f>IF(AND(C15=1,C49&lt;&gt;""),"取消！","")</f>
        <v/>
      </c>
      <c r="E49" s="2816" t="str">
        <f>IF(C15=1,"",IF(C49&lt;C152,"根切！ Xn1 不能小于",""))</f>
        <v/>
      </c>
      <c r="F49" s="2815"/>
      <c r="G49" s="2856" t="str">
        <f>IF(E49="","",ROUND(C152,5))</f>
        <v/>
      </c>
      <c r="H49" s="2817"/>
      <c r="I49" s="2860"/>
      <c r="J49" s="2860"/>
      <c r="K49" s="2894"/>
      <c r="L49" s="2860"/>
      <c r="M49" s="2860"/>
    </row>
    <row r="50" spans="1:13" ht="15.75">
      <c r="A50" s="2857"/>
      <c r="B50" s="2855" t="str">
        <f>IF(C15=1,"","x n2")</f>
        <v/>
      </c>
      <c r="C50" s="2819" t="str">
        <f>IF(C15=1,"",ROUND(G111,4))</f>
        <v/>
      </c>
      <c r="D50" s="2821"/>
      <c r="E50" s="2815" t="str">
        <f>IF(C15=1,"",IF(C50&lt;G152,"根切！ Xn2 不能小于",""))</f>
        <v/>
      </c>
      <c r="F50" s="2815"/>
      <c r="G50" s="2821" t="str">
        <f>IF(E50="","",ROUND(G152,5))</f>
        <v/>
      </c>
      <c r="H50" s="2817"/>
      <c r="I50" s="2860"/>
      <c r="J50" s="2860"/>
      <c r="K50" s="2894"/>
      <c r="L50" s="2860"/>
      <c r="M50" s="2860"/>
    </row>
    <row r="51" spans="1:13">
      <c r="A51" s="2858" t="str">
        <f>IF(C15=1,"","标 准 中 心 距")</f>
        <v/>
      </c>
      <c r="B51" s="2797" t="str">
        <f>IF(C15=1,"","a0")</f>
        <v/>
      </c>
      <c r="C51" s="2819" t="str">
        <f>IF(C15=1,"",ROUND(C96,3))</f>
        <v/>
      </c>
      <c r="D51" s="2810" t="str">
        <f>IF(C15=1,"","毫米")</f>
        <v/>
      </c>
      <c r="E51" s="2815"/>
      <c r="F51" s="2815"/>
      <c r="G51" s="2821"/>
      <c r="H51" s="2817"/>
      <c r="I51" s="2860"/>
      <c r="J51" s="2860"/>
      <c r="K51" s="2894"/>
      <c r="L51" s="2860"/>
      <c r="M51" s="2860"/>
    </row>
    <row r="52" spans="1:13">
      <c r="A52" s="2858" t="str">
        <f>IF(C15=1,"","中   心   距 ")</f>
        <v/>
      </c>
      <c r="B52" s="2797" t="str">
        <f>IF(C15=1,"","a")</f>
        <v/>
      </c>
      <c r="C52" s="2819" t="str">
        <f>IF(C15=1,"",ROUND(C97,3))</f>
        <v/>
      </c>
      <c r="D52" s="2810" t="str">
        <f>IF(C15=1,"","毫米")</f>
        <v/>
      </c>
      <c r="E52" s="2859" t="str">
        <f>IF(C15=1,"","注：按最小中心距")</f>
        <v/>
      </c>
      <c r="F52" s="2860"/>
      <c r="G52" s="2860"/>
      <c r="H52" s="2860"/>
      <c r="I52" s="2860"/>
      <c r="J52" s="2860"/>
      <c r="K52" s="2894"/>
      <c r="L52" s="2860"/>
      <c r="M52" s="2860"/>
    </row>
    <row r="53" spans="1:13" ht="15">
      <c r="A53" s="2788" t="s">
        <v>2857</v>
      </c>
      <c r="B53" s="2861"/>
      <c r="C53" s="2811">
        <v>7</v>
      </c>
      <c r="D53" s="2821" t="str">
        <f>IF(OR(C53=0,C53=3,C53=4,C53=5,C53=6,C53=7,C53=8),"","错误！")</f>
        <v/>
      </c>
      <c r="E53" s="2862"/>
      <c r="F53" s="2815"/>
      <c r="G53" s="2863">
        <f t="shared" ref="G53:G55" si="1">C53</f>
        <v>7</v>
      </c>
      <c r="H53" s="2817"/>
      <c r="I53" s="2860"/>
      <c r="J53" s="2860"/>
      <c r="K53" s="2894"/>
      <c r="L53" s="2860"/>
      <c r="M53" s="2860"/>
    </row>
    <row r="54" spans="1:13" ht="15">
      <c r="A54" s="2788" t="s">
        <v>2858</v>
      </c>
      <c r="B54" s="2861"/>
      <c r="C54" s="2787">
        <v>6</v>
      </c>
      <c r="D54" s="2821" t="str">
        <f>IF(OR(C54=0,C54=3,C54=4,C54=5,C54=6,C54=7,C54=8),"","错误！")</f>
        <v/>
      </c>
      <c r="E54" s="2862"/>
      <c r="F54" s="2815"/>
      <c r="G54" s="2863">
        <f t="shared" si="1"/>
        <v>6</v>
      </c>
      <c r="H54" s="2817"/>
      <c r="I54" s="2860"/>
      <c r="J54" s="2860"/>
      <c r="K54" s="2894"/>
      <c r="L54" s="2860"/>
      <c r="M54" s="2860"/>
    </row>
    <row r="55" spans="1:13" ht="15">
      <c r="A55" s="2864" t="s">
        <v>2859</v>
      </c>
      <c r="B55" s="2865"/>
      <c r="C55" s="2811">
        <v>6</v>
      </c>
      <c r="D55" s="2866" t="str">
        <f>IF(OR(C54=0,C55=3,C55=4,C55=5,C55=6,C55=7,C55=8),"","错误！")</f>
        <v/>
      </c>
      <c r="E55" s="2867"/>
      <c r="F55" s="2868"/>
      <c r="G55" s="2869">
        <f t="shared" si="1"/>
        <v>6</v>
      </c>
      <c r="H55" s="2820"/>
      <c r="I55" s="2860"/>
      <c r="J55" s="2860"/>
      <c r="K55" s="2894"/>
      <c r="L55" s="2860"/>
      <c r="M55" s="2860"/>
    </row>
    <row r="56" spans="1:13" ht="15.75">
      <c r="A56" s="2813" t="s">
        <v>2860</v>
      </c>
      <c r="B56" s="2806"/>
      <c r="C56" s="2782"/>
      <c r="D56" s="2821" t="str">
        <f>IF(OR(C56=0,C56="C",C56="S",C56="A"),"","错误！")</f>
        <v/>
      </c>
      <c r="E56" s="2808" t="s">
        <v>4660</v>
      </c>
      <c r="F56" s="2806"/>
      <c r="G56" s="2786"/>
      <c r="H56" s="2808"/>
      <c r="I56" s="2817"/>
      <c r="J56" s="2895"/>
      <c r="K56" s="2894"/>
      <c r="L56" s="2817"/>
      <c r="M56" s="2860"/>
    </row>
    <row r="57" spans="1:13" ht="15.75">
      <c r="A57" s="2836" t="s">
        <v>2862</v>
      </c>
      <c r="B57" s="2806"/>
      <c r="C57" s="2782"/>
      <c r="D57" s="2870" t="s">
        <v>4661</v>
      </c>
      <c r="E57" s="2808" t="s">
        <v>4662</v>
      </c>
      <c r="F57" s="2806"/>
      <c r="G57" s="2786"/>
      <c r="H57" s="2808"/>
      <c r="I57" s="2817"/>
      <c r="J57" s="2895"/>
      <c r="K57" s="2894"/>
      <c r="L57" s="2817"/>
      <c r="M57" s="2860"/>
    </row>
    <row r="58" spans="1:13" ht="15.75">
      <c r="A58" s="2871" t="s">
        <v>2865</v>
      </c>
      <c r="B58" s="2872"/>
      <c r="C58" s="2782"/>
      <c r="D58" s="2870" t="s">
        <v>4661</v>
      </c>
      <c r="E58" s="2808" t="s">
        <v>4663</v>
      </c>
      <c r="F58" s="2806"/>
      <c r="G58" s="2786"/>
      <c r="H58" s="2808"/>
      <c r="I58" s="2817"/>
      <c r="J58" s="2895"/>
      <c r="K58" s="2894"/>
      <c r="L58" s="2817"/>
      <c r="M58" s="2860"/>
    </row>
    <row r="59" spans="1:13" ht="15.75">
      <c r="A59" s="2873" t="s">
        <v>2867</v>
      </c>
      <c r="B59" s="2873" t="s">
        <v>2868</v>
      </c>
      <c r="C59" s="2874" t="s">
        <v>2869</v>
      </c>
      <c r="D59" s="2808"/>
      <c r="E59" s="2808" t="s">
        <v>4664</v>
      </c>
      <c r="F59" s="2806"/>
      <c r="G59" s="2786"/>
      <c r="H59" s="2808"/>
      <c r="I59" s="2817"/>
      <c r="J59" s="2895"/>
      <c r="K59" s="2894"/>
      <c r="L59" s="2817"/>
      <c r="M59" s="2860"/>
    </row>
    <row r="60" spans="1:13" ht="15.75">
      <c r="A60" s="2875" t="s">
        <v>4147</v>
      </c>
      <c r="B60" s="2876" t="str">
        <f>IF(OR(B44&lt;&gt;"",D44&lt;&gt;""),"",IF(OR(C53="",C54="",C55=""),"",D257))</f>
        <v>J</v>
      </c>
      <c r="C60" s="2877" t="s">
        <v>462</v>
      </c>
      <c r="D60" s="2821" t="str">
        <f>IF(AND(C60&lt;&gt;"",OR(C54="",C55="",C67&lt;&gt;"")),"取消！",IF(OR(C60="",C60="C",C60="D",C60="E",C60="F",C60="G",C60="H",C60="J",C60="K",C60="L",C60="M",C60="N",C60="P",C60="R",C60="S"),"","错误！"))</f>
        <v/>
      </c>
      <c r="E60" s="2878" t="s">
        <v>4665</v>
      </c>
      <c r="F60" s="2806"/>
      <c r="G60" s="2786"/>
      <c r="H60" s="2808"/>
      <c r="I60" s="2817"/>
      <c r="J60" s="2895"/>
      <c r="K60" s="2894"/>
      <c r="L60" s="2817"/>
      <c r="M60" s="2860"/>
    </row>
    <row r="61" spans="1:13" ht="15.75">
      <c r="A61" s="2875" t="s">
        <v>4148</v>
      </c>
      <c r="B61" s="2876" t="str">
        <f>IF(OR(B44&lt;&gt;"",D44&lt;&gt;""),"",IF(OR(C53="",C54="",C55=""),"",D258))</f>
        <v>L</v>
      </c>
      <c r="C61" s="2782" t="s">
        <v>235</v>
      </c>
      <c r="D61" s="2821" t="str">
        <f>IF(AND(C61&lt;&gt;"",OR(C53="",C54="",C55="",C68&lt;&gt;"")),"取消！",IF(OR(C61="",C61="C",C61="D",C61="E",C61="F",C61="G",C61="H",C61="J",C61="K",C61="L",C61="M",C61="N",C61="P",C61="R",C61="S"),"","错误！"))</f>
        <v/>
      </c>
      <c r="E61" s="2808" t="str">
        <f>IF(OR(C67&lt;&gt;"",C68&lt;&gt;"",C69&lt;&gt;"",C70&lt;&gt;""),"","注：各偏差如不输入“实际选取”，则默认“推荐”种类。")</f>
        <v>注：各偏差如不输入“实际选取”，则默认“推荐”种类。</v>
      </c>
      <c r="F61" s="2806"/>
      <c r="G61" s="2786"/>
      <c r="H61" s="2808"/>
      <c r="I61" s="2817"/>
      <c r="J61" s="2895"/>
      <c r="K61" s="2894"/>
      <c r="L61" s="2817"/>
      <c r="M61" s="2860"/>
    </row>
    <row r="62" spans="1:13" ht="15.75">
      <c r="A62" s="2879" t="s">
        <v>4149</v>
      </c>
      <c r="B62" s="2876" t="str">
        <f>IF(OR(B44&lt;&gt;"",D44&lt;&gt;""),"",IF(OR(C53="",C54="",C55=""),"",D259))</f>
        <v>D</v>
      </c>
      <c r="C62" s="2782" t="s">
        <v>2876</v>
      </c>
      <c r="D62" s="2821" t="str">
        <f>IF(AND(C62&lt;&gt;"",OR(C53="",C54="",C55="",C69&lt;&gt;"")),"取消！",IF(OR(C62="",C62="C",C62="D",C62="E",C62="F",C62="G",C62="H",C62="J",C62="K",C62="L",C62="M",C62="N",C62="P",C62="R",C62="S"),"","错误！"))</f>
        <v/>
      </c>
      <c r="E62" s="2808"/>
      <c r="F62" s="2806"/>
      <c r="G62" s="2786"/>
      <c r="H62" s="2808"/>
      <c r="I62" s="2817"/>
      <c r="J62" s="2895"/>
      <c r="K62" s="2894"/>
      <c r="L62" s="2817"/>
      <c r="M62" s="2860"/>
    </row>
    <row r="63" spans="1:13" ht="15.75">
      <c r="A63" s="2880" t="s">
        <v>4150</v>
      </c>
      <c r="B63" s="2881" t="str">
        <f>IF(OR(B44&lt;&gt;"",D44&lt;&gt;""),"",IF(OR(C53="",C54="",C55=""),"",D260))</f>
        <v>H</v>
      </c>
      <c r="C63" s="2782" t="s">
        <v>464</v>
      </c>
      <c r="D63" s="2866" t="str">
        <f>IF(AND(C63&lt;&gt;"",OR(C53="",C54="",C55="",C70&lt;&gt;"")),"取消！",IF(OR(C63="",C63="C",C63="D",C63="E",C63="F",C63="G",C63="H",C63="J",C63="K",C63="L",C63="M",C63="N",C63="P",C63="R",C63="S"),"","错误！"))</f>
        <v/>
      </c>
      <c r="E63" s="2879"/>
      <c r="F63" s="2806"/>
      <c r="G63" s="2786"/>
      <c r="H63" s="2808"/>
      <c r="I63" s="2817"/>
      <c r="J63" s="2895"/>
      <c r="K63" s="2894"/>
      <c r="L63" s="2817"/>
      <c r="M63" s="2860"/>
    </row>
    <row r="64" spans="1:13" ht="15.75">
      <c r="A64" s="2803" t="s">
        <v>2877</v>
      </c>
      <c r="B64" s="2882">
        <f>IF(OR(B44&lt;&gt;"",D44&lt;&gt;""),"",IF(OR(C53="",C54="",C55=""),"",C261/1000))</f>
        <v>0.1</v>
      </c>
      <c r="C64" s="2819">
        <f>IF(OR(C53="",C54="",C55="",C60="",C61="",C62="",C63=""),"",C265/1000)</f>
        <v>0.22</v>
      </c>
      <c r="D64" s="2810" t="s">
        <v>2820</v>
      </c>
      <c r="E64" s="2797"/>
      <c r="F64" s="2801"/>
      <c r="G64" s="2786"/>
      <c r="H64" s="2810"/>
      <c r="I64" s="2818"/>
      <c r="J64" s="2803"/>
      <c r="K64" s="2816"/>
      <c r="L64" s="2817"/>
      <c r="M64" s="2860"/>
    </row>
    <row r="65" spans="1:13" ht="15">
      <c r="A65" s="2896" t="s">
        <v>2878</v>
      </c>
      <c r="B65" s="2841">
        <f>IF(OR(B44&lt;&gt;"",D44&lt;&gt;""),"",IF(OR(C53="",C54="",C55=""),"",C262/1000))</f>
        <v>0.24</v>
      </c>
      <c r="C65" s="2841">
        <f>IF(OR(C53="",C54="",C55="",C60="",C61="",C62="",C63=""),"",C266/1000)</f>
        <v>0.45</v>
      </c>
      <c r="D65" s="2842" t="s">
        <v>2820</v>
      </c>
      <c r="E65" s="2897" t="s">
        <v>2879</v>
      </c>
      <c r="F65" s="2898"/>
      <c r="G65" s="2899"/>
      <c r="H65" s="2842"/>
      <c r="I65" s="2818"/>
      <c r="J65" s="2803"/>
      <c r="K65" s="2889"/>
      <c r="L65" s="2941"/>
      <c r="M65" s="2942"/>
    </row>
    <row r="66" spans="1:13" ht="15">
      <c r="A66" s="2808" t="s">
        <v>2880</v>
      </c>
      <c r="B66" s="2797"/>
      <c r="C66" s="2797"/>
      <c r="D66" s="2810"/>
      <c r="E66" s="2808"/>
      <c r="F66" s="2838"/>
      <c r="G66" s="2900"/>
      <c r="H66" s="2810"/>
      <c r="I66" s="2900"/>
      <c r="J66" s="2797"/>
      <c r="K66" s="2892"/>
      <c r="L66" s="2848"/>
      <c r="M66" s="2943"/>
    </row>
    <row r="67" spans="1:13" ht="15">
      <c r="A67" s="2875" t="s">
        <v>4147</v>
      </c>
      <c r="B67" s="2797" t="s">
        <v>4666</v>
      </c>
      <c r="C67" s="2811"/>
      <c r="D67" s="2810" t="s">
        <v>2820</v>
      </c>
      <c r="E67" s="2808"/>
      <c r="F67" s="2838"/>
      <c r="G67" s="2900"/>
      <c r="H67" s="2810"/>
      <c r="I67" s="2900"/>
      <c r="J67" s="2797"/>
      <c r="K67" s="2892"/>
      <c r="L67" s="2848"/>
      <c r="M67" s="2943"/>
    </row>
    <row r="68" spans="1:13" ht="15">
      <c r="A68" s="2875" t="s">
        <v>4148</v>
      </c>
      <c r="B68" s="2797" t="s">
        <v>4667</v>
      </c>
      <c r="C68" s="2787"/>
      <c r="D68" s="2810" t="s">
        <v>2820</v>
      </c>
      <c r="E68" s="2808"/>
      <c r="F68" s="2838"/>
      <c r="G68" s="2900"/>
      <c r="H68" s="2810"/>
      <c r="I68" s="2900"/>
      <c r="J68" s="2797"/>
      <c r="K68" s="2892"/>
      <c r="L68" s="2848"/>
      <c r="M68" s="2943"/>
    </row>
    <row r="69" spans="1:13" ht="15">
      <c r="A69" s="2879" t="s">
        <v>4149</v>
      </c>
      <c r="B69" s="2797" t="s">
        <v>4668</v>
      </c>
      <c r="C69" s="2811"/>
      <c r="D69" s="2810" t="s">
        <v>2820</v>
      </c>
      <c r="E69" s="2808"/>
      <c r="F69" s="2838"/>
      <c r="G69" s="2900"/>
      <c r="H69" s="2810"/>
      <c r="I69" s="2900"/>
      <c r="J69" s="2797"/>
      <c r="K69" s="2892"/>
      <c r="L69" s="2848"/>
      <c r="M69" s="2943"/>
    </row>
    <row r="70" spans="1:13" ht="15">
      <c r="A70" s="2880" t="s">
        <v>4150</v>
      </c>
      <c r="B70" s="2791" t="s">
        <v>4669</v>
      </c>
      <c r="C70" s="2811"/>
      <c r="D70" s="2842" t="s">
        <v>2820</v>
      </c>
      <c r="E70" s="2808"/>
      <c r="F70" s="2838"/>
      <c r="G70" s="2900"/>
      <c r="H70" s="2810"/>
      <c r="I70" s="2900"/>
      <c r="J70" s="2797"/>
      <c r="K70" s="2892"/>
      <c r="L70" s="2848"/>
      <c r="M70" s="2943"/>
    </row>
    <row r="71" spans="1:13" ht="15.75">
      <c r="A71" s="2803" t="s">
        <v>2877</v>
      </c>
      <c r="B71" s="2801" t="s">
        <v>2885</v>
      </c>
      <c r="C71" s="2819" t="str">
        <f>IF(OR(C67="",C68="",C69="",C70=""),"",ABS(C67+C69))</f>
        <v/>
      </c>
      <c r="D71" s="2810" t="s">
        <v>2820</v>
      </c>
      <c r="E71" s="2808"/>
      <c r="F71" s="2838"/>
      <c r="G71" s="2900"/>
      <c r="H71" s="2810"/>
      <c r="I71" s="2900"/>
      <c r="J71" s="2797"/>
      <c r="K71" s="2892"/>
      <c r="L71" s="2848"/>
      <c r="M71" s="2943"/>
    </row>
    <row r="72" spans="1:13" ht="15.75">
      <c r="A72" s="2896" t="s">
        <v>2878</v>
      </c>
      <c r="B72" s="2901" t="s">
        <v>2886</v>
      </c>
      <c r="C72" s="2841" t="str">
        <f>IF(OR(C67="",C68="",C69="",C70=""),"",ABS(C68+C70))</f>
        <v/>
      </c>
      <c r="D72" s="2842" t="s">
        <v>2820</v>
      </c>
      <c r="E72" s="2897"/>
      <c r="F72" s="2898"/>
      <c r="G72" s="2899"/>
      <c r="H72" s="2842"/>
      <c r="I72" s="2900"/>
      <c r="J72" s="2797"/>
      <c r="K72" s="2892"/>
      <c r="L72" s="2848"/>
      <c r="M72" s="2943"/>
    </row>
    <row r="73" spans="1:13" ht="15.75">
      <c r="A73" s="2902" t="s">
        <v>2887</v>
      </c>
      <c r="B73" s="2801"/>
      <c r="C73" s="2903" t="s">
        <v>4670</v>
      </c>
      <c r="D73" s="2904"/>
      <c r="E73" s="2905"/>
      <c r="F73" s="2906"/>
      <c r="G73" s="2903" t="s">
        <v>4671</v>
      </c>
      <c r="H73" s="2810"/>
      <c r="I73" s="2818"/>
      <c r="J73" s="2803"/>
      <c r="K73" s="2894"/>
      <c r="L73" s="2817"/>
      <c r="M73" s="2860"/>
    </row>
    <row r="74" spans="1:13" ht="15.75">
      <c r="A74" s="2907" t="s">
        <v>2890</v>
      </c>
      <c r="B74" s="2908"/>
      <c r="C74" s="2909" t="s">
        <v>2891</v>
      </c>
      <c r="D74" s="2904"/>
      <c r="E74" s="2910"/>
      <c r="F74" s="2906"/>
      <c r="G74" s="2905"/>
      <c r="H74" s="2911"/>
      <c r="I74" s="2818"/>
      <c r="J74" s="2803"/>
      <c r="K74" s="2894"/>
      <c r="L74" s="2817"/>
      <c r="M74" s="2860"/>
    </row>
    <row r="75" spans="1:13">
      <c r="A75" s="2857" t="s">
        <v>2892</v>
      </c>
      <c r="B75" s="2803" t="s">
        <v>4672</v>
      </c>
      <c r="C75" s="2882">
        <f>IF(OR(B44&lt;&gt;"",D44&lt;&gt;""),"",ROUND(C133,2))</f>
        <v>14.72</v>
      </c>
      <c r="D75" s="2810" t="s">
        <v>2820</v>
      </c>
      <c r="E75" s="2848"/>
      <c r="F75" s="2803" t="s">
        <v>2894</v>
      </c>
      <c r="G75" s="2882">
        <f>IF(OR(B44&lt;&gt;"",D44&lt;&gt;""),"",ROUND(G133,2))</f>
        <v>7.02</v>
      </c>
      <c r="H75" s="2810" t="s">
        <v>2820</v>
      </c>
      <c r="I75" s="2818"/>
      <c r="J75" s="2803"/>
      <c r="K75" s="2894"/>
      <c r="L75" s="2817"/>
      <c r="M75" s="2860"/>
    </row>
    <row r="76" spans="1:13">
      <c r="A76" s="2857" t="s">
        <v>2895</v>
      </c>
      <c r="B76" s="2896" t="s">
        <v>4673</v>
      </c>
      <c r="C76" s="2811">
        <v>15</v>
      </c>
      <c r="D76" s="2810" t="s">
        <v>2820</v>
      </c>
      <c r="E76" s="2848"/>
      <c r="F76" s="2896" t="s">
        <v>2897</v>
      </c>
      <c r="G76" s="2811">
        <v>8</v>
      </c>
      <c r="H76" s="2810" t="s">
        <v>2820</v>
      </c>
      <c r="I76" s="2818"/>
      <c r="J76" s="2803"/>
      <c r="K76" s="2894"/>
      <c r="L76" s="2817"/>
      <c r="M76" s="2860"/>
    </row>
    <row r="77" spans="1:13" ht="15">
      <c r="A77" s="2912"/>
      <c r="B77" s="2913" t="str">
        <f>IF(OR(B44&lt;&gt;"",D44&lt;&gt;""),"",IF(C76=0,"",IF(ROUND(C80,4)&lt;&gt;ROUND(C79,4),"单变量求解计算：","")))</f>
        <v/>
      </c>
      <c r="C77" s="2914"/>
      <c r="D77" s="2810"/>
      <c r="E77" s="2848"/>
      <c r="F77" s="2913" t="str">
        <f>IF(OR(B44&lt;&gt;"",D44&lt;&gt;""),"",IF(G76=0,"",IF(ROUND(G80,4)&lt;&gt;ROUND(G79,4),"单变量求解计算：","")))</f>
        <v>单变量求解计算：</v>
      </c>
      <c r="G77" s="2914"/>
      <c r="H77" s="2810"/>
      <c r="I77" s="2818"/>
      <c r="J77" s="2803"/>
      <c r="K77" s="2894"/>
      <c r="L77" s="2817"/>
      <c r="M77" s="2860"/>
    </row>
    <row r="78" spans="1:13" ht="15">
      <c r="A78" s="2912"/>
      <c r="B78" s="2915" t="str">
        <f>IF(OR(B44&lt;&gt;"",D44&lt;&gt;""),"",IF(C76=0,"",IF(ROUND(C80,4)&lt;&gt;ROUND(C79,4),"可变格","")))</f>
        <v/>
      </c>
      <c r="C78" s="2825">
        <v>0.80568274857921096</v>
      </c>
      <c r="D78" s="2810"/>
      <c r="E78" s="2848"/>
      <c r="F78" s="2915" t="str">
        <f>IF(OR(B44&lt;&gt;"",D44&lt;&gt;""),"",IF(G76=0,"",IF(ROUND(G80,4)&lt;&gt;ROUND(G79,4),"可变格","")))</f>
        <v>可变格</v>
      </c>
      <c r="G78" s="2825">
        <v>0.54495959383174897</v>
      </c>
      <c r="H78" s="2810"/>
      <c r="I78" s="2818"/>
      <c r="J78" s="2803"/>
      <c r="K78" s="2816"/>
      <c r="L78" s="2817"/>
      <c r="M78" s="2860"/>
    </row>
    <row r="79" spans="1:13">
      <c r="A79" s="2912"/>
      <c r="B79" s="2916" t="str">
        <f>IF(OR(B44&lt;&gt;"",D44&lt;&gt;""),"",IF(C76=0,"",IF(ROUND(C80,4)&lt;&gt;ROUND(C79,4),"目标格","")))</f>
        <v/>
      </c>
      <c r="C79" s="2826">
        <f>TAN(C78)-C78-C135</f>
        <v>-7.5131787097282299E-8</v>
      </c>
      <c r="D79" s="2810"/>
      <c r="E79" s="2848"/>
      <c r="F79" s="2916" t="str">
        <f>IF(OR(B44&lt;&gt;"",D44&lt;&gt;""),"",IF(G76=0,"",IF(ROUND(G80,4)&lt;&gt;ROUND(G79,4),"目标格","")))</f>
        <v>目标格</v>
      </c>
      <c r="G79" s="2826">
        <f>TAN(G78)-G78-G135</f>
        <v>-0.10170547050774099</v>
      </c>
      <c r="H79" s="2810"/>
      <c r="I79" s="2818"/>
      <c r="J79" s="2803"/>
      <c r="K79" s="2894"/>
      <c r="L79" s="2817"/>
      <c r="M79" s="2860"/>
    </row>
    <row r="80" spans="1:13">
      <c r="A80" s="2917"/>
      <c r="B80" s="2918" t="str">
        <f>IF(OR(B44&lt;&gt;"",D44&lt;&gt;""),"",IF(C76=0,"",IF(ROUND(C80,4)&lt;&gt;ROUND(C79,4),"目标值","")))</f>
        <v/>
      </c>
      <c r="C80" s="2919">
        <f>IF(C76=0,"",0)</f>
        <v>0</v>
      </c>
      <c r="D80" s="2842"/>
      <c r="E80" s="2920"/>
      <c r="F80" s="2918" t="str">
        <f>IF(OR(B44&lt;&gt;"",D44&lt;&gt;""),"",IF(G76=0,"",IF(ROUND(G80,4)&lt;&gt;ROUND(G79,4),"目标值","")))</f>
        <v>目标值</v>
      </c>
      <c r="G80" s="2919">
        <f>IF(G76=0,"",0)</f>
        <v>0</v>
      </c>
      <c r="H80" s="2842"/>
      <c r="I80" s="2818"/>
      <c r="J80" s="2803"/>
      <c r="K80" s="2816"/>
      <c r="L80" s="2817"/>
      <c r="M80" s="2860"/>
    </row>
    <row r="81" spans="1:13" ht="15.75">
      <c r="A81" s="2921" t="s">
        <v>2898</v>
      </c>
      <c r="B81" s="2855"/>
      <c r="C81" s="2903" t="s">
        <v>4670</v>
      </c>
      <c r="D81" s="2904"/>
      <c r="E81" s="2905"/>
      <c r="F81" s="2906"/>
      <c r="G81" s="2903" t="s">
        <v>4671</v>
      </c>
      <c r="H81" s="2810"/>
      <c r="I81" s="2818"/>
      <c r="J81" s="2803"/>
      <c r="K81" s="2894"/>
      <c r="L81" s="2817"/>
      <c r="M81" s="2860"/>
    </row>
    <row r="82" spans="1:13" ht="15.75">
      <c r="A82" s="2797" t="s">
        <v>3363</v>
      </c>
      <c r="B82" s="2908"/>
      <c r="C82" s="2922" t="str">
        <f>IF(OR(B44&lt;&gt;"",D44&lt;&gt;""),"",D150)</f>
        <v>齿顶未变尖</v>
      </c>
      <c r="D82" s="2923" t="str">
        <f>IF(OR(B44&lt;&gt;"",D44&lt;&gt;""),"",IF(C150&lt;0.4,"顶宽 &lt;",""))</f>
        <v/>
      </c>
      <c r="E82" s="2808" t="str">
        <f>IF(OR(B44&lt;&gt;"",D44&lt;&gt;""),"",IF(C150&lt;0.4,ROUND(0.4*C20,2),""))</f>
        <v/>
      </c>
      <c r="F82" s="2908"/>
      <c r="G82" s="2924" t="str">
        <f>IF(OR(B44&lt;&gt;"",D44&lt;&gt;""),"",H150)</f>
        <v>齿顶变尖 ！</v>
      </c>
      <c r="H82" s="2923" t="str">
        <f>IF(OR(B44&lt;&gt;"",D44&lt;&gt;""),"",IF(G150&lt;0.4,"顶宽 &lt;",""))</f>
        <v>顶宽 &lt;</v>
      </c>
      <c r="I82" s="2808">
        <f>IF(OR(B44&lt;&gt;"",D44&lt;&gt;""),"",IF(G150&lt;0.4,ROUND(0.4*G20,2),""))</f>
        <v>1.2</v>
      </c>
      <c r="J82" s="2803"/>
      <c r="K82" s="2894"/>
      <c r="L82" s="2817"/>
      <c r="M82" s="2860"/>
    </row>
    <row r="83" spans="1:13" ht="15.75">
      <c r="A83" s="2807" t="s">
        <v>3364</v>
      </c>
      <c r="B83" s="2908"/>
      <c r="C83" s="2922" t="str">
        <f>IF(OR(B44&lt;&gt;"",D44&lt;&gt;""),"",D149)</f>
        <v>不发生干涉</v>
      </c>
      <c r="D83" s="2923"/>
      <c r="E83" s="2808"/>
      <c r="F83" s="2908"/>
      <c r="G83" s="2922" t="str">
        <f>IF(OR(B44&lt;&gt;"",D44&lt;&gt;""),"",H149)</f>
        <v>不发生干涉</v>
      </c>
      <c r="H83" s="2923"/>
      <c r="I83" s="2808"/>
      <c r="J83" s="2803"/>
      <c r="K83" s="2894"/>
      <c r="L83" s="2817"/>
      <c r="M83" s="2860"/>
    </row>
    <row r="84" spans="1:13" ht="15.75">
      <c r="A84" s="2896" t="s">
        <v>2902</v>
      </c>
      <c r="B84" s="2925" t="s">
        <v>4162</v>
      </c>
      <c r="C84" s="2901"/>
      <c r="D84" s="2926"/>
      <c r="E84" s="2841">
        <f>IF(OR(B44&lt;&gt;"",D44&lt;&gt;""),"",ROUND(C147,3))</f>
        <v>0.73199999999999998</v>
      </c>
      <c r="F84" s="2925"/>
      <c r="G84" s="2791"/>
      <c r="H84" s="2927"/>
      <c r="I84" s="2808"/>
      <c r="J84" s="2803"/>
      <c r="K84" s="2894"/>
      <c r="L84" s="2817"/>
      <c r="M84" s="2860"/>
    </row>
    <row r="85" spans="1:13" ht="15.75">
      <c r="A85" s="2928"/>
      <c r="B85" s="2929"/>
      <c r="C85" s="2930"/>
      <c r="D85" s="2931"/>
      <c r="E85" s="2928"/>
      <c r="F85" s="2929"/>
      <c r="G85" s="2928"/>
      <c r="H85" s="2932"/>
      <c r="I85" s="2808"/>
      <c r="J85" s="2803"/>
      <c r="K85" s="2894"/>
      <c r="L85" s="2817"/>
      <c r="M85" s="2860"/>
    </row>
    <row r="86" spans="1:13" ht="15.75">
      <c r="A86" s="2933" t="s">
        <v>2935</v>
      </c>
      <c r="B86" s="2806"/>
      <c r="C86" s="2903" t="s">
        <v>4670</v>
      </c>
      <c r="D86" s="2904"/>
      <c r="E86" s="2905"/>
      <c r="F86" s="2906"/>
      <c r="G86" s="2903" t="s">
        <v>4671</v>
      </c>
      <c r="H86" s="2810"/>
      <c r="I86" s="2821"/>
      <c r="J86" s="2803"/>
      <c r="K86" s="2894"/>
      <c r="L86" s="2817"/>
      <c r="M86" s="2860"/>
    </row>
    <row r="87" spans="1:13" ht="15.75">
      <c r="A87" s="2813" t="s">
        <v>2936</v>
      </c>
      <c r="B87" s="2817" t="s">
        <v>4640</v>
      </c>
      <c r="C87" s="2786">
        <f>IF(C21="",RADIANS(20),RADIANS(C21))</f>
        <v>0.34906585039886601</v>
      </c>
      <c r="D87" s="2812" t="s">
        <v>2048</v>
      </c>
      <c r="E87" s="2848">
        <f>TAN(C87)-C87</f>
        <v>1.4904383867336401E-2</v>
      </c>
      <c r="F87" s="2934" t="s">
        <v>2937</v>
      </c>
      <c r="G87" s="2848"/>
      <c r="H87" s="2797"/>
      <c r="I87" s="2810"/>
      <c r="J87" s="2797"/>
      <c r="K87" s="2892"/>
      <c r="L87" s="2817"/>
      <c r="M87" s="2860"/>
    </row>
    <row r="88" spans="1:13">
      <c r="A88" s="2813"/>
      <c r="B88" s="2817"/>
      <c r="C88" s="2786">
        <f>IF(C21="",20,C21)</f>
        <v>20</v>
      </c>
      <c r="D88" s="2810" t="s">
        <v>257</v>
      </c>
      <c r="E88" s="2797">
        <f t="shared" ref="E88:E92" si="2">ROUND(INT(C88)+INT((C88-INT(C88))*60)/100+((C88-INT(C88))*60-INT((C88-INT(C88))*60))*60/10000,4)</f>
        <v>20</v>
      </c>
      <c r="F88" s="2810" t="s">
        <v>3102</v>
      </c>
      <c r="G88" s="2848"/>
      <c r="H88" s="2797"/>
      <c r="I88" s="2810"/>
      <c r="J88" s="2797"/>
      <c r="K88" s="2892"/>
      <c r="L88" s="2817"/>
      <c r="M88" s="2860"/>
    </row>
    <row r="89" spans="1:13" ht="15.75">
      <c r="A89" s="2813" t="s">
        <v>2939</v>
      </c>
      <c r="B89" s="2817" t="s">
        <v>4674</v>
      </c>
      <c r="C89" s="2786">
        <f>ATAN(TAN(C87)/COS(C91))</f>
        <v>0.67050731075881698</v>
      </c>
      <c r="D89" s="2812" t="s">
        <v>2048</v>
      </c>
      <c r="E89" s="2848">
        <f>TAN(C89)-C89</f>
        <v>0.122572928868739</v>
      </c>
      <c r="F89" s="2813" t="s">
        <v>4675</v>
      </c>
      <c r="G89" s="2786">
        <f>ATAN(TAN(C87)/COS(G91))</f>
        <v>0.38880528851583701</v>
      </c>
      <c r="H89" s="2812" t="s">
        <v>2048</v>
      </c>
      <c r="I89" s="2848">
        <f>TAN(G89)-G89</f>
        <v>2.08537342079207E-2</v>
      </c>
      <c r="J89" s="2934" t="s">
        <v>2941</v>
      </c>
      <c r="K89" s="2816"/>
      <c r="L89" s="2817"/>
      <c r="M89" s="2860"/>
    </row>
    <row r="90" spans="1:13">
      <c r="A90" s="2813"/>
      <c r="B90" s="2817"/>
      <c r="C90" s="2786">
        <f>DEGREES(C89)</f>
        <v>38.417239039146899</v>
      </c>
      <c r="D90" s="2810" t="s">
        <v>257</v>
      </c>
      <c r="E90" s="2797">
        <f t="shared" si="2"/>
        <v>38.2502</v>
      </c>
      <c r="F90" s="2810" t="s">
        <v>3102</v>
      </c>
      <c r="G90" s="2786">
        <f>DEGREES(G89)</f>
        <v>22.276902084323702</v>
      </c>
      <c r="H90" s="2810" t="s">
        <v>257</v>
      </c>
      <c r="I90" s="2797">
        <f>ROUND(INT(G90)+INT((G90-INT(G90))*60)/100+((G90-INT(G90))*60-INT((G90-INT(G90))*60))*60/10000,4)</f>
        <v>22.163699999999999</v>
      </c>
      <c r="J90" s="2810" t="s">
        <v>3102</v>
      </c>
      <c r="K90" s="2816"/>
      <c r="L90" s="2817"/>
      <c r="M90" s="2860"/>
    </row>
    <row r="91" spans="1:13" ht="15">
      <c r="A91" s="2836" t="s">
        <v>2823</v>
      </c>
      <c r="B91" s="2817" t="s">
        <v>4676</v>
      </c>
      <c r="C91" s="2786">
        <f>RADIANS(C43)</f>
        <v>1.0940030929448801</v>
      </c>
      <c r="D91" s="2812" t="s">
        <v>2048</v>
      </c>
      <c r="E91" s="2935"/>
      <c r="F91" s="2813" t="s">
        <v>4677</v>
      </c>
      <c r="G91" s="2786">
        <f>RADIANS(G43)</f>
        <v>0.47679323385001599</v>
      </c>
      <c r="H91" s="2812" t="s">
        <v>2048</v>
      </c>
      <c r="I91" s="2935"/>
      <c r="J91" s="2810"/>
      <c r="K91" s="2894"/>
      <c r="L91" s="2817"/>
      <c r="M91" s="2860"/>
    </row>
    <row r="92" spans="1:13">
      <c r="A92" s="2836"/>
      <c r="B92" s="2817"/>
      <c r="C92" s="2786">
        <f>DEGREES(C91)</f>
        <v>62.681759999999997</v>
      </c>
      <c r="D92" s="2810" t="s">
        <v>257</v>
      </c>
      <c r="E92" s="2797">
        <f t="shared" si="2"/>
        <v>62.4054</v>
      </c>
      <c r="F92" s="2810" t="s">
        <v>3102</v>
      </c>
      <c r="G92" s="2786">
        <f>DEGREES(G91)</f>
        <v>27.318239999999999</v>
      </c>
      <c r="H92" s="2810" t="s">
        <v>257</v>
      </c>
      <c r="I92" s="2797">
        <f>ROUND(INT(G92)+INT((G92-INT(G92))*60)/100+((G92-INT(G92))*60-INT((G92-INT(G92))*60))*60/10000,4)</f>
        <v>27.1906</v>
      </c>
      <c r="J92" s="2810" t="s">
        <v>3102</v>
      </c>
      <c r="K92" s="2894"/>
      <c r="L92" s="2817"/>
      <c r="M92" s="2860"/>
    </row>
    <row r="93" spans="1:13" ht="15.75">
      <c r="A93" s="2813" t="s">
        <v>2942</v>
      </c>
      <c r="B93" s="2817" t="s">
        <v>4678</v>
      </c>
      <c r="C93" s="2786">
        <f>RADIANS(C17)-G93</f>
        <v>1.0940030929448801</v>
      </c>
      <c r="D93" s="2812" t="s">
        <v>2048</v>
      </c>
      <c r="E93" s="2797">
        <f t="shared" ref="E93:E95" si="3">DEGREES(C93)</f>
        <v>62.681759999999997</v>
      </c>
      <c r="F93" s="2813" t="s">
        <v>4679</v>
      </c>
      <c r="G93" s="2786">
        <f>ATAN(SIN(RADIANS(C17))/(SIN(C91)/SIN(G91)+COS(RADIANS(C17))))</f>
        <v>0.47679323385001599</v>
      </c>
      <c r="H93" s="2812" t="s">
        <v>2048</v>
      </c>
      <c r="I93" s="2797">
        <f>DEGREES(G93)</f>
        <v>27.318239999999999</v>
      </c>
      <c r="J93" s="2810" t="s">
        <v>257</v>
      </c>
      <c r="K93" s="2894"/>
      <c r="L93" s="2817"/>
      <c r="M93" s="2860"/>
    </row>
    <row r="94" spans="1:13">
      <c r="A94" s="2813" t="s">
        <v>2944</v>
      </c>
      <c r="B94" s="2817" t="s">
        <v>4680</v>
      </c>
      <c r="C94" s="2786">
        <f>ATAN(TAN(C91)*COS(C89))</f>
        <v>0.98793255979823802</v>
      </c>
      <c r="D94" s="2812" t="s">
        <v>2048</v>
      </c>
      <c r="E94" s="2797">
        <f t="shared" si="3"/>
        <v>56.6043661199949</v>
      </c>
      <c r="F94" s="2807" t="s">
        <v>4681</v>
      </c>
      <c r="G94" s="2786">
        <f>ATAN(TAN(G91)*COS(G89))</f>
        <v>0.445883766620634</v>
      </c>
      <c r="H94" s="2812" t="s">
        <v>2048</v>
      </c>
      <c r="I94" s="2797">
        <f>DEGREES(G94)</f>
        <v>25.547257980758499</v>
      </c>
      <c r="J94" s="2803"/>
      <c r="K94" s="2894"/>
      <c r="L94" s="2817"/>
      <c r="M94" s="2860"/>
    </row>
    <row r="95" spans="1:13">
      <c r="A95" s="2788" t="s">
        <v>4682</v>
      </c>
      <c r="B95" s="2817" t="s">
        <v>4683</v>
      </c>
      <c r="C95" s="2786">
        <f>ACOS(SIN(C94)/SIN(C93))</f>
        <v>0.34906585039886601</v>
      </c>
      <c r="D95" s="2812" t="s">
        <v>2048</v>
      </c>
      <c r="E95" s="2797">
        <f t="shared" si="3"/>
        <v>20</v>
      </c>
      <c r="F95" s="2810" t="s">
        <v>257</v>
      </c>
      <c r="G95" s="2786"/>
      <c r="H95" s="2812"/>
      <c r="I95" s="2810"/>
      <c r="J95" s="2803"/>
      <c r="K95" s="2894"/>
      <c r="L95" s="2817"/>
      <c r="M95" s="2860"/>
    </row>
    <row r="96" spans="1:13" ht="15.75">
      <c r="A96" s="2803" t="s">
        <v>2838</v>
      </c>
      <c r="B96" s="2797" t="s">
        <v>4684</v>
      </c>
      <c r="C96" s="2786">
        <f>(C99+G99)/2</f>
        <v>100.000022292369</v>
      </c>
      <c r="D96" s="2810" t="s">
        <v>2820</v>
      </c>
      <c r="E96" s="2797"/>
      <c r="F96" s="2810"/>
      <c r="G96" s="2786"/>
      <c r="H96" s="2812"/>
      <c r="I96" s="2810"/>
      <c r="J96" s="2803"/>
      <c r="K96" s="2894"/>
      <c r="L96" s="2817"/>
      <c r="M96" s="2860"/>
    </row>
    <row r="97" spans="1:13" ht="15.75">
      <c r="A97" s="2813" t="s">
        <v>4685</v>
      </c>
      <c r="B97" s="2806" t="s">
        <v>4686</v>
      </c>
      <c r="C97" s="2786">
        <f>(C100+G100)/2</f>
        <v>100.000022292369</v>
      </c>
      <c r="D97" s="2810" t="s">
        <v>2820</v>
      </c>
      <c r="E97" s="2810"/>
      <c r="F97" s="2810"/>
      <c r="G97" s="2797">
        <f>C97</f>
        <v>100.000022292369</v>
      </c>
      <c r="H97" s="2810"/>
      <c r="I97" s="2944"/>
      <c r="J97" s="2803"/>
      <c r="K97" s="2816"/>
      <c r="L97" s="2817"/>
      <c r="M97" s="2860"/>
    </row>
    <row r="98" spans="1:13" ht="15.75">
      <c r="A98" s="2813" t="s">
        <v>2950</v>
      </c>
      <c r="B98" s="2806" t="s">
        <v>4687</v>
      </c>
      <c r="C98" s="2786">
        <f>C20/COS(C91)</f>
        <v>6.5369101505771097</v>
      </c>
      <c r="D98" s="2810" t="s">
        <v>2820</v>
      </c>
      <c r="E98" s="2810"/>
      <c r="F98" s="2806" t="s">
        <v>4688</v>
      </c>
      <c r="G98" s="2786">
        <f>G20/COS(G91)</f>
        <v>3.3765867438281099</v>
      </c>
      <c r="H98" s="2810"/>
      <c r="I98" s="2944"/>
      <c r="J98" s="2803"/>
      <c r="K98" s="2894"/>
      <c r="L98" s="2817"/>
      <c r="M98" s="2860"/>
    </row>
    <row r="99" spans="1:13" ht="15.75">
      <c r="A99" s="2813" t="s">
        <v>2952</v>
      </c>
      <c r="B99" s="2831" t="s">
        <v>2953</v>
      </c>
      <c r="C99" s="2786">
        <f>C20*C37/COS(C91)</f>
        <v>78.442921806925398</v>
      </c>
      <c r="D99" s="2810" t="s">
        <v>2820</v>
      </c>
      <c r="E99" s="2786">
        <f t="shared" ref="E99:E101" si="4">C99/2</f>
        <v>39.221460903462699</v>
      </c>
      <c r="F99" s="2813" t="s">
        <v>4171</v>
      </c>
      <c r="G99" s="2786">
        <f>G20*G37/COS(G91)</f>
        <v>121.557122777812</v>
      </c>
      <c r="H99" s="2810" t="s">
        <v>2820</v>
      </c>
      <c r="I99" s="2786">
        <f t="shared" ref="I99:I101" si="5">G99/2</f>
        <v>60.778561388906098</v>
      </c>
      <c r="J99" s="2803"/>
      <c r="K99" s="2889"/>
      <c r="L99" s="2817"/>
      <c r="M99" s="2860"/>
    </row>
    <row r="100" spans="1:13" ht="15.75">
      <c r="A100" s="2813" t="s">
        <v>2955</v>
      </c>
      <c r="B100" s="2831" t="s">
        <v>2956</v>
      </c>
      <c r="C100" s="2786">
        <f>C105*C37</f>
        <v>78.442921806925398</v>
      </c>
      <c r="D100" s="2810" t="s">
        <v>2820</v>
      </c>
      <c r="E100" s="2786">
        <f t="shared" si="4"/>
        <v>39.221460903462699</v>
      </c>
      <c r="F100" s="2786" t="s">
        <v>4172</v>
      </c>
      <c r="G100" s="2786">
        <f>G105*G37</f>
        <v>121.557122777812</v>
      </c>
      <c r="H100" s="2810" t="s">
        <v>2820</v>
      </c>
      <c r="I100" s="2786">
        <f t="shared" si="5"/>
        <v>60.778561388906098</v>
      </c>
      <c r="J100" s="2803"/>
      <c r="K100" s="2889"/>
      <c r="L100" s="2818"/>
      <c r="M100" s="2797"/>
    </row>
    <row r="101" spans="1:13" ht="15.75">
      <c r="A101" s="2813" t="s">
        <v>2958</v>
      </c>
      <c r="B101" s="2831" t="s">
        <v>2959</v>
      </c>
      <c r="C101" s="2786">
        <f>C99*COS(C89)</f>
        <v>61.460541637304601</v>
      </c>
      <c r="D101" s="2810" t="s">
        <v>2820</v>
      </c>
      <c r="E101" s="2786">
        <f t="shared" si="4"/>
        <v>30.730270818652301</v>
      </c>
      <c r="F101" s="2786" t="s">
        <v>4173</v>
      </c>
      <c r="G101" s="2786">
        <f>G99*COS(C89)</f>
        <v>95.240799726777695</v>
      </c>
      <c r="H101" s="2810" t="s">
        <v>2820</v>
      </c>
      <c r="I101" s="2786">
        <f t="shared" si="5"/>
        <v>47.620399863388897</v>
      </c>
      <c r="J101" s="2803"/>
      <c r="K101" s="2889"/>
      <c r="L101" s="2817"/>
      <c r="M101" s="2860"/>
    </row>
    <row r="102" spans="1:13" ht="15.75">
      <c r="A102" s="2813" t="s">
        <v>2961</v>
      </c>
      <c r="B102" s="2817" t="s">
        <v>4689</v>
      </c>
      <c r="C102" s="2786">
        <f>ACOS(TAN(C94)/TAN(C93))</f>
        <v>0.67050731075881798</v>
      </c>
      <c r="D102" s="2812" t="s">
        <v>2048</v>
      </c>
      <c r="E102" s="2797">
        <f>DEGREES(C102)</f>
        <v>38.417239039146999</v>
      </c>
      <c r="F102" s="2813" t="s">
        <v>4690</v>
      </c>
      <c r="G102" s="2786">
        <f>ACOS(TAN(G94)/TAN(G93))</f>
        <v>0.38880528851583701</v>
      </c>
      <c r="H102" s="2812" t="s">
        <v>2048</v>
      </c>
      <c r="I102" s="2797">
        <f>DEGREES(G102)</f>
        <v>22.276902084323702</v>
      </c>
      <c r="J102" s="2810" t="s">
        <v>257</v>
      </c>
      <c r="K102" s="2889"/>
      <c r="L102" s="2817"/>
      <c r="M102" s="2860"/>
    </row>
    <row r="103" spans="1:13" ht="15.75">
      <c r="A103" s="2813" t="s">
        <v>2964</v>
      </c>
      <c r="B103" s="2817" t="s">
        <v>4691</v>
      </c>
      <c r="C103" s="2786">
        <f>ATAN(TAN(C102)*COS(C91))</f>
        <v>0.34906585039886601</v>
      </c>
      <c r="D103" s="2812" t="s">
        <v>2048</v>
      </c>
      <c r="E103" s="2797">
        <f>DEGREES(C103)</f>
        <v>20</v>
      </c>
      <c r="F103" s="2813" t="s">
        <v>4692</v>
      </c>
      <c r="G103" s="2786">
        <f>ATAN(TAN(G102)*COS(G91))</f>
        <v>0.34906585039886601</v>
      </c>
      <c r="H103" s="2812" t="s">
        <v>2048</v>
      </c>
      <c r="I103" s="2797">
        <f>DEGREES(G103)</f>
        <v>20</v>
      </c>
      <c r="J103" s="2810" t="s">
        <v>257</v>
      </c>
      <c r="K103" s="2815"/>
      <c r="L103" s="2817"/>
      <c r="M103" s="2860"/>
    </row>
    <row r="104" spans="1:13" ht="15.75">
      <c r="A104" s="2788" t="s">
        <v>4693</v>
      </c>
      <c r="B104" s="2806" t="s">
        <v>4694</v>
      </c>
      <c r="C104" s="2786">
        <f>C20*COS(C87)/COS(C95)</f>
        <v>3</v>
      </c>
      <c r="D104" s="2812"/>
      <c r="E104" s="2797"/>
      <c r="F104" s="2813"/>
      <c r="G104" s="2786">
        <f>C104</f>
        <v>3</v>
      </c>
      <c r="H104" s="2812"/>
      <c r="I104" s="2797"/>
      <c r="J104" s="2810"/>
      <c r="K104" s="2815"/>
      <c r="L104" s="2817"/>
      <c r="M104" s="2860"/>
    </row>
    <row r="105" spans="1:13" ht="15.75">
      <c r="A105" s="2788" t="s">
        <v>4695</v>
      </c>
      <c r="B105" s="2806" t="s">
        <v>4696</v>
      </c>
      <c r="C105" s="2786">
        <f>C104/COS(C93)</f>
        <v>6.5369101505771203</v>
      </c>
      <c r="D105" s="2812"/>
      <c r="E105" s="2935"/>
      <c r="F105" s="2813"/>
      <c r="G105" s="2786">
        <f>G104/COS(G93)</f>
        <v>3.3765867438281099</v>
      </c>
      <c r="H105" s="2812"/>
      <c r="I105" s="2935"/>
      <c r="J105" s="2810"/>
      <c r="K105" s="2815"/>
      <c r="L105" s="2817"/>
      <c r="M105" s="2860"/>
    </row>
    <row r="106" spans="1:13" ht="15.75">
      <c r="A106" s="2806" t="s">
        <v>2966</v>
      </c>
      <c r="B106" s="2831" t="s">
        <v>2967</v>
      </c>
      <c r="C106" s="2854">
        <f>PI()*C20</f>
        <v>9.4247779607693793</v>
      </c>
      <c r="D106" s="2810" t="s">
        <v>2820</v>
      </c>
      <c r="E106" s="2854"/>
      <c r="F106" s="2817"/>
      <c r="G106" s="2854"/>
      <c r="H106" s="2817"/>
      <c r="I106" s="2945"/>
      <c r="J106" s="2889"/>
      <c r="K106" s="2889"/>
      <c r="L106" s="2817"/>
      <c r="M106" s="2860"/>
    </row>
    <row r="107" spans="1:13" ht="15.75">
      <c r="A107" s="2806" t="s">
        <v>2968</v>
      </c>
      <c r="B107" s="2831" t="s">
        <v>2969</v>
      </c>
      <c r="C107" s="2854">
        <f>PI()*C98</f>
        <v>20.5363089062296</v>
      </c>
      <c r="D107" s="2810" t="s">
        <v>2820</v>
      </c>
      <c r="E107" s="2854"/>
      <c r="F107" s="2817"/>
      <c r="G107" s="2854"/>
      <c r="H107" s="2817"/>
      <c r="I107" s="2945"/>
      <c r="J107" s="2889"/>
      <c r="K107" s="2889"/>
      <c r="L107" s="2817"/>
      <c r="M107" s="2860"/>
    </row>
    <row r="108" spans="1:13" ht="15.75">
      <c r="A108" s="2806" t="s">
        <v>2970</v>
      </c>
      <c r="B108" s="2831" t="s">
        <v>2971</v>
      </c>
      <c r="C108" s="2854">
        <f>C101*PI()/C37</f>
        <v>16.090332174450499</v>
      </c>
      <c r="D108" s="2810" t="s">
        <v>2820</v>
      </c>
      <c r="E108" s="2936">
        <f>C107*COS(C89)</f>
        <v>16.090332174450499</v>
      </c>
      <c r="F108" s="2937" t="s">
        <v>2820</v>
      </c>
      <c r="G108" s="2854"/>
      <c r="H108" s="2817"/>
      <c r="I108" s="2945"/>
      <c r="J108" s="2889"/>
      <c r="K108" s="2889"/>
      <c r="L108" s="2817"/>
      <c r="M108" s="2860"/>
    </row>
    <row r="109" spans="1:13" ht="15.75">
      <c r="A109" s="2836" t="s">
        <v>2850</v>
      </c>
      <c r="B109" s="2831" t="s">
        <v>2851</v>
      </c>
      <c r="C109" s="2854">
        <f>IF(C15=1,0,1/(2*TAN(C87))*(C37*(TAN(C102)-C102-E89)+G37*(TAN(G102)-G102-I89)))</f>
        <v>0</v>
      </c>
      <c r="D109" s="2810"/>
      <c r="E109" s="2854"/>
      <c r="F109" s="2817"/>
      <c r="G109" s="2854"/>
      <c r="H109" s="2817"/>
      <c r="I109" s="2945"/>
      <c r="J109" s="2889"/>
      <c r="K109" s="2889"/>
      <c r="L109" s="2817"/>
      <c r="M109" s="2860"/>
    </row>
    <row r="110" spans="1:13" ht="15.75">
      <c r="A110" s="2813" t="s">
        <v>2840</v>
      </c>
      <c r="B110" s="2831" t="s">
        <v>2972</v>
      </c>
      <c r="C110" s="2854">
        <f>C111*COS(C91)</f>
        <v>0</v>
      </c>
      <c r="D110" s="2810"/>
      <c r="E110" s="2854"/>
      <c r="F110" s="2831" t="s">
        <v>2973</v>
      </c>
      <c r="G110" s="2854">
        <f>G111*COS(G91)</f>
        <v>0</v>
      </c>
      <c r="H110" s="2817"/>
      <c r="I110" s="2945"/>
      <c r="J110" s="2889"/>
      <c r="K110" s="2889"/>
      <c r="L110" s="2817"/>
      <c r="M110" s="2860"/>
    </row>
    <row r="111" spans="1:13" ht="15.75">
      <c r="A111" s="2813" t="s">
        <v>2974</v>
      </c>
      <c r="B111" s="2831" t="s">
        <v>2975</v>
      </c>
      <c r="C111" s="2854">
        <f>C49</f>
        <v>0</v>
      </c>
      <c r="D111" s="2810"/>
      <c r="E111" s="2854"/>
      <c r="F111" s="2831" t="s">
        <v>2976</v>
      </c>
      <c r="G111" s="2854">
        <f>C109-C111</f>
        <v>0</v>
      </c>
      <c r="H111" s="2817"/>
      <c r="I111" s="2945"/>
      <c r="J111" s="2889"/>
      <c r="K111" s="2815"/>
      <c r="L111" s="2817"/>
      <c r="M111" s="2860"/>
    </row>
    <row r="112" spans="1:13" ht="15.75">
      <c r="A112" s="2813" t="s">
        <v>2981</v>
      </c>
      <c r="B112" s="2806" t="s">
        <v>2982</v>
      </c>
      <c r="C112" s="2817">
        <f>(C115-C99)/2</f>
        <v>3.00000000000004</v>
      </c>
      <c r="D112" s="2810" t="s">
        <v>2820</v>
      </c>
      <c r="E112" s="2854"/>
      <c r="F112" s="2806" t="s">
        <v>2983</v>
      </c>
      <c r="G112" s="2817">
        <f>(G115-G99)/2</f>
        <v>3.00000000000004</v>
      </c>
      <c r="H112" s="2810" t="s">
        <v>2820</v>
      </c>
      <c r="I112" s="2945"/>
      <c r="J112" s="2889"/>
      <c r="K112" s="2889"/>
      <c r="L112" s="2817"/>
      <c r="M112" s="2860"/>
    </row>
    <row r="113" spans="1:13" ht="15.75">
      <c r="A113" s="2813" t="s">
        <v>2984</v>
      </c>
      <c r="B113" s="2806" t="s">
        <v>2985</v>
      </c>
      <c r="C113" s="2813">
        <f>(C99-C117)/2</f>
        <v>3.75</v>
      </c>
      <c r="D113" s="2810" t="s">
        <v>2820</v>
      </c>
      <c r="E113" s="2854"/>
      <c r="F113" s="2806" t="s">
        <v>2986</v>
      </c>
      <c r="G113" s="2813">
        <f>(G99-G117)/2</f>
        <v>3.75</v>
      </c>
      <c r="H113" s="2810" t="s">
        <v>2820</v>
      </c>
      <c r="I113" s="2945"/>
      <c r="J113" s="2889"/>
      <c r="K113" s="2889"/>
      <c r="L113" s="2817"/>
      <c r="M113" s="2860"/>
    </row>
    <row r="114" spans="1:13" ht="15.75">
      <c r="A114" s="2813" t="s">
        <v>2987</v>
      </c>
      <c r="B114" s="2806" t="s">
        <v>1866</v>
      </c>
      <c r="C114" s="2817">
        <f>C112+C113</f>
        <v>6.75000000000004</v>
      </c>
      <c r="D114" s="2810" t="s">
        <v>2820</v>
      </c>
      <c r="E114" s="2854"/>
      <c r="F114" s="2806"/>
      <c r="G114" s="2863">
        <f>G112+G113</f>
        <v>6.75000000000004</v>
      </c>
      <c r="H114" s="2810"/>
      <c r="I114" s="2945"/>
      <c r="J114" s="2889"/>
      <c r="K114" s="2889"/>
      <c r="L114" s="2817"/>
      <c r="M114" s="2860"/>
    </row>
    <row r="115" spans="1:13" ht="15.75">
      <c r="A115" s="2813" t="s">
        <v>2988</v>
      </c>
      <c r="B115" s="2831" t="s">
        <v>2989</v>
      </c>
      <c r="C115" s="2817">
        <f>2*C97-G117-2*C35*C20</f>
        <v>84.442921806925497</v>
      </c>
      <c r="D115" s="2810" t="s">
        <v>2820</v>
      </c>
      <c r="E115" s="2786">
        <f>C115/2</f>
        <v>42.221460903462699</v>
      </c>
      <c r="F115" s="2831" t="s">
        <v>2990</v>
      </c>
      <c r="G115" s="2817">
        <f>2*G97-C117-2*G35*G20</f>
        <v>127.557122777812</v>
      </c>
      <c r="H115" s="2810" t="s">
        <v>2820</v>
      </c>
      <c r="I115" s="2786">
        <f>G115/2</f>
        <v>63.778561388906098</v>
      </c>
      <c r="J115" s="2889"/>
      <c r="K115" s="2815"/>
      <c r="L115" s="2817"/>
      <c r="M115" s="2860"/>
    </row>
    <row r="116" spans="1:13" ht="15.75">
      <c r="A116" s="2788" t="s">
        <v>2991</v>
      </c>
      <c r="B116" s="2831" t="s">
        <v>2992</v>
      </c>
      <c r="C116" s="2817">
        <f>C115-2*C33*C20</f>
        <v>84.442921806925497</v>
      </c>
      <c r="D116" s="2810" t="s">
        <v>2820</v>
      </c>
      <c r="E116" s="2854"/>
      <c r="F116" s="2831" t="s">
        <v>2993</v>
      </c>
      <c r="G116" s="2817">
        <f>G115-2*C33*C20</f>
        <v>127.557122777812</v>
      </c>
      <c r="H116" s="2810" t="s">
        <v>2820</v>
      </c>
      <c r="I116" s="2946"/>
      <c r="J116" s="2889"/>
      <c r="K116" s="2889"/>
      <c r="L116" s="2817"/>
      <c r="M116" s="2860"/>
    </row>
    <row r="117" spans="1:13" ht="15.75">
      <c r="A117" s="2813" t="s">
        <v>2994</v>
      </c>
      <c r="B117" s="2831" t="s">
        <v>2995</v>
      </c>
      <c r="C117" s="2817">
        <f>C99-2*C20*(C32+C35-C111)</f>
        <v>70.942921806925398</v>
      </c>
      <c r="D117" s="2810" t="s">
        <v>2820</v>
      </c>
      <c r="E117" s="2786">
        <f>C117/2</f>
        <v>35.471460903462699</v>
      </c>
      <c r="F117" s="2831" t="s">
        <v>2996</v>
      </c>
      <c r="G117" s="2817">
        <f>G99-2*G20*(G32+G35-G111)</f>
        <v>114.057122777812</v>
      </c>
      <c r="H117" s="2810" t="s">
        <v>2820</v>
      </c>
      <c r="I117" s="2786">
        <f>G117/2</f>
        <v>57.028561388906098</v>
      </c>
      <c r="J117" s="2889"/>
      <c r="K117" s="2889"/>
      <c r="L117" s="2817"/>
      <c r="M117" s="2860"/>
    </row>
    <row r="118" spans="1:13" ht="15.75">
      <c r="A118" s="2813" t="s">
        <v>2997</v>
      </c>
      <c r="B118" s="2806" t="s">
        <v>2998</v>
      </c>
      <c r="C118" s="2817">
        <f>C98*(PI()/2+2*C110*TAN(C89))</f>
        <v>10.2681544531148</v>
      </c>
      <c r="D118" s="2810" t="s">
        <v>2820</v>
      </c>
      <c r="E118" s="2854"/>
      <c r="F118" s="2806" t="s">
        <v>2999</v>
      </c>
      <c r="G118" s="2817">
        <f>G98*(PI()/2+2*G110*TAN(G89))</f>
        <v>5.3039300543095402</v>
      </c>
      <c r="H118" s="2810" t="s">
        <v>2820</v>
      </c>
      <c r="I118" s="2946"/>
      <c r="J118" s="2889"/>
      <c r="K118" s="2889"/>
      <c r="L118" s="2817"/>
      <c r="M118" s="2860"/>
    </row>
    <row r="119" spans="1:13" ht="15.75">
      <c r="A119" s="2813" t="s">
        <v>3000</v>
      </c>
      <c r="B119" s="2806" t="s">
        <v>3001</v>
      </c>
      <c r="C119" s="2817">
        <f>ROUND(SQRT((C116/2)^2-(C101/2)^2)/COS(C94)+SQRT((G116/2)^2-(G101/2)^2)/COS(G94)-1/SIN(C95)*(C97-C101/2*COS(C102)-G101/2*COS(G102)),3)</f>
        <v>6.484</v>
      </c>
      <c r="D119" s="2810"/>
      <c r="E119" s="2854"/>
      <c r="F119" s="2806"/>
      <c r="G119" s="2863">
        <f>C119</f>
        <v>6.484</v>
      </c>
      <c r="H119" s="2810"/>
      <c r="I119" s="2946"/>
      <c r="J119" s="2889"/>
      <c r="K119" s="2889"/>
      <c r="L119" s="2817"/>
      <c r="M119" s="2860"/>
    </row>
    <row r="120" spans="1:13" ht="15.75">
      <c r="A120" s="2813" t="s">
        <v>4697</v>
      </c>
      <c r="B120" s="2801" t="s">
        <v>4642</v>
      </c>
      <c r="C120" s="2797">
        <f>C119*SIN(C94)</f>
        <v>5.4134255229599901</v>
      </c>
      <c r="D120" s="2810" t="s">
        <v>2820</v>
      </c>
      <c r="E120" s="2938"/>
      <c r="F120" s="2801" t="s">
        <v>4643</v>
      </c>
      <c r="G120" s="2797">
        <f>G119*SIN(G94)</f>
        <v>2.7962600737159802</v>
      </c>
      <c r="H120" s="2810" t="s">
        <v>2820</v>
      </c>
      <c r="I120" s="2938"/>
      <c r="J120" s="2889"/>
      <c r="K120" s="2889"/>
      <c r="L120" s="2817"/>
      <c r="M120" s="2860"/>
    </row>
    <row r="121" spans="1:13" ht="15">
      <c r="A121" s="2788" t="s">
        <v>3005</v>
      </c>
      <c r="B121" s="2817" t="s">
        <v>4698</v>
      </c>
      <c r="C121" s="2817">
        <f>ACOS(C101/C116)</f>
        <v>0.75563632804687897</v>
      </c>
      <c r="D121" s="2812" t="s">
        <v>2048</v>
      </c>
      <c r="E121" s="2939">
        <f>TAN(C121)-C121</f>
        <v>0.18654375542452101</v>
      </c>
      <c r="F121" s="2817" t="s">
        <v>3007</v>
      </c>
      <c r="G121" s="2817">
        <f>ACOS(G101/G116)</f>
        <v>0.72778130389019102</v>
      </c>
      <c r="H121" s="2812" t="s">
        <v>2048</v>
      </c>
      <c r="I121" s="2848">
        <f>TAN(G121)-G121</f>
        <v>0.16314853692081499</v>
      </c>
      <c r="J121" s="2947" t="s">
        <v>4699</v>
      </c>
      <c r="K121" s="2815"/>
      <c r="L121" s="2817"/>
      <c r="M121" s="2860"/>
    </row>
    <row r="122" spans="1:13" ht="15.75">
      <c r="A122" s="2813" t="s">
        <v>3008</v>
      </c>
      <c r="B122" s="2806" t="s">
        <v>3009</v>
      </c>
      <c r="C122" s="2854">
        <f>C118*C115/C99-C115*(E121-E89)</f>
        <v>5.6516691117380002</v>
      </c>
      <c r="D122" s="2809"/>
      <c r="E122" s="2940"/>
      <c r="F122" s="2806" t="s">
        <v>4182</v>
      </c>
      <c r="G122" s="2854">
        <f>G118*G115/G99-G115*(I121-I89)</f>
        <v>-12.584986178184501</v>
      </c>
      <c r="H122" s="2809"/>
      <c r="I122" s="2948"/>
      <c r="J122" s="2889"/>
      <c r="K122" s="2889"/>
      <c r="L122" s="2817"/>
      <c r="M122" s="2860"/>
    </row>
    <row r="123" spans="1:13" ht="15.75">
      <c r="A123" s="2817" t="s">
        <v>3011</v>
      </c>
      <c r="B123" s="2806" t="s">
        <v>3012</v>
      </c>
      <c r="C123" s="2854">
        <f>C20*(COS(C87)*(PI()*(C124-0.5)+D124*E87)+2*C111*SIN(C87))</f>
        <v>97.138651737525393</v>
      </c>
      <c r="D123" s="2810" t="s">
        <v>2820</v>
      </c>
      <c r="E123" s="2786">
        <f>C37/COS(C91)^3</f>
        <v>124.146656833439</v>
      </c>
      <c r="F123" s="2806" t="s">
        <v>3013</v>
      </c>
      <c r="G123" s="2854">
        <f>C20*(COS(C87)*(PI()*(G124-0.5)+H124*E87)+2*G111*SIN(C87))</f>
        <v>50.826547478853001</v>
      </c>
      <c r="H123" s="2810" t="s">
        <v>2820</v>
      </c>
      <c r="I123" s="2786">
        <f>G37/COS(G91)^3</f>
        <v>51.330142510700803</v>
      </c>
      <c r="J123" s="2889"/>
      <c r="K123" s="2894"/>
      <c r="L123" s="2817"/>
      <c r="M123" s="2860"/>
    </row>
    <row r="124" spans="1:13" ht="15.75">
      <c r="A124" s="2817" t="s">
        <v>3014</v>
      </c>
      <c r="B124" s="2806" t="s">
        <v>3015</v>
      </c>
      <c r="C124" s="2854">
        <f>ROUND(D124/PI()*ACOS(D124*COS(C87)/(D124+2*C111))+0.5,0)</f>
        <v>11</v>
      </c>
      <c r="D124" s="2809">
        <f>C37*E89/E87</f>
        <v>98.687417038979603</v>
      </c>
      <c r="E124" s="2786"/>
      <c r="F124" s="2806" t="s">
        <v>3016</v>
      </c>
      <c r="G124" s="2854">
        <f>ROUND(H124/PI()*ACOS(H124*COS(C87)/(H124+2*C111))+0.5,0)</f>
        <v>6</v>
      </c>
      <c r="H124" s="2809">
        <f>G37*I89/E87</f>
        <v>50.3700413359864</v>
      </c>
      <c r="I124" s="2949"/>
      <c r="J124" s="2889"/>
      <c r="K124" s="2894"/>
      <c r="L124" s="2817"/>
      <c r="M124" s="2860"/>
    </row>
    <row r="125" spans="1:13" ht="15.75">
      <c r="A125" s="2806" t="s">
        <v>3017</v>
      </c>
      <c r="B125" s="2806"/>
      <c r="C125" s="2854" t="str">
        <f>IF(C30&gt;C123*SIN(C94)+5*COS(C94),"可以测量","不能测量！")</f>
        <v>不能测量！</v>
      </c>
      <c r="D125" s="2809"/>
      <c r="E125" s="2786"/>
      <c r="F125" s="2806"/>
      <c r="G125" s="2854" t="str">
        <f>IF(C30&gt;G123*SIN(C94)+5*COS(C94),"可以测量","不能测量！")</f>
        <v>不能测量！</v>
      </c>
      <c r="H125" s="2809"/>
      <c r="I125" s="2949"/>
      <c r="J125" s="2889"/>
      <c r="K125" s="2894"/>
      <c r="L125" s="2817"/>
      <c r="M125" s="2860"/>
    </row>
    <row r="126" spans="1:13" ht="15.75">
      <c r="A126" s="2817" t="s">
        <v>3011</v>
      </c>
      <c r="B126" s="2806" t="s">
        <v>3018</v>
      </c>
      <c r="C126" s="2854">
        <f>C20*(COS(C87)*(PI()*(C127-0.5)+D124*E87)+2*C111*SIN(C87))</f>
        <v>105.995046039806</v>
      </c>
      <c r="D126" s="2809"/>
      <c r="E126" s="2786"/>
      <c r="F126" s="2806" t="s">
        <v>3019</v>
      </c>
      <c r="G126" s="2854">
        <f>C20*(COS(C87)*(PI()*(G127-0.5)+H124*E87)+2*G111*SIN(C87))</f>
        <v>59.6829417811337</v>
      </c>
      <c r="H126" s="2809"/>
      <c r="I126" s="2949"/>
      <c r="J126" s="2889"/>
      <c r="K126" s="2894"/>
      <c r="L126" s="2817"/>
      <c r="M126" s="2860"/>
    </row>
    <row r="127" spans="1:13" ht="15.75">
      <c r="A127" s="2817" t="s">
        <v>3014</v>
      </c>
      <c r="B127" s="2806" t="s">
        <v>3020</v>
      </c>
      <c r="C127" s="2854">
        <f>C124+1</f>
        <v>12</v>
      </c>
      <c r="D127" s="2809"/>
      <c r="E127" s="2786"/>
      <c r="F127" s="2806" t="s">
        <v>3021</v>
      </c>
      <c r="G127" s="2854">
        <f>G124+1</f>
        <v>7</v>
      </c>
      <c r="H127" s="2809"/>
      <c r="I127" s="2949"/>
      <c r="J127" s="2889"/>
      <c r="K127" s="2894"/>
      <c r="L127" s="2817"/>
      <c r="M127" s="2860"/>
    </row>
    <row r="128" spans="1:13" ht="15.75">
      <c r="A128" s="2806" t="s">
        <v>3023</v>
      </c>
      <c r="B128" s="2806"/>
      <c r="C128" s="2854" t="str">
        <f>IF(C30&gt;C126*SIN(C94)+5*COS(C94),"可以测量","不能测量！")</f>
        <v>不能测量！</v>
      </c>
      <c r="D128" s="2809"/>
      <c r="E128" s="2786"/>
      <c r="F128" s="2806"/>
      <c r="G128" s="2854" t="str">
        <f>IF(C30&gt;G126*SIN(C94)+5*COS(C94),"可以测量","不能测量！")</f>
        <v>不能测量！</v>
      </c>
      <c r="H128" s="2809"/>
      <c r="I128" s="2949"/>
      <c r="J128" s="2889"/>
      <c r="K128" s="2894"/>
      <c r="L128" s="2817"/>
      <c r="M128" s="2860"/>
    </row>
    <row r="129" spans="1:13" ht="15.75">
      <c r="A129" s="2803" t="s">
        <v>3025</v>
      </c>
      <c r="B129" s="2855" t="s">
        <v>3026</v>
      </c>
      <c r="C129" s="2900">
        <f>C20*COS(C87)^2*(PI()/2+2*C111*TAN(C87))</f>
        <v>4.1611441863117404</v>
      </c>
      <c r="D129" s="2810" t="s">
        <v>2820</v>
      </c>
      <c r="E129" s="2950"/>
      <c r="F129" s="2855" t="s">
        <v>4700</v>
      </c>
      <c r="G129" s="2900">
        <f>C20*COS(C87)^2*(PI()/2+2*G111*TAN(C87))</f>
        <v>4.1611441863117404</v>
      </c>
      <c r="H129" s="2810" t="s">
        <v>2820</v>
      </c>
      <c r="I129" s="2950"/>
      <c r="J129" s="2969"/>
      <c r="K129" s="2892"/>
      <c r="L129" s="2817"/>
      <c r="M129" s="2809"/>
    </row>
    <row r="130" spans="1:13" ht="15.75">
      <c r="A130" s="2803" t="s">
        <v>3028</v>
      </c>
      <c r="B130" s="2855" t="s">
        <v>3029</v>
      </c>
      <c r="C130" s="2900">
        <f>C112-C129/2*TAN(C87)</f>
        <v>2.2427336878463802</v>
      </c>
      <c r="D130" s="2810" t="s">
        <v>2820</v>
      </c>
      <c r="E130" s="2809"/>
      <c r="F130" s="2855" t="s">
        <v>4701</v>
      </c>
      <c r="G130" s="2900">
        <f>G112-G129/2*TAN(C87)</f>
        <v>2.2427336878463802</v>
      </c>
      <c r="H130" s="2810" t="s">
        <v>2820</v>
      </c>
      <c r="I130" s="2809"/>
      <c r="J130" s="2892"/>
      <c r="K130" s="2892"/>
      <c r="L130" s="2809"/>
      <c r="M130" s="2970"/>
    </row>
    <row r="131" spans="1:13" ht="15.75">
      <c r="A131" s="2803" t="s">
        <v>3031</v>
      </c>
      <c r="B131" s="2855" t="s">
        <v>3032</v>
      </c>
      <c r="C131" s="2900">
        <f>C20*E123*SIN(PI()/(2*E123)+2*C111*TAN(C87)/E123)</f>
        <v>4.7122632454092299</v>
      </c>
      <c r="D131" s="2810" t="s">
        <v>2820</v>
      </c>
      <c r="E131" s="2809"/>
      <c r="F131" s="2855" t="s">
        <v>3033</v>
      </c>
      <c r="G131" s="2900">
        <f>C20*I123*SIN(PI()/(2*I123)+2*G111*TAN(C87)/I123)</f>
        <v>4.7116535114046902</v>
      </c>
      <c r="H131" s="2810" t="s">
        <v>2820</v>
      </c>
      <c r="I131" s="2809"/>
      <c r="J131" s="2892"/>
      <c r="K131" s="2892"/>
      <c r="L131" s="2809"/>
      <c r="M131" s="2970"/>
    </row>
    <row r="132" spans="1:13" ht="15.75">
      <c r="A132" s="2803" t="s">
        <v>3035</v>
      </c>
      <c r="B132" s="2855" t="s">
        <v>3036</v>
      </c>
      <c r="C132" s="2900">
        <f>C112+0.5*C20*E123*(1-COS(PI()/(2*E123)+2*C111*TAN(C87)/E123))</f>
        <v>3.0149059683469401</v>
      </c>
      <c r="D132" s="2810" t="s">
        <v>2820</v>
      </c>
      <c r="E132" s="2809"/>
      <c r="F132" s="2855" t="s">
        <v>3037</v>
      </c>
      <c r="G132" s="2900">
        <f>G112+0.5*C20*I123*(1-COS(PI()/(2*I123)+2*G111*TAN(C87)/I123))</f>
        <v>3.0360491189669001</v>
      </c>
      <c r="H132" s="2810" t="s">
        <v>2820</v>
      </c>
      <c r="I132" s="2809"/>
      <c r="J132" s="2892"/>
      <c r="K132" s="2821"/>
      <c r="L132" s="2809"/>
      <c r="M132" s="2970"/>
    </row>
    <row r="133" spans="1:13" ht="15.75">
      <c r="A133" s="2803"/>
      <c r="B133" s="2855" t="s">
        <v>2893</v>
      </c>
      <c r="C133" s="2900">
        <f>C142*SIN(C145)/COS(C89+C145)</f>
        <v>14.7174134054231</v>
      </c>
      <c r="D133" s="2810"/>
      <c r="E133" s="2809"/>
      <c r="F133" s="2855" t="s">
        <v>3046</v>
      </c>
      <c r="G133" s="2900">
        <f>G142*SIN(G145)/COS(C89+G145)</f>
        <v>7.0167432709313804</v>
      </c>
      <c r="H133" s="2810"/>
      <c r="I133" s="2809"/>
      <c r="J133" s="2892"/>
      <c r="K133" s="2892"/>
      <c r="L133" s="2809"/>
      <c r="M133" s="2970"/>
    </row>
    <row r="134" spans="1:13" ht="15.75">
      <c r="A134" s="2858" t="s">
        <v>3047</v>
      </c>
      <c r="B134" s="2855" t="s">
        <v>2896</v>
      </c>
      <c r="C134" s="2900">
        <f>C76</f>
        <v>15</v>
      </c>
      <c r="D134" s="2810" t="s">
        <v>2820</v>
      </c>
      <c r="E134" s="2809"/>
      <c r="F134" s="2855" t="s">
        <v>3048</v>
      </c>
      <c r="G134" s="2900">
        <f>G76</f>
        <v>8</v>
      </c>
      <c r="H134" s="2810" t="s">
        <v>2820</v>
      </c>
      <c r="I134" s="2809"/>
      <c r="J134" s="2892"/>
      <c r="K134" s="2892"/>
      <c r="L134" s="2863"/>
      <c r="M134" s="2970"/>
    </row>
    <row r="135" spans="1:13" ht="15.75">
      <c r="A135" s="2858"/>
      <c r="B135" s="2951" t="s">
        <v>4702</v>
      </c>
      <c r="C135" s="2900">
        <f>E89+C134/C101+2*C111*TAN(C87)/C37-PI()/(2*C37)</f>
        <v>0.235732262117332</v>
      </c>
      <c r="D135" s="2810"/>
      <c r="E135" s="2809"/>
      <c r="F135" s="2951" t="s">
        <v>3051</v>
      </c>
      <c r="G135" s="2900">
        <f>E89+G134/G101+2*G111*TAN(C87)/G37-PI()/(2*G37)</f>
        <v>0.162937312277599</v>
      </c>
      <c r="H135" s="2810"/>
      <c r="I135" s="2809"/>
      <c r="J135" s="2892"/>
      <c r="K135" s="2892"/>
      <c r="L135" s="2863"/>
      <c r="M135" s="2970"/>
    </row>
    <row r="136" spans="1:13" ht="15.75">
      <c r="A136" s="2858"/>
      <c r="B136" s="2952" t="s">
        <v>4703</v>
      </c>
      <c r="C136" s="2801">
        <f>C78</f>
        <v>0.80568274857921096</v>
      </c>
      <c r="D136" s="2812" t="s">
        <v>2048</v>
      </c>
      <c r="E136" s="2809"/>
      <c r="F136" s="2952" t="s">
        <v>3054</v>
      </c>
      <c r="G136" s="2801">
        <f>G78</f>
        <v>0.54495959383174897</v>
      </c>
      <c r="H136" s="2812" t="s">
        <v>2048</v>
      </c>
      <c r="I136" s="2809"/>
      <c r="J136" s="2892"/>
      <c r="K136" s="2892"/>
      <c r="L136" s="2863"/>
      <c r="M136" s="2970"/>
    </row>
    <row r="137" spans="1:13" ht="15.75">
      <c r="A137" s="2858"/>
      <c r="B137" s="2855" t="s">
        <v>3056</v>
      </c>
      <c r="C137" s="2900">
        <f>C99/2*COS(C89)/COS(C136)</f>
        <v>44.368222701103797</v>
      </c>
      <c r="D137" s="2810"/>
      <c r="E137" s="2809"/>
      <c r="F137" s="2855" t="s">
        <v>3057</v>
      </c>
      <c r="G137" s="2900">
        <f>G99/2*COS(C89)/COS(G136)</f>
        <v>55.686719310544902</v>
      </c>
      <c r="H137" s="2810"/>
      <c r="I137" s="2809"/>
      <c r="J137" s="2892"/>
      <c r="K137" s="2892"/>
      <c r="L137" s="2863"/>
      <c r="M137" s="2970"/>
    </row>
    <row r="138" spans="1:13" ht="15.75">
      <c r="A138" s="2858"/>
      <c r="B138" s="2855"/>
      <c r="C138" s="2900">
        <f>2*C137*COS(PI()/(2*C18))+C134</f>
        <v>103.725498207152</v>
      </c>
      <c r="D138" s="2810"/>
      <c r="E138" s="2797">
        <f>2*C137+C134</f>
        <v>103.73644540220801</v>
      </c>
      <c r="F138" s="2855"/>
      <c r="G138" s="2900">
        <f>2*G137*COS(PI()/(2*G37))+G134</f>
        <v>119.26743578585599</v>
      </c>
      <c r="H138" s="2810"/>
      <c r="I138" s="2797">
        <f>2*G137+G134</f>
        <v>119.37343862109</v>
      </c>
      <c r="J138" s="2892"/>
      <c r="K138" s="2892"/>
      <c r="L138" s="2863"/>
      <c r="M138" s="2971"/>
    </row>
    <row r="139" spans="1:13" ht="15.75">
      <c r="A139" s="2858" t="s">
        <v>3060</v>
      </c>
      <c r="B139" s="2855" t="s">
        <v>3061</v>
      </c>
      <c r="C139" s="2900">
        <f>IF(ODD(C37)-C37=0,C138,E138)</f>
        <v>103.73644540220801</v>
      </c>
      <c r="D139" s="2810" t="s">
        <v>2820</v>
      </c>
      <c r="E139" s="2809"/>
      <c r="F139" s="2855" t="s">
        <v>3062</v>
      </c>
      <c r="G139" s="2900">
        <f>IF(ODD(G37)-G37=0,G138,I138)</f>
        <v>119.37343862109</v>
      </c>
      <c r="H139" s="2810" t="s">
        <v>2820</v>
      </c>
      <c r="I139" s="2906"/>
      <c r="J139" s="2892"/>
      <c r="K139" s="2892"/>
      <c r="L139" s="2809"/>
      <c r="M139" s="2893"/>
    </row>
    <row r="140" spans="1:13" ht="15.75">
      <c r="A140" s="2803"/>
      <c r="B140" s="2900" t="s">
        <v>3064</v>
      </c>
      <c r="C140" s="2797">
        <f>ATAN(TAN(C78)-C134/C101*COS(C94))</f>
        <v>0.73671332880929696</v>
      </c>
      <c r="D140" s="2855"/>
      <c r="E140" s="2900"/>
      <c r="F140" s="2900" t="s">
        <v>3065</v>
      </c>
      <c r="G140" s="2900">
        <f>ATAN(TAN(G78)-G134/G101*COS(C94))</f>
        <v>0.51045612766276405</v>
      </c>
      <c r="H140" s="2810"/>
      <c r="I140" s="2906"/>
      <c r="J140" s="2892"/>
      <c r="K140" s="2892"/>
      <c r="L140" s="2854"/>
      <c r="M140" s="2893"/>
    </row>
    <row r="141" spans="1:13" ht="15.75">
      <c r="A141" s="2803" t="s">
        <v>3039</v>
      </c>
      <c r="B141" s="2801" t="s">
        <v>4196</v>
      </c>
      <c r="C141" s="2797">
        <f>C101/COS(C140)</f>
        <v>82.978453796978798</v>
      </c>
      <c r="D141" s="2855"/>
      <c r="E141" s="2900"/>
      <c r="F141" s="2801" t="s">
        <v>4704</v>
      </c>
      <c r="G141" s="2900">
        <f>G101/COS(G140)</f>
        <v>109.15578917560001</v>
      </c>
      <c r="H141" s="2810"/>
      <c r="I141" s="2944"/>
      <c r="J141" s="2892"/>
      <c r="K141" s="2892"/>
      <c r="L141" s="2854"/>
      <c r="M141" s="2893"/>
    </row>
    <row r="142" spans="1:13" ht="15.75">
      <c r="A142" s="2803"/>
      <c r="B142" s="2801" t="s">
        <v>4198</v>
      </c>
      <c r="C142" s="2797">
        <f>C99+2*C111*C20</f>
        <v>78.442921806925398</v>
      </c>
      <c r="D142" s="2855"/>
      <c r="E142" s="2900"/>
      <c r="F142" s="2855" t="s">
        <v>4199</v>
      </c>
      <c r="G142" s="2900">
        <f>G99+2*G111*C20</f>
        <v>121.557122777812</v>
      </c>
      <c r="H142" s="2810"/>
      <c r="I142" s="2972"/>
      <c r="J142" s="2892"/>
      <c r="K142" s="2892"/>
      <c r="L142" s="2854"/>
      <c r="M142" s="2893"/>
    </row>
    <row r="143" spans="1:13" ht="15.75">
      <c r="A143" s="2803"/>
      <c r="B143" s="2817" t="s">
        <v>4200</v>
      </c>
      <c r="C143" s="2900">
        <f>ACOS(C101/C142)</f>
        <v>0.67050731075881698</v>
      </c>
      <c r="D143" s="2953">
        <f>TAN(C143)-C143</f>
        <v>0.122572928868739</v>
      </c>
      <c r="E143" s="2900"/>
      <c r="F143" s="2817" t="s">
        <v>4705</v>
      </c>
      <c r="G143" s="2900">
        <f>ACOS(G101/G142)</f>
        <v>0.67050731075881698</v>
      </c>
      <c r="H143" s="2953">
        <f>TAN(G143)-G143</f>
        <v>0.122572928868739</v>
      </c>
      <c r="I143" s="2972"/>
      <c r="J143" s="2892"/>
      <c r="K143" s="2892"/>
      <c r="L143" s="2854"/>
      <c r="M143" s="2893"/>
    </row>
    <row r="144" spans="1:13" ht="15.75">
      <c r="A144" s="2857"/>
      <c r="B144" s="2855" t="s">
        <v>4202</v>
      </c>
      <c r="C144" s="2900">
        <f>C118*C142/C99-C142*(D143-E89)</f>
        <v>10.2681544531148</v>
      </c>
      <c r="D144" s="2900"/>
      <c r="E144" s="2809"/>
      <c r="F144" s="2801" t="s">
        <v>4203</v>
      </c>
      <c r="G144" s="2900">
        <f>G118*G142/G99-G142*(H143-E89)</f>
        <v>5.3039300543095402</v>
      </c>
      <c r="H144" s="2900"/>
      <c r="I144" s="2972"/>
      <c r="J144" s="2892"/>
      <c r="K144" s="2892"/>
      <c r="L144" s="2854"/>
      <c r="M144" s="2860"/>
    </row>
    <row r="145" spans="1:13" ht="15.75">
      <c r="A145" s="2954"/>
      <c r="B145" s="2820" t="s">
        <v>4204</v>
      </c>
      <c r="C145" s="2899">
        <f>(PI()*C142/C37-C144)/C142</f>
        <v>0.13089969389957501</v>
      </c>
      <c r="D145" s="2899"/>
      <c r="E145" s="2955"/>
      <c r="F145" s="2820" t="s">
        <v>4706</v>
      </c>
      <c r="G145" s="2899">
        <f>(PI()*G142/G37-G144)/G142</f>
        <v>4.3633231299858299E-2</v>
      </c>
      <c r="H145" s="2899"/>
      <c r="I145" s="2973"/>
      <c r="J145" s="2892"/>
      <c r="K145" s="2892"/>
      <c r="L145" s="2817"/>
      <c r="M145" s="2860"/>
    </row>
    <row r="146" spans="1:13" ht="15.75">
      <c r="A146" s="2956" t="s">
        <v>2898</v>
      </c>
      <c r="B146" s="2806"/>
      <c r="C146" s="2900"/>
      <c r="D146" s="2900"/>
      <c r="E146" s="2900"/>
      <c r="F146" s="2806"/>
      <c r="G146" s="2900"/>
      <c r="H146" s="2900"/>
      <c r="I146" s="2973"/>
      <c r="J146" s="2892"/>
      <c r="K146" s="2892"/>
      <c r="L146" s="2817"/>
      <c r="M146" s="2860"/>
    </row>
    <row r="147" spans="1:13" ht="15.75">
      <c r="A147" s="2791" t="s">
        <v>4707</v>
      </c>
      <c r="B147" s="2820" t="s">
        <v>2449</v>
      </c>
      <c r="C147" s="2899">
        <f>C119/(PI()*C20*COS(C87))</f>
        <v>0.73212639124821699</v>
      </c>
      <c r="D147" s="2957"/>
      <c r="E147" s="2899"/>
      <c r="F147" s="2820"/>
      <c r="G147" s="2899"/>
      <c r="H147" s="2899"/>
      <c r="I147" s="2973"/>
      <c r="J147" s="2892"/>
      <c r="K147" s="2892"/>
      <c r="L147" s="2817"/>
      <c r="M147" s="2860"/>
    </row>
    <row r="148" spans="1:13" ht="15">
      <c r="A148" s="2810" t="s">
        <v>4207</v>
      </c>
      <c r="B148" s="2817"/>
      <c r="C148" s="2900">
        <f>1/SIN(C95)*(C97-C101/2*COS(C102)-G101/2*COS(G102))-SQRT((C115/2)^2-(C101/2)^2)/COS(C94)</f>
        <v>40.539482653292303</v>
      </c>
      <c r="D148" s="2900"/>
      <c r="E148" s="2900"/>
      <c r="F148" s="2817"/>
      <c r="G148" s="2900">
        <f>1/SIN(C95)*(C97-G101/2*COS(G102)-C101/2*COS(C102))-SQRT((G115/2)^2-(G101/2)^2)/COS(G94)</f>
        <v>46.118248974139902</v>
      </c>
      <c r="H148" s="2900"/>
      <c r="I148" s="2973"/>
      <c r="J148" s="2892"/>
      <c r="K148" s="2892"/>
      <c r="L148" s="2817"/>
      <c r="M148" s="2860"/>
    </row>
    <row r="149" spans="1:13" ht="15">
      <c r="A149" s="2958"/>
      <c r="B149" s="2820"/>
      <c r="C149" s="2791">
        <f>C20/COS(G94)*(G37*SIN(G89)/(2*COS(G91))-(C32-G111)/SIN(G89))</f>
        <v>16.765457683886702</v>
      </c>
      <c r="D149" s="2866" t="str">
        <f>IF(C148&lt;C149,"发生干涉！","不发生干涉")</f>
        <v>不发生干涉</v>
      </c>
      <c r="E149" s="2899"/>
      <c r="F149" s="2820"/>
      <c r="G149" s="2791">
        <f>C20/COS(C94)*(C37*SIN(C89)/(2*COS(C91))-(C32-C111)/SIN(C89))</f>
        <v>35.506952496926999</v>
      </c>
      <c r="H149" s="2866" t="str">
        <f>IF(G148&lt;G149,"发生干涉！","不发生干涉")</f>
        <v>不发生干涉</v>
      </c>
      <c r="I149" s="2973"/>
      <c r="J149" s="2892"/>
      <c r="K149" s="2892"/>
      <c r="L149" s="2817"/>
      <c r="M149" s="2860"/>
    </row>
    <row r="150" spans="1:13" ht="15">
      <c r="A150" s="2959" t="s">
        <v>4208</v>
      </c>
      <c r="B150" s="2960"/>
      <c r="C150" s="2961">
        <f>ROUND(C122*COS(C91)/C20,2)</f>
        <v>0.86</v>
      </c>
      <c r="D150" s="2962" t="str">
        <f>IF(C150&lt;0.4,"齿顶变尖 ！","齿顶未变尖")</f>
        <v>齿顶未变尖</v>
      </c>
      <c r="E150" s="2961"/>
      <c r="F150" s="2960"/>
      <c r="G150" s="2961">
        <f>ROUND(G122*COS(G91)/G20,2)</f>
        <v>-3.73</v>
      </c>
      <c r="H150" s="2962" t="str">
        <f>IF(G150&lt;0.4,"齿顶变尖 ！","齿顶未变尖")</f>
        <v>齿顶变尖 ！</v>
      </c>
      <c r="I150" s="2973"/>
      <c r="J150" s="2892"/>
      <c r="K150" s="2892"/>
      <c r="L150" s="2817"/>
      <c r="M150" s="2860"/>
    </row>
    <row r="151" spans="1:13" ht="15">
      <c r="A151" s="2807" t="s">
        <v>3083</v>
      </c>
      <c r="B151" s="2788" t="s">
        <v>3084</v>
      </c>
      <c r="C151" s="2900">
        <f>INT(2*C32/SIN(C89)^2)</f>
        <v>5</v>
      </c>
      <c r="D151" s="2911"/>
      <c r="E151" s="2900"/>
      <c r="F151" s="2817"/>
      <c r="G151" s="2900">
        <f>INT(2*G32/SIN(G89)^2)</f>
        <v>13</v>
      </c>
      <c r="H151" s="2911"/>
      <c r="I151" s="2973"/>
      <c r="J151" s="2892"/>
      <c r="K151" s="2892"/>
      <c r="L151" s="2817"/>
      <c r="M151" s="2860"/>
    </row>
    <row r="152" spans="1:13" ht="15">
      <c r="A152" s="2963" t="s">
        <v>3086</v>
      </c>
      <c r="B152" s="2964" t="s">
        <v>4708</v>
      </c>
      <c r="C152" s="2899">
        <f>ROUND(C32*(C151-C37)/C151/COS(C91),3)</f>
        <v>-3.0510000000000002</v>
      </c>
      <c r="D152" s="2866" t="str">
        <f>IF(C111&gt;=C152,"不根切","根切 ！")</f>
        <v>不根切</v>
      </c>
      <c r="E152" s="2899"/>
      <c r="F152" s="2964" t="s">
        <v>4709</v>
      </c>
      <c r="G152" s="2899">
        <f>ROUND(C32*(C151-G37)/C151/COS(G91),3)</f>
        <v>-6.9779999999999998</v>
      </c>
      <c r="H152" s="2866" t="str">
        <f>IF(G111&gt;=G152,"不根切","根切 ！")</f>
        <v>不根切</v>
      </c>
      <c r="I152" s="2973"/>
      <c r="J152" s="2892"/>
      <c r="K152" s="2892"/>
      <c r="L152" s="2817"/>
      <c r="M152" s="2860"/>
    </row>
    <row r="153" spans="1:13" ht="15.75">
      <c r="A153" s="2956" t="s">
        <v>3088</v>
      </c>
      <c r="B153" s="2801"/>
      <c r="C153" s="2900"/>
      <c r="D153" s="2953"/>
      <c r="E153" s="2900"/>
      <c r="F153" s="2855"/>
      <c r="G153" s="2900"/>
      <c r="H153" s="2953"/>
      <c r="I153" s="2974"/>
      <c r="J153" s="2892"/>
      <c r="K153" s="2892"/>
      <c r="L153" s="2817"/>
      <c r="M153" s="2860"/>
    </row>
    <row r="154" spans="1:13" ht="15.75">
      <c r="A154" s="2807" t="s">
        <v>4710</v>
      </c>
      <c r="B154" s="2806" t="s">
        <v>4711</v>
      </c>
      <c r="C154" s="2900">
        <f>C97*SIN(C102)-SQRT((G116/2)^2-(G101/2)^2)</f>
        <v>19.7119334098475</v>
      </c>
      <c r="D154" s="2810" t="s">
        <v>2820</v>
      </c>
      <c r="E154" s="2900"/>
      <c r="F154" s="2806" t="s">
        <v>3091</v>
      </c>
      <c r="G154" s="2900">
        <f>C97*SIN(C102)-SQRT((C116/2)^2-(C101/2)^2)</f>
        <v>33.184919554476501</v>
      </c>
      <c r="H154" s="2810" t="s">
        <v>2820</v>
      </c>
      <c r="I154" s="2973"/>
      <c r="J154" s="2892"/>
      <c r="K154" s="2892"/>
      <c r="L154" s="2817"/>
      <c r="M154" s="2860"/>
    </row>
    <row r="155" spans="1:13" ht="15.75">
      <c r="A155" s="2807" t="s">
        <v>4712</v>
      </c>
      <c r="B155" s="2806" t="s">
        <v>4713</v>
      </c>
      <c r="C155" s="2900">
        <f>SQRT((C116/2)^2-(C101/2)^2)</f>
        <v>28.953449125016501</v>
      </c>
      <c r="D155" s="2810" t="s">
        <v>2820</v>
      </c>
      <c r="E155" s="2900"/>
      <c r="F155" s="2806" t="s">
        <v>3096</v>
      </c>
      <c r="G155" s="2900">
        <f>SQRT((G116/2)^2-(G101/2)^2)</f>
        <v>42.426435269645502</v>
      </c>
      <c r="H155" s="2810" t="s">
        <v>2820</v>
      </c>
      <c r="I155" s="2973"/>
      <c r="J155" s="2892"/>
      <c r="K155" s="2892"/>
      <c r="L155" s="2817"/>
      <c r="M155" s="2860"/>
    </row>
    <row r="156" spans="1:13" ht="15.75">
      <c r="A156" s="2803" t="s">
        <v>4714</v>
      </c>
      <c r="B156" s="2817" t="s">
        <v>4715</v>
      </c>
      <c r="C156" s="2900">
        <f>DEGREES(C154/(C101/2))</f>
        <v>36.752379993399501</v>
      </c>
      <c r="D156" s="2810" t="s">
        <v>257</v>
      </c>
      <c r="E156" s="2900">
        <f t="shared" ref="E156:E159" si="6">ROUND(INT(C156)+INT((C156-INT(C156))*60)/100+((C156-INT(C156))*60-INT((C156-INT(C156))*60))*60/10000,4)</f>
        <v>36.450899999999997</v>
      </c>
      <c r="F156" s="2817" t="s">
        <v>3101</v>
      </c>
      <c r="G156" s="2900">
        <f>DEGREES(G154/(G101/2))</f>
        <v>39.927338691131901</v>
      </c>
      <c r="H156" s="2810" t="s">
        <v>257</v>
      </c>
      <c r="I156" s="2900">
        <f t="shared" ref="I156:I159" si="7">ROUND(INT(G156)+INT((G156-INT(G156))*60)/100+((G156-INT(G156))*60-INT((G156-INT(G156))*60))*60/10000,4)</f>
        <v>39.553800000000003</v>
      </c>
      <c r="J156" s="2810" t="s">
        <v>2938</v>
      </c>
      <c r="K156" s="2892"/>
      <c r="L156" s="2817"/>
      <c r="M156" s="2860"/>
    </row>
    <row r="157" spans="1:13" ht="15.75">
      <c r="A157" s="2803" t="s">
        <v>4716</v>
      </c>
      <c r="B157" s="2817" t="s">
        <v>4717</v>
      </c>
      <c r="C157" s="2900">
        <f>DEGREES(C155/(C101/2))</f>
        <v>53.982942324194802</v>
      </c>
      <c r="D157" s="2810" t="s">
        <v>257</v>
      </c>
      <c r="E157" s="2900">
        <f t="shared" si="6"/>
        <v>53.585900000000002</v>
      </c>
      <c r="F157" s="2817" t="s">
        <v>3105</v>
      </c>
      <c r="G157" s="2900">
        <f>DEGREES(G155/(G101/2))</f>
        <v>51.046519720732903</v>
      </c>
      <c r="H157" s="2810" t="s">
        <v>257</v>
      </c>
      <c r="I157" s="2900">
        <f t="shared" si="7"/>
        <v>51.024700000000003</v>
      </c>
      <c r="J157" s="2810" t="s">
        <v>2938</v>
      </c>
      <c r="K157" s="2892"/>
      <c r="L157" s="2817"/>
      <c r="M157" s="2860"/>
    </row>
    <row r="158" spans="1:13" ht="15">
      <c r="A158" s="2803" t="s">
        <v>4222</v>
      </c>
      <c r="B158" s="2817" t="s">
        <v>4718</v>
      </c>
      <c r="C158" s="2900">
        <f>C156+1/3*(C157-C156)</f>
        <v>42.495900770331303</v>
      </c>
      <c r="D158" s="2810" t="s">
        <v>257</v>
      </c>
      <c r="E158" s="2900">
        <f t="shared" si="6"/>
        <v>42.294499999999999</v>
      </c>
      <c r="F158" s="2817" t="s">
        <v>3108</v>
      </c>
      <c r="G158" s="2900">
        <f>G156+1/3*(G157-G156)</f>
        <v>43.633732367665601</v>
      </c>
      <c r="H158" s="2810" t="s">
        <v>257</v>
      </c>
      <c r="I158" s="2900">
        <f t="shared" si="7"/>
        <v>43.380099999999999</v>
      </c>
      <c r="J158" s="2810" t="s">
        <v>2938</v>
      </c>
      <c r="K158" s="2892"/>
      <c r="L158" s="2817"/>
      <c r="M158" s="2885"/>
    </row>
    <row r="159" spans="1:13" ht="15">
      <c r="A159" s="2896"/>
      <c r="B159" s="2820" t="s">
        <v>4719</v>
      </c>
      <c r="C159" s="2899">
        <f>C156+2/3*(C157-C156)</f>
        <v>48.239421547262999</v>
      </c>
      <c r="D159" s="2842" t="s">
        <v>257</v>
      </c>
      <c r="E159" s="2899">
        <f t="shared" si="6"/>
        <v>48.142200000000003</v>
      </c>
      <c r="F159" s="2820" t="s">
        <v>3111</v>
      </c>
      <c r="G159" s="2899">
        <f>G156+2/3*(G157-G156)</f>
        <v>47.340126044199302</v>
      </c>
      <c r="H159" s="2842" t="s">
        <v>257</v>
      </c>
      <c r="I159" s="2900">
        <f t="shared" si="7"/>
        <v>47.202399999999997</v>
      </c>
      <c r="J159" s="2810" t="s">
        <v>2938</v>
      </c>
      <c r="K159" s="2892"/>
      <c r="L159" s="2818"/>
      <c r="M159" s="2860"/>
    </row>
    <row r="160" spans="1:13" ht="15">
      <c r="A160" s="2956" t="s">
        <v>3187</v>
      </c>
      <c r="B160" s="2817"/>
      <c r="C160" s="2900"/>
      <c r="D160" s="2900"/>
      <c r="E160" s="2900"/>
      <c r="F160" s="2817"/>
      <c r="G160" s="2900"/>
      <c r="H160" s="2965"/>
      <c r="I160" s="2973"/>
      <c r="J160" s="2975"/>
      <c r="K160" s="2892"/>
      <c r="L160" s="2817"/>
      <c r="M160" s="2860"/>
    </row>
    <row r="161" spans="1:13" ht="15.75">
      <c r="A161" s="2803" t="s">
        <v>3188</v>
      </c>
      <c r="B161" s="2801"/>
      <c r="C161" s="2797">
        <f>PI()*C99/2</f>
        <v>123.217853437378</v>
      </c>
      <c r="D161" s="2953"/>
      <c r="E161" s="2848"/>
      <c r="F161" s="2801" t="s">
        <v>3189</v>
      </c>
      <c r="G161" s="2900">
        <f>PI()*G99/2</f>
        <v>190.94148195514401</v>
      </c>
      <c r="H161" s="2900"/>
      <c r="I161" s="2973"/>
      <c r="J161" s="2975"/>
      <c r="K161" s="2892"/>
      <c r="L161" s="2817"/>
      <c r="M161" s="2860"/>
    </row>
    <row r="162" spans="1:13" ht="15.75">
      <c r="A162" s="2803" t="s">
        <v>3190</v>
      </c>
      <c r="B162" s="2801" t="s">
        <v>3191</v>
      </c>
      <c r="C162" s="2797">
        <f>IF(AND(C161&gt;20,C161&lt;=32,C53=3),5,IF(AND(C161&gt;32,C161&lt;=50,C53=3),5.5,IF(AND(C161&gt;50,C161&lt;=80,C53=3),6,IF(AND(C161&gt;80,C161&lt;=160,C53=3),8,IF(AND(C161&gt;160,C161&lt;=315,C53=3),11,IF(AND(C161&gt;315,C161&lt;=630,C53=3),16,IF(AND(C161&gt;630,C161&lt;=1000,C53=3),20,C163)))))))</f>
        <v>45</v>
      </c>
      <c r="D162" s="2953"/>
      <c r="E162" s="2848"/>
      <c r="F162" s="2855" t="s">
        <v>3192</v>
      </c>
      <c r="G162" s="2797">
        <f>IF(AND(G161&gt;20,G161&lt;=32,C53=3),5,IF(AND(G161&gt;32,G161&lt;=50,C53=3),5.5,IF(AND(G161&gt;50,G161&lt;=80,C53=3),6,IF(AND(G161&gt;80,G161&lt;=160,C53=3),8,IF(AND(G161&gt;160,G161&lt;=315,C53=3),11,IF(AND(G161&gt;315,G161&lt;=630,C53=3),16,IF(AND(G161&gt;630,G161&lt;=1000,C53=3),20,G163)))))))</f>
        <v>63</v>
      </c>
      <c r="H162" s="2900"/>
      <c r="I162" s="2973"/>
      <c r="J162" s="2975"/>
      <c r="K162" s="2892"/>
      <c r="L162" s="2817"/>
      <c r="M162" s="2860"/>
    </row>
    <row r="163" spans="1:13" ht="15.75">
      <c r="A163" s="2803"/>
      <c r="B163" s="2801"/>
      <c r="C163" s="2809">
        <f>IF(AND(C161&gt;20,C161&lt;=32,C53=4),8,IF(AND(C161&gt;32,C161&lt;=50,C53=4),9,IF(AND(C161&gt;50,C161&lt;=80,C53=4),10,IF(AND(C161&gt;80,C161&lt;=160,C53=4),12,IF(AND(C161&gt;160,C161&lt;=315,C53=4),18,IF(AND(C161&gt;315,C161&lt;=630,C53=4),25,IF(AND(C161&gt;630,C161&lt;=1000,C53=4),32,C164)))))))</f>
        <v>45</v>
      </c>
      <c r="D163" s="2953"/>
      <c r="E163" s="2848"/>
      <c r="F163" s="2855"/>
      <c r="G163" s="2809">
        <f>IF(AND(G161&gt;20,G161&lt;=32,C53=4),8,IF(AND(G161&gt;32,G161&lt;=50,C53=4),9,IF(AND(3,G161&lt;=80,C53=4),10,IF(AND(G161&gt;80,G161&lt;=160,C53=4),12,IF(AND(G161&gt;160,G161&lt;=315,C53=4),18,IF(AND(G161&gt;315,G161&lt;=630,C53=4),25,IF(AND(G161&gt;630,G161&lt;=1000,C53=4),32,G164)))))))</f>
        <v>63</v>
      </c>
      <c r="H163" s="2900"/>
      <c r="I163" s="2973"/>
      <c r="J163" s="2975"/>
      <c r="K163" s="2892"/>
      <c r="L163" s="2817"/>
      <c r="M163" s="2860"/>
    </row>
    <row r="164" spans="1:13" ht="15.75">
      <c r="A164" s="2966"/>
      <c r="B164" s="2801"/>
      <c r="C164" s="2809">
        <f>IF(AND(C161&gt;20,C161&lt;=32,C53=5),12,IF(AND(C161&gt;32,C161&lt;=50,C53=5),14,IF(AND(C161&gt;50,C161&lt;=80,C53=5),16,IF(AND(C161&gt;80,C161&lt;=160,C53=5),20,IF(AND(C161&gt;160,C161&lt;=315,C53=5),28,IF(AND(C161&gt;315,C161&lt;=630,C53=5),40,IF(AND(C161&gt;630,C161&lt;=1000,C53=5),50,C165)))))))</f>
        <v>45</v>
      </c>
      <c r="D164" s="2953"/>
      <c r="E164" s="2848"/>
      <c r="F164" s="2855"/>
      <c r="G164" s="2809">
        <f>IF(AND(G161&gt;20,G161&lt;=32,C53=5),12,IF(AND(G161&gt;32,G161&lt;=50,C53=5),14,IF(AND(G161&gt;50,G161&lt;=80,C53=5),16,IF(AND(G161&gt;80,G161&lt;=160,C53=5),20,IF(AND(G161&gt;160,G161&lt;=315,C53=5),28,IF(AND(G161&gt;315,G161&lt;=630,C53=5),40,IF(AND(G161&gt;630,G161&lt;=1000,C53=5),50,G165)))))))</f>
        <v>63</v>
      </c>
      <c r="H164" s="2900"/>
      <c r="I164" s="2973"/>
      <c r="J164" s="2975"/>
      <c r="K164" s="2892"/>
      <c r="L164" s="2817"/>
      <c r="M164" s="2860"/>
    </row>
    <row r="165" spans="1:13" ht="15">
      <c r="A165" s="2966"/>
      <c r="B165" s="2797"/>
      <c r="C165" s="2809">
        <f>IF(AND(C161&gt;20,C161&lt;=32,C53=6),20,IF(AND(C161&gt;32,C161&lt;=50,C53=6),22,IF(AND(C161&gt;50,C161&lt;=80,C53=6),25,IF(AND(C161&gt;80,C161&lt;=160,C53=6),32,IF(AND(C161&gt;160,C161&lt;=315,C53=6),45,IF(AND(C161&gt;315,C161&lt;=630,C53=6),63,IF(AND(C161&gt;630,C161&lt;=1000,C53=6),80,C166)))))))</f>
        <v>45</v>
      </c>
      <c r="D165" s="2953"/>
      <c r="E165" s="2848"/>
      <c r="F165" s="2818"/>
      <c r="G165" s="2809">
        <f>IF(AND(G161&gt;20,G161&lt;=32,C53=6),20,IF(AND(G161&gt;32,G161&lt;=50,C53=6),22,IF(AND(G161&gt;50,G161&lt;=80,C53=6),25,IF(AND(G161&gt;80,G161&lt;=160,C53=6),32,IF(AND(G161&gt;160,G161&lt;=315,C53=6),45,IF(AND(G161&gt;315,G161&lt;=630,C53=6),63,IF(AND(G161&gt;630,G161&lt;=1000,C53=6),80,G166)))))))</f>
        <v>63</v>
      </c>
      <c r="H165" s="2900"/>
      <c r="I165" s="2973"/>
      <c r="J165" s="2975"/>
      <c r="K165" s="2892"/>
      <c r="L165" s="2817"/>
      <c r="M165" s="2860"/>
    </row>
    <row r="166" spans="1:13" ht="15">
      <c r="A166" s="2966"/>
      <c r="B166" s="2797"/>
      <c r="C166" s="2809">
        <f>IF(AND(C161&gt;20,C161&lt;=32,C53=7),28,IF(AND(C161&gt;32,C161&lt;=50,C53=7),32,IF(AND(C161&gt;50,C161&lt;=80,C53=7),36,IF(AND(C161&gt;80,C161&lt;=160,C53=7),45,IF(AND(C161&gt;160,C161&lt;=315,C53=7),63,IF(AND(C161&gt;315,C161&lt;=630,C53=7),90,IF(AND(C161&gt;630,C161&lt;=1000,C53=7),112,C167)))))))</f>
        <v>45</v>
      </c>
      <c r="D166" s="2953"/>
      <c r="E166" s="2848"/>
      <c r="F166" s="2818"/>
      <c r="G166" s="2809">
        <f>IF(AND(G161&gt;20,G161&lt;=32,C53=7),28,IF(AND(G161&gt;32,G161&lt;=50,C53=7),32,IF(AND(G161&gt;50,G161&lt;=80,C53=7),36,IF(AND(G161&gt;80,G161&lt;=160,C53=7),45,IF(AND(G161&gt;160,G161&lt;=315,C53=7),63,IF(AND(G161&gt;315,G161&lt;=630,C53=7),90,IF(AND(G161&gt;630,G161&lt;=1000,C53=7),112,G167)))))))</f>
        <v>63</v>
      </c>
      <c r="H166" s="2900"/>
      <c r="I166" s="2973"/>
      <c r="J166" s="2975"/>
      <c r="K166" s="2892"/>
      <c r="L166" s="2817"/>
      <c r="M166" s="2860"/>
    </row>
    <row r="167" spans="1:13" ht="15">
      <c r="A167" s="2803"/>
      <c r="B167" s="2797"/>
      <c r="C167" s="2809" t="str">
        <f>IF(AND(C161&gt;20,C161&lt;=32,C53=8),40,IF(AND(C161&gt;32,C161&lt;=50,C53=8),45,IF(AND(C161&gt;50,C161&lt;=80,C53=8),50,IF(AND(C161&gt;80,C161&lt;=160,C53=8),63,IF(AND(C161&gt;160,C161&lt;=315,C53=8),90,IF(AND(C161&gt;315,C161&lt;=630,C53=8),125,IF(AND(C161&gt;630,C161&lt;=1000,C53=8),160,"*")))))))</f>
        <v>*</v>
      </c>
      <c r="D167" s="2953"/>
      <c r="E167" s="2848"/>
      <c r="F167" s="2818"/>
      <c r="G167" s="2809" t="str">
        <f>IF(AND(G161&gt;20,G161&lt;=32,C53=8),40,IF(AND(G161&gt;32,G161&lt;=50,C53=8),45,IF(AND(G161&gt;50,G161&lt;=80,C53=8),50,IF(AND(G161&gt;80,G161&lt;=160,C53=8),63,IF(AND(G161&gt;160,G161&lt;=315,C53=8),90,IF(AND(G161&gt;315,G161&lt;=630,C53=8),125,IF(AND(G161&gt;630,G161&lt;=1000,C53=8),160,"*")))))))</f>
        <v>*</v>
      </c>
      <c r="H167" s="2900"/>
      <c r="I167" s="2973"/>
      <c r="J167" s="2975"/>
      <c r="K167" s="2892"/>
      <c r="L167" s="2817"/>
      <c r="M167" s="2860"/>
    </row>
    <row r="168" spans="1:13" ht="15.75">
      <c r="A168" s="2858" t="s">
        <v>3193</v>
      </c>
      <c r="B168" s="2801" t="s">
        <v>3194</v>
      </c>
      <c r="C168" s="2797">
        <f>IF(AND(C99&lt;=125,C20&gt;=1,C20&lt;=3.5,C53=3),6,IF(AND(C99&lt;=125,C20&gt;3.5,C20&lt;=6.3,C53=3),7,IF(AND(C99&lt;=125,C20&gt;6.3,C20&lt;=10,C53=3),8,IF(AND(C99&gt;125,C99&lt;=400,C20&gt;=1,C20&lt;=3.5,C53=3),9,IF(AND(C99&gt;125,C99&lt;=400,C20&gt;3.5,C20&lt;=6.3,C53=3),10,IF(AND(C99&gt;125,C99&lt;=400,C20&gt;6.3,C20&lt;=10,C53=3),11,C169))))))</f>
        <v>36</v>
      </c>
      <c r="D168" s="2953"/>
      <c r="E168" s="2797"/>
      <c r="F168" s="2801" t="s">
        <v>3195</v>
      </c>
      <c r="G168" s="2797">
        <f>IF(AND(G99&lt;=125,G20&gt;=1,G20&lt;=3.5,G53=3),6,IF(AND(G99&lt;=125,G20&gt;3.5,G20&lt;=6.3,G53=3),7,IF(AND(G99&lt;=125,G20&gt;6.3,G20&lt;=10,G53=3),8,IF(AND(G99&gt;125,G99&lt;=400,G20&gt;=1,G20&lt;=3.5,G53=3),9,IF(AND(G99&gt;125,G99&lt;=400,G20&gt;3.5,G20&lt;=6.3,G53=3),10,IF(AND(G99&gt;125,G99&lt;=400,G20&gt;6.3,G20&lt;=10,G53=3),11,G169))))))</f>
        <v>36</v>
      </c>
      <c r="H168" s="2900"/>
      <c r="I168" s="2973"/>
      <c r="J168" s="2975"/>
      <c r="K168" s="2892"/>
      <c r="L168" s="2817"/>
      <c r="M168" s="2860"/>
    </row>
    <row r="169" spans="1:13" ht="15">
      <c r="A169" s="2803"/>
      <c r="B169" s="2797"/>
      <c r="C169" s="2809">
        <f>IF(AND(C99&gt;400,C99&lt;=800,C20&gt;=1,C20&lt;=3.5,C53=3),11,IF(AND(C99&gt;400,C99&lt;=800,C20&gt;3.5,C20&lt;=6.3,C53=3),13,IF(AND(C99&gt;400,C99&lt;=800,C20&gt;6.3,C20&lt;=10,C53=3),14,IF(AND(C99&gt;800,C99&lt;=1600,C20&gt;=1,C20&lt;=3.5,C53=3),13,IF(AND(C99&gt;800,C99&lt;=1600,C20&gt;3.5,C20&lt;=6.3,C53=3),14,IF(AND(C99&gt;800,C99&lt;=1600,C20&gt;6.3,C20&lt;=10,C53=3),16,C170))))))</f>
        <v>36</v>
      </c>
      <c r="D169" s="2953"/>
      <c r="E169" s="2848"/>
      <c r="F169" s="2818"/>
      <c r="G169" s="2809">
        <f>IF(AND(G99&gt;400,G99&lt;=800,G20&gt;=1,G20&lt;=3.5,G53=3),11,IF(AND(G99&gt;400,G99&lt;=800,G20&gt;3.5,G20&lt;=6.3,G53=3),13,IF(AND(G99&gt;400,G99&lt;=800,G20&gt;6.3,G20&lt;=10,G53=3),14,IF(AND(G99&gt;800,G99&lt;=1600,G20&gt;=1,G20&lt;=3.5,G53=3),13,IF(AND(G99&gt;800,G99&lt;=1600,G20&gt;3.5,G20&lt;=6.3,G53=3),14,IF(AND(G99&gt;800,G99&lt;=1600,G20&gt;6.3,G20&lt;=10,G53=3),16,G170))))))</f>
        <v>36</v>
      </c>
      <c r="H169" s="2900"/>
      <c r="I169" s="2973"/>
      <c r="J169" s="2975"/>
      <c r="K169" s="2892"/>
      <c r="L169" s="2817"/>
      <c r="M169" s="2860"/>
    </row>
    <row r="170" spans="1:13" ht="15">
      <c r="A170" s="2803"/>
      <c r="B170" s="2797"/>
      <c r="C170" s="2809">
        <f>IF(AND(C99&lt;=125,C20&gt;=1,C20&lt;=3.5,C53=4),10,IF(AND(C99&lt;=125,C20&gt;3.5,C20&lt;=6.3,C53=4),11,IF(AND(C99&lt;=125,C20&gt;6.3,C20&lt;=10,C53=4),13,IF(AND(C99&gt;125,C99&lt;=400,C20&gt;=1,C20&lt;=3.5,C53=4),15,IF(AND(C99&gt;125,C99&lt;=400,C20&gt;3.5,C20&lt;=6.3,C53=4),16,IF(AND(C99&gt;125,C99&lt;=400,C20&gt;6.3,C20&lt;=10,C53=4),18,C171))))))</f>
        <v>36</v>
      </c>
      <c r="D170" s="2953"/>
      <c r="E170" s="2848"/>
      <c r="F170" s="2818"/>
      <c r="G170" s="2809">
        <f>IF(AND(G99&lt;=125,G20&gt;=1,G20&lt;=3.5,G53=4),10,IF(AND(G99&lt;=125,G20&gt;3.5,G20&lt;=6.3,G53=4),11,IF(AND(G99&lt;=125,G20&gt;6.3,G20&lt;=10,G53=4),13,IF(AND(G99&gt;125,G99&lt;=400,G20&gt;=1,G20&lt;=3.5,G53=4),15,IF(AND(G99&gt;125,G99&lt;=400,G20&gt;3.5,G20&lt;=6.3,G53=4),16,IF(AND(G99&gt;125,G99&lt;=400,G20&gt;6.3,G20&lt;=10,G53=4),18,G171))))))</f>
        <v>36</v>
      </c>
      <c r="H170" s="2900"/>
      <c r="I170" s="2973"/>
      <c r="J170" s="2975"/>
      <c r="K170" s="2892"/>
      <c r="L170" s="2817"/>
      <c r="M170" s="2860"/>
    </row>
    <row r="171" spans="1:13" ht="15">
      <c r="A171" s="2803"/>
      <c r="B171" s="2797"/>
      <c r="C171" s="2809">
        <f>IF(AND(C99&gt;400,C99&lt;=800,C20&gt;=1,C20&lt;=3.5,C53=4),18,IF(AND(C99&gt;400,C99&lt;=800,C20&gt;3.5,C20&lt;=6.3,C53=4),20,IF(AND(C99&gt;400,C99&lt;=800,C20&gt;6.3,C20&lt;=10,C53=4),22,IF(AND(C99&gt;800,C99&lt;=1600,C20&gt;=1,C20&lt;=3.5,C53=4),20,IF(AND(C99&gt;800,C99&lt;=1600,C20&gt;3.5,C20&lt;=6.3,C53=4),22,IF(AND(C99&gt;800,C99&lt;=1600,C20&gt;6.3,C20&lt;=10,C53=4),25,C172))))))</f>
        <v>36</v>
      </c>
      <c r="D171" s="2953"/>
      <c r="E171" s="2848"/>
      <c r="F171" s="2818"/>
      <c r="G171" s="2809">
        <f>IF(AND(G99&gt;400,G99&lt;=800,G20&gt;=1,G20&lt;=3.5,G53=4),18,IF(AND(G99&gt;400,G99&lt;=800,G20&gt;3.5,G20&lt;=6.3,G53=4),20,IF(AND(G99&gt;400,G99&lt;=800,G20&gt;6.3,G20&lt;=10,G53=4),22,IF(AND(G99&gt;800,G99&lt;=1600,G20&gt;=1,G20&lt;=3.5,G53=4),20,IF(AND(G99&gt;800,G99&lt;=1600,G20&gt;3.5,G20&lt;=6.3,G53=4),22,IF(AND(G99&gt;800,G99&lt;=1600,G20&gt;6.3,G20&lt;=10,G53=4),25,G172))))))</f>
        <v>36</v>
      </c>
      <c r="H171" s="2900"/>
      <c r="I171" s="2973"/>
      <c r="J171" s="2975"/>
      <c r="K171" s="2892"/>
      <c r="L171" s="2817"/>
      <c r="M171" s="2860"/>
    </row>
    <row r="172" spans="1:13" ht="15">
      <c r="A172" s="2803"/>
      <c r="B172" s="2797"/>
      <c r="C172" s="2809">
        <f>IF(AND(C99&lt;=125,C20&gt;=1,C20&lt;=3.5,C53=5),16,IF(AND(C99&lt;=125,C20&gt;3.5,C20&lt;=6.3,C53=5),18,IF(AND(C99&lt;=125,C20&gt;6.3,C20&lt;=10,C53=5),20,IF(AND(C99&gt;125,C99&lt;=400,C20&gt;=1,C20&lt;=3.5,C53=5),22,IF(AND(C99&gt;125,C99&lt;=400,C20&gt;3.5,C20&lt;=6.3,C53=5),25,IF(AND(C99&gt;125,C99&lt;=400,C20&gt;6.3,C20&lt;=10,C53=5),28,C173))))))</f>
        <v>36</v>
      </c>
      <c r="D172" s="2953"/>
      <c r="E172" s="2848"/>
      <c r="F172" s="2818"/>
      <c r="G172" s="2809">
        <f>IF(AND(G99&lt;=125,G20&gt;=1,G20&lt;=3.5,G53=5),16,IF(AND(G99&lt;=125,G20&gt;3.5,G20&lt;=6.3,G53=5),18,IF(AND(G99&lt;=125,G20&gt;6.3,G20&lt;=10,G53=5),20,IF(AND(G99&gt;125,G99&lt;=400,G20&gt;=1,G20&lt;=3.5,G53=5),22,IF(AND(G99&gt;125,G99&lt;=400,G20&gt;3.5,G20&lt;=6.3,G53=5),25,IF(AND(G99&gt;125,G99&lt;=400,G20&gt;6.3,G20&lt;=10,G53=5),28,G173))))))</f>
        <v>36</v>
      </c>
      <c r="H172" s="2900"/>
      <c r="I172" s="2973"/>
      <c r="J172" s="2975"/>
      <c r="K172" s="2892"/>
      <c r="L172" s="2817"/>
      <c r="M172" s="2860"/>
    </row>
    <row r="173" spans="1:13" ht="15">
      <c r="A173" s="2803"/>
      <c r="B173" s="2797"/>
      <c r="C173" s="2809">
        <f>IF(AND(C99&gt;400,C99&lt;=800,C20&gt;=1,C20&lt;=3.5,C53=5),28,IF(AND(C99&gt;400,C99&lt;=800,C20&gt;3.5,C20&lt;=6.3,C53=5),32,IF(AND(C99&gt;400,C99&lt;=800,C20&gt;6.3,C20&lt;=10,C53=5),36,IF(AND(C99&gt;800,C99&lt;=1600,C20&gt;=1,C20&lt;=3.5,C53=5),32,IF(AND(C99&gt;800,C99&lt;=1600,C20&gt;3.5,C20&lt;=6.3,C53=5),36,IF(AND(C99&gt;800,C99&lt;=1600,C20&gt;6.5,C20&lt;=10,C53=5),40,C174))))))</f>
        <v>36</v>
      </c>
      <c r="D173" s="2953"/>
      <c r="E173" s="2848"/>
      <c r="F173" s="2818"/>
      <c r="G173" s="2809">
        <f>IF(AND(G99&gt;400,G99&lt;=800,G20&gt;=1,G20&lt;=3.5,G53=5),28,IF(AND(G99&gt;400,G99&lt;=800,G20&gt;3.5,G20&lt;=6.3,G53=5),32,IF(AND(G99&gt;400,G99&lt;=800,G20&gt;6.3,G20&lt;=10,G53=5),36,IF(AND(G99&gt;800,G99&lt;=1600,G20&gt;=1,G20&lt;=3.5,G53=5),32,IF(AND(G99&gt;800,G99&lt;=1600,G20&gt;3.5,G20&lt;=6.3,G53=5),36,IF(AND(G99&gt;800,G99&lt;=1600,G20&gt;6.5,G20&lt;=10,G53=5),40,G174))))))</f>
        <v>36</v>
      </c>
      <c r="H173" s="2900"/>
      <c r="I173" s="2973"/>
      <c r="J173" s="2975"/>
      <c r="K173" s="2892"/>
      <c r="L173" s="2817"/>
      <c r="M173" s="2860"/>
    </row>
    <row r="174" spans="1:13" ht="15">
      <c r="A174" s="2803"/>
      <c r="B174" s="2797"/>
      <c r="C174" s="2809">
        <f>IF(AND(C99&lt;=125,C20&gt;=1,C20&lt;=3.5,C53=6),25,IF(AND(C99&lt;=125,C20&gt;3.5,C20&lt;=6.3,C53=6),28,IF(AND(C99&lt;=125,C20&gt;6.3,C20&lt;=10,C53=6),32,IF(AND(C99&gt;125,C99&lt;=400,C20&gt;=1,C20&lt;=3.5,C53=6),36,IF(AND(C99&gt;125,C99&lt;=400,C20&gt;3.5,C20&lt;=6.3,C53=6),40,IF(AND(C99&gt;125,C99&lt;=400,C20&gt;6.3,C20&lt;=10,C53=6),45,C175))))))</f>
        <v>36</v>
      </c>
      <c r="D174" s="2953"/>
      <c r="E174" s="2848"/>
      <c r="F174" s="2818"/>
      <c r="G174" s="2809">
        <f>IF(AND(G99&lt;=125,G20&gt;=1,G20&lt;=3.5,G53=6),25,IF(AND(G99&lt;=125,G20&gt;3.5,G20&lt;=6.3,G53=6),28,IF(AND(G99&lt;=125,G20&gt;6.3,G20&lt;=10,G53=6),32,IF(AND(G99&gt;125,G99&lt;=400,G20&gt;=1,G20&lt;=3.5,G53=6),36,IF(AND(G99&gt;125,G99&lt;=400,G20&gt;3.5,G20&lt;=6.3,G53=6),40,IF(AND(G99&gt;125,G99&lt;=400,G20&gt;6.3,G20&lt;=10,G53=6),45,G175))))))</f>
        <v>36</v>
      </c>
      <c r="H174" s="2900"/>
      <c r="I174" s="2973"/>
      <c r="J174" s="2975"/>
      <c r="K174" s="2892"/>
      <c r="L174" s="2817"/>
      <c r="M174" s="2860"/>
    </row>
    <row r="175" spans="1:13" ht="15">
      <c r="A175" s="2803"/>
      <c r="B175" s="2797"/>
      <c r="C175" s="2809">
        <f>IF(AND(C99&gt;400,C99&lt;=800,C20&gt;=1,C20&lt;=3.5,C53=6),45,IF(AND(C99&gt;400,C99&lt;=800,C20&gt;3.5,C20&lt;=6.3,C53=6),50,IF(AND(C99&gt;400,C99&lt;=800,C20&gt;6.3,C20&lt;=10,C53=6),56,IF(AND(C99&gt;800,C99&lt;=1600,C20&gt;=1,C20&lt;=3.5,C53=6),50,IF(AND(C99&gt;800,C99&lt;=1600,C20&gt;3.5,C20&lt;=6.3,C53=6),56,IF(AND(C99&gt;800,C99&lt;=1600,C20&gt;6.3,C20&lt;=10,C53=6),63,C176))))))</f>
        <v>36</v>
      </c>
      <c r="D175" s="2953"/>
      <c r="E175" s="2848"/>
      <c r="F175" s="2818"/>
      <c r="G175" s="2809">
        <f>IF(AND(G99&gt;400,G99&lt;=800,G20&gt;=1,G20&lt;=3.5,G53=6),45,IF(AND(G99&gt;400,G99&lt;=800,G20&gt;3.5,G20&lt;=6.3,G53=6),50,IF(AND(G99&gt;400,G99&lt;=800,G20&gt;6.3,G20&lt;=10,G53=6),56,IF(AND(G99&gt;800,G99&lt;=1600,G20&gt;=1,G20&lt;=3.5,G53=6),50,IF(AND(G99&gt;800,G99&lt;=1600,G20&gt;3.5,G20&lt;=6.3,G53=6),56,IF(AND(G99&gt;800,G99&lt;=1600,G20&gt;6.3,G20&lt;=10,G53=6),63,G176))))))</f>
        <v>36</v>
      </c>
      <c r="H175" s="2900"/>
      <c r="I175" s="2973"/>
      <c r="J175" s="2975"/>
      <c r="K175" s="2892"/>
      <c r="L175" s="2817"/>
      <c r="M175" s="2860"/>
    </row>
    <row r="176" spans="1:13" ht="15">
      <c r="A176" s="2803"/>
      <c r="B176" s="2797"/>
      <c r="C176" s="2809">
        <f>IF(AND(C99&lt;=125,C20&gt;=1,C20&lt;=3.5,C53=7),36,IF(AND(C99&lt;=125,C20&gt;3.5,C20&lt;=6.3,C53=7),40,IF(AND(C99&lt;=125,C20&gt;6.3,C20&lt;=10,C53=7),45,IF(AND(C99&gt;125,C99&lt;=400,C20&gt;=1,C20&lt;=3.5,C53=7),50,IF(AND(C99&gt;125,C99&lt;=400,C20&gt;3.5,C20&lt;=6.3,C53=7),56,IF(AND(C99&gt;125,C99&lt;=400,C20&gt;6.3,C20&lt;=10,C53=7),63,C177))))))</f>
        <v>36</v>
      </c>
      <c r="D176" s="2953"/>
      <c r="E176" s="2848"/>
      <c r="F176" s="2818"/>
      <c r="G176" s="2809">
        <f>IF(AND(G99&lt;=125,G20&gt;=1,G20&lt;=3.5,G53=7),36,IF(AND(G99&lt;=125,G20&gt;3.5,G20&lt;=6.3,G53=7),40,IF(AND(G99&lt;=125,G20&gt;6.3,G20&lt;=10,G53=7),45,IF(AND(G99&gt;125,G99&lt;=400,G20&gt;=1,G20&lt;=3.5,G53=7),50,IF(AND(G99&gt;125,G99&lt;=400,G20&gt;3.5,G20&lt;=6.3,G53=7),56,IF(AND(G99&gt;125,G99&lt;=400,G20&gt;6.3,G20&lt;=10,G53=7),63,G177))))))</f>
        <v>36</v>
      </c>
      <c r="H176" s="2900"/>
      <c r="I176" s="2973"/>
      <c r="J176" s="2975"/>
      <c r="K176" s="2892"/>
      <c r="L176" s="2817"/>
      <c r="M176" s="2860"/>
    </row>
    <row r="177" spans="1:13" ht="15">
      <c r="A177" s="2803"/>
      <c r="B177" s="2797"/>
      <c r="C177" s="2809" t="str">
        <f>IF(AND(C99&gt;400,C99&lt;=800,C20&gt;=1,C20&lt;=3.5,C53=7),63,IF(AND(C99&gt;400,C99&lt;=800,C20&gt;3.5,C20&lt;=6.3,C53=7),71,IF(AND(C99&gt;400,C99&lt;=800,C20&gt;6.3,C20&lt;=10,C53=7),80,IF(AND(C99&gt;800,C99&lt;=1600,C20&gt;=1,C20&lt;=3.5,C53=7),71,IF(AND(C99&gt;800,C99&lt;=1600,C20&gt;3.5,C20&lt;=6.3,C53=7),80,IF(AND(C99&gt;800,C99&lt;=1600,C20&gt;6.3,C20&lt;=10,C53=7),90,C178))))))</f>
        <v>*</v>
      </c>
      <c r="D177" s="2953"/>
      <c r="E177" s="2848"/>
      <c r="F177" s="2818"/>
      <c r="G177" s="2809" t="str">
        <f>IF(AND(G99&gt;400,G99&lt;=800,G20&gt;=1,G20&lt;=3.5,G53=7),63,IF(AND(G99&gt;400,G99&lt;=800,G20&gt;3.5,G20&lt;=6.3,G53=7),71,IF(AND(G99&gt;400,G99&lt;=800,G20&gt;6.3,G20&lt;=10,G53=7),80,IF(AND(G99&gt;800,G99&lt;=1600,G20&gt;=1,G20&lt;=3.5,G53=7),71,IF(AND(G99&gt;800,G99&lt;=1600,G20&gt;3.5,G20&lt;=6.3,G53=7),80,IF(AND(G99&gt;800,G99&lt;=1600,G20&gt;6.3,G20&lt;=10,G53=7),90,G178))))))</f>
        <v>*</v>
      </c>
      <c r="H177" s="2900"/>
      <c r="I177" s="2973"/>
      <c r="J177" s="2975"/>
      <c r="K177" s="2892"/>
      <c r="L177" s="2817"/>
      <c r="M177" s="2860"/>
    </row>
    <row r="178" spans="1:13" ht="15">
      <c r="A178" s="2803"/>
      <c r="B178" s="2797"/>
      <c r="C178" s="2809" t="str">
        <f>IF(AND(C99&lt;=125,C20&gt;=1,C20&lt;=3.5,C53=8),45,IF(AND(C99&lt;=125,C20&gt;3.5,C20&lt;=6.3,C53=8),50,IF(AND(C99&lt;=125,C20&gt;6.3,C20&lt;=10,C53=8),56,IF(AND(C99&gt;125,C99&lt;=400,C20&gt;=1,C20&lt;=3.5,C53=8),63,IF(AND(C99&gt;125,C99&lt;=400,C20&gt;3.5,C20&lt;=6.3,C53=8),71,IF(AND(C99&gt;125,C99&lt;=400,C20&gt;6.3,C20&lt;=10,C53=8),80,C179))))))</f>
        <v>*</v>
      </c>
      <c r="D178" s="2953"/>
      <c r="E178" s="2848"/>
      <c r="F178" s="2818"/>
      <c r="G178" s="2809" t="str">
        <f>IF(AND(G99&lt;=125,G20&gt;=1,G20&lt;=3.5,G53=8),45,IF(AND(G99&lt;=125,G20&gt;3.5,G20&lt;=6.3,G53=8),50,IF(AND(G99&lt;=125,G20&gt;6.3,G20&lt;=10,G53=8),56,IF(AND(G99&gt;125,G99&lt;=400,G20&gt;=1,G20&lt;=3.5,G53=8),63,IF(AND(G99&gt;125,G99&lt;=400,G20&gt;3.5,G20&lt;=6.3,G53=8),71,IF(AND(G99&gt;125,G99&lt;=400,G20&gt;6.3,G20&lt;=10,G53=8),80,G179))))))</f>
        <v>*</v>
      </c>
      <c r="H178" s="2900"/>
      <c r="I178" s="2973"/>
      <c r="J178" s="2975"/>
      <c r="K178" s="2892"/>
      <c r="L178" s="2817"/>
      <c r="M178" s="2860"/>
    </row>
    <row r="179" spans="1:13" ht="15">
      <c r="A179" s="2803"/>
      <c r="B179" s="2797"/>
      <c r="C179" s="2809" t="str">
        <f>IF(AND(C99&gt;400,C99&lt;=800,C20&gt;=1,C20&lt;=3.5,C53=8),80,IF(AND(C99&gt;400,C99&lt;=800,C20&gt;3.5,C20&lt;=6.3,C53=8),90,IF(AND(C99&gt;400,C99&lt;=800,C20&gt;6.3,C20&lt;=10,C53=8),100,IF(AND(C99&gt;800,C99&lt;=1600,C20&gt;=1,C20&lt;=3.5,C53=8),90,IF(AND(C99&gt;800,C99&lt;=1600,C20&gt;3.5,C20&lt;=6.3,C53=8),100,IF(AND(C99&gt;800,C99&lt;=1600,C20&gt;6.3,C20&lt;=10,C53=8),112,"*"))))))</f>
        <v>*</v>
      </c>
      <c r="D179" s="2953"/>
      <c r="E179" s="2848"/>
      <c r="F179" s="2818"/>
      <c r="G179" s="2809" t="str">
        <f>IF(AND(G99&gt;400,G99&lt;=800,G20&gt;=1,G20&lt;=3.5,G53=8),80,IF(AND(G99&gt;400,G99&lt;=800,G20&gt;3.5,G20&lt;=6.3,G53=8),90,IF(AND(G99&gt;400,G99&lt;=800,G20&gt;6.3,G20&lt;=10,G53=8),100,IF(AND(G99&gt;800,G99&lt;=1600,G20&gt;=1,G20&lt;=3.5,G53=8),90,IF(AND(G99&gt;800,G99&lt;=1600,G20&gt;3.5,G20&lt;=6.3,G53=8),100,IF(AND(G99&gt;800,G99&lt;=1600,G20&gt;6.3,G20&lt;=10,G53=8),112,"*"))))))</f>
        <v>*</v>
      </c>
      <c r="H179" s="2900"/>
      <c r="I179" s="2973"/>
      <c r="J179" s="2975"/>
      <c r="K179" s="2892"/>
      <c r="L179" s="2817"/>
      <c r="M179" s="2860"/>
    </row>
    <row r="180" spans="1:13" ht="15.75">
      <c r="A180" s="2857" t="s">
        <v>3196</v>
      </c>
      <c r="B180" s="2801" t="s">
        <v>3197</v>
      </c>
      <c r="C180" s="2797">
        <f>IF(AND(C99&lt;=125,C53=3),5,IF(AND(C99&lt;=125,C53=4),8,IF(AND(C99&lt;=125,C53=5),12,IF(AND(C99&lt;=125,C53=6),20,IF(AND(C99&lt;=125,C53=7),28,IF(AND(C99&lt;=125,C53=8),40,C181))))))</f>
        <v>28</v>
      </c>
      <c r="D180" s="2953"/>
      <c r="E180" s="2848"/>
      <c r="F180" s="2855" t="s">
        <v>3198</v>
      </c>
      <c r="G180" s="2797">
        <f>IF(AND(G99&lt;=125,G53=3),5,IF(AND(G99&lt;=125,G53=4),8,IF(AND(G99&lt;=125,G53=5),12,IF(AND(G99&lt;=125,G53=6),20,IF(AND(G99&lt;=125,G53=7),28,IF(AND(G99&lt;=125,G53=8),40,G181))))))</f>
        <v>28</v>
      </c>
      <c r="H180" s="2900"/>
      <c r="I180" s="2973"/>
      <c r="J180" s="2975"/>
      <c r="K180" s="2892"/>
      <c r="L180" s="2817"/>
      <c r="M180" s="2860"/>
    </row>
    <row r="181" spans="1:13" ht="15">
      <c r="A181" s="2803"/>
      <c r="B181" s="2797"/>
      <c r="C181" s="2809" t="str">
        <f>IF(AND(C99&gt;125,C99&lt;=400,C53=3),6.5,IF(AND(C99&gt;125,C99&lt;=400,C53=4),10,IF(AND(C99&gt;125,C99&lt;=400,C53=5),16,IF(AND(C99&gt;125,C99&lt;=400,C53=6),25,IF(AND(C99&gt;125,C99&lt;=400,C53=7),36,IF(AND(C99&gt;125,C99&lt;=400,C53=8),50,C182))))))</f>
        <v>*</v>
      </c>
      <c r="D181" s="2953"/>
      <c r="E181" s="2848"/>
      <c r="F181" s="2818"/>
      <c r="G181" s="2809" t="str">
        <f>IF(AND(G99&gt;125,G99&lt;=400,G53=3),6.5,IF(AND(G99&gt;125,G99&lt;=400,G53=4),10,IF(AND(G99&gt;125,G99&lt;=400,G53=5),16,IF(AND(G99&gt;125,G99&lt;=400,G53=6),25,IF(AND(G99&gt;125,G99&lt;=400,G53=7),36,IF(AND(G99&gt;125,G99&lt;=400,G53=8),50,G182))))))</f>
        <v>*</v>
      </c>
      <c r="H181" s="2900"/>
      <c r="I181" s="2973"/>
      <c r="J181" s="2975"/>
      <c r="K181" s="2892"/>
      <c r="L181" s="2817"/>
      <c r="M181" s="2860"/>
    </row>
    <row r="182" spans="1:13" ht="15">
      <c r="A182" s="2803"/>
      <c r="B182" s="2797"/>
      <c r="C182" s="2809" t="str">
        <f>IF(AND(C99&gt;400,C99&lt;=800,C53=3),8,IF(AND(C99&gt;400,C99&lt;=800,C53=4),12,IF(AND(C99&gt;400,C99&lt;=800,C53=5),20,IF(AND(C99&gt;400,C99&lt;=800,C53=6),32,IF(AND(C99&gt;400,C99&lt;=800,C53=7),45,IF(AND(C99&gt;400,C99&lt;=800,C53=8),63,C183))))))</f>
        <v>*</v>
      </c>
      <c r="D182" s="2953"/>
      <c r="E182" s="2848"/>
      <c r="F182" s="2818"/>
      <c r="G182" s="2809" t="str">
        <f>IF(AND(G99&gt;400,G99&lt;=800,G53=3),8,IF(AND(G99&gt;400,G99&lt;=800,G53=4),12,IF(AND(G99&gt;400,G99&lt;=800,G53=5),20,IF(AND(G99&gt;400,G99&lt;=800,G53=6),32,IF(AND(G99&gt;400,G99&lt;=800,G53=7),45,IF(AND(G99&gt;400,G99&lt;=800,G53=8),63,G183))))))</f>
        <v>*</v>
      </c>
      <c r="H182" s="2900"/>
      <c r="I182" s="2973"/>
      <c r="J182" s="2975"/>
      <c r="K182" s="2892"/>
      <c r="L182" s="2817"/>
      <c r="M182" s="2860"/>
    </row>
    <row r="183" spans="1:13" ht="15">
      <c r="A183" s="2803"/>
      <c r="B183" s="2797"/>
      <c r="C183" s="2809" t="str">
        <f>IF(AND(C99&gt;800,C99&lt;=1600,C53=3),10,IF(AND(C99&gt;800,C99&lt;=1600,C53=4),16,IF(AND(C99&gt;800,C99&lt;=1600,C53=5),25,IF(AND(C99&gt;800,C99&lt;=1600,C53=6),40,IF(AND(C99&gt;800,C99&lt;=1600,C53=7),56,IF(AND(C99&gt;800,C99&lt;=1600,C53=8),80,"*"))))))</f>
        <v>*</v>
      </c>
      <c r="D183" s="2953"/>
      <c r="E183" s="2848"/>
      <c r="F183" s="2818"/>
      <c r="G183" s="2809" t="str">
        <f>IF(AND(G99&gt;800,G99&lt;=1600,G53=3),10,IF(AND(G99&gt;800,G99&lt;=1600,G53=4),16,IF(AND(G99&gt;800,G99&lt;=1600,G53=5),25,IF(AND(G99&gt;800,G99&lt;=1600,G53=6),40,IF(AND(G99&gt;800,G99&lt;=1600,G53=7),56,IF(AND(G99&gt;800,G99&lt;=1600,G53=8),80,"*"))))))</f>
        <v>*</v>
      </c>
      <c r="H183" s="2900"/>
      <c r="I183" s="2973"/>
      <c r="J183" s="2975"/>
      <c r="K183" s="2892"/>
      <c r="L183" s="2817"/>
      <c r="M183" s="2860"/>
    </row>
    <row r="184" spans="1:13" ht="15.75">
      <c r="A184" s="2803" t="s">
        <v>3199</v>
      </c>
      <c r="B184" s="2855" t="s">
        <v>4720</v>
      </c>
      <c r="C184" s="2797">
        <f>IF(AND(C99&lt;=125,C20&gt;=1,C20&lt;=3.5,C54=3),2.5,IF(AND(C99&lt;=125,C20&gt;3.5,C20&lt;=6.3,C54=3),3.2,IF(AND(C99&lt;=125,C20&gt;6.3,C20&lt;=10,C54=3),3.6,IF(AND(C99&gt;125,C99&lt;=400,C20&gt;=1,C20&lt;=3.5,C54=3),2.8,IF(AND(C99&gt;125,C99&lt;=400,C20&gt;3.5,C20&lt;=6.3,C54=3),3.6,IF(AND(C99&gt;125,C99&lt;=400,C20&gt;6.3,C20&lt;=10,C54=3),4,C185))))))</f>
        <v>10</v>
      </c>
      <c r="D184" s="2953"/>
      <c r="E184" s="2797"/>
      <c r="F184" s="2855" t="s">
        <v>3201</v>
      </c>
      <c r="G184" s="2797">
        <f>IF(AND(G99&lt;=125,G20&gt;=1,G20&lt;=3.5,G54=3),2.5,IF(AND(G99&lt;=125,G20&gt;3.5,G20&lt;=6.3,G54=3),3.2,IF(AND(G99&lt;=125,G20&gt;6.3,G20&lt;=10,G54=3),3.6,IF(AND(G99&gt;125,G99&lt;=400,G20&gt;=1,G20&lt;=3.5,G54=3),2.8,IF(AND(G99&gt;125,G99&lt;=400,G20&gt;3.5,G20&lt;=6.3,G54=3),3.6,IF(AND(G99&gt;125,G99&lt;=400,G20&gt;6.3,G20&lt;=10,G54=3),4,G185))))))</f>
        <v>10</v>
      </c>
      <c r="H184" s="2900"/>
      <c r="I184" s="2973"/>
      <c r="J184" s="2975"/>
      <c r="K184" s="2892"/>
      <c r="L184" s="2817"/>
      <c r="M184" s="2860"/>
    </row>
    <row r="185" spans="1:13" ht="15.75">
      <c r="A185" s="2803"/>
      <c r="B185" s="2855"/>
      <c r="C185" s="2809">
        <f>IF(AND(C99&gt;400,C99&lt;=800,C20&gt;=1,C20&lt;=3.5,C54=3),3.2,IF(AND(C99&gt;400,C99&lt;=800,C20&gt;3.5,C20&lt;=6.3,C54=3),3.6,IF(AND(C99&gt;400,C99&lt;=800,C20&gt;6.3,C20&lt;=10,C54=3),4.5,IF(AND(C99&gt;800,C99&lt;=1600,C20&gt;=1,C20&lt;=3.5,C54=3),3.6,IF(AND(C99&gt;800,C99&lt;=1600,C20&gt;3.5,C20&lt;=6.3,C54=3),4,IF(AND(C99&gt;800,C99&lt;=1600,C20&gt;6.3,C20&lt;=10,C54=3),4.5,C186))))))</f>
        <v>10</v>
      </c>
      <c r="D185" s="2967"/>
      <c r="E185" s="2809"/>
      <c r="F185" s="2968"/>
      <c r="G185" s="2809">
        <f>IF(AND(G99&gt;400,G99&lt;=800,G20&gt;=1,G20&lt;=3.5,G54=3),3.2,IF(AND(G99&gt;400,G99&lt;=800,G20&gt;3.5,G20&lt;=6.3,G54=3),3.6,IF(AND(G99&gt;400,G99&lt;=800,G20&gt;6.3,G20&lt;=10,G54=3),4.5,IF(AND(G99&gt;800,G99&lt;=1600,G20&gt;=1,G20&lt;=3.5,G54=3),3.6,IF(AND(G99&gt;800,G99&lt;=1600,G20&gt;3.5,G20&lt;=6.3,G54=3),4,IF(AND(G99&gt;800,G99&lt;=1600,G20&gt;6.3,G20&lt;=10,G54=3),4.5,G186))))))</f>
        <v>10</v>
      </c>
      <c r="H185" s="2900"/>
      <c r="I185" s="2973"/>
      <c r="J185" s="2975"/>
      <c r="K185" s="2892"/>
      <c r="L185" s="2817"/>
      <c r="M185" s="2860"/>
    </row>
    <row r="186" spans="1:13" ht="15.75">
      <c r="A186" s="2803"/>
      <c r="B186" s="2855"/>
      <c r="C186" s="2809">
        <f>IF(AND(C99&lt;=125,C20&gt;=1,C20&lt;=3.5,C54=4),4,IF(AND(C99&lt;=125,C20&gt;3.5,C20&lt;=6.3,C54=4),5,IF(AND(C99&lt;=125,C20&gt;6.3,C20&lt;=10,C54=4),5.5,IF(AND(C99&gt;125,C99&lt;=400,C20&gt;=1,C20&lt;=3.5,C54=4),4.5,IF(AND(C99&gt;125,C99&lt;=400,C20&gt;3.5,C20&lt;=6.3,C54=4),5.5,IF(AND(C99&gt;125,C99&lt;=400,C20&gt;6.3,C20&lt;=10,C54=4),6,C187))))))</f>
        <v>10</v>
      </c>
      <c r="D186" s="2967"/>
      <c r="E186" s="2809"/>
      <c r="F186" s="2968"/>
      <c r="G186" s="2809">
        <f>IF(AND(G99&lt;=125,G20&gt;=1,G20&lt;=3.5,G54=4),4,IF(AND(G99&lt;=125,G20&gt;3.5,G20&lt;=6.3,G54=4),5,IF(AND(G99&lt;=125,G20&gt;6.3,G20&lt;=10,G54=4),5.5,IF(AND(G99&gt;125,G99&lt;=400,G20&gt;=1,G20&lt;=3.5,G54=4),4.5,IF(AND(G99&gt;125,G99&lt;=400,G20&gt;3.5,G20&lt;=6.3,G54=4),5.5,IF(AND(G99&gt;125,G99&lt;=400,G20&gt;6.3,G20&lt;=10,G54=4),6,G187))))))</f>
        <v>10</v>
      </c>
      <c r="H186" s="2900"/>
      <c r="I186" s="2973"/>
      <c r="J186" s="2975"/>
      <c r="K186" s="2892"/>
      <c r="L186" s="2817"/>
      <c r="M186" s="2860"/>
    </row>
    <row r="187" spans="1:13" ht="15.75">
      <c r="A187" s="2803"/>
      <c r="B187" s="2855"/>
      <c r="C187" s="2809">
        <f>IF(AND(C99&gt;400,C99&lt;=800,C20&gt;=1,C20&lt;=3.5,C54=4),5,IF(AND(C99&gt;400,C99&lt;=800,C20&gt;3.5,C20&lt;=6.3,C54=4),5.5,IF(AND(C99&gt;400,C99&lt;=800,C20&gt;6.3,C20&lt;=10,C54=4),7,IF(AND(C99&gt;800,C99&lt;=1600,C20&gt;=1,C20&lt;=3.5,C54=4),5.5,IF(AND(C99&gt;800,C99&lt;=1600,C20&gt;3.5,C20&lt;=6.3,C54=4),6,IF(AND(C99&gt;800,C99&lt;=1600,C20&gt;6.3,C20&lt;=10,C54=4),7,C188))))))</f>
        <v>10</v>
      </c>
      <c r="D187" s="2967"/>
      <c r="E187" s="2809"/>
      <c r="F187" s="2968"/>
      <c r="G187" s="2809">
        <f>IF(AND(G99&gt;400,G99&lt;=800,G20&gt;=1,G20&lt;=3.5,G54=4),5,IF(AND(G99&gt;400,G99&lt;=800,G20&gt;3.5,G20&lt;=6.3,G54=4),5.5,IF(AND(G99&gt;400,G99&lt;=800,G20&gt;6.3,G20&lt;=10,G54=4),7,IF(AND(G99&gt;800,G99&lt;=1600,G20&gt;=1,G20&lt;=3.5,G54=4),5.5,IF(AND(G99&gt;800,G99&lt;=1600,G20&gt;3.5,G20&lt;=6.3,G54=4),6,IF(AND(G99&gt;800,G99&lt;=1600,G20&gt;6.3,G20&lt;=10,G54=4),7,G188))))))</f>
        <v>10</v>
      </c>
      <c r="H187" s="2900"/>
      <c r="I187" s="2973"/>
      <c r="J187" s="2975"/>
      <c r="K187" s="2892"/>
      <c r="L187" s="2817"/>
      <c r="M187" s="2860"/>
    </row>
    <row r="188" spans="1:13" ht="15">
      <c r="A188" s="2803"/>
      <c r="B188" s="2797"/>
      <c r="C188" s="2809">
        <f>IF(AND(C99&lt;=125,C20&gt;=1,C20&lt;=3.5,C54=5),6,IF(AND(C99&lt;=125,C20&gt;3.5,C20&lt;=6.3,C54=5),8,IF(AND(C99&lt;=125,C20&gt;6.3,C20&lt;=10,C54=5),9,IF(AND(C99&gt;125,C99&lt;=400,C20&gt;=1,C20&lt;=3.5,C54=5),7,IF(AND(C99&gt;125,C99&lt;=400,C20&gt;3.5,C20&lt;=6.3,C54=5),9,IF(AND(C99&gt;125,C99&lt;=400,C20&gt;6.3,C20&lt;=10,C54=5),10,C189))))))</f>
        <v>10</v>
      </c>
      <c r="D188" s="2953"/>
      <c r="E188" s="2848"/>
      <c r="F188" s="2818"/>
      <c r="G188" s="2809">
        <f>IF(AND(G99&lt;=125,G20&gt;=1,G20&lt;=3.5,G54=5),6,IF(AND(G99&lt;=125,G20&gt;3.5,G20&lt;=6.3,G54=5),8,IF(AND(G99&lt;=125,G20&gt;6.3,G20&lt;=10,G54=5),9,IF(AND(G99&gt;125,G99&lt;=400,G20&gt;=1,G20&lt;=3.5,G54=5),7,IF(AND(G99&gt;125,G99&lt;=400,G20&gt;3.5,G20&lt;=6.3,G54=5),9,IF(AND(G99&gt;125,G99&lt;=400,G20&gt;6.3,G20&lt;=10,G54=5),10,G189))))))</f>
        <v>10</v>
      </c>
      <c r="H188" s="2900"/>
      <c r="I188" s="2973"/>
      <c r="J188" s="2975"/>
      <c r="K188" s="2892"/>
      <c r="L188" s="2817"/>
      <c r="M188" s="2860"/>
    </row>
    <row r="189" spans="1:13" ht="15.75">
      <c r="A189" s="2803"/>
      <c r="B189" s="2855"/>
      <c r="C189" s="2809">
        <f>IF(AND(C99&gt;400,C99&lt;=800,C20&gt;=1,C20&lt;=3.5,C54=5),8,IF(AND(C99&gt;400,C99&lt;=800,C20&gt;3.5,C20&lt;=6.3,C54=5),9,IF(AND(C99&gt;400,C99&lt;=800,C20&gt;6.3,C20&lt;=10,C54=5),11,IF(AND(C99&gt;800,C99&lt;=1600,C20&gt;=1,C20&lt;=3.5,C54=5),9,IF(AND(C99&gt;800,C99&lt;=1600,C20&gt;3.5,C20&lt;=6.3,C54=5),10,IF(AND(C99&gt;800,C99&lt;=1600,C20&gt;6.3,C20&lt;=10,C54=5),11,C190))))))</f>
        <v>10</v>
      </c>
      <c r="D189" s="2953"/>
      <c r="E189" s="2848"/>
      <c r="F189" s="2855"/>
      <c r="G189" s="2809">
        <f>IF(AND(G99&gt;400,G99&lt;=800,G20&gt;=1,G20&lt;=3.5,G54=5),8,IF(AND(G99&gt;400,G99&lt;=800,G20&gt;3.5,G20&lt;=6.3,G54=5),9,IF(AND(G99&gt;400,G99&lt;=800,G20&gt;6.3,G20&lt;=10,G54=5),11,IF(AND(G99&gt;800,G99&lt;=1600,G20&gt;=1,G20&lt;=3.5,G54=5),9,IF(AND(G99&gt;800,G99&lt;=1600,G20&gt;3.5,G20&lt;=6.3,G54=5),10,IF(AND(G99&gt;800,G99&lt;=1600,G20&gt;6.3,G20&lt;=10,G54=5),11,G190))))))</f>
        <v>10</v>
      </c>
      <c r="H189" s="2900"/>
      <c r="I189" s="2973"/>
      <c r="J189" s="2975"/>
      <c r="K189" s="2892"/>
      <c r="L189" s="2817"/>
      <c r="M189" s="2860"/>
    </row>
    <row r="190" spans="1:13" ht="15.75">
      <c r="A190" s="2803"/>
      <c r="B190" s="2855"/>
      <c r="C190" s="2809">
        <f>IF(AND(C99&lt;=125,C20&gt;=1,C20&lt;=3.5,C54=6),10,IF(AND(C99&lt;=125,C20&gt;3.5,C20&lt;=6.3,C54=6),13,IF(AND(C99&lt;=125,C20&gt;6.3,C20&lt;=10,C54=6),14,IF(AND(C99&gt;125,C99&lt;=400,C20&gt;=1,C20&lt;=3.5,C54=6),11,IF(AND(C99&gt;125,C99&lt;=400,C20&gt;3.5,C20&lt;=6.3,C54=6),14,IF(AND(C99&gt;125,C99&lt;=400,C20&gt;6.3,C20&lt;=10,C54=6),16,C191))))))</f>
        <v>10</v>
      </c>
      <c r="D190" s="2953"/>
      <c r="E190" s="2848"/>
      <c r="F190" s="2855"/>
      <c r="G190" s="2809">
        <f>IF(AND(G99&lt;=125,G20&gt;=1,G20&lt;=3.5,G54=6),10,IF(AND(G99&lt;=125,G20&gt;3.5,G20&lt;=6.3,G54=6),13,IF(AND(G99&lt;=125,G20&gt;6.3,G20&lt;=10,G54=6),14,IF(AND(G99&gt;125,G99&lt;=400,G20&gt;=1,G20&lt;=3.5,G54=6),11,IF(AND(G99&gt;125,G99&lt;=400,G20&gt;3.5,G20&lt;=6.3,G54=6),14,IF(AND(G99&gt;125,G99&lt;=400,G20&gt;6.3,G20&lt;=10,G54=6),16,G191))))))</f>
        <v>10</v>
      </c>
      <c r="H190" s="2900"/>
      <c r="I190" s="2973"/>
      <c r="J190" s="2975"/>
      <c r="K190" s="2892"/>
      <c r="L190" s="2817"/>
      <c r="M190" s="2860"/>
    </row>
    <row r="191" spans="1:13" ht="15.75">
      <c r="A191" s="2803"/>
      <c r="B191" s="2855"/>
      <c r="C191" s="2809" t="str">
        <f>IF(AND(C99&gt;400,C99&lt;=800,C20&gt;=1,C20&lt;=3.5,C54=6),13,IF(AND(C99&gt;400,C99&lt;=800,C20&gt;3.5,C20&lt;=6.3,C54=6),14,IF(AND(C99&gt;400,C99&lt;=800,C20&gt;6.3,C20&lt;=10,C54=6),18,IF(AND(C99&gt;800,C99&lt;=1600,C20&gt;=1,C20&lt;=3.5,C54=6),14,IF(AND(C99&gt;800,C99&lt;=1600,C20&gt;3.5,C20&lt;=6.3,C54=6),16,IF(AND(C99&gt;800,C99&lt;=1600,C20&gt;6.3,C20&lt;=10,C54=6),18,C192))))))</f>
        <v>*</v>
      </c>
      <c r="D191" s="2953"/>
      <c r="E191" s="2848"/>
      <c r="F191" s="2855"/>
      <c r="G191" s="2809" t="str">
        <f>IF(AND(G99&gt;400,G99&lt;=800,G20&gt;=1,G20&lt;=3.5,G54=6),13,IF(AND(G99&gt;400,G99&lt;=800,G20&gt;3.5,G20&lt;=6.3,G54=6),14,IF(AND(G99&gt;400,G99&lt;=800,G20&gt;6.3,G20&lt;=10,G54=6),18,IF(AND(G99&gt;800,G99&lt;=1600,G20&gt;=1,G20&lt;=3.5,G54=6),14,IF(AND(G99&gt;800,G99&lt;=1600,G20&gt;3.5,G20&lt;=6.3,G54=6),16,IF(AND(G99&gt;800,G99&lt;=1600,G20&gt;6.3,G20&lt;=10,G54=6),18,G192))))))</f>
        <v>*</v>
      </c>
      <c r="H191" s="2900"/>
      <c r="I191" s="2973"/>
      <c r="J191" s="2975"/>
      <c r="K191" s="2892"/>
      <c r="L191" s="2817"/>
      <c r="M191" s="2860"/>
    </row>
    <row r="192" spans="1:13" ht="15.75">
      <c r="A192" s="2803"/>
      <c r="B192" s="2855"/>
      <c r="C192" s="2809" t="str">
        <f>IF(AND(C99&lt;=125,C20&gt;=1,C20&lt;=3.5,C54=7),14,IF(AND(C99&lt;=125,C20&gt;3.5,C20&lt;=6.3,C54=7),18,IF(AND(C99&lt;=125,C20&gt;6.3,C20&lt;=10,C54=7),20,IF(AND(C99&gt;125,C99&lt;=400,C20&gt;=1,C20&lt;=3.5,C54=7),16,IF(AND(C99&gt;125,C99&lt;=400,C20&gt;3.5,C20&lt;=6.3,C54=7),20,IF(AND(C99&gt;125,C99&lt;=400,C20&gt;6.3,C20&lt;=10,C54=7),22,C193))))))</f>
        <v>*</v>
      </c>
      <c r="D192" s="2953"/>
      <c r="E192" s="2848"/>
      <c r="F192" s="2855"/>
      <c r="G192" s="2809" t="str">
        <f>IF(AND(G99&lt;=125,G20&gt;=1,G20&lt;=3.5,G54=7),14,IF(AND(G99&lt;=125,G20&gt;3.5,G20&lt;=6.3,G54=7),18,IF(AND(G99&lt;=125,G20&gt;6.3,G20&lt;=10,G54=7),20,IF(AND(G99&gt;125,G99&lt;=400,G20&gt;=1,G20&lt;=3.5,G54=7),16,IF(AND(G99&gt;125,G99&lt;=400,G20&gt;3.5,G20&lt;=6.3,G54=7),20,IF(AND(G99&gt;125,G99&lt;=400,G20&gt;6.3,G20&lt;=10,G54=7),22,G193))))))</f>
        <v>*</v>
      </c>
      <c r="H192" s="2900"/>
      <c r="I192" s="2973"/>
      <c r="J192" s="2975"/>
      <c r="K192" s="2892"/>
      <c r="L192" s="2817"/>
      <c r="M192" s="2860"/>
    </row>
    <row r="193" spans="1:13" ht="15.75">
      <c r="A193" s="2803"/>
      <c r="B193" s="2855"/>
      <c r="C193" s="2809" t="str">
        <f>IF(AND(C99&gt;400,C99&lt;=800,C20&gt;=1,C20&lt;=3.5,C54=7),18,IF(AND(C99&gt;400,C99&lt;=800,C20&gt;3.5,C20&lt;=6.3,C54=7),20,IF(AND(C99&gt;400,C99&lt;=800,C20&gt;6.3,C20&lt;=10,C54=7),25,IF(AND(C99&gt;800,C99&lt;=1600,C20&gt;=1,C20&lt;=3.5,C54=7),20,IF(AND(C99&gt;800,C99&lt;=1600,C20&gt;3.5,C20&lt;=6.3,C54=7),22,IF(AND(C99&gt;800,C99&lt;=1600,C20&gt;6.3,C20&lt;=10,C54=7),25,C194))))))</f>
        <v>*</v>
      </c>
      <c r="D193" s="2953"/>
      <c r="E193" s="2848"/>
      <c r="F193" s="2855"/>
      <c r="G193" s="2809" t="str">
        <f>IF(AND(G99&gt;400,G99&lt;=800,G20&gt;=1,G20&lt;=3.5,G54=7),18,IF(AND(G99&gt;400,G99&lt;=800,G20&gt;3.5,G20&lt;=6.3,G54=7),20,IF(AND(G99&gt;400,G99&lt;=800,G20&gt;6.3,G20&lt;=10,G54=7),25,IF(AND(G99&gt;800,G99&lt;=1600,G20&gt;=1,G20&lt;=3.5,G54=7),20,IF(AND(G99&gt;800,G99&lt;=1600,G20&gt;3.5,G20&lt;=6.3,G54=7),22,IF(AND(G99&gt;800,G99&lt;=1600,G20&gt;6.3,G20&lt;=10,G54=7),25,G194))))))</f>
        <v>*</v>
      </c>
      <c r="H193" s="2900"/>
      <c r="I193" s="2973"/>
      <c r="J193" s="2975"/>
      <c r="K193" s="2892"/>
      <c r="L193" s="2817"/>
      <c r="M193" s="2860"/>
    </row>
    <row r="194" spans="1:13" ht="15.75">
      <c r="A194" s="2803"/>
      <c r="B194" s="2855"/>
      <c r="C194" s="2809" t="str">
        <f>IF(AND(C99&lt;=125,C20&gt;=1,C20&lt;=3.5,C54=8),20,IF(AND(C99&lt;=125,C20&gt;3.5,C20&lt;=6.3,C54=8),25,IF(AND(C99&lt;=125,C20&gt;6.3,C20&lt;=10,C54=8),28,IF(AND(C99&gt;125,C99&lt;=400,C20&gt;=1,C20&lt;=3.5,C54=8),22,IF(AND(C99&gt;125,C99&lt;=400,C20&gt;3.5,C20&lt;=6.3,C54=8),28,IF(AND(C99&gt;125,C99&lt;=400,C20&gt;6.3,C20&lt;=10,C54=8),32,C195))))))</f>
        <v>*</v>
      </c>
      <c r="D194" s="2953"/>
      <c r="E194" s="2848"/>
      <c r="F194" s="2855"/>
      <c r="G194" s="2809" t="str">
        <f>IF(AND(G99&lt;=125,G20&gt;=1,G20&lt;=3.5,G54=8),20,IF(AND(G99&lt;=125,G20&gt;3.5,G20&lt;=6.3,G54=8),25,IF(AND(G99&lt;=125,G20&gt;6.3,G20&lt;=10,G54=8),28,IF(AND(G99&gt;125,G99&lt;=400,G20&gt;=1,G20&lt;=3.5,G54=8),22,IF(AND(G99&gt;125,G99&lt;=400,G20&gt;3.5,G20&lt;=6.3,G54=8),28,IF(AND(G99&gt;125,G99&lt;=400,G20&gt;6.3,G20&lt;=10,G54=8),32,G195))))))</f>
        <v>*</v>
      </c>
      <c r="H194" s="2900"/>
      <c r="I194" s="2973"/>
      <c r="J194" s="2975"/>
      <c r="K194" s="2892"/>
      <c r="L194" s="2817"/>
      <c r="M194" s="2860"/>
    </row>
    <row r="195" spans="1:13" ht="15.75">
      <c r="A195" s="2803"/>
      <c r="B195" s="2855"/>
      <c r="C195" s="2809" t="str">
        <f>IF(AND(C99&gt;400,C99&lt;=800,C20&gt;=1,C20&lt;=3.5,C54=8),25,IF(AND(C99&gt;400,C99&lt;=800,C20&gt;3.5,C20&lt;=6.3,C54=8),28,IF(AND(C99&gt;400,C99&lt;=800,C20&gt;6.3,C20&lt;=10,C54=8),36,IF(AND(C99&gt;800,C99&lt;=1600,C20&gt;=1,C20&lt;=3.5,C54=8),28,IF(AND(C99&gt;800,C99&lt;=1600,C20&gt;3.5,C20&lt;=6.3,C54=8),32,IF(AND(C99&gt;800,C99&lt;=1600,C20&gt;6.3,C20&lt;=10,C54=8),36,"*"))))))</f>
        <v>*</v>
      </c>
      <c r="D195" s="2953"/>
      <c r="E195" s="2848"/>
      <c r="F195" s="2855"/>
      <c r="G195" s="2809" t="str">
        <f>IF(AND(G99&gt;400,G99&lt;=800,G20&gt;=1,G20&lt;=3.5,G54=8),25,IF(AND(G99&gt;400,G99&lt;=800,G20&gt;3.5,G20&lt;=6.3,G54=8),28,IF(AND(G99&gt;400,G99&lt;=800,G20&gt;6.3,G20&lt;=10,G54=8),36,IF(AND(G99&gt;800,G99&lt;=1600,G20&gt;=1,G20&lt;=3.5,G54=8),28,IF(AND(G99&gt;800,G99&lt;=1600,G20&gt;3.5,G20&lt;=6.3,G54=8),32,IF(AND(G99&gt;800,G99&lt;=1600,G20&gt;6.3,G20&lt;=10,G54=8),36,"*"))))))</f>
        <v>*</v>
      </c>
      <c r="H195" s="2900"/>
      <c r="I195" s="2973"/>
      <c r="J195" s="2975"/>
      <c r="K195" s="2892"/>
      <c r="L195" s="2817"/>
      <c r="M195" s="2860"/>
    </row>
    <row r="196" spans="1:13" ht="15.75">
      <c r="A196" s="2803" t="s">
        <v>3202</v>
      </c>
      <c r="B196" s="2855" t="s">
        <v>4721</v>
      </c>
      <c r="C196" s="2797">
        <f>IF(AND(C99&lt;=125,C20&gt;=1,C20&lt;=3.5,C54=3),2.4,IF(AND(C99&lt;=125,C20&gt;3.5,C20&lt;=6.3,C54=3),3,IF(AND(C99&lt;=125,C20&gt;6.3,C20&lt;=10,C54=3),3.2,IF(AND(C99&gt;125,C99&lt;=400,C20&gt;=1,C20&lt;=3.5,C54=3),2.4,IF(AND(C99&gt;125,C99&lt;=400,C20&gt;3.5,C20&lt;=6.3,C54=3),3.2,IF(AND(C99&gt;125,C99&lt;=400,C20&gt;6.3,C20&lt;=10,C54=3),3.6,C197))))))</f>
        <v>9</v>
      </c>
      <c r="D196" s="2797"/>
      <c r="E196" s="2848"/>
      <c r="F196" s="2855" t="s">
        <v>3204</v>
      </c>
      <c r="G196" s="2797">
        <f>IF(AND(G99&lt;=125,G20&gt;=1,G20&lt;=3.5,G54=3),2.4,IF(AND(G99&lt;=125,G20&gt;3.5,G20&lt;=6.3,G54=3),3,IF(AND(G99&lt;=125,G20&gt;6.3,G20&lt;=10,G54=3),3.2,IF(AND(G99&gt;125,G99&lt;=400,G20&gt;=1,G20&lt;=3.5,G54=3),2.4,IF(AND(G99&gt;125,G99&lt;=400,G20&gt;3.5,G20&lt;=6.3,G54=3),3.2,IF(AND(G99&gt;125,G99&lt;=400,G20&gt;6.3,G20&lt;=10,G54=3),3.6,G197))))))</f>
        <v>9</v>
      </c>
      <c r="H196" s="2900"/>
      <c r="I196" s="2973"/>
      <c r="J196" s="2975"/>
      <c r="K196" s="2892"/>
      <c r="L196" s="2817"/>
      <c r="M196" s="2860"/>
    </row>
    <row r="197" spans="1:13" ht="15.75">
      <c r="A197" s="2803"/>
      <c r="B197" s="2855"/>
      <c r="C197" s="2809">
        <f>IF(AND(C99&gt;400,C99&lt;=800,C20&gt;=1,C20&lt;=3.5,C54=3),3,IF(AND(C99&gt;400,C99&lt;=800,C20&gt;3.5,C20&lt;=6.3,C54=3),3.2,IF(AND(C99&gt;400,C99&lt;=800,C20&gt;6.3,C20&lt;=10,C54=3),4.2,IF(AND(C99&gt;800,C99&lt;=1600,C20&gt;=1,C20&lt;=3.5,C54=3),3.2,IF(AND(C99&gt;800,C99&lt;=1600,C20&gt;3.5,C20&lt;=6.3,C54=3),3.6,IF(AND(C99&gt;800,C99&lt;=1600,C20&gt;6.3,C20&lt;=10,C54=3),4.2,C198))))))</f>
        <v>9</v>
      </c>
      <c r="D197" s="2797"/>
      <c r="E197" s="2848"/>
      <c r="F197" s="2855"/>
      <c r="G197" s="2809">
        <f>IF(AND(G99&gt;400,G99&lt;=800,G20&gt;=1,G20&lt;=3.5,G54=3),3,IF(AND(G99&gt;400,G99&lt;=800,G20&gt;3.5,G20&lt;=6.3,G54=3),3.2,IF(AND(G99&gt;400,G99&lt;=800,G20&gt;6.3,G20&lt;=10,G54=3),4.2,IF(AND(G99&gt;800,G99&lt;=1600,G20&gt;=1,G20&lt;=3.5,G54=3),3.2,IF(AND(G99&gt;800,G99&lt;=1600,G20&gt;3.5,G20&lt;=6.3,G54=3),3.6,IF(AND(G99&gt;800,G99&lt;=1600,G20&gt;6.3,G20&lt;=10,G54=3),4.2,G198))))))</f>
        <v>9</v>
      </c>
      <c r="H197" s="2900"/>
      <c r="I197" s="2973"/>
      <c r="J197" s="2975"/>
      <c r="K197" s="2892"/>
      <c r="L197" s="2817"/>
      <c r="M197" s="2860"/>
    </row>
    <row r="198" spans="1:13" ht="15.75">
      <c r="A198" s="2803"/>
      <c r="B198" s="2855"/>
      <c r="C198" s="2809">
        <f>IF(AND(C99&lt;=125,C20&gt;=1,C20&lt;=3.5,C54=4),3.6,IF(AND(C99&lt;=125,C20&gt;3.5,C20&lt;=6.3,C54=4),4.5,IF(AND(C99&lt;=125,C20&gt;6.3,C20&lt;=10,C54=4),5,IF(AND(C99&gt;125,C99&lt;=400,C20&gt;=1,C20&lt;=3.5,C54=4),4.2,IF(AND(C99&gt;125,C99&lt;=400,C20&gt;3.5,C20&lt;=6.3,C54=4),5,IF(AND(C99&gt;125,C99&lt;=400,C20&gt;6.3,C20&lt;=10,C54=4),5.5,C199))))))</f>
        <v>9</v>
      </c>
      <c r="D198" s="2953"/>
      <c r="E198" s="2848"/>
      <c r="F198" s="2855"/>
      <c r="G198" s="2809">
        <f>IF(AND(G99&lt;=125,G20&gt;=1,G20&lt;=3.5,G54=4),3.6,IF(AND(G99&lt;=125,G20&gt;3.5,G20&lt;=6.3,G54=4),4.5,IF(AND(G99&lt;=125,G20&gt;6.3,G20&lt;=10,G54=4),5,IF(AND(G99&gt;125,G99&lt;=400,G20&gt;=1,G20&lt;=3.5,G54=4),4.2,IF(AND(G99&gt;125,G99&lt;=400,G20&gt;3.5,G20&lt;=6.3,G54=4),5,IF(AND(G99&gt;125,G99&lt;=400,G20&gt;6.3,G20&lt;=10,G54=4),5.5,G199))))))</f>
        <v>9</v>
      </c>
      <c r="H198" s="2900"/>
      <c r="I198" s="2973"/>
      <c r="J198" s="2975"/>
      <c r="K198" s="2892"/>
      <c r="L198" s="2817"/>
      <c r="M198" s="2860"/>
    </row>
    <row r="199" spans="1:13" ht="15.75">
      <c r="A199" s="2855" t="s">
        <v>3205</v>
      </c>
      <c r="B199" s="2855"/>
      <c r="C199" s="2809">
        <f>IF(AND(C99&gt;400,C99&lt;=800,C20&gt;=1,C20&lt;=3.5,C54=4),4.5,IF(AND(C99&gt;400,C99&lt;=800,C20&gt;3.5,C20&lt;=6.3,C54=4),5,IF(AND(C99&gt;400,C99&lt;=800,C20&gt;6.3,C20&lt;=10,C54=4),6.5,IF(AND(C99&gt;800,C99&lt;=1600,C20&gt;=1,C20&lt;=3.5,C54=4),5,IF(AND(C99&gt;800,C99&lt;=1600,C20&gt;3.5,C20&lt;=6.3,C54=4),5.5,IF(AND(C99&gt;800,C99&lt;=1600,C20&gt;6.3,C20&lt;=10,C54=4),6.5,C200))))))</f>
        <v>9</v>
      </c>
      <c r="D199" s="2953"/>
      <c r="E199" s="2848"/>
      <c r="F199" s="2855"/>
      <c r="G199" s="2809">
        <f>IF(AND(G99&gt;400,G99&lt;=800,G20&gt;=1,G20&lt;=3.5,G54=4),4.5,IF(AND(G99&gt;400,G99&lt;=800,G20&gt;3.5,G20&lt;=6.3,G54=4),5,IF(AND(G99&gt;400,G99&lt;=800,G20&gt;6.3,G20&lt;=10,G54=4),6.5,IF(AND(G99&gt;800,G99&lt;=1600,G20&gt;=1,G20&lt;=3.5,G54=4),5,IF(AND(G99&gt;800,G99&lt;=1600,G20&gt;3.5,G20&lt;=6.3,G54=4),5.5,IF(AND(G99&gt;800,G99&lt;=1600,G20&gt;6.3,G20&lt;=10,G54=4),6.5,G200))))))</f>
        <v>9</v>
      </c>
      <c r="H199" s="2900"/>
      <c r="I199" s="2973"/>
      <c r="J199" s="2975"/>
      <c r="K199" s="2892"/>
      <c r="L199" s="2817"/>
      <c r="M199" s="2860"/>
    </row>
    <row r="200" spans="1:13" ht="15.75">
      <c r="A200" s="2803"/>
      <c r="B200" s="2855"/>
      <c r="C200" s="2809">
        <f>IF(AND(C99&lt;=125,C20&gt;=1,C20&lt;=3.5,C54=5),5,IF(AND(C99&lt;=125,C20&gt;3.5,C20&lt;=6.3,C54=5),7,IF(AND(C99&lt;=125,C20&gt;6.3,C20&lt;=10,C54=5),8,IF(AND(C99&gt;125,C99&lt;=400,C20&gt;=1,C20&lt;=3.5,C54=5),6,IF(AND(C99&gt;125,C99&lt;=400,C20&gt;3.5,C20&lt;=6.3,C54=5),8,IF(AND(C99&gt;125,C99&lt;=400,C20&gt;6.3,C20&lt;=10,C54=5),9,C201))))))</f>
        <v>9</v>
      </c>
      <c r="D200" s="2953"/>
      <c r="E200" s="2848"/>
      <c r="F200" s="2855"/>
      <c r="G200" s="2809">
        <f>IF(AND(G99&lt;=125,G20&gt;=1,G20&lt;=3.5,G54=5),5,IF(AND(G99&lt;=125,G20&gt;3.5,G20&lt;=6.3,G54=5),7,IF(AND(G99&lt;=125,G20&gt;6.3,G20&lt;=10,G54=5),8,IF(AND(G99&gt;125,G99&lt;=400,G20&gt;=1,G20&lt;=3.5,G54=5),6,IF(AND(G99&gt;125,G99&lt;=400,G20&gt;3.5,G20&lt;=6.3,G54=5),8,IF(AND(G99&gt;125,G99&lt;=400,G20&gt;6.3,G20&lt;=10,G54=5),9,G201))))))</f>
        <v>9</v>
      </c>
      <c r="H200" s="2900"/>
      <c r="I200" s="2973"/>
      <c r="J200" s="2975"/>
      <c r="K200" s="2892"/>
      <c r="L200" s="2817"/>
      <c r="M200" s="2860"/>
    </row>
    <row r="201" spans="1:13" ht="15.75">
      <c r="A201" s="2803"/>
      <c r="B201" s="2855"/>
      <c r="C201" s="2809">
        <f>IF(AND(C99&gt;400,C99&lt;=800,C20&gt;=1,C20&lt;=3.5,C54=5),7,IF(AND(C99&gt;400,C99&lt;=800,C20&gt;3.5,C20&lt;=6.3,C54=5),8,IF(AND(C99&gt;400,C99&lt;=800,C20&gt;6.3,C20&lt;=10,C54=5),10,IF(AND(C99&gt;800,C99&lt;=1600,C20&gt;=1,C20&lt;=3.5,C54=5),8,IF(AND(C99&gt;800,C99&lt;=1600,C20&gt;3.5,C20&lt;=6.3,C54=5),9,IF(AND(C99&gt;800,C99&lt;=1600,C20&gt;6.3,C20&lt;=10,C54=5),10,C202))))))</f>
        <v>9</v>
      </c>
      <c r="D201" s="2953"/>
      <c r="E201" s="2848"/>
      <c r="F201" s="2855"/>
      <c r="G201" s="2809">
        <f>IF(AND(G99&gt;400,G99&lt;=800,G20&gt;=1,G20&lt;=3.5,G54=5),7,IF(AND(G99&gt;400,G99&lt;=800,G20&gt;3.5,G20&lt;=6.3,G54=5),8,IF(AND(G99&gt;400,G99&lt;=800,G20&gt;6.3,G20&lt;=10,G54=5),10,IF(AND(G99&gt;800,G99&lt;=1600,G20&gt;=1,G20&lt;=3.5,G54=5),8,IF(AND(G99&gt;800,G99&lt;=1600,G20&gt;3.5,G20&lt;=6.3,G54=5),9,IF(AND(G99&gt;800,G99&lt;=1600,G20&gt;6.3,G20&lt;=10,G54=5),10,G202))))))</f>
        <v>9</v>
      </c>
      <c r="H201" s="2900"/>
      <c r="I201" s="2973"/>
      <c r="J201" s="2975"/>
      <c r="K201" s="2892"/>
      <c r="L201" s="2817"/>
      <c r="M201" s="2860"/>
    </row>
    <row r="202" spans="1:13" ht="15.75">
      <c r="A202" s="2966"/>
      <c r="B202" s="2974"/>
      <c r="C202" s="2809">
        <f>IF(AND(C99&lt;=125,C20&gt;=1,C20&lt;=3.5,C54=6),9,IF(AND(C99&lt;=125,C20&gt;3.5,C20&lt;=6.3,C54=6),11,IF(AND(C99&lt;=125,C20&gt;6.3,C20&lt;=10,C54=6),13,IF(AND(C99&gt;125,C99&lt;=400,C20&gt;=1,C20&lt;=3.5,C54=6),10,IF(AND(C99&gt;125,C99&lt;=400,C20&gt;3.5,C20&lt;=6.3,C54=6),13,IF(AND(C99&gt;125,C99&lt;=400,C20&gt;6.3,C20&lt;=10,C54=6),14,C203))))))</f>
        <v>9</v>
      </c>
      <c r="D202" s="2953"/>
      <c r="E202" s="2848"/>
      <c r="F202" s="2855"/>
      <c r="G202" s="2809">
        <f>IF(AND(G99&lt;=125,G20&gt;=1,G20&lt;=3.5,G54=6),9,IF(AND(G99&lt;=125,G20&gt;3.5,G20&lt;=6.3,G54=6),11,IF(AND(G99&lt;=125,G20&gt;6.3,G20&lt;=10,G54=6),13,IF(AND(G99&gt;125,G99&lt;=400,G20&gt;=1,G20&lt;=3.5,G54=6),10,IF(AND(G99&gt;125,G99&lt;=400,G20&gt;3.5,G20&lt;=6.3,G54=6),13,IF(AND(G99&gt;125,G99&lt;=400,G20&gt;6.3,G20&lt;=10,G54=6),14,G203))))))</f>
        <v>9</v>
      </c>
      <c r="H202" s="2900"/>
      <c r="I202" s="2973"/>
      <c r="J202" s="2975"/>
      <c r="K202" s="2892"/>
      <c r="L202" s="2817"/>
      <c r="M202" s="2860"/>
    </row>
    <row r="203" spans="1:13" ht="15.75">
      <c r="A203" s="2966"/>
      <c r="B203" s="2974"/>
      <c r="C203" s="2809" t="str">
        <f>IF(AND(C99&gt;400,C99&lt;=800,C20&gt;=1,C20&lt;=3.5,C54=6),11,IF(AND(C99&gt;400,C99&lt;=800,C20&gt;3.5,C20&lt;=6.3,C54=6),13,IF(AND(C99&gt;400,C99&lt;=800,C20&gt;6.3,C20&lt;=10,C54=6),16,IF(AND(C99&gt;800,C99&lt;=1600,C20&gt;=1,C20&lt;=3.5,C54=6),13,IF(AND(C99&gt;800,C99&lt;=1600,C20&gt;3.5,C20&lt;=6.3,C54=6),14,IF(AND(C99&gt;800,C99&lt;=1600,C20&gt;6.3,C20&lt;=10,C54=6),16,C204))))))</f>
        <v>*</v>
      </c>
      <c r="D203" s="2953"/>
      <c r="E203" s="2848"/>
      <c r="F203" s="2855"/>
      <c r="G203" s="2809" t="str">
        <f>IF(AND(G99&gt;400,G99&lt;=800,G20&gt;=1,G20&lt;=3.5,G54=6),11,IF(AND(G99&gt;400,G99&lt;=800,G20&gt;3.5,G20&lt;=6.3,G54=6),13,IF(AND(G99&gt;400,G99&lt;=800,G20&gt;6.3,G20&lt;=10,G54=6),16,IF(AND(G99&gt;800,G99&lt;=1600,G20&gt;=1,G20&lt;=3.5,G54=6),13,IF(AND(G99&gt;800,G99&lt;=1600,G20&gt;3.5,G20&lt;=6.3,G54=6),14,IF(AND(G99&gt;800,G99&lt;=1600,G20&gt;6.3,G20&lt;=10,G54=6),16,G204))))))</f>
        <v>*</v>
      </c>
      <c r="H203" s="2900"/>
      <c r="I203" s="2973"/>
      <c r="J203" s="2975"/>
      <c r="K203" s="2892"/>
      <c r="L203" s="2817"/>
      <c r="M203" s="2860"/>
    </row>
    <row r="204" spans="1:13" ht="15.75">
      <c r="A204" s="2966"/>
      <c r="B204" s="2974"/>
      <c r="C204" s="2809" t="str">
        <f>IF(AND(C99&lt;=125,C20&gt;=1,C20&lt;=3.5,C54=7),13,IF(AND(C99&lt;=125,C20&gt;3.5,C20&lt;=6.3,C54=7),16,IF(AND(C99&lt;=125,C20&gt;6.3,C20&lt;=10,C54=7),18,IF(AND(C99&gt;125,C99&lt;=400,C20&gt;=1,C20&lt;=3.5,C54=7),14,IF(AND(C99&gt;125,C99&lt;=400,C20&gt;3.5,C20&lt;=6.3,C54=7),18,IF(AND(C99&gt;125,C99&lt;=400,C20&gt;6.3,C20&lt;=10,C54=7),20,C205))))))</f>
        <v>*</v>
      </c>
      <c r="D204" s="2953"/>
      <c r="E204" s="2848"/>
      <c r="F204" s="2855"/>
      <c r="G204" s="2809" t="str">
        <f>IF(AND(G99&lt;=125,G20&gt;=1,G20&lt;=3.5,G54=7),13,IF(AND(G99&lt;=125,G20&gt;3.5,G20&lt;=6.3,G54=7),16,IF(AND(G99&lt;=125,G20&gt;6.3,G20&lt;=10,G54=7),18,IF(AND(G99&gt;125,G99&lt;=400,G20&gt;=1,G20&lt;=3.5,G54=7),14,IF(AND(G99&gt;125,G99&lt;=400,G20&gt;3.5,G20&lt;=6.3,G54=7),18,IF(AND(G99&gt;125,G99&lt;=400,G20&gt;6.3,G20&lt;=10,G54=7),20,G205))))))</f>
        <v>*</v>
      </c>
      <c r="H204" s="2900"/>
      <c r="I204" s="2973"/>
      <c r="J204" s="2975"/>
      <c r="K204" s="2892"/>
      <c r="L204" s="2817"/>
      <c r="M204" s="2860"/>
    </row>
    <row r="205" spans="1:13" ht="15.75">
      <c r="A205" s="2966"/>
      <c r="B205" s="2974"/>
      <c r="C205" s="2809" t="str">
        <f>IF(AND(C99&gt;400,C99&lt;=800,C20&gt;=1,C20&lt;=3.5,C54=7),16,IF(AND(C99&gt;400,C99&lt;=800,C20&gt;3.5,C20&lt;=6.3,C54=7),18,IF(AND(C99&gt;400,C99&lt;=800,C20&gt;6.3,C20&lt;=10,C54=7),22,IF(AND(C99&gt;800,C99&lt;=1600,C20&gt;=1,C20&lt;=3.5,C54=7),18,IF(AND(C99&gt;800,C99&lt;=1600,C20&gt;3.5,C20&lt;=6.3,C54=7),20,IF(AND(C99&gt;800,C99&lt;=1600,C20&gt;6.3,C20&lt;=10,C54=7),22,C206))))))</f>
        <v>*</v>
      </c>
      <c r="D205" s="2953"/>
      <c r="E205" s="2848"/>
      <c r="F205" s="2855"/>
      <c r="G205" s="2809" t="str">
        <f>IF(AND(G99&gt;400,G99&lt;=800,G20&gt;=1,G20&lt;=3.5,G54=7),16,IF(AND(G99&gt;400,G99&lt;=800,G20&gt;3.5,G20&lt;=6.3,G54=7),18,IF(AND(G99&gt;400,G99&lt;=800,G20&gt;6.3,G20&lt;=10,G54=7),22,IF(AND(G99&gt;800,G99&lt;=1600,G20&gt;=1,G20&lt;=3.5,G54=7),18,IF(AND(G99&gt;800,G99&lt;=1600,G20&gt;3.5,G20&lt;=6.3,G54=7),20,IF(AND(G99&gt;800,G99&lt;=1600,G20&gt;6.3,G20&lt;=10,G54=7),22,G206))))))</f>
        <v>*</v>
      </c>
      <c r="H205" s="2900"/>
      <c r="I205" s="2973"/>
      <c r="J205" s="2975"/>
      <c r="K205" s="2892"/>
      <c r="L205" s="2817"/>
      <c r="M205" s="2860"/>
    </row>
    <row r="206" spans="1:13" ht="15.75">
      <c r="A206" s="2966"/>
      <c r="B206" s="2974"/>
      <c r="C206" s="2809" t="str">
        <f>IF(AND(C99&lt;=125,C20&gt;=1,C20&lt;=3.5,C54=8),18,IF(AND(C99&lt;=125,C20&gt;3.5,C20&lt;=6.3,C54=8),22,IF(AND(C99&lt;=125,C20&gt;6.3,C20&lt;=10,C54=8),25,IF(AND(C99&gt;125,C99&lt;=400,C20&gt;=1,C20&lt;=3.5,C54=8),20,IF(AND(C99&gt;125,C99&lt;=400,C20&gt;3.5,C20&lt;=6.3,C54=8),25,IF(AND(C99&gt;125,C99&lt;=400,C20&gt;6.3,C20&lt;=10,C54=8),30,C207))))))</f>
        <v>*</v>
      </c>
      <c r="D206" s="2953"/>
      <c r="E206" s="2848"/>
      <c r="F206" s="2855"/>
      <c r="G206" s="2809" t="str">
        <f>IF(AND(G99&lt;=125,G20&gt;=1,G20&lt;=3.5,G54=8),18,IF(AND(G99&lt;=125,G20&gt;3.5,G20&lt;=6.3,G54=8),22,IF(AND(G99&lt;=125,G20&gt;6.3,G20&lt;=10,G54=8),25,IF(AND(G99&gt;125,G99&lt;=400,G20&gt;=1,G20&lt;=3.5,G54=8),20,IF(AND(G99&gt;125,G99&lt;=400,G20&gt;3.5,G20&lt;=6.3,G54=8),25,IF(AND(G99&gt;125,G99&lt;=400,G20&gt;6.3,G20&lt;=10,G54=8),30,G207))))))</f>
        <v>*</v>
      </c>
      <c r="H206" s="2900"/>
      <c r="I206" s="2973"/>
      <c r="J206" s="2975"/>
      <c r="K206" s="2892"/>
      <c r="L206" s="2817"/>
      <c r="M206" s="2860"/>
    </row>
    <row r="207" spans="1:13" ht="15.75">
      <c r="A207" s="2966"/>
      <c r="B207" s="2974"/>
      <c r="C207" s="2809" t="str">
        <f>IF(AND(C99&gt;400,C99&lt;=800,C20&gt;=1,C20&lt;=3.5,C54=8),22,IF(AND(C99&gt;400,C99&lt;=800,C20&gt;3.5,C20&lt;=6.3,C54=8),25,IF(AND(C99&gt;400,C99&lt;=800,C20&gt;6.3,C20&lt;=10,C54=8),32,IF(AND(C99&gt;800,C99&lt;=1600,C20&gt;=1,C20&lt;=3.5,C54=8),25,IF(AND(C99&gt;800,C99&lt;=1600,C20&gt;3.5,C20&lt;=6.3,C54=8),30,IF(AND(C99&gt;800,C99&lt;=1600,C20&gt;6.3,C20&lt;=10,C54=8),32,"*"))))))</f>
        <v>*</v>
      </c>
      <c r="D207" s="2953"/>
      <c r="E207" s="2848"/>
      <c r="F207" s="2855"/>
      <c r="G207" s="2809" t="str">
        <f>IF(AND(G99&gt;400,G99&lt;=800,G20&gt;=1,G20&lt;=3.5,G54=8),22,IF(AND(G99&gt;400,G99&lt;=800,G20&gt;3.5,G20&lt;=6.3,G54=8),25,IF(AND(G99&gt;400,G99&lt;=800,G20&gt;6.3,G20&lt;=10,G54=8),32,IF(AND(G99&gt;800,G99&lt;=1600,G20&gt;=1,G20&lt;=3.5,G54=8),25,IF(AND(G99&gt;800,G99&lt;=1600,G20&gt;3.5,G20&lt;=6.3,G54=8),30,IF(AND(G99&gt;800,G99&lt;=1600,G20&gt;6.3,G20&lt;=10,G54=8),32,"*"))))))</f>
        <v>*</v>
      </c>
      <c r="H207" s="2900"/>
      <c r="I207" s="2973"/>
      <c r="J207" s="2975"/>
      <c r="K207" s="2892"/>
      <c r="L207" s="2817"/>
      <c r="M207" s="2860"/>
    </row>
    <row r="208" spans="1:13" ht="15.75">
      <c r="A208" s="2803" t="s">
        <v>3206</v>
      </c>
      <c r="B208" s="2801" t="s">
        <v>3207</v>
      </c>
      <c r="C208" s="2797">
        <f>IF(AND(C99&lt;=125,C20&gt;=1,C20&lt;=3.5,C54=3),3.6,IF(AND(C99&lt;=125,C20&gt;3.5,C20&lt;=6.3,C54=3),4,IF(AND(C99&lt;=125,C20&gt;6.3,C20&lt;=10,C54=3),4.5,IF(AND(C99&gt;125,C99&lt;=400,C20&gt;=1,C20&lt;=3.5,C54=3),4,IF(AND(C99&gt;125,C99&lt;=400,C20&gt;3.5,C20&lt;=6.3,C54=3),4.5,IF(AND(C99&gt;125,C99&lt;=400,C20&gt;6.3,C20&lt;=10,C54=3),5,C209))))))</f>
        <v>8</v>
      </c>
      <c r="D208" s="2953"/>
      <c r="E208" s="2848"/>
      <c r="F208" s="2801" t="s">
        <v>3208</v>
      </c>
      <c r="G208" s="2797">
        <f>IF(AND(G99&lt;=125,G20&gt;=1,G20&lt;=3.5,G54=3),3.6,IF(AND(G99&lt;=125,G20&gt;3.5,G20&lt;=6.3,G54=3),4,IF(AND(G99&lt;=125,G20&gt;6.3,G20&lt;=10,G54=3),4.5,IF(AND(G99&gt;125,G99&lt;=400,G20&gt;=1,G20&lt;=3.5,G54=3),4,IF(AND(G99&gt;125,G99&lt;=400,G20&gt;3.5,G20&lt;=6.3,G54=3),4.5,IF(AND(G99&gt;125,G99&lt;=400,G20&gt;6.3,G20&lt;=10,G54=3),5,G209))))))</f>
        <v>8</v>
      </c>
      <c r="H208" s="2900"/>
      <c r="I208" s="2973"/>
      <c r="J208" s="2975"/>
      <c r="K208" s="2892"/>
      <c r="L208" s="2817"/>
      <c r="M208" s="2860"/>
    </row>
    <row r="209" spans="1:13" ht="15">
      <c r="A209" s="2966"/>
      <c r="B209" s="2953"/>
      <c r="C209" s="2809">
        <f>IF(AND(C99&gt;400,C99&lt;=800,C20&gt;=1,C20&lt;=3.5,C54=3),4.5,IF(AND(C99&gt;400,C99&lt;=800,C20&gt;3.5,C20&lt;=6.3,C54=3),5,IF(AND(C99&gt;400,C99&lt;=800,C20&gt;6.3,C20&lt;=10,C54=3),5.5,IF(AND(C99&gt;800,C99&lt;=1600,C20&gt;=1,C20&lt;=3.5,C54=3),5.5,IF(AND(C99&gt;800,C99&lt;=1600,C20&gt;3.5,C20&lt;=6.3,C54=3),6,IF(AND(C99&gt;800,C99&lt;=1600,C20&gt;6.3,C20&lt;=10,C54=3),6.5,C210))))))</f>
        <v>8</v>
      </c>
      <c r="D209" s="2953"/>
      <c r="E209" s="2848"/>
      <c r="F209" s="2906"/>
      <c r="G209" s="2809">
        <f>IF(AND(G99&gt;400,G99&lt;=800,G20&gt;=1,G20&lt;=3.5,G54=3),4.5,IF(AND(G99&gt;400,G99&lt;=800,G20&gt;3.5,G20&lt;=6.3,G54=3),5,IF(AND(G99&gt;400,G99&lt;=800,G20&gt;6.3,G20&lt;=10,G54=3),5.5,IF(AND(G99&gt;800,G99&lt;=1600,G20&gt;=1,G20&lt;=3.5,G54=3),5.5,IF(AND(G99&gt;800,G99&lt;=1600,G20&gt;3.5,G20&lt;=6.3,G54=3),6,IF(AND(G99&gt;800,G99&lt;=1600,G20&gt;6.3,G20&lt;=10,G54=3),6.5,G210))))))</f>
        <v>8</v>
      </c>
      <c r="H209" s="2900"/>
      <c r="I209" s="2973"/>
      <c r="J209" s="2975"/>
      <c r="K209" s="2892"/>
      <c r="L209" s="2817"/>
      <c r="M209" s="2860"/>
    </row>
    <row r="210" spans="1:13" ht="15">
      <c r="A210" s="2966"/>
      <c r="B210" s="2953"/>
      <c r="C210" s="2809">
        <f>IF(AND(C99&lt;=125,C20&gt;=1,C20&lt;=3.5,C54=4),4.8,IF(AND(C99&lt;=125,C20&gt;3.5,C20&lt;=6.3,C54=4),5.3,IF(AND(C99&lt;=125,C20&gt;6.3,C20&lt;=10,C54=4),6,IF(AND(C99&gt;125,C99&lt;=400,C20&gt;=1,C20&lt;=3.5,C54=4),5.3,IF(AND(C99&gt;125,C99&lt;=400,C20&gt;3.5,C20&lt;=6.3,C54=4),6,IF(AND(C99&gt;125,C99&lt;=400,C20&gt;6.3,C20&lt;=10,C54=4),6.5,C211))))))</f>
        <v>8</v>
      </c>
      <c r="D210" s="2953"/>
      <c r="E210" s="2848"/>
      <c r="F210" s="2906"/>
      <c r="G210" s="2809">
        <f>IF(AND(G99&lt;=125,G20&gt;=1,G20&lt;=3.5,G54=4),4.8,IF(AND(G99&lt;=125,G20&gt;3.5,G20&lt;=6.3,G54=4),5.3,IF(AND(G99&lt;=125,G20&gt;6.3,G20&lt;=10,G54=4),6,IF(AND(G99&gt;125,G99&lt;=400,G20&gt;=1,G20&lt;=3.5,G54=4),5.3,IF(AND(G99&gt;125,G99&lt;=400,G20&gt;3.5,G20&lt;=6.3,G54=4),6,IF(AND(G99&gt;125,G99&lt;=400,G20&gt;6.3,G20&lt;=10,G54=4),6.5,G211))))))</f>
        <v>8</v>
      </c>
      <c r="H210" s="2900"/>
      <c r="I210" s="2973"/>
      <c r="J210" s="2975"/>
      <c r="K210" s="2892"/>
      <c r="L210" s="2817"/>
      <c r="M210" s="2860"/>
    </row>
    <row r="211" spans="1:13" ht="15">
      <c r="A211" s="2953"/>
      <c r="B211" s="2953"/>
      <c r="C211" s="2809">
        <f>IF(AND(C99&gt;400,C99&lt;=800,C20&gt;=1,C20&lt;=3.5,C54=4),6.5,IF(AND(C99&gt;400,C99&lt;=800,C20&gt;3.5,C20&lt;=6.3,C54=4),7,IF(AND(C99&gt;400,C99&lt;=800,C20&gt;6.3,C20&lt;=10,C54=4),7.5,IF(AND(C99&gt;800,C99&lt;=1600,C20&gt;=1,C20&lt;=3.5,C54=4),8,IF(AND(C99&gt;800,C99&lt;=1600,C20&gt;3.5,C20&lt;=6.3,C54=4),9,IF(AND(C99&gt;800,C99&lt;=1600,C20&gt;6.3,C20&lt;=10,C54=4),9.5,C212))))))</f>
        <v>8</v>
      </c>
      <c r="D211" s="2953"/>
      <c r="E211" s="2848"/>
      <c r="F211" s="2906"/>
      <c r="G211" s="2809">
        <f>IF(AND(G99&gt;400,G99&lt;=800,G20&gt;=1,G20&lt;=3.5,G54=4),6.5,IF(AND(G99&gt;400,G99&lt;=800,G20&gt;3.5,G20&lt;=6.3,G54=4),7,IF(AND(G99&gt;400,G99&lt;=800,G20&gt;6.3,G20&lt;=10,G54=4),7.5,IF(AND(G99&gt;800,G99&lt;=1600,G20&gt;=1,G20&lt;=3.5,G54=4),8,IF(AND(G99&gt;800,G99&lt;=1600,G20&gt;3.5,G20&lt;=6.3,G54=4),9,IF(AND(G99&gt;800,G99&lt;=1600,G20&gt;6.3,G20&lt;=10,G54=4),9.5,G212))))))</f>
        <v>8</v>
      </c>
      <c r="H211" s="2900"/>
      <c r="I211" s="2973"/>
      <c r="J211" s="2975"/>
      <c r="K211" s="2892"/>
      <c r="L211" s="2817"/>
      <c r="M211" s="2860"/>
    </row>
    <row r="212" spans="1:13" ht="15">
      <c r="A212" s="2953"/>
      <c r="B212" s="2953"/>
      <c r="C212" s="2809">
        <f>IF(AND(C99&lt;=125,C20&gt;=1,C20&lt;=3.5,C54=5),6,IF(AND(C99&lt;=125,C20&gt;3.5,C20&lt;=6.3,C54=5),7,IF(AND(C99&lt;=125,C20&gt;6.3,C20&lt;=10,C54=5),8,IF(AND(C99&gt;125,C99&lt;=400,C20&gt;=1,C20&lt;=3.5,C54=5),7,IF(AND(C99&gt;125,C99&lt;=400,C20&gt;3.5,C20&lt;=6.3,C54=5),8,IF(AND(C99&gt;125,C99&lt;=400,C20&gt;6.3,C20&lt;=10,C54=5),9,C213))))))</f>
        <v>8</v>
      </c>
      <c r="D212" s="2953"/>
      <c r="E212" s="2848"/>
      <c r="F212" s="2906"/>
      <c r="G212" s="2809">
        <f>IF(AND(G99&lt;=125,G20&gt;=1,G20&lt;=3.5,G54=5),6,IF(AND(G99&lt;=125,G20&gt;3.5,G20&lt;=6.3,G54=5),7,IF(AND(G99&lt;=125,G20&gt;6.3,G20&lt;=10,G54=5),8,IF(AND(G99&gt;125,G99&lt;=400,G20&gt;=1,G20&lt;=3.5,G54=5),7,IF(AND(G99&gt;125,G99&lt;=400,G20&gt;3.5,G20&lt;=6.3,G54=5),8,IF(AND(G99&gt;125,G99&lt;=400,G20&gt;6.3,G20&lt;=10,G54=5),9,G213))))))</f>
        <v>8</v>
      </c>
      <c r="H212" s="2900"/>
      <c r="I212" s="2973"/>
      <c r="J212" s="2975"/>
      <c r="K212" s="2892"/>
      <c r="L212" s="2817"/>
      <c r="M212" s="2860"/>
    </row>
    <row r="213" spans="1:13" ht="15">
      <c r="A213" s="2953"/>
      <c r="B213" s="2953"/>
      <c r="C213" s="2809">
        <f>IF(AND(C99&gt;400,C99&lt;=800,C20&gt;=1,C20&lt;=3.5,C54=5),9,IF(AND(C99&gt;400,C99&lt;=800,C20&gt;3.5,C20&lt;=6.3,C54=5),10,IF(AND(C99&gt;400,C99&lt;=800,C20&gt;6.3,C20&lt;=11,C54=5),11,IF(AND(C99&gt;800,C99&lt;=1600,C20&gt;=1,C20&lt;=3.5,C54=5),11,IF(AND(C99&gt;800,C99&lt;=1600,C20&gt;3.5,C20&lt;=6.3,C54=5),13,IF(AND(C99&gt;800,C99&lt;=1600,C20&gt;6.3,C20&lt;=10,C54=5),14,C214))))))</f>
        <v>8</v>
      </c>
      <c r="D213" s="2953"/>
      <c r="E213" s="2848"/>
      <c r="F213" s="2906"/>
      <c r="G213" s="2809">
        <f>IF(AND(G99&gt;400,G99&lt;=800,G20&gt;=1,G20&lt;=3.5,G54=5),9,IF(AND(G99&gt;400,G99&lt;=800,G20&gt;3.5,G20&lt;=6.3,G54=5),10,IF(AND(G99&gt;400,G99&lt;=800,G20&gt;6.3,G20&lt;=11,G54=5),11,IF(AND(G99&gt;800,G99&lt;=1600,G20&gt;=1,G20&lt;=3.5,G54=5),11,IF(AND(G99&gt;800,G99&lt;=1600,G20&gt;3.5,G20&lt;=6.3,G54=5),13,IF(AND(G99&gt;800,G99&lt;=1600,G20&gt;6.3,G20&lt;=10,G54=5),14,G214))))))</f>
        <v>8</v>
      </c>
      <c r="H213" s="2900"/>
      <c r="I213" s="2973"/>
      <c r="J213" s="2975"/>
      <c r="K213" s="2892"/>
      <c r="L213" s="2817"/>
      <c r="M213" s="2860"/>
    </row>
    <row r="214" spans="1:13" ht="15">
      <c r="A214" s="2953"/>
      <c r="B214" s="2953"/>
      <c r="C214" s="2809">
        <f>IF(AND(C99&lt;=125,C20&gt;=1,C20&lt;=3.5,C54=6),8,IF(AND(C99&lt;=125,C20&gt;3.5,C20&lt;=6.3,C54=6),10,IF(AND(C99&lt;=125,C20&gt;6.3,C20&lt;=10,C54=6),12,IF(AND(C99&gt;125,C99&lt;=400,C20&gt;=1,C20&lt;=3.5,C54=6),9,IF(AND(C99&gt;125,C99&lt;=400,C20&gt;3.5,C20&lt;=6.3,C54=6),10,IF(AND(C99&gt;125,C99&lt;=400,C20&gt;6.3,C20&lt;=10,C54=6),13,C215))))))</f>
        <v>8</v>
      </c>
      <c r="D214" s="2953"/>
      <c r="E214" s="2848"/>
      <c r="F214" s="2906"/>
      <c r="G214" s="2809">
        <f>IF(AND(G99&lt;=125,G20&gt;=1,G20&lt;=3.5,G54=6),8,IF(AND(G99&lt;=125,G20&gt;3.5,G20&lt;=6.3,G54=6),10,IF(AND(G99&lt;=125,G20&gt;6.3,G20&lt;=10,G54=6),12,IF(AND(G99&gt;125,G99&lt;=400,G20&gt;=1,G20&lt;=3.5,G54=6),9,IF(AND(G99&gt;125,G99&lt;=400,G20&gt;3.5,G20&lt;=6.3,G54=6),10,IF(AND(G99&gt;125,G99&lt;=400,G20&gt;6.3,G20&lt;=10,G54=6),13,G215))))))</f>
        <v>8</v>
      </c>
      <c r="H214" s="2900"/>
      <c r="I214" s="2973"/>
      <c r="J214" s="2975"/>
      <c r="K214" s="2892"/>
      <c r="L214" s="2817"/>
      <c r="M214" s="2860"/>
    </row>
    <row r="215" spans="1:13" ht="15">
      <c r="A215" s="2953"/>
      <c r="B215" s="2953"/>
      <c r="C215" s="2809" t="str">
        <f>IF(AND(C99&gt;400,C99&lt;=800,C20&gt;=1,C20&lt;=3.5,C54=6),12,IF(AND(C99&gt;400,C99&lt;=800,C20&gt;3.5,C20&lt;=6.3,C54=6),14,IF(AND(C99&gt;400,C99&lt;=800,C20&gt;6.3,C20&lt;=10,C54=6),16,IF(AND(C99&gt;800,C99&lt;=1600,C20&gt;=1,C20&lt;=3.5,C54=6),17,IF(AND(C99&gt;800,C99&lt;=1600,C20&gt;3.5,C20&lt;=6.3,C54=6),18,IF(AND(C99&gt;800,C99&lt;=1600,C20&gt;6.3,C20&lt;=10,C54=6),20,C216))))))</f>
        <v>*</v>
      </c>
      <c r="D215" s="2953"/>
      <c r="E215" s="2848"/>
      <c r="F215" s="2906"/>
      <c r="G215" s="2809" t="str">
        <f>IF(AND(G99&gt;400,G99&lt;=800,G20&gt;=1,G20&lt;=3.5,G54=6),12,IF(AND(G99&gt;400,G99&lt;=800,G20&gt;3.5,G20&lt;=6.3,G54=6),14,IF(AND(G99&gt;400,G99&lt;=800,G20&gt;6.3,G20&lt;=10,G54=6),16,IF(AND(G99&gt;800,G99&lt;=1600,G20&gt;=1,G20&lt;=3.5,G54=6),17,IF(AND(G99&gt;800,G99&lt;=1600,G20&gt;3.5,G20&lt;=6.3,G54=6),18,IF(AND(G99&gt;800,G99&lt;=1600,G20&gt;6.3,G20&lt;=10,G54=6),20,G216))))))</f>
        <v>*</v>
      </c>
      <c r="H215" s="2900"/>
      <c r="I215" s="2973"/>
      <c r="J215" s="2975"/>
      <c r="K215" s="2892"/>
      <c r="L215" s="2817"/>
      <c r="M215" s="2860"/>
    </row>
    <row r="216" spans="1:13" ht="15">
      <c r="A216" s="2953"/>
      <c r="B216" s="2953"/>
      <c r="C216" s="2809" t="str">
        <f>IF(AND(C99&lt;=125,C20&gt;=1,C20&lt;=3.5,C54=7),11,IF(AND(C99&lt;=125,C20&gt;3.5,C20&lt;=6.3,C54=7),14,IF(AND(C99&lt;=125,C20&gt;6.3,C20&lt;=10,C54=7),17,IF(AND(C99&gt;125,C99&lt;=400,C20&gt;=1,C20&lt;=3.5,C54=7),13,IF(AND(C99&gt;125,C99&lt;=400,C20&gt;3.5,C20&lt;=6.3,C54=7),16,IF(AND(C99&gt;125,C99&lt;=400,C20&gt;6.3,C20&lt;=10,C54=7),19,C217))))))</f>
        <v>*</v>
      </c>
      <c r="D216" s="2953"/>
      <c r="E216" s="2848"/>
      <c r="F216" s="2906"/>
      <c r="G216" s="2809" t="str">
        <f>IF(AND(G99&lt;=125,G20&gt;=1,G20&lt;=3.5,G54=7),11,IF(AND(G99&lt;=125,G20&gt;3.5,G20&lt;=6.3,G54=7),14,IF(AND(G99&lt;=125,G20&gt;6.3,G20&lt;=10,G54=7),17,IF(AND(G99&gt;125,G99&lt;=400,G20&gt;=1,G20&lt;=3.5,G54=7),13,IF(AND(G99&gt;125,G99&lt;=400,G20&gt;3.5,G20&lt;=6.3,G54=7),16,IF(AND(G99&gt;125,G99&lt;=400,G20&gt;6.3,G20&lt;=10,G54=7),19,G217))))))</f>
        <v>*</v>
      </c>
      <c r="H216" s="2900"/>
      <c r="I216" s="2973"/>
      <c r="J216" s="2975"/>
      <c r="K216" s="2892"/>
      <c r="L216" s="2817"/>
      <c r="M216" s="2860"/>
    </row>
    <row r="217" spans="1:13" ht="15">
      <c r="A217" s="2953"/>
      <c r="B217" s="2953"/>
      <c r="C217" s="2809" t="str">
        <f>IF(AND(C99&gt;400,C99&lt;=800,C20&gt;=1,C20&lt;=3.5,C54=7),17,IF(AND(C99&gt;400,C99&lt;=800,C20&gt;3.5,C20&lt;=6.3,C54=7),20,IF(AND(C99&gt;400,C99&lt;=800,C20&gt;6.3,C20&lt;=10,C54=7),24,IF(AND(C99&gt;800,C99&lt;=1600,C20&gt;=1,C20&lt;=3.5,C54=7),24,IF(AND(C99&gt;800,C99&lt;=1600,C20&gt;3.5,C20&lt;=6.3,C54=7),28,IF(AND(C99&gt;800,C99&lt;=1600,C20&gt;6.3,C20&lt;=10,C54=7),30,C218))))))</f>
        <v>*</v>
      </c>
      <c r="D217" s="2953"/>
      <c r="E217" s="2848"/>
      <c r="F217" s="2906"/>
      <c r="G217" s="2809" t="str">
        <f>IF(AND(G99&gt;400,G99&lt;=800,G20&gt;=1,G20&lt;=3.5,G54=7),17,IF(AND(G99&gt;400,G99&lt;=800,G20&gt;3.5,G20&lt;=6.3,G54=7),20,IF(AND(G99&gt;400,G99&lt;=800,G20&gt;6.3,G20&lt;=10,G54=7),24,IF(AND(G99&gt;800,G99&lt;=1600,G20&gt;=1,G20&lt;=3.5,G54=7),24,IF(AND(G99&gt;800,G99&lt;=1600,G20&gt;3.5,G20&lt;=6.3,G54=7),28,IF(AND(G99&gt;800,G99&lt;=1600,G20&gt;6.3,G20&lt;=10,G54=7),30,G218))))))</f>
        <v>*</v>
      </c>
      <c r="H217" s="2900"/>
      <c r="I217" s="2973"/>
      <c r="J217" s="2975"/>
      <c r="K217" s="2892"/>
      <c r="L217" s="2817"/>
      <c r="M217" s="2860"/>
    </row>
    <row r="218" spans="1:13" ht="15">
      <c r="A218" s="2953"/>
      <c r="B218" s="2953"/>
      <c r="C218" s="2809" t="str">
        <f>IF(AND(C99&lt;=125,C20&gt;=1,C20&lt;=3.5,C54=8),14,IF(AND(C99&lt;=125,C20&gt;3.5,C20&lt;=6.3,C54=8),20,IF(AND(C99&lt;=125,C20&gt;6.3,C20&lt;=10,C54=8),22,IF(AND(C99&gt;125,C99&lt;=400,C20&gt;=1,C20&lt;=3.5,C54=8),18,IF(AND(C99&gt;125,C99&lt;=400,C20&gt;3.5,C20&lt;=6.3,C54=8),22,IF(AND(C99&gt;125,C99&lt;=400,C20&gt;6.3,C20&lt;=10,C54=8),28,C219))))))</f>
        <v>*</v>
      </c>
      <c r="D218" s="2953"/>
      <c r="E218" s="2848"/>
      <c r="F218" s="2906"/>
      <c r="G218" s="2809" t="str">
        <f>IF(AND(G99&lt;=125,G20&gt;=1,G20&lt;=3.5,G54=8),14,IF(AND(G99&lt;=125,G20&gt;3.5,G20&lt;=6.3,G54=8),20,IF(AND(G99&lt;=125,G20&gt;6.3,G20&lt;=10,G54=8),22,IF(AND(G99&gt;125,G99&lt;=400,G20&gt;=1,G20&lt;=3.5,G54=8),18,IF(AND(G99&gt;125,G99&lt;=400,G20&gt;3.5,G20&lt;=6.3,G54=8),22,IF(AND(G99&gt;125,G99&lt;=400,G20&gt;6.3,G20&lt;=10,G54=8),28,G219))))))</f>
        <v>*</v>
      </c>
      <c r="H218" s="2900"/>
      <c r="I218" s="2973"/>
      <c r="J218" s="2975"/>
      <c r="K218" s="2892"/>
      <c r="L218" s="2817"/>
      <c r="M218" s="2860"/>
    </row>
    <row r="219" spans="1:13" ht="15">
      <c r="A219" s="2953"/>
      <c r="B219" s="2953"/>
      <c r="C219" s="2809" t="str">
        <f>IF(AND(C99&gt;400,C99&lt;=800,C20&gt;=1,C20&lt;=3.5,C54=8),25,IF(AND(C99&gt;400,C99&lt;=800,C20&gt;3.5,C20&lt;=6.3,C54=8),28,IF(AND(C99&gt;400,C99&lt;=800,C20&gt;6.3,C20&lt;=10,C54=8),36,IF(AND(C99&gt;800,C99&lt;=1600,C20&gt;=1,C20&lt;=3.5,C54=8),36,IF(AND(C99&gt;800,C99&lt;=1600,C20&gt;3.5,C20&lt;=6.3,C54=8),40,IF(AND(C99&gt;800,C99&lt;=1600,C20&gt;6.3,C20&lt;=10,C54=8),45,"*"))))))</f>
        <v>*</v>
      </c>
      <c r="D219" s="2953"/>
      <c r="E219" s="2848"/>
      <c r="F219" s="2906"/>
      <c r="G219" s="2809" t="str">
        <f>IF(AND(G99&gt;400,G99&lt;=800,G20&gt;=1,G20&lt;=3.5,G54=8),25,IF(AND(G99&gt;400,G99&lt;=800,G20&gt;3.5,G20&lt;=6.3,G54=8),28,IF(AND(G99&gt;400,G99&lt;=800,G20&gt;6.3,G20&lt;=10,G54=8),36,IF(AND(G99&gt;800,G99&lt;=1600,G20&gt;=1,G20&lt;=3.5,G54=8),36,IF(AND(G99&gt;800,G99&lt;=1600,G20&gt;3.5,G20&lt;=6.3,G54=8),40,IF(AND(G99&gt;800,G99&lt;=1600,G20&gt;6.3,G20&lt;=10,G54=8),45,"*"))))))</f>
        <v>*</v>
      </c>
      <c r="H219" s="2900"/>
      <c r="I219" s="2973"/>
      <c r="J219" s="2975"/>
      <c r="K219" s="2892"/>
      <c r="L219" s="2817"/>
      <c r="M219" s="2860"/>
    </row>
    <row r="220" spans="1:13" ht="15.75">
      <c r="A220" s="2803" t="s">
        <v>3209</v>
      </c>
      <c r="B220" s="2813" t="s">
        <v>4722</v>
      </c>
      <c r="C220" s="2797">
        <f>IF(AND(C30&lt;=40,C55=3),4.5,IF(AND(C30&gt;40,C30&lt;=100,C55=3),6,IF(AND(C30&gt;100,C30&lt;=160,C55=3),8,IF(AND(C30&gt;160,C30&lt;=250,C55=3),10,C221))))</f>
        <v>9</v>
      </c>
      <c r="D220" s="2953"/>
      <c r="E220" s="2848"/>
      <c r="F220" s="2813"/>
      <c r="G220" s="2809"/>
      <c r="H220" s="2900"/>
      <c r="I220" s="2973"/>
      <c r="J220" s="2975"/>
      <c r="K220" s="2892"/>
      <c r="L220" s="2817"/>
      <c r="M220" s="2860"/>
    </row>
    <row r="221" spans="1:13" ht="15">
      <c r="A221" s="2953"/>
      <c r="B221" s="2953"/>
      <c r="C221" s="2809">
        <f>IF(AND(C30&lt;=40,C55=4),5.5,IF(AND(C30&gt;40,C30&lt;=100,C55=4),8,IF(AND(C30&gt;100,C30&lt;=160,C55=4),10,IF(AND(C30&gt;160,C30&lt;=250,C55=4),12,C222))))</f>
        <v>9</v>
      </c>
      <c r="D221" s="2953"/>
      <c r="E221" s="2848"/>
      <c r="F221" s="2906"/>
      <c r="G221" s="2809"/>
      <c r="H221" s="2900"/>
      <c r="I221" s="2973"/>
      <c r="J221" s="2975"/>
      <c r="K221" s="2892"/>
      <c r="L221" s="2817"/>
      <c r="M221" s="2860"/>
    </row>
    <row r="222" spans="1:13" ht="15">
      <c r="A222" s="2953"/>
      <c r="B222" s="2953"/>
      <c r="C222" s="2809">
        <f>IF(AND(C30&lt;=40,C55=5),7,IF(AND(C30&gt;40,C30&lt;=100,C55=5),10,IF(AND(C30&gt;100,C30&lt;=160,C55=5),12,IF(AND(C30&gt;160,C30&lt;=250,C55=5),16,C223))))</f>
        <v>9</v>
      </c>
      <c r="D222" s="2953"/>
      <c r="E222" s="2848"/>
      <c r="F222" s="2906"/>
      <c r="G222" s="2809"/>
      <c r="H222" s="2900"/>
      <c r="I222" s="2973"/>
      <c r="J222" s="2975"/>
      <c r="K222" s="2892"/>
      <c r="L222" s="2817"/>
      <c r="M222" s="2860"/>
    </row>
    <row r="223" spans="1:13" ht="15">
      <c r="A223" s="2953"/>
      <c r="B223" s="2953"/>
      <c r="C223" s="2809">
        <f>IF(AND(C30&lt;=40,C55=6),9,IF(AND(C30&gt;40,C30&lt;=100,C55=6),12,IF(AND(C30&gt;100,C30&lt;=160,C55=6),16,IF(AND(C30&gt;160,C30&lt;=250,C55=6),19,C224))))</f>
        <v>9</v>
      </c>
      <c r="D223" s="2953"/>
      <c r="E223" s="2848"/>
      <c r="F223" s="2906"/>
      <c r="G223" s="2809"/>
      <c r="H223" s="2900"/>
      <c r="I223" s="2973"/>
      <c r="J223" s="2975"/>
      <c r="K223" s="2892"/>
      <c r="L223" s="2817"/>
      <c r="M223" s="2860"/>
    </row>
    <row r="224" spans="1:13" ht="15">
      <c r="A224" s="2953"/>
      <c r="B224" s="2953"/>
      <c r="C224" s="2809" t="str">
        <f>IF(AND(C30&lt;=40,C55=7),11,IF(AND(C30&gt;40,C30&lt;=100,C55=7),16,IF(AND(C30&gt;100,C30&lt;=160,C55=7),20,IF(AND(C30&gt;160,C30&lt;=250,C55=7),24,C225))))</f>
        <v>*</v>
      </c>
      <c r="D224" s="2953"/>
      <c r="E224" s="2848"/>
      <c r="F224" s="2906"/>
      <c r="G224" s="2809"/>
      <c r="H224" s="2900"/>
      <c r="I224" s="2973"/>
      <c r="J224" s="2975"/>
      <c r="K224" s="2892"/>
      <c r="L224" s="2817"/>
      <c r="M224" s="2860"/>
    </row>
    <row r="225" spans="1:13" ht="15">
      <c r="A225" s="2953"/>
      <c r="B225" s="2953"/>
      <c r="C225" s="2809" t="str">
        <f>IF(AND(C30&lt;=40,C55=8),18,IF(AND(C30&gt;40,C30&lt;=100,C55=8),25,IF(AND(C30&gt;100,C30&lt;=160,C55=8),32,IF(AND(C30&gt;160,C30&lt;=250,C55=8),38,"*"))))</f>
        <v>*</v>
      </c>
      <c r="D225" s="2953"/>
      <c r="E225" s="2848"/>
      <c r="F225" s="2906"/>
      <c r="G225" s="2809"/>
      <c r="H225" s="2900"/>
      <c r="I225" s="2973"/>
      <c r="J225" s="2975"/>
      <c r="K225" s="2892"/>
      <c r="L225" s="2817"/>
      <c r="M225" s="2860"/>
    </row>
    <row r="226" spans="1:13" ht="15.75">
      <c r="A226" s="2797" t="s">
        <v>3211</v>
      </c>
      <c r="B226" s="2810" t="s">
        <v>3212</v>
      </c>
      <c r="C226" s="2797">
        <f>IF(C55=3,65,IF(C55=4,60,IF(C55=5,55,IF(C55=6,50,IF(C55=7,45,IF(C55=8,40,"*"))))))</f>
        <v>50</v>
      </c>
      <c r="D226" s="2809"/>
      <c r="E226" s="2848"/>
      <c r="F226" s="2906"/>
      <c r="G226" s="2809"/>
      <c r="H226" s="2900"/>
      <c r="I226" s="2973"/>
      <c r="J226" s="2975"/>
      <c r="K226" s="2892"/>
      <c r="L226" s="2817"/>
      <c r="M226" s="2860"/>
    </row>
    <row r="227" spans="1:13" ht="15">
      <c r="A227" s="2797"/>
      <c r="B227" s="2810" t="s">
        <v>3213</v>
      </c>
      <c r="C227" s="2797">
        <f>IF(C55=3,95,IF(C55=4,90,IF(C55=5,80,IF(C55=6,70,IF(C55=7,60,IF(C55=8,50,""))))))</f>
        <v>70</v>
      </c>
      <c r="D227" s="2953"/>
      <c r="E227" s="2848"/>
      <c r="F227" s="2906"/>
      <c r="G227" s="2809"/>
      <c r="H227" s="2900"/>
      <c r="I227" s="2973"/>
      <c r="J227" s="2975"/>
      <c r="K227" s="2892"/>
      <c r="L227" s="2817"/>
      <c r="M227" s="2860"/>
    </row>
    <row r="228" spans="1:13" ht="15.75">
      <c r="A228" s="2797" t="s">
        <v>3214</v>
      </c>
      <c r="B228" s="2801" t="s">
        <v>3215</v>
      </c>
      <c r="C228" s="2797">
        <f>IF(AND(C119&lt;=40,C55=3),4.5,IF(AND(C119&gt;40,C119&lt;=100,C55=3),6,IF(AND(C119&gt;100,C119&lt;=160,C55=3),8,IF(AND(C119&gt;160,C119&lt;=250,C55=3),10,C221))))</f>
        <v>9</v>
      </c>
      <c r="D228" s="2953"/>
      <c r="E228" s="2848"/>
      <c r="F228" s="2906"/>
      <c r="G228" s="2809"/>
      <c r="H228" s="2900"/>
      <c r="I228" s="2973"/>
      <c r="J228" s="2965"/>
      <c r="K228" s="2892"/>
      <c r="L228" s="2817"/>
      <c r="M228" s="2860"/>
    </row>
    <row r="229" spans="1:13" ht="15.75">
      <c r="A229" s="2797"/>
      <c r="B229" s="2801"/>
      <c r="C229" s="2809">
        <f>IF(AND(C119&lt;=40,C55=4),5.5,IF(AND(C119&gt;40,C119&lt;=100,C55=4),8,IF(AND(C119&gt;100,C119&lt;=160,C55=4),10,IF(AND(C119&gt;160,C119&lt;=250,C55=4),12,C222))))</f>
        <v>9</v>
      </c>
      <c r="D229" s="2953"/>
      <c r="E229" s="2848"/>
      <c r="F229" s="2906"/>
      <c r="G229" s="2809"/>
      <c r="H229" s="2900"/>
      <c r="I229" s="2973"/>
      <c r="J229" s="2965"/>
      <c r="K229" s="2892"/>
      <c r="L229" s="2817"/>
      <c r="M229" s="2860"/>
    </row>
    <row r="230" spans="1:13" ht="15.75">
      <c r="A230" s="2797"/>
      <c r="B230" s="2801"/>
      <c r="C230" s="2809">
        <f>IF(AND(C119&lt;=40,C55=5),7,IF(AND(C119&gt;40,C119&lt;=100,C55=5),10,IF(AND(C119&gt;100,C119&lt;=160,C55=5),12,IF(AND(C119&gt;160,C119&lt;=250,C55=5),16,C223))))</f>
        <v>9</v>
      </c>
      <c r="D230" s="2953"/>
      <c r="E230" s="2848"/>
      <c r="F230" s="2906"/>
      <c r="G230" s="2809"/>
      <c r="H230" s="2900"/>
      <c r="I230" s="2973"/>
      <c r="J230" s="2965"/>
      <c r="K230" s="2892"/>
      <c r="L230" s="2817"/>
      <c r="M230" s="2860"/>
    </row>
    <row r="231" spans="1:13" ht="15.75">
      <c r="A231" s="2797"/>
      <c r="B231" s="2801"/>
      <c r="C231" s="2809">
        <f>IF(AND(C119&lt;=40,C55=3),4.5,IF(AND(C119&gt;40,C119&lt;=100,C55=3),6,IF(AND(C119&gt;100,C119&lt;=160,C55=3),8,IF(AND(C119&gt;160,C119&lt;=250,C55=3),10,C221))))</f>
        <v>9</v>
      </c>
      <c r="D231" s="2953"/>
      <c r="E231" s="2848"/>
      <c r="F231" s="2906"/>
      <c r="G231" s="2809"/>
      <c r="H231" s="2900"/>
      <c r="I231" s="2973"/>
      <c r="J231" s="2965"/>
      <c r="K231" s="2892"/>
      <c r="L231" s="2817"/>
      <c r="M231" s="2860"/>
    </row>
    <row r="232" spans="1:13" ht="15.75">
      <c r="A232" s="2797"/>
      <c r="B232" s="2801"/>
      <c r="C232" s="2809" t="str">
        <f>IF(AND(C119&lt;=40,C55=7),11,IF(AND(C119&gt;40,C119&lt;=100,C55=7),16,IF(AND(C119&gt;100,C119&lt;=160,C55=7),20,IF(AND(C119&gt;160,C119&lt;=250,C55=7),24,C225))))</f>
        <v>*</v>
      </c>
      <c r="D232" s="2953"/>
      <c r="E232" s="2848"/>
      <c r="F232" s="2906"/>
      <c r="G232" s="2809"/>
      <c r="H232" s="2900"/>
      <c r="I232" s="2973"/>
      <c r="J232" s="2965"/>
      <c r="K232" s="2892"/>
      <c r="L232" s="2817"/>
      <c r="M232" s="2860"/>
    </row>
    <row r="233" spans="1:13" ht="15.75">
      <c r="A233" s="2797"/>
      <c r="B233" s="2801"/>
      <c r="C233" s="2809" t="str">
        <f>IF(AND(C119&lt;=40,C55=8),18,IF(AND(C119&gt;40,C119&lt;=100,C55=8),25,IF(AND(C119&gt;100,C119&lt;=160,C55=8),32,IF(AND(C119&gt;160,C119&lt;=250,C55=8),38,"*"))))</f>
        <v>*</v>
      </c>
      <c r="D233" s="2953"/>
      <c r="E233" s="2848"/>
      <c r="F233" s="2906"/>
      <c r="G233" s="2809"/>
      <c r="H233" s="2900"/>
      <c r="I233" s="2973"/>
      <c r="J233" s="2965"/>
      <c r="K233" s="2892"/>
      <c r="L233" s="2817"/>
      <c r="M233" s="2860"/>
    </row>
    <row r="234" spans="1:13" ht="15.75">
      <c r="A234" s="2797" t="s">
        <v>3216</v>
      </c>
      <c r="B234" s="2801" t="s">
        <v>3217</v>
      </c>
      <c r="C234" s="2797">
        <f>C220</f>
        <v>9</v>
      </c>
      <c r="D234" s="2953"/>
      <c r="E234" s="2848"/>
      <c r="F234" s="2906"/>
      <c r="G234" s="2809"/>
      <c r="H234" s="2900"/>
      <c r="I234" s="2973"/>
      <c r="J234" s="2965"/>
      <c r="K234" s="2892"/>
      <c r="L234" s="2817"/>
      <c r="M234" s="2860"/>
    </row>
    <row r="235" spans="1:13" ht="15">
      <c r="A235" s="2797" t="s">
        <v>3218</v>
      </c>
      <c r="B235" s="2813" t="s">
        <v>4723</v>
      </c>
      <c r="C235" s="2797">
        <f>ROUND(C236*COS(C91),0)</f>
        <v>24</v>
      </c>
      <c r="D235" s="2953"/>
      <c r="E235" s="2848"/>
      <c r="F235" s="2906"/>
      <c r="G235" s="2809"/>
      <c r="H235" s="2900"/>
      <c r="I235" s="2973"/>
      <c r="J235" s="2965"/>
      <c r="K235" s="2892"/>
      <c r="L235" s="2817"/>
      <c r="M235" s="2860"/>
    </row>
    <row r="236" spans="1:13" ht="15.75">
      <c r="A236" s="2900" t="s">
        <v>3220</v>
      </c>
      <c r="B236" s="2801" t="s">
        <v>3221</v>
      </c>
      <c r="C236" s="2797">
        <f>ROUND(C162+C208,0)</f>
        <v>53</v>
      </c>
      <c r="D236" s="2953"/>
      <c r="E236" s="2848"/>
      <c r="F236" s="2801" t="s">
        <v>3222</v>
      </c>
      <c r="G236" s="2797">
        <f>ROUND(G162+G208,0)</f>
        <v>71</v>
      </c>
      <c r="H236" s="2900"/>
      <c r="I236" s="2973"/>
      <c r="J236" s="2965"/>
      <c r="K236" s="2892"/>
      <c r="L236" s="2817"/>
      <c r="M236" s="2860"/>
    </row>
    <row r="237" spans="1:13" ht="15.75">
      <c r="A237" s="2976" t="s">
        <v>3223</v>
      </c>
      <c r="B237" s="2801" t="s">
        <v>3224</v>
      </c>
      <c r="C237" s="2797">
        <f>ROUND(0.6*(C184+C208),0)</f>
        <v>11</v>
      </c>
      <c r="D237" s="2953"/>
      <c r="E237" s="2848"/>
      <c r="F237" s="2801" t="s">
        <v>3225</v>
      </c>
      <c r="G237" s="2797">
        <f>ROUND(0.6*(G184+G208),0)</f>
        <v>11</v>
      </c>
      <c r="H237" s="2900"/>
      <c r="I237" s="2973"/>
      <c r="J237" s="2965"/>
      <c r="K237" s="2892"/>
      <c r="L237" s="2817"/>
      <c r="M237" s="2860"/>
    </row>
    <row r="238" spans="1:13" ht="15.75">
      <c r="A238" s="2900" t="s">
        <v>3226</v>
      </c>
      <c r="B238" s="2801" t="s">
        <v>3227</v>
      </c>
      <c r="C238" s="2797">
        <f>IF(C67&lt;&gt;"",C67,D265/1000)</f>
        <v>-0.12</v>
      </c>
      <c r="D238" s="2953"/>
      <c r="E238" s="2848"/>
      <c r="F238" s="2801" t="s">
        <v>3228</v>
      </c>
      <c r="G238" s="2900">
        <f>IF(C69&lt;&gt;"",C69,D267/1000)</f>
        <v>-0.1</v>
      </c>
      <c r="H238" s="2900"/>
      <c r="I238" s="2855"/>
      <c r="J238" s="2965"/>
      <c r="K238" s="2892"/>
      <c r="L238" s="2817"/>
      <c r="M238" s="2860"/>
    </row>
    <row r="239" spans="1:13" ht="15.75">
      <c r="A239" s="2900" t="s">
        <v>3229</v>
      </c>
      <c r="B239" s="2801" t="s">
        <v>3230</v>
      </c>
      <c r="C239" s="2797">
        <f>IF(C68&lt;&gt;"",C68,D266/1000)</f>
        <v>-0.2</v>
      </c>
      <c r="D239" s="2953"/>
      <c r="E239" s="2848"/>
      <c r="F239" s="2801" t="s">
        <v>3231</v>
      </c>
      <c r="G239" s="2900">
        <f>IF(C70&lt;&gt;"",C70,D268/1000)</f>
        <v>-0.25</v>
      </c>
      <c r="H239" s="2900"/>
      <c r="I239" s="2855"/>
      <c r="J239" s="2965"/>
      <c r="K239" s="2892"/>
      <c r="L239" s="2817"/>
      <c r="M239" s="2860"/>
    </row>
    <row r="240" spans="1:13" ht="15.75">
      <c r="A240" s="2813" t="s">
        <v>3232</v>
      </c>
      <c r="B240" s="2801" t="s">
        <v>3233</v>
      </c>
      <c r="C240" s="2797">
        <f>ABS(C238-C239)</f>
        <v>0.08</v>
      </c>
      <c r="D240" s="2953"/>
      <c r="E240" s="2848"/>
      <c r="F240" s="2801" t="s">
        <v>3234</v>
      </c>
      <c r="G240" s="2797">
        <f>ABS(G238-G239)</f>
        <v>0.15</v>
      </c>
      <c r="H240" s="2900"/>
      <c r="I240" s="2855"/>
      <c r="J240" s="2965"/>
      <c r="K240" s="2892"/>
      <c r="L240" s="2817"/>
      <c r="M240" s="2860"/>
    </row>
    <row r="241" spans="1:13" ht="15.75">
      <c r="A241" s="2821"/>
      <c r="B241" s="2801" t="s">
        <v>3235</v>
      </c>
      <c r="C241" s="2797">
        <f>IF(0.002*C97*SIN(C103)*(12*(F241-20)-D241*(E241-20))&lt;0,0,ROUND(0.002*C97*SIN(C103)*(12*(F241-20)-D241*(E241-20)),0))</f>
        <v>19</v>
      </c>
      <c r="D241" s="2809">
        <f>IF(OR(C56=0,C56="C"),11,IF(C56="S",12,24))</f>
        <v>11</v>
      </c>
      <c r="E241" s="2809">
        <f>IF(C58=0,60,C58)</f>
        <v>60</v>
      </c>
      <c r="F241" s="2977">
        <f>IF(C57="",80,C57)</f>
        <v>80</v>
      </c>
      <c r="G241" s="2821"/>
      <c r="H241" s="2900"/>
      <c r="I241" s="2855"/>
      <c r="J241" s="2965"/>
      <c r="K241" s="2892"/>
      <c r="L241" s="2817"/>
      <c r="M241" s="2860"/>
    </row>
    <row r="242" spans="1:13" ht="15.75">
      <c r="A242" s="2821"/>
      <c r="B242" s="2801" t="s">
        <v>3236</v>
      </c>
      <c r="C242" s="2797">
        <f>ROUND(20*C20,0)</f>
        <v>60</v>
      </c>
      <c r="D242" s="2953"/>
      <c r="E242" s="2821"/>
      <c r="F242" s="2801"/>
      <c r="G242" s="2821"/>
      <c r="H242" s="2900"/>
      <c r="I242" s="2855"/>
      <c r="J242" s="2965"/>
      <c r="K242" s="2892"/>
      <c r="L242" s="2817"/>
      <c r="M242" s="2860"/>
    </row>
    <row r="243" spans="1:13" ht="15.75">
      <c r="A243" s="2821"/>
      <c r="B243" s="2801" t="s">
        <v>3237</v>
      </c>
      <c r="C243" s="2797">
        <f>ROUND(SQRT(C196^2+G196^2+(1.25*COS(C103)^2+1)*C228^2),0)</f>
        <v>18</v>
      </c>
      <c r="D243" s="2953"/>
      <c r="E243" s="2821"/>
      <c r="F243" s="2801"/>
      <c r="G243" s="2821"/>
      <c r="H243" s="2900"/>
      <c r="I243" s="2855"/>
      <c r="J243" s="2978"/>
      <c r="K243" s="2979"/>
      <c r="L243" s="2817"/>
      <c r="M243" s="2860"/>
    </row>
    <row r="244" spans="1:13" ht="15.75">
      <c r="A244" s="2821"/>
      <c r="B244" s="2801" t="s">
        <v>3238</v>
      </c>
      <c r="C244" s="2797">
        <f>ROUND(0.45*C97^0.3333+0.001*C97,0)</f>
        <v>2</v>
      </c>
      <c r="D244" s="2953"/>
      <c r="E244" s="2821"/>
      <c r="F244" s="2801"/>
      <c r="G244" s="2821"/>
      <c r="H244" s="2900"/>
      <c r="I244" s="2855"/>
      <c r="J244" s="2978"/>
      <c r="K244" s="2892"/>
      <c r="L244" s="2817"/>
      <c r="M244" s="2860"/>
    </row>
    <row r="245" spans="1:13" ht="15.75">
      <c r="A245" s="2821"/>
      <c r="B245" s="2801" t="s">
        <v>3239</v>
      </c>
      <c r="C245" s="2797">
        <f>ROUND(0.45*C99^0.3333+0.001*C99,0)</f>
        <v>2</v>
      </c>
      <c r="D245" s="2953"/>
      <c r="E245" s="2821"/>
      <c r="F245" s="2801"/>
      <c r="G245" s="2821"/>
      <c r="H245" s="2900"/>
      <c r="I245" s="2855"/>
      <c r="J245" s="2978"/>
      <c r="K245" s="2892"/>
      <c r="L245" s="2817"/>
      <c r="M245" s="2860"/>
    </row>
    <row r="246" spans="1:13" ht="15.75">
      <c r="A246" s="2821"/>
      <c r="B246" s="2801" t="s">
        <v>3240</v>
      </c>
      <c r="C246" s="2797">
        <f>ROUND(0.45*G99^0.3333+0.001*G99,0)</f>
        <v>2</v>
      </c>
      <c r="D246" s="2953"/>
      <c r="E246" s="2821"/>
      <c r="F246" s="2801"/>
      <c r="G246" s="2821"/>
      <c r="H246" s="2900"/>
      <c r="I246" s="2855"/>
      <c r="J246" s="2978"/>
      <c r="K246" s="2892"/>
      <c r="L246" s="2817"/>
      <c r="M246" s="2860"/>
    </row>
    <row r="247" spans="1:13" ht="15.75">
      <c r="A247" s="2821"/>
      <c r="B247" s="2801" t="s">
        <v>1072</v>
      </c>
      <c r="C247" s="2797">
        <f>IF(C54&lt;=6,ROUND(-8*C244,0),ROUND(-12.5*C244,0))</f>
        <v>-16</v>
      </c>
      <c r="D247" s="2953"/>
      <c r="E247" s="2821"/>
      <c r="F247" s="2801"/>
      <c r="G247" s="2821"/>
      <c r="H247" s="2900"/>
      <c r="I247" s="2855"/>
      <c r="J247" s="2978"/>
      <c r="K247" s="2892"/>
      <c r="L247" s="2817"/>
      <c r="M247" s="2860"/>
    </row>
    <row r="248" spans="1:13" ht="15.75">
      <c r="A248" s="2821"/>
      <c r="B248" s="2801" t="s">
        <v>3241</v>
      </c>
      <c r="C248" s="2797">
        <f>ROUND(-2*C247*TAN(C103)-(C241+C242+C243)/COS(C103),0)</f>
        <v>-92</v>
      </c>
      <c r="D248" s="2953"/>
      <c r="E248" s="2821"/>
      <c r="F248" s="2801"/>
      <c r="G248" s="2821"/>
      <c r="H248" s="2900"/>
      <c r="I248" s="2855"/>
      <c r="J248" s="2978"/>
      <c r="K248" s="2892"/>
      <c r="L248" s="2817"/>
      <c r="M248" s="2860"/>
    </row>
    <row r="249" spans="1:13" ht="15.75">
      <c r="A249" s="2821"/>
      <c r="B249" s="2801" t="s">
        <v>3242</v>
      </c>
      <c r="C249" s="2797">
        <f>ROUND(C248*C18/(C18+C19),0)</f>
        <v>-89</v>
      </c>
      <c r="D249" s="2953"/>
      <c r="E249" s="2821"/>
      <c r="F249" s="2801"/>
      <c r="G249" s="2821"/>
      <c r="H249" s="2900"/>
      <c r="I249" s="2855"/>
      <c r="J249" s="2978"/>
      <c r="K249" s="2892"/>
      <c r="L249" s="2817"/>
      <c r="M249" s="2860"/>
    </row>
    <row r="250" spans="1:13" ht="15.75">
      <c r="A250" s="2821"/>
      <c r="B250" s="2801" t="s">
        <v>3243</v>
      </c>
      <c r="C250" s="2797">
        <f>ROUND(C248*C19/(C18+C19),0)</f>
        <v>-3</v>
      </c>
      <c r="D250" s="2953"/>
      <c r="E250" s="2821"/>
      <c r="F250" s="2801"/>
      <c r="G250" s="2821"/>
      <c r="H250" s="2900"/>
      <c r="I250" s="2855"/>
      <c r="J250" s="2978"/>
      <c r="K250" s="2892"/>
      <c r="L250" s="2817"/>
      <c r="M250" s="2860"/>
    </row>
    <row r="251" spans="1:13" ht="15.75">
      <c r="A251" s="2821"/>
      <c r="B251" s="2801" t="s">
        <v>3244</v>
      </c>
      <c r="C251" s="2797">
        <f>IF(C53=3,16*C245,IF(C53=4,20*C245,IF(C53=5,25*C245,IF(C53=6,31.5*C245,IF(C53=7,40*C245,50.4*C245)))))</f>
        <v>80</v>
      </c>
      <c r="D251" s="2953"/>
      <c r="E251" s="2821"/>
      <c r="F251" s="2801"/>
      <c r="G251" s="2821"/>
      <c r="H251" s="2900"/>
      <c r="I251" s="2855"/>
      <c r="J251" s="2978"/>
      <c r="K251" s="2892"/>
      <c r="L251" s="2817"/>
      <c r="M251" s="2860"/>
    </row>
    <row r="252" spans="1:13" ht="15.75">
      <c r="A252" s="2821"/>
      <c r="B252" s="2801" t="s">
        <v>3245</v>
      </c>
      <c r="C252" s="2797">
        <f>IF(C53=3,16*C246,IF(C53=4,20*C246,IF(C53=5,25*C246,IF(C53=6,31.5*C246,IF(C53=7,40*C246,50.4*C246)))))</f>
        <v>80</v>
      </c>
      <c r="D252" s="2953"/>
      <c r="E252" s="2821"/>
      <c r="F252" s="2801"/>
      <c r="G252" s="2821"/>
      <c r="H252" s="2900"/>
      <c r="I252" s="2855"/>
      <c r="J252" s="2978"/>
      <c r="K252" s="2892"/>
      <c r="L252" s="2817"/>
      <c r="M252" s="2860"/>
    </row>
    <row r="253" spans="1:13" ht="15.75">
      <c r="A253" s="2821"/>
      <c r="B253" s="2801" t="s">
        <v>3246</v>
      </c>
      <c r="C253" s="2797">
        <f>ROUND(SQRT(C168^2+C251^2)*2*TAN(C103),0)</f>
        <v>64</v>
      </c>
      <c r="D253" s="2953"/>
      <c r="E253" s="2821"/>
      <c r="F253" s="2801"/>
      <c r="G253" s="2821"/>
      <c r="H253" s="2900"/>
      <c r="I253" s="2855"/>
      <c r="J253" s="2978"/>
      <c r="K253" s="2892"/>
      <c r="L253" s="2817"/>
      <c r="M253" s="2860"/>
    </row>
    <row r="254" spans="1:13" ht="15.75">
      <c r="A254" s="2821"/>
      <c r="B254" s="2801" t="s">
        <v>3247</v>
      </c>
      <c r="C254" s="2797">
        <f>ROUND(SQRT(G168^2+C252^2)*2*TAN(C103),0)</f>
        <v>64</v>
      </c>
      <c r="D254" s="2953"/>
      <c r="E254" s="2821"/>
      <c r="F254" s="2801"/>
      <c r="G254" s="2821"/>
      <c r="H254" s="2900"/>
      <c r="I254" s="2855"/>
      <c r="J254" s="2978"/>
      <c r="K254" s="2892"/>
      <c r="L254" s="2817"/>
      <c r="M254" s="2860"/>
    </row>
    <row r="255" spans="1:13" ht="15.75">
      <c r="A255" s="2821"/>
      <c r="B255" s="2801" t="s">
        <v>3248</v>
      </c>
      <c r="C255" s="2797">
        <f>C249-C253</f>
        <v>-153</v>
      </c>
      <c r="D255" s="2953"/>
      <c r="E255" s="2821"/>
      <c r="F255" s="2801"/>
      <c r="G255" s="2821"/>
      <c r="H255" s="2900"/>
      <c r="I255" s="2855"/>
      <c r="J255" s="2978"/>
      <c r="K255" s="2892"/>
      <c r="L255" s="2817"/>
      <c r="M255" s="2860"/>
    </row>
    <row r="256" spans="1:13" ht="15.75">
      <c r="A256" s="2821"/>
      <c r="B256" s="2801" t="s">
        <v>3249</v>
      </c>
      <c r="C256" s="2797">
        <f>C250-C254</f>
        <v>-67</v>
      </c>
      <c r="D256" s="2953"/>
      <c r="E256" s="2821"/>
      <c r="F256" s="2801"/>
      <c r="G256" s="2821"/>
      <c r="H256" s="2900"/>
      <c r="I256" s="2855"/>
      <c r="J256" s="2978"/>
      <c r="K256" s="2892"/>
      <c r="L256" s="2817"/>
      <c r="M256" s="2860"/>
    </row>
    <row r="257" spans="1:13" ht="15.75">
      <c r="A257" s="2821"/>
      <c r="B257" s="2801" t="s">
        <v>3250</v>
      </c>
      <c r="C257" s="2797">
        <f>ROUND(C249/C184,0)</f>
        <v>-9</v>
      </c>
      <c r="D257" s="2797" t="str">
        <f t="shared" ref="D257:D260" si="8">IF(C257&gt;0.5,"C",IF(AND(C257&gt;-1,C257&lt;=0.5),"D",IF(AND(C257&gt;-3,C257&lt;=-1),"E",IF(AND(C257&gt;-5,C257&lt;=-3),"F",IF(AND(C257&gt;-7,C257&lt;=-5),"G",IF(AND(C257&gt;-9,C257&lt;=-7),"H",IF(AND(C257&gt;-11,C257&lt;=-9),"J",E257)))))))</f>
        <v>J</v>
      </c>
      <c r="E257" s="2809" t="str">
        <f t="shared" ref="E257:E260" si="9">IF(AND(C257&gt;-14,C257&lt;=-11),"K",IF(AND(C257&gt;-18,C257&lt;=-14),"L",IF(AND(C257&gt;-22.5,C257&lt;=-18),"M",IF(AND(C257&gt;-28.5,C257&lt;=-22.5),"N",IF(AND(C257&gt;-36,C257&lt;=-28.5),"P",IF(AND(C257&gt;-45,C257&lt;=-36),"R",IF(C257&lt;=-45,"S","*")))))))</f>
        <v>*</v>
      </c>
      <c r="F257" s="2977"/>
      <c r="G257" s="2821"/>
      <c r="H257" s="2900"/>
      <c r="I257" s="2855"/>
      <c r="J257" s="2965"/>
      <c r="K257" s="2892"/>
      <c r="L257" s="2817"/>
      <c r="M257" s="2860"/>
    </row>
    <row r="258" spans="1:13" ht="15.75">
      <c r="A258" s="2821"/>
      <c r="B258" s="2801" t="s">
        <v>3251</v>
      </c>
      <c r="C258" s="2797">
        <f>ROUND(C255/C184,0)</f>
        <v>-15</v>
      </c>
      <c r="D258" s="2797" t="str">
        <f t="shared" si="8"/>
        <v>L</v>
      </c>
      <c r="E258" s="2809" t="str">
        <f t="shared" si="9"/>
        <v>L</v>
      </c>
      <c r="F258" s="2977"/>
      <c r="G258" s="2821"/>
      <c r="H258" s="2900"/>
      <c r="I258" s="2855"/>
      <c r="J258" s="2965"/>
      <c r="K258" s="2892"/>
      <c r="L258" s="2817"/>
      <c r="M258" s="2860"/>
    </row>
    <row r="259" spans="1:13" ht="15.75">
      <c r="A259" s="2821"/>
      <c r="B259" s="2801" t="s">
        <v>3252</v>
      </c>
      <c r="C259" s="2797">
        <f>ROUND(C250/G184,0)</f>
        <v>0</v>
      </c>
      <c r="D259" s="2797" t="str">
        <f t="shared" si="8"/>
        <v>D</v>
      </c>
      <c r="E259" s="2809" t="str">
        <f t="shared" si="9"/>
        <v>*</v>
      </c>
      <c r="F259" s="2977"/>
      <c r="G259" s="2821"/>
      <c r="H259" s="2900"/>
      <c r="I259" s="2855"/>
      <c r="J259" s="2965"/>
      <c r="K259" s="2892"/>
      <c r="L259" s="2817"/>
      <c r="M259" s="2860"/>
    </row>
    <row r="260" spans="1:13" ht="15.75">
      <c r="A260" s="2821"/>
      <c r="B260" s="2801" t="s">
        <v>3253</v>
      </c>
      <c r="C260" s="2797">
        <f>ROUND(C256/G184,0)</f>
        <v>-7</v>
      </c>
      <c r="D260" s="2797" t="str">
        <f t="shared" si="8"/>
        <v>H</v>
      </c>
      <c r="E260" s="2809" t="str">
        <f t="shared" si="9"/>
        <v>*</v>
      </c>
      <c r="F260" s="2977"/>
      <c r="G260" s="2821"/>
      <c r="H260" s="2900"/>
      <c r="I260" s="2855"/>
      <c r="J260" s="2965"/>
      <c r="K260" s="2892"/>
      <c r="L260" s="2817"/>
      <c r="M260" s="2860"/>
    </row>
    <row r="261" spans="1:13" ht="15.75">
      <c r="A261" s="2821"/>
      <c r="B261" s="2801" t="s">
        <v>3254</v>
      </c>
      <c r="C261" s="2797">
        <f t="shared" ref="C261:C266" si="10">ABS(D261+D263)</f>
        <v>100</v>
      </c>
      <c r="D261" s="2809">
        <f>IF(D257="C",C184,IF(D257="D",0,IF(D257="E",-2*C184,IF(D257="F",-4*C184,IF(D257="G",-6*C184,IF(D257="H",-8*C184,IF(D257="J",-10*C184,E261)))))))</f>
        <v>-100</v>
      </c>
      <c r="E261" s="2809" t="str">
        <f>IF(D257="K",-12*C184,IF(D257="L",-16*C184,IF(D257="M",-20*C184,IF(D257="N",-25*C184,IF(D257="P",-32*C184,IF(D257="R",-40*C184,IF(D257="S",-50*C184,"*")))))))</f>
        <v>*</v>
      </c>
      <c r="F261" s="2801"/>
      <c r="G261" s="2821"/>
      <c r="H261" s="2900"/>
      <c r="I261" s="2855"/>
      <c r="J261" s="2965"/>
      <c r="K261" s="2892"/>
      <c r="L261" s="2817"/>
      <c r="M261" s="2860"/>
    </row>
    <row r="262" spans="1:13" ht="15.75">
      <c r="A262" s="2821"/>
      <c r="B262" s="2801" t="s">
        <v>3255</v>
      </c>
      <c r="C262" s="2797">
        <f t="shared" si="10"/>
        <v>240</v>
      </c>
      <c r="D262" s="2809">
        <f>IF(D258="C",C184,IF(D258="D",0,IF(D258="E",-2*C184,IF(D258="F",-4*C184,IF(D258="G",-6*C184,IF(D258="H",-8*C184,IF(D258="J",-10*C184,E262)))))))</f>
        <v>-160</v>
      </c>
      <c r="E262" s="2809">
        <f>IF(D258="K",-12*C184,IF(D258="L",-16*C184,IF(D258="M",-20*C184,IF(D258="N",-25*C184,IF(D258="P",-32*C184,IF(D258="R",-40*C184,IF(D258="S",-50*C184,"*")))))))</f>
        <v>-160</v>
      </c>
      <c r="F262" s="2801"/>
      <c r="G262" s="2821"/>
      <c r="H262" s="2900"/>
      <c r="I262" s="2855"/>
      <c r="J262" s="2965"/>
      <c r="K262" s="2892"/>
      <c r="L262" s="2817"/>
      <c r="M262" s="2860"/>
    </row>
    <row r="263" spans="1:13" ht="15.75">
      <c r="A263" s="2821"/>
      <c r="B263" s="2801"/>
      <c r="C263" s="2797"/>
      <c r="D263" s="2809">
        <f>IF(D259="C",G184,IF(D259="D",0,IF(D259="E",-2*G184,IF(D259="F",-4*G184,IF(D259="G",-6*G184,IF(D259="H",-8*G184,IF(D259="J",-10*G184,E263)))))))</f>
        <v>0</v>
      </c>
      <c r="E263" s="2809" t="str">
        <f>IF(D259="K",-12*G184,IF(D259="L",-16*G184,IF(D259="M",-20*G184,IF(D259="N",-25*G184,IF(D259="P",-32*G184,IF(D259="R",-40*G184,IF(D259="S",-50*G184,"*")))))))</f>
        <v>*</v>
      </c>
      <c r="F263" s="2801"/>
      <c r="G263" s="2821"/>
      <c r="H263" s="2900"/>
      <c r="I263" s="2855"/>
      <c r="J263" s="2965"/>
      <c r="K263" s="2892"/>
      <c r="L263" s="2817"/>
      <c r="M263" s="2860"/>
    </row>
    <row r="264" spans="1:13" ht="15.75">
      <c r="A264" s="2821"/>
      <c r="B264" s="2801"/>
      <c r="C264" s="2797"/>
      <c r="D264" s="2809">
        <f>IF(D260="C",G184,IF(D260="D",0,IF(D260="E",-2*G184,IF(D260="F",-4*G184,IF(D260="G",-6*G184,IF(D260="H",-8*G184,IF(D260="J",-10*G184,E264)))))))</f>
        <v>-80</v>
      </c>
      <c r="E264" s="2809" t="str">
        <f>IF(D260="K",-12*G184,IF(D260="L",-16*G184,IF(D260="M",-20*G184,IF(D260="N",-25*G184,IF(D260="P",-32*G184,IF(D260="R",-40*G184,IF(D260="S",-50*G184,"*")))))))</f>
        <v>*</v>
      </c>
      <c r="F264" s="2801"/>
      <c r="G264" s="2821"/>
      <c r="H264" s="2900"/>
      <c r="I264" s="2855"/>
      <c r="J264" s="2965"/>
      <c r="K264" s="2892"/>
      <c r="L264" s="2817"/>
      <c r="M264" s="2860"/>
    </row>
    <row r="265" spans="1:13" ht="15.75">
      <c r="A265" s="2821"/>
      <c r="B265" s="2801" t="s">
        <v>2885</v>
      </c>
      <c r="C265" s="2797">
        <f t="shared" si="10"/>
        <v>220</v>
      </c>
      <c r="D265" s="2809">
        <f>IF(F265="C",C184,IF(F265="D",0,IF(F265="E",-2*C184,IF(F265="F",-4*C184,IF(F265="G",-6*C184,IF(F265="H",-8*C184,IF(F265="J",-10*C184,E265)))))))</f>
        <v>-120</v>
      </c>
      <c r="E265" s="2809">
        <f>IF(F265="K",-12*C184,IF(F265="L",-16*C184,IF(F265="M",-20*C184,IF(F265="N",-25*C184,IF(F265="P",-32*C184,IF(F265="R",-40*C184,IF(F265="S",-50*C184,"*")))))))</f>
        <v>-120</v>
      </c>
      <c r="F265" s="2977" t="str">
        <f t="shared" ref="F265:F268" si="11">IF(C60="",D257,C60)</f>
        <v>K</v>
      </c>
      <c r="G265" s="2821"/>
      <c r="H265" s="2900"/>
      <c r="I265" s="2855"/>
      <c r="J265" s="2965"/>
      <c r="K265" s="2892"/>
      <c r="L265" s="2817"/>
      <c r="M265" s="2860"/>
    </row>
    <row r="266" spans="1:13" ht="15.75">
      <c r="A266" s="2821"/>
      <c r="B266" s="2801" t="s">
        <v>2886</v>
      </c>
      <c r="C266" s="2797">
        <f t="shared" si="10"/>
        <v>450</v>
      </c>
      <c r="D266" s="2809">
        <f>IF(F266="C",C184,IF(F266="D",0,IF(F266="E",-2*C184,IF(F266="F",-4*C184,IF(F266="G",-6*C184,IF(F266="H",-8*C184,IF(F266="J",-10*C184,E266)))))))</f>
        <v>-200</v>
      </c>
      <c r="E266" s="2809">
        <f>IF(F266="K",-12*C184,IF(F266="L",-16*C184,IF(F266="M",-20*C184,IF(F266="N",-25*C184,IF(F266="P",-32*C184,IF(F266="R",-40*C184,IF(F266="S",-50*C184,"*")))))))</f>
        <v>-200</v>
      </c>
      <c r="F266" s="2977" t="str">
        <f t="shared" si="11"/>
        <v>M</v>
      </c>
      <c r="G266" s="2821"/>
      <c r="H266" s="2900"/>
      <c r="I266" s="2855"/>
      <c r="J266" s="2965"/>
      <c r="K266" s="2892"/>
      <c r="L266" s="2817"/>
      <c r="M266" s="2860"/>
    </row>
    <row r="267" spans="1:13" ht="15.75">
      <c r="A267" s="2821"/>
      <c r="B267" s="2801"/>
      <c r="C267" s="2797"/>
      <c r="D267" s="2809">
        <f>IF(F267="C",G184,IF(F267="D",0,IF(F267="E",-2*G184,IF(F267="F",-4*G184,IF(F267="G",-6*G184,IF(F267="H",-8*G184,IF(F267="J",-10*G184,E267)))))))</f>
        <v>-100</v>
      </c>
      <c r="E267" s="2809" t="str">
        <f>IF(F267="K",-12*G184,IF(F267="L",-16*G184,IF(F267="M",-20*G184,IF(F267="N",-25*G184,IF(F267="P",-32*G184,IF(F267="R",-40*G184,IF(F267="S",-50*G184,"*")))))))</f>
        <v>*</v>
      </c>
      <c r="F267" s="2977" t="str">
        <f t="shared" si="11"/>
        <v>J</v>
      </c>
      <c r="G267" s="2821"/>
      <c r="H267" s="2900"/>
      <c r="I267" s="2855"/>
      <c r="J267" s="2965"/>
      <c r="K267" s="2892"/>
      <c r="L267" s="2817"/>
      <c r="M267" s="2860"/>
    </row>
    <row r="268" spans="1:13" ht="15.75">
      <c r="A268" s="2980"/>
      <c r="B268" s="2801"/>
      <c r="C268" s="2797"/>
      <c r="D268" s="2809">
        <f>IF(F268="C",G184,IF(F268="D",0,IF(F268="E",-2*G184,IF(F268="F",-4*G184,IF(F268="G",-6*G184,IF(F268="H",-8*G184,IF(F268="J",-10*G184,E268)))))))</f>
        <v>-250</v>
      </c>
      <c r="E268" s="2809">
        <f>IF(F268="K",-12*G184,IF(F268="L",-16*G184,IF(F268="M",-20*G184,IF(F268="N",-25*G184,IF(F268="P",-32*G184,IF(F268="R",-40*G184,IF(F268="S",-50*G184,"*")))))))</f>
        <v>-250</v>
      </c>
      <c r="F268" s="2977" t="str">
        <f t="shared" si="11"/>
        <v>N</v>
      </c>
      <c r="G268" s="2821"/>
      <c r="H268" s="2900"/>
      <c r="I268" s="2855"/>
      <c r="J268" s="2965"/>
      <c r="K268" s="2892"/>
      <c r="L268" s="2817"/>
      <c r="M268" s="2860"/>
    </row>
    <row r="269" spans="1:13" ht="15.75">
      <c r="A269" s="2947" t="s">
        <v>4233</v>
      </c>
      <c r="B269" s="2801"/>
      <c r="C269" s="2797"/>
      <c r="D269" s="2809"/>
      <c r="E269" s="2809"/>
      <c r="F269" s="2977"/>
      <c r="G269" s="2821"/>
      <c r="H269" s="2900"/>
      <c r="I269" s="2855"/>
      <c r="J269" s="2965"/>
      <c r="K269" s="2892"/>
      <c r="L269" s="2817"/>
      <c r="M269" s="2860"/>
    </row>
    <row r="270" spans="1:13" ht="15.75">
      <c r="A270" s="2855" t="s">
        <v>4234</v>
      </c>
      <c r="B270" s="2801" t="s">
        <v>3257</v>
      </c>
      <c r="C270" s="2797">
        <f>ROUND(C238*COS(C87)-0.72*C168/1000*SIN(C87),3)</f>
        <v>-0.122</v>
      </c>
      <c r="D270" s="2809"/>
      <c r="E270" s="2809"/>
      <c r="F270" s="2977"/>
      <c r="G270" s="2797">
        <f>ROUND(G238*COS(C87)-0.72*G168/1000*SIN(C87),3)</f>
        <v>-0.10299999999999999</v>
      </c>
      <c r="H270" s="2900"/>
      <c r="I270" s="2855"/>
      <c r="J270" s="2965"/>
      <c r="K270" s="2892"/>
      <c r="L270" s="2817"/>
      <c r="M270" s="2860"/>
    </row>
    <row r="271" spans="1:13" ht="15.75">
      <c r="A271" s="2857"/>
      <c r="B271" s="2801" t="s">
        <v>3259</v>
      </c>
      <c r="C271" s="2797">
        <f>ROUND(C239*COS(C87)+0.72*C168/1000*SIN(C87),3)</f>
        <v>-0.17899999999999999</v>
      </c>
      <c r="D271" s="2809"/>
      <c r="E271" s="2809"/>
      <c r="F271" s="2977"/>
      <c r="G271" s="2797">
        <f>ROUND(G239*COS(C87)+0.72*G168/1000*SIN(C87),3)</f>
        <v>-0.22600000000000001</v>
      </c>
      <c r="H271" s="2900"/>
      <c r="I271" s="2855"/>
      <c r="J271" s="2965"/>
      <c r="K271" s="2892"/>
      <c r="L271" s="2817"/>
      <c r="M271" s="2860"/>
    </row>
    <row r="272" spans="1:13" ht="15.75">
      <c r="A272" s="2857"/>
      <c r="B272" s="2801" t="s">
        <v>3261</v>
      </c>
      <c r="C272" s="2797">
        <f>C270-C271</f>
        <v>5.7000000000000002E-2</v>
      </c>
      <c r="D272" s="2809"/>
      <c r="E272" s="2809"/>
      <c r="F272" s="2977"/>
      <c r="G272" s="2797">
        <f>G270-G271</f>
        <v>0.123</v>
      </c>
      <c r="H272" s="2900"/>
      <c r="I272" s="2855"/>
      <c r="J272" s="2965"/>
      <c r="K272" s="2892"/>
      <c r="L272" s="2817"/>
      <c r="M272" s="2860"/>
    </row>
    <row r="273" spans="1:13" ht="15.75">
      <c r="A273" s="2981" t="s">
        <v>4235</v>
      </c>
      <c r="B273" s="2982" t="s">
        <v>3257</v>
      </c>
      <c r="C273" s="2848">
        <f>ROUND(C238*COS(C87),3)</f>
        <v>-0.113</v>
      </c>
      <c r="D273" s="2809"/>
      <c r="E273" s="2809"/>
      <c r="F273" s="2982"/>
      <c r="G273" s="2848">
        <f>ROUND(G238*COS(G87),3)</f>
        <v>-0.1</v>
      </c>
      <c r="H273" s="2809"/>
      <c r="I273" s="2844"/>
      <c r="J273" s="2965"/>
      <c r="K273" s="2892"/>
      <c r="L273" s="2817"/>
      <c r="M273" s="2860"/>
    </row>
    <row r="274" spans="1:13" ht="15.75">
      <c r="A274" s="2857"/>
      <c r="B274" s="2982" t="s">
        <v>3259</v>
      </c>
      <c r="C274" s="2848">
        <f>ROUND(C239*COS(C87),3)</f>
        <v>-0.188</v>
      </c>
      <c r="D274" s="2809"/>
      <c r="E274" s="2809"/>
      <c r="F274" s="2982"/>
      <c r="G274" s="2848">
        <f>ROUND(G239*COS(G87),3)</f>
        <v>-0.25</v>
      </c>
      <c r="H274" s="2809"/>
      <c r="I274" s="2844"/>
      <c r="J274" s="2965"/>
      <c r="K274" s="2892"/>
      <c r="L274" s="2817"/>
      <c r="M274" s="2860"/>
    </row>
    <row r="275" spans="1:13" ht="15.75">
      <c r="A275" s="2857"/>
      <c r="B275" s="2982" t="s">
        <v>3261</v>
      </c>
      <c r="C275" s="2848">
        <f>C273-C274</f>
        <v>7.4999999999999997E-2</v>
      </c>
      <c r="D275" s="2809"/>
      <c r="E275" s="2809"/>
      <c r="F275" s="2982"/>
      <c r="G275" s="2848">
        <f>G273-G274</f>
        <v>0.15</v>
      </c>
      <c r="H275" s="2809"/>
      <c r="I275" s="2844"/>
      <c r="J275" s="2965"/>
      <c r="K275" s="2892"/>
      <c r="L275" s="2817"/>
      <c r="M275" s="2860"/>
    </row>
    <row r="276" spans="1:13" ht="15.75">
      <c r="A276" s="2947" t="s">
        <v>4236</v>
      </c>
      <c r="B276" s="2982"/>
      <c r="C276" s="2848"/>
      <c r="D276" s="2809"/>
      <c r="E276" s="2809"/>
      <c r="F276" s="2982"/>
      <c r="G276" s="2848"/>
      <c r="H276" s="2809"/>
      <c r="I276" s="2844"/>
      <c r="J276" s="2965"/>
      <c r="K276" s="2892"/>
      <c r="L276" s="2817"/>
      <c r="M276" s="2860"/>
    </row>
    <row r="277" spans="1:13" ht="15.75">
      <c r="A277" s="2855" t="s">
        <v>4234</v>
      </c>
      <c r="B277" s="2801" t="s">
        <v>3263</v>
      </c>
      <c r="C277" s="2797">
        <f>IF(ODD((C18)-C18)=0,D277,E277)</f>
        <v>-0.307</v>
      </c>
      <c r="D277" s="2809">
        <f>ROUND(C270/(SIN(C136)*COS(C94)),3)</f>
        <v>-0.307</v>
      </c>
      <c r="E277" s="2809">
        <f>ROUND(C270/(SIN(C136)*COS(C94))*COS(PI()/(2*C18)),3)</f>
        <v>-0.307</v>
      </c>
      <c r="F277" s="2982"/>
      <c r="G277" s="2797">
        <f>IF(ODD((G18)-G18)=0,H277,I277)</f>
        <v>-0.25900000000000001</v>
      </c>
      <c r="H277" s="2809">
        <f>ROUND(G270/(SIN(C136)*COS(C94)),3)</f>
        <v>-0.25900000000000001</v>
      </c>
      <c r="I277" s="2844">
        <f>ROUND(G270/(SIN(C136)*COS(C94))*COS(PI()/(2*C18)),3)</f>
        <v>-0.25900000000000001</v>
      </c>
      <c r="J277" s="2965"/>
      <c r="K277" s="2892"/>
      <c r="L277" s="2817"/>
      <c r="M277" s="2860"/>
    </row>
    <row r="278" spans="1:13" ht="15.75">
      <c r="A278" s="2857"/>
      <c r="B278" s="2801" t="s">
        <v>3265</v>
      </c>
      <c r="C278" s="2797">
        <f>IF(ODD((C18)-C18)=0,D278,E278)</f>
        <v>-0.45100000000000001</v>
      </c>
      <c r="D278" s="2809">
        <f>ROUND(C271/(SIN(C136)*COS(C94)),3)</f>
        <v>-0.45100000000000001</v>
      </c>
      <c r="E278" s="2809">
        <f>ROUND(C271/(SIN(C136)*COS(C94))*COS(PI()/(2*C18)),3)</f>
        <v>-0.45100000000000001</v>
      </c>
      <c r="F278" s="2982"/>
      <c r="G278" s="2797">
        <f>IF(ODD((G18)-G18)=0,H278,I278)</f>
        <v>-0.56899999999999995</v>
      </c>
      <c r="H278" s="2809">
        <f>ROUND(G271/(SIN(C136)*COS(C94)),3)</f>
        <v>-0.56899999999999995</v>
      </c>
      <c r="I278" s="2844">
        <f>ROUND(G271/(SIN(C136)*COS(C94))*COS(PI()/(2*C18)),3)</f>
        <v>-0.56899999999999995</v>
      </c>
      <c r="J278" s="2965"/>
      <c r="K278" s="2892"/>
      <c r="L278" s="2817"/>
      <c r="M278" s="2860"/>
    </row>
    <row r="279" spans="1:13" ht="15.75">
      <c r="A279" s="2857"/>
      <c r="B279" s="2801" t="s">
        <v>3267</v>
      </c>
      <c r="C279" s="2797">
        <f>C277-C278</f>
        <v>0.14399999999999999</v>
      </c>
      <c r="D279" s="2809"/>
      <c r="E279" s="2809"/>
      <c r="F279" s="2977"/>
      <c r="G279" s="2797">
        <f>G277-G278</f>
        <v>0.31</v>
      </c>
      <c r="H279" s="2809"/>
      <c r="I279" s="2844"/>
      <c r="J279" s="2965"/>
      <c r="K279" s="2892"/>
      <c r="L279" s="2817"/>
      <c r="M279" s="2860"/>
    </row>
    <row r="280" spans="1:13" ht="15.75">
      <c r="A280" s="2981" t="s">
        <v>4235</v>
      </c>
      <c r="B280" s="2982" t="s">
        <v>3263</v>
      </c>
      <c r="C280" s="2848">
        <f>IF(ODD((C18)-C18)=0,D280,E280)</f>
        <v>-0.23699999999999999</v>
      </c>
      <c r="D280" s="2809">
        <f>ROUND(C238*COS(C89)/(SIN(C136)*COS(C94)),3)</f>
        <v>-0.23699999999999999</v>
      </c>
      <c r="E280" s="2809">
        <f>ROUND(C238*COS(C89)/(SIN(C136)*COS(C94))*COS(PI()/(2*C18)),3)</f>
        <v>-0.23699999999999999</v>
      </c>
      <c r="F280" s="2977"/>
      <c r="G280" s="2848" t="e">
        <f>IF(ODD((G18)-G18)=0,H280,I280)</f>
        <v>#DIV/0!</v>
      </c>
      <c r="H280" s="2809">
        <f>ROUND(G238*COS(C89)/(SIN(G136)*COS(C94)),3)</f>
        <v>-0.27500000000000002</v>
      </c>
      <c r="I280" s="2844" t="e">
        <f>ROUND(G238*COS(C89)/(SIN(G136)*COS(C94))*COS(PI()/(2*G18)),3)</f>
        <v>#DIV/0!</v>
      </c>
      <c r="J280" s="2965"/>
      <c r="K280" s="2892"/>
      <c r="L280" s="2817"/>
      <c r="M280" s="2860"/>
    </row>
    <row r="281" spans="1:13" ht="15.75">
      <c r="A281" s="2857"/>
      <c r="B281" s="2982" t="s">
        <v>3265</v>
      </c>
      <c r="C281" s="2848">
        <f>IF(ODD((C18)-C18)=0,D281,E281)</f>
        <v>-0.39500000000000002</v>
      </c>
      <c r="D281" s="2809">
        <f>ROUND(C239*COS(C89)/(SIN(C136)*COS(C94)),3)</f>
        <v>-0.39500000000000002</v>
      </c>
      <c r="E281" s="2809">
        <f>ROUND(C239*COS(C89)/(SIN(C136)*COS(C94))*COS(PI()/(2*C18)),3)</f>
        <v>-0.39500000000000002</v>
      </c>
      <c r="F281" s="2977"/>
      <c r="G281" s="2848" t="e">
        <f>IF(ODD((G18)-G18)=0,H281,I281)</f>
        <v>#DIV/0!</v>
      </c>
      <c r="H281" s="2809">
        <f>ROUND(G239*COS(C89)/(SIN(G136)*COS(C94)),3)</f>
        <v>-0.68600000000000005</v>
      </c>
      <c r="I281" s="2844" t="e">
        <f>ROUND(G239*COS(C89)/(SIN(G136)*COS(C94))*COS(PI()/(2*G18)),3)</f>
        <v>#DIV/0!</v>
      </c>
      <c r="J281" s="2965"/>
      <c r="K281" s="2892"/>
      <c r="L281" s="2817"/>
      <c r="M281" s="2860"/>
    </row>
    <row r="282" spans="1:13" ht="15.75">
      <c r="A282" s="2857"/>
      <c r="B282" s="2982" t="s">
        <v>3267</v>
      </c>
      <c r="C282" s="2848">
        <f>C280-C281</f>
        <v>0.158</v>
      </c>
      <c r="D282" s="2809"/>
      <c r="E282" s="2809"/>
      <c r="F282" s="2977"/>
      <c r="G282" s="2848" t="e">
        <f>G280-G281</f>
        <v>#DIV/0!</v>
      </c>
      <c r="H282" s="2900"/>
      <c r="I282" s="2855"/>
      <c r="J282" s="2965"/>
      <c r="K282" s="2892"/>
      <c r="L282" s="2817"/>
      <c r="M282" s="2860"/>
    </row>
    <row r="283" spans="1:13" ht="15.75">
      <c r="A283" s="2838" t="s">
        <v>3268</v>
      </c>
      <c r="B283" s="2801" t="s">
        <v>3269</v>
      </c>
      <c r="C283" s="2797">
        <f>C220</f>
        <v>9</v>
      </c>
      <c r="D283" s="2809"/>
      <c r="E283" s="2809"/>
      <c r="F283" s="2801"/>
      <c r="G283" s="2821"/>
      <c r="H283" s="2900"/>
      <c r="I283" s="2855"/>
      <c r="J283" s="2965"/>
      <c r="K283" s="2892"/>
      <c r="L283" s="2817"/>
      <c r="M283" s="2860"/>
    </row>
    <row r="284" spans="1:13" ht="15.75">
      <c r="A284" s="2810" t="s">
        <v>3270</v>
      </c>
      <c r="B284" s="2801" t="s">
        <v>3271</v>
      </c>
      <c r="C284" s="2797">
        <f>C220/2</f>
        <v>4.5</v>
      </c>
      <c r="D284" s="2809"/>
      <c r="E284" s="2809"/>
      <c r="F284" s="2801"/>
      <c r="G284" s="2821"/>
      <c r="H284" s="2900"/>
      <c r="I284" s="2855"/>
      <c r="J284" s="2965"/>
      <c r="K284" s="2892"/>
      <c r="L284" s="2817"/>
      <c r="M284" s="2860"/>
    </row>
    <row r="285" spans="1:13" ht="15.75">
      <c r="A285" s="2803" t="s">
        <v>3272</v>
      </c>
      <c r="B285" s="2855" t="s">
        <v>4724</v>
      </c>
      <c r="C285" s="2797">
        <f>IF(AND(C97&gt;18,C97&lt;=30,C54&lt;=4),6.5,IF(AND(C97&gt;18,C97&lt;=30,C54&lt;=6),10.5,IF(AND(C97&gt;18,C97&lt;=30,C54&lt;=8),16.5,IF(AND(C97&gt;30,C97&lt;=50,C54&lt;=4),8,IF(AND(C97&gt;30,C97&lt;=50,C54&lt;=6),12.5,IF(AND(C97&gt;30,C97&lt;=50,C54&lt;=8),19.5,D285))))))</f>
        <v>17.5</v>
      </c>
      <c r="D285" s="2809">
        <f>IF(AND(C97&gt;50,C97&lt;=80,C54&lt;=4),9.5,IF(AND(C97&gt;50,C97&lt;=80,C54&lt;=6),15,IF(AND(C97&gt;50,C97&lt;=80,C54&lt;=8),23,IF(AND(C97&gt;80,C97&lt;=120,C54&lt;=4),11,IF(AND(C97&gt;80,C97&lt;=120,C54&lt;=6),17.5,IF(AND(C97&gt;80,C97&lt;=120,C54&lt;=8),27,E285))))))</f>
        <v>17.5</v>
      </c>
      <c r="E285" s="2809" t="str">
        <f>IF(AND(C97&gt;120,C97&lt;=180,C54&lt;=4),12.5,IF(AND(C97&gt;120,C97&lt;=180,C54&lt;=6),20,IF(AND(C97&gt;120,C97&lt;=180,C54&lt;=8),31.5,IF(AND(C97&gt;180,C97&lt;=250,C54&lt;=4),14.5,IF(AND(C97&gt;180,C97&lt;=250,C54&lt;=6),23,IF(AND(C97&gt;180,C97&lt;=250,C54&lt;=8),36,F285))))))</f>
        <v>*</v>
      </c>
      <c r="F285" s="2977" t="str">
        <f>IF(AND(C97&gt;250,C97&lt;=315,C54&lt;=4),16,IF(AND(C97&gt;250,C97&lt;=315,C54&lt;=6),26,IF(AND(C97&gt;250,C97&lt;=315,C54&lt;=8),40.5,IF(AND(C97&gt;315,C97&lt;=400,C54&lt;=4),18,IF(AND(C97&gt;315,C97&lt;=400,C54&lt;=6),28.5,IF(AND(C97&gt;315,C97&lt;=400,C54&lt;=8),44.5,G285))))))</f>
        <v>*</v>
      </c>
      <c r="G285" s="2809" t="str">
        <f>IF(AND(C97&gt;400,C97&lt;=500,C54&lt;=4),20,IF(AND(C97&gt;400,C97&lt;=500,C54&lt;=6),31.5,IF(AND(C97&gt;400,C97&lt;=500,C54&lt;=8),48.5,IF(AND(C97&gt;500,C97&lt;=630,C54&lt;=4),22,IF(AND(C97&gt;500,C97&lt;=630,C54&lt;=6),35,IF(AND(C97&gt;500,C97&lt;=630,C54&lt;=8),55,H285))))))</f>
        <v>*</v>
      </c>
      <c r="H285" s="2809" t="str">
        <f>IF(AND(C97&gt;630,C97&lt;=800,C54&lt;=4),25,IF(AND(C97&gt;630,C97&lt;=800,C54&lt;=6),40,IF(AND(C97&gt;630,C97&lt;=800,C54&lt;=8),62,IF(AND(C97&gt;800,C97&lt;=1000,C54&lt;=4),28,IF(AND(C97&gt;800,C97&lt;=1000,C54&lt;=6),45,IF(AND(C97&gt;800,C97&lt;=1000,C54&lt;=8),70,"*"))))))</f>
        <v>*</v>
      </c>
      <c r="I285" s="2855"/>
      <c r="J285" s="2965"/>
      <c r="K285" s="2892"/>
      <c r="L285" s="2817"/>
      <c r="M285" s="2860"/>
    </row>
    <row r="286" spans="1:13" ht="15.75">
      <c r="A286" s="2983" t="s">
        <v>3274</v>
      </c>
      <c r="B286" s="2801"/>
      <c r="C286" s="2797">
        <f>IF(AND(C53&lt;=C54,C53&lt;=C55),C53,IF(C54&lt;=C55,C54,C55))</f>
        <v>6</v>
      </c>
      <c r="D286" s="2809"/>
      <c r="E286" s="2809"/>
      <c r="F286" s="2977"/>
      <c r="G286" s="2809">
        <f>C286</f>
        <v>6</v>
      </c>
      <c r="H286" s="2809"/>
      <c r="I286" s="2855"/>
      <c r="J286" s="2965"/>
      <c r="K286" s="2892"/>
      <c r="L286" s="2817"/>
      <c r="M286" s="2860"/>
    </row>
    <row r="287" spans="1:13" ht="15.75">
      <c r="A287" s="2953" t="s">
        <v>3275</v>
      </c>
      <c r="B287" s="2801"/>
      <c r="C287" s="2797"/>
      <c r="D287" s="2809"/>
      <c r="E287" s="2809"/>
      <c r="F287" s="2801"/>
      <c r="G287" s="2821"/>
      <c r="H287" s="2900"/>
      <c r="I287" s="2855"/>
      <c r="J287" s="2965"/>
      <c r="K287" s="2892"/>
      <c r="L287" s="2817"/>
      <c r="M287" s="2860"/>
    </row>
    <row r="288" spans="1:13" ht="15.75">
      <c r="A288" s="2797" t="s">
        <v>3276</v>
      </c>
      <c r="B288" s="2984"/>
      <c r="C288" s="2797" t="str">
        <f>IF(C286=3,"IT4",IF(C286=4,"IT4",IF(C286=5,"IT5",IF(C286=6,"IT6",IF(C286=7,"IT7",IF(C286=8,"IT7",))))))</f>
        <v>IT6</v>
      </c>
      <c r="D288" s="2809"/>
      <c r="E288" s="2809"/>
      <c r="F288" s="2801"/>
      <c r="G288" s="2821"/>
      <c r="H288" s="2900"/>
      <c r="I288" s="2855"/>
      <c r="J288" s="2965"/>
      <c r="K288" s="2892"/>
      <c r="L288" s="2817"/>
      <c r="M288" s="2860"/>
    </row>
    <row r="289" spans="1:13" ht="15.75">
      <c r="A289" s="2797" t="s">
        <v>3277</v>
      </c>
      <c r="B289" s="2985"/>
      <c r="C289" s="2797" t="str">
        <f>IF(C286=3,"IT4",IF(C286=4,"IT4",IF(C286=5,"IT5",IF(C286=6,"IT5",IF(C286=7,"IT6",IF(C286=8,"IT7"))))))</f>
        <v>IT5</v>
      </c>
      <c r="D289" s="2809"/>
      <c r="E289" s="2809"/>
      <c r="F289" s="2801"/>
      <c r="G289" s="2821"/>
      <c r="H289" s="2900"/>
      <c r="I289" s="2855"/>
      <c r="J289" s="2965"/>
      <c r="K289" s="2892"/>
      <c r="L289" s="2817"/>
      <c r="M289" s="2860"/>
    </row>
    <row r="290" spans="1:13" ht="15.75">
      <c r="A290" s="2797" t="s">
        <v>3278</v>
      </c>
      <c r="B290" s="2985"/>
      <c r="C290" s="2797" t="str">
        <f>IF(C286&lt;=5,"IT7",IF(C286&gt;5,"IT8"))</f>
        <v>IT8</v>
      </c>
      <c r="D290" s="2809"/>
      <c r="E290" s="2985" t="s">
        <v>4725</v>
      </c>
      <c r="F290" s="2801">
        <f>0.1*C20</f>
        <v>0.3</v>
      </c>
      <c r="G290" s="2821"/>
      <c r="H290" s="2900"/>
      <c r="I290" s="2855"/>
      <c r="J290" s="2965"/>
      <c r="K290" s="2892"/>
      <c r="L290" s="2817"/>
      <c r="M290" s="2860"/>
    </row>
    <row r="291" spans="1:13" ht="15.75">
      <c r="A291" s="2810" t="s">
        <v>3280</v>
      </c>
      <c r="B291" s="2801"/>
      <c r="C291" s="2797">
        <f>IF(AND(C99&lt;=125,OR(C286=3,C286=4)),7,IF(AND(C99&lt;=125,OR(C286=5,C286=6)),11,IF(AND(C99&lt;=125,OR(C286=7,C286=8)),18,IF(AND(C99&gt;125,C99&lt;=400,OR(C286=3,C286=4)),9,IF(AND(C99&gt;125,C99&lt;=400,OR(C286=5,C286=6)),14,IF(AND(C99&gt;125,C99&lt;=400,OR(C286=7,C286=8)),22,D291))))))</f>
        <v>11</v>
      </c>
      <c r="D291" s="2809" t="str">
        <f>IF(AND(C99&gt;400,C99&lt;=800,OR(C286=3,C286=4)),12,IF(AND(C99&gt;400,C99&lt;=800,OR(C286=5,C286=6)),20,IF(AND(C99&gt;400,C99&lt;=800,OR(C286=7,C286=8)),32,IF(AND(C99&gt;800,C99&lt;=1600,OR(C286=3,C286=4)),18,IF(AND(C99&gt;800,C99&lt;=1600,OR(C286=5,C286=6)),28,IF(AND(C99&gt;800,C99&lt;=1600,OR(C286=7,C286=8)),45,"*"))))))</f>
        <v>*</v>
      </c>
      <c r="E291" s="2809"/>
      <c r="F291" s="2801"/>
      <c r="G291" s="2797">
        <f>IF(AND(G99&lt;=125,OR(G286=3,G286=4)),7,IF(AND(G99&lt;=125,OR(G286=5,G286=6)),11,IF(AND(G99&lt;=125,OR(G286=7,G286=8)),18,IF(AND(G99&gt;125,G99&lt;=400,OR(G286=3,G286=4)),9,IF(AND(G99&gt;125,G99&lt;=400,OR(G286=5,G286=6)),14,IF(AND(G99&gt;125,G99&lt;=400,OR(G286=7,G286=8)),22,H291))))))</f>
        <v>11</v>
      </c>
      <c r="H291" s="2809" t="str">
        <f>IF(AND(G99&gt;400,G99&lt;=800,OR(G286=3,G286=4)),12,IF(AND(G99&gt;400,G99&lt;=800,OR(G286=5,G286=6)),20,IF(AND(G99&gt;400,G99&lt;=800,OR(G286=7,G286=8)),32,IF(AND(G99&gt;800,G99&lt;=1600,OR(G286=3,G286=4)),18,IF(AND(G99&gt;800,G99&lt;=1600,OR(G286=5,G286=6)),28,IF(AND(G99&gt;800,G99&lt;=1600,OR(G286=7,G286=8)),45,"*"))))))</f>
        <v>*</v>
      </c>
      <c r="I291" s="2855"/>
      <c r="J291" s="2965"/>
      <c r="K291" s="2892"/>
      <c r="L291" s="2817"/>
      <c r="M291" s="2860"/>
    </row>
    <row r="292" spans="1:13" ht="15.75">
      <c r="A292" s="2857"/>
      <c r="B292" s="2953"/>
      <c r="C292" s="2797"/>
      <c r="D292" s="2953"/>
      <c r="E292" s="2797"/>
      <c r="F292" s="2986"/>
      <c r="G292" s="2797"/>
      <c r="H292" s="2900"/>
      <c r="I292" s="2855"/>
      <c r="J292" s="2965"/>
      <c r="K292" s="2892"/>
      <c r="L292" s="2817"/>
      <c r="M292" s="2860"/>
    </row>
    <row r="293" spans="1:13" ht="15">
      <c r="A293" s="2987"/>
      <c r="B293" s="2988"/>
      <c r="C293" s="2928"/>
      <c r="D293" s="2989"/>
      <c r="E293" s="2928"/>
      <c r="F293" s="2990"/>
      <c r="G293" s="2928"/>
      <c r="H293" s="2990"/>
      <c r="I293" s="2797"/>
      <c r="J293" s="2809"/>
      <c r="K293" s="2892"/>
      <c r="L293" s="2817"/>
      <c r="M293" s="2860"/>
    </row>
    <row r="294" spans="1:13" ht="15.75">
      <c r="A294" s="2991" t="s">
        <v>4726</v>
      </c>
      <c r="B294" s="2992"/>
      <c r="C294" s="2959"/>
      <c r="D294" s="2835"/>
      <c r="E294" s="2835"/>
      <c r="F294" s="2835"/>
      <c r="G294" s="2959"/>
      <c r="H294" s="2993"/>
      <c r="I294" s="2797"/>
      <c r="J294" s="2809"/>
      <c r="K294" s="2892"/>
      <c r="L294" s="2817"/>
      <c r="M294" s="2860"/>
    </row>
    <row r="295" spans="1:13" ht="15.75">
      <c r="A295" s="2815"/>
      <c r="B295" s="2801"/>
      <c r="C295" s="2797"/>
      <c r="D295" s="2809"/>
      <c r="E295" s="2809"/>
      <c r="F295" s="2809"/>
      <c r="G295" s="2797"/>
      <c r="H295" s="2810"/>
      <c r="I295" s="2797"/>
      <c r="J295" s="2900"/>
      <c r="K295" s="2892"/>
      <c r="L295" s="2817"/>
      <c r="M295" s="2860"/>
    </row>
    <row r="296" spans="1:13" ht="21">
      <c r="A296" s="2994" t="s">
        <v>4727</v>
      </c>
      <c r="B296" s="2806"/>
      <c r="C296" s="2995"/>
      <c r="D296" s="2817"/>
      <c r="E296" s="2817"/>
      <c r="F296" s="2817"/>
      <c r="G296" s="2770" t="str">
        <f>H1</f>
        <v>编号：</v>
      </c>
      <c r="H296" s="2996">
        <f>IF(I1=0,"",I1)</f>
        <v>12</v>
      </c>
      <c r="I296" s="2900"/>
      <c r="J296" s="2900"/>
      <c r="K296" s="2892"/>
      <c r="L296" s="2817"/>
      <c r="M296" s="2860"/>
    </row>
    <row r="297" spans="1:13" ht="15.75">
      <c r="A297" s="2997" t="s">
        <v>2804</v>
      </c>
      <c r="B297" s="2781"/>
      <c r="C297" s="2998" t="str">
        <f t="shared" ref="C297:C299" si="12">IF(C9=0,"",C9)</f>
        <v/>
      </c>
      <c r="D297" s="2781"/>
      <c r="E297" s="2997" t="s">
        <v>4634</v>
      </c>
      <c r="F297" s="2784"/>
      <c r="G297" s="2998">
        <f t="shared" ref="G297:G299" si="13">IF(G9=0,"",G9)</f>
        <v>10026</v>
      </c>
      <c r="H297" s="2783"/>
      <c r="I297" s="2900"/>
      <c r="J297" s="2900"/>
      <c r="K297" s="2892"/>
      <c r="L297" s="2817"/>
      <c r="M297" s="2860"/>
    </row>
    <row r="298" spans="1:13">
      <c r="A298" s="2997" t="s">
        <v>2806</v>
      </c>
      <c r="B298" s="2789"/>
      <c r="C298" s="2903">
        <f t="shared" si="12"/>
        <v>30201</v>
      </c>
      <c r="D298" s="2781"/>
      <c r="E298" s="2999"/>
      <c r="F298" s="2789"/>
      <c r="G298" s="2903">
        <f t="shared" si="13"/>
        <v>30202</v>
      </c>
      <c r="H298" s="2783"/>
      <c r="I298" s="2900"/>
      <c r="J298" s="2900"/>
      <c r="K298" s="2892"/>
      <c r="L298" s="2817"/>
      <c r="M298" s="2860"/>
    </row>
    <row r="299" spans="1:13" ht="15.75">
      <c r="A299" s="2997" t="s">
        <v>3282</v>
      </c>
      <c r="B299" s="2797"/>
      <c r="C299" s="2801" t="str">
        <f t="shared" si="12"/>
        <v/>
      </c>
      <c r="D299" s="3000"/>
      <c r="E299" s="2997" t="s">
        <v>2810</v>
      </c>
      <c r="F299" s="2800"/>
      <c r="G299" s="2801" t="str">
        <f t="shared" si="13"/>
        <v/>
      </c>
      <c r="H299" s="2783"/>
      <c r="I299" s="2900"/>
      <c r="J299" s="2900"/>
      <c r="K299" s="2892"/>
      <c r="L299" s="2817"/>
      <c r="M299" s="2860"/>
    </row>
    <row r="300" spans="1:13" ht="15.75">
      <c r="A300" s="3001" t="s">
        <v>3283</v>
      </c>
      <c r="B300" s="2797"/>
      <c r="C300" s="2901"/>
      <c r="D300" s="3002"/>
      <c r="E300" s="3003"/>
      <c r="F300" s="2794"/>
      <c r="G300" s="2901"/>
      <c r="H300" s="2783"/>
      <c r="I300" s="2900"/>
      <c r="J300" s="2900"/>
      <c r="K300" s="2892"/>
      <c r="L300" s="2817"/>
      <c r="M300" s="2860"/>
    </row>
    <row r="301" spans="1:13" ht="15.75">
      <c r="A301" s="3004" t="s">
        <v>3284</v>
      </c>
      <c r="B301" s="3005"/>
      <c r="C301" s="3004" t="s">
        <v>4670</v>
      </c>
      <c r="D301" s="3006"/>
      <c r="E301" s="3007"/>
      <c r="F301" s="3008"/>
      <c r="G301" s="3004" t="s">
        <v>4671</v>
      </c>
      <c r="H301" s="3009"/>
      <c r="I301" s="2900"/>
      <c r="J301" s="2900"/>
      <c r="K301" s="2892"/>
      <c r="L301" s="2817"/>
      <c r="M301" s="2860"/>
    </row>
    <row r="302" spans="1:13">
      <c r="A302" s="3010" t="s">
        <v>3285</v>
      </c>
      <c r="B302" s="2807"/>
      <c r="C302" s="3011"/>
      <c r="D302" s="2807"/>
      <c r="E302" s="2900"/>
      <c r="F302" s="2807"/>
      <c r="G302" s="3011"/>
      <c r="H302" s="2807"/>
      <c r="I302" s="2900"/>
      <c r="J302" s="2900"/>
      <c r="K302" s="2892"/>
      <c r="L302" s="2817"/>
      <c r="M302" s="2860"/>
    </row>
    <row r="303" spans="1:13" ht="15.75">
      <c r="A303" s="2797" t="s">
        <v>4728</v>
      </c>
      <c r="B303" s="2807"/>
      <c r="C303" s="3011"/>
      <c r="D303" s="2807"/>
      <c r="E303" s="2900">
        <f>C17</f>
        <v>90</v>
      </c>
      <c r="F303" s="2810" t="s">
        <v>257</v>
      </c>
      <c r="G303" s="3011"/>
      <c r="H303" s="2807"/>
      <c r="I303" s="2900"/>
      <c r="J303" s="2900"/>
      <c r="K303" s="2892"/>
      <c r="L303" s="2817"/>
      <c r="M303" s="2860"/>
    </row>
    <row r="304" spans="1:13" ht="15.75">
      <c r="A304" s="2818" t="s">
        <v>3287</v>
      </c>
      <c r="B304" s="2801" t="s">
        <v>1139</v>
      </c>
      <c r="C304" s="2797">
        <f>C37</f>
        <v>12</v>
      </c>
      <c r="D304" s="2801"/>
      <c r="E304" s="2900"/>
      <c r="F304" s="2801"/>
      <c r="G304" s="2797">
        <f>G37</f>
        <v>36</v>
      </c>
      <c r="H304" s="2900"/>
      <c r="I304" s="2900"/>
      <c r="J304" s="2900"/>
      <c r="K304" s="2892"/>
      <c r="L304" s="2817"/>
      <c r="M304" s="2860"/>
    </row>
    <row r="305" spans="1:13" ht="15.75">
      <c r="A305" s="2818" t="s">
        <v>3288</v>
      </c>
      <c r="B305" s="2801" t="s">
        <v>2819</v>
      </c>
      <c r="C305" s="2900"/>
      <c r="D305" s="2810"/>
      <c r="E305" s="2797">
        <f>C20</f>
        <v>3</v>
      </c>
      <c r="F305" s="2810" t="s">
        <v>2820</v>
      </c>
      <c r="G305" s="2797"/>
      <c r="H305" s="2900"/>
      <c r="I305" s="2900"/>
      <c r="J305" s="2900"/>
      <c r="K305" s="2892"/>
      <c r="L305" s="2817"/>
      <c r="M305" s="2860"/>
    </row>
    <row r="306" spans="1:13" ht="15.75">
      <c r="A306" s="2818" t="s">
        <v>3289</v>
      </c>
      <c r="B306" s="2900" t="s">
        <v>4640</v>
      </c>
      <c r="C306" s="2900"/>
      <c r="D306" s="2810"/>
      <c r="E306" s="2797">
        <f>C88</f>
        <v>20</v>
      </c>
      <c r="F306" s="2810" t="s">
        <v>257</v>
      </c>
      <c r="G306" s="2797"/>
      <c r="H306" s="2810" t="s">
        <v>2938</v>
      </c>
      <c r="I306" s="2900"/>
      <c r="J306" s="2854"/>
      <c r="K306" s="2892"/>
      <c r="L306" s="2817"/>
      <c r="M306" s="2860"/>
    </row>
    <row r="307" spans="1:13">
      <c r="A307" s="2818" t="s">
        <v>2823</v>
      </c>
      <c r="B307" s="2900" t="str">
        <f>B22</f>
        <v>β10</v>
      </c>
      <c r="C307" s="2900">
        <f>C92</f>
        <v>62.681759999999997</v>
      </c>
      <c r="D307" s="2810" t="s">
        <v>257</v>
      </c>
      <c r="E307" s="2797"/>
      <c r="F307" s="3012"/>
      <c r="G307" s="2900">
        <f>G92</f>
        <v>27.318239999999999</v>
      </c>
      <c r="H307" s="2810" t="s">
        <v>257</v>
      </c>
      <c r="I307" s="2900"/>
      <c r="J307" s="2854"/>
      <c r="K307" s="2892"/>
      <c r="L307" s="2817"/>
      <c r="M307" s="2860"/>
    </row>
    <row r="308" spans="1:13" ht="15.75">
      <c r="A308" s="2818" t="s">
        <v>3290</v>
      </c>
      <c r="B308" s="2801" t="s">
        <v>4729</v>
      </c>
      <c r="C308" s="2900">
        <f>C28</f>
        <v>5.41</v>
      </c>
      <c r="D308" s="2810"/>
      <c r="E308" s="2797"/>
      <c r="F308" s="2810" t="s">
        <v>2820</v>
      </c>
      <c r="G308" s="2900">
        <f>G28</f>
        <v>2.8</v>
      </c>
      <c r="H308" s="2900"/>
      <c r="I308" s="2900"/>
      <c r="J308" s="2854"/>
      <c r="K308" s="2892"/>
      <c r="L308" s="2817"/>
      <c r="M308" s="2860"/>
    </row>
    <row r="309" spans="1:13" ht="15.75">
      <c r="A309" s="2818" t="s">
        <v>4730</v>
      </c>
      <c r="B309" s="2801" t="s">
        <v>2534</v>
      </c>
      <c r="C309" s="2900">
        <f>C30</f>
        <v>20</v>
      </c>
      <c r="D309" s="2810"/>
      <c r="E309" s="2797"/>
      <c r="F309" s="2810"/>
      <c r="G309" s="2900">
        <f>G30</f>
        <v>20</v>
      </c>
      <c r="H309" s="2900"/>
      <c r="I309" s="2900"/>
      <c r="J309" s="2854"/>
      <c r="K309" s="2892"/>
      <c r="L309" s="2817"/>
      <c r="M309" s="2860"/>
    </row>
    <row r="310" spans="1:13" ht="15.75">
      <c r="A310" s="2813" t="s">
        <v>3291</v>
      </c>
      <c r="B310" s="2806" t="s">
        <v>2831</v>
      </c>
      <c r="C310" s="2900"/>
      <c r="D310" s="2810"/>
      <c r="E310" s="2797">
        <f>C32</f>
        <v>1</v>
      </c>
      <c r="F310" s="2810"/>
      <c r="G310" s="2797"/>
      <c r="H310" s="2900"/>
      <c r="I310" s="2900"/>
      <c r="J310" s="2854"/>
      <c r="K310" s="2892"/>
      <c r="L310" s="2817"/>
      <c r="M310" s="2860"/>
    </row>
    <row r="311" spans="1:13" ht="15.75">
      <c r="A311" s="2813" t="s">
        <v>3292</v>
      </c>
      <c r="B311" s="2806" t="s">
        <v>2834</v>
      </c>
      <c r="C311" s="2900"/>
      <c r="D311" s="2810"/>
      <c r="E311" s="2797">
        <f>C33</f>
        <v>0</v>
      </c>
      <c r="F311" s="2810"/>
      <c r="G311" s="2797"/>
      <c r="H311" s="2900"/>
      <c r="I311" s="2900"/>
      <c r="J311" s="2854"/>
      <c r="K311" s="2892"/>
      <c r="L311" s="2817"/>
      <c r="M311" s="2860"/>
    </row>
    <row r="312" spans="1:13" ht="15.75">
      <c r="A312" s="2813" t="s">
        <v>2835</v>
      </c>
      <c r="B312" s="2806" t="s">
        <v>2836</v>
      </c>
      <c r="C312" s="2900"/>
      <c r="D312" s="2810"/>
      <c r="E312" s="2797">
        <f>C35</f>
        <v>0.25</v>
      </c>
      <c r="F312" s="2810"/>
      <c r="G312" s="2797"/>
      <c r="H312" s="2900"/>
      <c r="I312" s="2900"/>
      <c r="J312" s="2854"/>
      <c r="K312" s="2892"/>
      <c r="L312" s="2817"/>
      <c r="M312" s="2860"/>
    </row>
    <row r="313" spans="1:13" ht="15.75">
      <c r="A313" s="2818" t="s">
        <v>3293</v>
      </c>
      <c r="B313" s="2801" t="s">
        <v>3294</v>
      </c>
      <c r="C313" s="2900"/>
      <c r="D313" s="2810"/>
      <c r="E313" s="2900">
        <f>2*C32+C35</f>
        <v>2.25</v>
      </c>
      <c r="F313" s="2801"/>
      <c r="G313" s="2797"/>
      <c r="H313" s="2900"/>
      <c r="I313" s="2900"/>
      <c r="J313" s="2854"/>
      <c r="K313" s="2818"/>
      <c r="L313" s="2817"/>
      <c r="M313" s="2860"/>
    </row>
    <row r="314" spans="1:13" ht="15.75">
      <c r="A314" s="2818" t="s">
        <v>3295</v>
      </c>
      <c r="B314" s="2797" t="s">
        <v>4684</v>
      </c>
      <c r="C314" s="2900"/>
      <c r="D314" s="2810"/>
      <c r="E314" s="2900" t="str">
        <f>C51</f>
        <v/>
      </c>
      <c r="F314" s="2810" t="s">
        <v>2820</v>
      </c>
      <c r="G314" s="2797"/>
      <c r="H314" s="2900"/>
      <c r="I314" s="2900"/>
      <c r="J314" s="2854"/>
      <c r="K314" s="2892"/>
      <c r="L314" s="2817"/>
      <c r="M314" s="2860"/>
    </row>
    <row r="315" spans="1:13" ht="15.75">
      <c r="A315" s="2818" t="s">
        <v>3296</v>
      </c>
      <c r="B315" s="2801" t="s">
        <v>1874</v>
      </c>
      <c r="C315" s="2900"/>
      <c r="D315" s="2810"/>
      <c r="E315" s="2900" t="str">
        <f>C52</f>
        <v/>
      </c>
      <c r="F315" s="2810" t="s">
        <v>2820</v>
      </c>
      <c r="G315" s="2797"/>
      <c r="H315" s="2900"/>
      <c r="I315" s="2900"/>
      <c r="J315" s="2854"/>
      <c r="K315" s="2892"/>
      <c r="L315" s="2817"/>
      <c r="M315" s="2860"/>
    </row>
    <row r="316" spans="1:13" ht="15.75">
      <c r="A316" s="2818" t="s">
        <v>3297</v>
      </c>
      <c r="B316" s="2801" t="s">
        <v>407</v>
      </c>
      <c r="C316" s="2900">
        <f>ROUND(C110,4)</f>
        <v>0</v>
      </c>
      <c r="D316" s="2810"/>
      <c r="E316" s="2900"/>
      <c r="F316" s="2801"/>
      <c r="G316" s="2900">
        <f>ROUND(G110,4)</f>
        <v>0</v>
      </c>
      <c r="H316" s="2900"/>
      <c r="I316" s="2900"/>
      <c r="J316" s="2854"/>
      <c r="K316" s="2892"/>
      <c r="L316" s="2817"/>
      <c r="M316" s="2860"/>
    </row>
    <row r="317" spans="1:13" ht="15.75">
      <c r="A317" s="2818" t="s">
        <v>3298</v>
      </c>
      <c r="B317" s="2801" t="s">
        <v>3299</v>
      </c>
      <c r="C317" s="2900">
        <f>ROUND(C111,4)</f>
        <v>0</v>
      </c>
      <c r="D317" s="2810"/>
      <c r="E317" s="2900"/>
      <c r="F317" s="2801"/>
      <c r="G317" s="2900">
        <f>ROUND(G111,4)</f>
        <v>0</v>
      </c>
      <c r="H317" s="2900"/>
      <c r="I317" s="2900"/>
      <c r="J317" s="2854"/>
      <c r="K317" s="2894"/>
      <c r="L317" s="2817"/>
      <c r="M317" s="2860"/>
    </row>
    <row r="318" spans="1:13" ht="15.75">
      <c r="A318" s="2818" t="s">
        <v>3300</v>
      </c>
      <c r="B318" s="2801" t="s">
        <v>411</v>
      </c>
      <c r="C318" s="2900">
        <f>ROUND(C99,3)</f>
        <v>78.442999999999998</v>
      </c>
      <c r="D318" s="2810" t="s">
        <v>2820</v>
      </c>
      <c r="E318" s="2900"/>
      <c r="F318" s="2801"/>
      <c r="G318" s="2900">
        <f>ROUND(G99,3)</f>
        <v>121.557</v>
      </c>
      <c r="H318" s="2810" t="s">
        <v>2820</v>
      </c>
      <c r="I318" s="3013"/>
      <c r="J318" s="2854"/>
      <c r="K318" s="2894"/>
      <c r="L318" s="2817"/>
      <c r="M318" s="2860"/>
    </row>
    <row r="319" spans="1:13" ht="15.75">
      <c r="A319" s="2818" t="s">
        <v>3301</v>
      </c>
      <c r="B319" s="2801" t="s">
        <v>3302</v>
      </c>
      <c r="C319" s="2900">
        <f>ROUND(C101,3)</f>
        <v>61.460999999999999</v>
      </c>
      <c r="D319" s="2810" t="s">
        <v>2820</v>
      </c>
      <c r="E319" s="2900"/>
      <c r="F319" s="2801"/>
      <c r="G319" s="2900">
        <f>ROUND(G101,3)</f>
        <v>95.241</v>
      </c>
      <c r="H319" s="2810" t="s">
        <v>2820</v>
      </c>
      <c r="I319" s="3013"/>
      <c r="J319" s="2854"/>
      <c r="K319" s="2894"/>
      <c r="L319" s="2817"/>
      <c r="M319" s="2860"/>
    </row>
    <row r="320" spans="1:13" ht="15.75">
      <c r="A320" s="2818" t="s">
        <v>3303</v>
      </c>
      <c r="B320" s="2801" t="s">
        <v>3304</v>
      </c>
      <c r="C320" s="2900">
        <f>ROUND(C115,3)</f>
        <v>84.442999999999998</v>
      </c>
      <c r="D320" s="2810" t="s">
        <v>2820</v>
      </c>
      <c r="E320" s="2900"/>
      <c r="F320" s="2801"/>
      <c r="G320" s="2900">
        <f>ROUND(G115,3)</f>
        <v>127.557</v>
      </c>
      <c r="H320" s="2810" t="s">
        <v>2820</v>
      </c>
      <c r="I320" s="3013"/>
      <c r="J320" s="2854"/>
      <c r="K320" s="2894"/>
      <c r="L320" s="2817"/>
      <c r="M320" s="2860"/>
    </row>
    <row r="321" spans="1:13" ht="15.75">
      <c r="A321" s="2818" t="s">
        <v>3305</v>
      </c>
      <c r="B321" s="2801" t="s">
        <v>3306</v>
      </c>
      <c r="C321" s="2900">
        <f>ROUND(C117,3)</f>
        <v>70.942999999999998</v>
      </c>
      <c r="D321" s="2810" t="s">
        <v>2820</v>
      </c>
      <c r="E321" s="2900"/>
      <c r="F321" s="2801"/>
      <c r="G321" s="2900">
        <f>ROUND(G117,3)</f>
        <v>114.057</v>
      </c>
      <c r="H321" s="2810" t="s">
        <v>2820</v>
      </c>
      <c r="I321" s="3013"/>
      <c r="J321" s="2854"/>
      <c r="K321" s="2894"/>
      <c r="L321" s="2817"/>
      <c r="M321" s="2860"/>
    </row>
    <row r="322" spans="1:13" ht="15.75">
      <c r="A322" s="2818" t="s">
        <v>3307</v>
      </c>
      <c r="B322" s="2801" t="s">
        <v>3308</v>
      </c>
      <c r="C322" s="2900">
        <f>ROUND(C112,3)</f>
        <v>3</v>
      </c>
      <c r="D322" s="2810" t="s">
        <v>2820</v>
      </c>
      <c r="E322" s="2900"/>
      <c r="F322" s="2801"/>
      <c r="G322" s="2900">
        <f>ROUND(G112,3)</f>
        <v>3</v>
      </c>
      <c r="H322" s="2810" t="s">
        <v>2820</v>
      </c>
      <c r="I322" s="3013"/>
      <c r="J322" s="2854"/>
      <c r="K322" s="2894"/>
      <c r="L322" s="2817"/>
      <c r="M322" s="2860"/>
    </row>
    <row r="323" spans="1:13" ht="15.75">
      <c r="A323" s="2818" t="s">
        <v>3309</v>
      </c>
      <c r="B323" s="2801" t="s">
        <v>3310</v>
      </c>
      <c r="C323" s="2900">
        <f>ROUND(C113,3)</f>
        <v>3.75</v>
      </c>
      <c r="D323" s="2810" t="s">
        <v>2820</v>
      </c>
      <c r="E323" s="2900"/>
      <c r="F323" s="2801"/>
      <c r="G323" s="2900">
        <f>ROUND(G113,3)</f>
        <v>3.75</v>
      </c>
      <c r="H323" s="2810" t="s">
        <v>2820</v>
      </c>
      <c r="I323" s="3013"/>
      <c r="J323" s="2854"/>
      <c r="K323" s="2894"/>
      <c r="L323" s="2817"/>
      <c r="M323" s="2860"/>
    </row>
    <row r="324" spans="1:13" ht="15.75">
      <c r="A324" s="2818" t="s">
        <v>3311</v>
      </c>
      <c r="B324" s="2801" t="s">
        <v>3312</v>
      </c>
      <c r="C324" s="2900"/>
      <c r="D324" s="2810"/>
      <c r="E324" s="2900">
        <f>ROUND(C114,3)</f>
        <v>6.75</v>
      </c>
      <c r="F324" s="2810" t="s">
        <v>2820</v>
      </c>
      <c r="G324" s="2900"/>
      <c r="H324" s="2810"/>
      <c r="I324" s="3013"/>
      <c r="J324" s="2854"/>
      <c r="K324" s="2894"/>
      <c r="L324" s="2817"/>
      <c r="M324" s="2860"/>
    </row>
    <row r="325" spans="1:13" ht="15.75">
      <c r="A325" s="2813" t="s">
        <v>3313</v>
      </c>
      <c r="B325" s="2806" t="s">
        <v>3314</v>
      </c>
      <c r="C325" s="2900">
        <f>ROUND(C118,3)</f>
        <v>10.268000000000001</v>
      </c>
      <c r="D325" s="2810" t="s">
        <v>2820</v>
      </c>
      <c r="E325" s="2900"/>
      <c r="F325" s="2810"/>
      <c r="G325" s="2900">
        <f>ROUND(G118,3)</f>
        <v>5.3040000000000003</v>
      </c>
      <c r="H325" s="2810" t="s">
        <v>2820</v>
      </c>
      <c r="I325" s="3013"/>
      <c r="J325" s="2854"/>
      <c r="K325" s="2894"/>
      <c r="L325" s="2817"/>
      <c r="M325" s="2860"/>
    </row>
    <row r="326" spans="1:13" ht="15.75">
      <c r="A326" s="2896"/>
      <c r="B326" s="2872"/>
      <c r="C326" s="2899"/>
      <c r="D326" s="2842"/>
      <c r="E326" s="2899"/>
      <c r="F326" s="2842"/>
      <c r="G326" s="2899"/>
      <c r="H326" s="2842"/>
      <c r="I326" s="3013"/>
      <c r="J326" s="2854"/>
      <c r="K326" s="2894"/>
      <c r="L326" s="2817"/>
      <c r="M326" s="2860"/>
    </row>
    <row r="327" spans="1:13" ht="15.75">
      <c r="A327" s="3014" t="s">
        <v>3315</v>
      </c>
      <c r="B327" s="2806"/>
      <c r="C327" s="2900"/>
      <c r="D327" s="2810"/>
      <c r="E327" s="2900"/>
      <c r="F327" s="2810"/>
      <c r="G327" s="2900"/>
      <c r="H327" s="2810"/>
      <c r="I327" s="3013"/>
      <c r="J327" s="2854"/>
      <c r="K327" s="2894"/>
      <c r="L327" s="2817"/>
      <c r="M327" s="2860"/>
    </row>
    <row r="328" spans="1:13" ht="15.75">
      <c r="A328" s="2817" t="s">
        <v>3316</v>
      </c>
      <c r="B328" s="2806" t="s">
        <v>3317</v>
      </c>
      <c r="C328" s="2900">
        <f>ROUND(C123,3)</f>
        <v>97.138999999999996</v>
      </c>
      <c r="D328" s="2810" t="s">
        <v>2820</v>
      </c>
      <c r="E328" s="2900"/>
      <c r="F328" s="2810"/>
      <c r="G328" s="2900">
        <f>ROUND(G123,3)</f>
        <v>50.826999999999998</v>
      </c>
      <c r="H328" s="2810" t="s">
        <v>2820</v>
      </c>
      <c r="I328" s="3013"/>
      <c r="J328" s="2854"/>
      <c r="K328" s="2894"/>
      <c r="L328" s="2817"/>
      <c r="M328" s="2860"/>
    </row>
    <row r="329" spans="1:13" ht="15.75">
      <c r="A329" s="2817" t="s">
        <v>3318</v>
      </c>
      <c r="B329" s="2806" t="s">
        <v>3319</v>
      </c>
      <c r="C329" s="2900">
        <f>C124</f>
        <v>11</v>
      </c>
      <c r="D329" s="2810"/>
      <c r="E329" s="2900"/>
      <c r="F329" s="2810"/>
      <c r="G329" s="2900">
        <f>G124</f>
        <v>6</v>
      </c>
      <c r="H329" s="2810"/>
      <c r="I329" s="3013"/>
      <c r="J329" s="2854"/>
      <c r="K329" s="2894"/>
      <c r="L329" s="2817"/>
      <c r="M329" s="2860"/>
    </row>
    <row r="330" spans="1:13" ht="15.75">
      <c r="A330" s="2806" t="s">
        <v>3320</v>
      </c>
      <c r="B330" s="2806"/>
      <c r="C330" s="2900" t="str">
        <f>C125</f>
        <v>不能测量！</v>
      </c>
      <c r="D330" s="2810"/>
      <c r="E330" s="2900"/>
      <c r="F330" s="2810"/>
      <c r="G330" s="2900" t="str">
        <f>G125</f>
        <v>不能测量！</v>
      </c>
      <c r="H330" s="2810"/>
      <c r="I330" s="3013"/>
      <c r="J330" s="2854"/>
      <c r="K330" s="2894"/>
      <c r="L330" s="2817"/>
      <c r="M330" s="2860"/>
    </row>
    <row r="331" spans="1:13" ht="15.75">
      <c r="A331" s="2818" t="s">
        <v>3321</v>
      </c>
      <c r="B331" s="2801" t="s">
        <v>3322</v>
      </c>
      <c r="C331" s="2900">
        <f t="shared" ref="C331:C334" si="14">ROUND(C129,3)</f>
        <v>4.1609999999999996</v>
      </c>
      <c r="D331" s="2810" t="s">
        <v>2820</v>
      </c>
      <c r="E331" s="2810"/>
      <c r="F331" s="2801"/>
      <c r="G331" s="2900">
        <f t="shared" ref="G331:G334" si="15">ROUND(G129,3)</f>
        <v>4.1609999999999996</v>
      </c>
      <c r="H331" s="2810" t="s">
        <v>2820</v>
      </c>
      <c r="I331" s="3013"/>
      <c r="J331" s="2854"/>
      <c r="K331" s="2894"/>
      <c r="L331" s="2817"/>
      <c r="M331" s="2860"/>
    </row>
    <row r="332" spans="1:13" ht="15.75">
      <c r="A332" s="2818" t="s">
        <v>3323</v>
      </c>
      <c r="B332" s="2801" t="s">
        <v>3324</v>
      </c>
      <c r="C332" s="2900">
        <f t="shared" si="14"/>
        <v>2.2429999999999999</v>
      </c>
      <c r="D332" s="2810" t="s">
        <v>2820</v>
      </c>
      <c r="E332" s="2900"/>
      <c r="F332" s="2801"/>
      <c r="G332" s="2900">
        <f t="shared" si="15"/>
        <v>2.2429999999999999</v>
      </c>
      <c r="H332" s="2810" t="s">
        <v>2820</v>
      </c>
      <c r="I332" s="2854"/>
      <c r="J332" s="2854"/>
      <c r="K332" s="2894"/>
      <c r="L332" s="2817"/>
      <c r="M332" s="2860"/>
    </row>
    <row r="333" spans="1:13" ht="15.75">
      <c r="A333" s="2803" t="s">
        <v>3325</v>
      </c>
      <c r="B333" s="2855" t="s">
        <v>3326</v>
      </c>
      <c r="C333" s="2900">
        <f t="shared" si="14"/>
        <v>4.7119999999999997</v>
      </c>
      <c r="D333" s="2810" t="s">
        <v>2820</v>
      </c>
      <c r="E333" s="2900"/>
      <c r="F333" s="2801"/>
      <c r="G333" s="2900">
        <f t="shared" si="15"/>
        <v>4.7119999999999997</v>
      </c>
      <c r="H333" s="2810" t="s">
        <v>2820</v>
      </c>
      <c r="I333" s="2854"/>
      <c r="J333" s="2854"/>
      <c r="K333" s="2894"/>
      <c r="L333" s="2817"/>
      <c r="M333" s="2860"/>
    </row>
    <row r="334" spans="1:13" ht="15.75">
      <c r="A334" s="2803" t="s">
        <v>3327</v>
      </c>
      <c r="B334" s="2855" t="s">
        <v>3328</v>
      </c>
      <c r="C334" s="2900">
        <f t="shared" si="14"/>
        <v>3.0150000000000001</v>
      </c>
      <c r="D334" s="2810" t="s">
        <v>2820</v>
      </c>
      <c r="E334" s="2900"/>
      <c r="F334" s="2801"/>
      <c r="G334" s="2900">
        <f t="shared" si="15"/>
        <v>3.036</v>
      </c>
      <c r="H334" s="2810" t="s">
        <v>2820</v>
      </c>
      <c r="I334" s="2854"/>
      <c r="J334" s="2854"/>
      <c r="K334" s="2894"/>
      <c r="L334" s="2817"/>
      <c r="M334" s="2860"/>
    </row>
    <row r="335" spans="1:13" ht="15.75">
      <c r="A335" s="2803" t="s">
        <v>3047</v>
      </c>
      <c r="B335" s="2855" t="s">
        <v>3329</v>
      </c>
      <c r="C335" s="2900">
        <f>IF(OR(C76=0,B77&lt;&gt;""),"",C76)</f>
        <v>15</v>
      </c>
      <c r="D335" s="2810" t="s">
        <v>2820</v>
      </c>
      <c r="E335" s="2900"/>
      <c r="F335" s="2801"/>
      <c r="G335" s="2900" t="str">
        <f>IF(OR(G76=0,F77&lt;&gt;""),"",G76)</f>
        <v/>
      </c>
      <c r="H335" s="2810" t="s">
        <v>2820</v>
      </c>
      <c r="I335" s="2854"/>
      <c r="J335" s="2854"/>
      <c r="K335" s="2894"/>
      <c r="L335" s="2817"/>
      <c r="M335" s="2860"/>
    </row>
    <row r="336" spans="1:13" ht="15.75">
      <c r="A336" s="2803" t="s">
        <v>3060</v>
      </c>
      <c r="B336" s="2855" t="s">
        <v>235</v>
      </c>
      <c r="C336" s="2900">
        <f>IF(OR(C76=0,B77&lt;&gt;""),"",ROUND(C139,3))</f>
        <v>103.736</v>
      </c>
      <c r="D336" s="2810" t="s">
        <v>2820</v>
      </c>
      <c r="E336" s="2900"/>
      <c r="F336" s="2801"/>
      <c r="G336" s="2900" t="str">
        <f>IF(OR(G76=0,F77&lt;&gt;""),"",ROUND(G139,3))</f>
        <v/>
      </c>
      <c r="H336" s="2810" t="s">
        <v>2820</v>
      </c>
      <c r="I336" s="2854"/>
      <c r="J336" s="2854"/>
      <c r="K336" s="2894"/>
      <c r="L336" s="2817"/>
      <c r="M336" s="2860"/>
    </row>
    <row r="337" spans="1:13" ht="15.75">
      <c r="A337" s="2803" t="s">
        <v>3330</v>
      </c>
      <c r="B337" s="2801" t="s">
        <v>3331</v>
      </c>
      <c r="C337" s="2900">
        <f>IF(OR(C76=0,B77&lt;&gt;""),"",ROUND(C141,2))</f>
        <v>82.98</v>
      </c>
      <c r="D337" s="2810" t="s">
        <v>2820</v>
      </c>
      <c r="E337" s="2900"/>
      <c r="F337" s="2801"/>
      <c r="G337" s="2900" t="str">
        <f>IF(OR(G76=0,F77&lt;&gt;""),"",ROUND(G141,2))</f>
        <v/>
      </c>
      <c r="H337" s="2810" t="s">
        <v>2820</v>
      </c>
      <c r="I337" s="2854"/>
      <c r="J337" s="2854"/>
      <c r="K337" s="2894"/>
      <c r="L337" s="2817"/>
      <c r="M337" s="2860"/>
    </row>
    <row r="338" spans="1:13" ht="15.75">
      <c r="A338" s="2871"/>
      <c r="B338" s="2872"/>
      <c r="C338" s="2899"/>
      <c r="D338" s="2842"/>
      <c r="E338" s="2899"/>
      <c r="F338" s="2901"/>
      <c r="G338" s="2791"/>
      <c r="H338" s="2842"/>
      <c r="I338" s="2854"/>
      <c r="J338" s="2854"/>
      <c r="K338" s="2894"/>
      <c r="L338" s="2817"/>
      <c r="M338" s="2860"/>
    </row>
    <row r="339" spans="1:13" ht="15.75">
      <c r="A339" s="3010" t="s">
        <v>3332</v>
      </c>
      <c r="B339" s="2801"/>
      <c r="C339" s="2900"/>
      <c r="D339" s="2810"/>
      <c r="E339" s="2900"/>
      <c r="F339" s="2801"/>
      <c r="G339" s="2797"/>
      <c r="H339" s="2810"/>
      <c r="I339" s="2854"/>
      <c r="J339" s="2854"/>
      <c r="K339" s="2894"/>
      <c r="L339" s="2817"/>
      <c r="M339" s="2860"/>
    </row>
    <row r="340" spans="1:13" ht="15.75">
      <c r="A340" s="2976" t="s">
        <v>4710</v>
      </c>
      <c r="B340" s="2806" t="s">
        <v>4731</v>
      </c>
      <c r="C340" s="2900">
        <f>ROUND(C154,3)</f>
        <v>19.712</v>
      </c>
      <c r="D340" s="2810" t="s">
        <v>2820</v>
      </c>
      <c r="E340" s="2900"/>
      <c r="F340" s="2801"/>
      <c r="G340" s="2900">
        <f>ROUND(G154,3)</f>
        <v>33.185000000000002</v>
      </c>
      <c r="H340" s="2810" t="s">
        <v>2820</v>
      </c>
      <c r="I340" s="2854"/>
      <c r="J340" s="2854"/>
      <c r="K340" s="2894"/>
      <c r="L340" s="2817"/>
      <c r="M340" s="2860"/>
    </row>
    <row r="341" spans="1:13" ht="15.75">
      <c r="A341" s="2976" t="s">
        <v>4712</v>
      </c>
      <c r="B341" s="2806" t="s">
        <v>4732</v>
      </c>
      <c r="C341" s="2900">
        <f>ROUND(C155,3)</f>
        <v>28.952999999999999</v>
      </c>
      <c r="D341" s="2810" t="s">
        <v>2820</v>
      </c>
      <c r="E341" s="2900"/>
      <c r="F341" s="2801"/>
      <c r="G341" s="2900">
        <f>ROUND(G155,3)</f>
        <v>42.426000000000002</v>
      </c>
      <c r="H341" s="2810" t="s">
        <v>2820</v>
      </c>
      <c r="I341" s="2854"/>
      <c r="J341" s="2854"/>
      <c r="K341" s="2894"/>
      <c r="L341" s="2817"/>
      <c r="M341" s="2860"/>
    </row>
    <row r="342" spans="1:13" ht="15.75">
      <c r="A342" s="2803" t="s">
        <v>4733</v>
      </c>
      <c r="B342" s="2817" t="s">
        <v>4734</v>
      </c>
      <c r="C342" s="2900">
        <f>E156</f>
        <v>36.450899999999997</v>
      </c>
      <c r="D342" s="2810" t="s">
        <v>2938</v>
      </c>
      <c r="E342" s="2900"/>
      <c r="F342" s="2801"/>
      <c r="G342" s="2900">
        <f>I156</f>
        <v>39.553800000000003</v>
      </c>
      <c r="H342" s="2810" t="s">
        <v>2938</v>
      </c>
      <c r="I342" s="2854"/>
      <c r="J342" s="2854"/>
      <c r="K342" s="2894"/>
      <c r="L342" s="2817"/>
      <c r="M342" s="2860"/>
    </row>
    <row r="343" spans="1:13" ht="15.75">
      <c r="A343" s="2803" t="s">
        <v>4735</v>
      </c>
      <c r="B343" s="2817" t="s">
        <v>4736</v>
      </c>
      <c r="C343" s="2900">
        <f>E157</f>
        <v>53.585900000000002</v>
      </c>
      <c r="D343" s="2810" t="s">
        <v>2938</v>
      </c>
      <c r="E343" s="2900"/>
      <c r="F343" s="2801"/>
      <c r="G343" s="2900">
        <f>I157</f>
        <v>51.024700000000003</v>
      </c>
      <c r="H343" s="2810" t="s">
        <v>2938</v>
      </c>
      <c r="I343" s="2854"/>
      <c r="J343" s="2854"/>
      <c r="K343" s="2894"/>
      <c r="L343" s="2817"/>
      <c r="M343" s="2860"/>
    </row>
    <row r="344" spans="1:13" ht="15.75">
      <c r="A344" s="2896"/>
      <c r="B344" s="2820"/>
      <c r="C344" s="2899"/>
      <c r="D344" s="2842"/>
      <c r="E344" s="2899"/>
      <c r="F344" s="2901"/>
      <c r="G344" s="2791"/>
      <c r="H344" s="2842"/>
      <c r="I344" s="2854"/>
      <c r="J344" s="2854"/>
      <c r="K344" s="2894"/>
      <c r="L344" s="2817"/>
      <c r="M344" s="2860"/>
    </row>
    <row r="345" spans="1:13">
      <c r="A345" s="3010" t="s">
        <v>4370</v>
      </c>
      <c r="B345" s="2810"/>
      <c r="C345" s="3011"/>
      <c r="D345" s="2904"/>
      <c r="E345" s="2905"/>
      <c r="F345" s="2906"/>
      <c r="G345" s="3011"/>
      <c r="H345" s="2810"/>
      <c r="I345" s="2854"/>
      <c r="J345" s="2854"/>
      <c r="K345" s="2894"/>
      <c r="L345" s="2817"/>
      <c r="M345" s="2860"/>
    </row>
    <row r="346" spans="1:13" ht="15.75">
      <c r="A346" s="2818" t="s">
        <v>4371</v>
      </c>
      <c r="B346" s="3015" t="s">
        <v>4372</v>
      </c>
      <c r="C346" s="2900"/>
      <c r="D346" s="2953"/>
      <c r="E346" s="2900">
        <f>E84</f>
        <v>0.73199999999999998</v>
      </c>
      <c r="F346" s="3015"/>
      <c r="G346" s="2797"/>
      <c r="H346" s="2911"/>
      <c r="I346" s="2854"/>
      <c r="J346" s="2854"/>
      <c r="K346" s="2894"/>
      <c r="L346" s="2817"/>
      <c r="M346" s="2860"/>
    </row>
    <row r="347" spans="1:13">
      <c r="A347" s="2976" t="s">
        <v>3364</v>
      </c>
      <c r="B347" s="3016"/>
      <c r="C347" s="2976" t="str">
        <f>D149</f>
        <v>不发生干涉</v>
      </c>
      <c r="D347" s="3017"/>
      <c r="E347" s="2976"/>
      <c r="F347" s="3018"/>
      <c r="G347" s="2976" t="str">
        <f>H149</f>
        <v>不发生干涉</v>
      </c>
      <c r="H347" s="2911"/>
      <c r="I347" s="2854"/>
      <c r="J347" s="2854"/>
      <c r="K347" s="2894"/>
      <c r="L347" s="2817"/>
      <c r="M347" s="2860"/>
    </row>
    <row r="348" spans="1:13" ht="15.75">
      <c r="A348" s="2900" t="s">
        <v>4373</v>
      </c>
      <c r="B348" s="2818"/>
      <c r="C348" s="2976" t="str">
        <f>D152</f>
        <v>不根切</v>
      </c>
      <c r="D348" s="3017"/>
      <c r="E348" s="2976"/>
      <c r="F348" s="3018"/>
      <c r="G348" s="2976" t="str">
        <f>H152</f>
        <v>不根切</v>
      </c>
      <c r="H348" s="2911"/>
      <c r="I348" s="2854"/>
      <c r="J348" s="2854"/>
      <c r="K348" s="2894"/>
      <c r="L348" s="2817"/>
      <c r="M348" s="2860"/>
    </row>
    <row r="349" spans="1:13" ht="15.75">
      <c r="A349" s="2797" t="s">
        <v>4374</v>
      </c>
      <c r="B349" s="2818"/>
      <c r="C349" s="2976" t="str">
        <f>D150</f>
        <v>齿顶未变尖</v>
      </c>
      <c r="D349" s="3017"/>
      <c r="E349" s="2976"/>
      <c r="F349" s="3018"/>
      <c r="G349" s="2976" t="str">
        <f>H150</f>
        <v>齿顶变尖 ！</v>
      </c>
      <c r="H349" s="2911"/>
      <c r="I349" s="2854"/>
      <c r="J349" s="2854"/>
      <c r="K349" s="2894"/>
      <c r="L349" s="2817"/>
      <c r="M349" s="2860"/>
    </row>
    <row r="350" spans="1:13" ht="15">
      <c r="A350" s="2963"/>
      <c r="B350" s="2899"/>
      <c r="C350" s="3019"/>
      <c r="D350" s="2842"/>
      <c r="E350" s="3019"/>
      <c r="F350" s="3020"/>
      <c r="G350" s="2957"/>
      <c r="H350" s="2842"/>
      <c r="I350" s="2854"/>
      <c r="J350" s="2854"/>
      <c r="K350" s="2894"/>
      <c r="L350" s="2817"/>
      <c r="M350" s="2860"/>
    </row>
    <row r="351" spans="1:13">
      <c r="A351" s="3010" t="s">
        <v>3333</v>
      </c>
      <c r="B351" s="2810"/>
      <c r="C351" s="3017" t="str">
        <f>IF(OR(C53="",C54="",C55=""),"               （未输入精度等级）","        （按 GB10095—88 渐开线圆柱齿轮 精度）")</f>
        <v>（按 GB10095—88 渐开线圆柱齿轮 精度）</v>
      </c>
      <c r="D351" s="2904"/>
      <c r="E351" s="2905"/>
      <c r="F351" s="2906"/>
      <c r="G351" s="3011"/>
      <c r="H351" s="2810"/>
      <c r="I351" s="2854"/>
      <c r="J351" s="2854"/>
      <c r="K351" s="2894"/>
      <c r="L351" s="2817"/>
      <c r="M351" s="2860"/>
    </row>
    <row r="352" spans="1:13" ht="15.75">
      <c r="A352" s="2900" t="s">
        <v>3334</v>
      </c>
      <c r="B352" s="3011" t="s">
        <v>3335</v>
      </c>
      <c r="C352" s="3011"/>
      <c r="D352" s="2797"/>
      <c r="E352" s="2797">
        <f>IF(OR(C53="",C54="",C55=""),"",C53)</f>
        <v>7</v>
      </c>
      <c r="F352" s="2797"/>
      <c r="G352" s="3011"/>
      <c r="H352" s="2810"/>
      <c r="I352" s="2900"/>
      <c r="J352" s="2854"/>
      <c r="K352" s="2894"/>
      <c r="L352" s="2817"/>
      <c r="M352" s="2860"/>
    </row>
    <row r="353" spans="1:13" ht="15.75">
      <c r="A353" s="2912"/>
      <c r="B353" s="3011" t="s">
        <v>3336</v>
      </c>
      <c r="C353" s="3011"/>
      <c r="D353" s="2797"/>
      <c r="E353" s="2797">
        <f>IF(OR(C53="",C54="",C55=""),"",C54)</f>
        <v>6</v>
      </c>
      <c r="F353" s="2953"/>
      <c r="G353" s="3011"/>
      <c r="H353" s="2810"/>
      <c r="I353" s="2854"/>
      <c r="J353" s="2854"/>
      <c r="K353" s="2894"/>
      <c r="L353" s="2817"/>
      <c r="M353" s="2860"/>
    </row>
    <row r="354" spans="1:13" ht="15.75">
      <c r="A354" s="2912"/>
      <c r="B354" s="3011" t="s">
        <v>3337</v>
      </c>
      <c r="C354" s="3011"/>
      <c r="D354" s="2797"/>
      <c r="E354" s="2797">
        <f>IF(OR(C53="",C54="",C55=""),"",C55)</f>
        <v>6</v>
      </c>
      <c r="F354" s="2797"/>
      <c r="G354" s="3011"/>
      <c r="H354" s="2810"/>
      <c r="I354" s="2854"/>
      <c r="J354" s="2854"/>
      <c r="K354" s="2894"/>
      <c r="L354" s="2817"/>
      <c r="M354" s="2860"/>
    </row>
    <row r="355" spans="1:13" ht="15.75">
      <c r="A355" s="2858" t="s">
        <v>3338</v>
      </c>
      <c r="B355" s="2807" t="s">
        <v>937</v>
      </c>
      <c r="C355" s="2801" t="str">
        <f>IF(OR(C53="",C54="",C55="",C67&lt;&gt;""),"",F265)</f>
        <v>K</v>
      </c>
      <c r="D355" s="2838"/>
      <c r="E355" s="3021"/>
      <c r="F355" s="2838"/>
      <c r="G355" s="2801" t="str">
        <f>IF(OR(C53="",C54="",C55="",C69&lt;&gt;""),"",F267)</f>
        <v>J</v>
      </c>
      <c r="H355" s="2810"/>
      <c r="I355" s="2854"/>
      <c r="J355" s="2854"/>
      <c r="K355" s="2894"/>
      <c r="L355" s="2817"/>
      <c r="M355" s="2860"/>
    </row>
    <row r="356" spans="1:13" ht="15.75">
      <c r="A356" s="2858"/>
      <c r="B356" s="2807" t="s">
        <v>938</v>
      </c>
      <c r="C356" s="2801" t="str">
        <f>IF(OR(C53="",C54="",C55="",C68&lt;&gt;""),"",F266)</f>
        <v>M</v>
      </c>
      <c r="D356" s="2838"/>
      <c r="E356" s="3021"/>
      <c r="F356" s="2838"/>
      <c r="G356" s="2801" t="str">
        <f>IF(OR(C53="",C54="",C55="",C70&lt;&gt;""),"",F268)</f>
        <v>N</v>
      </c>
      <c r="H356" s="2810"/>
      <c r="I356" s="2854"/>
      <c r="J356" s="2854"/>
      <c r="K356" s="2894"/>
      <c r="L356" s="2817"/>
      <c r="M356" s="2860"/>
    </row>
    <row r="357" spans="1:13" ht="15.75">
      <c r="A357" s="2900" t="s">
        <v>3226</v>
      </c>
      <c r="B357" s="2801" t="s">
        <v>3339</v>
      </c>
      <c r="C357" s="2900">
        <f>IF(OR(C53="",C54="",C55=""),"",C238)</f>
        <v>-0.12</v>
      </c>
      <c r="D357" s="2810" t="s">
        <v>2820</v>
      </c>
      <c r="E357" s="2900"/>
      <c r="F357" s="2801"/>
      <c r="G357" s="2900">
        <f>IF(OR(C53="",C54="",C55=""),"",G238)</f>
        <v>-0.1</v>
      </c>
      <c r="H357" s="2810" t="s">
        <v>2820</v>
      </c>
      <c r="I357" s="2854"/>
      <c r="J357" s="2854"/>
      <c r="K357" s="2894"/>
      <c r="L357" s="2817"/>
      <c r="M357" s="2860"/>
    </row>
    <row r="358" spans="1:13" ht="15.75">
      <c r="A358" s="2900" t="s">
        <v>3229</v>
      </c>
      <c r="B358" s="2801" t="s">
        <v>3340</v>
      </c>
      <c r="C358" s="2900">
        <f>IF(OR(C53="",C54="",C55=""),"",C239)</f>
        <v>-0.2</v>
      </c>
      <c r="D358" s="2810" t="s">
        <v>2820</v>
      </c>
      <c r="E358" s="2900"/>
      <c r="F358" s="2801"/>
      <c r="G358" s="2900">
        <f>IF(OR(C53="",C54="",C55=""),"",G239)</f>
        <v>-0.25</v>
      </c>
      <c r="H358" s="2810" t="s">
        <v>2820</v>
      </c>
      <c r="I358" s="2854"/>
      <c r="J358" s="2854"/>
      <c r="K358" s="2894"/>
      <c r="L358" s="2817"/>
      <c r="M358" s="2860"/>
    </row>
    <row r="359" spans="1:13" ht="15.75">
      <c r="A359" s="2900" t="s">
        <v>3341</v>
      </c>
      <c r="B359" s="2801" t="s">
        <v>3342</v>
      </c>
      <c r="C359" s="2900">
        <f>IF(OR(C53="",C54="",C55=""),"",C240)</f>
        <v>0.08</v>
      </c>
      <c r="D359" s="2810" t="s">
        <v>2820</v>
      </c>
      <c r="E359" s="2900"/>
      <c r="F359" s="2801"/>
      <c r="G359" s="2900">
        <f>IF(OR(C53="",C54="",C55=""),"",G240)</f>
        <v>0.15</v>
      </c>
      <c r="H359" s="2810" t="s">
        <v>2820</v>
      </c>
      <c r="I359" s="2854"/>
      <c r="J359" s="2854"/>
      <c r="K359" s="2894"/>
      <c r="L359" s="2817"/>
      <c r="M359" s="2860"/>
    </row>
    <row r="360" spans="1:13" ht="15.75">
      <c r="A360" s="2803" t="s">
        <v>3343</v>
      </c>
      <c r="B360" s="2801" t="s">
        <v>3344</v>
      </c>
      <c r="C360" s="2900"/>
      <c r="D360" s="2810"/>
      <c r="E360" s="2900">
        <f>ABS(C357+G357)</f>
        <v>0.22</v>
      </c>
      <c r="F360" s="2810" t="s">
        <v>2820</v>
      </c>
      <c r="G360" s="2900"/>
      <c r="H360" s="2810"/>
      <c r="I360" s="2854"/>
      <c r="J360" s="2854"/>
      <c r="K360" s="2894"/>
      <c r="L360" s="2817"/>
      <c r="M360" s="2860"/>
    </row>
    <row r="361" spans="1:13" ht="15.75">
      <c r="A361" s="2803" t="s">
        <v>3345</v>
      </c>
      <c r="B361" s="2801" t="s">
        <v>3346</v>
      </c>
      <c r="C361" s="2900"/>
      <c r="D361" s="2810"/>
      <c r="E361" s="2900">
        <f>ABS(C358+G358)</f>
        <v>0.45</v>
      </c>
      <c r="F361" s="2810" t="s">
        <v>2820</v>
      </c>
      <c r="G361" s="2900"/>
      <c r="H361" s="2810"/>
      <c r="I361" s="2854"/>
      <c r="J361" s="2854"/>
      <c r="K361" s="2894"/>
      <c r="L361" s="2817"/>
      <c r="M361" s="2860"/>
    </row>
    <row r="362" spans="1:13" ht="15.75">
      <c r="A362" s="2947" t="s">
        <v>4233</v>
      </c>
      <c r="B362" s="2801"/>
      <c r="C362" s="2900"/>
      <c r="D362" s="2810"/>
      <c r="E362" s="2900"/>
      <c r="F362" s="2810"/>
      <c r="G362" s="2900"/>
      <c r="H362" s="2810"/>
      <c r="I362" s="2854"/>
      <c r="J362" s="2854"/>
      <c r="K362" s="2894"/>
      <c r="L362" s="2817"/>
      <c r="M362" s="2860"/>
    </row>
    <row r="363" spans="1:13" ht="15.75">
      <c r="A363" s="2855"/>
      <c r="B363" s="2801" t="s">
        <v>3257</v>
      </c>
      <c r="C363" s="2900">
        <f>IF(OR(C53="",C54="",C55=""),"",C270)</f>
        <v>-0.122</v>
      </c>
      <c r="D363" s="2810" t="s">
        <v>2820</v>
      </c>
      <c r="E363" s="2900"/>
      <c r="F363" s="2810"/>
      <c r="G363" s="2900">
        <f>IF(OR(C53="",C54="",C55=""),"",G270)</f>
        <v>-0.10299999999999999</v>
      </c>
      <c r="H363" s="2810" t="s">
        <v>2820</v>
      </c>
      <c r="I363" s="2854"/>
      <c r="J363" s="2854"/>
      <c r="K363" s="2894"/>
      <c r="L363" s="2817"/>
      <c r="M363" s="2860"/>
    </row>
    <row r="364" spans="1:13" ht="15.75">
      <c r="A364" s="2857"/>
      <c r="B364" s="2801" t="s">
        <v>3259</v>
      </c>
      <c r="C364" s="2900">
        <f>IF(OR(C53="",C54="",C55=""),"",C271)</f>
        <v>-0.17899999999999999</v>
      </c>
      <c r="D364" s="2810" t="s">
        <v>2820</v>
      </c>
      <c r="E364" s="2900"/>
      <c r="F364" s="2810"/>
      <c r="G364" s="2900">
        <f>IF(OR(C53="",C54="",C55=""),"",G271)</f>
        <v>-0.22600000000000001</v>
      </c>
      <c r="H364" s="2810" t="s">
        <v>2820</v>
      </c>
      <c r="I364" s="2854"/>
      <c r="J364" s="2854"/>
      <c r="K364" s="2894"/>
      <c r="L364" s="2817"/>
      <c r="M364" s="2860"/>
    </row>
    <row r="365" spans="1:13" ht="15.75">
      <c r="A365" s="2857"/>
      <c r="B365" s="2801" t="s">
        <v>3261</v>
      </c>
      <c r="C365" s="2900">
        <f>IF(OR(C53="",C54="",C55=""),"",C272)</f>
        <v>5.7000000000000002E-2</v>
      </c>
      <c r="D365" s="2810" t="s">
        <v>2820</v>
      </c>
      <c r="E365" s="2900"/>
      <c r="F365" s="2810"/>
      <c r="G365" s="2900">
        <f>IF(OR(C53="",C54="",C55=""),"",G272)</f>
        <v>0.123</v>
      </c>
      <c r="H365" s="2810" t="s">
        <v>2820</v>
      </c>
      <c r="I365" s="2854"/>
      <c r="J365" s="2854"/>
      <c r="K365" s="2894"/>
      <c r="L365" s="2817"/>
      <c r="M365" s="2860"/>
    </row>
    <row r="366" spans="1:13" ht="15.75">
      <c r="A366" s="2947" t="s">
        <v>4236</v>
      </c>
      <c r="B366" s="2982"/>
      <c r="C366" s="2900"/>
      <c r="D366" s="2810"/>
      <c r="E366" s="2900"/>
      <c r="F366" s="2810"/>
      <c r="G366" s="2900"/>
      <c r="H366" s="2810"/>
      <c r="I366" s="2854"/>
      <c r="J366" s="2854"/>
      <c r="K366" s="2894"/>
      <c r="L366" s="2817"/>
      <c r="M366" s="2860"/>
    </row>
    <row r="367" spans="1:13" ht="15.75">
      <c r="A367" s="2855"/>
      <c r="B367" s="2801" t="s">
        <v>3263</v>
      </c>
      <c r="C367" s="2900">
        <f>IF(OR(C53="",C54="",C55=""),"",C277)</f>
        <v>-0.307</v>
      </c>
      <c r="D367" s="2810" t="s">
        <v>2820</v>
      </c>
      <c r="E367" s="2900"/>
      <c r="F367" s="2810"/>
      <c r="G367" s="2900">
        <f>IF(OR(C53="",C54="",C55=""),"",G277)</f>
        <v>-0.25900000000000001</v>
      </c>
      <c r="H367" s="2810" t="s">
        <v>2820</v>
      </c>
      <c r="I367" s="2854"/>
      <c r="J367" s="2854"/>
      <c r="K367" s="2894"/>
      <c r="L367" s="2817"/>
      <c r="M367" s="2860"/>
    </row>
    <row r="368" spans="1:13" ht="15.75">
      <c r="A368" s="2857"/>
      <c r="B368" s="2801" t="s">
        <v>3265</v>
      </c>
      <c r="C368" s="2900">
        <f>IF(OR(C53="",C54="",C55=""),"",C278)</f>
        <v>-0.45100000000000001</v>
      </c>
      <c r="D368" s="2810" t="s">
        <v>2820</v>
      </c>
      <c r="E368" s="2900"/>
      <c r="F368" s="2810"/>
      <c r="G368" s="2900">
        <f>IF(OR(C53="",C54="",C55=""),"",G278)</f>
        <v>-0.56899999999999995</v>
      </c>
      <c r="H368" s="2810" t="s">
        <v>2820</v>
      </c>
      <c r="I368" s="2854"/>
      <c r="J368" s="2854"/>
      <c r="K368" s="2894"/>
      <c r="L368" s="2817"/>
      <c r="M368" s="2860"/>
    </row>
    <row r="369" spans="1:13" ht="15.75">
      <c r="A369" s="2857"/>
      <c r="B369" s="2801" t="s">
        <v>3267</v>
      </c>
      <c r="C369" s="2900">
        <f>IF(OR(C53="",C54="",C55=""),"",C279)</f>
        <v>0.14399999999999999</v>
      </c>
      <c r="D369" s="2810" t="s">
        <v>2820</v>
      </c>
      <c r="E369" s="2900"/>
      <c r="F369" s="2810"/>
      <c r="G369" s="2900">
        <f>IF(OR(C53="",C54="",C55=""),"",G279)</f>
        <v>0.31</v>
      </c>
      <c r="H369" s="2810" t="s">
        <v>2820</v>
      </c>
      <c r="I369" s="2854"/>
      <c r="J369" s="2854"/>
      <c r="K369" s="2894"/>
      <c r="L369" s="2817"/>
      <c r="M369" s="2860"/>
    </row>
    <row r="370" spans="1:13" ht="15.75">
      <c r="A370" s="2900" t="s">
        <v>3220</v>
      </c>
      <c r="B370" s="2801" t="s">
        <v>3347</v>
      </c>
      <c r="C370" s="2900">
        <f>IF(OR(C53="",C54="",C55=""),"",C236/1000)</f>
        <v>5.2999999999999999E-2</v>
      </c>
      <c r="D370" s="2810" t="s">
        <v>2820</v>
      </c>
      <c r="E370" s="2900"/>
      <c r="F370" s="2801"/>
      <c r="G370" s="2900">
        <f>IF(OR(C53="",C54="",C55=""),"",G236/1000)</f>
        <v>7.0999999999999994E-2</v>
      </c>
      <c r="H370" s="2810" t="s">
        <v>2820</v>
      </c>
      <c r="I370" s="2854"/>
      <c r="J370" s="2854"/>
      <c r="K370" s="2894"/>
      <c r="L370" s="2817"/>
      <c r="M370" s="2860"/>
    </row>
    <row r="371" spans="1:13" ht="15.75">
      <c r="A371" s="2976" t="s">
        <v>3223</v>
      </c>
      <c r="B371" s="2801" t="s">
        <v>3348</v>
      </c>
      <c r="C371" s="2900">
        <f>IF(OR(C53="",C54="",C55=""),"",C237/1000)</f>
        <v>1.0999999999999999E-2</v>
      </c>
      <c r="D371" s="2810" t="s">
        <v>2820</v>
      </c>
      <c r="E371" s="2900"/>
      <c r="F371" s="2801"/>
      <c r="G371" s="2900">
        <f>IF(OR(C53="",C54="",C55=""),"",G237/1000)</f>
        <v>1.0999999999999999E-2</v>
      </c>
      <c r="H371" s="2810" t="s">
        <v>2820</v>
      </c>
      <c r="I371" s="2854"/>
      <c r="J371" s="2854"/>
      <c r="K371" s="2894"/>
      <c r="L371" s="2817"/>
      <c r="M371" s="2860"/>
    </row>
    <row r="372" spans="1:13" ht="15.75">
      <c r="A372" s="2818" t="s">
        <v>3351</v>
      </c>
      <c r="B372" s="2801" t="s">
        <v>3352</v>
      </c>
      <c r="C372" s="2900">
        <f>IF(OR(C53="",C54="",C55=""),"",C162/1000)</f>
        <v>4.4999999999999998E-2</v>
      </c>
      <c r="D372" s="2810" t="s">
        <v>2820</v>
      </c>
      <c r="E372" s="2891"/>
      <c r="F372" s="2801"/>
      <c r="G372" s="2900">
        <f>IF(OR(C53="",C54="",C55=""),"",G162/1000)</f>
        <v>6.3E-2</v>
      </c>
      <c r="H372" s="2810" t="s">
        <v>2820</v>
      </c>
      <c r="I372" s="2854"/>
      <c r="J372" s="2854"/>
      <c r="K372" s="2894"/>
      <c r="L372" s="2817"/>
      <c r="M372" s="2860"/>
    </row>
    <row r="373" spans="1:13" ht="15.75">
      <c r="A373" s="2818" t="s">
        <v>3353</v>
      </c>
      <c r="B373" s="2801" t="s">
        <v>4377</v>
      </c>
      <c r="C373" s="2900">
        <f>IF(OR(C53="",C54="",C55=""),"",C184/1000)</f>
        <v>0.01</v>
      </c>
      <c r="D373" s="2810" t="s">
        <v>2820</v>
      </c>
      <c r="E373" s="2891"/>
      <c r="F373" s="2801"/>
      <c r="G373" s="2900">
        <f>IF(OR(C53="",C54="",C55=""),"",G184/1000)</f>
        <v>0.01</v>
      </c>
      <c r="H373" s="2810" t="s">
        <v>2820</v>
      </c>
      <c r="I373" s="2854"/>
      <c r="J373" s="2854"/>
      <c r="K373" s="2894"/>
      <c r="L373" s="2817"/>
      <c r="M373" s="2860"/>
    </row>
    <row r="374" spans="1:13" ht="15.75">
      <c r="A374" s="2803" t="s">
        <v>3202</v>
      </c>
      <c r="B374" s="2855" t="s">
        <v>4737</v>
      </c>
      <c r="C374" s="2900">
        <f>IF(OR(C53="",C54="",C55=""),"",C196/1000)</f>
        <v>8.9999999999999993E-3</v>
      </c>
      <c r="D374" s="2810" t="s">
        <v>2820</v>
      </c>
      <c r="E374" s="2891"/>
      <c r="F374" s="2801"/>
      <c r="G374" s="2900">
        <f>IF(OR(C53="",C54="",C55=""),"",G196/1000)</f>
        <v>8.9999999999999993E-3</v>
      </c>
      <c r="H374" s="2810" t="s">
        <v>2820</v>
      </c>
      <c r="I374" s="2854"/>
      <c r="J374" s="2854"/>
      <c r="K374" s="2894"/>
      <c r="L374" s="2817"/>
      <c r="M374" s="2860"/>
    </row>
    <row r="375" spans="1:13" ht="15.75">
      <c r="A375" s="2803" t="s">
        <v>3206</v>
      </c>
      <c r="B375" s="2801" t="s">
        <v>3356</v>
      </c>
      <c r="C375" s="2900">
        <f>IF(OR(C53="",C54="",C55=""),"",C208/1000)</f>
        <v>8.0000000000000002E-3</v>
      </c>
      <c r="D375" s="2810" t="s">
        <v>2820</v>
      </c>
      <c r="E375" s="2891"/>
      <c r="F375" s="2801"/>
      <c r="G375" s="2900">
        <f>IF(OR(C53="",C54="",C55=""),"",G208/1000)</f>
        <v>8.0000000000000002E-3</v>
      </c>
      <c r="H375" s="2810" t="s">
        <v>2820</v>
      </c>
      <c r="I375" s="2854"/>
      <c r="J375" s="2854"/>
      <c r="K375" s="2894"/>
      <c r="L375" s="2817"/>
      <c r="M375" s="2860"/>
    </row>
    <row r="376" spans="1:13" ht="15.75">
      <c r="A376" s="2803" t="s">
        <v>3209</v>
      </c>
      <c r="B376" s="2813" t="s">
        <v>4722</v>
      </c>
      <c r="C376" s="2900"/>
      <c r="D376" s="2810"/>
      <c r="E376" s="2900">
        <f>IF(OR(C53="",C54="",C55=""),"",C220/1000)</f>
        <v>8.9999999999999993E-3</v>
      </c>
      <c r="F376" s="2810" t="s">
        <v>2820</v>
      </c>
      <c r="G376" s="2900"/>
      <c r="H376" s="2810"/>
      <c r="I376" s="2854"/>
      <c r="J376" s="2854"/>
      <c r="K376" s="2894"/>
      <c r="L376" s="2817"/>
      <c r="M376" s="2860"/>
    </row>
    <row r="377" spans="1:13" ht="15.75">
      <c r="A377" s="2797" t="s">
        <v>3214</v>
      </c>
      <c r="B377" s="2801" t="s">
        <v>3215</v>
      </c>
      <c r="C377" s="2900"/>
      <c r="D377" s="2810"/>
      <c r="E377" s="2900">
        <f>IF(OR(C53="",C54="",C55=""),"",C228/1000)</f>
        <v>8.9999999999999993E-3</v>
      </c>
      <c r="F377" s="2810" t="s">
        <v>2820</v>
      </c>
      <c r="G377" s="2900"/>
      <c r="H377" s="2810"/>
      <c r="I377" s="2854"/>
      <c r="J377" s="2854"/>
      <c r="K377" s="2894"/>
      <c r="L377" s="2817"/>
      <c r="M377" s="2860"/>
    </row>
    <row r="378" spans="1:13" ht="15.75">
      <c r="A378" s="2797" t="s">
        <v>3216</v>
      </c>
      <c r="B378" s="2801" t="s">
        <v>3217</v>
      </c>
      <c r="C378" s="2900"/>
      <c r="D378" s="2810"/>
      <c r="E378" s="2900">
        <f>IF(OR(C53="",C54="",C55=""),"",C234/1000)</f>
        <v>8.9999999999999993E-3</v>
      </c>
      <c r="F378" s="2810" t="s">
        <v>2820</v>
      </c>
      <c r="G378" s="2900"/>
      <c r="H378" s="2810"/>
      <c r="I378" s="2854"/>
      <c r="J378" s="2854"/>
      <c r="K378" s="2894"/>
      <c r="L378" s="2817"/>
      <c r="M378" s="2860"/>
    </row>
    <row r="379" spans="1:13">
      <c r="A379" s="2797" t="s">
        <v>3218</v>
      </c>
      <c r="B379" s="2813" t="s">
        <v>4723</v>
      </c>
      <c r="C379" s="2900"/>
      <c r="D379" s="2810"/>
      <c r="E379" s="2900">
        <f>IF(OR(C53="",C54="",C55=""),"",C235/1000)</f>
        <v>2.4E-2</v>
      </c>
      <c r="F379" s="2810" t="s">
        <v>2820</v>
      </c>
      <c r="G379" s="2900"/>
      <c r="H379" s="2810"/>
      <c r="I379" s="2854"/>
      <c r="J379" s="2854"/>
      <c r="K379" s="2894"/>
      <c r="L379" s="2817"/>
      <c r="M379" s="2860"/>
    </row>
    <row r="380" spans="1:13" ht="15.75">
      <c r="A380" s="2797" t="s">
        <v>3211</v>
      </c>
      <c r="B380" s="2810" t="s">
        <v>3212</v>
      </c>
      <c r="C380" s="2797"/>
      <c r="D380" s="2800"/>
      <c r="E380" s="774">
        <f>IF(OR(C53="",C54="",C55=""),"",C226/100)</f>
        <v>0.5</v>
      </c>
      <c r="F380" s="2800"/>
      <c r="G380" s="2953"/>
      <c r="H380" s="2891"/>
      <c r="I380" s="2854"/>
      <c r="J380" s="2854"/>
      <c r="K380" s="2894"/>
      <c r="L380" s="2817"/>
      <c r="M380" s="2860"/>
    </row>
    <row r="381" spans="1:13" ht="15.75">
      <c r="A381" s="2797"/>
      <c r="B381" s="2810" t="s">
        <v>3213</v>
      </c>
      <c r="C381" s="2797"/>
      <c r="D381" s="2800"/>
      <c r="E381" s="774">
        <f>IF(OR(C53="",C54="",C55=""),"",C227/100)</f>
        <v>0.7</v>
      </c>
      <c r="F381" s="2800"/>
      <c r="G381" s="2953"/>
      <c r="H381" s="2891"/>
      <c r="I381" s="2854"/>
      <c r="J381" s="2854"/>
      <c r="K381" s="2894"/>
      <c r="L381" s="2817"/>
      <c r="M381" s="2860"/>
    </row>
    <row r="382" spans="1:13">
      <c r="A382" s="2953" t="s">
        <v>3275</v>
      </c>
      <c r="B382" s="2797"/>
      <c r="C382" s="2797"/>
      <c r="D382" s="2810"/>
      <c r="E382" s="3022"/>
      <c r="F382" s="3022"/>
      <c r="G382" s="2797"/>
      <c r="H382" s="2810"/>
      <c r="I382" s="2854"/>
      <c r="J382" s="2854"/>
      <c r="K382" s="2894"/>
      <c r="L382" s="2817"/>
      <c r="M382" s="2860"/>
    </row>
    <row r="383" spans="1:13">
      <c r="A383" s="2797" t="s">
        <v>3276</v>
      </c>
      <c r="B383" s="2807"/>
      <c r="C383" s="2797"/>
      <c r="D383" s="2810"/>
      <c r="E383" s="2797" t="str">
        <f>IF(OR(C53="",C54="",C55=""),"",C288)</f>
        <v>IT6</v>
      </c>
      <c r="F383" s="2953" t="str">
        <f>IF(OR(C53="",C54="",C55=""),"","GB 1800—79")</f>
        <v>GB 1800—79</v>
      </c>
      <c r="G383" s="2797"/>
      <c r="H383" s="2810"/>
      <c r="I383" s="2854"/>
      <c r="J383" s="2854"/>
      <c r="K383" s="2894"/>
      <c r="L383" s="2817"/>
      <c r="M383" s="2860"/>
    </row>
    <row r="384" spans="1:13">
      <c r="A384" s="2797" t="s">
        <v>3277</v>
      </c>
      <c r="B384" s="2807"/>
      <c r="C384" s="2797"/>
      <c r="D384" s="2810"/>
      <c r="E384" s="2797" t="str">
        <f>IF(OR(C53="",C54="",C55=""),"",C289)</f>
        <v>IT5</v>
      </c>
      <c r="F384" s="2953" t="str">
        <f>IF(OR(C53="",C54="",C55=""),"","GB 1800—79")</f>
        <v>GB 1800—79</v>
      </c>
      <c r="G384" s="2797"/>
      <c r="H384" s="2810"/>
      <c r="I384" s="2854"/>
      <c r="J384" s="2854"/>
      <c r="K384" s="2894"/>
      <c r="L384" s="2817"/>
      <c r="M384" s="2860"/>
    </row>
    <row r="385" spans="1:13">
      <c r="A385" s="2797" t="s">
        <v>3278</v>
      </c>
      <c r="B385" s="2810" t="s">
        <v>3357</v>
      </c>
      <c r="C385" s="2797"/>
      <c r="D385" s="3012"/>
      <c r="E385" s="2797" t="str">
        <f>IF(OR(C53="",C54="",C55=""),"",C290)</f>
        <v>IT8</v>
      </c>
      <c r="F385" s="2953" t="str">
        <f>IF(OR(C53="",C54="",C55=""),"","GB 1800—79")</f>
        <v>GB 1800—79</v>
      </c>
      <c r="G385" s="2797"/>
      <c r="H385" s="2810"/>
      <c r="I385" s="2854"/>
      <c r="J385" s="2854"/>
      <c r="K385" s="2894"/>
      <c r="L385" s="2817"/>
      <c r="M385" s="2860"/>
    </row>
    <row r="386" spans="1:13">
      <c r="A386" s="2871"/>
      <c r="B386" s="2810" t="s">
        <v>3358</v>
      </c>
      <c r="C386" s="2791"/>
      <c r="D386" s="3023"/>
      <c r="E386" s="3024" t="str">
        <f>IF(OR(C53="",C54="",C55=""),"",E290)</f>
        <v>IT11， 但不大于</v>
      </c>
      <c r="F386" s="2791">
        <f>IF(OR(C53="",C54="",C55=""),"",F290)</f>
        <v>0.3</v>
      </c>
      <c r="G386" s="2842" t="str">
        <f>IF(OR(C53="",C54="",C55=""),"","毫米")</f>
        <v>毫米</v>
      </c>
      <c r="H386" s="2842"/>
      <c r="I386" s="2854"/>
      <c r="J386" s="2854"/>
      <c r="K386" s="2894"/>
      <c r="L386" s="2817"/>
      <c r="M386" s="2860"/>
    </row>
    <row r="387" spans="1:13" ht="21">
      <c r="A387" s="3025" t="s">
        <v>4378</v>
      </c>
      <c r="B387" s="3026">
        <f>IF(OR(C53="",C54="",C55=""),"",IF(OR(E352&lt;&gt;E353,E352&lt;&gt;E354),E352,""))</f>
        <v>7</v>
      </c>
      <c r="C387" s="3027">
        <f>IF(OR(C53="",C54="",C55=""),"",IF(OR(E352&lt;&gt;E353,E352&lt;&gt;E354),-E353,""))</f>
        <v>-6</v>
      </c>
      <c r="D387" s="3028">
        <f>IF(OR(C53="",C54="",C55=""),"",IF(OR(E352&lt;&gt;E353,E352&lt;&gt;E354),-E354,E354))</f>
        <v>-6</v>
      </c>
      <c r="E387" s="3027" t="str">
        <f>IF(OR(C53="",C54="",C55=""),"",IF(C67&lt;&gt;"",C67,F265))</f>
        <v>K</v>
      </c>
      <c r="F387" s="3028" t="str">
        <f>IF(OR(C53="",C54="",C55="",C68&lt;&gt;""),"",F266)</f>
        <v>M</v>
      </c>
      <c r="G387" s="3010" t="str">
        <f>IF(OR(C53="",C54="",C55=""),""," GB 10095—88")</f>
        <v>GB 10095—88</v>
      </c>
      <c r="H387" s="3029"/>
      <c r="I387" s="3035"/>
      <c r="J387" s="2854"/>
      <c r="K387" s="2894"/>
      <c r="L387" s="2817"/>
      <c r="M387" s="2860"/>
    </row>
    <row r="388" spans="1:13" ht="20.25">
      <c r="A388" s="3025"/>
      <c r="B388" s="3030"/>
      <c r="C388" s="3011"/>
      <c r="D388" s="3010"/>
      <c r="E388" s="3011" t="str">
        <f>IF(OR(C53="",C54="",C55=""),"",IF(C68&lt;&gt;"",C68,""))</f>
        <v/>
      </c>
      <c r="F388" s="3010"/>
      <c r="G388" s="3010"/>
      <c r="H388" s="2953"/>
      <c r="I388" s="3035"/>
      <c r="J388" s="2854"/>
      <c r="K388" s="2894"/>
      <c r="L388" s="2817"/>
      <c r="M388" s="2860"/>
    </row>
    <row r="389" spans="1:13" ht="20.25">
      <c r="A389" s="2803" t="s">
        <v>4379</v>
      </c>
      <c r="B389" s="3030">
        <f>IF(OR(C53="",C54="",C55=""),"",IF(OR(E352&lt;&gt;E353,E352&lt;&gt;E354),E352,""))</f>
        <v>7</v>
      </c>
      <c r="C389" s="3011">
        <f>IF(OR(C53="",C54="",C55=""),"",IF(OR(E352&lt;&gt;E353,E352&lt;&gt;E354),-E353,""))</f>
        <v>-6</v>
      </c>
      <c r="D389" s="3010">
        <f>IF(OR(C53="",C54="",C55=""),"",IF(OR(E352&lt;&gt;E353,E352&lt;&gt;E354),-E354,E354))</f>
        <v>-6</v>
      </c>
      <c r="E389" s="3011" t="str">
        <f>IF(OR(C53="",C54="",C55=""),"",IF(C69&lt;&gt;"",C69,F267))</f>
        <v>J</v>
      </c>
      <c r="F389" s="3010" t="str">
        <f>IF(OR(C53="",C54="",C55="",C69&lt;&gt;""),"",F268)</f>
        <v>N</v>
      </c>
      <c r="G389" s="3010" t="str">
        <f>IF(OR(C53="",C54="",C55=""),""," GB 10095—88")</f>
        <v>GB 10095—88</v>
      </c>
      <c r="H389" s="2953"/>
      <c r="I389" s="3035"/>
      <c r="J389" s="2854"/>
      <c r="K389" s="2894"/>
      <c r="L389" s="2817"/>
      <c r="M389" s="2860"/>
    </row>
    <row r="390" spans="1:13" ht="15">
      <c r="A390" s="2815" t="s">
        <v>4738</v>
      </c>
      <c r="B390" s="2810"/>
      <c r="C390" s="2900"/>
      <c r="D390" s="2810"/>
      <c r="E390" s="3031"/>
      <c r="F390" s="2891"/>
      <c r="G390" s="2900"/>
      <c r="H390" s="2810"/>
      <c r="I390" s="2854"/>
      <c r="J390" s="2854"/>
      <c r="K390" s="2894"/>
      <c r="L390" s="2817"/>
      <c r="M390" s="2860"/>
    </row>
    <row r="391" spans="1:13" ht="15.75">
      <c r="A391" s="3032"/>
      <c r="B391" s="3032"/>
      <c r="C391" s="3033"/>
      <c r="D391" s="3033"/>
      <c r="E391" s="3034"/>
      <c r="F391" s="3033"/>
      <c r="G391" s="3033"/>
      <c r="H391" s="3033"/>
      <c r="I391" s="2854"/>
      <c r="J391" s="2854"/>
      <c r="K391" s="2894"/>
      <c r="L391" s="2817"/>
      <c r="M391" s="2860"/>
    </row>
    <row r="392" spans="1:13">
      <c r="A392" s="2860"/>
      <c r="B392" s="2893"/>
      <c r="C392" s="2893"/>
      <c r="D392" s="2893"/>
      <c r="E392" s="2893"/>
      <c r="F392" s="2893"/>
      <c r="G392" s="2893"/>
      <c r="H392" s="2893"/>
      <c r="I392" s="2854"/>
      <c r="J392" s="2854"/>
      <c r="K392" s="2894"/>
      <c r="L392" s="2817"/>
      <c r="M392" s="2860"/>
    </row>
    <row r="393" spans="1:13">
      <c r="A393" s="2860"/>
      <c r="B393" s="2893"/>
      <c r="C393" s="2893"/>
      <c r="D393" s="2893"/>
      <c r="E393" s="2893"/>
      <c r="F393" s="2893"/>
      <c r="G393" s="2893"/>
      <c r="H393" s="2893"/>
      <c r="I393" s="2854"/>
      <c r="J393" s="2854"/>
      <c r="K393" s="2894"/>
      <c r="L393" s="2817"/>
      <c r="M393" s="2860"/>
    </row>
    <row r="394" spans="1:13">
      <c r="A394" s="2860"/>
      <c r="B394" s="2893"/>
      <c r="C394" s="2893"/>
      <c r="D394" s="2893"/>
      <c r="E394" s="2893"/>
      <c r="F394" s="2893"/>
      <c r="G394" s="2893"/>
      <c r="H394" s="2893"/>
      <c r="I394" s="2854"/>
      <c r="J394" s="2854"/>
      <c r="K394" s="2894"/>
      <c r="L394" s="2817"/>
      <c r="M394" s="2860"/>
    </row>
    <row r="395" spans="1:13">
      <c r="A395" s="2860"/>
      <c r="B395" s="2893"/>
      <c r="C395" s="2893"/>
      <c r="D395" s="2893"/>
      <c r="E395" s="2893"/>
      <c r="F395" s="2893"/>
      <c r="G395" s="2893"/>
      <c r="H395" s="2893"/>
      <c r="I395" s="2854"/>
      <c r="J395" s="2854"/>
      <c r="K395" s="2894"/>
      <c r="L395" s="2817"/>
      <c r="M395" s="2860"/>
    </row>
    <row r="396" spans="1:13">
      <c r="A396" s="2860"/>
      <c r="B396" s="2893"/>
      <c r="C396" s="2893"/>
      <c r="D396" s="2893"/>
      <c r="E396" s="2893"/>
      <c r="F396" s="2893"/>
      <c r="G396" s="2893"/>
      <c r="H396" s="2893"/>
      <c r="I396" s="2854"/>
      <c r="J396" s="2854"/>
      <c r="K396" s="2894"/>
      <c r="L396" s="2817"/>
      <c r="M396" s="2860"/>
    </row>
  </sheetData>
  <phoneticPr fontId="214" type="noConversion"/>
  <pageMargins left="0.75" right="0.75" top="1" bottom="1" header="0.51" footer="0.51"/>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IV493"/>
  <sheetViews>
    <sheetView workbookViewId="0">
      <selection sqref="A1:L1"/>
    </sheetView>
  </sheetViews>
  <sheetFormatPr defaultColWidth="8.75" defaultRowHeight="14.25"/>
  <cols>
    <col min="1" max="1" width="16.875" style="2750" customWidth="1"/>
    <col min="2" max="2" width="13.875" style="2751" customWidth="1"/>
    <col min="3" max="3" width="11.5" style="2752" customWidth="1"/>
    <col min="4" max="12" width="11.5" style="2678" customWidth="1"/>
    <col min="13" max="32" width="9" style="2678"/>
    <col min="33" max="256" width="8.75" style="2678"/>
    <col min="257" max="16384" width="8.75" style="2679"/>
  </cols>
  <sheetData>
    <row r="1" spans="1:12" ht="36.950000000000003" customHeight="1">
      <c r="A1" s="4801" t="s">
        <v>4739</v>
      </c>
      <c r="B1" s="4801"/>
      <c r="C1" s="4801"/>
      <c r="D1" s="4801"/>
      <c r="E1" s="4801"/>
      <c r="F1" s="4801"/>
      <c r="G1" s="4801"/>
      <c r="H1" s="4801"/>
      <c r="I1" s="4801"/>
      <c r="J1" s="4801"/>
      <c r="K1" s="4801"/>
      <c r="L1" s="4801"/>
    </row>
    <row r="2" spans="1:12" ht="23.85" customHeight="1">
      <c r="A2" s="4803" t="s">
        <v>1562</v>
      </c>
      <c r="B2" s="4804" t="s">
        <v>4740</v>
      </c>
      <c r="C2" s="4805" t="s">
        <v>4741</v>
      </c>
      <c r="D2" s="4802" t="s">
        <v>4742</v>
      </c>
      <c r="E2" s="4802" t="s">
        <v>4743</v>
      </c>
      <c r="F2" s="4802" t="s">
        <v>4744</v>
      </c>
      <c r="G2" s="4802"/>
      <c r="H2" s="4802" t="s">
        <v>4745</v>
      </c>
      <c r="I2" s="4802"/>
      <c r="J2" s="4802" t="s">
        <v>4746</v>
      </c>
      <c r="K2" s="4802" t="s">
        <v>4747</v>
      </c>
      <c r="L2" s="4802" t="s">
        <v>4748</v>
      </c>
    </row>
    <row r="3" spans="1:12" ht="23.85" customHeight="1">
      <c r="A3" s="4803"/>
      <c r="B3" s="4804"/>
      <c r="C3" s="4805"/>
      <c r="D3" s="4802"/>
      <c r="E3" s="4802"/>
      <c r="F3" s="2754" t="s">
        <v>4749</v>
      </c>
      <c r="G3" s="2755" t="s">
        <v>1755</v>
      </c>
      <c r="H3" s="2754" t="s">
        <v>4750</v>
      </c>
      <c r="I3" s="2753" t="s">
        <v>1755</v>
      </c>
      <c r="J3" s="4802"/>
      <c r="K3" s="4802"/>
      <c r="L3" s="4802"/>
    </row>
    <row r="4" spans="1:12" ht="15.75">
      <c r="A4" s="2756" t="s">
        <v>4751</v>
      </c>
      <c r="B4" s="2757">
        <v>120000000000</v>
      </c>
      <c r="C4" s="2758">
        <v>0.31</v>
      </c>
      <c r="D4" s="2757">
        <v>7900</v>
      </c>
      <c r="E4" s="2759">
        <v>77000000000</v>
      </c>
      <c r="F4" s="2759">
        <v>861695000</v>
      </c>
      <c r="G4" s="2760">
        <f t="shared" ref="G4:G67" si="0">F4/1000000</f>
        <v>861.69500000000005</v>
      </c>
      <c r="H4" s="2759">
        <v>551485000</v>
      </c>
      <c r="I4" s="2760">
        <f t="shared" ref="I4:I67" si="1">H4/1000000</f>
        <v>551.48500000000001</v>
      </c>
      <c r="J4" s="2759">
        <v>1.1E-5</v>
      </c>
      <c r="K4" s="2759">
        <v>450</v>
      </c>
      <c r="L4" s="2766">
        <v>75</v>
      </c>
    </row>
    <row r="5" spans="1:12" ht="15.75">
      <c r="A5" s="2761" t="s">
        <v>4752</v>
      </c>
      <c r="B5" s="2762">
        <v>190000000000</v>
      </c>
      <c r="C5" s="2763">
        <v>0.27</v>
      </c>
      <c r="D5" s="2762">
        <v>7300</v>
      </c>
      <c r="E5" s="2764">
        <v>86000000000</v>
      </c>
      <c r="F5" s="2764">
        <v>300000000</v>
      </c>
      <c r="G5" s="2765">
        <f t="shared" si="0"/>
        <v>300</v>
      </c>
      <c r="H5" s="2764">
        <v>0</v>
      </c>
      <c r="I5" s="2765">
        <f t="shared" si="1"/>
        <v>0</v>
      </c>
      <c r="J5" s="2764">
        <v>1.2E-5</v>
      </c>
      <c r="K5" s="2764">
        <v>510</v>
      </c>
      <c r="L5" s="2767">
        <v>47</v>
      </c>
    </row>
    <row r="6" spans="1:12" ht="15.75">
      <c r="A6" s="2756" t="s">
        <v>4753</v>
      </c>
      <c r="B6" s="2757">
        <v>190000000000</v>
      </c>
      <c r="C6" s="2758">
        <v>0.27</v>
      </c>
      <c r="D6" s="2757">
        <v>7300</v>
      </c>
      <c r="E6" s="2759">
        <v>86000000000</v>
      </c>
      <c r="F6" s="2759">
        <v>350000000</v>
      </c>
      <c r="G6" s="2760">
        <f t="shared" si="0"/>
        <v>350</v>
      </c>
      <c r="H6" s="2759">
        <v>200000000</v>
      </c>
      <c r="I6" s="2760">
        <f t="shared" si="1"/>
        <v>200</v>
      </c>
      <c r="J6" s="2759">
        <v>1.2E-5</v>
      </c>
      <c r="K6" s="2759">
        <v>510</v>
      </c>
      <c r="L6" s="2766">
        <v>47</v>
      </c>
    </row>
    <row r="7" spans="1:12" ht="15.75">
      <c r="A7" s="2761" t="s">
        <v>4754</v>
      </c>
      <c r="B7" s="2762">
        <v>190000000000</v>
      </c>
      <c r="C7" s="2763">
        <v>0.27</v>
      </c>
      <c r="D7" s="2762">
        <v>7300</v>
      </c>
      <c r="E7" s="2764">
        <v>86000000000</v>
      </c>
      <c r="F7" s="2764">
        <v>450000000</v>
      </c>
      <c r="G7" s="2765">
        <f t="shared" si="0"/>
        <v>450</v>
      </c>
      <c r="H7" s="2764">
        <v>270000000</v>
      </c>
      <c r="I7" s="2765">
        <f t="shared" si="1"/>
        <v>270</v>
      </c>
      <c r="J7" s="2764">
        <v>1.2E-5</v>
      </c>
      <c r="K7" s="2764">
        <v>510</v>
      </c>
      <c r="L7" s="2767">
        <v>47</v>
      </c>
    </row>
    <row r="8" spans="1:12" ht="15.75">
      <c r="A8" s="2756" t="s">
        <v>4755</v>
      </c>
      <c r="B8" s="2757">
        <v>190000000000</v>
      </c>
      <c r="C8" s="2758">
        <v>0.27</v>
      </c>
      <c r="D8" s="2757">
        <v>7300</v>
      </c>
      <c r="E8" s="2759">
        <v>86000000000</v>
      </c>
      <c r="F8" s="2759">
        <v>550000000</v>
      </c>
      <c r="G8" s="2760">
        <f t="shared" si="0"/>
        <v>550</v>
      </c>
      <c r="H8" s="2759">
        <v>340000000</v>
      </c>
      <c r="I8" s="2760">
        <f t="shared" si="1"/>
        <v>340</v>
      </c>
      <c r="J8" s="2759">
        <v>1.2E-5</v>
      </c>
      <c r="K8" s="2759">
        <v>510</v>
      </c>
      <c r="L8" s="2766">
        <v>47</v>
      </c>
    </row>
    <row r="9" spans="1:12" ht="15.75">
      <c r="A9" s="2761" t="s">
        <v>4756</v>
      </c>
      <c r="B9" s="2762">
        <v>190000000000</v>
      </c>
      <c r="C9" s="2763">
        <v>0.27</v>
      </c>
      <c r="D9" s="2762">
        <v>7300</v>
      </c>
      <c r="E9" s="2764">
        <v>86000000000</v>
      </c>
      <c r="F9" s="2764">
        <v>650000000</v>
      </c>
      <c r="G9" s="2765">
        <f t="shared" si="0"/>
        <v>650</v>
      </c>
      <c r="H9" s="2764">
        <v>430000000</v>
      </c>
      <c r="I9" s="2765">
        <f t="shared" si="1"/>
        <v>430</v>
      </c>
      <c r="J9" s="2764">
        <v>1.2E-5</v>
      </c>
      <c r="K9" s="2764">
        <v>510</v>
      </c>
      <c r="L9" s="2767">
        <v>47</v>
      </c>
    </row>
    <row r="10" spans="1:12" ht="15.75">
      <c r="A10" s="2756" t="s">
        <v>4757</v>
      </c>
      <c r="B10" s="2757">
        <v>190000000000</v>
      </c>
      <c r="C10" s="2758">
        <v>0.27</v>
      </c>
      <c r="D10" s="2757">
        <v>7300</v>
      </c>
      <c r="E10" s="2759">
        <v>86000000000</v>
      </c>
      <c r="F10" s="2759">
        <v>700000000</v>
      </c>
      <c r="G10" s="2760">
        <f t="shared" si="0"/>
        <v>700</v>
      </c>
      <c r="H10" s="2759">
        <v>530000000</v>
      </c>
      <c r="I10" s="2760">
        <f t="shared" si="1"/>
        <v>530</v>
      </c>
      <c r="J10" s="2759">
        <v>1.2E-5</v>
      </c>
      <c r="K10" s="2759">
        <v>510</v>
      </c>
      <c r="L10" s="2766">
        <v>47</v>
      </c>
    </row>
    <row r="11" spans="1:12" ht="15.75">
      <c r="A11" s="2761" t="s">
        <v>4758</v>
      </c>
      <c r="B11" s="2762">
        <v>120000000000</v>
      </c>
      <c r="C11" s="2763">
        <v>0.31</v>
      </c>
      <c r="D11" s="2762">
        <v>7900</v>
      </c>
      <c r="E11" s="2764">
        <v>77000000000</v>
      </c>
      <c r="F11" s="2764">
        <v>350000000</v>
      </c>
      <c r="G11" s="2765">
        <f t="shared" si="0"/>
        <v>350</v>
      </c>
      <c r="H11" s="2764">
        <v>0</v>
      </c>
      <c r="I11" s="2765">
        <f t="shared" si="1"/>
        <v>0</v>
      </c>
      <c r="J11" s="2764">
        <v>1.1E-5</v>
      </c>
      <c r="K11" s="2764">
        <v>450</v>
      </c>
      <c r="L11" s="2767">
        <v>75</v>
      </c>
    </row>
    <row r="12" spans="1:12" ht="15.75">
      <c r="A12" s="2756" t="s">
        <v>4759</v>
      </c>
      <c r="B12" s="2757">
        <v>120000000000</v>
      </c>
      <c r="C12" s="2758">
        <v>0.31</v>
      </c>
      <c r="D12" s="2757">
        <v>7900</v>
      </c>
      <c r="E12" s="2759">
        <v>77000000000</v>
      </c>
      <c r="F12" s="2759">
        <v>380000000</v>
      </c>
      <c r="G12" s="2760">
        <f t="shared" si="0"/>
        <v>380</v>
      </c>
      <c r="H12" s="2759">
        <v>170000000</v>
      </c>
      <c r="I12" s="2760">
        <f t="shared" si="1"/>
        <v>170</v>
      </c>
      <c r="J12" s="2759">
        <v>1.1E-5</v>
      </c>
      <c r="K12" s="2759">
        <v>450</v>
      </c>
      <c r="L12" s="2766">
        <v>75</v>
      </c>
    </row>
    <row r="13" spans="1:12" ht="15.75">
      <c r="A13" s="2761" t="s">
        <v>4760</v>
      </c>
      <c r="B13" s="2762">
        <v>120000000000</v>
      </c>
      <c r="C13" s="2763">
        <v>0.31</v>
      </c>
      <c r="D13" s="2762">
        <v>7900</v>
      </c>
      <c r="E13" s="2764">
        <v>77000000000</v>
      </c>
      <c r="F13" s="2764">
        <v>440000000</v>
      </c>
      <c r="G13" s="2765">
        <f t="shared" si="0"/>
        <v>440</v>
      </c>
      <c r="H13" s="2764">
        <v>220000000</v>
      </c>
      <c r="I13" s="2765">
        <f t="shared" si="1"/>
        <v>220</v>
      </c>
      <c r="J13" s="2764">
        <v>1.1E-5</v>
      </c>
      <c r="K13" s="2764">
        <v>450</v>
      </c>
      <c r="L13" s="2767">
        <v>75</v>
      </c>
    </row>
    <row r="14" spans="1:12" ht="15.75">
      <c r="A14" s="2756" t="s">
        <v>4761</v>
      </c>
      <c r="B14" s="2757">
        <v>120000000000</v>
      </c>
      <c r="C14" s="2758">
        <v>0.31</v>
      </c>
      <c r="D14" s="2757">
        <v>7900</v>
      </c>
      <c r="E14" s="2759">
        <v>77000000000</v>
      </c>
      <c r="F14" s="2759">
        <v>450000000</v>
      </c>
      <c r="G14" s="2760">
        <f t="shared" si="0"/>
        <v>450</v>
      </c>
      <c r="H14" s="2759">
        <v>260000000</v>
      </c>
      <c r="I14" s="2760">
        <f t="shared" si="1"/>
        <v>260</v>
      </c>
      <c r="J14" s="2759">
        <v>1.1E-5</v>
      </c>
      <c r="K14" s="2759">
        <v>450</v>
      </c>
      <c r="L14" s="2766">
        <v>75</v>
      </c>
    </row>
    <row r="15" spans="1:12" ht="15.75">
      <c r="A15" s="2761" t="s">
        <v>4762</v>
      </c>
      <c r="B15" s="2762">
        <v>66178100000</v>
      </c>
      <c r="C15" s="2763">
        <v>0.27</v>
      </c>
      <c r="D15" s="2762">
        <v>7200</v>
      </c>
      <c r="E15" s="2764">
        <v>50000000000</v>
      </c>
      <c r="F15" s="2764">
        <v>151658000</v>
      </c>
      <c r="G15" s="2765">
        <f t="shared" si="0"/>
        <v>151.65799999999999</v>
      </c>
      <c r="H15" s="2764">
        <v>0</v>
      </c>
      <c r="I15" s="2765">
        <f t="shared" si="1"/>
        <v>0</v>
      </c>
      <c r="J15" s="2764">
        <v>1.2E-5</v>
      </c>
      <c r="K15" s="2764">
        <v>510</v>
      </c>
      <c r="L15" s="2767">
        <v>45</v>
      </c>
    </row>
    <row r="16" spans="1:12" ht="15.75">
      <c r="A16" s="2756" t="s">
        <v>4763</v>
      </c>
      <c r="B16" s="2757">
        <v>108000000000</v>
      </c>
      <c r="C16" s="2758">
        <v>0.123</v>
      </c>
      <c r="D16" s="2757">
        <v>7100</v>
      </c>
      <c r="E16" s="2759">
        <v>48000000000</v>
      </c>
      <c r="F16" s="2759">
        <v>150000000</v>
      </c>
      <c r="G16" s="2760">
        <f t="shared" si="0"/>
        <v>150</v>
      </c>
      <c r="H16" s="2759">
        <v>0</v>
      </c>
      <c r="I16" s="2760">
        <f t="shared" si="1"/>
        <v>0</v>
      </c>
      <c r="J16" s="2759">
        <v>8.1999999999999994E-6</v>
      </c>
      <c r="K16" s="2759">
        <v>510</v>
      </c>
      <c r="L16" s="2766">
        <v>45</v>
      </c>
    </row>
    <row r="17" spans="1:12" ht="15.75">
      <c r="A17" s="2761" t="s">
        <v>4764</v>
      </c>
      <c r="B17" s="2762">
        <v>116000000000</v>
      </c>
      <c r="C17" s="2763">
        <v>0.19400000000000001</v>
      </c>
      <c r="D17" s="2762">
        <v>7000</v>
      </c>
      <c r="E17" s="2764">
        <v>48600000000</v>
      </c>
      <c r="F17" s="2764">
        <v>150000000</v>
      </c>
      <c r="G17" s="2765">
        <f t="shared" si="0"/>
        <v>150</v>
      </c>
      <c r="H17" s="2764">
        <v>0</v>
      </c>
      <c r="I17" s="2765">
        <f t="shared" si="1"/>
        <v>0</v>
      </c>
      <c r="J17" s="2764">
        <v>1.01E-5</v>
      </c>
      <c r="K17" s="2764">
        <v>510</v>
      </c>
      <c r="L17" s="2767">
        <v>45</v>
      </c>
    </row>
    <row r="18" spans="1:12" ht="15.75">
      <c r="A18" s="2756" t="s">
        <v>4765</v>
      </c>
      <c r="B18" s="2757">
        <v>148000000000</v>
      </c>
      <c r="C18" s="2758">
        <v>0.31</v>
      </c>
      <c r="D18" s="2757">
        <v>7200</v>
      </c>
      <c r="E18" s="2759">
        <v>56600000000</v>
      </c>
      <c r="F18" s="2759">
        <v>200000000</v>
      </c>
      <c r="G18" s="2760">
        <f t="shared" si="0"/>
        <v>200</v>
      </c>
      <c r="H18" s="2759">
        <v>0</v>
      </c>
      <c r="I18" s="2760">
        <f t="shared" si="1"/>
        <v>0</v>
      </c>
      <c r="J18" s="2759">
        <v>1.098E-5</v>
      </c>
      <c r="K18" s="2759">
        <v>510</v>
      </c>
      <c r="L18" s="2766">
        <v>45</v>
      </c>
    </row>
    <row r="19" spans="1:12" ht="15.75">
      <c r="A19" s="2761" t="s">
        <v>4766</v>
      </c>
      <c r="B19" s="2762">
        <v>138000000000</v>
      </c>
      <c r="C19" s="2763">
        <v>0.156</v>
      </c>
      <c r="D19" s="2762">
        <v>7280</v>
      </c>
      <c r="E19" s="2764">
        <v>59800000000</v>
      </c>
      <c r="F19" s="2764">
        <v>250000000</v>
      </c>
      <c r="G19" s="2765">
        <f t="shared" si="0"/>
        <v>250</v>
      </c>
      <c r="H19" s="2764">
        <v>0</v>
      </c>
      <c r="I19" s="2765">
        <f t="shared" si="1"/>
        <v>0</v>
      </c>
      <c r="J19" s="2764">
        <v>8.1999999999999994E-6</v>
      </c>
      <c r="K19" s="2764">
        <v>510</v>
      </c>
      <c r="L19" s="2767">
        <v>45</v>
      </c>
    </row>
    <row r="20" spans="1:12" ht="15.75">
      <c r="A20" s="2756" t="s">
        <v>4767</v>
      </c>
      <c r="B20" s="2757">
        <v>143000000000</v>
      </c>
      <c r="C20" s="2758">
        <v>0.27</v>
      </c>
      <c r="D20" s="2757">
        <v>7300</v>
      </c>
      <c r="E20" s="2759">
        <v>56600000000</v>
      </c>
      <c r="F20" s="2759">
        <v>300000000</v>
      </c>
      <c r="G20" s="2760">
        <f t="shared" si="0"/>
        <v>300</v>
      </c>
      <c r="H20" s="2759">
        <v>0</v>
      </c>
      <c r="I20" s="2760">
        <f t="shared" si="1"/>
        <v>0</v>
      </c>
      <c r="J20" s="2759">
        <v>1.1219999999999999E-5</v>
      </c>
      <c r="K20" s="2759">
        <v>510</v>
      </c>
      <c r="L20" s="2766">
        <v>45</v>
      </c>
    </row>
    <row r="21" spans="1:12" ht="15.75">
      <c r="A21" s="2761" t="s">
        <v>4768</v>
      </c>
      <c r="B21" s="2762">
        <v>145000000000</v>
      </c>
      <c r="C21" s="2763">
        <v>0.27</v>
      </c>
      <c r="D21" s="2762">
        <v>7300</v>
      </c>
      <c r="E21" s="2764">
        <v>56600000000</v>
      </c>
      <c r="F21" s="2764">
        <v>350000000</v>
      </c>
      <c r="G21" s="2765">
        <f t="shared" si="0"/>
        <v>350</v>
      </c>
      <c r="H21" s="2764">
        <v>0</v>
      </c>
      <c r="I21" s="2765">
        <f t="shared" si="1"/>
        <v>0</v>
      </c>
      <c r="J21" s="2764">
        <v>1.1219999999999999E-5</v>
      </c>
      <c r="K21" s="2764">
        <v>510</v>
      </c>
      <c r="L21" s="2767">
        <v>45</v>
      </c>
    </row>
    <row r="22" spans="1:12" ht="15.75">
      <c r="A22" s="2756" t="s">
        <v>4769</v>
      </c>
      <c r="B22" s="2757">
        <v>190000000000</v>
      </c>
      <c r="C22" s="2758">
        <v>0.27</v>
      </c>
      <c r="D22" s="2757">
        <v>7300</v>
      </c>
      <c r="E22" s="2759">
        <v>86000000000</v>
      </c>
      <c r="F22" s="2759">
        <v>413613000</v>
      </c>
      <c r="G22" s="2760">
        <f t="shared" si="0"/>
        <v>413.613</v>
      </c>
      <c r="H22" s="2759">
        <v>275742000</v>
      </c>
      <c r="I22" s="2760">
        <f t="shared" si="1"/>
        <v>275.74200000000002</v>
      </c>
      <c r="J22" s="2759">
        <v>1.2E-5</v>
      </c>
      <c r="K22" s="2759">
        <v>510</v>
      </c>
      <c r="L22" s="2766">
        <v>47</v>
      </c>
    </row>
    <row r="23" spans="1:12" ht="15.75">
      <c r="A23" s="2761" t="s">
        <v>4770</v>
      </c>
      <c r="B23" s="2762">
        <v>161000000000</v>
      </c>
      <c r="C23" s="2763">
        <v>0.27400000000000002</v>
      </c>
      <c r="D23" s="2762">
        <v>7010</v>
      </c>
      <c r="E23" s="2764">
        <v>63200000000</v>
      </c>
      <c r="F23" s="2764">
        <v>400000000</v>
      </c>
      <c r="G23" s="2765">
        <f t="shared" si="0"/>
        <v>400</v>
      </c>
      <c r="H23" s="2764">
        <v>250000000</v>
      </c>
      <c r="I23" s="2765">
        <f t="shared" si="1"/>
        <v>250</v>
      </c>
      <c r="J23" s="2764">
        <v>1.29E-5</v>
      </c>
      <c r="K23" s="2764">
        <v>510</v>
      </c>
      <c r="L23" s="2767">
        <v>47</v>
      </c>
    </row>
    <row r="24" spans="1:12" ht="15.75">
      <c r="A24" s="2756" t="s">
        <v>4771</v>
      </c>
      <c r="B24" s="2757">
        <v>161000000000</v>
      </c>
      <c r="C24" s="2758">
        <v>0.27400000000000002</v>
      </c>
      <c r="D24" s="2757">
        <v>7010</v>
      </c>
      <c r="E24" s="2759">
        <v>63200000000</v>
      </c>
      <c r="F24" s="2759">
        <v>400000000</v>
      </c>
      <c r="G24" s="2760">
        <f t="shared" si="0"/>
        <v>400</v>
      </c>
      <c r="H24" s="2759">
        <v>250000000</v>
      </c>
      <c r="I24" s="2760">
        <f t="shared" si="1"/>
        <v>250</v>
      </c>
      <c r="J24" s="2759">
        <v>1.29E-5</v>
      </c>
      <c r="K24" s="2759">
        <v>510</v>
      </c>
      <c r="L24" s="2766">
        <v>47</v>
      </c>
    </row>
    <row r="25" spans="1:12" ht="15.75">
      <c r="A25" s="2761" t="s">
        <v>4772</v>
      </c>
      <c r="B25" s="2762">
        <v>169000000000</v>
      </c>
      <c r="C25" s="2763">
        <v>0.25700000000000001</v>
      </c>
      <c r="D25" s="2762">
        <v>7060</v>
      </c>
      <c r="E25" s="2764">
        <v>67600000000</v>
      </c>
      <c r="F25" s="2764">
        <v>450000000</v>
      </c>
      <c r="G25" s="2765">
        <f t="shared" si="0"/>
        <v>450</v>
      </c>
      <c r="H25" s="2764">
        <v>310000000</v>
      </c>
      <c r="I25" s="2765">
        <f t="shared" si="1"/>
        <v>310</v>
      </c>
      <c r="J25" s="2764">
        <v>1.01E-5</v>
      </c>
      <c r="K25" s="2764">
        <v>510</v>
      </c>
      <c r="L25" s="2767">
        <v>47</v>
      </c>
    </row>
    <row r="26" spans="1:12" ht="15.75">
      <c r="A26" s="2756" t="s">
        <v>4773</v>
      </c>
      <c r="B26" s="2757">
        <v>162000000000</v>
      </c>
      <c r="C26" s="2758">
        <v>0.29299999999999998</v>
      </c>
      <c r="D26" s="2757">
        <v>7000</v>
      </c>
      <c r="E26" s="2759">
        <v>62700000000</v>
      </c>
      <c r="F26" s="2759">
        <v>500000000</v>
      </c>
      <c r="G26" s="2760">
        <f t="shared" si="0"/>
        <v>500</v>
      </c>
      <c r="H26" s="2759">
        <v>320000000</v>
      </c>
      <c r="I26" s="2760">
        <f t="shared" si="1"/>
        <v>320</v>
      </c>
      <c r="J26" s="2759">
        <v>9.0999999999999993E-6</v>
      </c>
      <c r="K26" s="2759">
        <v>510</v>
      </c>
      <c r="L26" s="2766">
        <v>47</v>
      </c>
    </row>
    <row r="27" spans="1:12" ht="15.75">
      <c r="A27" s="2761" t="s">
        <v>4774</v>
      </c>
      <c r="B27" s="2762">
        <v>169000000000</v>
      </c>
      <c r="C27" s="2763">
        <v>0.28599999999999998</v>
      </c>
      <c r="D27" s="2762">
        <v>7120</v>
      </c>
      <c r="E27" s="2764">
        <v>65600000000</v>
      </c>
      <c r="F27" s="2764">
        <v>600000000</v>
      </c>
      <c r="G27" s="2765">
        <f t="shared" si="0"/>
        <v>600</v>
      </c>
      <c r="H27" s="2764">
        <v>370000000</v>
      </c>
      <c r="I27" s="2765">
        <f t="shared" si="1"/>
        <v>370</v>
      </c>
      <c r="J27" s="2764">
        <v>1.1800000000000001E-5</v>
      </c>
      <c r="K27" s="2764">
        <v>510</v>
      </c>
      <c r="L27" s="2767">
        <v>47</v>
      </c>
    </row>
    <row r="28" spans="1:12" ht="15.75">
      <c r="A28" s="2756" t="s">
        <v>4775</v>
      </c>
      <c r="B28" s="2757">
        <v>169000000000</v>
      </c>
      <c r="C28" s="2758">
        <v>0.30499999999999999</v>
      </c>
      <c r="D28" s="2757">
        <v>7090</v>
      </c>
      <c r="E28" s="2759">
        <v>64700000000</v>
      </c>
      <c r="F28" s="2759">
        <v>700000000</v>
      </c>
      <c r="G28" s="2760">
        <f t="shared" si="0"/>
        <v>700</v>
      </c>
      <c r="H28" s="2759">
        <v>420000000</v>
      </c>
      <c r="I28" s="2760">
        <f t="shared" si="1"/>
        <v>420</v>
      </c>
      <c r="J28" s="2759">
        <v>1.08E-5</v>
      </c>
      <c r="K28" s="2759">
        <v>510</v>
      </c>
      <c r="L28" s="2766">
        <v>47</v>
      </c>
    </row>
    <row r="29" spans="1:12" ht="15.75">
      <c r="A29" s="2761" t="s">
        <v>4776</v>
      </c>
      <c r="B29" s="2762">
        <v>174000000000</v>
      </c>
      <c r="C29" s="2763">
        <v>0.27</v>
      </c>
      <c r="D29" s="2762">
        <v>7300</v>
      </c>
      <c r="E29" s="2764">
        <v>68400000000</v>
      </c>
      <c r="F29" s="2764">
        <v>800000000</v>
      </c>
      <c r="G29" s="2765">
        <f t="shared" si="0"/>
        <v>800</v>
      </c>
      <c r="H29" s="2764">
        <v>480000000</v>
      </c>
      <c r="I29" s="2765">
        <f t="shared" si="1"/>
        <v>480</v>
      </c>
      <c r="J29" s="2764">
        <v>1.01E-5</v>
      </c>
      <c r="K29" s="2764">
        <v>510</v>
      </c>
      <c r="L29" s="2767">
        <v>47</v>
      </c>
    </row>
    <row r="30" spans="1:12" ht="15.75">
      <c r="A30" s="2756" t="s">
        <v>4777</v>
      </c>
      <c r="B30" s="2757">
        <v>181000000000</v>
      </c>
      <c r="C30" s="2758">
        <v>0.27</v>
      </c>
      <c r="D30" s="2757">
        <v>7180</v>
      </c>
      <c r="E30" s="2759">
        <v>71000000000</v>
      </c>
      <c r="F30" s="2759">
        <v>900000000</v>
      </c>
      <c r="G30" s="2760">
        <f t="shared" si="0"/>
        <v>900</v>
      </c>
      <c r="H30" s="2759">
        <v>600000000</v>
      </c>
      <c r="I30" s="2760">
        <f t="shared" si="1"/>
        <v>600</v>
      </c>
      <c r="J30" s="2759">
        <v>1.1E-5</v>
      </c>
      <c r="K30" s="2759">
        <v>510</v>
      </c>
      <c r="L30" s="2766">
        <v>47</v>
      </c>
    </row>
    <row r="31" spans="1:12" ht="15.75">
      <c r="A31" s="2761" t="s">
        <v>4778</v>
      </c>
      <c r="B31" s="2762">
        <v>212000000000</v>
      </c>
      <c r="C31" s="2763">
        <v>0.28599999999999998</v>
      </c>
      <c r="D31" s="2762">
        <v>7690</v>
      </c>
      <c r="E31" s="2764">
        <v>82400000000</v>
      </c>
      <c r="F31" s="2764">
        <v>350000000</v>
      </c>
      <c r="G31" s="2765">
        <f t="shared" si="0"/>
        <v>350</v>
      </c>
      <c r="H31" s="2764">
        <v>195000000</v>
      </c>
      <c r="I31" s="2765">
        <f t="shared" si="1"/>
        <v>195</v>
      </c>
      <c r="J31" s="2764">
        <v>8.8000000000000004E-6</v>
      </c>
      <c r="K31" s="2764">
        <v>440</v>
      </c>
      <c r="L31" s="2767">
        <v>43</v>
      </c>
    </row>
    <row r="32" spans="1:12" ht="15.75">
      <c r="A32" s="2756" t="s">
        <v>4779</v>
      </c>
      <c r="B32" s="2757">
        <v>212000000000</v>
      </c>
      <c r="C32" s="2758">
        <v>0.28799999999999998</v>
      </c>
      <c r="D32" s="2757">
        <v>7690</v>
      </c>
      <c r="E32" s="2759">
        <v>82500000000</v>
      </c>
      <c r="F32" s="2759">
        <v>350000000</v>
      </c>
      <c r="G32" s="2760">
        <f t="shared" si="0"/>
        <v>350</v>
      </c>
      <c r="H32" s="2759">
        <v>215000000</v>
      </c>
      <c r="I32" s="2760">
        <f t="shared" si="1"/>
        <v>215</v>
      </c>
      <c r="J32" s="2759">
        <v>8.8000000000000004E-6</v>
      </c>
      <c r="K32" s="2759">
        <v>440</v>
      </c>
      <c r="L32" s="2766">
        <v>43</v>
      </c>
    </row>
    <row r="33" spans="1:12" ht="15.75">
      <c r="A33" s="2761" t="s">
        <v>4780</v>
      </c>
      <c r="B33" s="2762">
        <v>208000000000</v>
      </c>
      <c r="C33" s="2763">
        <v>0.27700000000000002</v>
      </c>
      <c r="D33" s="2762">
        <v>7860</v>
      </c>
      <c r="E33" s="2764">
        <v>81400000000</v>
      </c>
      <c r="F33" s="2764">
        <v>390000000</v>
      </c>
      <c r="G33" s="2765">
        <f t="shared" si="0"/>
        <v>390</v>
      </c>
      <c r="H33" s="2764">
        <v>235000000</v>
      </c>
      <c r="I33" s="2765">
        <f t="shared" si="1"/>
        <v>235</v>
      </c>
      <c r="J33" s="2764">
        <v>8.6999999999999997E-6</v>
      </c>
      <c r="K33" s="2764">
        <v>440</v>
      </c>
      <c r="L33" s="2767">
        <v>43</v>
      </c>
    </row>
    <row r="34" spans="1:12" ht="15.75">
      <c r="A34" s="2756" t="s">
        <v>4781</v>
      </c>
      <c r="B34" s="2757">
        <v>212000000000</v>
      </c>
      <c r="C34" s="2758">
        <v>0.28799999999999998</v>
      </c>
      <c r="D34" s="2757">
        <v>7860</v>
      </c>
      <c r="E34" s="2759">
        <v>82300000000</v>
      </c>
      <c r="F34" s="2759">
        <v>390000000</v>
      </c>
      <c r="G34" s="2760">
        <f t="shared" si="0"/>
        <v>390</v>
      </c>
      <c r="H34" s="2759">
        <v>235000000</v>
      </c>
      <c r="I34" s="2760">
        <f t="shared" si="1"/>
        <v>235</v>
      </c>
      <c r="J34" s="2759">
        <v>1.2E-5</v>
      </c>
      <c r="K34" s="2759">
        <v>440</v>
      </c>
      <c r="L34" s="2766">
        <v>43</v>
      </c>
    </row>
    <row r="35" spans="1:12" ht="15.75">
      <c r="A35" s="2761" t="s">
        <v>4782</v>
      </c>
      <c r="B35" s="2762">
        <v>210000000000</v>
      </c>
      <c r="C35" s="2763">
        <v>0.27400000000000002</v>
      </c>
      <c r="D35" s="2762">
        <v>7830</v>
      </c>
      <c r="E35" s="2764">
        <v>82400000000</v>
      </c>
      <c r="F35" s="2764">
        <v>390000000</v>
      </c>
      <c r="G35" s="2765">
        <f t="shared" si="0"/>
        <v>390</v>
      </c>
      <c r="H35" s="2764">
        <v>235000000</v>
      </c>
      <c r="I35" s="2765">
        <f t="shared" si="1"/>
        <v>235</v>
      </c>
      <c r="J35" s="2764">
        <v>7.9999999999999996E-6</v>
      </c>
      <c r="K35" s="2764">
        <v>440</v>
      </c>
      <c r="L35" s="2767">
        <v>43</v>
      </c>
    </row>
    <row r="36" spans="1:12" ht="15.75">
      <c r="A36" s="2756" t="s">
        <v>4783</v>
      </c>
      <c r="B36" s="2757">
        <v>210000000000</v>
      </c>
      <c r="C36" s="2758">
        <v>0.27400000000000002</v>
      </c>
      <c r="D36" s="2757">
        <v>7830</v>
      </c>
      <c r="E36" s="2759">
        <v>82400000000</v>
      </c>
      <c r="F36" s="2759">
        <v>450000000</v>
      </c>
      <c r="G36" s="2760">
        <f t="shared" si="0"/>
        <v>450</v>
      </c>
      <c r="H36" s="2759">
        <v>255000000</v>
      </c>
      <c r="I36" s="2760">
        <f t="shared" si="1"/>
        <v>255</v>
      </c>
      <c r="J36" s="2759">
        <v>7.9999999999999996E-6</v>
      </c>
      <c r="K36" s="2759">
        <v>440</v>
      </c>
      <c r="L36" s="2766">
        <v>43</v>
      </c>
    </row>
    <row r="37" spans="1:12" ht="15.75">
      <c r="A37" s="2761" t="s">
        <v>4784</v>
      </c>
      <c r="B37" s="2762">
        <v>210000000000</v>
      </c>
      <c r="C37" s="2763">
        <v>0.27400000000000002</v>
      </c>
      <c r="D37" s="2762">
        <v>7830</v>
      </c>
      <c r="E37" s="2764">
        <v>82400000000</v>
      </c>
      <c r="F37" s="2764">
        <v>490000000</v>
      </c>
      <c r="G37" s="2765">
        <f t="shared" si="0"/>
        <v>490</v>
      </c>
      <c r="H37" s="2764">
        <v>250000000</v>
      </c>
      <c r="I37" s="2765">
        <f t="shared" si="1"/>
        <v>250</v>
      </c>
      <c r="J37" s="2764">
        <v>7.9999999999999996E-6</v>
      </c>
      <c r="K37" s="2764">
        <v>440</v>
      </c>
      <c r="L37" s="2767">
        <v>43</v>
      </c>
    </row>
    <row r="38" spans="1:12" ht="15.75">
      <c r="A38" s="2756" t="s">
        <v>4785</v>
      </c>
      <c r="B38" s="2757">
        <v>219000000000</v>
      </c>
      <c r="C38" s="2758">
        <v>0.26700000000000002</v>
      </c>
      <c r="D38" s="2757">
        <v>7830</v>
      </c>
      <c r="E38" s="2759">
        <v>86200000000</v>
      </c>
      <c r="F38" s="2759">
        <v>295000000</v>
      </c>
      <c r="G38" s="2760">
        <f t="shared" si="0"/>
        <v>295</v>
      </c>
      <c r="H38" s="2759">
        <v>175000000</v>
      </c>
      <c r="I38" s="2760">
        <f t="shared" si="1"/>
        <v>175</v>
      </c>
      <c r="J38" s="2759">
        <v>8.6999999999999997E-6</v>
      </c>
      <c r="K38" s="2759">
        <v>440</v>
      </c>
      <c r="L38" s="2766">
        <v>48</v>
      </c>
    </row>
    <row r="39" spans="1:12" ht="15.75">
      <c r="A39" s="2761">
        <v>8</v>
      </c>
      <c r="B39" s="2762">
        <v>211000000000</v>
      </c>
      <c r="C39" s="2763">
        <v>0.27900000000000003</v>
      </c>
      <c r="D39" s="2762">
        <v>7820</v>
      </c>
      <c r="E39" s="2764">
        <v>82500000000</v>
      </c>
      <c r="F39" s="2764">
        <v>295000000</v>
      </c>
      <c r="G39" s="2765">
        <f t="shared" si="0"/>
        <v>295</v>
      </c>
      <c r="H39" s="2764">
        <v>175000000</v>
      </c>
      <c r="I39" s="2765">
        <f t="shared" si="1"/>
        <v>175</v>
      </c>
      <c r="J39" s="2764">
        <v>1.22E-5</v>
      </c>
      <c r="K39" s="2764">
        <v>440</v>
      </c>
      <c r="L39" s="2767">
        <v>48</v>
      </c>
    </row>
    <row r="40" spans="1:12" ht="15.75">
      <c r="A40" s="2756" t="s">
        <v>4786</v>
      </c>
      <c r="B40" s="2757">
        <v>212000000000</v>
      </c>
      <c r="C40" s="2758">
        <v>0.27</v>
      </c>
      <c r="D40" s="2757">
        <v>7850</v>
      </c>
      <c r="E40" s="2759">
        <v>82600000000</v>
      </c>
      <c r="F40" s="2759">
        <v>315000000</v>
      </c>
      <c r="G40" s="2760">
        <f t="shared" si="0"/>
        <v>315</v>
      </c>
      <c r="H40" s="2759">
        <v>185000000</v>
      </c>
      <c r="I40" s="2760">
        <f t="shared" si="1"/>
        <v>185</v>
      </c>
      <c r="J40" s="2759">
        <v>1.2500000000000001E-5</v>
      </c>
      <c r="K40" s="2759">
        <v>440</v>
      </c>
      <c r="L40" s="2766">
        <v>48</v>
      </c>
    </row>
    <row r="41" spans="1:12" ht="15.75">
      <c r="A41" s="2761">
        <v>10</v>
      </c>
      <c r="B41" s="2762">
        <v>210000000000</v>
      </c>
      <c r="C41" s="2763">
        <v>0.27</v>
      </c>
      <c r="D41" s="2762">
        <v>7860</v>
      </c>
      <c r="E41" s="2764">
        <v>82600000000</v>
      </c>
      <c r="F41" s="2764">
        <v>315000000</v>
      </c>
      <c r="G41" s="2765">
        <f t="shared" si="0"/>
        <v>315</v>
      </c>
      <c r="H41" s="2764">
        <v>185000000</v>
      </c>
      <c r="I41" s="2765">
        <f t="shared" si="1"/>
        <v>185</v>
      </c>
      <c r="J41" s="2764">
        <v>1.26E-5</v>
      </c>
      <c r="K41" s="2764">
        <v>440</v>
      </c>
      <c r="L41" s="2767">
        <v>48</v>
      </c>
    </row>
    <row r="42" spans="1:12" ht="15.75">
      <c r="A42" s="2756" t="s">
        <v>4787</v>
      </c>
      <c r="B42" s="2757">
        <v>212000000000</v>
      </c>
      <c r="C42" s="2758">
        <v>0.28799999999999998</v>
      </c>
      <c r="D42" s="2757">
        <v>7850</v>
      </c>
      <c r="E42" s="2759">
        <v>82400000000</v>
      </c>
      <c r="F42" s="2759">
        <v>355000000</v>
      </c>
      <c r="G42" s="2760">
        <f t="shared" si="0"/>
        <v>355</v>
      </c>
      <c r="H42" s="2759">
        <v>205000000</v>
      </c>
      <c r="I42" s="2760">
        <f t="shared" si="1"/>
        <v>205</v>
      </c>
      <c r="J42" s="2759">
        <v>1.188E-5</v>
      </c>
      <c r="K42" s="2759">
        <v>440</v>
      </c>
      <c r="L42" s="2766">
        <v>48</v>
      </c>
    </row>
    <row r="43" spans="1:12" ht="15.75">
      <c r="A43" s="2761">
        <v>15</v>
      </c>
      <c r="B43" s="2762">
        <v>213000000000</v>
      </c>
      <c r="C43" s="2763">
        <v>0.28899999999999998</v>
      </c>
      <c r="D43" s="2762">
        <v>7850</v>
      </c>
      <c r="E43" s="2764">
        <v>82600000000</v>
      </c>
      <c r="F43" s="2764">
        <v>375000000</v>
      </c>
      <c r="G43" s="2765">
        <f t="shared" si="0"/>
        <v>375</v>
      </c>
      <c r="H43" s="2764">
        <v>225000000</v>
      </c>
      <c r="I43" s="2765">
        <f t="shared" si="1"/>
        <v>225</v>
      </c>
      <c r="J43" s="2764">
        <v>1.187E-5</v>
      </c>
      <c r="K43" s="2764">
        <v>440</v>
      </c>
      <c r="L43" s="2767">
        <v>48</v>
      </c>
    </row>
    <row r="44" spans="1:12" ht="15.75">
      <c r="A44" s="2756">
        <v>20</v>
      </c>
      <c r="B44" s="2757">
        <v>213000000000</v>
      </c>
      <c r="C44" s="2758">
        <v>0.28199999999999997</v>
      </c>
      <c r="D44" s="2757">
        <v>7800</v>
      </c>
      <c r="E44" s="2759">
        <v>83100000000</v>
      </c>
      <c r="F44" s="2759">
        <v>410000000</v>
      </c>
      <c r="G44" s="2760">
        <f t="shared" si="0"/>
        <v>410</v>
      </c>
      <c r="H44" s="2759">
        <v>245000000</v>
      </c>
      <c r="I44" s="2760">
        <f t="shared" si="1"/>
        <v>245</v>
      </c>
      <c r="J44" s="2759">
        <v>1.1919999999999999E-5</v>
      </c>
      <c r="K44" s="2759">
        <v>440</v>
      </c>
      <c r="L44" s="2766">
        <v>48</v>
      </c>
    </row>
    <row r="45" spans="1:12" ht="15.75">
      <c r="A45" s="2761" t="s">
        <v>4788</v>
      </c>
      <c r="B45" s="2762">
        <v>211000000000</v>
      </c>
      <c r="C45" s="2763">
        <v>0.28599999999999998</v>
      </c>
      <c r="D45" s="2762">
        <v>7800</v>
      </c>
      <c r="E45" s="2764">
        <v>82310000000</v>
      </c>
      <c r="F45" s="2764">
        <v>425000000</v>
      </c>
      <c r="G45" s="2765">
        <f t="shared" si="0"/>
        <v>425</v>
      </c>
      <c r="H45" s="2764">
        <v>245000000</v>
      </c>
      <c r="I45" s="2765">
        <f t="shared" si="1"/>
        <v>245</v>
      </c>
      <c r="J45" s="2764">
        <v>1.239E-5</v>
      </c>
      <c r="K45" s="2764">
        <v>440</v>
      </c>
      <c r="L45" s="2767">
        <v>48</v>
      </c>
    </row>
    <row r="46" spans="1:12" ht="15.75">
      <c r="A46" s="2756" t="s">
        <v>4789</v>
      </c>
      <c r="B46" s="2757">
        <v>211000000000</v>
      </c>
      <c r="C46" s="2758">
        <v>0.28599999999999998</v>
      </c>
      <c r="D46" s="2757">
        <v>7800</v>
      </c>
      <c r="E46" s="2759">
        <v>82300000000</v>
      </c>
      <c r="F46" s="2759">
        <v>400000000</v>
      </c>
      <c r="G46" s="2760">
        <f t="shared" si="0"/>
        <v>400</v>
      </c>
      <c r="H46" s="2759">
        <v>245000000</v>
      </c>
      <c r="I46" s="2760">
        <f t="shared" si="1"/>
        <v>245</v>
      </c>
      <c r="J46" s="2759">
        <v>1.239E-5</v>
      </c>
      <c r="K46" s="2759">
        <v>440</v>
      </c>
      <c r="L46" s="2766">
        <v>48</v>
      </c>
    </row>
    <row r="47" spans="1:12" ht="15.75">
      <c r="A47" s="2761">
        <v>25</v>
      </c>
      <c r="B47" s="2762">
        <v>206000000000</v>
      </c>
      <c r="C47" s="2763">
        <v>0.28100000000000003</v>
      </c>
      <c r="D47" s="2762">
        <v>7850</v>
      </c>
      <c r="E47" s="2764">
        <v>80400000000</v>
      </c>
      <c r="F47" s="2764">
        <v>450000000</v>
      </c>
      <c r="G47" s="2765">
        <f t="shared" si="0"/>
        <v>450</v>
      </c>
      <c r="H47" s="2764">
        <v>275000000</v>
      </c>
      <c r="I47" s="2765">
        <f t="shared" si="1"/>
        <v>275</v>
      </c>
      <c r="J47" s="2764">
        <v>1.1E-5</v>
      </c>
      <c r="K47" s="2764">
        <v>440</v>
      </c>
      <c r="L47" s="2767">
        <v>48</v>
      </c>
    </row>
    <row r="48" spans="1:12" ht="15.75">
      <c r="A48" s="2756">
        <v>30</v>
      </c>
      <c r="B48" s="2757">
        <v>217000000000</v>
      </c>
      <c r="C48" s="2758">
        <v>0.317</v>
      </c>
      <c r="D48" s="2757">
        <v>7860</v>
      </c>
      <c r="E48" s="2759">
        <v>82000000000</v>
      </c>
      <c r="F48" s="2759">
        <v>490000000</v>
      </c>
      <c r="G48" s="2760">
        <f t="shared" si="0"/>
        <v>490</v>
      </c>
      <c r="H48" s="2759">
        <v>295000000</v>
      </c>
      <c r="I48" s="2760">
        <f t="shared" si="1"/>
        <v>295</v>
      </c>
      <c r="J48" s="2759">
        <v>1.08E-5</v>
      </c>
      <c r="K48" s="2759">
        <v>440</v>
      </c>
      <c r="L48" s="2766">
        <v>48</v>
      </c>
    </row>
    <row r="49" spans="1:12" ht="15.75">
      <c r="A49" s="2761">
        <v>35</v>
      </c>
      <c r="B49" s="2762">
        <v>212000000000</v>
      </c>
      <c r="C49" s="2763">
        <v>0.29099999999999998</v>
      </c>
      <c r="D49" s="2762">
        <v>7870</v>
      </c>
      <c r="E49" s="2764">
        <v>82100000000</v>
      </c>
      <c r="F49" s="2764">
        <v>530000000</v>
      </c>
      <c r="G49" s="2765">
        <f t="shared" si="0"/>
        <v>530</v>
      </c>
      <c r="H49" s="2764">
        <v>315000000</v>
      </c>
      <c r="I49" s="2765">
        <f t="shared" si="1"/>
        <v>315</v>
      </c>
      <c r="J49" s="2764">
        <v>1.2449999999999999E-5</v>
      </c>
      <c r="K49" s="2764">
        <v>440</v>
      </c>
      <c r="L49" s="2767">
        <v>48</v>
      </c>
    </row>
    <row r="50" spans="1:12" ht="15.75">
      <c r="A50" s="2756">
        <v>40</v>
      </c>
      <c r="B50" s="2757">
        <v>209000000000</v>
      </c>
      <c r="C50" s="2758">
        <v>0.27</v>
      </c>
      <c r="D50" s="2757">
        <v>7810</v>
      </c>
      <c r="E50" s="2759">
        <v>82300000000</v>
      </c>
      <c r="F50" s="2759">
        <v>570000000</v>
      </c>
      <c r="G50" s="2760">
        <f t="shared" si="0"/>
        <v>570</v>
      </c>
      <c r="H50" s="2759">
        <v>335000000</v>
      </c>
      <c r="I50" s="2760">
        <f t="shared" si="1"/>
        <v>335</v>
      </c>
      <c r="J50" s="2759">
        <v>9.0000000000000002E-6</v>
      </c>
      <c r="K50" s="2759">
        <v>440</v>
      </c>
      <c r="L50" s="2766">
        <v>48</v>
      </c>
    </row>
    <row r="51" spans="1:12" ht="15.75">
      <c r="A51" s="2761">
        <v>45</v>
      </c>
      <c r="B51" s="2762">
        <v>209000000000</v>
      </c>
      <c r="C51" s="2763">
        <v>0.26900000000000002</v>
      </c>
      <c r="D51" s="2762">
        <v>7890</v>
      </c>
      <c r="E51" s="2764">
        <v>82300000000</v>
      </c>
      <c r="F51" s="2764">
        <v>600000000</v>
      </c>
      <c r="G51" s="2765">
        <f t="shared" si="0"/>
        <v>600</v>
      </c>
      <c r="H51" s="2764">
        <v>355000000</v>
      </c>
      <c r="I51" s="2765">
        <f t="shared" si="1"/>
        <v>355</v>
      </c>
      <c r="J51" s="2764">
        <v>1.17E-5</v>
      </c>
      <c r="K51" s="2764">
        <v>450</v>
      </c>
      <c r="L51" s="2767">
        <v>48</v>
      </c>
    </row>
    <row r="52" spans="1:12" ht="15.75">
      <c r="A52" s="2756">
        <v>50</v>
      </c>
      <c r="B52" s="2757">
        <v>207000000000</v>
      </c>
      <c r="C52" s="2758">
        <v>0.27600000000000002</v>
      </c>
      <c r="D52" s="2757">
        <v>7860</v>
      </c>
      <c r="E52" s="2759">
        <v>81100000000</v>
      </c>
      <c r="F52" s="2759">
        <v>630000000</v>
      </c>
      <c r="G52" s="2760">
        <f t="shared" si="0"/>
        <v>630</v>
      </c>
      <c r="H52" s="2759">
        <v>375000000</v>
      </c>
      <c r="I52" s="2760">
        <f t="shared" si="1"/>
        <v>375</v>
      </c>
      <c r="J52" s="2759">
        <v>1.206E-5</v>
      </c>
      <c r="K52" s="2759">
        <v>450</v>
      </c>
      <c r="L52" s="2766">
        <v>48</v>
      </c>
    </row>
    <row r="53" spans="1:12" ht="15.75">
      <c r="A53" s="2761">
        <v>55</v>
      </c>
      <c r="B53" s="2762">
        <v>217000000000</v>
      </c>
      <c r="C53" s="2763">
        <v>0.27</v>
      </c>
      <c r="D53" s="2762">
        <v>7830</v>
      </c>
      <c r="E53" s="2764">
        <v>85300000000</v>
      </c>
      <c r="F53" s="2764">
        <v>645000000</v>
      </c>
      <c r="G53" s="2765">
        <f t="shared" si="0"/>
        <v>645</v>
      </c>
      <c r="H53" s="2764">
        <v>380000000</v>
      </c>
      <c r="I53" s="2765">
        <f t="shared" si="1"/>
        <v>380</v>
      </c>
      <c r="J53" s="2764">
        <v>9.9000000000000001E-6</v>
      </c>
      <c r="K53" s="2764">
        <v>450</v>
      </c>
      <c r="L53" s="2767">
        <v>48</v>
      </c>
    </row>
    <row r="54" spans="1:12" ht="15.75">
      <c r="A54" s="2756">
        <v>60</v>
      </c>
      <c r="B54" s="2757">
        <v>212000000000</v>
      </c>
      <c r="C54" s="2758">
        <v>0.26400000000000001</v>
      </c>
      <c r="D54" s="2757">
        <v>8500</v>
      </c>
      <c r="E54" s="2759">
        <v>84000000000</v>
      </c>
      <c r="F54" s="2759">
        <v>675000000</v>
      </c>
      <c r="G54" s="2760">
        <f t="shared" si="0"/>
        <v>675</v>
      </c>
      <c r="H54" s="2759">
        <v>400000000</v>
      </c>
      <c r="I54" s="2760">
        <f t="shared" si="1"/>
        <v>400</v>
      </c>
      <c r="J54" s="2759">
        <v>9.5999999999999996E-6</v>
      </c>
      <c r="K54" s="2759">
        <v>450</v>
      </c>
      <c r="L54" s="2766">
        <v>48</v>
      </c>
    </row>
    <row r="55" spans="1:12" ht="15.75">
      <c r="A55" s="2761">
        <v>70</v>
      </c>
      <c r="B55" s="2762">
        <v>206000000000</v>
      </c>
      <c r="C55" s="2763">
        <v>0.30399999999999999</v>
      </c>
      <c r="D55" s="2762">
        <v>7810</v>
      </c>
      <c r="E55" s="2764">
        <v>79000000000</v>
      </c>
      <c r="F55" s="2764">
        <v>715000000</v>
      </c>
      <c r="G55" s="2765">
        <f t="shared" si="0"/>
        <v>715</v>
      </c>
      <c r="H55" s="2764">
        <v>420000000</v>
      </c>
      <c r="I55" s="2765">
        <f t="shared" si="1"/>
        <v>420</v>
      </c>
      <c r="J55" s="2764">
        <v>1.15E-5</v>
      </c>
      <c r="K55" s="2764">
        <v>450</v>
      </c>
      <c r="L55" s="2767">
        <v>48</v>
      </c>
    </row>
    <row r="56" spans="1:12" ht="15.75">
      <c r="A56" s="2756">
        <v>80</v>
      </c>
      <c r="B56" s="2757">
        <v>216000000000</v>
      </c>
      <c r="C56" s="2758">
        <v>0.31</v>
      </c>
      <c r="D56" s="2757">
        <v>7850</v>
      </c>
      <c r="E56" s="2759">
        <v>79500000000</v>
      </c>
      <c r="F56" s="2759">
        <v>1080000000</v>
      </c>
      <c r="G56" s="2760">
        <f t="shared" si="0"/>
        <v>1080</v>
      </c>
      <c r="H56" s="2759">
        <v>930000000</v>
      </c>
      <c r="I56" s="2760">
        <f t="shared" si="1"/>
        <v>930</v>
      </c>
      <c r="J56" s="2759">
        <v>1.1800000000000001E-5</v>
      </c>
      <c r="K56" s="2759">
        <v>450</v>
      </c>
      <c r="L56" s="2766">
        <v>48</v>
      </c>
    </row>
    <row r="57" spans="1:12" ht="15.75">
      <c r="A57" s="2761" t="s">
        <v>4790</v>
      </c>
      <c r="B57" s="2762">
        <v>210000000000</v>
      </c>
      <c r="C57" s="2763">
        <v>0.28000000000000003</v>
      </c>
      <c r="D57" s="2762">
        <v>8000</v>
      </c>
      <c r="E57" s="2764">
        <v>80000000000</v>
      </c>
      <c r="F57" s="2764">
        <v>410000000</v>
      </c>
      <c r="G57" s="2765">
        <f t="shared" si="0"/>
        <v>410</v>
      </c>
      <c r="H57" s="2764">
        <v>245000000</v>
      </c>
      <c r="I57" s="2765">
        <f t="shared" si="1"/>
        <v>245</v>
      </c>
      <c r="J57" s="2764">
        <v>1.2999999999999999E-5</v>
      </c>
      <c r="K57" s="2764">
        <v>450</v>
      </c>
      <c r="L57" s="2767">
        <v>48</v>
      </c>
    </row>
    <row r="58" spans="1:12" ht="15.75">
      <c r="A58" s="2756" t="s">
        <v>4791</v>
      </c>
      <c r="B58" s="2757">
        <v>212000000000</v>
      </c>
      <c r="C58" s="2758">
        <v>0.31</v>
      </c>
      <c r="D58" s="2757">
        <v>7870</v>
      </c>
      <c r="E58" s="2759">
        <v>80700000000</v>
      </c>
      <c r="F58" s="2759">
        <v>420000000</v>
      </c>
      <c r="G58" s="2760">
        <f t="shared" si="0"/>
        <v>420</v>
      </c>
      <c r="H58" s="2759">
        <v>250000000</v>
      </c>
      <c r="I58" s="2760">
        <f t="shared" si="1"/>
        <v>250</v>
      </c>
      <c r="J58" s="2759">
        <v>1.2799999999999999E-5</v>
      </c>
      <c r="K58" s="2759">
        <v>450</v>
      </c>
      <c r="L58" s="2766">
        <v>48</v>
      </c>
    </row>
    <row r="59" spans="1:12" ht="15.75">
      <c r="A59" s="2761" t="s">
        <v>4792</v>
      </c>
      <c r="B59" s="2762">
        <v>210000000000</v>
      </c>
      <c r="C59" s="2763">
        <v>0.28000000000000003</v>
      </c>
      <c r="D59" s="2762">
        <v>8000</v>
      </c>
      <c r="E59" s="2764">
        <v>80000000000</v>
      </c>
      <c r="F59" s="2764">
        <v>490000000</v>
      </c>
      <c r="G59" s="2765">
        <f t="shared" si="0"/>
        <v>490</v>
      </c>
      <c r="H59" s="2764">
        <v>295000000</v>
      </c>
      <c r="I59" s="2765">
        <f t="shared" si="1"/>
        <v>295</v>
      </c>
      <c r="J59" s="2764">
        <v>1.2999999999999999E-5</v>
      </c>
      <c r="K59" s="2764">
        <v>450</v>
      </c>
      <c r="L59" s="2767">
        <v>48</v>
      </c>
    </row>
    <row r="60" spans="1:12" ht="15.75">
      <c r="A60" s="2756" t="s">
        <v>4793</v>
      </c>
      <c r="B60" s="2757">
        <v>210000000000</v>
      </c>
      <c r="C60" s="2758">
        <v>0.28000000000000003</v>
      </c>
      <c r="D60" s="2757">
        <v>8000</v>
      </c>
      <c r="E60" s="2759">
        <v>80000000000</v>
      </c>
      <c r="F60" s="2759">
        <v>560000000</v>
      </c>
      <c r="G60" s="2760">
        <f t="shared" si="0"/>
        <v>560</v>
      </c>
      <c r="H60" s="2759">
        <v>335000000</v>
      </c>
      <c r="I60" s="2760">
        <f t="shared" si="1"/>
        <v>335</v>
      </c>
      <c r="J60" s="2759">
        <v>1.2999999999999999E-5</v>
      </c>
      <c r="K60" s="2759">
        <v>450</v>
      </c>
      <c r="L60" s="2766">
        <v>48</v>
      </c>
    </row>
    <row r="61" spans="1:12" ht="15.75">
      <c r="A61" s="2761" t="s">
        <v>4794</v>
      </c>
      <c r="B61" s="2762">
        <v>210000000000</v>
      </c>
      <c r="C61" s="2763">
        <v>0.28000000000000003</v>
      </c>
      <c r="D61" s="2762">
        <v>8000</v>
      </c>
      <c r="E61" s="2764">
        <v>80000000000</v>
      </c>
      <c r="F61" s="2764">
        <v>620000000</v>
      </c>
      <c r="G61" s="2765">
        <f t="shared" si="0"/>
        <v>620</v>
      </c>
      <c r="H61" s="2764">
        <v>375000000</v>
      </c>
      <c r="I61" s="2765">
        <f t="shared" si="1"/>
        <v>375</v>
      </c>
      <c r="J61" s="2764">
        <v>1.2999999999999999E-5</v>
      </c>
      <c r="K61" s="2764">
        <v>450</v>
      </c>
      <c r="L61" s="2767">
        <v>48</v>
      </c>
    </row>
    <row r="62" spans="1:12" ht="15.75">
      <c r="A62" s="2756" t="s">
        <v>4795</v>
      </c>
      <c r="B62" s="2757">
        <v>210000000000</v>
      </c>
      <c r="C62" s="2758">
        <v>0.28799999999999998</v>
      </c>
      <c r="D62" s="2757">
        <v>7820</v>
      </c>
      <c r="E62" s="2759">
        <v>81900000000</v>
      </c>
      <c r="F62" s="2759">
        <v>695000000</v>
      </c>
      <c r="G62" s="2760">
        <f t="shared" si="0"/>
        <v>695</v>
      </c>
      <c r="H62" s="2759">
        <v>410000000</v>
      </c>
      <c r="I62" s="2760">
        <f t="shared" si="1"/>
        <v>410</v>
      </c>
      <c r="J62" s="2759">
        <v>1.2099999999999999E-5</v>
      </c>
      <c r="K62" s="2759">
        <v>450</v>
      </c>
      <c r="L62" s="2766">
        <v>48</v>
      </c>
    </row>
    <row r="63" spans="1:12" ht="15.75">
      <c r="A63" s="2761" t="s">
        <v>4796</v>
      </c>
      <c r="B63" s="2762">
        <v>211000000000</v>
      </c>
      <c r="C63" s="2763">
        <v>0.28799999999999998</v>
      </c>
      <c r="D63" s="2762">
        <v>7820</v>
      </c>
      <c r="E63" s="2764">
        <v>81900000000</v>
      </c>
      <c r="F63" s="2764">
        <v>735000000</v>
      </c>
      <c r="G63" s="2765">
        <f t="shared" si="0"/>
        <v>735</v>
      </c>
      <c r="H63" s="2764">
        <v>430000000</v>
      </c>
      <c r="I63" s="2765">
        <f t="shared" si="1"/>
        <v>430</v>
      </c>
      <c r="J63" s="2764">
        <v>1.2E-5</v>
      </c>
      <c r="K63" s="2764">
        <v>450</v>
      </c>
      <c r="L63" s="2767">
        <v>48</v>
      </c>
    </row>
    <row r="64" spans="1:12" ht="15.75">
      <c r="A64" s="2756" t="s">
        <v>4797</v>
      </c>
      <c r="B64" s="2757">
        <v>215000000000</v>
      </c>
      <c r="C64" s="2758">
        <v>0.28999999999999998</v>
      </c>
      <c r="D64" s="2757">
        <v>7840</v>
      </c>
      <c r="E64" s="2759">
        <v>82000000000</v>
      </c>
      <c r="F64" s="2759">
        <v>785000000</v>
      </c>
      <c r="G64" s="2760">
        <f t="shared" si="0"/>
        <v>785</v>
      </c>
      <c r="H64" s="2759">
        <v>450000000</v>
      </c>
      <c r="I64" s="2760">
        <f t="shared" si="1"/>
        <v>450</v>
      </c>
      <c r="J64" s="2759">
        <v>1.19E-5</v>
      </c>
      <c r="K64" s="2759">
        <v>450</v>
      </c>
      <c r="L64" s="2766">
        <v>48</v>
      </c>
    </row>
    <row r="65" spans="1:12" ht="15.75">
      <c r="A65" s="2761" t="s">
        <v>4798</v>
      </c>
      <c r="B65" s="2762">
        <v>137000000000</v>
      </c>
      <c r="C65" s="2763">
        <v>0.31</v>
      </c>
      <c r="D65" s="2762">
        <v>8980</v>
      </c>
      <c r="E65" s="2764">
        <v>52000000000</v>
      </c>
      <c r="F65" s="2764">
        <v>715000000</v>
      </c>
      <c r="G65" s="2765">
        <f t="shared" si="0"/>
        <v>715</v>
      </c>
      <c r="H65" s="2764">
        <v>420000000</v>
      </c>
      <c r="I65" s="2765">
        <f t="shared" si="1"/>
        <v>420</v>
      </c>
      <c r="J65" s="2764">
        <v>1.7280000000000001E-5</v>
      </c>
      <c r="K65" s="2764">
        <v>450</v>
      </c>
      <c r="L65" s="2767">
        <v>48</v>
      </c>
    </row>
    <row r="66" spans="1:12" ht="15.75">
      <c r="A66" s="2756" t="s">
        <v>4799</v>
      </c>
      <c r="B66" s="2757">
        <v>107900000000</v>
      </c>
      <c r="C66" s="2758">
        <v>0.35</v>
      </c>
      <c r="D66" s="2757">
        <v>8910</v>
      </c>
      <c r="E66" s="2759">
        <v>44100000000</v>
      </c>
      <c r="F66" s="2759">
        <v>715000000</v>
      </c>
      <c r="G66" s="2760">
        <f t="shared" si="0"/>
        <v>715</v>
      </c>
      <c r="H66" s="2759">
        <v>420000000</v>
      </c>
      <c r="I66" s="2760">
        <f t="shared" si="1"/>
        <v>420</v>
      </c>
      <c r="J66" s="2759">
        <v>1.6920000000000001E-5</v>
      </c>
      <c r="K66" s="2759">
        <v>450</v>
      </c>
      <c r="L66" s="2766">
        <v>48</v>
      </c>
    </row>
    <row r="67" spans="1:12" ht="15.75">
      <c r="A67" s="2761" t="s">
        <v>4800</v>
      </c>
      <c r="B67" s="2762">
        <v>210000000000</v>
      </c>
      <c r="C67" s="2763">
        <v>0.27500000000000002</v>
      </c>
      <c r="D67" s="2762">
        <v>7900</v>
      </c>
      <c r="E67" s="2764">
        <v>80000000000</v>
      </c>
      <c r="F67" s="2764">
        <v>715000000</v>
      </c>
      <c r="G67" s="2765">
        <f t="shared" si="0"/>
        <v>715</v>
      </c>
      <c r="H67" s="2764">
        <v>420000000</v>
      </c>
      <c r="I67" s="2765">
        <f t="shared" si="1"/>
        <v>420</v>
      </c>
      <c r="J67" s="2764">
        <v>1.2999999999999999E-5</v>
      </c>
      <c r="K67" s="2764">
        <v>450</v>
      </c>
      <c r="L67" s="2767">
        <v>48</v>
      </c>
    </row>
    <row r="68" spans="1:12" ht="15.75">
      <c r="A68" s="2756" t="s">
        <v>4801</v>
      </c>
      <c r="B68" s="2757">
        <v>223000000000</v>
      </c>
      <c r="C68" s="2758">
        <v>0.27700000000000002</v>
      </c>
      <c r="D68" s="2757">
        <v>7840</v>
      </c>
      <c r="E68" s="2759">
        <v>87200000000</v>
      </c>
      <c r="F68" s="2759">
        <v>1080000000</v>
      </c>
      <c r="G68" s="2760">
        <f t="shared" ref="G68:G131" si="2">F68/1000000</f>
        <v>1080</v>
      </c>
      <c r="H68" s="2759">
        <v>930000000</v>
      </c>
      <c r="I68" s="2760">
        <f t="shared" ref="I68:I131" si="3">H68/1000000</f>
        <v>930</v>
      </c>
      <c r="J68" s="2759">
        <v>1.06E-5</v>
      </c>
      <c r="K68" s="2759">
        <v>450</v>
      </c>
      <c r="L68" s="2766">
        <v>48</v>
      </c>
    </row>
    <row r="69" spans="1:12" ht="15.75">
      <c r="A69" s="2761" t="s">
        <v>4802</v>
      </c>
      <c r="B69" s="2762">
        <v>210000000000</v>
      </c>
      <c r="C69" s="2763">
        <v>0.27500000000000002</v>
      </c>
      <c r="D69" s="2762">
        <v>7900</v>
      </c>
      <c r="E69" s="2764">
        <v>80000000000</v>
      </c>
      <c r="F69" s="2764">
        <v>1080000000</v>
      </c>
      <c r="G69" s="2765">
        <f t="shared" si="2"/>
        <v>1080</v>
      </c>
      <c r="H69" s="2764">
        <v>930000000</v>
      </c>
      <c r="I69" s="2765">
        <f t="shared" si="3"/>
        <v>930</v>
      </c>
      <c r="J69" s="2764">
        <v>1.2999999999999999E-5</v>
      </c>
      <c r="K69" s="2764">
        <v>450</v>
      </c>
      <c r="L69" s="2767">
        <v>48</v>
      </c>
    </row>
    <row r="70" spans="1:12" ht="15.75">
      <c r="A70" s="2756" t="s">
        <v>4803</v>
      </c>
      <c r="B70" s="2757">
        <v>210000000000</v>
      </c>
      <c r="C70" s="2758">
        <v>0.27500000000000002</v>
      </c>
      <c r="D70" s="2757">
        <v>7900</v>
      </c>
      <c r="E70" s="2759">
        <v>80000000000</v>
      </c>
      <c r="F70" s="2759">
        <v>1130000000</v>
      </c>
      <c r="G70" s="2760">
        <f t="shared" si="2"/>
        <v>1130</v>
      </c>
      <c r="H70" s="2759">
        <v>980000000</v>
      </c>
      <c r="I70" s="2760">
        <f t="shared" si="3"/>
        <v>980</v>
      </c>
      <c r="J70" s="2759">
        <v>1.2999999999999999E-5</v>
      </c>
      <c r="K70" s="2759">
        <v>450</v>
      </c>
      <c r="L70" s="2766">
        <v>48</v>
      </c>
    </row>
    <row r="71" spans="1:12" ht="15.75">
      <c r="A71" s="2761" t="s">
        <v>4804</v>
      </c>
      <c r="B71" s="2762">
        <v>210000000000</v>
      </c>
      <c r="C71" s="2763">
        <v>0.27500000000000002</v>
      </c>
      <c r="D71" s="2762">
        <v>7900</v>
      </c>
      <c r="E71" s="2764">
        <v>80000000000</v>
      </c>
      <c r="F71" s="2764">
        <v>1150000000</v>
      </c>
      <c r="G71" s="2765">
        <f t="shared" si="2"/>
        <v>1150</v>
      </c>
      <c r="H71" s="2764">
        <v>990000000</v>
      </c>
      <c r="I71" s="2765">
        <f t="shared" si="3"/>
        <v>990</v>
      </c>
      <c r="J71" s="2764">
        <v>1.2999999999999999E-5</v>
      </c>
      <c r="K71" s="2764">
        <v>450</v>
      </c>
      <c r="L71" s="2767">
        <v>48</v>
      </c>
    </row>
    <row r="72" spans="1:12" ht="15.75">
      <c r="A72" s="2756" t="s">
        <v>4805</v>
      </c>
      <c r="B72" s="2757">
        <v>211000000000</v>
      </c>
      <c r="C72" s="2758">
        <v>0.311</v>
      </c>
      <c r="D72" s="2757">
        <v>7830</v>
      </c>
      <c r="E72" s="2759">
        <v>80400000000</v>
      </c>
      <c r="F72" s="2759">
        <v>482549000</v>
      </c>
      <c r="G72" s="2760">
        <f t="shared" si="2"/>
        <v>482.54899999999998</v>
      </c>
      <c r="H72" s="2759">
        <v>248168000</v>
      </c>
      <c r="I72" s="2760">
        <f t="shared" si="3"/>
        <v>248.16800000000001</v>
      </c>
      <c r="J72" s="2759">
        <v>9.5999999999999996E-6</v>
      </c>
      <c r="K72" s="2759">
        <v>500</v>
      </c>
      <c r="L72" s="2766">
        <v>30</v>
      </c>
    </row>
    <row r="73" spans="1:12" ht="15.75">
      <c r="A73" s="2761" t="s">
        <v>4806</v>
      </c>
      <c r="B73" s="2762">
        <v>211000000000</v>
      </c>
      <c r="C73" s="2763">
        <v>0.28999999999999998</v>
      </c>
      <c r="D73" s="2762">
        <v>7860</v>
      </c>
      <c r="E73" s="2764">
        <v>82100000000</v>
      </c>
      <c r="F73" s="2764">
        <v>482549000</v>
      </c>
      <c r="G73" s="2765">
        <f t="shared" si="2"/>
        <v>482.54899999999998</v>
      </c>
      <c r="H73" s="2764">
        <v>248168000</v>
      </c>
      <c r="I73" s="2765">
        <f t="shared" si="3"/>
        <v>248.16800000000001</v>
      </c>
      <c r="J73" s="2764">
        <v>1.2649999999999999E-5</v>
      </c>
      <c r="K73" s="2764">
        <v>500</v>
      </c>
      <c r="L73" s="2767">
        <v>30</v>
      </c>
    </row>
    <row r="74" spans="1:12" ht="15.75">
      <c r="A74" s="2756" t="s">
        <v>4807</v>
      </c>
      <c r="B74" s="2757">
        <v>215000000000</v>
      </c>
      <c r="C74" s="2758">
        <v>0.27</v>
      </c>
      <c r="D74" s="2757">
        <v>7720</v>
      </c>
      <c r="E74" s="2759">
        <v>84210000000</v>
      </c>
      <c r="F74" s="2759">
        <v>482549000</v>
      </c>
      <c r="G74" s="2760">
        <f t="shared" si="2"/>
        <v>482.54899999999998</v>
      </c>
      <c r="H74" s="2759">
        <v>248168000</v>
      </c>
      <c r="I74" s="2760">
        <f t="shared" si="3"/>
        <v>248.16800000000001</v>
      </c>
      <c r="J74" s="2759">
        <v>1.2265E-5</v>
      </c>
      <c r="K74" s="2759">
        <v>500</v>
      </c>
      <c r="L74" s="2766">
        <v>30</v>
      </c>
    </row>
    <row r="75" spans="1:12" ht="15.75">
      <c r="A75" s="2761" t="s">
        <v>4808</v>
      </c>
      <c r="B75" s="2762">
        <v>206000000000</v>
      </c>
      <c r="C75" s="2763">
        <v>0.28000000000000003</v>
      </c>
      <c r="D75" s="2762">
        <v>7850</v>
      </c>
      <c r="E75" s="2764">
        <v>79000000000</v>
      </c>
      <c r="F75" s="2764">
        <v>390000000</v>
      </c>
      <c r="G75" s="2765">
        <f t="shared" si="2"/>
        <v>390</v>
      </c>
      <c r="H75" s="2764">
        <v>295000000</v>
      </c>
      <c r="I75" s="2765">
        <f t="shared" si="3"/>
        <v>295</v>
      </c>
      <c r="J75" s="2764">
        <v>1.2999999999999999E-5</v>
      </c>
      <c r="K75" s="2764">
        <v>460</v>
      </c>
      <c r="L75" s="2767">
        <v>44</v>
      </c>
    </row>
    <row r="76" spans="1:12" ht="15.75">
      <c r="A76" s="2756" t="s">
        <v>4809</v>
      </c>
      <c r="B76" s="2757">
        <v>206000000000</v>
      </c>
      <c r="C76" s="2758">
        <v>0.28000000000000003</v>
      </c>
      <c r="D76" s="2757">
        <v>7850</v>
      </c>
      <c r="E76" s="2759">
        <v>79000000000</v>
      </c>
      <c r="F76" s="2759">
        <v>470000000</v>
      </c>
      <c r="G76" s="2760">
        <f t="shared" si="2"/>
        <v>470</v>
      </c>
      <c r="H76" s="2759">
        <v>345000000</v>
      </c>
      <c r="I76" s="2760">
        <f t="shared" si="3"/>
        <v>345</v>
      </c>
      <c r="J76" s="2759">
        <v>1.2999999999999999E-5</v>
      </c>
      <c r="K76" s="2759">
        <v>460</v>
      </c>
      <c r="L76" s="2766">
        <v>44</v>
      </c>
    </row>
    <row r="77" spans="1:12" ht="15.75">
      <c r="A77" s="2761" t="s">
        <v>4810</v>
      </c>
      <c r="B77" s="2762">
        <v>206000000000</v>
      </c>
      <c r="C77" s="2763">
        <v>0.28000000000000003</v>
      </c>
      <c r="D77" s="2762">
        <v>7850</v>
      </c>
      <c r="E77" s="2764">
        <v>79000000000</v>
      </c>
      <c r="F77" s="2764">
        <v>490000000</v>
      </c>
      <c r="G77" s="2765">
        <f t="shared" si="2"/>
        <v>490</v>
      </c>
      <c r="H77" s="2764">
        <v>390000000</v>
      </c>
      <c r="I77" s="2765">
        <f t="shared" si="3"/>
        <v>390</v>
      </c>
      <c r="J77" s="2764">
        <v>1.2999999999999999E-5</v>
      </c>
      <c r="K77" s="2764">
        <v>460</v>
      </c>
      <c r="L77" s="2767">
        <v>44</v>
      </c>
    </row>
    <row r="78" spans="1:12" ht="15.75">
      <c r="A78" s="2756" t="s">
        <v>4811</v>
      </c>
      <c r="B78" s="2757">
        <v>206000000000</v>
      </c>
      <c r="C78" s="2758">
        <v>0.28000000000000003</v>
      </c>
      <c r="D78" s="2757">
        <v>7850</v>
      </c>
      <c r="E78" s="2759">
        <v>79000000000</v>
      </c>
      <c r="F78" s="2759">
        <v>520000000</v>
      </c>
      <c r="G78" s="2760">
        <f t="shared" si="2"/>
        <v>520</v>
      </c>
      <c r="H78" s="2759">
        <v>420000000</v>
      </c>
      <c r="I78" s="2760">
        <f t="shared" si="3"/>
        <v>420</v>
      </c>
      <c r="J78" s="2759">
        <v>1.2999999999999999E-5</v>
      </c>
      <c r="K78" s="2759">
        <v>460</v>
      </c>
      <c r="L78" s="2766">
        <v>44</v>
      </c>
    </row>
    <row r="79" spans="1:12" ht="15.75">
      <c r="A79" s="2761" t="s">
        <v>4812</v>
      </c>
      <c r="B79" s="2762">
        <v>206000000000</v>
      </c>
      <c r="C79" s="2763">
        <v>0.28000000000000003</v>
      </c>
      <c r="D79" s="2762">
        <v>7850</v>
      </c>
      <c r="E79" s="2764">
        <v>79000000000</v>
      </c>
      <c r="F79" s="2764">
        <v>550000000</v>
      </c>
      <c r="G79" s="2765">
        <f t="shared" si="2"/>
        <v>550</v>
      </c>
      <c r="H79" s="2764">
        <v>460000000</v>
      </c>
      <c r="I79" s="2765">
        <f t="shared" si="3"/>
        <v>460</v>
      </c>
      <c r="J79" s="2764">
        <v>1.2999999999999999E-5</v>
      </c>
      <c r="K79" s="2764">
        <v>460</v>
      </c>
      <c r="L79" s="2767">
        <v>44</v>
      </c>
    </row>
    <row r="80" spans="1:12" ht="15.75">
      <c r="A80" s="2756">
        <v>4140</v>
      </c>
      <c r="B80" s="2757">
        <v>200000000000</v>
      </c>
      <c r="C80" s="2758">
        <v>0.28999999999999998</v>
      </c>
      <c r="D80" s="2757">
        <v>7830</v>
      </c>
      <c r="E80" s="2759">
        <v>76000000000</v>
      </c>
      <c r="F80" s="2759">
        <v>795000000</v>
      </c>
      <c r="G80" s="2760">
        <f t="shared" si="2"/>
        <v>795</v>
      </c>
      <c r="H80" s="2759">
        <v>610000000</v>
      </c>
      <c r="I80" s="2760">
        <f t="shared" si="3"/>
        <v>610</v>
      </c>
      <c r="J80" s="2759">
        <v>1.1800000000000001E-5</v>
      </c>
      <c r="K80" s="2759">
        <v>460</v>
      </c>
      <c r="L80" s="2766">
        <v>44</v>
      </c>
    </row>
    <row r="81" spans="1:12" ht="15.75">
      <c r="A81" s="2761" t="s">
        <v>4813</v>
      </c>
      <c r="B81" s="2762">
        <v>207000000000</v>
      </c>
      <c r="C81" s="2763">
        <v>0.254</v>
      </c>
      <c r="D81" s="2762">
        <v>7830</v>
      </c>
      <c r="E81" s="2764">
        <v>82500000000</v>
      </c>
      <c r="F81" s="2764">
        <v>835000000</v>
      </c>
      <c r="G81" s="2765">
        <f t="shared" si="2"/>
        <v>835</v>
      </c>
      <c r="H81" s="2764">
        <v>540000000</v>
      </c>
      <c r="I81" s="2765">
        <f t="shared" si="3"/>
        <v>540</v>
      </c>
      <c r="J81" s="2764">
        <v>1.13E-5</v>
      </c>
      <c r="K81" s="2764">
        <v>460</v>
      </c>
      <c r="L81" s="2767">
        <v>44</v>
      </c>
    </row>
    <row r="82" spans="1:12" ht="15.75">
      <c r="A82" s="2756" t="s">
        <v>4814</v>
      </c>
      <c r="B82" s="2757">
        <v>206000000000</v>
      </c>
      <c r="C82" s="2758">
        <v>0.28999999999999998</v>
      </c>
      <c r="D82" s="2757">
        <v>7820</v>
      </c>
      <c r="E82" s="2759">
        <v>79000000000</v>
      </c>
      <c r="F82" s="2759">
        <v>885000000</v>
      </c>
      <c r="G82" s="2760">
        <f t="shared" si="2"/>
        <v>885</v>
      </c>
      <c r="H82" s="2759">
        <v>685000000</v>
      </c>
      <c r="I82" s="2760">
        <f t="shared" si="3"/>
        <v>685</v>
      </c>
      <c r="J82" s="2759">
        <v>1.2999999999999999E-5</v>
      </c>
      <c r="K82" s="2759">
        <v>460</v>
      </c>
      <c r="L82" s="2766">
        <v>44</v>
      </c>
    </row>
    <row r="83" spans="1:12" ht="15.75">
      <c r="A83" s="2761" t="s">
        <v>4815</v>
      </c>
      <c r="B83" s="2762">
        <v>211000000000</v>
      </c>
      <c r="C83" s="2763">
        <v>0.27700000000000002</v>
      </c>
      <c r="D83" s="2762">
        <v>7870</v>
      </c>
      <c r="E83" s="2764">
        <v>82800000000</v>
      </c>
      <c r="F83" s="2764">
        <v>980000000</v>
      </c>
      <c r="G83" s="2765">
        <f t="shared" si="2"/>
        <v>980</v>
      </c>
      <c r="H83" s="2764">
        <v>785000000</v>
      </c>
      <c r="I83" s="2765">
        <f t="shared" si="3"/>
        <v>785</v>
      </c>
      <c r="J83" s="2764">
        <v>1.199E-5</v>
      </c>
      <c r="K83" s="2764">
        <v>460</v>
      </c>
      <c r="L83" s="2767">
        <v>44</v>
      </c>
    </row>
    <row r="84" spans="1:12" ht="15.75">
      <c r="A84" s="2756" t="s">
        <v>4816</v>
      </c>
      <c r="B84" s="2757">
        <v>206000000000</v>
      </c>
      <c r="C84" s="2758">
        <v>0.28999999999999998</v>
      </c>
      <c r="D84" s="2757">
        <v>7820</v>
      </c>
      <c r="E84" s="2759">
        <v>79000000000</v>
      </c>
      <c r="F84" s="2759">
        <v>1030000000</v>
      </c>
      <c r="G84" s="2760">
        <f t="shared" si="2"/>
        <v>1030</v>
      </c>
      <c r="H84" s="2759">
        <v>835000000</v>
      </c>
      <c r="I84" s="2760">
        <f t="shared" si="3"/>
        <v>835</v>
      </c>
      <c r="J84" s="2759">
        <v>1.2999999999999999E-5</v>
      </c>
      <c r="K84" s="2759">
        <v>460</v>
      </c>
      <c r="L84" s="2766">
        <v>44</v>
      </c>
    </row>
    <row r="85" spans="1:12" ht="15.75">
      <c r="A85" s="2761" t="s">
        <v>4817</v>
      </c>
      <c r="B85" s="2762">
        <v>206000000000</v>
      </c>
      <c r="C85" s="2763">
        <v>0.28999999999999998</v>
      </c>
      <c r="D85" s="2762">
        <v>7820</v>
      </c>
      <c r="E85" s="2764">
        <v>79000000000</v>
      </c>
      <c r="F85" s="2764">
        <v>1080000000</v>
      </c>
      <c r="G85" s="2765">
        <f t="shared" si="2"/>
        <v>1080</v>
      </c>
      <c r="H85" s="2764">
        <v>930000000</v>
      </c>
      <c r="I85" s="2765">
        <f t="shared" si="3"/>
        <v>930</v>
      </c>
      <c r="J85" s="2764">
        <v>1.2999999999999999E-5</v>
      </c>
      <c r="K85" s="2764">
        <v>460</v>
      </c>
      <c r="L85" s="2767">
        <v>44</v>
      </c>
    </row>
    <row r="86" spans="1:12" ht="15.75">
      <c r="A86" s="2756" t="s">
        <v>4818</v>
      </c>
      <c r="B86" s="2757">
        <v>212000000000</v>
      </c>
      <c r="C86" s="2758">
        <v>0.28399999999999997</v>
      </c>
      <c r="D86" s="2757">
        <v>7880</v>
      </c>
      <c r="E86" s="2759">
        <v>82500000000</v>
      </c>
      <c r="F86" s="2759">
        <v>440000000</v>
      </c>
      <c r="G86" s="2760">
        <f t="shared" si="2"/>
        <v>440</v>
      </c>
      <c r="H86" s="2759">
        <v>295000000</v>
      </c>
      <c r="I86" s="2760">
        <f t="shared" si="3"/>
        <v>295</v>
      </c>
      <c r="J86" s="2759">
        <v>1.3370000000000001E-5</v>
      </c>
      <c r="K86" s="2759">
        <v>460</v>
      </c>
      <c r="L86" s="2766">
        <v>44</v>
      </c>
    </row>
    <row r="87" spans="1:12" ht="15.75">
      <c r="A87" s="2761" t="s">
        <v>4819</v>
      </c>
      <c r="B87" s="2762">
        <v>210000000000</v>
      </c>
      <c r="C87" s="2763">
        <v>0.27800000000000002</v>
      </c>
      <c r="D87" s="2762">
        <v>7840</v>
      </c>
      <c r="E87" s="2764">
        <v>82200000000</v>
      </c>
      <c r="F87" s="2764">
        <v>885000000</v>
      </c>
      <c r="G87" s="2765">
        <f t="shared" si="2"/>
        <v>885</v>
      </c>
      <c r="H87" s="2764">
        <v>685000000</v>
      </c>
      <c r="I87" s="2765">
        <f t="shared" si="3"/>
        <v>685</v>
      </c>
      <c r="J87" s="2764">
        <v>1.27E-5</v>
      </c>
      <c r="K87" s="2764">
        <v>460</v>
      </c>
      <c r="L87" s="2767">
        <v>44</v>
      </c>
    </row>
    <row r="88" spans="1:12" ht="15.75">
      <c r="A88" s="2756" t="s">
        <v>4820</v>
      </c>
      <c r="B88" s="2757">
        <v>210000000000</v>
      </c>
      <c r="C88" s="2758">
        <v>0.27800000000000002</v>
      </c>
      <c r="D88" s="2757">
        <v>7840</v>
      </c>
      <c r="E88" s="2759">
        <v>82200000000</v>
      </c>
      <c r="F88" s="2759">
        <v>1258000000</v>
      </c>
      <c r="G88" s="2760">
        <f t="shared" si="2"/>
        <v>1258</v>
      </c>
      <c r="H88" s="2759">
        <v>1079000000</v>
      </c>
      <c r="I88" s="2760">
        <f t="shared" si="3"/>
        <v>1079</v>
      </c>
      <c r="J88" s="2759">
        <v>1.27E-5</v>
      </c>
      <c r="K88" s="2759">
        <v>460</v>
      </c>
      <c r="L88" s="2766">
        <v>44</v>
      </c>
    </row>
    <row r="89" spans="1:12" ht="15.75">
      <c r="A89" s="2761" t="s">
        <v>4821</v>
      </c>
      <c r="B89" s="2762">
        <v>211000000000</v>
      </c>
      <c r="C89" s="2763">
        <v>0.3</v>
      </c>
      <c r="D89" s="2762">
        <v>7620</v>
      </c>
      <c r="E89" s="2764">
        <v>81000000000</v>
      </c>
      <c r="F89" s="2764">
        <v>1090000000</v>
      </c>
      <c r="G89" s="2765">
        <f t="shared" si="2"/>
        <v>1090</v>
      </c>
      <c r="H89" s="2764">
        <v>1042000000</v>
      </c>
      <c r="I89" s="2765">
        <f t="shared" si="3"/>
        <v>1042</v>
      </c>
      <c r="J89" s="2764">
        <v>1.1800000000000001E-5</v>
      </c>
      <c r="K89" s="2764">
        <v>460</v>
      </c>
      <c r="L89" s="2767">
        <v>44</v>
      </c>
    </row>
    <row r="90" spans="1:12" ht="15.75">
      <c r="A90" s="2756" t="s">
        <v>4822</v>
      </c>
      <c r="B90" s="2757">
        <v>211000000000</v>
      </c>
      <c r="C90" s="2758">
        <v>0.3</v>
      </c>
      <c r="D90" s="2757">
        <v>7620</v>
      </c>
      <c r="E90" s="2759">
        <v>81000000000</v>
      </c>
      <c r="F90" s="2759">
        <v>930000000</v>
      </c>
      <c r="G90" s="2760">
        <f t="shared" si="2"/>
        <v>930</v>
      </c>
      <c r="H90" s="2759">
        <v>785000000</v>
      </c>
      <c r="I90" s="2760">
        <f t="shared" si="3"/>
        <v>785</v>
      </c>
      <c r="J90" s="2759">
        <v>1.1800000000000001E-5</v>
      </c>
      <c r="K90" s="2759">
        <v>460</v>
      </c>
      <c r="L90" s="2766">
        <v>44</v>
      </c>
    </row>
    <row r="91" spans="1:12" ht="15.75">
      <c r="A91" s="2761" t="s">
        <v>4823</v>
      </c>
      <c r="B91" s="2762">
        <v>220000000000</v>
      </c>
      <c r="C91" s="2763">
        <v>0.28000000000000003</v>
      </c>
      <c r="D91" s="2762">
        <v>7810</v>
      </c>
      <c r="E91" s="2764">
        <v>85500000000</v>
      </c>
      <c r="F91" s="2764">
        <v>885000000</v>
      </c>
      <c r="G91" s="2765">
        <f t="shared" si="2"/>
        <v>885</v>
      </c>
      <c r="H91" s="2764">
        <v>685000000</v>
      </c>
      <c r="I91" s="2765">
        <f t="shared" si="3"/>
        <v>685</v>
      </c>
      <c r="J91" s="2764">
        <v>1.007E-5</v>
      </c>
      <c r="K91" s="2764">
        <v>460</v>
      </c>
      <c r="L91" s="2767">
        <v>44</v>
      </c>
    </row>
    <row r="92" spans="1:12" ht="15.75">
      <c r="A92" s="2756" t="s">
        <v>4824</v>
      </c>
      <c r="B92" s="2757">
        <v>211000000000</v>
      </c>
      <c r="C92" s="2758">
        <v>0.27900000000000003</v>
      </c>
      <c r="D92" s="2757">
        <v>7850</v>
      </c>
      <c r="E92" s="2759">
        <v>82200000000</v>
      </c>
      <c r="F92" s="2759">
        <v>9300000000</v>
      </c>
      <c r="G92" s="2760">
        <f t="shared" si="2"/>
        <v>9300</v>
      </c>
      <c r="H92" s="2759">
        <v>785000000</v>
      </c>
      <c r="I92" s="2760">
        <f t="shared" si="3"/>
        <v>785</v>
      </c>
      <c r="J92" s="2759">
        <v>1.27E-5</v>
      </c>
      <c r="K92" s="2759">
        <v>460</v>
      </c>
      <c r="L92" s="2766">
        <v>44</v>
      </c>
    </row>
    <row r="93" spans="1:12" ht="15.75">
      <c r="A93" s="2761" t="s">
        <v>4825</v>
      </c>
      <c r="B93" s="2762">
        <v>213000000000</v>
      </c>
      <c r="C93" s="2763">
        <v>0.28599999999999998</v>
      </c>
      <c r="D93" s="2762">
        <v>7870</v>
      </c>
      <c r="E93" s="2764">
        <v>82400000000</v>
      </c>
      <c r="F93" s="2764">
        <v>980000000</v>
      </c>
      <c r="G93" s="2765">
        <f t="shared" si="2"/>
        <v>980</v>
      </c>
      <c r="H93" s="2764">
        <v>835000000</v>
      </c>
      <c r="I93" s="2765">
        <f t="shared" si="3"/>
        <v>835</v>
      </c>
      <c r="J93" s="2764">
        <v>1.2500000000000001E-5</v>
      </c>
      <c r="K93" s="2764">
        <v>460</v>
      </c>
      <c r="L93" s="2767">
        <v>44</v>
      </c>
    </row>
    <row r="94" spans="1:12" ht="15.75">
      <c r="A94" s="2756" t="s">
        <v>4826</v>
      </c>
      <c r="B94" s="2757">
        <v>212000000000</v>
      </c>
      <c r="C94" s="2758">
        <v>0.28000000000000003</v>
      </c>
      <c r="D94" s="2757">
        <v>7850</v>
      </c>
      <c r="E94" s="2759">
        <v>82500000000</v>
      </c>
      <c r="F94" s="2759">
        <v>1080000000</v>
      </c>
      <c r="G94" s="2760">
        <f t="shared" si="2"/>
        <v>1080</v>
      </c>
      <c r="H94" s="2759">
        <v>930000000</v>
      </c>
      <c r="I94" s="2760">
        <f t="shared" si="3"/>
        <v>930</v>
      </c>
      <c r="J94" s="2759">
        <v>1.243E-5</v>
      </c>
      <c r="K94" s="2759">
        <v>460</v>
      </c>
      <c r="L94" s="2766">
        <v>44</v>
      </c>
    </row>
    <row r="95" spans="1:12" ht="15.75">
      <c r="A95" s="2761" t="s">
        <v>4827</v>
      </c>
      <c r="B95" s="2762">
        <v>225000000000</v>
      </c>
      <c r="C95" s="2763">
        <v>0.36</v>
      </c>
      <c r="D95" s="2762">
        <v>7720</v>
      </c>
      <c r="E95" s="2764">
        <v>82200000000</v>
      </c>
      <c r="F95" s="2764">
        <v>1080000000</v>
      </c>
      <c r="G95" s="2765">
        <f t="shared" si="2"/>
        <v>1080</v>
      </c>
      <c r="H95" s="2764">
        <v>930000000</v>
      </c>
      <c r="I95" s="2765">
        <f t="shared" si="3"/>
        <v>930</v>
      </c>
      <c r="J95" s="2764">
        <v>1.11E-5</v>
      </c>
      <c r="K95" s="2764">
        <v>460</v>
      </c>
      <c r="L95" s="2767">
        <v>44</v>
      </c>
    </row>
    <row r="96" spans="1:12" ht="15.75">
      <c r="A96" s="2756" t="s">
        <v>4828</v>
      </c>
      <c r="B96" s="2757">
        <v>236000000000</v>
      </c>
      <c r="C96" s="2758">
        <v>0.3</v>
      </c>
      <c r="D96" s="2757">
        <v>7810</v>
      </c>
      <c r="E96" s="2759">
        <v>90700000000</v>
      </c>
      <c r="F96" s="2759">
        <v>1080000000</v>
      </c>
      <c r="G96" s="2760">
        <f t="shared" si="2"/>
        <v>1080</v>
      </c>
      <c r="H96" s="2759">
        <v>930000000</v>
      </c>
      <c r="I96" s="2760">
        <f t="shared" si="3"/>
        <v>930</v>
      </c>
      <c r="J96" s="2759">
        <v>1.15E-5</v>
      </c>
      <c r="K96" s="2759">
        <v>460</v>
      </c>
      <c r="L96" s="2766">
        <v>44</v>
      </c>
    </row>
    <row r="97" spans="1:12" ht="15.75">
      <c r="A97" s="2761" t="s">
        <v>4829</v>
      </c>
      <c r="B97" s="2762">
        <v>218000000000</v>
      </c>
      <c r="C97" s="2763">
        <v>0.28000000000000003</v>
      </c>
      <c r="D97" s="2762">
        <v>7850</v>
      </c>
      <c r="E97" s="2764">
        <v>85300000000</v>
      </c>
      <c r="F97" s="2764">
        <v>920000000</v>
      </c>
      <c r="G97" s="2765">
        <f t="shared" si="2"/>
        <v>920</v>
      </c>
      <c r="H97" s="2764">
        <v>750000000</v>
      </c>
      <c r="I97" s="2765">
        <f t="shared" si="3"/>
        <v>750</v>
      </c>
      <c r="J97" s="2764">
        <v>1.04E-5</v>
      </c>
      <c r="K97" s="2764">
        <v>460</v>
      </c>
      <c r="L97" s="2767">
        <v>44</v>
      </c>
    </row>
    <row r="98" spans="1:12" ht="15.75">
      <c r="A98" s="2756" t="s">
        <v>4830</v>
      </c>
      <c r="B98" s="2757">
        <v>218000000000</v>
      </c>
      <c r="C98" s="2758">
        <v>0.28999999999999998</v>
      </c>
      <c r="D98" s="2757">
        <v>7870</v>
      </c>
      <c r="E98" s="2759">
        <v>84100000000</v>
      </c>
      <c r="F98" s="2759">
        <v>1080000000</v>
      </c>
      <c r="G98" s="2760">
        <f t="shared" si="2"/>
        <v>1080</v>
      </c>
      <c r="H98" s="2759">
        <v>930000000</v>
      </c>
      <c r="I98" s="2760">
        <f t="shared" si="3"/>
        <v>930</v>
      </c>
      <c r="J98" s="2759">
        <v>1.0879999999999999E-5</v>
      </c>
      <c r="K98" s="2759">
        <v>460</v>
      </c>
      <c r="L98" s="2766">
        <v>44</v>
      </c>
    </row>
    <row r="99" spans="1:12" ht="15.75">
      <c r="A99" s="2761" t="s">
        <v>4831</v>
      </c>
      <c r="B99" s="2762">
        <v>220000000000</v>
      </c>
      <c r="C99" s="2763">
        <v>0.28999999999999998</v>
      </c>
      <c r="D99" s="2762">
        <v>7930</v>
      </c>
      <c r="E99" s="2764">
        <v>85600000000</v>
      </c>
      <c r="F99" s="2764">
        <v>925000000</v>
      </c>
      <c r="G99" s="2765">
        <f t="shared" si="2"/>
        <v>925</v>
      </c>
      <c r="H99" s="2764">
        <v>750000000</v>
      </c>
      <c r="I99" s="2765">
        <f t="shared" si="3"/>
        <v>750</v>
      </c>
      <c r="J99" s="2764">
        <v>1.172E-5</v>
      </c>
      <c r="K99" s="2764">
        <v>460</v>
      </c>
      <c r="L99" s="2767">
        <v>44</v>
      </c>
    </row>
    <row r="100" spans="1:12" ht="15.75">
      <c r="A100" s="2756" t="s">
        <v>4832</v>
      </c>
      <c r="B100" s="2757">
        <v>207000000000</v>
      </c>
      <c r="C100" s="2758">
        <v>0.254</v>
      </c>
      <c r="D100" s="2757">
        <v>7870</v>
      </c>
      <c r="E100" s="2759">
        <v>82500000000</v>
      </c>
      <c r="F100" s="2759">
        <v>1175000000</v>
      </c>
      <c r="G100" s="2760">
        <f t="shared" si="2"/>
        <v>1175</v>
      </c>
      <c r="H100" s="2759">
        <v>885000000</v>
      </c>
      <c r="I100" s="2760">
        <f t="shared" si="3"/>
        <v>885</v>
      </c>
      <c r="J100" s="2759">
        <v>1.1199999999999999E-5</v>
      </c>
      <c r="K100" s="2759">
        <v>460</v>
      </c>
      <c r="L100" s="2766">
        <v>44</v>
      </c>
    </row>
    <row r="101" spans="1:12" ht="15.75">
      <c r="A101" s="2761" t="s">
        <v>4833</v>
      </c>
      <c r="B101" s="2762">
        <v>207000000000</v>
      </c>
      <c r="C101" s="2763">
        <v>0.254</v>
      </c>
      <c r="D101" s="2762">
        <v>7870</v>
      </c>
      <c r="E101" s="2764">
        <v>82500000000</v>
      </c>
      <c r="F101" s="2764">
        <v>9800000000</v>
      </c>
      <c r="G101" s="2765">
        <f t="shared" si="2"/>
        <v>9800</v>
      </c>
      <c r="H101" s="2764">
        <v>785000000</v>
      </c>
      <c r="I101" s="2765">
        <f t="shared" si="3"/>
        <v>785</v>
      </c>
      <c r="J101" s="2764">
        <v>1.1199999999999999E-5</v>
      </c>
      <c r="K101" s="2764">
        <v>460</v>
      </c>
      <c r="L101" s="2767">
        <v>44</v>
      </c>
    </row>
    <row r="102" spans="1:12" ht="15.75">
      <c r="A102" s="2756" t="s">
        <v>4834</v>
      </c>
      <c r="B102" s="2757">
        <v>212000000000</v>
      </c>
      <c r="C102" s="2758">
        <v>0.28899999999999998</v>
      </c>
      <c r="D102" s="2757">
        <v>7860</v>
      </c>
      <c r="E102" s="2759">
        <v>81700000000</v>
      </c>
      <c r="F102" s="2759">
        <v>1080000000</v>
      </c>
      <c r="G102" s="2760">
        <f t="shared" si="2"/>
        <v>1080</v>
      </c>
      <c r="H102" s="2759">
        <v>835000000</v>
      </c>
      <c r="I102" s="2760">
        <f t="shared" si="3"/>
        <v>835</v>
      </c>
      <c r="J102" s="2759">
        <v>1.27E-5</v>
      </c>
      <c r="K102" s="2759">
        <v>460</v>
      </c>
      <c r="L102" s="2766">
        <v>44</v>
      </c>
    </row>
    <row r="103" spans="1:12" ht="15.75">
      <c r="A103" s="2761" t="s">
        <v>4835</v>
      </c>
      <c r="B103" s="2762">
        <v>205000000000</v>
      </c>
      <c r="C103" s="2763">
        <v>0.25</v>
      </c>
      <c r="D103" s="2762">
        <v>7850</v>
      </c>
      <c r="E103" s="2764">
        <v>82000000000</v>
      </c>
      <c r="F103" s="2764">
        <v>1470000000</v>
      </c>
      <c r="G103" s="2765">
        <f t="shared" si="2"/>
        <v>1470</v>
      </c>
      <c r="H103" s="2764">
        <v>121000000</v>
      </c>
      <c r="I103" s="2765">
        <f t="shared" si="3"/>
        <v>121</v>
      </c>
      <c r="J103" s="2764">
        <v>1.0720000000000001E-5</v>
      </c>
      <c r="K103" s="2764">
        <v>460</v>
      </c>
      <c r="L103" s="2767">
        <v>44</v>
      </c>
    </row>
    <row r="104" spans="1:12" ht="15.75">
      <c r="A104" s="2756" t="s">
        <v>4836</v>
      </c>
      <c r="B104" s="2757">
        <v>210000000000</v>
      </c>
      <c r="C104" s="2758">
        <v>0.27600000000000002</v>
      </c>
      <c r="D104" s="2757">
        <v>7800</v>
      </c>
      <c r="E104" s="2759">
        <v>82300000000</v>
      </c>
      <c r="F104" s="2759">
        <v>785000000</v>
      </c>
      <c r="G104" s="2760">
        <f t="shared" si="2"/>
        <v>785</v>
      </c>
      <c r="H104" s="2759">
        <v>635000000</v>
      </c>
      <c r="I104" s="2760">
        <f t="shared" si="3"/>
        <v>635</v>
      </c>
      <c r="J104" s="2759">
        <v>1.29E-5</v>
      </c>
      <c r="K104" s="2759">
        <v>460</v>
      </c>
      <c r="L104" s="2766">
        <v>44</v>
      </c>
    </row>
    <row r="105" spans="1:12" ht="15.75">
      <c r="A105" s="2761" t="s">
        <v>4837</v>
      </c>
      <c r="B105" s="2762">
        <v>193000000000</v>
      </c>
      <c r="C105" s="2763">
        <v>0.26</v>
      </c>
      <c r="D105" s="2762">
        <v>7780</v>
      </c>
      <c r="E105" s="2764">
        <v>81000000000</v>
      </c>
      <c r="F105" s="2764">
        <v>1988000000</v>
      </c>
      <c r="G105" s="2765">
        <f t="shared" si="2"/>
        <v>1988</v>
      </c>
      <c r="H105" s="2764">
        <v>1945000000</v>
      </c>
      <c r="I105" s="2765">
        <f t="shared" si="3"/>
        <v>1945</v>
      </c>
      <c r="J105" s="2764">
        <v>1.2500000000000001E-5</v>
      </c>
      <c r="K105" s="2764">
        <v>460</v>
      </c>
      <c r="L105" s="2767">
        <v>44</v>
      </c>
    </row>
    <row r="106" spans="1:12" ht="15.75">
      <c r="A106" s="2756" t="s">
        <v>4838</v>
      </c>
      <c r="B106" s="2757">
        <v>205000000000</v>
      </c>
      <c r="C106" s="2758">
        <v>0.26500000000000001</v>
      </c>
      <c r="D106" s="2757">
        <v>7730</v>
      </c>
      <c r="E106" s="2759">
        <v>81000000000</v>
      </c>
      <c r="F106" s="2759">
        <v>1090000000</v>
      </c>
      <c r="G106" s="2760">
        <f t="shared" si="2"/>
        <v>1090</v>
      </c>
      <c r="H106" s="2759">
        <v>598000000</v>
      </c>
      <c r="I106" s="2760">
        <f t="shared" si="3"/>
        <v>598</v>
      </c>
      <c r="J106" s="2759">
        <v>1.6799999999999998E-5</v>
      </c>
      <c r="K106" s="2759">
        <v>460</v>
      </c>
      <c r="L106" s="2766">
        <v>44</v>
      </c>
    </row>
    <row r="107" spans="1:12" ht="15.75">
      <c r="A107" s="2761" t="s">
        <v>4839</v>
      </c>
      <c r="B107" s="2762">
        <v>198000000000</v>
      </c>
      <c r="C107" s="2763">
        <v>0.27</v>
      </c>
      <c r="D107" s="2762">
        <v>7730</v>
      </c>
      <c r="E107" s="2764">
        <v>77600000000</v>
      </c>
      <c r="F107" s="2764">
        <v>870000000</v>
      </c>
      <c r="G107" s="2765">
        <f t="shared" si="2"/>
        <v>870</v>
      </c>
      <c r="H107" s="2764">
        <v>464000000</v>
      </c>
      <c r="I107" s="2765">
        <f t="shared" si="3"/>
        <v>464</v>
      </c>
      <c r="J107" s="2764">
        <v>1.8499999999999999E-5</v>
      </c>
      <c r="K107" s="2764">
        <v>460</v>
      </c>
      <c r="L107" s="2767">
        <v>44</v>
      </c>
    </row>
    <row r="108" spans="1:12" ht="15.75">
      <c r="A108" s="2756" t="s">
        <v>4840</v>
      </c>
      <c r="B108" s="2757">
        <v>208000000000</v>
      </c>
      <c r="C108" s="2758">
        <v>0.29499999999999998</v>
      </c>
      <c r="D108" s="2757">
        <v>7870</v>
      </c>
      <c r="E108" s="2759">
        <v>80900000000</v>
      </c>
      <c r="F108" s="2759">
        <v>980000000</v>
      </c>
      <c r="G108" s="2760">
        <f t="shared" si="2"/>
        <v>980</v>
      </c>
      <c r="H108" s="2759">
        <v>785000000</v>
      </c>
      <c r="I108" s="2760">
        <f t="shared" si="3"/>
        <v>785</v>
      </c>
      <c r="J108" s="2759">
        <v>1.2799999999999999E-5</v>
      </c>
      <c r="K108" s="2759">
        <v>460</v>
      </c>
      <c r="L108" s="2766">
        <v>44</v>
      </c>
    </row>
    <row r="109" spans="1:12" ht="15.75">
      <c r="A109" s="2761" t="s">
        <v>4841</v>
      </c>
      <c r="B109" s="2762">
        <v>210000000000</v>
      </c>
      <c r="C109" s="2763">
        <v>0.27500000000000002</v>
      </c>
      <c r="D109" s="2762">
        <v>7870</v>
      </c>
      <c r="E109" s="2764">
        <v>85000000000</v>
      </c>
      <c r="F109" s="2764">
        <v>1150000000</v>
      </c>
      <c r="G109" s="2765">
        <f t="shared" si="2"/>
        <v>1150</v>
      </c>
      <c r="H109" s="2764">
        <v>835000000</v>
      </c>
      <c r="I109" s="2765">
        <f t="shared" si="3"/>
        <v>835</v>
      </c>
      <c r="J109" s="2764">
        <v>1.0720000000000001E-5</v>
      </c>
      <c r="K109" s="2764">
        <v>460</v>
      </c>
      <c r="L109" s="2767">
        <v>44</v>
      </c>
    </row>
    <row r="110" spans="1:12" ht="15.75">
      <c r="A110" s="2756" t="s">
        <v>4842</v>
      </c>
      <c r="B110" s="2757">
        <v>216000000000</v>
      </c>
      <c r="C110" s="2758">
        <v>0.27</v>
      </c>
      <c r="D110" s="2757">
        <v>7840</v>
      </c>
      <c r="E110" s="2759">
        <v>84400000000</v>
      </c>
      <c r="F110" s="2759">
        <v>885000000</v>
      </c>
      <c r="G110" s="2760">
        <f t="shared" si="2"/>
        <v>885</v>
      </c>
      <c r="H110" s="2759">
        <v>735000000</v>
      </c>
      <c r="I110" s="2760">
        <f t="shared" si="3"/>
        <v>735</v>
      </c>
      <c r="J110" s="2759">
        <v>1.0380000000000001E-5</v>
      </c>
      <c r="K110" s="2759">
        <v>460</v>
      </c>
      <c r="L110" s="2766">
        <v>44</v>
      </c>
    </row>
    <row r="111" spans="1:12" ht="15.75">
      <c r="A111" s="2761" t="s">
        <v>4843</v>
      </c>
      <c r="B111" s="2762">
        <v>214000000000</v>
      </c>
      <c r="C111" s="2763">
        <v>0.28000000000000003</v>
      </c>
      <c r="D111" s="2762">
        <v>7870</v>
      </c>
      <c r="E111" s="2764">
        <v>82900000000</v>
      </c>
      <c r="F111" s="2764">
        <v>1150000000</v>
      </c>
      <c r="G111" s="2765">
        <f t="shared" si="2"/>
        <v>1150</v>
      </c>
      <c r="H111" s="2764">
        <v>835000000</v>
      </c>
      <c r="I111" s="2765">
        <f t="shared" si="3"/>
        <v>835</v>
      </c>
      <c r="J111" s="2764">
        <v>1.2E-5</v>
      </c>
      <c r="K111" s="2764">
        <v>460</v>
      </c>
      <c r="L111" s="2767">
        <v>44</v>
      </c>
    </row>
    <row r="112" spans="1:12" ht="15.75">
      <c r="A112" s="2756" t="s">
        <v>4844</v>
      </c>
      <c r="B112" s="2757">
        <v>204000000000</v>
      </c>
      <c r="C112" s="2758">
        <v>0.28599999999999998</v>
      </c>
      <c r="D112" s="2757">
        <v>7860</v>
      </c>
      <c r="E112" s="2759">
        <v>79400000000</v>
      </c>
      <c r="F112" s="2759">
        <v>1150000000</v>
      </c>
      <c r="G112" s="2760">
        <f t="shared" si="2"/>
        <v>1150</v>
      </c>
      <c r="H112" s="2759">
        <v>835000000</v>
      </c>
      <c r="I112" s="2760">
        <f t="shared" si="3"/>
        <v>835</v>
      </c>
      <c r="J112" s="2759">
        <v>1.17E-5</v>
      </c>
      <c r="K112" s="2759">
        <v>460</v>
      </c>
      <c r="L112" s="2766">
        <v>44</v>
      </c>
    </row>
    <row r="113" spans="1:12" ht="15.75">
      <c r="A113" s="2761" t="s">
        <v>4845</v>
      </c>
      <c r="B113" s="2762">
        <v>209000000000</v>
      </c>
      <c r="C113" s="2763">
        <v>0.29499999999999998</v>
      </c>
      <c r="D113" s="2762">
        <v>7870</v>
      </c>
      <c r="E113" s="2764">
        <v>80700000000</v>
      </c>
      <c r="F113" s="2764">
        <v>980000000</v>
      </c>
      <c r="G113" s="2765">
        <f t="shared" si="2"/>
        <v>980</v>
      </c>
      <c r="H113" s="2764">
        <v>800000000</v>
      </c>
      <c r="I113" s="2765">
        <f t="shared" si="3"/>
        <v>800</v>
      </c>
      <c r="J113" s="2764">
        <v>1.2799999999999999E-5</v>
      </c>
      <c r="K113" s="2764">
        <v>460</v>
      </c>
      <c r="L113" s="2767">
        <v>44</v>
      </c>
    </row>
    <row r="114" spans="1:12" ht="15.75">
      <c r="A114" s="2756" t="s">
        <v>4846</v>
      </c>
      <c r="B114" s="2757">
        <v>209000000000</v>
      </c>
      <c r="C114" s="2758">
        <v>0.29499999999999998</v>
      </c>
      <c r="D114" s="2757">
        <v>7870</v>
      </c>
      <c r="E114" s="2759">
        <v>80700000000</v>
      </c>
      <c r="F114" s="2759">
        <v>980000000</v>
      </c>
      <c r="G114" s="2760">
        <f t="shared" si="2"/>
        <v>980</v>
      </c>
      <c r="H114" s="2759">
        <v>835000000</v>
      </c>
      <c r="I114" s="2760">
        <f t="shared" si="3"/>
        <v>835</v>
      </c>
      <c r="J114" s="2759">
        <v>1.2799999999999999E-5</v>
      </c>
      <c r="K114" s="2759">
        <v>460</v>
      </c>
      <c r="L114" s="2766">
        <v>44</v>
      </c>
    </row>
    <row r="115" spans="1:12" ht="15.75">
      <c r="A115" s="2761" t="s">
        <v>4847</v>
      </c>
      <c r="B115" s="2762">
        <v>214000000000</v>
      </c>
      <c r="C115" s="2763">
        <v>0.28999999999999998</v>
      </c>
      <c r="D115" s="2762">
        <v>7830</v>
      </c>
      <c r="E115" s="2764">
        <v>82800000000</v>
      </c>
      <c r="F115" s="2764">
        <v>1553000000</v>
      </c>
      <c r="G115" s="2765">
        <f t="shared" si="2"/>
        <v>1553</v>
      </c>
      <c r="H115" s="2764">
        <v>1374000000</v>
      </c>
      <c r="I115" s="2765">
        <f t="shared" si="3"/>
        <v>1374</v>
      </c>
      <c r="J115" s="2764">
        <v>1.2109999999999999E-5</v>
      </c>
      <c r="K115" s="2764">
        <v>460</v>
      </c>
      <c r="L115" s="2767">
        <v>44</v>
      </c>
    </row>
    <row r="116" spans="1:12" ht="15.75">
      <c r="A116" s="2756" t="s">
        <v>4848</v>
      </c>
      <c r="B116" s="2757">
        <v>214000000000</v>
      </c>
      <c r="C116" s="2758">
        <v>0.28999999999999998</v>
      </c>
      <c r="D116" s="2757">
        <v>7830</v>
      </c>
      <c r="E116" s="2759">
        <v>82800000000</v>
      </c>
      <c r="F116" s="2759">
        <v>1470000000</v>
      </c>
      <c r="G116" s="2760">
        <f t="shared" si="2"/>
        <v>1470</v>
      </c>
      <c r="H116" s="2759">
        <v>1325000000</v>
      </c>
      <c r="I116" s="2760">
        <f t="shared" si="3"/>
        <v>1325</v>
      </c>
      <c r="J116" s="2759">
        <v>1.2109999999999999E-5</v>
      </c>
      <c r="K116" s="2759">
        <v>460</v>
      </c>
      <c r="L116" s="2766">
        <v>44</v>
      </c>
    </row>
    <row r="117" spans="1:12" ht="15.75">
      <c r="A117" s="2761" t="s">
        <v>4849</v>
      </c>
      <c r="B117" s="2762">
        <v>201000000000</v>
      </c>
      <c r="C117" s="2763">
        <v>0.29099999999999998</v>
      </c>
      <c r="D117" s="2762">
        <v>7830</v>
      </c>
      <c r="E117" s="2764">
        <v>79800000000</v>
      </c>
      <c r="F117" s="2764">
        <v>1250000000</v>
      </c>
      <c r="G117" s="2765">
        <f t="shared" si="2"/>
        <v>1250</v>
      </c>
      <c r="H117" s="2764">
        <v>1050000000</v>
      </c>
      <c r="I117" s="2765">
        <f t="shared" si="3"/>
        <v>1050</v>
      </c>
      <c r="J117" s="2764">
        <v>1.11E-5</v>
      </c>
      <c r="K117" s="2764">
        <v>0</v>
      </c>
      <c r="L117" s="2767">
        <v>0</v>
      </c>
    </row>
    <row r="118" spans="1:12" ht="15.75">
      <c r="A118" s="2756" t="s">
        <v>4850</v>
      </c>
      <c r="B118" s="2757">
        <v>220000000000</v>
      </c>
      <c r="C118" s="2758">
        <v>0.28999999999999998</v>
      </c>
      <c r="D118" s="2757">
        <v>7780</v>
      </c>
      <c r="E118" s="2759">
        <v>85000000000</v>
      </c>
      <c r="F118" s="2759">
        <v>1250000000</v>
      </c>
      <c r="G118" s="2760">
        <f t="shared" si="2"/>
        <v>1250</v>
      </c>
      <c r="H118" s="2759">
        <v>1050000000</v>
      </c>
      <c r="I118" s="2760">
        <f t="shared" si="3"/>
        <v>1050</v>
      </c>
      <c r="J118" s="2759">
        <v>1.17E-5</v>
      </c>
      <c r="K118" s="2759">
        <v>0</v>
      </c>
      <c r="L118" s="2766">
        <v>0</v>
      </c>
    </row>
    <row r="119" spans="1:12" ht="15.75">
      <c r="A119" s="2761" t="s">
        <v>4851</v>
      </c>
      <c r="B119" s="2762">
        <v>216000000000</v>
      </c>
      <c r="C119" s="2763">
        <v>0.28299999999999997</v>
      </c>
      <c r="D119" s="2762">
        <v>7870</v>
      </c>
      <c r="E119" s="2764">
        <v>84200000000</v>
      </c>
      <c r="F119" s="2764">
        <v>1250000000</v>
      </c>
      <c r="G119" s="2765">
        <f t="shared" si="2"/>
        <v>1250</v>
      </c>
      <c r="H119" s="2764">
        <v>1050000000</v>
      </c>
      <c r="I119" s="2765">
        <f t="shared" si="3"/>
        <v>1050</v>
      </c>
      <c r="J119" s="2764">
        <v>1.22E-5</v>
      </c>
      <c r="K119" s="2764">
        <v>0</v>
      </c>
      <c r="L119" s="2767">
        <v>0</v>
      </c>
    </row>
    <row r="120" spans="1:12" ht="15.75">
      <c r="A120" s="2756" t="s">
        <v>4852</v>
      </c>
      <c r="B120" s="2757">
        <v>214000000000</v>
      </c>
      <c r="C120" s="2758">
        <v>0.28599999999999998</v>
      </c>
      <c r="D120" s="2757">
        <v>7860</v>
      </c>
      <c r="E120" s="2759">
        <v>83500000000</v>
      </c>
      <c r="F120" s="2759">
        <v>450000000</v>
      </c>
      <c r="G120" s="2760">
        <f t="shared" si="2"/>
        <v>450</v>
      </c>
      <c r="H120" s="2759">
        <v>255000000</v>
      </c>
      <c r="I120" s="2760">
        <f t="shared" si="3"/>
        <v>255</v>
      </c>
      <c r="J120" s="2759">
        <v>1.3030000000000001E-5</v>
      </c>
      <c r="K120" s="2759">
        <v>0</v>
      </c>
      <c r="L120" s="2766">
        <v>0</v>
      </c>
    </row>
    <row r="121" spans="1:12" ht="15.75">
      <c r="A121" s="2761" t="s">
        <v>4853</v>
      </c>
      <c r="B121" s="2762">
        <v>210000000000</v>
      </c>
      <c r="C121" s="2763">
        <v>0.27</v>
      </c>
      <c r="D121" s="2762">
        <v>7830</v>
      </c>
      <c r="E121" s="2764">
        <v>82000000000</v>
      </c>
      <c r="F121" s="2764">
        <v>1250000000</v>
      </c>
      <c r="G121" s="2765">
        <f t="shared" si="2"/>
        <v>1250</v>
      </c>
      <c r="H121" s="2764">
        <v>1050000000</v>
      </c>
      <c r="I121" s="2765">
        <f t="shared" si="3"/>
        <v>1050</v>
      </c>
      <c r="J121" s="2764">
        <v>1.269E-5</v>
      </c>
      <c r="K121" s="2764">
        <v>0</v>
      </c>
      <c r="L121" s="2767">
        <v>0</v>
      </c>
    </row>
    <row r="122" spans="1:12" ht="15.75">
      <c r="A122" s="2756" t="s">
        <v>4854</v>
      </c>
      <c r="B122" s="2757">
        <v>218000000000</v>
      </c>
      <c r="C122" s="2758">
        <v>0.27</v>
      </c>
      <c r="D122" s="2757">
        <v>7780</v>
      </c>
      <c r="E122" s="2759">
        <v>86100000000</v>
      </c>
      <c r="F122" s="2759">
        <v>1250000000</v>
      </c>
      <c r="G122" s="2760">
        <f t="shared" si="2"/>
        <v>1250</v>
      </c>
      <c r="H122" s="2759">
        <v>1050000000</v>
      </c>
      <c r="I122" s="2760">
        <f t="shared" si="3"/>
        <v>1050</v>
      </c>
      <c r="J122" s="2759">
        <v>1.216E-5</v>
      </c>
      <c r="K122" s="2759">
        <v>0</v>
      </c>
      <c r="L122" s="2766">
        <v>0</v>
      </c>
    </row>
    <row r="123" spans="1:12" ht="15.75">
      <c r="A123" s="2761" t="s">
        <v>4855</v>
      </c>
      <c r="B123" s="2762">
        <v>212000000000</v>
      </c>
      <c r="C123" s="2763">
        <v>0.31</v>
      </c>
      <c r="D123" s="2762">
        <v>7840</v>
      </c>
      <c r="E123" s="2764">
        <v>80900000000</v>
      </c>
      <c r="F123" s="2764">
        <v>930000000</v>
      </c>
      <c r="G123" s="2765">
        <f t="shared" si="2"/>
        <v>930</v>
      </c>
      <c r="H123" s="2764">
        <v>685000000</v>
      </c>
      <c r="I123" s="2765">
        <f t="shared" si="3"/>
        <v>685</v>
      </c>
      <c r="J123" s="2764">
        <v>1.19E-5</v>
      </c>
      <c r="K123" s="2764">
        <v>0</v>
      </c>
      <c r="L123" s="2767">
        <v>0</v>
      </c>
    </row>
    <row r="124" spans="1:12" ht="15.75">
      <c r="A124" s="2756" t="s">
        <v>4856</v>
      </c>
      <c r="B124" s="2757">
        <v>207000000000</v>
      </c>
      <c r="C124" s="2758">
        <v>0.29799999999999999</v>
      </c>
      <c r="D124" s="2757">
        <v>7840</v>
      </c>
      <c r="E124" s="2759">
        <v>79700000000</v>
      </c>
      <c r="F124" s="2759">
        <v>1080000000</v>
      </c>
      <c r="G124" s="2760">
        <f t="shared" si="2"/>
        <v>1080</v>
      </c>
      <c r="H124" s="2759">
        <v>835000000</v>
      </c>
      <c r="I124" s="2760">
        <f t="shared" si="3"/>
        <v>835</v>
      </c>
      <c r="J124" s="2759">
        <v>1.289E-5</v>
      </c>
      <c r="K124" s="2759">
        <v>0</v>
      </c>
      <c r="L124" s="2766">
        <v>0</v>
      </c>
    </row>
    <row r="125" spans="1:12" ht="15.75">
      <c r="A125" s="2761" t="s">
        <v>4857</v>
      </c>
      <c r="B125" s="2762">
        <v>207000000000</v>
      </c>
      <c r="C125" s="2763">
        <v>0.29799999999999999</v>
      </c>
      <c r="D125" s="2762">
        <v>7840</v>
      </c>
      <c r="E125" s="2764">
        <v>79700000000</v>
      </c>
      <c r="F125" s="2764">
        <v>1080000000</v>
      </c>
      <c r="G125" s="2765">
        <f t="shared" si="2"/>
        <v>1080</v>
      </c>
      <c r="H125" s="2764">
        <v>835000000</v>
      </c>
      <c r="I125" s="2765">
        <f t="shared" si="3"/>
        <v>835</v>
      </c>
      <c r="J125" s="2764">
        <v>1.289E-5</v>
      </c>
      <c r="K125" s="2764">
        <v>0</v>
      </c>
      <c r="L125" s="2767">
        <v>0</v>
      </c>
    </row>
    <row r="126" spans="1:12" ht="15.75">
      <c r="A126" s="2756" t="s">
        <v>4858</v>
      </c>
      <c r="B126" s="2757">
        <v>207000000000</v>
      </c>
      <c r="C126" s="2758">
        <v>0.29799999999999999</v>
      </c>
      <c r="D126" s="2757">
        <v>7840</v>
      </c>
      <c r="E126" s="2759">
        <v>79700000000</v>
      </c>
      <c r="F126" s="2759">
        <v>1080000000</v>
      </c>
      <c r="G126" s="2760">
        <f t="shared" si="2"/>
        <v>1080</v>
      </c>
      <c r="H126" s="2759">
        <v>835000000</v>
      </c>
      <c r="I126" s="2760">
        <f t="shared" si="3"/>
        <v>835</v>
      </c>
      <c r="J126" s="2759">
        <v>1.289E-5</v>
      </c>
      <c r="K126" s="2759">
        <v>0</v>
      </c>
      <c r="L126" s="2766">
        <v>0</v>
      </c>
    </row>
    <row r="127" spans="1:12" ht="15.75">
      <c r="A127" s="2761" t="s">
        <v>4859</v>
      </c>
      <c r="B127" s="2762">
        <v>184000000000</v>
      </c>
      <c r="C127" s="2763">
        <v>0.24299999999999999</v>
      </c>
      <c r="D127" s="2762">
        <v>7920</v>
      </c>
      <c r="E127" s="2764">
        <v>74000000000</v>
      </c>
      <c r="F127" s="2764">
        <v>1250000000</v>
      </c>
      <c r="G127" s="2765">
        <f t="shared" si="2"/>
        <v>1250</v>
      </c>
      <c r="H127" s="2764">
        <v>1050000000</v>
      </c>
      <c r="I127" s="2765">
        <f t="shared" si="3"/>
        <v>1050</v>
      </c>
      <c r="J127" s="2764">
        <v>1.5500000000000001E-5</v>
      </c>
      <c r="K127" s="2764">
        <v>0</v>
      </c>
      <c r="L127" s="2767">
        <v>0</v>
      </c>
    </row>
    <row r="128" spans="1:12" ht="15.75">
      <c r="A128" s="2756" t="s">
        <v>4860</v>
      </c>
      <c r="B128" s="2757">
        <v>217000000000</v>
      </c>
      <c r="C128" s="2758">
        <v>0.27</v>
      </c>
      <c r="D128" s="2757">
        <v>7810</v>
      </c>
      <c r="E128" s="2759">
        <v>85100000000</v>
      </c>
      <c r="F128" s="2759">
        <v>1250000000</v>
      </c>
      <c r="G128" s="2760">
        <f t="shared" si="2"/>
        <v>1250</v>
      </c>
      <c r="H128" s="2759">
        <v>1050000000</v>
      </c>
      <c r="I128" s="2760">
        <f t="shared" si="3"/>
        <v>1050</v>
      </c>
      <c r="J128" s="2759">
        <v>1.0699999999999999E-5</v>
      </c>
      <c r="K128" s="2759">
        <v>0</v>
      </c>
      <c r="L128" s="2766">
        <v>0</v>
      </c>
    </row>
    <row r="129" spans="1:12" ht="15.75">
      <c r="A129" s="2761" t="s">
        <v>4861</v>
      </c>
      <c r="B129" s="2762">
        <v>219000000000</v>
      </c>
      <c r="C129" s="2763">
        <v>0.31</v>
      </c>
      <c r="D129" s="2762">
        <v>7750</v>
      </c>
      <c r="E129" s="2764">
        <v>79000000000</v>
      </c>
      <c r="F129" s="2764">
        <v>1250000000</v>
      </c>
      <c r="G129" s="2765">
        <f t="shared" si="2"/>
        <v>1250</v>
      </c>
      <c r="H129" s="2764">
        <v>1050000000</v>
      </c>
      <c r="I129" s="2765">
        <f t="shared" si="3"/>
        <v>1050</v>
      </c>
      <c r="J129" s="2764">
        <v>1.04E-5</v>
      </c>
      <c r="K129" s="2764">
        <v>0</v>
      </c>
      <c r="L129" s="2767">
        <v>0</v>
      </c>
    </row>
    <row r="130" spans="1:12" ht="15.75">
      <c r="A130" s="2756" t="s">
        <v>4862</v>
      </c>
      <c r="B130" s="2757">
        <v>216000000000</v>
      </c>
      <c r="C130" s="2758">
        <v>0.28000000000000003</v>
      </c>
      <c r="D130" s="2757">
        <v>7770</v>
      </c>
      <c r="E130" s="2759">
        <v>84100000000</v>
      </c>
      <c r="F130" s="2759">
        <v>540000000</v>
      </c>
      <c r="G130" s="2760">
        <f t="shared" si="2"/>
        <v>540</v>
      </c>
      <c r="H130" s="2759">
        <v>345000000</v>
      </c>
      <c r="I130" s="2760">
        <f t="shared" si="3"/>
        <v>345</v>
      </c>
      <c r="J130" s="2759">
        <v>1.13E-5</v>
      </c>
      <c r="K130" s="2759">
        <v>0</v>
      </c>
      <c r="L130" s="2766">
        <v>0</v>
      </c>
    </row>
    <row r="131" spans="1:12" ht="15.75">
      <c r="A131" s="2761" t="s">
        <v>4863</v>
      </c>
      <c r="B131" s="2762">
        <v>184000000000</v>
      </c>
      <c r="C131" s="2763">
        <v>0.24299999999999999</v>
      </c>
      <c r="D131" s="2762">
        <v>7920</v>
      </c>
      <c r="E131" s="2764">
        <v>74000000000</v>
      </c>
      <c r="F131" s="2764">
        <v>520000000</v>
      </c>
      <c r="G131" s="2765">
        <f t="shared" si="2"/>
        <v>520</v>
      </c>
      <c r="H131" s="2764">
        <v>250000000</v>
      </c>
      <c r="I131" s="2765">
        <f t="shared" si="3"/>
        <v>250</v>
      </c>
      <c r="J131" s="2764">
        <v>1.5500000000000001E-5</v>
      </c>
      <c r="K131" s="2764">
        <v>0</v>
      </c>
      <c r="L131" s="2767">
        <v>0</v>
      </c>
    </row>
    <row r="132" spans="1:12" ht="15.75">
      <c r="A132" s="2756" t="s">
        <v>4864</v>
      </c>
      <c r="B132" s="2757">
        <v>202000000000</v>
      </c>
      <c r="C132" s="2758">
        <v>0.27</v>
      </c>
      <c r="D132" s="2757">
        <v>7910</v>
      </c>
      <c r="E132" s="2759">
        <v>79400000000</v>
      </c>
      <c r="F132" s="2759">
        <v>1039000000</v>
      </c>
      <c r="G132" s="2760">
        <f t="shared" ref="G132:G195" si="4">F132/1000000</f>
        <v>1039</v>
      </c>
      <c r="H132" s="2759">
        <v>952000000</v>
      </c>
      <c r="I132" s="2760">
        <f t="shared" ref="I132:I195" si="5">H132/1000000</f>
        <v>952</v>
      </c>
      <c r="J132" s="2759">
        <v>1.24E-5</v>
      </c>
      <c r="K132" s="2759">
        <v>0</v>
      </c>
      <c r="L132" s="2766">
        <v>0</v>
      </c>
    </row>
    <row r="133" spans="1:12" ht="15.75">
      <c r="A133" s="2761" t="s">
        <v>4865</v>
      </c>
      <c r="B133" s="2762">
        <v>202000000000</v>
      </c>
      <c r="C133" s="2763">
        <v>0.27</v>
      </c>
      <c r="D133" s="2762">
        <v>7910</v>
      </c>
      <c r="E133" s="2764">
        <v>79400000000</v>
      </c>
      <c r="F133" s="2764">
        <v>1175000000</v>
      </c>
      <c r="G133" s="2765">
        <f t="shared" si="4"/>
        <v>1175</v>
      </c>
      <c r="H133" s="2764">
        <v>835000000</v>
      </c>
      <c r="I133" s="2765">
        <f t="shared" si="5"/>
        <v>835</v>
      </c>
      <c r="J133" s="2764">
        <v>1.24E-5</v>
      </c>
      <c r="K133" s="2764">
        <v>0</v>
      </c>
      <c r="L133" s="2767">
        <v>0</v>
      </c>
    </row>
    <row r="134" spans="1:12" ht="15.75">
      <c r="A134" s="2756" t="s">
        <v>4866</v>
      </c>
      <c r="B134" s="2757">
        <v>213000000000</v>
      </c>
      <c r="C134" s="2758">
        <v>0.27</v>
      </c>
      <c r="D134" s="2757">
        <v>7880</v>
      </c>
      <c r="E134" s="2759">
        <v>84000000000</v>
      </c>
      <c r="F134" s="2759">
        <v>1250000000</v>
      </c>
      <c r="G134" s="2760">
        <f t="shared" si="4"/>
        <v>1250</v>
      </c>
      <c r="H134" s="2759">
        <v>1050000000</v>
      </c>
      <c r="I134" s="2760">
        <f t="shared" si="5"/>
        <v>1050</v>
      </c>
      <c r="J134" s="2759">
        <v>1.234E-5</v>
      </c>
      <c r="K134" s="2759">
        <v>0</v>
      </c>
      <c r="L134" s="2766">
        <v>0</v>
      </c>
    </row>
    <row r="135" spans="1:12" ht="15.75">
      <c r="A135" s="2761" t="s">
        <v>4867</v>
      </c>
      <c r="B135" s="2762">
        <v>213000000000</v>
      </c>
      <c r="C135" s="2763">
        <v>0.27900000000000003</v>
      </c>
      <c r="D135" s="2762">
        <v>7880</v>
      </c>
      <c r="E135" s="2764">
        <v>83800000000</v>
      </c>
      <c r="F135" s="2764">
        <v>1250000000</v>
      </c>
      <c r="G135" s="2765">
        <f t="shared" si="4"/>
        <v>1250</v>
      </c>
      <c r="H135" s="2764">
        <v>1050000000</v>
      </c>
      <c r="I135" s="2765">
        <f t="shared" si="5"/>
        <v>1050</v>
      </c>
      <c r="J135" s="2764">
        <v>1.26E-5</v>
      </c>
      <c r="K135" s="2764">
        <v>0</v>
      </c>
      <c r="L135" s="2767">
        <v>0</v>
      </c>
    </row>
    <row r="136" spans="1:12" ht="15.75">
      <c r="A136" s="2756" t="s">
        <v>4868</v>
      </c>
      <c r="B136" s="2757">
        <v>218000000000</v>
      </c>
      <c r="C136" s="2758">
        <v>0.28999999999999998</v>
      </c>
      <c r="D136" s="2757">
        <v>7820</v>
      </c>
      <c r="E136" s="2759">
        <v>84100000000</v>
      </c>
      <c r="F136" s="2759">
        <v>1250000000</v>
      </c>
      <c r="G136" s="2760">
        <f t="shared" si="4"/>
        <v>1250</v>
      </c>
      <c r="H136" s="2759">
        <v>1050000000</v>
      </c>
      <c r="I136" s="2760">
        <f t="shared" si="5"/>
        <v>1050</v>
      </c>
      <c r="J136" s="2759">
        <v>1.03E-5</v>
      </c>
      <c r="K136" s="2759">
        <v>0</v>
      </c>
      <c r="L136" s="2766">
        <v>0</v>
      </c>
    </row>
    <row r="137" spans="1:12" ht="15.75">
      <c r="A137" s="2761" t="s">
        <v>4869</v>
      </c>
      <c r="B137" s="2762">
        <v>221000000000</v>
      </c>
      <c r="C137" s="2763">
        <v>0.28999999999999998</v>
      </c>
      <c r="D137" s="2762">
        <v>7770</v>
      </c>
      <c r="E137" s="2764">
        <v>86300000000</v>
      </c>
      <c r="F137" s="2764">
        <v>1250000000</v>
      </c>
      <c r="G137" s="2765">
        <f t="shared" si="4"/>
        <v>1250</v>
      </c>
      <c r="H137" s="2764">
        <v>1050000000</v>
      </c>
      <c r="I137" s="2765">
        <f t="shared" si="5"/>
        <v>1050</v>
      </c>
      <c r="J137" s="2764">
        <v>1.0000000000000001E-5</v>
      </c>
      <c r="K137" s="2764">
        <v>0</v>
      </c>
      <c r="L137" s="2767">
        <v>0</v>
      </c>
    </row>
    <row r="138" spans="1:12" ht="15.75">
      <c r="A138" s="2756" t="s">
        <v>4870</v>
      </c>
      <c r="B138" s="2757">
        <v>207000000000</v>
      </c>
      <c r="C138" s="2758">
        <v>0.28999999999999998</v>
      </c>
      <c r="D138" s="2757">
        <v>7880</v>
      </c>
      <c r="E138" s="2759">
        <v>80400000000</v>
      </c>
      <c r="F138" s="2759">
        <v>1250000000</v>
      </c>
      <c r="G138" s="2760">
        <f t="shared" si="4"/>
        <v>1250</v>
      </c>
      <c r="H138" s="2759">
        <v>1050000000</v>
      </c>
      <c r="I138" s="2760">
        <f t="shared" si="5"/>
        <v>1050</v>
      </c>
      <c r="J138" s="2759">
        <v>1.2109999999999999E-5</v>
      </c>
      <c r="K138" s="2759">
        <v>0</v>
      </c>
      <c r="L138" s="2766">
        <v>0</v>
      </c>
    </row>
    <row r="139" spans="1:12" ht="15.75">
      <c r="A139" s="2761" t="s">
        <v>4871</v>
      </c>
      <c r="B139" s="2762">
        <v>226000000000</v>
      </c>
      <c r="C139" s="2763">
        <v>0.31</v>
      </c>
      <c r="D139" s="2762">
        <v>8350</v>
      </c>
      <c r="E139" s="2764">
        <v>86000000000</v>
      </c>
      <c r="F139" s="2764">
        <v>920000000</v>
      </c>
      <c r="G139" s="2765">
        <f t="shared" si="4"/>
        <v>920</v>
      </c>
      <c r="H139" s="2764">
        <v>750000000</v>
      </c>
      <c r="I139" s="2765">
        <f t="shared" si="5"/>
        <v>750</v>
      </c>
      <c r="J139" s="2764">
        <v>1.2099999999999999E-5</v>
      </c>
      <c r="K139" s="2764">
        <v>0</v>
      </c>
      <c r="L139" s="2767">
        <v>0</v>
      </c>
    </row>
    <row r="140" spans="1:12" ht="15.75">
      <c r="A140" s="2756" t="s">
        <v>4872</v>
      </c>
      <c r="B140" s="2757">
        <v>211000000000</v>
      </c>
      <c r="C140" s="2758">
        <v>0.28000000000000003</v>
      </c>
      <c r="D140" s="2757">
        <v>7890</v>
      </c>
      <c r="E140" s="2759">
        <v>82600000000</v>
      </c>
      <c r="F140" s="2759">
        <v>1313000000</v>
      </c>
      <c r="G140" s="2760">
        <f t="shared" si="4"/>
        <v>1313</v>
      </c>
      <c r="H140" s="2759">
        <v>1187000000</v>
      </c>
      <c r="I140" s="2760">
        <f t="shared" si="5"/>
        <v>1187</v>
      </c>
      <c r="J140" s="2759">
        <v>1.259E-5</v>
      </c>
      <c r="K140" s="2759">
        <v>460</v>
      </c>
      <c r="L140" s="2766">
        <v>44</v>
      </c>
    </row>
    <row r="141" spans="1:12" ht="15.75">
      <c r="A141" s="2761" t="s">
        <v>4873</v>
      </c>
      <c r="B141" s="2762">
        <v>208000000000</v>
      </c>
      <c r="C141" s="2763">
        <v>0.26</v>
      </c>
      <c r="D141" s="2762">
        <v>7850</v>
      </c>
      <c r="E141" s="2764">
        <v>82000000000</v>
      </c>
      <c r="F141" s="2764">
        <v>785000000</v>
      </c>
      <c r="G141" s="2765">
        <f t="shared" si="4"/>
        <v>785</v>
      </c>
      <c r="H141" s="2764">
        <v>450000000</v>
      </c>
      <c r="I141" s="2765">
        <f t="shared" si="5"/>
        <v>450</v>
      </c>
      <c r="J141" s="2764">
        <v>1.3699999999999999E-5</v>
      </c>
      <c r="K141" s="2764">
        <v>450</v>
      </c>
      <c r="L141" s="2767">
        <v>48</v>
      </c>
    </row>
    <row r="142" spans="1:12" ht="15.75">
      <c r="A142" s="2756" t="s">
        <v>4874</v>
      </c>
      <c r="B142" s="2757">
        <v>212000000000</v>
      </c>
      <c r="C142" s="2758">
        <v>0.31</v>
      </c>
      <c r="D142" s="2757">
        <v>7870</v>
      </c>
      <c r="E142" s="2759">
        <v>80700000000</v>
      </c>
      <c r="F142" s="2759">
        <v>785000000</v>
      </c>
      <c r="G142" s="2760">
        <f t="shared" si="4"/>
        <v>785</v>
      </c>
      <c r="H142" s="2759">
        <v>450000000</v>
      </c>
      <c r="I142" s="2760">
        <f t="shared" si="5"/>
        <v>450</v>
      </c>
      <c r="J142" s="2759">
        <v>1.2799999999999999E-5</v>
      </c>
      <c r="K142" s="2759">
        <v>450</v>
      </c>
      <c r="L142" s="2766">
        <v>48</v>
      </c>
    </row>
    <row r="143" spans="1:12" ht="15.75">
      <c r="A143" s="2761" t="s">
        <v>4875</v>
      </c>
      <c r="B143" s="2762">
        <v>209000000000</v>
      </c>
      <c r="C143" s="2763">
        <v>0.28000000000000003</v>
      </c>
      <c r="D143" s="2762">
        <v>7850</v>
      </c>
      <c r="E143" s="2764">
        <v>82000000000</v>
      </c>
      <c r="F143" s="2764">
        <v>785000000</v>
      </c>
      <c r="G143" s="2765">
        <f t="shared" si="4"/>
        <v>785</v>
      </c>
      <c r="H143" s="2764">
        <v>450000000</v>
      </c>
      <c r="I143" s="2765">
        <f t="shared" si="5"/>
        <v>450</v>
      </c>
      <c r="J143" s="2764">
        <v>1.26E-5</v>
      </c>
      <c r="K143" s="2764">
        <v>450</v>
      </c>
      <c r="L143" s="2767">
        <v>48</v>
      </c>
    </row>
    <row r="144" spans="1:12" ht="15.75">
      <c r="A144" s="2756" t="s">
        <v>4876</v>
      </c>
      <c r="B144" s="2757">
        <v>202000000000</v>
      </c>
      <c r="C144" s="2758">
        <v>0.27</v>
      </c>
      <c r="D144" s="2757">
        <v>7910</v>
      </c>
      <c r="E144" s="2759">
        <v>79400000000</v>
      </c>
      <c r="F144" s="2759">
        <v>559000000</v>
      </c>
      <c r="G144" s="2760">
        <f t="shared" si="4"/>
        <v>559</v>
      </c>
      <c r="H144" s="2759">
        <v>382000000</v>
      </c>
      <c r="I144" s="2760">
        <f t="shared" si="5"/>
        <v>382</v>
      </c>
      <c r="J144" s="2759">
        <v>1.24E-5</v>
      </c>
      <c r="K144" s="2759">
        <v>450</v>
      </c>
      <c r="L144" s="2766">
        <v>48</v>
      </c>
    </row>
    <row r="145" spans="1:12" ht="15.75">
      <c r="A145" s="2761" t="s">
        <v>4877</v>
      </c>
      <c r="B145" s="2762">
        <v>206000000000</v>
      </c>
      <c r="C145" s="2763">
        <v>0.3</v>
      </c>
      <c r="D145" s="2762">
        <v>7650</v>
      </c>
      <c r="E145" s="2764">
        <v>79300000000</v>
      </c>
      <c r="F145" s="2764">
        <v>835000000</v>
      </c>
      <c r="G145" s="2765">
        <f t="shared" si="4"/>
        <v>835</v>
      </c>
      <c r="H145" s="2764">
        <v>685000000</v>
      </c>
      <c r="I145" s="2765">
        <f t="shared" si="5"/>
        <v>685</v>
      </c>
      <c r="J145" s="2764">
        <v>1.22E-5</v>
      </c>
      <c r="K145" s="2764">
        <v>450</v>
      </c>
      <c r="L145" s="2767">
        <v>48</v>
      </c>
    </row>
    <row r="146" spans="1:12" ht="15.75">
      <c r="A146" s="2756" t="s">
        <v>4878</v>
      </c>
      <c r="B146" s="2757">
        <v>209000000000</v>
      </c>
      <c r="C146" s="2758">
        <v>0.28000000000000003</v>
      </c>
      <c r="D146" s="2757">
        <v>7870</v>
      </c>
      <c r="E146" s="2759">
        <v>81400000000</v>
      </c>
      <c r="F146" s="2759">
        <v>980000000</v>
      </c>
      <c r="G146" s="2760">
        <f t="shared" si="4"/>
        <v>980</v>
      </c>
      <c r="H146" s="2759">
        <v>785000000</v>
      </c>
      <c r="I146" s="2760">
        <f t="shared" si="5"/>
        <v>785</v>
      </c>
      <c r="J146" s="2759">
        <v>1.22E-5</v>
      </c>
      <c r="K146" s="2759">
        <v>450</v>
      </c>
      <c r="L146" s="2766">
        <v>48</v>
      </c>
    </row>
    <row r="147" spans="1:12" ht="15.75">
      <c r="A147" s="2761" t="s">
        <v>4879</v>
      </c>
      <c r="B147" s="2762">
        <v>209000000000</v>
      </c>
      <c r="C147" s="2763">
        <v>0.28000000000000003</v>
      </c>
      <c r="D147" s="2762">
        <v>7870</v>
      </c>
      <c r="E147" s="2764">
        <v>81400000000</v>
      </c>
      <c r="F147" s="2764">
        <v>980000000</v>
      </c>
      <c r="G147" s="2765">
        <f t="shared" si="4"/>
        <v>980</v>
      </c>
      <c r="H147" s="2764">
        <v>785000000</v>
      </c>
      <c r="I147" s="2765">
        <f t="shared" si="5"/>
        <v>785</v>
      </c>
      <c r="J147" s="2764">
        <v>1.22E-5</v>
      </c>
      <c r="K147" s="2764">
        <v>450</v>
      </c>
      <c r="L147" s="2767">
        <v>48</v>
      </c>
    </row>
    <row r="148" spans="1:12" ht="15.75">
      <c r="A148" s="2756" t="s">
        <v>4880</v>
      </c>
      <c r="B148" s="2757">
        <v>209000000000</v>
      </c>
      <c r="C148" s="2758">
        <v>0.28000000000000003</v>
      </c>
      <c r="D148" s="2757">
        <v>7870</v>
      </c>
      <c r="E148" s="2759">
        <v>81400000000</v>
      </c>
      <c r="F148" s="2759">
        <v>980000000</v>
      </c>
      <c r="G148" s="2760">
        <f t="shared" si="4"/>
        <v>980</v>
      </c>
      <c r="H148" s="2759">
        <v>785000000</v>
      </c>
      <c r="I148" s="2760">
        <f t="shared" si="5"/>
        <v>785</v>
      </c>
      <c r="J148" s="2759">
        <v>1.22E-5</v>
      </c>
      <c r="K148" s="2759">
        <v>450</v>
      </c>
      <c r="L148" s="2766">
        <v>48</v>
      </c>
    </row>
    <row r="149" spans="1:12" ht="15.75">
      <c r="A149" s="2761" t="s">
        <v>4881</v>
      </c>
      <c r="B149" s="2762">
        <v>204000000000</v>
      </c>
      <c r="C149" s="2763">
        <v>0.23</v>
      </c>
      <c r="D149" s="2762">
        <v>7800</v>
      </c>
      <c r="E149" s="2764">
        <v>82800000000</v>
      </c>
      <c r="F149" s="2764">
        <v>885000000</v>
      </c>
      <c r="G149" s="2765">
        <f t="shared" si="4"/>
        <v>885</v>
      </c>
      <c r="H149" s="2764">
        <v>735000000</v>
      </c>
      <c r="I149" s="2765">
        <f t="shared" si="5"/>
        <v>735</v>
      </c>
      <c r="J149" s="2764">
        <v>1.13E-5</v>
      </c>
      <c r="K149" s="2764">
        <v>450</v>
      </c>
      <c r="L149" s="2767">
        <v>48</v>
      </c>
    </row>
    <row r="150" spans="1:12" ht="15.75">
      <c r="A150" s="2756" t="s">
        <v>4882</v>
      </c>
      <c r="B150" s="2757">
        <v>209000000000</v>
      </c>
      <c r="C150" s="2758">
        <v>0.28000000000000003</v>
      </c>
      <c r="D150" s="2757">
        <v>7810</v>
      </c>
      <c r="E150" s="2759">
        <v>82100000000</v>
      </c>
      <c r="F150" s="2759">
        <v>1482000000</v>
      </c>
      <c r="G150" s="2760">
        <f t="shared" si="4"/>
        <v>1482</v>
      </c>
      <c r="H150" s="2759">
        <v>1232000000</v>
      </c>
      <c r="I150" s="2760">
        <f t="shared" si="5"/>
        <v>1232</v>
      </c>
      <c r="J150" s="2759">
        <v>1.305E-5</v>
      </c>
      <c r="K150" s="2759">
        <v>450</v>
      </c>
      <c r="L150" s="2766">
        <v>48</v>
      </c>
    </row>
    <row r="151" spans="1:12" ht="15.75">
      <c r="A151" s="2761" t="s">
        <v>4883</v>
      </c>
      <c r="B151" s="2762">
        <v>210000000000</v>
      </c>
      <c r="C151" s="2763">
        <v>0.28000000000000003</v>
      </c>
      <c r="D151" s="2762">
        <v>7830</v>
      </c>
      <c r="E151" s="2764">
        <v>82000000000</v>
      </c>
      <c r="F151" s="2764">
        <v>1587000000</v>
      </c>
      <c r="G151" s="2765">
        <f t="shared" si="4"/>
        <v>1587</v>
      </c>
      <c r="H151" s="2764">
        <v>1213000000</v>
      </c>
      <c r="I151" s="2765">
        <f t="shared" si="5"/>
        <v>1213</v>
      </c>
      <c r="J151" s="2764">
        <v>1.2439999999999999E-5</v>
      </c>
      <c r="K151" s="2764">
        <v>450</v>
      </c>
      <c r="L151" s="2767">
        <v>48</v>
      </c>
    </row>
    <row r="152" spans="1:12" ht="15.75">
      <c r="A152" s="2756" t="s">
        <v>4884</v>
      </c>
      <c r="B152" s="2757">
        <v>212000000000</v>
      </c>
      <c r="C152" s="2758">
        <v>0.28000000000000003</v>
      </c>
      <c r="D152" s="2757">
        <v>7850</v>
      </c>
      <c r="E152" s="2759">
        <v>82800000000</v>
      </c>
      <c r="F152" s="2759">
        <v>1307000000</v>
      </c>
      <c r="G152" s="2760">
        <f t="shared" si="4"/>
        <v>1307</v>
      </c>
      <c r="H152" s="2759">
        <v>982000000</v>
      </c>
      <c r="I152" s="2760">
        <f t="shared" si="5"/>
        <v>982</v>
      </c>
      <c r="J152" s="2759">
        <v>1.1960000000000001E-5</v>
      </c>
      <c r="K152" s="2759">
        <v>450</v>
      </c>
      <c r="L152" s="2766">
        <v>48</v>
      </c>
    </row>
    <row r="153" spans="1:12" ht="15.75">
      <c r="A153" s="2761" t="s">
        <v>4885</v>
      </c>
      <c r="B153" s="2762">
        <v>212000000000</v>
      </c>
      <c r="C153" s="2763">
        <v>0.27</v>
      </c>
      <c r="D153" s="2762">
        <v>7900</v>
      </c>
      <c r="E153" s="2764">
        <v>83100000000</v>
      </c>
      <c r="F153" s="2764">
        <v>1080000000</v>
      </c>
      <c r="G153" s="2765">
        <f t="shared" si="4"/>
        <v>1080</v>
      </c>
      <c r="H153" s="2764">
        <v>885000000</v>
      </c>
      <c r="I153" s="2765">
        <f t="shared" si="5"/>
        <v>885</v>
      </c>
      <c r="J153" s="2764">
        <v>1.2500000000000001E-5</v>
      </c>
      <c r="K153" s="2764">
        <v>450</v>
      </c>
      <c r="L153" s="2767">
        <v>48</v>
      </c>
    </row>
    <row r="154" spans="1:12" ht="15.75">
      <c r="A154" s="2756" t="s">
        <v>4886</v>
      </c>
      <c r="B154" s="2757">
        <v>212000000000</v>
      </c>
      <c r="C154" s="2758">
        <v>0.27</v>
      </c>
      <c r="D154" s="2757">
        <v>7900</v>
      </c>
      <c r="E154" s="2759">
        <v>83100000000</v>
      </c>
      <c r="F154" s="2759">
        <v>1080000000</v>
      </c>
      <c r="G154" s="2760">
        <f t="shared" si="4"/>
        <v>1080</v>
      </c>
      <c r="H154" s="2759">
        <v>885000000</v>
      </c>
      <c r="I154" s="2760">
        <f t="shared" si="5"/>
        <v>885</v>
      </c>
      <c r="J154" s="2759">
        <v>1.2500000000000001E-5</v>
      </c>
      <c r="K154" s="2759">
        <v>450</v>
      </c>
      <c r="L154" s="2766">
        <v>48</v>
      </c>
    </row>
    <row r="155" spans="1:12" ht="15.75">
      <c r="A155" s="2761" t="s">
        <v>4887</v>
      </c>
      <c r="B155" s="2762">
        <v>212000000000</v>
      </c>
      <c r="C155" s="2763">
        <v>0.27</v>
      </c>
      <c r="D155" s="2762">
        <v>7900</v>
      </c>
      <c r="E155" s="2764">
        <v>83100000000</v>
      </c>
      <c r="F155" s="2764">
        <v>1080000000</v>
      </c>
      <c r="G155" s="2765">
        <f t="shared" si="4"/>
        <v>1080</v>
      </c>
      <c r="H155" s="2764">
        <v>885000000</v>
      </c>
      <c r="I155" s="2765">
        <f t="shared" si="5"/>
        <v>885</v>
      </c>
      <c r="J155" s="2764">
        <v>1.2500000000000001E-5</v>
      </c>
      <c r="K155" s="2764">
        <v>450</v>
      </c>
      <c r="L155" s="2767">
        <v>48</v>
      </c>
    </row>
    <row r="156" spans="1:12" ht="15.75">
      <c r="A156" s="2756" t="s">
        <v>4888</v>
      </c>
      <c r="B156" s="2757">
        <v>205000000000</v>
      </c>
      <c r="C156" s="2758">
        <v>0.25</v>
      </c>
      <c r="D156" s="2757">
        <v>7850</v>
      </c>
      <c r="E156" s="2759">
        <v>82000000000</v>
      </c>
      <c r="F156" s="2759">
        <v>785000000</v>
      </c>
      <c r="G156" s="2760">
        <f t="shared" si="4"/>
        <v>785</v>
      </c>
      <c r="H156" s="2759">
        <v>450000000</v>
      </c>
      <c r="I156" s="2760">
        <f t="shared" si="5"/>
        <v>450</v>
      </c>
      <c r="J156" s="2759">
        <v>1.0499999999999999E-5</v>
      </c>
      <c r="K156" s="2759">
        <v>450</v>
      </c>
      <c r="L156" s="2766">
        <v>48</v>
      </c>
    </row>
    <row r="157" spans="1:12" ht="15.75">
      <c r="A157" s="2761" t="s">
        <v>4889</v>
      </c>
      <c r="B157" s="2762">
        <v>207000000000</v>
      </c>
      <c r="C157" s="2763">
        <v>0.25600000000000001</v>
      </c>
      <c r="D157" s="2762">
        <v>7870</v>
      </c>
      <c r="E157" s="2764">
        <v>82600000000</v>
      </c>
      <c r="F157" s="2764">
        <v>1080000000</v>
      </c>
      <c r="G157" s="2765">
        <f t="shared" si="4"/>
        <v>1080</v>
      </c>
      <c r="H157" s="2764">
        <v>885000000</v>
      </c>
      <c r="I157" s="2765">
        <f t="shared" si="5"/>
        <v>885</v>
      </c>
      <c r="J157" s="2764">
        <v>1.1205E-5</v>
      </c>
      <c r="K157" s="2764">
        <v>450</v>
      </c>
      <c r="L157" s="2767">
        <v>48</v>
      </c>
    </row>
    <row r="158" spans="1:12" ht="15.75">
      <c r="A158" s="2756" t="s">
        <v>4890</v>
      </c>
      <c r="B158" s="2757">
        <v>207000000000</v>
      </c>
      <c r="C158" s="2758">
        <v>0.25600000000000001</v>
      </c>
      <c r="D158" s="2757">
        <v>7870</v>
      </c>
      <c r="E158" s="2759">
        <v>82600000000</v>
      </c>
      <c r="F158" s="2759">
        <v>1080000000</v>
      </c>
      <c r="G158" s="2760">
        <f t="shared" si="4"/>
        <v>1080</v>
      </c>
      <c r="H158" s="2759">
        <v>885000000</v>
      </c>
      <c r="I158" s="2760">
        <f t="shared" si="5"/>
        <v>885</v>
      </c>
      <c r="J158" s="2759">
        <v>1.1205E-5</v>
      </c>
      <c r="K158" s="2759">
        <v>450</v>
      </c>
      <c r="L158" s="2766">
        <v>48</v>
      </c>
    </row>
    <row r="159" spans="1:12" ht="15.75">
      <c r="A159" s="2761" t="s">
        <v>4891</v>
      </c>
      <c r="B159" s="2762">
        <v>207000000000</v>
      </c>
      <c r="C159" s="2763">
        <v>0.25600000000000001</v>
      </c>
      <c r="D159" s="2762">
        <v>7870</v>
      </c>
      <c r="E159" s="2764">
        <v>82600000000</v>
      </c>
      <c r="F159" s="2764">
        <v>1080000000</v>
      </c>
      <c r="G159" s="2765">
        <f t="shared" si="4"/>
        <v>1080</v>
      </c>
      <c r="H159" s="2764">
        <v>885000000</v>
      </c>
      <c r="I159" s="2765">
        <f t="shared" si="5"/>
        <v>885</v>
      </c>
      <c r="J159" s="2764">
        <v>1.1205E-5</v>
      </c>
      <c r="K159" s="2764">
        <v>450</v>
      </c>
      <c r="L159" s="2767">
        <v>48</v>
      </c>
    </row>
    <row r="160" spans="1:12" ht="15.75">
      <c r="A160" s="2756" t="s">
        <v>4892</v>
      </c>
      <c r="B160" s="2757">
        <v>206000000000</v>
      </c>
      <c r="C160" s="2758">
        <v>0.3</v>
      </c>
      <c r="D160" s="2757">
        <v>7620</v>
      </c>
      <c r="E160" s="2759">
        <v>79300000000</v>
      </c>
      <c r="F160" s="2759">
        <v>651000000</v>
      </c>
      <c r="G160" s="2760">
        <f t="shared" si="4"/>
        <v>651</v>
      </c>
      <c r="H160" s="2759">
        <v>485000000</v>
      </c>
      <c r="I160" s="2760">
        <f t="shared" si="5"/>
        <v>485</v>
      </c>
      <c r="J160" s="2759">
        <v>1.15E-5</v>
      </c>
      <c r="K160" s="2759">
        <v>450</v>
      </c>
      <c r="L160" s="2766">
        <v>48</v>
      </c>
    </row>
    <row r="161" spans="1:12" ht="15.75">
      <c r="A161" s="2761" t="s">
        <v>4893</v>
      </c>
      <c r="B161" s="2762">
        <v>213000000000</v>
      </c>
      <c r="C161" s="2763">
        <v>0.28999999999999998</v>
      </c>
      <c r="D161" s="2762">
        <v>7850</v>
      </c>
      <c r="E161" s="2764">
        <v>82000000000</v>
      </c>
      <c r="F161" s="2764">
        <v>1447000000</v>
      </c>
      <c r="G161" s="2765">
        <f t="shared" si="4"/>
        <v>1447</v>
      </c>
      <c r="H161" s="2764">
        <v>1003000000</v>
      </c>
      <c r="I161" s="2765">
        <f t="shared" si="5"/>
        <v>1003</v>
      </c>
      <c r="J161" s="2764">
        <v>1.29E-5</v>
      </c>
      <c r="K161" s="2764">
        <v>450</v>
      </c>
      <c r="L161" s="2767">
        <v>48</v>
      </c>
    </row>
    <row r="162" spans="1:12" ht="15.75">
      <c r="A162" s="2756" t="s">
        <v>4894</v>
      </c>
      <c r="B162" s="2757">
        <v>210000000000</v>
      </c>
      <c r="C162" s="2758">
        <v>0.28000000000000003</v>
      </c>
      <c r="D162" s="2757">
        <v>7830</v>
      </c>
      <c r="E162" s="2759">
        <v>81900000000</v>
      </c>
      <c r="F162" s="2759">
        <v>1250000000</v>
      </c>
      <c r="G162" s="2760">
        <f t="shared" si="4"/>
        <v>1250</v>
      </c>
      <c r="H162" s="2759">
        <v>1050000000</v>
      </c>
      <c r="I162" s="2760">
        <f t="shared" si="5"/>
        <v>1050</v>
      </c>
      <c r="J162" s="2759">
        <v>1.15E-5</v>
      </c>
      <c r="K162" s="2759">
        <v>0</v>
      </c>
      <c r="L162" s="2766">
        <v>0</v>
      </c>
    </row>
    <row r="163" spans="1:12" ht="15.75">
      <c r="A163" s="2761" t="s">
        <v>4895</v>
      </c>
      <c r="B163" s="2762">
        <v>206000000000</v>
      </c>
      <c r="C163" s="2763">
        <v>0.25</v>
      </c>
      <c r="D163" s="2762">
        <v>7870</v>
      </c>
      <c r="E163" s="2764">
        <v>82100000000</v>
      </c>
      <c r="F163" s="2764">
        <v>762000000</v>
      </c>
      <c r="G163" s="2765">
        <f t="shared" si="4"/>
        <v>762</v>
      </c>
      <c r="H163" s="2764">
        <v>522000000</v>
      </c>
      <c r="I163" s="2765">
        <f t="shared" si="5"/>
        <v>522</v>
      </c>
      <c r="J163" s="2764">
        <v>1.26E-5</v>
      </c>
      <c r="K163" s="2764">
        <v>0</v>
      </c>
      <c r="L163" s="2767">
        <v>0</v>
      </c>
    </row>
    <row r="164" spans="1:12" ht="15.75">
      <c r="A164" s="2756" t="s">
        <v>4896</v>
      </c>
      <c r="B164" s="2757">
        <v>213000000000</v>
      </c>
      <c r="C164" s="2758">
        <v>0.28299999999999997</v>
      </c>
      <c r="D164" s="2757">
        <v>7840</v>
      </c>
      <c r="E164" s="2759">
        <v>83000000000</v>
      </c>
      <c r="F164" s="2759">
        <v>885000000</v>
      </c>
      <c r="G164" s="2760">
        <f t="shared" si="4"/>
        <v>885</v>
      </c>
      <c r="H164" s="2759">
        <v>635000000</v>
      </c>
      <c r="I164" s="2760">
        <f t="shared" si="5"/>
        <v>635</v>
      </c>
      <c r="J164" s="2759">
        <v>1.27E-5</v>
      </c>
      <c r="K164" s="2759">
        <v>460</v>
      </c>
      <c r="L164" s="2766">
        <v>44</v>
      </c>
    </row>
    <row r="165" spans="1:12" ht="15.75">
      <c r="A165" s="2761" t="s">
        <v>4897</v>
      </c>
      <c r="B165" s="2762">
        <v>213000000000</v>
      </c>
      <c r="C165" s="2763">
        <v>0.28299999999999997</v>
      </c>
      <c r="D165" s="2762">
        <v>7840</v>
      </c>
      <c r="E165" s="2764">
        <v>83000000000</v>
      </c>
      <c r="F165" s="2764">
        <v>1079000000</v>
      </c>
      <c r="G165" s="2765">
        <f t="shared" si="4"/>
        <v>1079</v>
      </c>
      <c r="H165" s="2764">
        <v>883000000</v>
      </c>
      <c r="I165" s="2765">
        <f t="shared" si="5"/>
        <v>883</v>
      </c>
      <c r="J165" s="2764">
        <v>1.27E-5</v>
      </c>
      <c r="K165" s="2764">
        <v>460</v>
      </c>
      <c r="L165" s="2767">
        <v>44</v>
      </c>
    </row>
    <row r="166" spans="1:12" ht="15.75">
      <c r="A166" s="2756" t="s">
        <v>4898</v>
      </c>
      <c r="B166" s="2757">
        <v>211000000000</v>
      </c>
      <c r="C166" s="2758">
        <v>0.27</v>
      </c>
      <c r="D166" s="2757">
        <v>7830</v>
      </c>
      <c r="E166" s="2759">
        <v>83000000000</v>
      </c>
      <c r="F166" s="2759">
        <v>791000000</v>
      </c>
      <c r="G166" s="2760">
        <f t="shared" si="4"/>
        <v>791</v>
      </c>
      <c r="H166" s="2759">
        <v>585000000</v>
      </c>
      <c r="I166" s="2760">
        <f t="shared" si="5"/>
        <v>585</v>
      </c>
      <c r="J166" s="2759">
        <v>1.6399999999999999E-5</v>
      </c>
      <c r="K166" s="2759">
        <v>460</v>
      </c>
      <c r="L166" s="2766">
        <v>44</v>
      </c>
    </row>
    <row r="167" spans="1:12" ht="15.75">
      <c r="A167" s="2761" t="s">
        <v>4899</v>
      </c>
      <c r="B167" s="2762">
        <v>207000000000</v>
      </c>
      <c r="C167" s="2763">
        <v>0.27</v>
      </c>
      <c r="D167" s="2762">
        <v>7730</v>
      </c>
      <c r="E167" s="2764">
        <v>81300000000</v>
      </c>
      <c r="F167" s="2764">
        <v>1274000000</v>
      </c>
      <c r="G167" s="2765">
        <f t="shared" si="4"/>
        <v>1274</v>
      </c>
      <c r="H167" s="2764">
        <v>1176000000</v>
      </c>
      <c r="I167" s="2765">
        <f t="shared" si="5"/>
        <v>1176</v>
      </c>
      <c r="J167" s="2764">
        <v>1.184E-5</v>
      </c>
      <c r="K167" s="2764">
        <v>460</v>
      </c>
      <c r="L167" s="2767">
        <v>44</v>
      </c>
    </row>
    <row r="168" spans="1:12" ht="15.75">
      <c r="A168" s="2756" t="s">
        <v>4900</v>
      </c>
      <c r="B168" s="2757">
        <v>207000000000</v>
      </c>
      <c r="C168" s="2758">
        <v>0.27</v>
      </c>
      <c r="D168" s="2757">
        <v>7730</v>
      </c>
      <c r="E168" s="2759">
        <v>81300000000</v>
      </c>
      <c r="F168" s="2759">
        <v>1274000000</v>
      </c>
      <c r="G168" s="2760">
        <f t="shared" si="4"/>
        <v>1274</v>
      </c>
      <c r="H168" s="2759">
        <v>1176000000</v>
      </c>
      <c r="I168" s="2760">
        <f t="shared" si="5"/>
        <v>1176</v>
      </c>
      <c r="J168" s="2759">
        <v>1.184E-5</v>
      </c>
      <c r="K168" s="2759">
        <v>460</v>
      </c>
      <c r="L168" s="2766">
        <v>44</v>
      </c>
    </row>
    <row r="169" spans="1:12" ht="15.75">
      <c r="A169" s="2761" t="s">
        <v>4901</v>
      </c>
      <c r="B169" s="2762">
        <v>209000000000</v>
      </c>
      <c r="C169" s="2763">
        <v>0.28000000000000003</v>
      </c>
      <c r="D169" s="2762">
        <v>7860</v>
      </c>
      <c r="E169" s="2764">
        <v>81700000000</v>
      </c>
      <c r="F169" s="2764">
        <v>1372000000</v>
      </c>
      <c r="G169" s="2765">
        <f t="shared" si="4"/>
        <v>1372</v>
      </c>
      <c r="H169" s="2764">
        <v>1225000000</v>
      </c>
      <c r="I169" s="2765">
        <f t="shared" si="5"/>
        <v>1225</v>
      </c>
      <c r="J169" s="2764">
        <v>1.1759999999999999E-5</v>
      </c>
      <c r="K169" s="2764">
        <v>460</v>
      </c>
      <c r="L169" s="2767">
        <v>44</v>
      </c>
    </row>
    <row r="170" spans="1:12" ht="15.75">
      <c r="A170" s="2756" t="s">
        <v>4902</v>
      </c>
      <c r="B170" s="2757">
        <v>210000000000</v>
      </c>
      <c r="C170" s="2758">
        <v>0.28499999999999998</v>
      </c>
      <c r="D170" s="2757">
        <v>7730</v>
      </c>
      <c r="E170" s="2759">
        <v>81700000000</v>
      </c>
      <c r="F170" s="2759">
        <v>885000000</v>
      </c>
      <c r="G170" s="2760">
        <f t="shared" si="4"/>
        <v>885</v>
      </c>
      <c r="H170" s="2759">
        <v>685000000</v>
      </c>
      <c r="I170" s="2760">
        <f t="shared" si="5"/>
        <v>685</v>
      </c>
      <c r="J170" s="2759">
        <v>1.221E-5</v>
      </c>
      <c r="K170" s="2759">
        <v>460</v>
      </c>
      <c r="L170" s="2766">
        <v>44</v>
      </c>
    </row>
    <row r="171" spans="1:12" ht="15.75">
      <c r="A171" s="2761" t="s">
        <v>4903</v>
      </c>
      <c r="B171" s="2762">
        <v>206000000000</v>
      </c>
      <c r="C171" s="2763">
        <v>0.28999999999999998</v>
      </c>
      <c r="D171" s="2762">
        <v>7740</v>
      </c>
      <c r="E171" s="2764">
        <v>79900000000</v>
      </c>
      <c r="F171" s="2764">
        <v>1274000000</v>
      </c>
      <c r="G171" s="2765">
        <f t="shared" si="4"/>
        <v>1274</v>
      </c>
      <c r="H171" s="2764">
        <v>1176000000</v>
      </c>
      <c r="I171" s="2765">
        <f t="shared" si="5"/>
        <v>1176</v>
      </c>
      <c r="J171" s="2764">
        <v>1.26E-5</v>
      </c>
      <c r="K171" s="2764">
        <v>460</v>
      </c>
      <c r="L171" s="2767">
        <v>44</v>
      </c>
    </row>
    <row r="172" spans="1:12" ht="15.75">
      <c r="A172" s="2756" t="s">
        <v>4904</v>
      </c>
      <c r="B172" s="2757">
        <v>206000000000</v>
      </c>
      <c r="C172" s="2758">
        <v>0.28999999999999998</v>
      </c>
      <c r="D172" s="2757">
        <v>7740</v>
      </c>
      <c r="E172" s="2759">
        <v>79900000000</v>
      </c>
      <c r="F172" s="2759">
        <v>1568000000</v>
      </c>
      <c r="G172" s="2760">
        <f t="shared" si="4"/>
        <v>1568</v>
      </c>
      <c r="H172" s="2759">
        <v>1372000000</v>
      </c>
      <c r="I172" s="2760">
        <f t="shared" si="5"/>
        <v>1372</v>
      </c>
      <c r="J172" s="2759">
        <v>1.26E-5</v>
      </c>
      <c r="K172" s="2759">
        <v>460</v>
      </c>
      <c r="L172" s="2766">
        <v>44</v>
      </c>
    </row>
    <row r="173" spans="1:12" ht="15.75">
      <c r="A173" s="2761" t="s">
        <v>4905</v>
      </c>
      <c r="B173" s="2762">
        <v>209000000000</v>
      </c>
      <c r="C173" s="2763">
        <v>0.28999999999999998</v>
      </c>
      <c r="D173" s="2762">
        <v>7840</v>
      </c>
      <c r="E173" s="2764">
        <v>80900000000</v>
      </c>
      <c r="F173" s="2764">
        <v>885000000</v>
      </c>
      <c r="G173" s="2765">
        <f t="shared" si="4"/>
        <v>885</v>
      </c>
      <c r="H173" s="2764">
        <v>685000000</v>
      </c>
      <c r="I173" s="2765">
        <f t="shared" si="5"/>
        <v>685</v>
      </c>
      <c r="J173" s="2764">
        <v>1.26E-5</v>
      </c>
      <c r="K173" s="2764">
        <v>460</v>
      </c>
      <c r="L173" s="2767">
        <v>44</v>
      </c>
    </row>
    <row r="174" spans="1:12" ht="15.75">
      <c r="A174" s="2756" t="s">
        <v>4906</v>
      </c>
      <c r="B174" s="2757">
        <v>196000000000</v>
      </c>
      <c r="C174" s="2758">
        <v>0.22</v>
      </c>
      <c r="D174" s="2757">
        <v>8180</v>
      </c>
      <c r="E174" s="2759">
        <v>81000000000</v>
      </c>
      <c r="F174" s="2759">
        <v>885000000</v>
      </c>
      <c r="G174" s="2760">
        <f t="shared" si="4"/>
        <v>885</v>
      </c>
      <c r="H174" s="2759">
        <v>685000000</v>
      </c>
      <c r="I174" s="2760">
        <f t="shared" si="5"/>
        <v>685</v>
      </c>
      <c r="J174" s="2759">
        <v>1.22E-5</v>
      </c>
      <c r="K174" s="2759">
        <v>460</v>
      </c>
      <c r="L174" s="2766">
        <v>44</v>
      </c>
    </row>
    <row r="175" spans="1:12" ht="15.75">
      <c r="A175" s="2761" t="s">
        <v>4907</v>
      </c>
      <c r="B175" s="2762">
        <v>207000000000</v>
      </c>
      <c r="C175" s="2763">
        <v>0.27</v>
      </c>
      <c r="D175" s="2762">
        <v>8160</v>
      </c>
      <c r="E175" s="2764">
        <v>82000000000</v>
      </c>
      <c r="F175" s="2764">
        <v>885000000</v>
      </c>
      <c r="G175" s="2765">
        <f t="shared" si="4"/>
        <v>885</v>
      </c>
      <c r="H175" s="2764">
        <v>685000000</v>
      </c>
      <c r="I175" s="2765">
        <f t="shared" si="5"/>
        <v>685</v>
      </c>
      <c r="J175" s="2764">
        <v>9.7999999999999993E-6</v>
      </c>
      <c r="K175" s="2764">
        <v>460</v>
      </c>
      <c r="L175" s="2767">
        <v>44</v>
      </c>
    </row>
    <row r="176" spans="1:12" ht="15.75">
      <c r="A176" s="2756" t="s">
        <v>4908</v>
      </c>
      <c r="B176" s="2757">
        <v>219000000000</v>
      </c>
      <c r="C176" s="2758">
        <v>0.3</v>
      </c>
      <c r="D176" s="2757">
        <v>7830</v>
      </c>
      <c r="E176" s="2759">
        <v>84700000000</v>
      </c>
      <c r="F176" s="2759">
        <v>1617000000</v>
      </c>
      <c r="G176" s="2760">
        <f t="shared" si="4"/>
        <v>1617</v>
      </c>
      <c r="H176" s="2759">
        <v>0</v>
      </c>
      <c r="I176" s="2760">
        <f t="shared" si="5"/>
        <v>0</v>
      </c>
      <c r="J176" s="2759">
        <v>1.203E-5</v>
      </c>
      <c r="K176" s="2759">
        <v>460</v>
      </c>
      <c r="L176" s="2766">
        <v>44</v>
      </c>
    </row>
    <row r="177" spans="1:12" ht="15.75">
      <c r="A177" s="2761" t="s">
        <v>4909</v>
      </c>
      <c r="B177" s="2762">
        <v>219000000000</v>
      </c>
      <c r="C177" s="2763">
        <v>0.3</v>
      </c>
      <c r="D177" s="2762">
        <v>7830</v>
      </c>
      <c r="E177" s="2764">
        <v>84700000000</v>
      </c>
      <c r="F177" s="2764">
        <v>1902000000</v>
      </c>
      <c r="G177" s="2765">
        <f t="shared" si="4"/>
        <v>1902</v>
      </c>
      <c r="H177" s="2764">
        <v>0</v>
      </c>
      <c r="I177" s="2765">
        <f t="shared" si="5"/>
        <v>0</v>
      </c>
      <c r="J177" s="2764">
        <v>1.203E-5</v>
      </c>
      <c r="K177" s="2764">
        <v>460</v>
      </c>
      <c r="L177" s="2767">
        <v>44</v>
      </c>
    </row>
    <row r="178" spans="1:12" ht="15.75">
      <c r="A178" s="2756" t="s">
        <v>4910</v>
      </c>
      <c r="B178" s="2757">
        <v>216000000000</v>
      </c>
      <c r="C178" s="2758">
        <v>0.3</v>
      </c>
      <c r="D178" s="2757">
        <v>7820</v>
      </c>
      <c r="E178" s="2759">
        <v>83200000000</v>
      </c>
      <c r="F178" s="2759">
        <v>1831000000</v>
      </c>
      <c r="G178" s="2760">
        <f t="shared" si="4"/>
        <v>1831</v>
      </c>
      <c r="H178" s="2759">
        <v>0</v>
      </c>
      <c r="I178" s="2760">
        <f t="shared" si="5"/>
        <v>0</v>
      </c>
      <c r="J178" s="2759">
        <v>1.2E-5</v>
      </c>
      <c r="K178" s="2759">
        <v>460</v>
      </c>
      <c r="L178" s="2766">
        <v>44</v>
      </c>
    </row>
    <row r="179" spans="1:12" ht="15.75">
      <c r="A179" s="2761" t="s">
        <v>4911</v>
      </c>
      <c r="B179" s="2762">
        <v>216000000000</v>
      </c>
      <c r="C179" s="2763">
        <v>0.3</v>
      </c>
      <c r="D179" s="2762">
        <v>7820</v>
      </c>
      <c r="E179" s="2764">
        <v>83200000000</v>
      </c>
      <c r="F179" s="2764">
        <v>1906000000</v>
      </c>
      <c r="G179" s="2765">
        <f t="shared" si="4"/>
        <v>1906</v>
      </c>
      <c r="H179" s="2764">
        <v>0</v>
      </c>
      <c r="I179" s="2765">
        <f t="shared" si="5"/>
        <v>0</v>
      </c>
      <c r="J179" s="2764">
        <v>1.2E-5</v>
      </c>
      <c r="K179" s="2764">
        <v>460</v>
      </c>
      <c r="L179" s="2767">
        <v>44</v>
      </c>
    </row>
    <row r="180" spans="1:12" ht="15.75">
      <c r="A180" s="2756" t="s">
        <v>4912</v>
      </c>
      <c r="B180" s="2757">
        <v>221000000000</v>
      </c>
      <c r="C180" s="2758">
        <v>0.28999999999999998</v>
      </c>
      <c r="D180" s="2757">
        <v>8190</v>
      </c>
      <c r="E180" s="2759">
        <v>83000000000</v>
      </c>
      <c r="F180" s="2759">
        <v>885000000</v>
      </c>
      <c r="G180" s="2760">
        <f t="shared" si="4"/>
        <v>885</v>
      </c>
      <c r="H180" s="2759">
        <v>685000000</v>
      </c>
      <c r="I180" s="2760">
        <f t="shared" si="5"/>
        <v>685</v>
      </c>
      <c r="J180" s="2759">
        <v>1.0900000000000001E-5</v>
      </c>
      <c r="K180" s="2759">
        <v>460</v>
      </c>
      <c r="L180" s="2766">
        <v>44</v>
      </c>
    </row>
    <row r="181" spans="1:12" ht="15.75">
      <c r="A181" s="2761" t="s">
        <v>4913</v>
      </c>
      <c r="B181" s="2762">
        <v>221000000000</v>
      </c>
      <c r="C181" s="2763">
        <v>0.27</v>
      </c>
      <c r="D181" s="2762">
        <v>7700</v>
      </c>
      <c r="E181" s="2764">
        <v>87300000000</v>
      </c>
      <c r="F181" s="2764">
        <v>885000000</v>
      </c>
      <c r="G181" s="2765">
        <f t="shared" si="4"/>
        <v>885</v>
      </c>
      <c r="H181" s="2764">
        <v>685000000</v>
      </c>
      <c r="I181" s="2765">
        <f t="shared" si="5"/>
        <v>685</v>
      </c>
      <c r="J181" s="2764">
        <v>1.1399999999999999E-5</v>
      </c>
      <c r="K181" s="2764">
        <v>460</v>
      </c>
      <c r="L181" s="2767">
        <v>44</v>
      </c>
    </row>
    <row r="182" spans="1:12" ht="15.75">
      <c r="A182" s="2756" t="s">
        <v>4914</v>
      </c>
      <c r="B182" s="2757">
        <v>212000000000</v>
      </c>
      <c r="C182" s="2758">
        <v>0.28000000000000003</v>
      </c>
      <c r="D182" s="2757">
        <v>7840</v>
      </c>
      <c r="E182" s="2759">
        <v>82600000000</v>
      </c>
      <c r="F182" s="2759">
        <v>886000000</v>
      </c>
      <c r="G182" s="2760">
        <f t="shared" si="4"/>
        <v>886</v>
      </c>
      <c r="H182" s="2759">
        <v>587000000</v>
      </c>
      <c r="I182" s="2760">
        <f t="shared" si="5"/>
        <v>587</v>
      </c>
      <c r="J182" s="2759">
        <v>1.0200000000000001E-5</v>
      </c>
      <c r="K182" s="2759">
        <v>460</v>
      </c>
      <c r="L182" s="2766">
        <v>44</v>
      </c>
    </row>
    <row r="183" spans="1:12" ht="15.75">
      <c r="A183" s="2761" t="s">
        <v>4915</v>
      </c>
      <c r="B183" s="2762">
        <v>207000000000</v>
      </c>
      <c r="C183" s="2763">
        <v>0.28999999999999998</v>
      </c>
      <c r="D183" s="2762">
        <v>7830</v>
      </c>
      <c r="E183" s="2764">
        <v>79300000000</v>
      </c>
      <c r="F183" s="2764">
        <v>885000000</v>
      </c>
      <c r="G183" s="2765">
        <f t="shared" si="4"/>
        <v>885</v>
      </c>
      <c r="H183" s="2764">
        <v>685000000</v>
      </c>
      <c r="I183" s="2765">
        <f t="shared" si="5"/>
        <v>685</v>
      </c>
      <c r="J183" s="2764">
        <v>1.4039999999999999E-5</v>
      </c>
      <c r="K183" s="2764">
        <v>460</v>
      </c>
      <c r="L183" s="2767">
        <v>44</v>
      </c>
    </row>
    <row r="184" spans="1:12" ht="15.75">
      <c r="A184" s="2756" t="s">
        <v>4916</v>
      </c>
      <c r="B184" s="2757">
        <v>215000000000</v>
      </c>
      <c r="C184" s="2758">
        <v>0.28100000000000003</v>
      </c>
      <c r="D184" s="2757">
        <v>7810</v>
      </c>
      <c r="E184" s="2759">
        <v>83900000000</v>
      </c>
      <c r="F184" s="2759">
        <v>885000000</v>
      </c>
      <c r="G184" s="2760">
        <f t="shared" si="4"/>
        <v>885</v>
      </c>
      <c r="H184" s="2759">
        <v>685000000</v>
      </c>
      <c r="I184" s="2760">
        <f t="shared" si="5"/>
        <v>685</v>
      </c>
      <c r="J184" s="2759">
        <v>1.26E-5</v>
      </c>
      <c r="K184" s="2759">
        <v>460</v>
      </c>
      <c r="L184" s="2766">
        <v>44</v>
      </c>
    </row>
    <row r="185" spans="1:12" ht="15.75">
      <c r="A185" s="2761" t="s">
        <v>4917</v>
      </c>
      <c r="B185" s="2762">
        <v>213000000000</v>
      </c>
      <c r="C185" s="2763">
        <v>0.27900000000000003</v>
      </c>
      <c r="D185" s="2762">
        <v>7880</v>
      </c>
      <c r="E185" s="2764">
        <v>83300000000</v>
      </c>
      <c r="F185" s="2764">
        <v>885000000</v>
      </c>
      <c r="G185" s="2765">
        <f t="shared" si="4"/>
        <v>885</v>
      </c>
      <c r="H185" s="2764">
        <v>685000000</v>
      </c>
      <c r="I185" s="2765">
        <f t="shared" si="5"/>
        <v>685</v>
      </c>
      <c r="J185" s="2764">
        <v>1.3149999999999999E-5</v>
      </c>
      <c r="K185" s="2764">
        <v>460</v>
      </c>
      <c r="L185" s="2767">
        <v>44</v>
      </c>
    </row>
    <row r="186" spans="1:12" ht="15.75">
      <c r="A186" s="2756" t="s">
        <v>4918</v>
      </c>
      <c r="B186" s="2757">
        <v>219000000000</v>
      </c>
      <c r="C186" s="2758">
        <v>0.28100000000000003</v>
      </c>
      <c r="D186" s="2757">
        <v>7720</v>
      </c>
      <c r="E186" s="2759">
        <v>85500000000</v>
      </c>
      <c r="F186" s="2759">
        <v>885000000</v>
      </c>
      <c r="G186" s="2760">
        <f t="shared" si="4"/>
        <v>885</v>
      </c>
      <c r="H186" s="2759">
        <v>685000000</v>
      </c>
      <c r="I186" s="2760">
        <f t="shared" si="5"/>
        <v>685</v>
      </c>
      <c r="J186" s="2759">
        <v>1.022E-5</v>
      </c>
      <c r="K186" s="2759">
        <v>460</v>
      </c>
      <c r="L186" s="2766">
        <v>44</v>
      </c>
    </row>
    <row r="187" spans="1:12" ht="15.75">
      <c r="A187" s="2761" t="s">
        <v>4919</v>
      </c>
      <c r="B187" s="2762">
        <v>205000000000</v>
      </c>
      <c r="C187" s="2763">
        <v>0.28999999999999998</v>
      </c>
      <c r="D187" s="2762">
        <v>7880</v>
      </c>
      <c r="E187" s="2764">
        <v>79300000000</v>
      </c>
      <c r="F187" s="2764">
        <v>980000000</v>
      </c>
      <c r="G187" s="2765">
        <f t="shared" si="4"/>
        <v>980</v>
      </c>
      <c r="H187" s="2764">
        <v>0</v>
      </c>
      <c r="I187" s="2765">
        <f t="shared" si="5"/>
        <v>0</v>
      </c>
      <c r="J187" s="2764">
        <v>1.218E-5</v>
      </c>
      <c r="K187" s="2764">
        <v>460</v>
      </c>
      <c r="L187" s="2767">
        <v>44</v>
      </c>
    </row>
    <row r="188" spans="1:12" ht="15.75">
      <c r="A188" s="2756" t="s">
        <v>4920</v>
      </c>
      <c r="B188" s="2757">
        <v>205000000000</v>
      </c>
      <c r="C188" s="2758">
        <v>0.28999999999999998</v>
      </c>
      <c r="D188" s="2757">
        <v>7880</v>
      </c>
      <c r="E188" s="2759">
        <v>79300000000</v>
      </c>
      <c r="F188" s="2759">
        <v>980000000</v>
      </c>
      <c r="G188" s="2760">
        <f t="shared" si="4"/>
        <v>980</v>
      </c>
      <c r="H188" s="2759">
        <v>0</v>
      </c>
      <c r="I188" s="2760">
        <f t="shared" si="5"/>
        <v>0</v>
      </c>
      <c r="J188" s="2759">
        <v>1.218E-5</v>
      </c>
      <c r="K188" s="2759">
        <v>460</v>
      </c>
      <c r="L188" s="2766">
        <v>44</v>
      </c>
    </row>
    <row r="189" spans="1:12" ht="15.75">
      <c r="A189" s="2761" t="s">
        <v>4921</v>
      </c>
      <c r="B189" s="2762">
        <v>198000000000</v>
      </c>
      <c r="C189" s="2763">
        <v>0.27</v>
      </c>
      <c r="D189" s="2762">
        <v>7880</v>
      </c>
      <c r="E189" s="2764">
        <v>77700000000</v>
      </c>
      <c r="F189" s="2764">
        <v>885000000</v>
      </c>
      <c r="G189" s="2765">
        <f t="shared" si="4"/>
        <v>885</v>
      </c>
      <c r="H189" s="2764">
        <v>0</v>
      </c>
      <c r="I189" s="2765">
        <f t="shared" si="5"/>
        <v>0</v>
      </c>
      <c r="J189" s="2764">
        <v>1.239E-5</v>
      </c>
      <c r="K189" s="2764">
        <v>460</v>
      </c>
      <c r="L189" s="2767">
        <v>44</v>
      </c>
    </row>
    <row r="190" spans="1:12" ht="15.75">
      <c r="A190" s="2756" t="s">
        <v>4922</v>
      </c>
      <c r="B190" s="2757">
        <v>213000000000</v>
      </c>
      <c r="C190" s="2758">
        <v>0.29199999999999998</v>
      </c>
      <c r="D190" s="2757">
        <v>7800</v>
      </c>
      <c r="E190" s="2759">
        <v>82400000000</v>
      </c>
      <c r="F190" s="2759">
        <v>1176000000</v>
      </c>
      <c r="G190" s="2760">
        <f t="shared" si="4"/>
        <v>1176</v>
      </c>
      <c r="H190" s="2759">
        <v>0</v>
      </c>
      <c r="I190" s="2760">
        <f t="shared" si="5"/>
        <v>0</v>
      </c>
      <c r="J190" s="2759">
        <v>1.208E-5</v>
      </c>
      <c r="K190" s="2759">
        <v>460</v>
      </c>
      <c r="L190" s="2766">
        <v>44</v>
      </c>
    </row>
    <row r="191" spans="1:12" ht="15.75">
      <c r="A191" s="2761" t="s">
        <v>4923</v>
      </c>
      <c r="B191" s="2762">
        <v>213000000000</v>
      </c>
      <c r="C191" s="2763">
        <v>0.29199999999999998</v>
      </c>
      <c r="D191" s="2762">
        <v>7800</v>
      </c>
      <c r="E191" s="2764">
        <v>82400000000</v>
      </c>
      <c r="F191" s="2764">
        <v>1176000000</v>
      </c>
      <c r="G191" s="2765">
        <f t="shared" si="4"/>
        <v>1176</v>
      </c>
      <c r="H191" s="2764">
        <v>0</v>
      </c>
      <c r="I191" s="2765">
        <f t="shared" si="5"/>
        <v>0</v>
      </c>
      <c r="J191" s="2764">
        <v>1.208E-5</v>
      </c>
      <c r="K191" s="2764">
        <v>460</v>
      </c>
      <c r="L191" s="2767">
        <v>44</v>
      </c>
    </row>
    <row r="192" spans="1:12" ht="15.75">
      <c r="A192" s="2756" t="s">
        <v>4924</v>
      </c>
      <c r="B192" s="2757">
        <v>206000000000</v>
      </c>
      <c r="C192" s="2758">
        <v>0.28000000000000003</v>
      </c>
      <c r="D192" s="2757">
        <v>8000</v>
      </c>
      <c r="E192" s="2759">
        <v>80300000000</v>
      </c>
      <c r="F192" s="2759">
        <v>500000000</v>
      </c>
      <c r="G192" s="2760">
        <f t="shared" si="4"/>
        <v>500</v>
      </c>
      <c r="H192" s="2759">
        <v>250000000</v>
      </c>
      <c r="I192" s="2760">
        <f t="shared" si="5"/>
        <v>250</v>
      </c>
      <c r="J192" s="2759">
        <v>1.6699999999999999E-5</v>
      </c>
      <c r="K192" s="2759">
        <v>500</v>
      </c>
      <c r="L192" s="2766">
        <v>16</v>
      </c>
    </row>
    <row r="193" spans="1:12" ht="15.75">
      <c r="A193" s="2761" t="s">
        <v>4925</v>
      </c>
      <c r="B193" s="2762">
        <v>200000000000</v>
      </c>
      <c r="C193" s="2763">
        <v>0.28000000000000003</v>
      </c>
      <c r="D193" s="2762">
        <v>7800</v>
      </c>
      <c r="E193" s="2764">
        <v>77000000000</v>
      </c>
      <c r="F193" s="2764">
        <v>410000000</v>
      </c>
      <c r="G193" s="2765">
        <f t="shared" si="4"/>
        <v>410</v>
      </c>
      <c r="H193" s="2764">
        <v>177000000</v>
      </c>
      <c r="I193" s="2765">
        <f t="shared" si="5"/>
        <v>177</v>
      </c>
      <c r="J193" s="2764">
        <v>1.1E-5</v>
      </c>
      <c r="K193" s="2764">
        <v>460</v>
      </c>
      <c r="L193" s="2767">
        <v>18</v>
      </c>
    </row>
    <row r="194" spans="1:12" ht="15.75">
      <c r="A194" s="2756" t="s">
        <v>4926</v>
      </c>
      <c r="B194" s="2757">
        <v>204000000000</v>
      </c>
      <c r="C194" s="2758">
        <v>0.28499999999999998</v>
      </c>
      <c r="D194" s="2757">
        <v>7930</v>
      </c>
      <c r="E194" s="2759">
        <v>79400000000</v>
      </c>
      <c r="F194" s="2759">
        <v>520000000</v>
      </c>
      <c r="G194" s="2760">
        <f t="shared" si="4"/>
        <v>520</v>
      </c>
      <c r="H194" s="2759">
        <v>205000000</v>
      </c>
      <c r="I194" s="2760">
        <f t="shared" si="5"/>
        <v>205</v>
      </c>
      <c r="J194" s="2759">
        <v>1.6699999999999999E-5</v>
      </c>
      <c r="K194" s="2759">
        <v>500</v>
      </c>
      <c r="L194" s="2766">
        <v>16</v>
      </c>
    </row>
    <row r="195" spans="1:12" ht="15.75">
      <c r="A195" s="2761" t="s">
        <v>4927</v>
      </c>
      <c r="B195" s="2762">
        <v>213000000000</v>
      </c>
      <c r="C195" s="2763">
        <v>0.27</v>
      </c>
      <c r="D195" s="2762">
        <v>7780</v>
      </c>
      <c r="E195" s="2764">
        <v>77300000000</v>
      </c>
      <c r="F195" s="2764">
        <v>1000000000</v>
      </c>
      <c r="G195" s="2765">
        <f t="shared" si="4"/>
        <v>1000</v>
      </c>
      <c r="H195" s="2764">
        <v>865000000</v>
      </c>
      <c r="I195" s="2765">
        <f t="shared" si="5"/>
        <v>865</v>
      </c>
      <c r="J195" s="2764">
        <v>1.11E-5</v>
      </c>
      <c r="K195" s="2764">
        <v>500</v>
      </c>
      <c r="L195" s="2767">
        <v>16</v>
      </c>
    </row>
    <row r="196" spans="1:12" ht="15.75">
      <c r="A196" s="2756" t="s">
        <v>4928</v>
      </c>
      <c r="B196" s="2757">
        <v>192999997366.672</v>
      </c>
      <c r="C196" s="2758">
        <v>0.27</v>
      </c>
      <c r="D196" s="2757">
        <v>8000.0001329999996</v>
      </c>
      <c r="E196" s="2759">
        <v>0</v>
      </c>
      <c r="F196" s="2759">
        <v>530000000</v>
      </c>
      <c r="G196" s="2760">
        <f t="shared" ref="G196:G259" si="6">F196/1000000</f>
        <v>530</v>
      </c>
      <c r="H196" s="2759">
        <v>205000000</v>
      </c>
      <c r="I196" s="2760">
        <f t="shared" ref="I196:I259" si="7">H196/1000000</f>
        <v>205</v>
      </c>
      <c r="J196" s="2759">
        <v>1.5999999999999999E-5</v>
      </c>
      <c r="K196" s="2759">
        <v>499.99999300000002</v>
      </c>
      <c r="L196" s="2766">
        <v>16.3</v>
      </c>
    </row>
    <row r="197" spans="1:12" ht="15.75">
      <c r="A197" s="2761" t="s">
        <v>4929</v>
      </c>
      <c r="B197" s="2762">
        <v>192999997366.672</v>
      </c>
      <c r="C197" s="2763">
        <v>0.27</v>
      </c>
      <c r="D197" s="2762">
        <v>8000.0001329999996</v>
      </c>
      <c r="E197" s="2764">
        <v>0</v>
      </c>
      <c r="F197" s="2764">
        <v>480000000</v>
      </c>
      <c r="G197" s="2765">
        <f t="shared" si="6"/>
        <v>480</v>
      </c>
      <c r="H197" s="2764">
        <v>177000000</v>
      </c>
      <c r="I197" s="2765">
        <f t="shared" si="7"/>
        <v>177</v>
      </c>
      <c r="J197" s="2764">
        <v>1.7E-5</v>
      </c>
      <c r="K197" s="2764">
        <v>499.99999300000002</v>
      </c>
      <c r="L197" s="2767">
        <v>16.100000000000001</v>
      </c>
    </row>
    <row r="198" spans="1:12" ht="15.75">
      <c r="A198" s="2756" t="s">
        <v>4930</v>
      </c>
      <c r="B198" s="2757">
        <v>195000000983.245</v>
      </c>
      <c r="C198" s="2758">
        <v>0.27</v>
      </c>
      <c r="D198" s="2757">
        <v>8000.0001329999996</v>
      </c>
      <c r="E198" s="2759">
        <v>77000001342.914597</v>
      </c>
      <c r="F198" s="2759">
        <v>520000000</v>
      </c>
      <c r="G198" s="2760">
        <f t="shared" si="6"/>
        <v>520</v>
      </c>
      <c r="H198" s="2759">
        <v>205000000</v>
      </c>
      <c r="I198" s="2760">
        <f t="shared" si="7"/>
        <v>205</v>
      </c>
      <c r="J198" s="2759">
        <v>1.7E-5</v>
      </c>
      <c r="K198" s="2759">
        <v>499.99999300000002</v>
      </c>
      <c r="L198" s="2766">
        <v>16.3</v>
      </c>
    </row>
    <row r="199" spans="1:12" ht="15.75">
      <c r="A199" s="2761" t="s">
        <v>4931</v>
      </c>
      <c r="B199" s="2762">
        <v>207000000000</v>
      </c>
      <c r="C199" s="2763">
        <v>0.27</v>
      </c>
      <c r="D199" s="2762">
        <v>7859.9998999999998</v>
      </c>
      <c r="E199" s="2764">
        <v>0</v>
      </c>
      <c r="F199" s="2764">
        <v>520000000</v>
      </c>
      <c r="G199" s="2765">
        <f t="shared" si="6"/>
        <v>520</v>
      </c>
      <c r="H199" s="2764">
        <v>275000000</v>
      </c>
      <c r="I199" s="2765">
        <f t="shared" si="7"/>
        <v>275</v>
      </c>
      <c r="J199" s="2764">
        <v>1.7E-5</v>
      </c>
      <c r="K199" s="2764">
        <v>501.99997999999999</v>
      </c>
      <c r="L199" s="2767">
        <v>16.3</v>
      </c>
    </row>
    <row r="200" spans="1:12" ht="15.75">
      <c r="A200" s="2756" t="s">
        <v>4932</v>
      </c>
      <c r="B200" s="2757">
        <v>190000000000</v>
      </c>
      <c r="C200" s="2758">
        <v>0.26</v>
      </c>
      <c r="D200" s="2757">
        <v>7700</v>
      </c>
      <c r="E200" s="2759">
        <v>79000000000</v>
      </c>
      <c r="F200" s="2759">
        <v>588000000</v>
      </c>
      <c r="G200" s="2760">
        <f t="shared" si="6"/>
        <v>588</v>
      </c>
      <c r="H200" s="2759">
        <v>392000000</v>
      </c>
      <c r="I200" s="2760">
        <f t="shared" si="7"/>
        <v>392</v>
      </c>
      <c r="J200" s="2759">
        <v>1.5E-5</v>
      </c>
      <c r="K200" s="2759">
        <v>520</v>
      </c>
      <c r="L200" s="2766">
        <v>37</v>
      </c>
    </row>
    <row r="201" spans="1:12" ht="15.75">
      <c r="A201" s="2761" t="s">
        <v>4933</v>
      </c>
      <c r="B201" s="2762">
        <v>203000000000</v>
      </c>
      <c r="C201" s="2763">
        <v>0.29099999999999998</v>
      </c>
      <c r="D201" s="2762">
        <v>7730</v>
      </c>
      <c r="E201" s="2764">
        <v>78600000000</v>
      </c>
      <c r="F201" s="2764">
        <v>588000000</v>
      </c>
      <c r="G201" s="2765">
        <f t="shared" si="6"/>
        <v>588</v>
      </c>
      <c r="H201" s="2764">
        <v>392000000</v>
      </c>
      <c r="I201" s="2765">
        <f t="shared" si="7"/>
        <v>392</v>
      </c>
      <c r="J201" s="2764">
        <v>1.078E-5</v>
      </c>
      <c r="K201" s="2764">
        <v>520</v>
      </c>
      <c r="L201" s="2767">
        <v>37</v>
      </c>
    </row>
    <row r="202" spans="1:12" ht="15.75">
      <c r="A202" s="2756" t="s">
        <v>4934</v>
      </c>
      <c r="B202" s="2757">
        <v>110000000000</v>
      </c>
      <c r="C202" s="2758">
        <v>0.3</v>
      </c>
      <c r="D202" s="2757">
        <v>7400</v>
      </c>
      <c r="E202" s="2759">
        <v>43000000000</v>
      </c>
      <c r="F202" s="2759">
        <v>551485000</v>
      </c>
      <c r="G202" s="2760">
        <f t="shared" si="6"/>
        <v>551.48500000000001</v>
      </c>
      <c r="H202" s="2759">
        <v>275742000</v>
      </c>
      <c r="I202" s="2760">
        <f t="shared" si="7"/>
        <v>275.74200000000002</v>
      </c>
      <c r="J202" s="2759">
        <v>1.7E-5</v>
      </c>
      <c r="K202" s="2759">
        <v>380</v>
      </c>
      <c r="L202" s="2766">
        <v>56</v>
      </c>
    </row>
    <row r="203" spans="1:12" ht="15.75">
      <c r="A203" s="2761" t="s">
        <v>4935</v>
      </c>
      <c r="B203" s="2762">
        <v>115000000000</v>
      </c>
      <c r="C203" s="2763">
        <v>0.3</v>
      </c>
      <c r="D203" s="2762">
        <v>8260</v>
      </c>
      <c r="E203" s="2764">
        <v>50000000000</v>
      </c>
      <c r="F203" s="2764">
        <v>483000000</v>
      </c>
      <c r="G203" s="2765">
        <f t="shared" si="6"/>
        <v>483</v>
      </c>
      <c r="H203" s="2764">
        <v>221000000</v>
      </c>
      <c r="I203" s="2765">
        <f t="shared" si="7"/>
        <v>221</v>
      </c>
      <c r="J203" s="2764">
        <v>1.6699999999999999E-5</v>
      </c>
      <c r="K203" s="2764">
        <v>0</v>
      </c>
      <c r="L203" s="2767">
        <v>118</v>
      </c>
    </row>
    <row r="204" spans="1:12" ht="15.75">
      <c r="A204" s="2756" t="s">
        <v>4936</v>
      </c>
      <c r="B204" s="2757">
        <v>125000000000</v>
      </c>
      <c r="C204" s="2758">
        <v>0.3</v>
      </c>
      <c r="D204" s="2757">
        <v>8250</v>
      </c>
      <c r="E204" s="2759">
        <v>50000000000</v>
      </c>
      <c r="F204" s="2759">
        <v>469000000</v>
      </c>
      <c r="G204" s="2760">
        <f t="shared" si="6"/>
        <v>469</v>
      </c>
      <c r="H204" s="2759">
        <v>172000000</v>
      </c>
      <c r="I204" s="2760">
        <f t="shared" si="7"/>
        <v>172</v>
      </c>
      <c r="J204" s="2759">
        <v>1.6699999999999999E-5</v>
      </c>
      <c r="K204" s="2759">
        <v>0</v>
      </c>
      <c r="L204" s="2766">
        <v>105</v>
      </c>
    </row>
    <row r="205" spans="1:12" ht="15.75">
      <c r="A205" s="2761" t="s">
        <v>4937</v>
      </c>
      <c r="B205" s="2762">
        <v>100000000000</v>
      </c>
      <c r="C205" s="2763">
        <v>0.33</v>
      </c>
      <c r="D205" s="2762">
        <v>8500</v>
      </c>
      <c r="E205" s="2764">
        <v>37000000000</v>
      </c>
      <c r="F205" s="2764">
        <v>448413000</v>
      </c>
      <c r="G205" s="2765">
        <f t="shared" si="6"/>
        <v>448.41300000000001</v>
      </c>
      <c r="H205" s="2764">
        <v>239689000</v>
      </c>
      <c r="I205" s="2765">
        <f t="shared" si="7"/>
        <v>239.68899999999999</v>
      </c>
      <c r="J205" s="2764">
        <v>1.8E-5</v>
      </c>
      <c r="K205" s="2764">
        <v>390</v>
      </c>
      <c r="L205" s="2767">
        <v>110</v>
      </c>
    </row>
    <row r="206" spans="1:12" ht="15.75">
      <c r="A206" s="2756" t="s">
        <v>4938</v>
      </c>
      <c r="B206" s="2757">
        <v>105000000000</v>
      </c>
      <c r="C206" s="2758">
        <v>0</v>
      </c>
      <c r="D206" s="2757">
        <v>8500</v>
      </c>
      <c r="E206" s="2759">
        <v>39000000000</v>
      </c>
      <c r="F206" s="2759">
        <v>338000000</v>
      </c>
      <c r="G206" s="2760">
        <f t="shared" si="6"/>
        <v>338</v>
      </c>
      <c r="H206" s="2759">
        <v>117000000</v>
      </c>
      <c r="I206" s="2760">
        <f t="shared" si="7"/>
        <v>117</v>
      </c>
      <c r="J206" s="2759">
        <v>2.0299999999999999E-5</v>
      </c>
      <c r="K206" s="2759">
        <v>0</v>
      </c>
      <c r="L206" s="2766">
        <v>115</v>
      </c>
    </row>
    <row r="207" spans="1:12" ht="15.75">
      <c r="A207" s="2761" t="s">
        <v>4939</v>
      </c>
      <c r="B207" s="2762">
        <v>130000000000</v>
      </c>
      <c r="C207" s="2763">
        <v>0</v>
      </c>
      <c r="D207" s="2762">
        <v>8890</v>
      </c>
      <c r="E207" s="2764">
        <v>50000000000</v>
      </c>
      <c r="F207" s="2764">
        <v>234000000</v>
      </c>
      <c r="G207" s="2765">
        <f t="shared" si="6"/>
        <v>234</v>
      </c>
      <c r="H207" s="2764">
        <v>97000000</v>
      </c>
      <c r="I207" s="2765">
        <f t="shared" si="7"/>
        <v>97</v>
      </c>
      <c r="J207" s="2764">
        <v>1.7600000000000001E-5</v>
      </c>
      <c r="K207" s="2764">
        <v>0</v>
      </c>
      <c r="L207" s="2767">
        <v>171</v>
      </c>
    </row>
    <row r="208" spans="1:12" ht="15.75">
      <c r="A208" s="2756" t="s">
        <v>4940</v>
      </c>
      <c r="B208" s="2757">
        <v>110000000000</v>
      </c>
      <c r="C208" s="2758">
        <v>0.37</v>
      </c>
      <c r="D208" s="2757">
        <v>8900</v>
      </c>
      <c r="E208" s="2759">
        <v>40000000000</v>
      </c>
      <c r="F208" s="2759">
        <v>394380000</v>
      </c>
      <c r="G208" s="2760">
        <f t="shared" si="6"/>
        <v>394.38</v>
      </c>
      <c r="H208" s="2759">
        <v>258646000</v>
      </c>
      <c r="I208" s="2760">
        <f t="shared" si="7"/>
        <v>258.64600000000002</v>
      </c>
      <c r="J208" s="2759">
        <v>2.4000000000000001E-5</v>
      </c>
      <c r="K208" s="2759">
        <v>390</v>
      </c>
      <c r="L208" s="2766">
        <v>390</v>
      </c>
    </row>
    <row r="209" spans="1:12" ht="15.75">
      <c r="A209" s="2761" t="s">
        <v>4941</v>
      </c>
      <c r="B209" s="2762">
        <v>110000000000</v>
      </c>
      <c r="C209" s="2763">
        <v>0.37</v>
      </c>
      <c r="D209" s="2762">
        <v>8300</v>
      </c>
      <c r="E209" s="2764">
        <v>39000000000</v>
      </c>
      <c r="F209" s="2764">
        <v>448081000</v>
      </c>
      <c r="G209" s="2765">
        <f t="shared" si="6"/>
        <v>448.08100000000002</v>
      </c>
      <c r="H209" s="2764">
        <v>206807000</v>
      </c>
      <c r="I209" s="2765">
        <f t="shared" si="7"/>
        <v>206.80699999999999</v>
      </c>
      <c r="J209" s="2764">
        <v>2.1999999999999999E-5</v>
      </c>
      <c r="K209" s="2764">
        <v>380</v>
      </c>
      <c r="L209" s="2767">
        <v>9.6</v>
      </c>
    </row>
    <row r="210" spans="1:12" ht="15.75">
      <c r="A210" s="2756" t="s">
        <v>4942</v>
      </c>
      <c r="B210" s="2757">
        <v>1100000000000</v>
      </c>
      <c r="C210" s="2758">
        <v>0.33</v>
      </c>
      <c r="D210" s="2757">
        <v>8800</v>
      </c>
      <c r="E210" s="2759">
        <v>37000000000</v>
      </c>
      <c r="F210" s="2759">
        <v>261955000</v>
      </c>
      <c r="G210" s="2760">
        <f t="shared" si="6"/>
        <v>261.95499999999998</v>
      </c>
      <c r="H210" s="2759">
        <v>110297000</v>
      </c>
      <c r="I210" s="2760">
        <f t="shared" si="7"/>
        <v>110.297</v>
      </c>
      <c r="J210" s="2759">
        <v>1.8E-5</v>
      </c>
      <c r="K210" s="2759">
        <v>380</v>
      </c>
      <c r="L210" s="2766">
        <v>47</v>
      </c>
    </row>
    <row r="211" spans="1:12" ht="15.75">
      <c r="A211" s="2761" t="s">
        <v>4943</v>
      </c>
      <c r="B211" s="2762">
        <v>110000000000</v>
      </c>
      <c r="C211" s="2763">
        <v>0</v>
      </c>
      <c r="D211" s="2762">
        <v>8780</v>
      </c>
      <c r="E211" s="2764">
        <v>41000000000</v>
      </c>
      <c r="F211" s="2764">
        <v>455000000</v>
      </c>
      <c r="G211" s="2765">
        <f t="shared" si="6"/>
        <v>455</v>
      </c>
      <c r="H211" s="2764">
        <v>193000000</v>
      </c>
      <c r="I211" s="2765">
        <f t="shared" si="7"/>
        <v>193</v>
      </c>
      <c r="J211" s="2764">
        <v>1.84E-5</v>
      </c>
      <c r="K211" s="2764">
        <v>0</v>
      </c>
      <c r="L211" s="2767">
        <v>50</v>
      </c>
    </row>
    <row r="212" spans="1:12" ht="15.75">
      <c r="A212" s="2756" t="s">
        <v>4944</v>
      </c>
      <c r="B212" s="2757">
        <v>36200000000</v>
      </c>
      <c r="C212" s="2758">
        <v>0.32</v>
      </c>
      <c r="D212" s="2757">
        <v>9280</v>
      </c>
      <c r="E212" s="2759">
        <v>13700000000</v>
      </c>
      <c r="F212" s="2759">
        <v>261955000</v>
      </c>
      <c r="G212" s="2760">
        <f t="shared" si="6"/>
        <v>261.95499999999998</v>
      </c>
      <c r="H212" s="2759">
        <v>110297000</v>
      </c>
      <c r="I212" s="2760">
        <f t="shared" si="7"/>
        <v>110.297</v>
      </c>
      <c r="J212" s="2759">
        <v>2.3300000000000001E-5</v>
      </c>
      <c r="K212" s="2759">
        <v>380</v>
      </c>
      <c r="L212" s="2766">
        <v>47</v>
      </c>
    </row>
    <row r="213" spans="1:12" ht="15.75">
      <c r="A213" s="2761" t="s">
        <v>4945</v>
      </c>
      <c r="B213" s="2762">
        <v>58800000000</v>
      </c>
      <c r="C213" s="2763">
        <v>0.36</v>
      </c>
      <c r="D213" s="2762">
        <v>7170</v>
      </c>
      <c r="E213" s="2764">
        <v>13700000000</v>
      </c>
      <c r="F213" s="2764">
        <v>261955000</v>
      </c>
      <c r="G213" s="2765">
        <f t="shared" si="6"/>
        <v>261.95499999999998</v>
      </c>
      <c r="H213" s="2764">
        <v>110297000</v>
      </c>
      <c r="I213" s="2765">
        <f t="shared" si="7"/>
        <v>110.297</v>
      </c>
      <c r="J213" s="2764">
        <v>2.26E-5</v>
      </c>
      <c r="K213" s="2764">
        <v>380</v>
      </c>
      <c r="L213" s="2767">
        <v>47</v>
      </c>
    </row>
    <row r="214" spans="1:12" ht="15.75">
      <c r="A214" s="2756" t="s">
        <v>4946</v>
      </c>
      <c r="B214" s="2757">
        <v>55900000000</v>
      </c>
      <c r="C214" s="2758">
        <v>0.36</v>
      </c>
      <c r="D214" s="2757">
        <v>7160</v>
      </c>
      <c r="E214" s="2759">
        <v>13700000000</v>
      </c>
      <c r="F214" s="2759">
        <v>261955000</v>
      </c>
      <c r="G214" s="2760">
        <f t="shared" si="6"/>
        <v>261.95499999999998</v>
      </c>
      <c r="H214" s="2759">
        <v>110297000</v>
      </c>
      <c r="I214" s="2760">
        <f t="shared" si="7"/>
        <v>110.297</v>
      </c>
      <c r="J214" s="2759">
        <v>2.23E-5</v>
      </c>
      <c r="K214" s="2759">
        <v>380</v>
      </c>
      <c r="L214" s="2766">
        <v>47</v>
      </c>
    </row>
    <row r="215" spans="1:12" ht="15.75">
      <c r="A215" s="2761" t="s">
        <v>4947</v>
      </c>
      <c r="B215" s="2762">
        <v>119000000000</v>
      </c>
      <c r="C215" s="2763">
        <v>0.33</v>
      </c>
      <c r="D215" s="2762">
        <v>7750</v>
      </c>
      <c r="E215" s="2764">
        <v>44900000000</v>
      </c>
      <c r="F215" s="2764">
        <v>261955000</v>
      </c>
      <c r="G215" s="2765">
        <f t="shared" si="6"/>
        <v>261.95499999999998</v>
      </c>
      <c r="H215" s="2764">
        <v>110297000</v>
      </c>
      <c r="I215" s="2765">
        <f t="shared" si="7"/>
        <v>110.297</v>
      </c>
      <c r="J215" s="2764">
        <v>1.702E-5</v>
      </c>
      <c r="K215" s="2764">
        <v>380</v>
      </c>
      <c r="L215" s="2767">
        <v>47</v>
      </c>
    </row>
    <row r="216" spans="1:12" ht="15.75">
      <c r="A216" s="2756" t="s">
        <v>4948</v>
      </c>
      <c r="B216" s="2757">
        <v>108000000000</v>
      </c>
      <c r="C216" s="2758">
        <v>0.3</v>
      </c>
      <c r="D216" s="2757">
        <v>7550</v>
      </c>
      <c r="E216" s="2759">
        <v>41000000000</v>
      </c>
      <c r="F216" s="2759">
        <v>261955000</v>
      </c>
      <c r="G216" s="2760">
        <f t="shared" si="6"/>
        <v>261.95499999999998</v>
      </c>
      <c r="H216" s="2759">
        <v>110297000</v>
      </c>
      <c r="I216" s="2760">
        <f t="shared" si="7"/>
        <v>110.297</v>
      </c>
      <c r="J216" s="2759">
        <v>1.694E-5</v>
      </c>
      <c r="K216" s="2759">
        <v>380</v>
      </c>
      <c r="L216" s="2766">
        <v>47</v>
      </c>
    </row>
    <row r="217" spans="1:12" ht="15.75">
      <c r="A217" s="2761" t="s">
        <v>4949</v>
      </c>
      <c r="B217" s="2762">
        <v>82000000000</v>
      </c>
      <c r="C217" s="2763">
        <v>0.32</v>
      </c>
      <c r="D217" s="2762">
        <v>9620</v>
      </c>
      <c r="E217" s="2764">
        <v>31000000000</v>
      </c>
      <c r="F217" s="2764">
        <v>950000000</v>
      </c>
      <c r="G217" s="2765">
        <f t="shared" si="6"/>
        <v>950</v>
      </c>
      <c r="H217" s="2764">
        <v>0</v>
      </c>
      <c r="I217" s="2765">
        <f t="shared" si="7"/>
        <v>0</v>
      </c>
      <c r="J217" s="2764">
        <v>1.95E-5</v>
      </c>
      <c r="K217" s="2764">
        <v>380</v>
      </c>
      <c r="L217" s="2767">
        <v>47</v>
      </c>
    </row>
    <row r="218" spans="1:12" ht="15.75">
      <c r="A218" s="2756" t="s">
        <v>4950</v>
      </c>
      <c r="B218" s="2757">
        <v>85300000000</v>
      </c>
      <c r="C218" s="2758">
        <v>0.32</v>
      </c>
      <c r="D218" s="2757">
        <v>8410</v>
      </c>
      <c r="E218" s="2759">
        <v>32400000000</v>
      </c>
      <c r="F218" s="2759">
        <v>250000000</v>
      </c>
      <c r="G218" s="2760">
        <f t="shared" si="6"/>
        <v>250</v>
      </c>
      <c r="H218" s="2759">
        <v>110000000</v>
      </c>
      <c r="I218" s="2760">
        <f t="shared" si="7"/>
        <v>110</v>
      </c>
      <c r="J218" s="2759">
        <v>1.7799999999999999E-5</v>
      </c>
      <c r="K218" s="2759">
        <v>380</v>
      </c>
      <c r="L218" s="2766">
        <v>47</v>
      </c>
    </row>
    <row r="219" spans="1:12" ht="15.75">
      <c r="A219" s="2761" t="s">
        <v>4951</v>
      </c>
      <c r="B219" s="2762">
        <v>69580000000</v>
      </c>
      <c r="C219" s="2763">
        <v>0.31</v>
      </c>
      <c r="D219" s="2762">
        <v>2700</v>
      </c>
      <c r="E219" s="2764">
        <v>2700000000</v>
      </c>
      <c r="F219" s="2764">
        <v>885000000</v>
      </c>
      <c r="G219" s="2765">
        <f t="shared" si="6"/>
        <v>885</v>
      </c>
      <c r="H219" s="2764">
        <v>685000000</v>
      </c>
      <c r="I219" s="2765">
        <f t="shared" si="7"/>
        <v>685</v>
      </c>
      <c r="J219" s="2764">
        <v>2.3600000000000001E-5</v>
      </c>
      <c r="K219" s="2764">
        <v>460</v>
      </c>
      <c r="L219" s="2767">
        <v>44</v>
      </c>
    </row>
    <row r="220" spans="1:12" ht="15.75">
      <c r="A220" s="2756" t="s">
        <v>4952</v>
      </c>
      <c r="B220" s="2757">
        <v>75000000000</v>
      </c>
      <c r="C220" s="2758">
        <v>0.35</v>
      </c>
      <c r="D220" s="2757">
        <v>2820</v>
      </c>
      <c r="E220" s="2759">
        <v>2760000000</v>
      </c>
      <c r="F220" s="2759">
        <v>885000000</v>
      </c>
      <c r="G220" s="2760">
        <f t="shared" si="6"/>
        <v>885</v>
      </c>
      <c r="H220" s="2759">
        <v>685000000</v>
      </c>
      <c r="I220" s="2760">
        <f t="shared" si="7"/>
        <v>685</v>
      </c>
      <c r="J220" s="2759">
        <v>2.4280000000000001E-5</v>
      </c>
      <c r="K220" s="2759">
        <v>460</v>
      </c>
      <c r="L220" s="2766">
        <v>44</v>
      </c>
    </row>
    <row r="221" spans="1:12" ht="15.75">
      <c r="A221" s="2761" t="s">
        <v>4953</v>
      </c>
      <c r="B221" s="2762">
        <v>75500000000</v>
      </c>
      <c r="C221" s="2763">
        <v>0.4</v>
      </c>
      <c r="D221" s="2762">
        <v>2770</v>
      </c>
      <c r="E221" s="2764">
        <v>2692000000</v>
      </c>
      <c r="F221" s="2764">
        <v>885000000</v>
      </c>
      <c r="G221" s="2765">
        <f t="shared" si="6"/>
        <v>885</v>
      </c>
      <c r="H221" s="2764">
        <v>685000000</v>
      </c>
      <c r="I221" s="2765">
        <f t="shared" si="7"/>
        <v>685</v>
      </c>
      <c r="J221" s="2764">
        <v>2.3640000000000001E-5</v>
      </c>
      <c r="K221" s="2764">
        <v>460</v>
      </c>
      <c r="L221" s="2767">
        <v>44</v>
      </c>
    </row>
    <row r="222" spans="1:12" ht="15.75">
      <c r="A222" s="2756" t="s">
        <v>4954</v>
      </c>
      <c r="B222" s="2757">
        <v>74000000000</v>
      </c>
      <c r="C222" s="2758">
        <v>0.34</v>
      </c>
      <c r="D222" s="2757">
        <v>2800</v>
      </c>
      <c r="E222" s="2759">
        <v>28000000000</v>
      </c>
      <c r="F222" s="2759">
        <v>420507000</v>
      </c>
      <c r="G222" s="2760">
        <f t="shared" si="6"/>
        <v>420.50700000000001</v>
      </c>
      <c r="H222" s="2759">
        <v>317104000</v>
      </c>
      <c r="I222" s="2760">
        <f t="shared" si="7"/>
        <v>317.10399999999998</v>
      </c>
      <c r="J222" s="2759">
        <v>2.1999999999999999E-5</v>
      </c>
      <c r="K222" s="2759">
        <v>1000</v>
      </c>
      <c r="L222" s="2766">
        <v>150</v>
      </c>
    </row>
    <row r="223" spans="1:12" ht="15.75">
      <c r="A223" s="2761" t="s">
        <v>4955</v>
      </c>
      <c r="B223" s="2762">
        <v>74800000000</v>
      </c>
      <c r="C223" s="2763">
        <v>0.35</v>
      </c>
      <c r="D223" s="2762">
        <v>2820</v>
      </c>
      <c r="E223" s="2764">
        <v>2840000000</v>
      </c>
      <c r="F223" s="2764">
        <v>885000000</v>
      </c>
      <c r="G223" s="2765">
        <f t="shared" si="6"/>
        <v>885</v>
      </c>
      <c r="H223" s="2764">
        <v>685000000</v>
      </c>
      <c r="I223" s="2765">
        <f t="shared" si="7"/>
        <v>685</v>
      </c>
      <c r="J223" s="2764">
        <v>2.2739999999999999E-5</v>
      </c>
      <c r="K223" s="2764">
        <v>460</v>
      </c>
      <c r="L223" s="2767">
        <v>44</v>
      </c>
    </row>
    <row r="224" spans="1:12" ht="15.75">
      <c r="A224" s="2756" t="s">
        <v>4956</v>
      </c>
      <c r="B224" s="2757">
        <v>74200000000</v>
      </c>
      <c r="C224" s="2758">
        <v>0.36</v>
      </c>
      <c r="D224" s="2757">
        <v>2850</v>
      </c>
      <c r="E224" s="2759">
        <v>2730000000</v>
      </c>
      <c r="F224" s="2759">
        <v>885000000</v>
      </c>
      <c r="G224" s="2760">
        <f t="shared" si="6"/>
        <v>885</v>
      </c>
      <c r="H224" s="2759">
        <v>685000000</v>
      </c>
      <c r="I224" s="2760">
        <f t="shared" si="7"/>
        <v>685</v>
      </c>
      <c r="J224" s="2759">
        <v>2.3839999999999999E-5</v>
      </c>
      <c r="K224" s="2759">
        <v>460</v>
      </c>
      <c r="L224" s="2766">
        <v>44</v>
      </c>
    </row>
    <row r="225" spans="1:12" ht="15.75">
      <c r="A225" s="2761" t="s">
        <v>4957</v>
      </c>
      <c r="B225" s="2762">
        <v>77500000000</v>
      </c>
      <c r="C225" s="2763">
        <v>0.33</v>
      </c>
      <c r="D225" s="2762">
        <v>2570</v>
      </c>
      <c r="E225" s="2764">
        <v>2840000000</v>
      </c>
      <c r="F225" s="2764">
        <v>885000000</v>
      </c>
      <c r="G225" s="2765">
        <f t="shared" si="6"/>
        <v>885</v>
      </c>
      <c r="H225" s="2764">
        <v>685000000</v>
      </c>
      <c r="I225" s="2765">
        <f t="shared" si="7"/>
        <v>685</v>
      </c>
      <c r="J225" s="2764">
        <v>2.3300000000000001E-5</v>
      </c>
      <c r="K225" s="2764">
        <v>460</v>
      </c>
      <c r="L225" s="2767">
        <v>44</v>
      </c>
    </row>
    <row r="226" spans="1:12" ht="15.75">
      <c r="A226" s="2756" t="s">
        <v>4958</v>
      </c>
      <c r="B226" s="2757">
        <v>72520000000</v>
      </c>
      <c r="C226" s="2758">
        <v>0.32</v>
      </c>
      <c r="D226" s="2757">
        <v>2500</v>
      </c>
      <c r="E226" s="2759">
        <v>2744000000</v>
      </c>
      <c r="F226" s="2759">
        <v>885000000</v>
      </c>
      <c r="G226" s="2760">
        <f t="shared" si="6"/>
        <v>885</v>
      </c>
      <c r="H226" s="2759">
        <v>685000000</v>
      </c>
      <c r="I226" s="2760">
        <f t="shared" si="7"/>
        <v>685</v>
      </c>
      <c r="J226" s="2759">
        <v>2.12E-5</v>
      </c>
      <c r="K226" s="2759">
        <v>460</v>
      </c>
      <c r="L226" s="2766">
        <v>44</v>
      </c>
    </row>
    <row r="227" spans="1:12" ht="15.75">
      <c r="A227" s="2761" t="s">
        <v>4959</v>
      </c>
      <c r="B227" s="2762">
        <v>69000000000</v>
      </c>
      <c r="C227" s="2763">
        <v>0.33</v>
      </c>
      <c r="D227" s="2762">
        <v>2700</v>
      </c>
      <c r="E227" s="2764">
        <v>27000000000</v>
      </c>
      <c r="F227" s="2764">
        <v>68935600</v>
      </c>
      <c r="G227" s="2765">
        <f t="shared" si="6"/>
        <v>68.935599999999994</v>
      </c>
      <c r="H227" s="2764">
        <v>27574200</v>
      </c>
      <c r="I227" s="2765">
        <f t="shared" si="7"/>
        <v>27.574200000000001</v>
      </c>
      <c r="J227" s="2764">
        <v>2.4000000000000001E-5</v>
      </c>
      <c r="K227" s="2764">
        <v>900</v>
      </c>
      <c r="L227" s="2767">
        <v>200</v>
      </c>
    </row>
    <row r="228" spans="1:12" ht="15.75">
      <c r="A228" s="2756" t="s">
        <v>4960</v>
      </c>
      <c r="B228" s="2757">
        <v>69000000000</v>
      </c>
      <c r="C228" s="2758">
        <v>0.33</v>
      </c>
      <c r="D228" s="2757">
        <v>2705</v>
      </c>
      <c r="E228" s="2759">
        <v>26000000000</v>
      </c>
      <c r="F228" s="2759">
        <v>60000000</v>
      </c>
      <c r="G228" s="2760">
        <f t="shared" si="6"/>
        <v>60</v>
      </c>
      <c r="H228" s="2759">
        <v>30000000</v>
      </c>
      <c r="I228" s="2760">
        <f t="shared" si="7"/>
        <v>30</v>
      </c>
      <c r="J228" s="2759">
        <v>2.4000000000000001E-5</v>
      </c>
      <c r="K228" s="2759">
        <v>900</v>
      </c>
      <c r="L228" s="2766">
        <v>234</v>
      </c>
    </row>
    <row r="229" spans="1:12" ht="15.75">
      <c r="A229" s="2761" t="s">
        <v>4961</v>
      </c>
      <c r="B229" s="2762">
        <v>69000000000</v>
      </c>
      <c r="C229" s="2763">
        <v>0.33</v>
      </c>
      <c r="D229" s="2762">
        <v>2705</v>
      </c>
      <c r="E229" s="2764">
        <v>26000000000</v>
      </c>
      <c r="F229" s="2764">
        <v>80000000</v>
      </c>
      <c r="G229" s="2765">
        <f t="shared" si="6"/>
        <v>80</v>
      </c>
      <c r="H229" s="2764">
        <v>70000000</v>
      </c>
      <c r="I229" s="2765">
        <f t="shared" si="7"/>
        <v>70</v>
      </c>
      <c r="J229" s="2764">
        <v>2.3600000000000001E-5</v>
      </c>
      <c r="K229" s="2764">
        <v>900</v>
      </c>
      <c r="L229" s="2767">
        <v>230</v>
      </c>
    </row>
    <row r="230" spans="1:12" ht="15.75">
      <c r="A230" s="2756" t="s">
        <v>4962</v>
      </c>
      <c r="B230" s="2757">
        <v>69000000000</v>
      </c>
      <c r="C230" s="2758">
        <v>0.33</v>
      </c>
      <c r="D230" s="2757">
        <v>2705</v>
      </c>
      <c r="E230" s="2759">
        <v>26000000000</v>
      </c>
      <c r="F230" s="2759">
        <v>80000000</v>
      </c>
      <c r="G230" s="2760">
        <f t="shared" si="6"/>
        <v>80</v>
      </c>
      <c r="H230" s="2759">
        <v>57000000</v>
      </c>
      <c r="I230" s="2760">
        <f t="shared" si="7"/>
        <v>57</v>
      </c>
      <c r="J230" s="2759">
        <v>2.4000000000000001E-5</v>
      </c>
      <c r="K230" s="2759">
        <v>900</v>
      </c>
      <c r="L230" s="2766">
        <v>230</v>
      </c>
    </row>
    <row r="231" spans="1:12" ht="15.75">
      <c r="A231" s="2761" t="s">
        <v>4963</v>
      </c>
      <c r="B231" s="2762">
        <v>69000000000</v>
      </c>
      <c r="C231" s="2763">
        <v>0.33</v>
      </c>
      <c r="D231" s="2762">
        <v>2705</v>
      </c>
      <c r="E231" s="2764">
        <v>26000000000</v>
      </c>
      <c r="F231" s="2764">
        <v>95000000</v>
      </c>
      <c r="G231" s="2765">
        <f t="shared" si="6"/>
        <v>95</v>
      </c>
      <c r="H231" s="2764">
        <v>80000000</v>
      </c>
      <c r="I231" s="2765">
        <f t="shared" si="7"/>
        <v>80</v>
      </c>
      <c r="J231" s="2764">
        <v>2.3600000000000001E-5</v>
      </c>
      <c r="K231" s="2764">
        <v>900</v>
      </c>
      <c r="L231" s="2767">
        <v>230</v>
      </c>
    </row>
    <row r="232" spans="1:12" ht="15.75">
      <c r="A232" s="2756" t="s">
        <v>4964</v>
      </c>
      <c r="B232" s="2757">
        <v>69000000000</v>
      </c>
      <c r="C232" s="2758">
        <v>0.33</v>
      </c>
      <c r="D232" s="2757">
        <v>2705</v>
      </c>
      <c r="E232" s="2759">
        <v>26000000000</v>
      </c>
      <c r="F232" s="2759">
        <v>1200000000</v>
      </c>
      <c r="G232" s="2760">
        <f t="shared" si="6"/>
        <v>1200</v>
      </c>
      <c r="H232" s="2759">
        <v>105000000</v>
      </c>
      <c r="I232" s="2760">
        <f t="shared" si="7"/>
        <v>105</v>
      </c>
      <c r="J232" s="2759">
        <v>2.3600000000000001E-5</v>
      </c>
      <c r="K232" s="2759">
        <v>900</v>
      </c>
      <c r="L232" s="2766">
        <v>230</v>
      </c>
    </row>
    <row r="233" spans="1:12" ht="15.75">
      <c r="A233" s="2761" t="s">
        <v>4965</v>
      </c>
      <c r="B233" s="2762">
        <v>69000000000</v>
      </c>
      <c r="C233" s="2763">
        <v>0.33</v>
      </c>
      <c r="D233" s="2762">
        <v>2705</v>
      </c>
      <c r="E233" s="2764">
        <v>26000000000</v>
      </c>
      <c r="F233" s="2764">
        <v>125000000</v>
      </c>
      <c r="G233" s="2765">
        <f t="shared" si="6"/>
        <v>125</v>
      </c>
      <c r="H233" s="2764">
        <v>100000000</v>
      </c>
      <c r="I233" s="2765">
        <f t="shared" si="7"/>
        <v>100</v>
      </c>
      <c r="J233" s="2764">
        <v>2.3600000000000001E-5</v>
      </c>
      <c r="K233" s="2764">
        <v>900</v>
      </c>
      <c r="L233" s="2767">
        <v>230</v>
      </c>
    </row>
    <row r="234" spans="1:12" ht="15.75">
      <c r="A234" s="2756" t="s">
        <v>4966</v>
      </c>
      <c r="B234" s="2757">
        <v>69000000000</v>
      </c>
      <c r="C234" s="2758">
        <v>0.33</v>
      </c>
      <c r="D234" s="2757">
        <v>2705</v>
      </c>
      <c r="E234" s="2759">
        <v>26000000000</v>
      </c>
      <c r="F234" s="2759">
        <v>125000000</v>
      </c>
      <c r="G234" s="2760">
        <f t="shared" si="6"/>
        <v>125</v>
      </c>
      <c r="H234" s="2759">
        <v>108000000</v>
      </c>
      <c r="I234" s="2760">
        <f t="shared" si="7"/>
        <v>108</v>
      </c>
      <c r="J234" s="2759">
        <v>2.4000000000000001E-5</v>
      </c>
      <c r="K234" s="2759">
        <v>900</v>
      </c>
      <c r="L234" s="2766">
        <v>230</v>
      </c>
    </row>
    <row r="235" spans="1:12" ht="15.75">
      <c r="A235" s="2761" t="s">
        <v>4967</v>
      </c>
      <c r="B235" s="2762">
        <v>68900000000</v>
      </c>
      <c r="C235" s="2763">
        <v>0.33</v>
      </c>
      <c r="D235" s="2762">
        <v>2710</v>
      </c>
      <c r="E235" s="2764">
        <v>26000000000</v>
      </c>
      <c r="F235" s="2764">
        <v>89600000</v>
      </c>
      <c r="G235" s="2765">
        <f t="shared" si="6"/>
        <v>89.6</v>
      </c>
      <c r="H235" s="2764">
        <v>34500000</v>
      </c>
      <c r="I235" s="2765">
        <f t="shared" si="7"/>
        <v>34.5</v>
      </c>
      <c r="J235" s="2764">
        <v>2.4000000000000001E-5</v>
      </c>
      <c r="K235" s="2764">
        <v>904.00001999999995</v>
      </c>
      <c r="L235" s="2767">
        <v>222</v>
      </c>
    </row>
    <row r="236" spans="1:12" ht="15.75">
      <c r="A236" s="2756" t="s">
        <v>4968</v>
      </c>
      <c r="B236" s="2757">
        <v>68899999795.832794</v>
      </c>
      <c r="C236" s="2758">
        <v>0.33</v>
      </c>
      <c r="D236" s="2757">
        <v>2710.0000009999999</v>
      </c>
      <c r="E236" s="2759">
        <v>26000000131.0994</v>
      </c>
      <c r="F236" s="2759">
        <v>109999998.96355399</v>
      </c>
      <c r="G236" s="2760">
        <f t="shared" si="6"/>
        <v>109.99999896355401</v>
      </c>
      <c r="H236" s="2759">
        <v>99284505.021619007</v>
      </c>
      <c r="I236" s="2760">
        <f t="shared" si="7"/>
        <v>99.284505021618997</v>
      </c>
      <c r="J236" s="2759">
        <v>2.4000000000000001E-5</v>
      </c>
      <c r="K236" s="2759">
        <v>904.00002099999995</v>
      </c>
      <c r="L236" s="2766">
        <v>219.99999800000001</v>
      </c>
    </row>
    <row r="237" spans="1:12" ht="15.75">
      <c r="A237" s="2761" t="s">
        <v>4969</v>
      </c>
      <c r="B237" s="2762">
        <v>68899999795.832794</v>
      </c>
      <c r="C237" s="2763">
        <v>0.33</v>
      </c>
      <c r="D237" s="2762">
        <v>2709.8622099999998</v>
      </c>
      <c r="E237" s="2764">
        <v>26000000131.0994</v>
      </c>
      <c r="F237" s="2764">
        <v>130000000.655497</v>
      </c>
      <c r="G237" s="2765">
        <f t="shared" si="6"/>
        <v>130.00000065549699</v>
      </c>
      <c r="H237" s="2764">
        <v>122726679.81839</v>
      </c>
      <c r="I237" s="2765">
        <f t="shared" si="7"/>
        <v>122.72667981839</v>
      </c>
      <c r="J237" s="2764">
        <v>2.4000000000000001E-5</v>
      </c>
      <c r="K237" s="2764">
        <v>904.00002099999995</v>
      </c>
      <c r="L237" s="2767">
        <v>219.99999800000001</v>
      </c>
    </row>
    <row r="238" spans="1:12" ht="15.75">
      <c r="A238" s="2756" t="s">
        <v>4970</v>
      </c>
      <c r="B238" s="2757">
        <v>69000000666.137207</v>
      </c>
      <c r="C238" s="2758">
        <v>0.33</v>
      </c>
      <c r="D238" s="2757">
        <v>2704.9999859999998</v>
      </c>
      <c r="E238" s="2759">
        <v>26000000131.0994</v>
      </c>
      <c r="F238" s="2759">
        <v>130000000.655497</v>
      </c>
      <c r="G238" s="2760">
        <f t="shared" si="6"/>
        <v>130.00000065549699</v>
      </c>
      <c r="H238" s="2759">
        <v>118589825.44249</v>
      </c>
      <c r="I238" s="2760">
        <f t="shared" si="7"/>
        <v>118.58982544249</v>
      </c>
      <c r="J238" s="2759">
        <v>0</v>
      </c>
      <c r="K238" s="2759">
        <v>900.00000499999999</v>
      </c>
      <c r="L238" s="2766">
        <v>229.99999800000001</v>
      </c>
    </row>
    <row r="239" spans="1:12" ht="15.75">
      <c r="A239" s="2761" t="s">
        <v>4971</v>
      </c>
      <c r="B239" s="2762">
        <v>69000000000</v>
      </c>
      <c r="C239" s="2763">
        <v>0.33</v>
      </c>
      <c r="D239" s="2762">
        <v>2700</v>
      </c>
      <c r="E239" s="2764">
        <v>27000000000</v>
      </c>
      <c r="F239" s="2764">
        <v>82722700</v>
      </c>
      <c r="G239" s="2765">
        <f t="shared" si="6"/>
        <v>82.722700000000003</v>
      </c>
      <c r="H239" s="2764">
        <v>27574200</v>
      </c>
      <c r="I239" s="2765">
        <f t="shared" si="7"/>
        <v>27.574200000000001</v>
      </c>
      <c r="J239" s="2764">
        <v>2.4000000000000001E-5</v>
      </c>
      <c r="K239" s="2764">
        <v>1000</v>
      </c>
      <c r="L239" s="2767">
        <v>230</v>
      </c>
    </row>
    <row r="240" spans="1:12" ht="15.75">
      <c r="A240" s="2756" t="s">
        <v>4972</v>
      </c>
      <c r="B240" s="2757">
        <v>73000000000</v>
      </c>
      <c r="C240" s="2758">
        <v>0.33</v>
      </c>
      <c r="D240" s="2757">
        <v>2800</v>
      </c>
      <c r="E240" s="2759">
        <v>28000000000</v>
      </c>
      <c r="F240" s="2759">
        <v>165445000</v>
      </c>
      <c r="G240" s="2760">
        <f t="shared" si="6"/>
        <v>165.44499999999999</v>
      </c>
      <c r="H240" s="2759">
        <v>96509800</v>
      </c>
      <c r="I240" s="2760">
        <f t="shared" si="7"/>
        <v>96.509799999999998</v>
      </c>
      <c r="J240" s="2759">
        <v>2.3E-5</v>
      </c>
      <c r="K240" s="2759">
        <v>960</v>
      </c>
      <c r="L240" s="2766">
        <v>160</v>
      </c>
    </row>
    <row r="241" spans="1:12" ht="15.75">
      <c r="A241" s="2761" t="s">
        <v>4973</v>
      </c>
      <c r="B241" s="2762">
        <v>72400000000</v>
      </c>
      <c r="C241" s="2763">
        <v>0.33</v>
      </c>
      <c r="D241" s="2762">
        <v>2800</v>
      </c>
      <c r="E241" s="2764">
        <v>28000000000</v>
      </c>
      <c r="F241" s="2764">
        <v>205000000</v>
      </c>
      <c r="G241" s="2765">
        <f t="shared" si="6"/>
        <v>205</v>
      </c>
      <c r="H241" s="2764">
        <v>95000000</v>
      </c>
      <c r="I241" s="2765">
        <f t="shared" si="7"/>
        <v>95</v>
      </c>
      <c r="J241" s="2764">
        <v>2.3E-5</v>
      </c>
      <c r="K241" s="2764">
        <v>880</v>
      </c>
      <c r="L241" s="2767">
        <v>192</v>
      </c>
    </row>
    <row r="242" spans="1:12" ht="15.75">
      <c r="A242" s="2756" t="s">
        <v>4974</v>
      </c>
      <c r="B242" s="2757">
        <v>72400000000</v>
      </c>
      <c r="C242" s="2758">
        <v>0.33</v>
      </c>
      <c r="D242" s="2757">
        <v>2800</v>
      </c>
      <c r="E242" s="2759">
        <v>28000000000</v>
      </c>
      <c r="F242" s="2759">
        <v>425000000</v>
      </c>
      <c r="G242" s="2760">
        <f t="shared" si="6"/>
        <v>425</v>
      </c>
      <c r="H242" s="2759">
        <v>290000000</v>
      </c>
      <c r="I242" s="2760">
        <f t="shared" si="7"/>
        <v>290</v>
      </c>
      <c r="J242" s="2759">
        <v>2.3E-5</v>
      </c>
      <c r="K242" s="2759">
        <v>880</v>
      </c>
      <c r="L242" s="2766">
        <v>134</v>
      </c>
    </row>
    <row r="243" spans="1:12" ht="15.75">
      <c r="A243" s="2761" t="s">
        <v>4975</v>
      </c>
      <c r="B243" s="2762">
        <v>72400000000</v>
      </c>
      <c r="C243" s="2763">
        <v>0.33</v>
      </c>
      <c r="D243" s="2762">
        <v>2800</v>
      </c>
      <c r="E243" s="2764">
        <v>28000000000</v>
      </c>
      <c r="F243" s="2764">
        <v>440000000</v>
      </c>
      <c r="G243" s="2765">
        <f t="shared" si="6"/>
        <v>440</v>
      </c>
      <c r="H243" s="2764">
        <v>395000000</v>
      </c>
      <c r="I243" s="2765">
        <f t="shared" si="7"/>
        <v>395</v>
      </c>
      <c r="J243" s="2764">
        <v>2.3E-5</v>
      </c>
      <c r="K243" s="2764">
        <v>880</v>
      </c>
      <c r="L243" s="2767">
        <v>155</v>
      </c>
    </row>
    <row r="244" spans="1:12" ht="15.75">
      <c r="A244" s="2756" t="s">
        <v>4976</v>
      </c>
      <c r="B244" s="2757">
        <v>72400000000</v>
      </c>
      <c r="C244" s="2758">
        <v>0.33</v>
      </c>
      <c r="D244" s="2757">
        <v>2800</v>
      </c>
      <c r="E244" s="2759">
        <v>28000000000</v>
      </c>
      <c r="F244" s="2759">
        <v>440000000</v>
      </c>
      <c r="G244" s="2760">
        <f t="shared" si="6"/>
        <v>440</v>
      </c>
      <c r="H244" s="2759">
        <v>395000000</v>
      </c>
      <c r="I244" s="2760">
        <f t="shared" si="7"/>
        <v>395</v>
      </c>
      <c r="J244" s="2759">
        <v>2.3E-5</v>
      </c>
      <c r="K244" s="2759">
        <v>880</v>
      </c>
      <c r="L244" s="2766">
        <v>155</v>
      </c>
    </row>
    <row r="245" spans="1:12" ht="15.75">
      <c r="A245" s="2761" t="s">
        <v>4977</v>
      </c>
      <c r="B245" s="2762">
        <v>72400000000</v>
      </c>
      <c r="C245" s="2763">
        <v>0.33</v>
      </c>
      <c r="D245" s="2762">
        <v>2800</v>
      </c>
      <c r="E245" s="2764">
        <v>28000000000</v>
      </c>
      <c r="F245" s="2764">
        <v>460000000</v>
      </c>
      <c r="G245" s="2765">
        <f t="shared" si="6"/>
        <v>460</v>
      </c>
      <c r="H245" s="2764">
        <v>405000000</v>
      </c>
      <c r="I245" s="2765">
        <f t="shared" si="7"/>
        <v>405</v>
      </c>
      <c r="J245" s="2764">
        <v>2.3E-5</v>
      </c>
      <c r="K245" s="2764">
        <v>880</v>
      </c>
      <c r="L245" s="2767">
        <v>155</v>
      </c>
    </row>
    <row r="246" spans="1:12" ht="15.75">
      <c r="A246" s="2756" t="s">
        <v>4978</v>
      </c>
      <c r="B246" s="2757">
        <v>74000000000</v>
      </c>
      <c r="C246" s="2758">
        <v>0.33</v>
      </c>
      <c r="D246" s="2757">
        <v>2800</v>
      </c>
      <c r="E246" s="2759">
        <v>27000000000</v>
      </c>
      <c r="F246" s="2759">
        <v>420507000</v>
      </c>
      <c r="G246" s="2760">
        <f t="shared" si="6"/>
        <v>420.50700000000001</v>
      </c>
      <c r="H246" s="2759">
        <v>317104000</v>
      </c>
      <c r="I246" s="2760">
        <f t="shared" si="7"/>
        <v>317.10399999999998</v>
      </c>
      <c r="J246" s="2759">
        <v>2.1999999999999999E-5</v>
      </c>
      <c r="K246" s="2759">
        <v>1000</v>
      </c>
      <c r="L246" s="2766">
        <v>150</v>
      </c>
    </row>
    <row r="247" spans="1:12" ht="15.75">
      <c r="A247" s="2761" t="s">
        <v>4979</v>
      </c>
      <c r="B247" s="2762">
        <v>73000000000</v>
      </c>
      <c r="C247" s="2763">
        <v>0.33</v>
      </c>
      <c r="D247" s="2762">
        <v>2800</v>
      </c>
      <c r="E247" s="2764">
        <v>28000000000</v>
      </c>
      <c r="F247" s="2764">
        <v>186126000</v>
      </c>
      <c r="G247" s="2765">
        <f t="shared" si="6"/>
        <v>186.126</v>
      </c>
      <c r="H247" s="2764">
        <v>758291000</v>
      </c>
      <c r="I247" s="2765">
        <f t="shared" si="7"/>
        <v>758.29100000000005</v>
      </c>
      <c r="J247" s="2764">
        <v>2.3E-5</v>
      </c>
      <c r="K247" s="2764">
        <v>800</v>
      </c>
      <c r="L247" s="2767">
        <v>140</v>
      </c>
    </row>
    <row r="248" spans="1:12" ht="15.75">
      <c r="A248" s="2756" t="s">
        <v>4980</v>
      </c>
      <c r="B248" s="2757">
        <v>72400000000</v>
      </c>
      <c r="C248" s="2758">
        <v>0.33</v>
      </c>
      <c r="D248" s="2757">
        <v>2780</v>
      </c>
      <c r="E248" s="2759">
        <v>28000000000</v>
      </c>
      <c r="F248" s="2759">
        <v>185000000</v>
      </c>
      <c r="G248" s="2760">
        <f t="shared" si="6"/>
        <v>185</v>
      </c>
      <c r="H248" s="2759">
        <v>75000000</v>
      </c>
      <c r="I248" s="2760">
        <f t="shared" si="7"/>
        <v>75</v>
      </c>
      <c r="J248" s="2759">
        <v>2.3200000000000001E-5</v>
      </c>
      <c r="K248" s="2759">
        <v>875</v>
      </c>
      <c r="L248" s="2766">
        <v>193</v>
      </c>
    </row>
    <row r="249" spans="1:12" ht="15.75">
      <c r="A249" s="2761" t="s">
        <v>4981</v>
      </c>
      <c r="B249" s="2762">
        <v>72400000000</v>
      </c>
      <c r="C249" s="2763">
        <v>0.33</v>
      </c>
      <c r="D249" s="2762">
        <v>2780</v>
      </c>
      <c r="E249" s="2764">
        <v>28000000000</v>
      </c>
      <c r="F249" s="2764">
        <v>405000000</v>
      </c>
      <c r="G249" s="2765">
        <f t="shared" si="6"/>
        <v>405</v>
      </c>
      <c r="H249" s="2764">
        <v>275000000</v>
      </c>
      <c r="I249" s="2765">
        <f t="shared" si="7"/>
        <v>275</v>
      </c>
      <c r="J249" s="2764">
        <v>2.3200000000000001E-5</v>
      </c>
      <c r="K249" s="2764">
        <v>875</v>
      </c>
      <c r="L249" s="2767">
        <v>120</v>
      </c>
    </row>
    <row r="250" spans="1:12" ht="15.75">
      <c r="A250" s="2756" t="s">
        <v>4982</v>
      </c>
      <c r="B250" s="2757">
        <v>72400000000</v>
      </c>
      <c r="C250" s="2758">
        <v>0.33</v>
      </c>
      <c r="D250" s="2757">
        <v>2780</v>
      </c>
      <c r="E250" s="2759">
        <v>28000000000</v>
      </c>
      <c r="F250" s="2759">
        <v>400000000</v>
      </c>
      <c r="G250" s="2760">
        <f t="shared" si="6"/>
        <v>400</v>
      </c>
      <c r="H250" s="2759">
        <v>260000000</v>
      </c>
      <c r="I250" s="2760">
        <f t="shared" si="7"/>
        <v>260</v>
      </c>
      <c r="J250" s="2759">
        <v>2.3200000000000001E-5</v>
      </c>
      <c r="K250" s="2759">
        <v>875</v>
      </c>
      <c r="L250" s="2766">
        <v>120</v>
      </c>
    </row>
    <row r="251" spans="1:12" ht="15.75">
      <c r="A251" s="2761" t="s">
        <v>4983</v>
      </c>
      <c r="B251" s="2762">
        <v>72000000000</v>
      </c>
      <c r="C251" s="2763">
        <v>0.33</v>
      </c>
      <c r="D251" s="2762">
        <v>2840</v>
      </c>
      <c r="E251" s="2764">
        <v>27000000000</v>
      </c>
      <c r="F251" s="2764">
        <v>170000000</v>
      </c>
      <c r="G251" s="2765">
        <f t="shared" si="6"/>
        <v>170</v>
      </c>
      <c r="H251" s="2764">
        <v>70000000</v>
      </c>
      <c r="I251" s="2765">
        <f t="shared" si="7"/>
        <v>70</v>
      </c>
      <c r="J251" s="2764">
        <v>2.23E-5</v>
      </c>
      <c r="K251" s="2764">
        <v>864</v>
      </c>
      <c r="L251" s="2767">
        <v>170</v>
      </c>
    </row>
    <row r="252" spans="1:12" ht="15.75">
      <c r="A252" s="2756" t="s">
        <v>4984</v>
      </c>
      <c r="B252" s="2757">
        <v>72000000000</v>
      </c>
      <c r="C252" s="2758">
        <v>0.33</v>
      </c>
      <c r="D252" s="2757">
        <v>2840</v>
      </c>
      <c r="E252" s="2759">
        <v>27000000000</v>
      </c>
      <c r="F252" s="2759">
        <v>360000000</v>
      </c>
      <c r="G252" s="2760">
        <f t="shared" si="6"/>
        <v>360</v>
      </c>
      <c r="H252" s="2759">
        <v>250000000</v>
      </c>
      <c r="I252" s="2760">
        <f t="shared" si="7"/>
        <v>250</v>
      </c>
      <c r="J252" s="2759">
        <v>2.23E-5</v>
      </c>
      <c r="K252" s="2759">
        <v>864</v>
      </c>
      <c r="L252" s="2766">
        <v>116</v>
      </c>
    </row>
    <row r="253" spans="1:12" ht="15.75">
      <c r="A253" s="2761" t="s">
        <v>4985</v>
      </c>
      <c r="B253" s="2762">
        <v>72000000000</v>
      </c>
      <c r="C253" s="2763">
        <v>0.33</v>
      </c>
      <c r="D253" s="2762">
        <v>2840</v>
      </c>
      <c r="E253" s="2764">
        <v>27000000000</v>
      </c>
      <c r="F253" s="2764">
        <v>395000000</v>
      </c>
      <c r="G253" s="2765">
        <f t="shared" si="6"/>
        <v>395</v>
      </c>
      <c r="H253" s="2764">
        <v>315000000</v>
      </c>
      <c r="I253" s="2765">
        <f t="shared" si="7"/>
        <v>315</v>
      </c>
      <c r="J253" s="2764">
        <v>2.23E-5</v>
      </c>
      <c r="K253" s="2764">
        <v>864</v>
      </c>
      <c r="L253" s="2767">
        <v>116</v>
      </c>
    </row>
    <row r="254" spans="1:12" ht="15.75">
      <c r="A254" s="2756" t="s">
        <v>4986</v>
      </c>
      <c r="B254" s="2757">
        <v>72000000000</v>
      </c>
      <c r="C254" s="2758">
        <v>0.33</v>
      </c>
      <c r="D254" s="2757">
        <v>2840</v>
      </c>
      <c r="E254" s="2759">
        <v>27000000000</v>
      </c>
      <c r="F254" s="2759">
        <v>415000000</v>
      </c>
      <c r="G254" s="2760">
        <f t="shared" si="6"/>
        <v>415</v>
      </c>
      <c r="H254" s="2759">
        <v>290000000</v>
      </c>
      <c r="I254" s="2760">
        <f t="shared" si="7"/>
        <v>290</v>
      </c>
      <c r="J254" s="2759">
        <v>2.23E-5</v>
      </c>
      <c r="K254" s="2759">
        <v>864</v>
      </c>
      <c r="L254" s="2766">
        <v>120</v>
      </c>
    </row>
    <row r="255" spans="1:12" ht="15.75">
      <c r="A255" s="2761" t="s">
        <v>4987</v>
      </c>
      <c r="B255" s="2762">
        <v>72000000000</v>
      </c>
      <c r="C255" s="2763">
        <v>0.33</v>
      </c>
      <c r="D255" s="2762">
        <v>2840</v>
      </c>
      <c r="E255" s="2764">
        <v>27000000000</v>
      </c>
      <c r="F255" s="2764">
        <v>455000000</v>
      </c>
      <c r="G255" s="2765">
        <f t="shared" si="6"/>
        <v>455</v>
      </c>
      <c r="H255" s="2764">
        <v>350000000</v>
      </c>
      <c r="I255" s="2765">
        <f t="shared" si="7"/>
        <v>350</v>
      </c>
      <c r="J255" s="2764">
        <v>2.23E-5</v>
      </c>
      <c r="K255" s="2764">
        <v>864</v>
      </c>
      <c r="L255" s="2767">
        <v>120</v>
      </c>
    </row>
    <row r="256" spans="1:12" ht="15.75">
      <c r="A256" s="2756" t="s">
        <v>4988</v>
      </c>
      <c r="B256" s="2757">
        <v>72000000000</v>
      </c>
      <c r="C256" s="2758">
        <v>0.33</v>
      </c>
      <c r="D256" s="2757">
        <v>2840</v>
      </c>
      <c r="E256" s="2759">
        <v>27000000000</v>
      </c>
      <c r="F256" s="2759">
        <v>475000000</v>
      </c>
      <c r="G256" s="2760">
        <f t="shared" si="6"/>
        <v>475</v>
      </c>
      <c r="H256" s="2759">
        <v>395000000</v>
      </c>
      <c r="I256" s="2760">
        <f t="shared" si="7"/>
        <v>395</v>
      </c>
      <c r="J256" s="2759">
        <v>2.23E-5</v>
      </c>
      <c r="K256" s="2759">
        <v>864</v>
      </c>
      <c r="L256" s="2766">
        <v>120</v>
      </c>
    </row>
    <row r="257" spans="1:12" ht="15.75">
      <c r="A257" s="2761" t="s">
        <v>4989</v>
      </c>
      <c r="B257" s="2762">
        <v>74499996822.198395</v>
      </c>
      <c r="C257" s="2763">
        <v>0.33</v>
      </c>
      <c r="D257" s="2762">
        <v>2760.0000030000001</v>
      </c>
      <c r="E257" s="2764">
        <v>26999999870.958698</v>
      </c>
      <c r="F257" s="2764">
        <v>440999997.66250098</v>
      </c>
      <c r="G257" s="2765">
        <f t="shared" si="6"/>
        <v>440.99999766250102</v>
      </c>
      <c r="H257" s="2764">
        <v>371999996.99636298</v>
      </c>
      <c r="I257" s="2765">
        <f t="shared" si="7"/>
        <v>371.999996996363</v>
      </c>
      <c r="J257" s="2764">
        <v>2.1999999999999999E-5</v>
      </c>
      <c r="K257" s="2764">
        <v>874.999999</v>
      </c>
      <c r="L257" s="2767">
        <v>145.999999</v>
      </c>
    </row>
    <row r="258" spans="1:12" ht="15.75">
      <c r="A258" s="2756" t="s">
        <v>4990</v>
      </c>
      <c r="B258" s="2757">
        <v>69000000000</v>
      </c>
      <c r="C258" s="2758">
        <v>0.33</v>
      </c>
      <c r="D258" s="2757">
        <v>2700</v>
      </c>
      <c r="E258" s="2759">
        <v>27000000000</v>
      </c>
      <c r="F258" s="2759">
        <v>110297000</v>
      </c>
      <c r="G258" s="2760">
        <f t="shared" si="6"/>
        <v>110.297</v>
      </c>
      <c r="H258" s="2759">
        <v>41361300</v>
      </c>
      <c r="I258" s="2760">
        <f t="shared" si="7"/>
        <v>41.3613</v>
      </c>
      <c r="J258" s="2759">
        <v>2.3E-5</v>
      </c>
      <c r="K258" s="2759">
        <v>1000</v>
      </c>
      <c r="L258" s="2766">
        <v>170</v>
      </c>
    </row>
    <row r="259" spans="1:12" ht="15.75">
      <c r="A259" s="2761" t="s">
        <v>4991</v>
      </c>
      <c r="B259" s="2762">
        <v>69000000000</v>
      </c>
      <c r="C259" s="2763">
        <v>0.33</v>
      </c>
      <c r="D259" s="2762">
        <v>2730</v>
      </c>
      <c r="E259" s="2764">
        <v>25000000000</v>
      </c>
      <c r="F259" s="2764">
        <v>110000000</v>
      </c>
      <c r="G259" s="2765">
        <f t="shared" si="6"/>
        <v>110</v>
      </c>
      <c r="H259" s="2764">
        <v>40000000</v>
      </c>
      <c r="I259" s="2765">
        <f t="shared" si="7"/>
        <v>40</v>
      </c>
      <c r="J259" s="2764">
        <v>2.3200000000000001E-5</v>
      </c>
      <c r="K259" s="2764">
        <v>893</v>
      </c>
      <c r="L259" s="2767">
        <v>193</v>
      </c>
    </row>
    <row r="260" spans="1:12" ht="15.75">
      <c r="A260" s="2756" t="s">
        <v>4992</v>
      </c>
      <c r="B260" s="2757">
        <v>69000000666.137207</v>
      </c>
      <c r="C260" s="2758">
        <v>0.33</v>
      </c>
      <c r="D260" s="2757">
        <v>2730.0000020000002</v>
      </c>
      <c r="E260" s="2759">
        <v>24999999701.764301</v>
      </c>
      <c r="F260" s="2759">
        <v>105000000</v>
      </c>
      <c r="G260" s="2760">
        <f t="shared" ref="G260:G323" si="8">F260/1000000</f>
        <v>105</v>
      </c>
      <c r="H260" s="2759">
        <v>36000000</v>
      </c>
      <c r="I260" s="2760">
        <f t="shared" ref="I260:I323" si="9">H260/1000000</f>
        <v>36</v>
      </c>
      <c r="J260" s="2759">
        <v>2.3E-5</v>
      </c>
      <c r="K260" s="2759">
        <v>893.00000799999998</v>
      </c>
      <c r="L260" s="2766">
        <v>193.00000199999999</v>
      </c>
    </row>
    <row r="261" spans="1:12" ht="15.75">
      <c r="A261" s="2761" t="s">
        <v>4993</v>
      </c>
      <c r="B261" s="2762">
        <v>69000000000</v>
      </c>
      <c r="C261" s="2763">
        <v>0.33</v>
      </c>
      <c r="D261" s="2762">
        <v>2730</v>
      </c>
      <c r="E261" s="2764">
        <v>25000000000</v>
      </c>
      <c r="F261" s="2764">
        <v>130000000</v>
      </c>
      <c r="G261" s="2765">
        <f t="shared" si="8"/>
        <v>130</v>
      </c>
      <c r="H261" s="2764">
        <v>125000000</v>
      </c>
      <c r="I261" s="2765">
        <f t="shared" si="9"/>
        <v>125</v>
      </c>
      <c r="J261" s="2764">
        <v>2.3200000000000001E-5</v>
      </c>
      <c r="K261" s="2764">
        <v>893</v>
      </c>
      <c r="L261" s="2767">
        <v>162</v>
      </c>
    </row>
    <row r="262" spans="1:12" ht="15.75">
      <c r="A262" s="2756" t="s">
        <v>4994</v>
      </c>
      <c r="B262" s="2757">
        <v>69000000666.137207</v>
      </c>
      <c r="C262" s="2758">
        <v>0.33</v>
      </c>
      <c r="D262" s="2757">
        <v>2730.0000020000002</v>
      </c>
      <c r="E262" s="2759">
        <v>24999999701.764301</v>
      </c>
      <c r="F262" s="2759">
        <v>130000000.655497</v>
      </c>
      <c r="G262" s="2760">
        <f t="shared" si="8"/>
        <v>130.00000065549699</v>
      </c>
      <c r="H262" s="2759">
        <v>124999998.50882199</v>
      </c>
      <c r="I262" s="2760">
        <f t="shared" si="9"/>
        <v>124.999998508822</v>
      </c>
      <c r="J262" s="2759">
        <v>2.3E-5</v>
      </c>
      <c r="K262" s="2759">
        <v>893.00000799999998</v>
      </c>
      <c r="L262" s="2766">
        <v>161.999999</v>
      </c>
    </row>
    <row r="263" spans="1:12" ht="15.75">
      <c r="A263" s="2761" t="s">
        <v>4995</v>
      </c>
      <c r="B263" s="2762">
        <v>69000000000</v>
      </c>
      <c r="C263" s="2763">
        <v>0.33</v>
      </c>
      <c r="D263" s="2762">
        <v>2730</v>
      </c>
      <c r="E263" s="2764">
        <v>25000000000</v>
      </c>
      <c r="F263" s="2764">
        <v>150000000</v>
      </c>
      <c r="G263" s="2765">
        <f t="shared" si="8"/>
        <v>150</v>
      </c>
      <c r="H263" s="2764">
        <v>145000000</v>
      </c>
      <c r="I263" s="2765">
        <f t="shared" si="9"/>
        <v>145</v>
      </c>
      <c r="J263" s="2764">
        <v>2.3200000000000001E-5</v>
      </c>
      <c r="K263" s="2764">
        <v>893</v>
      </c>
      <c r="L263" s="2767">
        <v>159</v>
      </c>
    </row>
    <row r="264" spans="1:12" ht="15.75">
      <c r="A264" s="2756" t="s">
        <v>4996</v>
      </c>
      <c r="B264" s="2757">
        <v>69000000666.137207</v>
      </c>
      <c r="C264" s="2758">
        <v>0.33</v>
      </c>
      <c r="D264" s="2757">
        <v>2730.0000020000002</v>
      </c>
      <c r="E264" s="2759">
        <v>24999999701.764301</v>
      </c>
      <c r="F264" s="2759">
        <v>150000002.34744099</v>
      </c>
      <c r="G264" s="2760">
        <f t="shared" si="8"/>
        <v>150.00000234744101</v>
      </c>
      <c r="H264" s="2759">
        <v>145000000.20076501</v>
      </c>
      <c r="I264" s="2760">
        <f t="shared" si="9"/>
        <v>145.00000020076499</v>
      </c>
      <c r="J264" s="2759">
        <v>2.3E-5</v>
      </c>
      <c r="K264" s="2759">
        <v>893.00000799999998</v>
      </c>
      <c r="L264" s="2766">
        <v>159.00000199999999</v>
      </c>
    </row>
    <row r="265" spans="1:12" ht="15.75">
      <c r="A265" s="2761" t="s">
        <v>4997</v>
      </c>
      <c r="B265" s="2762">
        <v>69000000000</v>
      </c>
      <c r="C265" s="2763">
        <v>0.33</v>
      </c>
      <c r="D265" s="2762">
        <v>2730</v>
      </c>
      <c r="E265" s="2764">
        <v>25000000000</v>
      </c>
      <c r="F265" s="2764">
        <v>180000000</v>
      </c>
      <c r="G265" s="2765">
        <f t="shared" si="8"/>
        <v>180</v>
      </c>
      <c r="H265" s="2764">
        <v>170000000</v>
      </c>
      <c r="I265" s="2765">
        <f t="shared" si="9"/>
        <v>170</v>
      </c>
      <c r="J265" s="2764">
        <v>2.3200000000000001E-5</v>
      </c>
      <c r="K265" s="2764">
        <v>893</v>
      </c>
      <c r="L265" s="2767">
        <v>157</v>
      </c>
    </row>
    <row r="266" spans="1:12" ht="15.75">
      <c r="A266" s="2756" t="s">
        <v>4998</v>
      </c>
      <c r="B266" s="2757">
        <v>69000000000</v>
      </c>
      <c r="C266" s="2758">
        <v>0.33</v>
      </c>
      <c r="D266" s="2757">
        <v>2730</v>
      </c>
      <c r="E266" s="2759">
        <v>25000000000</v>
      </c>
      <c r="F266" s="2759">
        <v>200000000</v>
      </c>
      <c r="G266" s="2760">
        <f t="shared" si="8"/>
        <v>200</v>
      </c>
      <c r="H266" s="2759">
        <v>185000000</v>
      </c>
      <c r="I266" s="2760">
        <f t="shared" si="9"/>
        <v>185</v>
      </c>
      <c r="J266" s="2759">
        <v>2.3200000000000001E-5</v>
      </c>
      <c r="K266" s="2759">
        <v>893</v>
      </c>
      <c r="L266" s="2766">
        <v>155</v>
      </c>
    </row>
    <row r="267" spans="1:12" ht="15.75">
      <c r="A267" s="2761" t="s">
        <v>4999</v>
      </c>
      <c r="B267" s="2762">
        <v>69000000666.137207</v>
      </c>
      <c r="C267" s="2763">
        <v>0.33</v>
      </c>
      <c r="D267" s="2762">
        <v>2730.0000020000002</v>
      </c>
      <c r="E267" s="2764">
        <v>24999999701.764301</v>
      </c>
      <c r="F267" s="2764">
        <v>200000003.12992099</v>
      </c>
      <c r="G267" s="2765">
        <f t="shared" si="8"/>
        <v>200.000003129921</v>
      </c>
      <c r="H267" s="2764">
        <v>184999996.689895</v>
      </c>
      <c r="I267" s="2765">
        <f t="shared" si="9"/>
        <v>184.999996689895</v>
      </c>
      <c r="J267" s="2764">
        <v>2.3E-5</v>
      </c>
      <c r="K267" s="2764">
        <v>893.00000799999998</v>
      </c>
      <c r="L267" s="2767">
        <v>155.00000199999999</v>
      </c>
    </row>
    <row r="268" spans="1:12" ht="15.75">
      <c r="A268" s="2756" t="s">
        <v>5000</v>
      </c>
      <c r="B268" s="2757">
        <v>68899999795.832794</v>
      </c>
      <c r="C268" s="2758">
        <v>0.35</v>
      </c>
      <c r="D268" s="2757">
        <v>2720.0000009999999</v>
      </c>
      <c r="E268" s="2759">
        <v>24999999701.764301</v>
      </c>
      <c r="F268" s="2759">
        <v>241000001.42733699</v>
      </c>
      <c r="G268" s="2760">
        <f t="shared" si="8"/>
        <v>241.000001427337</v>
      </c>
      <c r="H268" s="2759">
        <v>200000003.12992099</v>
      </c>
      <c r="I268" s="2760">
        <f t="shared" si="9"/>
        <v>200.000003129921</v>
      </c>
      <c r="J268" s="2759">
        <v>2.4000000000000001E-5</v>
      </c>
      <c r="K268" s="2759">
        <v>893.00000799999998</v>
      </c>
      <c r="L268" s="2766">
        <v>163.00000199999999</v>
      </c>
    </row>
    <row r="269" spans="1:12" ht="15.75">
      <c r="A269" s="2761" t="s">
        <v>5001</v>
      </c>
      <c r="B269" s="2762">
        <v>68899999795.832794</v>
      </c>
      <c r="C269" s="2763">
        <v>0.35</v>
      </c>
      <c r="D269" s="2762">
        <v>2720.0000009999999</v>
      </c>
      <c r="E269" s="2764">
        <v>24999999701.764301</v>
      </c>
      <c r="F269" s="2764">
        <v>178999999.629691</v>
      </c>
      <c r="G269" s="2765">
        <f t="shared" si="8"/>
        <v>178.99999962969099</v>
      </c>
      <c r="H269" s="2764">
        <v>69000000.666136995</v>
      </c>
      <c r="I269" s="2765">
        <f t="shared" si="9"/>
        <v>69.000000666136998</v>
      </c>
      <c r="J269" s="2764">
        <v>2.4000000000000001E-5</v>
      </c>
      <c r="K269" s="2764">
        <v>893.00000799999998</v>
      </c>
      <c r="L269" s="2767">
        <v>163.00000199999999</v>
      </c>
    </row>
    <row r="270" spans="1:12" ht="15.75">
      <c r="A270" s="2756" t="s">
        <v>5002</v>
      </c>
      <c r="B270" s="2757">
        <v>79000000000</v>
      </c>
      <c r="C270" s="2758">
        <v>0.34</v>
      </c>
      <c r="D270" s="2757">
        <v>2680</v>
      </c>
      <c r="E270" s="2759">
        <v>26000000000</v>
      </c>
      <c r="F270" s="2759">
        <v>380000000</v>
      </c>
      <c r="G270" s="2760">
        <f t="shared" si="8"/>
        <v>380</v>
      </c>
      <c r="H270" s="2759">
        <v>315000000</v>
      </c>
      <c r="I270" s="2760">
        <f t="shared" si="9"/>
        <v>315</v>
      </c>
      <c r="J270" s="2759">
        <v>1.9400000000000001E-5</v>
      </c>
      <c r="K270" s="2759">
        <v>850</v>
      </c>
      <c r="L270" s="2766">
        <v>138</v>
      </c>
    </row>
    <row r="271" spans="1:12" ht="15.75">
      <c r="A271" s="2761" t="s">
        <v>5003</v>
      </c>
      <c r="B271" s="2762">
        <v>70000000000</v>
      </c>
      <c r="C271" s="2763">
        <v>0.33</v>
      </c>
      <c r="D271" s="2762">
        <v>2680</v>
      </c>
      <c r="E271" s="2764">
        <v>25900000000</v>
      </c>
      <c r="F271" s="2764">
        <v>195000000</v>
      </c>
      <c r="G271" s="2765">
        <f t="shared" si="8"/>
        <v>195</v>
      </c>
      <c r="H271" s="2764">
        <v>90000000</v>
      </c>
      <c r="I271" s="2765">
        <f t="shared" si="9"/>
        <v>90</v>
      </c>
      <c r="J271" s="2764">
        <v>2.3799999999999999E-5</v>
      </c>
      <c r="K271" s="2764">
        <v>880</v>
      </c>
      <c r="L271" s="2767">
        <v>137</v>
      </c>
    </row>
    <row r="272" spans="1:12" ht="15.75">
      <c r="A272" s="2756" t="s">
        <v>5004</v>
      </c>
      <c r="B272" s="2757">
        <v>70000002474.423706</v>
      </c>
      <c r="C272" s="2758">
        <v>0.33</v>
      </c>
      <c r="D272" s="2757">
        <v>2679.9999990000001</v>
      </c>
      <c r="E272" s="2759">
        <v>25899999950.270699</v>
      </c>
      <c r="F272" s="2759">
        <v>195000000.983246</v>
      </c>
      <c r="G272" s="2760">
        <f t="shared" si="8"/>
        <v>195.000000983246</v>
      </c>
      <c r="H272" s="2759">
        <v>72394951.578263998</v>
      </c>
      <c r="I272" s="2760">
        <f t="shared" si="9"/>
        <v>72.394951578263999</v>
      </c>
      <c r="J272" s="2759">
        <v>2.4000000000000001E-5</v>
      </c>
      <c r="K272" s="2759">
        <v>880.00000799999998</v>
      </c>
      <c r="L272" s="2766">
        <v>137.00000299999999</v>
      </c>
    </row>
    <row r="273" spans="1:12" ht="15.75">
      <c r="A273" s="2761" t="s">
        <v>5005</v>
      </c>
      <c r="B273" s="2762">
        <v>70000000000</v>
      </c>
      <c r="C273" s="2763">
        <v>0.33</v>
      </c>
      <c r="D273" s="2762">
        <v>2680</v>
      </c>
      <c r="E273" s="2764">
        <v>25900000000</v>
      </c>
      <c r="F273" s="2764">
        <v>230000000</v>
      </c>
      <c r="G273" s="2765">
        <f t="shared" si="8"/>
        <v>230</v>
      </c>
      <c r="H273" s="2764">
        <v>195000000</v>
      </c>
      <c r="I273" s="2765">
        <f t="shared" si="9"/>
        <v>195</v>
      </c>
      <c r="J273" s="2764">
        <v>2.3799999999999999E-5</v>
      </c>
      <c r="K273" s="2764">
        <v>880</v>
      </c>
      <c r="L273" s="2767">
        <v>137</v>
      </c>
    </row>
    <row r="274" spans="1:12" ht="15.75">
      <c r="A274" s="2756" t="s">
        <v>5006</v>
      </c>
      <c r="B274" s="2757">
        <v>70000000000</v>
      </c>
      <c r="C274" s="2758">
        <v>0.33</v>
      </c>
      <c r="D274" s="2757">
        <v>2680</v>
      </c>
      <c r="E274" s="2759">
        <v>25900000000</v>
      </c>
      <c r="F274" s="2759">
        <v>2250000000</v>
      </c>
      <c r="G274" s="2760">
        <f t="shared" si="8"/>
        <v>2250</v>
      </c>
      <c r="H274" s="2759">
        <v>215000000</v>
      </c>
      <c r="I274" s="2760">
        <f t="shared" si="9"/>
        <v>215</v>
      </c>
      <c r="J274" s="2759">
        <v>2.3799999999999999E-5</v>
      </c>
      <c r="K274" s="2759">
        <v>880</v>
      </c>
      <c r="L274" s="2766">
        <v>137</v>
      </c>
    </row>
    <row r="275" spans="1:12" ht="15.75">
      <c r="A275" s="2761" t="s">
        <v>5007</v>
      </c>
      <c r="B275" s="2762">
        <v>70000000000</v>
      </c>
      <c r="C275" s="2763">
        <v>0.33</v>
      </c>
      <c r="D275" s="2762">
        <v>2680</v>
      </c>
      <c r="E275" s="2764">
        <v>25900000000</v>
      </c>
      <c r="F275" s="2764">
        <v>275000000</v>
      </c>
      <c r="G275" s="2765">
        <f t="shared" si="8"/>
        <v>275</v>
      </c>
      <c r="H275" s="2764">
        <v>240000000</v>
      </c>
      <c r="I275" s="2765">
        <f t="shared" si="9"/>
        <v>240</v>
      </c>
      <c r="J275" s="2764">
        <v>2.3799999999999999E-5</v>
      </c>
      <c r="K275" s="2764">
        <v>880</v>
      </c>
      <c r="L275" s="2767">
        <v>127</v>
      </c>
    </row>
    <row r="276" spans="1:12" ht="15.75">
      <c r="A276" s="2756" t="s">
        <v>5008</v>
      </c>
      <c r="B276" s="2757">
        <v>70000000000</v>
      </c>
      <c r="C276" s="2758">
        <v>0.33</v>
      </c>
      <c r="D276" s="2757">
        <v>2680</v>
      </c>
      <c r="E276" s="2759">
        <v>25900000000</v>
      </c>
      <c r="F276" s="2759">
        <v>290000000</v>
      </c>
      <c r="G276" s="2760">
        <f t="shared" si="8"/>
        <v>290</v>
      </c>
      <c r="H276" s="2759">
        <v>255000000</v>
      </c>
      <c r="I276" s="2760">
        <f t="shared" si="9"/>
        <v>255</v>
      </c>
      <c r="J276" s="2759">
        <v>2.3799999999999999E-5</v>
      </c>
      <c r="K276" s="2759">
        <v>880</v>
      </c>
      <c r="L276" s="2766">
        <v>137</v>
      </c>
    </row>
    <row r="277" spans="1:12" ht="15.75">
      <c r="A277" s="2761" t="s">
        <v>5009</v>
      </c>
      <c r="B277" s="2762">
        <v>70000002474.423706</v>
      </c>
      <c r="C277" s="2763">
        <v>0.33</v>
      </c>
      <c r="D277" s="2762">
        <v>2679.9999990000001</v>
      </c>
      <c r="E277" s="2764">
        <v>25899999950.270699</v>
      </c>
      <c r="F277" s="2764">
        <v>285000000.40153098</v>
      </c>
      <c r="G277" s="2765">
        <f t="shared" si="8"/>
        <v>285.000000401531</v>
      </c>
      <c r="H277" s="2764">
        <v>245999999.16431901</v>
      </c>
      <c r="I277" s="2765">
        <f t="shared" si="9"/>
        <v>245.99999916431901</v>
      </c>
      <c r="J277" s="2764">
        <v>2.4000000000000001E-5</v>
      </c>
      <c r="K277" s="2764">
        <v>880.00000799999998</v>
      </c>
      <c r="L277" s="2767">
        <v>137.00000299999999</v>
      </c>
    </row>
    <row r="278" spans="1:12" ht="15.75">
      <c r="A278" s="2756" t="s">
        <v>5010</v>
      </c>
      <c r="B278" s="2757">
        <v>70300000259.006699</v>
      </c>
      <c r="C278" s="2758">
        <v>0.33</v>
      </c>
      <c r="D278" s="2757">
        <v>2659.9999979999998</v>
      </c>
      <c r="E278" s="2759">
        <v>25899999950.270699</v>
      </c>
      <c r="F278" s="2759">
        <v>241000001.42733699</v>
      </c>
      <c r="G278" s="2760">
        <f t="shared" si="8"/>
        <v>241.000001427337</v>
      </c>
      <c r="H278" s="2759">
        <v>139274097.32199401</v>
      </c>
      <c r="I278" s="2760">
        <f t="shared" si="9"/>
        <v>139.27409732199399</v>
      </c>
      <c r="J278" s="2759">
        <v>2.4000000000000001E-5</v>
      </c>
      <c r="K278" s="2759">
        <v>900.00000499999999</v>
      </c>
      <c r="L278" s="2766">
        <v>125.00000300000001</v>
      </c>
    </row>
    <row r="279" spans="1:12" ht="15.75">
      <c r="A279" s="2761" t="s">
        <v>5011</v>
      </c>
      <c r="B279" s="2762">
        <v>70999997387.952896</v>
      </c>
      <c r="C279" s="2763">
        <v>0.33</v>
      </c>
      <c r="D279" s="2762">
        <v>2659.9999979999998</v>
      </c>
      <c r="E279" s="2764">
        <v>26400000164.938202</v>
      </c>
      <c r="F279" s="2764">
        <v>290000000.40153098</v>
      </c>
      <c r="G279" s="2765">
        <f t="shared" si="8"/>
        <v>290.000000401531</v>
      </c>
      <c r="H279" s="2764">
        <v>68947572.931679994</v>
      </c>
      <c r="I279" s="2765">
        <f t="shared" si="9"/>
        <v>68.94757293168</v>
      </c>
      <c r="J279" s="2764">
        <v>2.4000000000000001E-5</v>
      </c>
      <c r="K279" s="2764">
        <v>900.00000499999999</v>
      </c>
      <c r="L279" s="2767">
        <v>125.00000300000001</v>
      </c>
    </row>
    <row r="280" spans="1:12" ht="15.75">
      <c r="A280" s="2756" t="s">
        <v>5012</v>
      </c>
      <c r="B280" s="2757">
        <v>70000000000</v>
      </c>
      <c r="C280" s="2758">
        <v>0.33</v>
      </c>
      <c r="D280" s="2757">
        <v>2690</v>
      </c>
      <c r="E280" s="2759">
        <v>26000000000</v>
      </c>
      <c r="F280" s="2759">
        <v>250000000</v>
      </c>
      <c r="G280" s="2760">
        <f t="shared" si="8"/>
        <v>250</v>
      </c>
      <c r="H280" s="2759">
        <v>115000000</v>
      </c>
      <c r="I280" s="2760">
        <f t="shared" si="9"/>
        <v>115</v>
      </c>
      <c r="J280" s="2759">
        <v>2.3600000000000001E-5</v>
      </c>
      <c r="K280" s="2759">
        <v>900</v>
      </c>
      <c r="L280" s="2766">
        <v>134</v>
      </c>
    </row>
    <row r="281" spans="1:12" ht="15.75">
      <c r="A281" s="2761" t="s">
        <v>5013</v>
      </c>
      <c r="B281" s="2762">
        <v>70000000000</v>
      </c>
      <c r="C281" s="2763">
        <v>0.33</v>
      </c>
      <c r="D281" s="2762">
        <v>2690</v>
      </c>
      <c r="E281" s="2764">
        <v>26000000000</v>
      </c>
      <c r="F281" s="2764">
        <v>275000000</v>
      </c>
      <c r="G281" s="2765">
        <f t="shared" si="8"/>
        <v>275</v>
      </c>
      <c r="H281" s="2764">
        <v>205000000</v>
      </c>
      <c r="I281" s="2765">
        <f t="shared" si="9"/>
        <v>205</v>
      </c>
      <c r="J281" s="2764">
        <v>2.3600000000000001E-5</v>
      </c>
      <c r="K281" s="2764">
        <v>900</v>
      </c>
      <c r="L281" s="2767">
        <v>134</v>
      </c>
    </row>
    <row r="282" spans="1:12" ht="15.75">
      <c r="A282" s="2756" t="s">
        <v>5014</v>
      </c>
      <c r="B282" s="2757">
        <v>70000000000</v>
      </c>
      <c r="C282" s="2758">
        <v>0.33</v>
      </c>
      <c r="D282" s="2757">
        <v>2690</v>
      </c>
      <c r="E282" s="2759">
        <v>26000000000</v>
      </c>
      <c r="F282" s="2759">
        <v>305000000</v>
      </c>
      <c r="G282" s="2760">
        <f t="shared" si="8"/>
        <v>305</v>
      </c>
      <c r="H282" s="2759">
        <v>240000000</v>
      </c>
      <c r="I282" s="2760">
        <f t="shared" si="9"/>
        <v>240</v>
      </c>
      <c r="J282" s="2759">
        <v>2.3600000000000001E-5</v>
      </c>
      <c r="K282" s="2759">
        <v>900</v>
      </c>
      <c r="L282" s="2766">
        <v>134</v>
      </c>
    </row>
    <row r="283" spans="1:12" ht="15.75">
      <c r="A283" s="2761" t="s">
        <v>5015</v>
      </c>
      <c r="B283" s="2762">
        <v>70000000000</v>
      </c>
      <c r="C283" s="2763">
        <v>0.33</v>
      </c>
      <c r="D283" s="2762">
        <v>2690</v>
      </c>
      <c r="E283" s="2764">
        <v>26000000000</v>
      </c>
      <c r="F283" s="2764">
        <v>260000000</v>
      </c>
      <c r="G283" s="2765">
        <f t="shared" si="8"/>
        <v>260</v>
      </c>
      <c r="H283" s="2764">
        <v>180000000</v>
      </c>
      <c r="I283" s="2765">
        <f t="shared" si="9"/>
        <v>180</v>
      </c>
      <c r="J283" s="2764">
        <v>2.3600000000000001E-5</v>
      </c>
      <c r="K283" s="2764">
        <v>900</v>
      </c>
      <c r="L283" s="2767">
        <v>134</v>
      </c>
    </row>
    <row r="284" spans="1:12" ht="15.75">
      <c r="A284" s="2756" t="s">
        <v>5016</v>
      </c>
      <c r="B284" s="2757">
        <v>70000000000</v>
      </c>
      <c r="C284" s="2758">
        <v>0.33</v>
      </c>
      <c r="D284" s="2757">
        <v>2690</v>
      </c>
      <c r="E284" s="2759">
        <v>26000000000</v>
      </c>
      <c r="F284" s="2759">
        <v>250000000</v>
      </c>
      <c r="G284" s="2760">
        <f t="shared" si="8"/>
        <v>250</v>
      </c>
      <c r="H284" s="2759">
        <v>125000000</v>
      </c>
      <c r="I284" s="2760">
        <f t="shared" si="9"/>
        <v>125</v>
      </c>
      <c r="J284" s="2759">
        <v>2.3600000000000001E-5</v>
      </c>
      <c r="K284" s="2759">
        <v>900</v>
      </c>
      <c r="L284" s="2766">
        <v>134</v>
      </c>
    </row>
    <row r="285" spans="1:12" ht="15.75">
      <c r="A285" s="2761" t="s">
        <v>5017</v>
      </c>
      <c r="B285" s="2762">
        <v>69000000000</v>
      </c>
      <c r="C285" s="2763">
        <v>0.33</v>
      </c>
      <c r="D285" s="2762">
        <v>2700</v>
      </c>
      <c r="E285" s="2764">
        <v>26000000000</v>
      </c>
      <c r="F285" s="2764">
        <v>124084000</v>
      </c>
      <c r="G285" s="2765">
        <f t="shared" si="8"/>
        <v>124.084</v>
      </c>
      <c r="H285" s="2764">
        <v>55148500</v>
      </c>
      <c r="I285" s="2765">
        <f t="shared" si="9"/>
        <v>55.148499999999999</v>
      </c>
      <c r="J285" s="2764">
        <v>2.4000000000000001E-5</v>
      </c>
      <c r="K285" s="2764">
        <v>1300</v>
      </c>
      <c r="L285" s="2767">
        <v>170</v>
      </c>
    </row>
    <row r="286" spans="1:12" ht="15.75">
      <c r="A286" s="2756" t="s">
        <v>5018</v>
      </c>
      <c r="B286" s="2757">
        <v>69000000666.137207</v>
      </c>
      <c r="C286" s="2758">
        <v>0.33</v>
      </c>
      <c r="D286" s="2757">
        <v>2700</v>
      </c>
      <c r="E286" s="2759">
        <v>26000000131.0994</v>
      </c>
      <c r="F286" s="2759">
        <v>124999998.50882199</v>
      </c>
      <c r="G286" s="2760">
        <f t="shared" si="8"/>
        <v>124.999998508822</v>
      </c>
      <c r="H286" s="2759">
        <v>62052815.638512</v>
      </c>
      <c r="I286" s="2760">
        <f t="shared" si="9"/>
        <v>62.052815638512001</v>
      </c>
      <c r="J286" s="2759">
        <v>2.4000000000000001E-5</v>
      </c>
      <c r="K286" s="2759">
        <v>895.99998900000003</v>
      </c>
      <c r="L286" s="2766">
        <v>179.99999800000001</v>
      </c>
    </row>
    <row r="287" spans="1:12" ht="15.75">
      <c r="A287" s="2761" t="s">
        <v>5019</v>
      </c>
      <c r="B287" s="2762">
        <v>69000000666.137207</v>
      </c>
      <c r="C287" s="2763">
        <v>0.33</v>
      </c>
      <c r="D287" s="2762">
        <v>2700</v>
      </c>
      <c r="E287" s="2764">
        <v>26000000131.0994</v>
      </c>
      <c r="F287" s="2764">
        <v>239999999.61905101</v>
      </c>
      <c r="G287" s="2765">
        <f t="shared" si="8"/>
        <v>239.99999961905101</v>
      </c>
      <c r="H287" s="2764">
        <v>227526990.67454401</v>
      </c>
      <c r="I287" s="2765">
        <f t="shared" si="9"/>
        <v>227.52699067454401</v>
      </c>
      <c r="J287" s="2764">
        <v>2.4000000000000001E-5</v>
      </c>
      <c r="K287" s="2764">
        <v>895.99998900000003</v>
      </c>
      <c r="L287" s="2767">
        <v>153.999999</v>
      </c>
    </row>
    <row r="288" spans="1:12" ht="15.75">
      <c r="A288" s="2756" t="s">
        <v>5020</v>
      </c>
      <c r="B288" s="2757">
        <v>69000000666.137207</v>
      </c>
      <c r="C288" s="2758">
        <v>0.33</v>
      </c>
      <c r="D288" s="2757">
        <v>2700</v>
      </c>
      <c r="E288" s="2759">
        <v>26000000131.0994</v>
      </c>
      <c r="F288" s="2759">
        <v>310000002.09347397</v>
      </c>
      <c r="G288" s="2760">
        <f t="shared" si="8"/>
        <v>310.000002093474</v>
      </c>
      <c r="H288" s="2759">
        <v>275000000.85626203</v>
      </c>
      <c r="I288" s="2760">
        <f t="shared" si="9"/>
        <v>275.00000085626198</v>
      </c>
      <c r="J288" s="2759">
        <v>2.4000000000000001E-5</v>
      </c>
      <c r="K288" s="2759">
        <v>895.99998900000003</v>
      </c>
      <c r="L288" s="2766">
        <v>166.9</v>
      </c>
    </row>
    <row r="289" spans="1:12" ht="15.75">
      <c r="A289" s="2761" t="s">
        <v>5021</v>
      </c>
      <c r="B289" s="2762">
        <v>69000000000</v>
      </c>
      <c r="C289" s="2763">
        <v>0.33</v>
      </c>
      <c r="D289" s="2762">
        <v>2700</v>
      </c>
      <c r="E289" s="2764">
        <v>25800000000</v>
      </c>
      <c r="F289" s="2764">
        <v>90000000</v>
      </c>
      <c r="G289" s="2765">
        <f t="shared" si="8"/>
        <v>90</v>
      </c>
      <c r="H289" s="2764">
        <v>50000000</v>
      </c>
      <c r="I289" s="2765">
        <f t="shared" si="9"/>
        <v>50</v>
      </c>
      <c r="J289" s="2764">
        <v>2.34E-5</v>
      </c>
      <c r="K289" s="2764">
        <v>900</v>
      </c>
      <c r="L289" s="2767">
        <v>218</v>
      </c>
    </row>
    <row r="290" spans="1:12" ht="15.75">
      <c r="A290" s="2756" t="s">
        <v>5022</v>
      </c>
      <c r="B290" s="2757">
        <v>69000000666.137207</v>
      </c>
      <c r="C290" s="2758">
        <v>0.33</v>
      </c>
      <c r="D290" s="2757">
        <v>2700</v>
      </c>
      <c r="E290" s="2759">
        <v>25799999769.442101</v>
      </c>
      <c r="F290" s="2759">
        <v>89999997.271610007</v>
      </c>
      <c r="G290" s="2760">
        <f t="shared" si="8"/>
        <v>89.999997271609999</v>
      </c>
      <c r="H290" s="2759">
        <v>41368543.759007998</v>
      </c>
      <c r="I290" s="2760">
        <f t="shared" si="9"/>
        <v>41.368543759007999</v>
      </c>
      <c r="J290" s="2759">
        <v>2.3E-5</v>
      </c>
      <c r="K290" s="2759">
        <v>900.00000499999999</v>
      </c>
      <c r="L290" s="2766">
        <v>217.99999800000001</v>
      </c>
    </row>
    <row r="291" spans="1:12" ht="15.75">
      <c r="A291" s="2761" t="s">
        <v>5023</v>
      </c>
      <c r="B291" s="2762">
        <v>69000000000</v>
      </c>
      <c r="C291" s="2763">
        <v>0.33</v>
      </c>
      <c r="D291" s="2762">
        <v>2700</v>
      </c>
      <c r="E291" s="2764">
        <v>25800000000</v>
      </c>
      <c r="F291" s="2764">
        <v>150000000</v>
      </c>
      <c r="G291" s="2765">
        <f t="shared" si="8"/>
        <v>150</v>
      </c>
      <c r="H291" s="2764">
        <v>90000000</v>
      </c>
      <c r="I291" s="2765">
        <f t="shared" si="9"/>
        <v>90</v>
      </c>
      <c r="J291" s="2764">
        <v>2.34E-5</v>
      </c>
      <c r="K291" s="2764">
        <v>900</v>
      </c>
      <c r="L291" s="2767">
        <v>193</v>
      </c>
    </row>
    <row r="292" spans="1:12" ht="15.75">
      <c r="A292" s="2756" t="s">
        <v>5024</v>
      </c>
      <c r="B292" s="2757">
        <v>69000000000</v>
      </c>
      <c r="C292" s="2758">
        <v>0.33</v>
      </c>
      <c r="D292" s="2757">
        <v>2700</v>
      </c>
      <c r="E292" s="2759">
        <v>25800000000</v>
      </c>
      <c r="F292" s="2759">
        <v>170000000</v>
      </c>
      <c r="G292" s="2760">
        <f t="shared" si="8"/>
        <v>170</v>
      </c>
      <c r="H292" s="2759">
        <v>90000000</v>
      </c>
      <c r="I292" s="2760">
        <f t="shared" si="9"/>
        <v>90</v>
      </c>
      <c r="J292" s="2759">
        <v>2.34E-5</v>
      </c>
      <c r="K292" s="2759">
        <v>900</v>
      </c>
      <c r="L292" s="2766">
        <v>200</v>
      </c>
    </row>
    <row r="293" spans="1:12" ht="15.75">
      <c r="A293" s="2761" t="s">
        <v>5025</v>
      </c>
      <c r="B293" s="2762">
        <v>69000000000</v>
      </c>
      <c r="C293" s="2763">
        <v>0.33</v>
      </c>
      <c r="D293" s="2762">
        <v>2700</v>
      </c>
      <c r="E293" s="2764">
        <v>25800000000</v>
      </c>
      <c r="F293" s="2764">
        <v>185000000</v>
      </c>
      <c r="G293" s="2765">
        <f t="shared" si="8"/>
        <v>185</v>
      </c>
      <c r="H293" s="2764">
        <v>145000000</v>
      </c>
      <c r="I293" s="2765">
        <f t="shared" si="9"/>
        <v>145</v>
      </c>
      <c r="J293" s="2764">
        <v>2.34E-5</v>
      </c>
      <c r="K293" s="2764">
        <v>900</v>
      </c>
      <c r="L293" s="2767">
        <v>209</v>
      </c>
    </row>
    <row r="294" spans="1:12" ht="15.75">
      <c r="A294" s="2756" t="s">
        <v>5026</v>
      </c>
      <c r="B294" s="2757">
        <v>69000000000</v>
      </c>
      <c r="C294" s="2758">
        <v>0.33</v>
      </c>
      <c r="D294" s="2757">
        <v>2700</v>
      </c>
      <c r="E294" s="2759">
        <v>25800000000</v>
      </c>
      <c r="F294" s="2759">
        <v>240000000</v>
      </c>
      <c r="G294" s="2760">
        <f t="shared" si="8"/>
        <v>240</v>
      </c>
      <c r="H294" s="2759">
        <v>215000000</v>
      </c>
      <c r="I294" s="2760">
        <f t="shared" si="9"/>
        <v>215</v>
      </c>
      <c r="J294" s="2759">
        <v>2.34E-5</v>
      </c>
      <c r="K294" s="2759">
        <v>900</v>
      </c>
      <c r="L294" s="2766">
        <v>209</v>
      </c>
    </row>
    <row r="295" spans="1:12" ht="15.75">
      <c r="A295" s="2761" t="s">
        <v>5027</v>
      </c>
      <c r="B295" s="2762">
        <v>69000000666.137207</v>
      </c>
      <c r="C295" s="2763">
        <v>0.33</v>
      </c>
      <c r="D295" s="2762">
        <v>2700</v>
      </c>
      <c r="E295" s="2764">
        <v>25799999769.442101</v>
      </c>
      <c r="F295" s="2764">
        <v>239999999.61905101</v>
      </c>
      <c r="G295" s="2765">
        <f t="shared" si="8"/>
        <v>239.99999961905101</v>
      </c>
      <c r="H295" s="2764">
        <v>215000002.67518899</v>
      </c>
      <c r="I295" s="2765">
        <f t="shared" si="9"/>
        <v>215.00000267518899</v>
      </c>
      <c r="J295" s="2764">
        <v>2.3E-5</v>
      </c>
      <c r="K295" s="2764">
        <v>900.00000499999999</v>
      </c>
      <c r="L295" s="2767">
        <v>209.00000199999999</v>
      </c>
    </row>
    <row r="296" spans="1:12" ht="15.75">
      <c r="A296" s="2756" t="s">
        <v>5028</v>
      </c>
      <c r="B296" s="2757">
        <v>69000000000</v>
      </c>
      <c r="C296" s="2758">
        <v>0.33</v>
      </c>
      <c r="D296" s="2757">
        <v>2700</v>
      </c>
      <c r="E296" s="2759">
        <v>25800000000</v>
      </c>
      <c r="F296" s="2759">
        <v>255000000</v>
      </c>
      <c r="G296" s="2760">
        <f t="shared" si="8"/>
        <v>255</v>
      </c>
      <c r="H296" s="2759">
        <v>240000000</v>
      </c>
      <c r="I296" s="2760">
        <f t="shared" si="9"/>
        <v>240</v>
      </c>
      <c r="J296" s="2759">
        <v>2.34E-5</v>
      </c>
      <c r="K296" s="2759">
        <v>900</v>
      </c>
      <c r="L296" s="2766">
        <v>201</v>
      </c>
    </row>
    <row r="297" spans="1:12" ht="15.75">
      <c r="A297" s="2761" t="s">
        <v>5029</v>
      </c>
      <c r="B297" s="2762">
        <v>71999999196.239395</v>
      </c>
      <c r="C297" s="2763">
        <v>0.33</v>
      </c>
      <c r="D297" s="2762">
        <v>2810.0000610000002</v>
      </c>
      <c r="E297" s="2764">
        <v>26899999690.130001</v>
      </c>
      <c r="F297" s="2764">
        <v>219999997.92710701</v>
      </c>
      <c r="G297" s="2765">
        <f t="shared" si="8"/>
        <v>219.99999792710699</v>
      </c>
      <c r="H297" s="2764">
        <v>94999999.418284997</v>
      </c>
      <c r="I297" s="2765">
        <f t="shared" si="9"/>
        <v>94.999999418285</v>
      </c>
      <c r="J297" s="2764">
        <v>2.4000000000000001E-5</v>
      </c>
      <c r="K297" s="2764">
        <v>959.99999400000002</v>
      </c>
      <c r="L297" s="2767">
        <v>173.00000199999999</v>
      </c>
    </row>
    <row r="298" spans="1:12" ht="15.75">
      <c r="A298" s="2756" t="s">
        <v>5030</v>
      </c>
      <c r="B298" s="2757">
        <v>72000000000</v>
      </c>
      <c r="C298" s="2758">
        <v>0.33</v>
      </c>
      <c r="D298" s="2757">
        <v>2810</v>
      </c>
      <c r="E298" s="2759">
        <v>26900000000</v>
      </c>
      <c r="F298" s="2759">
        <v>570000000</v>
      </c>
      <c r="G298" s="2760">
        <f t="shared" si="8"/>
        <v>570</v>
      </c>
      <c r="H298" s="2759">
        <v>505000000</v>
      </c>
      <c r="I298" s="2760">
        <f t="shared" si="9"/>
        <v>505</v>
      </c>
      <c r="J298" s="2759">
        <v>2.3600000000000001E-5</v>
      </c>
      <c r="K298" s="2759">
        <v>960</v>
      </c>
      <c r="L298" s="2766">
        <v>130</v>
      </c>
    </row>
    <row r="299" spans="1:12" ht="15.75">
      <c r="A299" s="2761" t="s">
        <v>5031</v>
      </c>
      <c r="B299" s="2762">
        <v>71999999196.239395</v>
      </c>
      <c r="C299" s="2763">
        <v>0.33</v>
      </c>
      <c r="D299" s="2762">
        <v>2810.0000610000002</v>
      </c>
      <c r="E299" s="2764">
        <v>26899999690.130001</v>
      </c>
      <c r="F299" s="2764">
        <v>570000003.40446901</v>
      </c>
      <c r="G299" s="2765">
        <f t="shared" si="8"/>
        <v>570.000003404469</v>
      </c>
      <c r="H299" s="2764">
        <v>505000003.07672</v>
      </c>
      <c r="I299" s="2765">
        <f t="shared" si="9"/>
        <v>505.00000307672002</v>
      </c>
      <c r="J299" s="2764">
        <v>2.4000000000000001E-5</v>
      </c>
      <c r="K299" s="2764">
        <v>959.99999400000002</v>
      </c>
      <c r="L299" s="2767">
        <v>129.999999</v>
      </c>
    </row>
    <row r="300" spans="1:12" ht="15.75">
      <c r="A300" s="2756" t="s">
        <v>5032</v>
      </c>
      <c r="B300" s="2757">
        <v>72000000000</v>
      </c>
      <c r="C300" s="2758">
        <v>0.33</v>
      </c>
      <c r="D300" s="2757">
        <v>2700</v>
      </c>
      <c r="E300" s="2759">
        <v>27000000000</v>
      </c>
      <c r="F300" s="2759">
        <v>0</v>
      </c>
      <c r="G300" s="2760">
        <f t="shared" si="8"/>
        <v>0</v>
      </c>
      <c r="H300" s="2759">
        <v>505000000</v>
      </c>
      <c r="I300" s="2760">
        <f t="shared" si="9"/>
        <v>505</v>
      </c>
      <c r="J300" s="2759">
        <v>2.5000000000000001E-5</v>
      </c>
      <c r="K300" s="2759">
        <v>960</v>
      </c>
      <c r="L300" s="2766">
        <v>120</v>
      </c>
    </row>
    <row r="301" spans="1:12" ht="15.75">
      <c r="A301" s="2761" t="s">
        <v>5033</v>
      </c>
      <c r="B301" s="2762">
        <v>204999998381.83801</v>
      </c>
      <c r="C301" s="2763">
        <v>0.28999999999999998</v>
      </c>
      <c r="D301" s="2762">
        <v>7858.0000319999999</v>
      </c>
      <c r="E301" s="2764">
        <v>79999999873.0168</v>
      </c>
      <c r="F301" s="2764">
        <v>425000003.20370299</v>
      </c>
      <c r="G301" s="2765">
        <f t="shared" si="8"/>
        <v>425.00000320370299</v>
      </c>
      <c r="H301" s="2764">
        <v>282685049.01988798</v>
      </c>
      <c r="I301" s="2765">
        <f t="shared" si="9"/>
        <v>282.68504901988803</v>
      </c>
      <c r="J301" s="2764">
        <v>1.2E-5</v>
      </c>
      <c r="K301" s="2764">
        <v>486</v>
      </c>
      <c r="L301" s="2767">
        <v>52</v>
      </c>
    </row>
    <row r="302" spans="1:12" ht="15.75">
      <c r="A302" s="2756" t="s">
        <v>5034</v>
      </c>
      <c r="B302" s="2757">
        <v>207000000000</v>
      </c>
      <c r="C302" s="2758">
        <v>0.27</v>
      </c>
      <c r="D302" s="2757">
        <v>7859.9998999999998</v>
      </c>
      <c r="E302" s="2759">
        <v>0</v>
      </c>
      <c r="F302" s="2759">
        <v>685000000</v>
      </c>
      <c r="G302" s="2760">
        <f t="shared" si="8"/>
        <v>685</v>
      </c>
      <c r="H302" s="2759">
        <v>292000000</v>
      </c>
      <c r="I302" s="2760">
        <f t="shared" si="9"/>
        <v>292</v>
      </c>
      <c r="J302" s="2759">
        <v>1.7E-5</v>
      </c>
      <c r="K302" s="2759">
        <v>501.99997999999999</v>
      </c>
      <c r="L302" s="2766">
        <v>16.3</v>
      </c>
    </row>
    <row r="303" spans="1:12" ht="15.75">
      <c r="A303" s="2761" t="s">
        <v>5035</v>
      </c>
      <c r="B303" s="2762">
        <v>205000000000</v>
      </c>
      <c r="C303" s="2763">
        <v>0.28999999999999998</v>
      </c>
      <c r="D303" s="2762">
        <v>7870</v>
      </c>
      <c r="E303" s="2764">
        <v>80000000000</v>
      </c>
      <c r="F303" s="2764">
        <v>385000000</v>
      </c>
      <c r="G303" s="2765">
        <f t="shared" si="8"/>
        <v>385</v>
      </c>
      <c r="H303" s="2764">
        <v>325000000</v>
      </c>
      <c r="I303" s="2765">
        <f t="shared" si="9"/>
        <v>325</v>
      </c>
      <c r="J303" s="2764">
        <v>1.2E-5</v>
      </c>
      <c r="K303" s="2764">
        <v>486</v>
      </c>
      <c r="L303" s="2767">
        <v>52</v>
      </c>
    </row>
    <row r="304" spans="1:12" ht="15.75">
      <c r="A304" s="2756" t="s">
        <v>5036</v>
      </c>
      <c r="B304" s="2757">
        <v>204999998381.83801</v>
      </c>
      <c r="C304" s="2758">
        <v>0.28999999999999998</v>
      </c>
      <c r="D304" s="2757">
        <v>7849.9999870000001</v>
      </c>
      <c r="E304" s="2759">
        <v>79999999873.0168</v>
      </c>
      <c r="F304" s="2759">
        <v>585000002.94973695</v>
      </c>
      <c r="G304" s="2760">
        <f t="shared" si="8"/>
        <v>585.000002949737</v>
      </c>
      <c r="H304" s="2759">
        <v>282685049.01988798</v>
      </c>
      <c r="I304" s="2760">
        <f t="shared" si="9"/>
        <v>282.68504901988803</v>
      </c>
      <c r="J304" s="2759">
        <v>1.1E-5</v>
      </c>
      <c r="K304" s="2759">
        <v>486</v>
      </c>
      <c r="L304" s="2766">
        <v>52</v>
      </c>
    </row>
    <row r="305" spans="1:12" ht="15.75">
      <c r="A305" s="2761" t="s">
        <v>5037</v>
      </c>
      <c r="B305" s="2762">
        <v>200000000000</v>
      </c>
      <c r="C305" s="2763">
        <v>0.28999999999999998</v>
      </c>
      <c r="D305" s="2762">
        <v>7900</v>
      </c>
      <c r="E305" s="2764">
        <v>77000000000</v>
      </c>
      <c r="F305" s="2764">
        <v>420507000</v>
      </c>
      <c r="G305" s="2765">
        <f t="shared" si="8"/>
        <v>420.50700000000001</v>
      </c>
      <c r="H305" s="2764">
        <v>351571000</v>
      </c>
      <c r="I305" s="2765">
        <f t="shared" si="9"/>
        <v>351.57100000000003</v>
      </c>
      <c r="J305" s="2764">
        <v>1.5E-5</v>
      </c>
      <c r="K305" s="2764">
        <v>420</v>
      </c>
      <c r="L305" s="2767">
        <v>47</v>
      </c>
    </row>
    <row r="306" spans="1:12" ht="15.75">
      <c r="A306" s="2756" t="s">
        <v>5038</v>
      </c>
      <c r="B306" s="2757">
        <v>200000000000</v>
      </c>
      <c r="C306" s="2758">
        <v>0.28999999999999998</v>
      </c>
      <c r="D306" s="2757">
        <v>7870</v>
      </c>
      <c r="E306" s="2759">
        <v>80000000000</v>
      </c>
      <c r="F306" s="2759">
        <v>325000000</v>
      </c>
      <c r="G306" s="2760">
        <f t="shared" si="8"/>
        <v>325</v>
      </c>
      <c r="H306" s="2759">
        <v>180000000</v>
      </c>
      <c r="I306" s="2760">
        <f t="shared" si="9"/>
        <v>180</v>
      </c>
      <c r="J306" s="2759">
        <v>1.22E-5</v>
      </c>
      <c r="K306" s="2759">
        <v>448</v>
      </c>
      <c r="L306" s="2766">
        <v>51.9</v>
      </c>
    </row>
    <row r="307" spans="1:12" ht="15.75">
      <c r="A307" s="2761" t="s">
        <v>5039</v>
      </c>
      <c r="B307" s="2762">
        <v>205000000000</v>
      </c>
      <c r="C307" s="2763">
        <v>0.28999999999999998</v>
      </c>
      <c r="D307" s="2762">
        <v>7870</v>
      </c>
      <c r="E307" s="2764">
        <v>80000000000</v>
      </c>
      <c r="F307" s="2764">
        <v>420000000</v>
      </c>
      <c r="G307" s="2765">
        <f t="shared" si="8"/>
        <v>420</v>
      </c>
      <c r="H307" s="2764">
        <v>350000000</v>
      </c>
      <c r="I307" s="2765">
        <f t="shared" si="9"/>
        <v>350</v>
      </c>
      <c r="J307" s="2764">
        <v>1.17E-5</v>
      </c>
      <c r="K307" s="2764">
        <v>486</v>
      </c>
      <c r="L307" s="2767">
        <v>51.9</v>
      </c>
    </row>
    <row r="308" spans="1:12" ht="15.75">
      <c r="A308" s="2756" t="s">
        <v>5040</v>
      </c>
      <c r="B308" s="2757">
        <v>205000000000</v>
      </c>
      <c r="C308" s="2758">
        <v>0.28999999999999998</v>
      </c>
      <c r="D308" s="2757">
        <v>7850</v>
      </c>
      <c r="E308" s="2759">
        <v>80000000000</v>
      </c>
      <c r="F308" s="2759">
        <v>625000000</v>
      </c>
      <c r="G308" s="2760">
        <f t="shared" si="8"/>
        <v>625</v>
      </c>
      <c r="H308" s="2759">
        <v>530000000</v>
      </c>
      <c r="I308" s="2760">
        <f t="shared" si="9"/>
        <v>530</v>
      </c>
      <c r="J308" s="2759">
        <v>1.15E-5</v>
      </c>
      <c r="K308" s="2759">
        <v>486</v>
      </c>
      <c r="L308" s="2766">
        <v>49.8</v>
      </c>
    </row>
    <row r="309" spans="1:12" ht="15.75">
      <c r="A309" s="2761" t="s">
        <v>5041</v>
      </c>
      <c r="B309" s="2762">
        <v>190000000000</v>
      </c>
      <c r="C309" s="2763">
        <v>0.28999999999999998</v>
      </c>
      <c r="D309" s="2762">
        <v>8000</v>
      </c>
      <c r="E309" s="2764">
        <v>75000000000</v>
      </c>
      <c r="F309" s="2764">
        <v>517017000</v>
      </c>
      <c r="G309" s="2765">
        <f t="shared" si="8"/>
        <v>517.01700000000005</v>
      </c>
      <c r="H309" s="2764">
        <v>206807000</v>
      </c>
      <c r="I309" s="2765">
        <f t="shared" si="9"/>
        <v>206.80699999999999</v>
      </c>
      <c r="J309" s="2764">
        <v>1.8E-5</v>
      </c>
      <c r="K309" s="2764">
        <v>500</v>
      </c>
      <c r="L309" s="2767">
        <v>16</v>
      </c>
    </row>
    <row r="310" spans="1:12" ht="15.75">
      <c r="A310" s="2756" t="s">
        <v>5042</v>
      </c>
      <c r="B310" s="2757">
        <v>192999997366.672</v>
      </c>
      <c r="C310" s="2758">
        <v>0.3</v>
      </c>
      <c r="D310" s="2757">
        <v>8000.0001329999996</v>
      </c>
      <c r="E310" s="2759">
        <v>0</v>
      </c>
      <c r="F310" s="2759">
        <v>550000001.71252501</v>
      </c>
      <c r="G310" s="2760">
        <f t="shared" si="8"/>
        <v>550.00000171252498</v>
      </c>
      <c r="H310" s="2759">
        <v>137895145.86335999</v>
      </c>
      <c r="I310" s="2760">
        <f t="shared" si="9"/>
        <v>137.89514586336</v>
      </c>
      <c r="J310" s="2759">
        <v>1.5999999999999999E-5</v>
      </c>
      <c r="K310" s="2759">
        <v>499.99999300000002</v>
      </c>
      <c r="L310" s="2766">
        <v>16.3</v>
      </c>
    </row>
    <row r="311" spans="1:12" ht="15.75">
      <c r="A311" s="2761" t="s">
        <v>5043</v>
      </c>
      <c r="B311" s="2762">
        <v>192999997366.672</v>
      </c>
      <c r="C311" s="2763">
        <v>0.27</v>
      </c>
      <c r="D311" s="2762">
        <v>8000.0001329999996</v>
      </c>
      <c r="E311" s="2764">
        <v>0</v>
      </c>
      <c r="F311" s="2764">
        <v>580000000.80306196</v>
      </c>
      <c r="G311" s="2765">
        <f t="shared" si="8"/>
        <v>580.00000080306199</v>
      </c>
      <c r="H311" s="2764">
        <v>172368932.3292</v>
      </c>
      <c r="I311" s="2765">
        <f t="shared" si="9"/>
        <v>172.36893232919999</v>
      </c>
      <c r="J311" s="2764">
        <v>1.5999999999999999E-5</v>
      </c>
      <c r="K311" s="2764">
        <v>499.99999300000002</v>
      </c>
      <c r="L311" s="2767">
        <v>16.3</v>
      </c>
    </row>
    <row r="312" spans="1:12" ht="15.75">
      <c r="A312" s="2756" t="s">
        <v>5044</v>
      </c>
      <c r="B312" s="2757">
        <v>192999997366.672</v>
      </c>
      <c r="C312" s="2758">
        <v>0.27</v>
      </c>
      <c r="D312" s="2757">
        <v>8000.0001329999996</v>
      </c>
      <c r="E312" s="2759">
        <v>0</v>
      </c>
      <c r="F312" s="2759">
        <v>619999997.29219103</v>
      </c>
      <c r="G312" s="2760">
        <f t="shared" si="8"/>
        <v>619.99999729219098</v>
      </c>
      <c r="H312" s="2759">
        <v>234421747.96771199</v>
      </c>
      <c r="I312" s="2760">
        <f t="shared" si="9"/>
        <v>234.42174796771201</v>
      </c>
      <c r="J312" s="2759">
        <v>1.7E-5</v>
      </c>
      <c r="K312" s="2759">
        <v>499.99999300000002</v>
      </c>
      <c r="L312" s="2766">
        <v>16.100000000000001</v>
      </c>
    </row>
    <row r="313" spans="1:12" ht="15.75">
      <c r="A313" s="2761" t="s">
        <v>5045</v>
      </c>
      <c r="B313" s="2762">
        <v>195000000983.245</v>
      </c>
      <c r="C313" s="2763">
        <v>0.27</v>
      </c>
      <c r="D313" s="2762">
        <v>8000.0001329999996</v>
      </c>
      <c r="E313" s="2764">
        <v>77000001342.914597</v>
      </c>
      <c r="F313" s="2764">
        <v>654999998.52940297</v>
      </c>
      <c r="G313" s="2765">
        <f t="shared" si="8"/>
        <v>654.999998529403</v>
      </c>
      <c r="H313" s="2764">
        <v>275000000.85626203</v>
      </c>
      <c r="I313" s="2765">
        <f t="shared" si="9"/>
        <v>275.00000085626198</v>
      </c>
      <c r="J313" s="2764">
        <v>1.7E-5</v>
      </c>
      <c r="K313" s="2764">
        <v>499.99999300000002</v>
      </c>
      <c r="L313" s="2767">
        <v>16.3</v>
      </c>
    </row>
    <row r="314" spans="1:12" ht="15.75">
      <c r="A314" s="2756" t="s">
        <v>5046</v>
      </c>
      <c r="B314" s="2757">
        <v>205000000000</v>
      </c>
      <c r="C314" s="2758">
        <v>0</v>
      </c>
      <c r="D314" s="2757">
        <v>7850</v>
      </c>
      <c r="E314" s="2759">
        <v>80000000000</v>
      </c>
      <c r="F314" s="2759">
        <v>560000000</v>
      </c>
      <c r="G314" s="2760">
        <f t="shared" si="8"/>
        <v>560</v>
      </c>
      <c r="H314" s="2759">
        <v>460000000</v>
      </c>
      <c r="I314" s="2760">
        <f t="shared" si="9"/>
        <v>460</v>
      </c>
      <c r="J314" s="2759">
        <v>0</v>
      </c>
      <c r="K314" s="2759">
        <v>477</v>
      </c>
      <c r="L314" s="2766">
        <v>42.7</v>
      </c>
    </row>
    <row r="315" spans="1:12" ht="15.75">
      <c r="A315" s="2761" t="s">
        <v>5047</v>
      </c>
      <c r="B315" s="2762">
        <v>205000000000</v>
      </c>
      <c r="C315" s="2763">
        <v>0</v>
      </c>
      <c r="D315" s="2762">
        <v>7850</v>
      </c>
      <c r="E315" s="2764">
        <v>80000000000</v>
      </c>
      <c r="F315" s="2764">
        <v>731000000</v>
      </c>
      <c r="G315" s="2765">
        <f t="shared" si="8"/>
        <v>731</v>
      </c>
      <c r="H315" s="2764">
        <v>460000000</v>
      </c>
      <c r="I315" s="2765">
        <f t="shared" si="9"/>
        <v>460</v>
      </c>
      <c r="J315" s="2764">
        <v>0</v>
      </c>
      <c r="K315" s="2764">
        <v>477</v>
      </c>
      <c r="L315" s="2767">
        <v>42.7</v>
      </c>
    </row>
    <row r="316" spans="1:12" ht="15.75">
      <c r="A316" s="2756" t="s">
        <v>5048</v>
      </c>
      <c r="B316" s="2757">
        <v>205000000000</v>
      </c>
      <c r="C316" s="2758">
        <v>0</v>
      </c>
      <c r="D316" s="2757">
        <v>7850</v>
      </c>
      <c r="E316" s="2759">
        <v>80000000000</v>
      </c>
      <c r="F316" s="2759">
        <v>745000000</v>
      </c>
      <c r="G316" s="2760">
        <f t="shared" si="8"/>
        <v>745</v>
      </c>
      <c r="H316" s="2759">
        <v>470000000</v>
      </c>
      <c r="I316" s="2760">
        <f t="shared" si="9"/>
        <v>470</v>
      </c>
      <c r="J316" s="2759">
        <v>1.2300000000000001E-5</v>
      </c>
      <c r="K316" s="2759">
        <v>475</v>
      </c>
      <c r="L316" s="2766">
        <v>44.5</v>
      </c>
    </row>
    <row r="317" spans="1:12" ht="15.75">
      <c r="A317" s="2761" t="s">
        <v>5049</v>
      </c>
      <c r="B317" s="2762">
        <v>205000000000</v>
      </c>
      <c r="C317" s="2763">
        <v>0</v>
      </c>
      <c r="D317" s="2762">
        <v>7850</v>
      </c>
      <c r="E317" s="2764">
        <v>80000000000</v>
      </c>
      <c r="F317" s="2764">
        <v>1110000000</v>
      </c>
      <c r="G317" s="2765">
        <f t="shared" si="8"/>
        <v>1110</v>
      </c>
      <c r="H317" s="2764">
        <v>710000000</v>
      </c>
      <c r="I317" s="2765">
        <f t="shared" si="9"/>
        <v>710</v>
      </c>
      <c r="J317" s="2764">
        <v>1.2300000000000001E-5</v>
      </c>
      <c r="K317" s="2764">
        <v>475</v>
      </c>
      <c r="L317" s="2767">
        <v>44.5</v>
      </c>
    </row>
    <row r="318" spans="1:12" ht="15.75">
      <c r="A318" s="2756" t="s">
        <v>5050</v>
      </c>
      <c r="B318" s="2757">
        <v>203000000000</v>
      </c>
      <c r="C318" s="2758">
        <v>0</v>
      </c>
      <c r="D318" s="2757">
        <v>7860</v>
      </c>
      <c r="E318" s="2759">
        <v>78000000000</v>
      </c>
      <c r="F318" s="2759">
        <v>0</v>
      </c>
      <c r="G318" s="2760">
        <f t="shared" si="8"/>
        <v>0</v>
      </c>
      <c r="H318" s="2759">
        <v>0</v>
      </c>
      <c r="I318" s="2760">
        <f t="shared" si="9"/>
        <v>0</v>
      </c>
      <c r="J318" s="2759">
        <v>1.1E-5</v>
      </c>
      <c r="K318" s="2759">
        <v>0</v>
      </c>
      <c r="L318" s="2766">
        <v>0</v>
      </c>
    </row>
    <row r="319" spans="1:12" ht="15.75">
      <c r="A319" s="2761" t="s">
        <v>5051</v>
      </c>
      <c r="B319" s="2762">
        <v>200000000000</v>
      </c>
      <c r="C319" s="2763">
        <v>0</v>
      </c>
      <c r="D319" s="2762">
        <v>8027</v>
      </c>
      <c r="E319" s="2764">
        <v>82000000000</v>
      </c>
      <c r="F319" s="2764">
        <v>485000000</v>
      </c>
      <c r="G319" s="2765">
        <f t="shared" si="8"/>
        <v>485</v>
      </c>
      <c r="H319" s="2764">
        <v>170000000</v>
      </c>
      <c r="I319" s="2765">
        <f t="shared" si="9"/>
        <v>170</v>
      </c>
      <c r="J319" s="2764">
        <v>1.6500000000000001E-5</v>
      </c>
      <c r="K319" s="2764">
        <v>450</v>
      </c>
      <c r="L319" s="2767">
        <v>14.6</v>
      </c>
    </row>
    <row r="320" spans="1:12" ht="15.75">
      <c r="A320" s="2756" t="s">
        <v>5052</v>
      </c>
      <c r="B320" s="2757">
        <v>201000000000</v>
      </c>
      <c r="C320" s="2758">
        <v>0</v>
      </c>
      <c r="D320" s="2757">
        <v>7920</v>
      </c>
      <c r="E320" s="2759">
        <v>77000000000</v>
      </c>
      <c r="F320" s="2759">
        <v>620000000</v>
      </c>
      <c r="G320" s="2760">
        <f t="shared" si="8"/>
        <v>620</v>
      </c>
      <c r="H320" s="2759">
        <v>275000000</v>
      </c>
      <c r="I320" s="2760">
        <f t="shared" si="9"/>
        <v>275</v>
      </c>
      <c r="J320" s="2759">
        <v>1.6500000000000001E-5</v>
      </c>
      <c r="K320" s="2759">
        <v>420</v>
      </c>
      <c r="L320" s="2766">
        <v>15.1</v>
      </c>
    </row>
    <row r="321" spans="1:12" ht="15.75">
      <c r="A321" s="2761" t="s">
        <v>5053</v>
      </c>
      <c r="B321" s="2762">
        <v>200000000000</v>
      </c>
      <c r="C321" s="2763">
        <v>0.26</v>
      </c>
      <c r="D321" s="2762">
        <v>7850</v>
      </c>
      <c r="E321" s="2764">
        <v>79300000000</v>
      </c>
      <c r="F321" s="2764">
        <v>400000000</v>
      </c>
      <c r="G321" s="2765">
        <f t="shared" si="8"/>
        <v>400</v>
      </c>
      <c r="H321" s="2764">
        <v>250000000</v>
      </c>
      <c r="I321" s="2765">
        <f t="shared" si="9"/>
        <v>250</v>
      </c>
      <c r="J321" s="2764">
        <v>0</v>
      </c>
      <c r="K321" s="2764">
        <v>0</v>
      </c>
      <c r="L321" s="2767">
        <v>0</v>
      </c>
    </row>
    <row r="322" spans="1:12" ht="15.75">
      <c r="A322" s="2756" t="s">
        <v>5054</v>
      </c>
      <c r="B322" s="2757">
        <v>210000000528.513</v>
      </c>
      <c r="C322" s="2758">
        <v>0.28000000000000003</v>
      </c>
      <c r="D322" s="2757">
        <v>7700.0001179999999</v>
      </c>
      <c r="E322" s="2759">
        <v>78999998064.730301</v>
      </c>
      <c r="F322" s="2759">
        <v>723825616.99408197</v>
      </c>
      <c r="G322" s="2760">
        <f t="shared" si="8"/>
        <v>723.825616994082</v>
      </c>
      <c r="H322" s="2759">
        <v>620421997.80707705</v>
      </c>
      <c r="I322" s="2760">
        <f t="shared" si="9"/>
        <v>620.42199780707699</v>
      </c>
      <c r="J322" s="2759">
        <v>1.2999999999999999E-5</v>
      </c>
      <c r="K322" s="2759">
        <v>460</v>
      </c>
      <c r="L322" s="2766">
        <v>50</v>
      </c>
    </row>
    <row r="323" spans="1:12" ht="15.75">
      <c r="A323" s="2761" t="s">
        <v>5055</v>
      </c>
      <c r="B323" s="2762">
        <v>190000000000</v>
      </c>
      <c r="C323" s="2763">
        <v>0.26</v>
      </c>
      <c r="D323" s="2762">
        <v>7300</v>
      </c>
      <c r="E323" s="2764">
        <v>78000000000</v>
      </c>
      <c r="F323" s="2764">
        <v>448082500</v>
      </c>
      <c r="G323" s="2765">
        <f t="shared" si="8"/>
        <v>448.08249999999998</v>
      </c>
      <c r="H323" s="2764">
        <v>241275200</v>
      </c>
      <c r="I323" s="2765">
        <f t="shared" si="9"/>
        <v>241.27520000000001</v>
      </c>
      <c r="J323" s="2764">
        <v>1.5E-5</v>
      </c>
      <c r="K323" s="2764">
        <v>440</v>
      </c>
      <c r="L323" s="2767">
        <v>38</v>
      </c>
    </row>
    <row r="324" spans="1:12" ht="15.75">
      <c r="A324" s="2756" t="s">
        <v>5056</v>
      </c>
      <c r="B324" s="2757">
        <v>200000000000</v>
      </c>
      <c r="C324" s="2758">
        <v>0.32</v>
      </c>
      <c r="D324" s="2757">
        <v>7800</v>
      </c>
      <c r="E324" s="2759">
        <v>76000000000</v>
      </c>
      <c r="F324" s="2759">
        <v>482549000</v>
      </c>
      <c r="G324" s="2760">
        <f t="shared" ref="G324:G387" si="10">F324/1000000</f>
        <v>482.54899999999998</v>
      </c>
      <c r="H324" s="2759">
        <v>248168000</v>
      </c>
      <c r="I324" s="2760">
        <f t="shared" ref="I324:I387" si="11">H324/1000000</f>
        <v>248.16800000000001</v>
      </c>
      <c r="J324" s="2759">
        <v>1.2E-5</v>
      </c>
      <c r="K324" s="2759">
        <v>500</v>
      </c>
      <c r="L324" s="2766">
        <v>30</v>
      </c>
    </row>
    <row r="325" spans="1:12" ht="15.75">
      <c r="A325" s="2761" t="s">
        <v>5057</v>
      </c>
      <c r="B325" s="2762">
        <v>190000000000</v>
      </c>
      <c r="C325" s="2763">
        <v>0.26</v>
      </c>
      <c r="D325" s="2762">
        <v>7700</v>
      </c>
      <c r="E325" s="2764">
        <v>79000000000</v>
      </c>
      <c r="F325" s="2764">
        <v>0</v>
      </c>
      <c r="G325" s="2765">
        <f t="shared" si="10"/>
        <v>0</v>
      </c>
      <c r="H325" s="2764">
        <v>0</v>
      </c>
      <c r="I325" s="2765">
        <f t="shared" si="11"/>
        <v>0</v>
      </c>
      <c r="J325" s="2764">
        <v>1.5E-5</v>
      </c>
      <c r="K325" s="2764">
        <v>520</v>
      </c>
      <c r="L325" s="2767">
        <v>37</v>
      </c>
    </row>
    <row r="326" spans="1:12" ht="15.75">
      <c r="A326" s="2756" t="s">
        <v>5058</v>
      </c>
      <c r="B326" s="2757">
        <v>200000000000</v>
      </c>
      <c r="C326" s="2758">
        <v>0.28000000000000003</v>
      </c>
      <c r="D326" s="2757">
        <v>7800</v>
      </c>
      <c r="E326" s="2759">
        <v>77000000000</v>
      </c>
      <c r="F326" s="2759">
        <v>413613000</v>
      </c>
      <c r="G326" s="2760">
        <f t="shared" si="10"/>
        <v>413.613</v>
      </c>
      <c r="H326" s="2759">
        <v>172339000</v>
      </c>
      <c r="I326" s="2760">
        <f t="shared" si="11"/>
        <v>172.339</v>
      </c>
      <c r="J326" s="2759">
        <v>1.1E-5</v>
      </c>
      <c r="K326" s="2759">
        <v>460</v>
      </c>
      <c r="L326" s="2766">
        <v>18</v>
      </c>
    </row>
    <row r="327" spans="1:12" ht="15.75">
      <c r="A327" s="2761" t="s">
        <v>5059</v>
      </c>
      <c r="B327" s="2762">
        <v>200000000000</v>
      </c>
      <c r="C327" s="2763">
        <v>0</v>
      </c>
      <c r="D327" s="2762">
        <v>7870</v>
      </c>
      <c r="E327" s="2764">
        <v>0</v>
      </c>
      <c r="F327" s="2764">
        <v>356900674.542</v>
      </c>
      <c r="G327" s="2765">
        <f t="shared" si="10"/>
        <v>356.90067454199999</v>
      </c>
      <c r="H327" s="2764">
        <v>203943242.59599999</v>
      </c>
      <c r="I327" s="2765">
        <f t="shared" si="11"/>
        <v>203.943242596</v>
      </c>
      <c r="J327" s="2764">
        <v>0</v>
      </c>
      <c r="K327" s="2764">
        <v>0</v>
      </c>
      <c r="L327" s="2767">
        <v>0</v>
      </c>
    </row>
    <row r="328" spans="1:12" ht="15.75">
      <c r="A328" s="2756" t="s">
        <v>5060</v>
      </c>
      <c r="B328" s="2757">
        <v>210000000000</v>
      </c>
      <c r="C328" s="2758">
        <v>0.28000000000000003</v>
      </c>
      <c r="D328" s="2757">
        <v>7800</v>
      </c>
      <c r="E328" s="2759">
        <v>79000000000</v>
      </c>
      <c r="F328" s="2759">
        <v>399826000</v>
      </c>
      <c r="G328" s="2760">
        <f t="shared" si="10"/>
        <v>399.82600000000002</v>
      </c>
      <c r="H328" s="2759">
        <v>220594000</v>
      </c>
      <c r="I328" s="2760">
        <f t="shared" si="11"/>
        <v>220.59399999999999</v>
      </c>
      <c r="J328" s="2759">
        <v>1.2999999999999999E-5</v>
      </c>
      <c r="K328" s="2759">
        <v>440</v>
      </c>
      <c r="L328" s="2766">
        <v>43</v>
      </c>
    </row>
    <row r="329" spans="1:12" ht="15.75">
      <c r="A329" s="2761" t="s">
        <v>5061</v>
      </c>
      <c r="B329" s="2762">
        <v>200000000000</v>
      </c>
      <c r="C329" s="2763">
        <v>0.26</v>
      </c>
      <c r="D329" s="2762">
        <v>8000</v>
      </c>
      <c r="E329" s="2764">
        <v>79000000000</v>
      </c>
      <c r="F329" s="2764">
        <v>517017000</v>
      </c>
      <c r="G329" s="2765">
        <f t="shared" si="10"/>
        <v>517.01700000000005</v>
      </c>
      <c r="H329" s="2764">
        <v>206807000</v>
      </c>
      <c r="I329" s="2765">
        <f t="shared" si="11"/>
        <v>206.80699999999999</v>
      </c>
      <c r="J329" s="2764">
        <v>1.1E-5</v>
      </c>
      <c r="K329" s="2764">
        <v>500</v>
      </c>
      <c r="L329" s="2767">
        <v>19</v>
      </c>
    </row>
    <row r="330" spans="1:12" ht="15.75">
      <c r="A330" s="2756" t="s">
        <v>5062</v>
      </c>
      <c r="B330" s="2757">
        <v>200000000000</v>
      </c>
      <c r="C330" s="2758">
        <v>0.28000000000000003</v>
      </c>
      <c r="D330" s="2757">
        <v>7800</v>
      </c>
      <c r="E330" s="2759">
        <v>77000000000</v>
      </c>
      <c r="F330" s="2759">
        <v>513613000</v>
      </c>
      <c r="G330" s="2760">
        <f t="shared" si="10"/>
        <v>513.61300000000006</v>
      </c>
      <c r="H330" s="2759">
        <v>172339000</v>
      </c>
      <c r="I330" s="2760">
        <f t="shared" si="11"/>
        <v>172.339</v>
      </c>
      <c r="J330" s="2759">
        <v>1.1E-5</v>
      </c>
      <c r="K330" s="2759">
        <v>460</v>
      </c>
      <c r="L330" s="2766">
        <v>18</v>
      </c>
    </row>
    <row r="331" spans="1:12" ht="15.75">
      <c r="A331" s="2761" t="s">
        <v>5063</v>
      </c>
      <c r="B331" s="2762">
        <v>69000000000</v>
      </c>
      <c r="C331" s="2763">
        <v>0.33</v>
      </c>
      <c r="D331" s="2762">
        <v>2700</v>
      </c>
      <c r="E331" s="2764">
        <v>27000000000</v>
      </c>
      <c r="F331" s="2764">
        <v>68935600</v>
      </c>
      <c r="G331" s="2765">
        <f t="shared" si="10"/>
        <v>68.935599999999994</v>
      </c>
      <c r="H331" s="2764">
        <v>27574200</v>
      </c>
      <c r="I331" s="2765">
        <f t="shared" si="11"/>
        <v>27.574200000000001</v>
      </c>
      <c r="J331" s="2764">
        <v>2.4000000000000001E-5</v>
      </c>
      <c r="K331" s="2764">
        <v>900</v>
      </c>
      <c r="L331" s="2767">
        <v>200</v>
      </c>
    </row>
    <row r="332" spans="1:12" ht="15.75">
      <c r="A332" s="2756" t="s">
        <v>5064</v>
      </c>
      <c r="B332" s="2757">
        <v>69000000000</v>
      </c>
      <c r="C332" s="2758">
        <v>0.33</v>
      </c>
      <c r="D332" s="2757">
        <v>2705</v>
      </c>
      <c r="E332" s="2759">
        <v>26000000000</v>
      </c>
      <c r="F332" s="2759">
        <v>70000000</v>
      </c>
      <c r="G332" s="2760">
        <f t="shared" si="10"/>
        <v>70</v>
      </c>
      <c r="H332" s="2759">
        <v>30000000</v>
      </c>
      <c r="I332" s="2760">
        <f t="shared" si="11"/>
        <v>30</v>
      </c>
      <c r="J332" s="2759">
        <v>2.4000000000000001E-5</v>
      </c>
      <c r="K332" s="2759">
        <v>900</v>
      </c>
      <c r="L332" s="2766">
        <v>234</v>
      </c>
    </row>
    <row r="333" spans="1:12" ht="15.75">
      <c r="A333" s="2761" t="s">
        <v>5065</v>
      </c>
      <c r="B333" s="2762">
        <v>69000000000</v>
      </c>
      <c r="C333" s="2763">
        <v>0.33</v>
      </c>
      <c r="D333" s="2762">
        <v>2705</v>
      </c>
      <c r="E333" s="2764">
        <v>26000000000</v>
      </c>
      <c r="F333" s="2764">
        <v>85000000</v>
      </c>
      <c r="G333" s="2765">
        <f t="shared" si="10"/>
        <v>85</v>
      </c>
      <c r="H333" s="2764">
        <v>75000000</v>
      </c>
      <c r="I333" s="2765">
        <f t="shared" si="11"/>
        <v>75</v>
      </c>
      <c r="J333" s="2764">
        <v>2.3600000000000001E-5</v>
      </c>
      <c r="K333" s="2764">
        <v>900</v>
      </c>
      <c r="L333" s="2767">
        <v>230</v>
      </c>
    </row>
    <row r="334" spans="1:12" ht="15.75">
      <c r="A334" s="2756" t="s">
        <v>5066</v>
      </c>
      <c r="B334" s="2757">
        <v>69000000000</v>
      </c>
      <c r="C334" s="2758">
        <v>0.33</v>
      </c>
      <c r="D334" s="2757">
        <v>2705</v>
      </c>
      <c r="E334" s="2759">
        <v>26000000000</v>
      </c>
      <c r="F334" s="2759">
        <v>85000000</v>
      </c>
      <c r="G334" s="2760">
        <f t="shared" si="10"/>
        <v>85</v>
      </c>
      <c r="H334" s="2759">
        <v>57000000</v>
      </c>
      <c r="I334" s="2760">
        <f t="shared" si="11"/>
        <v>57</v>
      </c>
      <c r="J334" s="2759">
        <v>2.4000000000000001E-5</v>
      </c>
      <c r="K334" s="2759">
        <v>900</v>
      </c>
      <c r="L334" s="2766">
        <v>230</v>
      </c>
    </row>
    <row r="335" spans="1:12" ht="15.75">
      <c r="A335" s="2761" t="s">
        <v>5067</v>
      </c>
      <c r="B335" s="2762">
        <v>69000000000</v>
      </c>
      <c r="C335" s="2763">
        <v>0.33</v>
      </c>
      <c r="D335" s="2762">
        <v>2705</v>
      </c>
      <c r="E335" s="2764">
        <v>26000000000</v>
      </c>
      <c r="F335" s="2764">
        <v>95000000</v>
      </c>
      <c r="G335" s="2765">
        <f t="shared" si="10"/>
        <v>95</v>
      </c>
      <c r="H335" s="2764">
        <v>90000000</v>
      </c>
      <c r="I335" s="2765">
        <f t="shared" si="11"/>
        <v>90</v>
      </c>
      <c r="J335" s="2764">
        <v>2.3600000000000001E-5</v>
      </c>
      <c r="K335" s="2764">
        <v>900</v>
      </c>
      <c r="L335" s="2767">
        <v>230</v>
      </c>
    </row>
    <row r="336" spans="1:12" ht="15.75">
      <c r="A336" s="2756" t="s">
        <v>5068</v>
      </c>
      <c r="B336" s="2757">
        <v>69000000000</v>
      </c>
      <c r="C336" s="2758">
        <v>0.33</v>
      </c>
      <c r="D336" s="2757">
        <v>2705</v>
      </c>
      <c r="E336" s="2759">
        <v>26000000000</v>
      </c>
      <c r="F336" s="2759">
        <v>110000000</v>
      </c>
      <c r="G336" s="2760">
        <f t="shared" si="10"/>
        <v>110</v>
      </c>
      <c r="H336" s="2759">
        <v>105000000</v>
      </c>
      <c r="I336" s="2760">
        <f t="shared" si="11"/>
        <v>105</v>
      </c>
      <c r="J336" s="2759">
        <v>2.3600000000000001E-5</v>
      </c>
      <c r="K336" s="2759">
        <v>900</v>
      </c>
      <c r="L336" s="2766">
        <v>230</v>
      </c>
    </row>
    <row r="337" spans="1:12" ht="15.75">
      <c r="A337" s="2761" t="s">
        <v>5069</v>
      </c>
      <c r="B337" s="2762">
        <v>69000000000</v>
      </c>
      <c r="C337" s="2763">
        <v>0.33</v>
      </c>
      <c r="D337" s="2762">
        <v>2705</v>
      </c>
      <c r="E337" s="2764">
        <v>26000000000</v>
      </c>
      <c r="F337" s="2764">
        <v>130000000</v>
      </c>
      <c r="G337" s="2765">
        <f t="shared" si="10"/>
        <v>130</v>
      </c>
      <c r="H337" s="2764">
        <v>125000000</v>
      </c>
      <c r="I337" s="2765">
        <f t="shared" si="11"/>
        <v>125</v>
      </c>
      <c r="J337" s="2764">
        <v>2.3600000000000001E-5</v>
      </c>
      <c r="K337" s="2764">
        <v>900</v>
      </c>
      <c r="L337" s="2767">
        <v>230</v>
      </c>
    </row>
    <row r="338" spans="1:12" ht="15.75">
      <c r="A338" s="2756" t="s">
        <v>5070</v>
      </c>
      <c r="B338" s="2757">
        <v>69000000000</v>
      </c>
      <c r="C338" s="2758">
        <v>0.33</v>
      </c>
      <c r="D338" s="2757">
        <v>2705</v>
      </c>
      <c r="E338" s="2759">
        <v>26000000000</v>
      </c>
      <c r="F338" s="2759">
        <v>130000000</v>
      </c>
      <c r="G338" s="2760">
        <f t="shared" si="10"/>
        <v>130</v>
      </c>
      <c r="H338" s="2759">
        <v>108000000</v>
      </c>
      <c r="I338" s="2760">
        <f t="shared" si="11"/>
        <v>108</v>
      </c>
      <c r="J338" s="2759">
        <v>2.4000000000000001E-5</v>
      </c>
      <c r="K338" s="2759">
        <v>900</v>
      </c>
      <c r="L338" s="2766">
        <v>230</v>
      </c>
    </row>
    <row r="339" spans="1:12" ht="15.75">
      <c r="A339" s="2761" t="s">
        <v>5071</v>
      </c>
      <c r="B339" s="2762">
        <v>68900000000</v>
      </c>
      <c r="C339" s="2763">
        <v>0.33</v>
      </c>
      <c r="D339" s="2762">
        <v>2710</v>
      </c>
      <c r="E339" s="2764">
        <v>26000000000</v>
      </c>
      <c r="F339" s="2764">
        <v>89600000</v>
      </c>
      <c r="G339" s="2765">
        <f t="shared" si="10"/>
        <v>89.6</v>
      </c>
      <c r="H339" s="2764">
        <v>34500000</v>
      </c>
      <c r="I339" s="2765">
        <f t="shared" si="11"/>
        <v>34.5</v>
      </c>
      <c r="J339" s="2764">
        <v>2.4000000000000001E-5</v>
      </c>
      <c r="K339" s="2764">
        <v>904.00001999999995</v>
      </c>
      <c r="L339" s="2767">
        <v>222</v>
      </c>
    </row>
    <row r="340" spans="1:12" ht="15.75">
      <c r="A340" s="2756" t="s">
        <v>5072</v>
      </c>
      <c r="B340" s="2757">
        <v>68899999795.832794</v>
      </c>
      <c r="C340" s="2758">
        <v>0.33</v>
      </c>
      <c r="D340" s="2757">
        <v>2710.0000009999999</v>
      </c>
      <c r="E340" s="2759">
        <v>26000000131.0994</v>
      </c>
      <c r="F340" s="2759">
        <v>109999998.96355399</v>
      </c>
      <c r="G340" s="2760">
        <f t="shared" si="10"/>
        <v>109.99999896355401</v>
      </c>
      <c r="H340" s="2759">
        <v>99284505.021619007</v>
      </c>
      <c r="I340" s="2760">
        <f t="shared" si="11"/>
        <v>99.284505021618997</v>
      </c>
      <c r="J340" s="2759">
        <v>2.4000000000000001E-5</v>
      </c>
      <c r="K340" s="2759">
        <v>904.00002099999995</v>
      </c>
      <c r="L340" s="2766">
        <v>219.99999800000001</v>
      </c>
    </row>
    <row r="341" spans="1:12" ht="15.75">
      <c r="A341" s="2761" t="s">
        <v>5073</v>
      </c>
      <c r="B341" s="2762">
        <v>68899999795.832794</v>
      </c>
      <c r="C341" s="2763">
        <v>0.33</v>
      </c>
      <c r="D341" s="2762">
        <v>2709.8622099999998</v>
      </c>
      <c r="E341" s="2764">
        <v>26000000131.0994</v>
      </c>
      <c r="F341" s="2764">
        <v>130000000.655497</v>
      </c>
      <c r="G341" s="2765">
        <f t="shared" si="10"/>
        <v>130.00000065549699</v>
      </c>
      <c r="H341" s="2764">
        <v>122726679.81839</v>
      </c>
      <c r="I341" s="2765">
        <f t="shared" si="11"/>
        <v>122.72667981839</v>
      </c>
      <c r="J341" s="2764">
        <v>2.4000000000000001E-5</v>
      </c>
      <c r="K341" s="2764">
        <v>904.00002099999995</v>
      </c>
      <c r="L341" s="2767">
        <v>219.99999800000001</v>
      </c>
    </row>
    <row r="342" spans="1:12" ht="15.75">
      <c r="A342" s="2756" t="s">
        <v>5074</v>
      </c>
      <c r="B342" s="2757">
        <v>69000000666.137207</v>
      </c>
      <c r="C342" s="2758">
        <v>0.33</v>
      </c>
      <c r="D342" s="2757">
        <v>2704.9999859999998</v>
      </c>
      <c r="E342" s="2759">
        <v>26000000131.0994</v>
      </c>
      <c r="F342" s="2759">
        <v>130000000.655497</v>
      </c>
      <c r="G342" s="2760">
        <f t="shared" si="10"/>
        <v>130.00000065549699</v>
      </c>
      <c r="H342" s="2759">
        <v>118589825.44249</v>
      </c>
      <c r="I342" s="2760">
        <f t="shared" si="11"/>
        <v>118.58982544249</v>
      </c>
      <c r="J342" s="2759">
        <v>0</v>
      </c>
      <c r="K342" s="2759">
        <v>900.00000499999999</v>
      </c>
      <c r="L342" s="2766">
        <v>229.99999800000001</v>
      </c>
    </row>
    <row r="343" spans="1:12" ht="15.75">
      <c r="A343" s="2761" t="s">
        <v>5075</v>
      </c>
      <c r="B343" s="2762">
        <v>69000000000</v>
      </c>
      <c r="C343" s="2763">
        <v>0.33</v>
      </c>
      <c r="D343" s="2762">
        <v>2700</v>
      </c>
      <c r="E343" s="2764">
        <v>27000000000</v>
      </c>
      <c r="F343" s="2764">
        <v>82722700</v>
      </c>
      <c r="G343" s="2765">
        <f t="shared" si="10"/>
        <v>82.722700000000003</v>
      </c>
      <c r="H343" s="2764">
        <v>27574200</v>
      </c>
      <c r="I343" s="2765">
        <f t="shared" si="11"/>
        <v>27.574200000000001</v>
      </c>
      <c r="J343" s="2764">
        <v>2.4000000000000001E-5</v>
      </c>
      <c r="K343" s="2764">
        <v>1000</v>
      </c>
      <c r="L343" s="2767">
        <v>220</v>
      </c>
    </row>
    <row r="344" spans="1:12" ht="15.75">
      <c r="A344" s="2756" t="s">
        <v>5076</v>
      </c>
      <c r="B344" s="2757">
        <v>69000000000</v>
      </c>
      <c r="C344" s="2758">
        <v>0.33</v>
      </c>
      <c r="D344" s="2757">
        <v>2700</v>
      </c>
      <c r="E344" s="2759">
        <v>27000000000</v>
      </c>
      <c r="F344" s="2759">
        <v>82722700</v>
      </c>
      <c r="G344" s="2760">
        <f t="shared" si="10"/>
        <v>82.722700000000003</v>
      </c>
      <c r="H344" s="2759">
        <v>27574200</v>
      </c>
      <c r="I344" s="2760">
        <f t="shared" si="11"/>
        <v>27.574200000000001</v>
      </c>
      <c r="J344" s="2759">
        <v>2.4000000000000001E-5</v>
      </c>
      <c r="K344" s="2759">
        <v>1000</v>
      </c>
      <c r="L344" s="2766">
        <v>230</v>
      </c>
    </row>
    <row r="345" spans="1:12" ht="15.75">
      <c r="A345" s="2761" t="s">
        <v>5077</v>
      </c>
      <c r="B345" s="2762">
        <v>70999997000</v>
      </c>
      <c r="C345" s="2763">
        <v>0.33</v>
      </c>
      <c r="D345" s="2762">
        <v>2799.9998999999998</v>
      </c>
      <c r="E345" s="2764">
        <v>23000000000</v>
      </c>
      <c r="F345" s="2764">
        <v>359000000</v>
      </c>
      <c r="G345" s="2765">
        <f t="shared" si="10"/>
        <v>359</v>
      </c>
      <c r="H345" s="2764">
        <v>349000000</v>
      </c>
      <c r="I345" s="2765">
        <f t="shared" si="11"/>
        <v>349</v>
      </c>
      <c r="J345" s="2764">
        <v>3.4999999999999997E-5</v>
      </c>
      <c r="K345" s="2764">
        <v>963.00001999999995</v>
      </c>
      <c r="L345" s="2767">
        <v>121</v>
      </c>
    </row>
    <row r="346" spans="1:12" ht="15.75">
      <c r="A346" s="2756" t="s">
        <v>5078</v>
      </c>
      <c r="B346" s="2757">
        <v>70999997387.952896</v>
      </c>
      <c r="C346" s="2758">
        <v>0.33</v>
      </c>
      <c r="D346" s="2757">
        <v>2799.999867</v>
      </c>
      <c r="E346" s="2759">
        <v>23000000222.0457</v>
      </c>
      <c r="F346" s="2759">
        <v>344999997.10206598</v>
      </c>
      <c r="G346" s="2760">
        <f t="shared" si="10"/>
        <v>344.999997102066</v>
      </c>
      <c r="H346" s="2759">
        <v>344000003.33068597</v>
      </c>
      <c r="I346" s="2760">
        <f t="shared" si="11"/>
        <v>344.00000333068601</v>
      </c>
      <c r="J346" s="2759">
        <v>1.9000000000000001E-5</v>
      </c>
      <c r="K346" s="2759">
        <v>963.00001599999996</v>
      </c>
      <c r="L346" s="2766">
        <v>121.00000300000001</v>
      </c>
    </row>
    <row r="347" spans="1:12" ht="15.75">
      <c r="A347" s="2761" t="s">
        <v>5079</v>
      </c>
      <c r="B347" s="2762">
        <v>70999997387.952896</v>
      </c>
      <c r="C347" s="2763">
        <v>0.33</v>
      </c>
      <c r="D347" s="2762">
        <v>2799.999867</v>
      </c>
      <c r="E347" s="2764">
        <v>23000000222.0457</v>
      </c>
      <c r="F347" s="2764">
        <v>273000000</v>
      </c>
      <c r="G347" s="2765">
        <f t="shared" si="10"/>
        <v>273</v>
      </c>
      <c r="H347" s="2764">
        <v>225000000</v>
      </c>
      <c r="I347" s="2765">
        <f t="shared" si="11"/>
        <v>225</v>
      </c>
      <c r="J347" s="2764">
        <v>1.9000000000000001E-5</v>
      </c>
      <c r="K347" s="2764">
        <v>963.00001599999996</v>
      </c>
      <c r="L347" s="2767">
        <v>121.00000300000001</v>
      </c>
    </row>
    <row r="348" spans="1:12" ht="15.75">
      <c r="A348" s="2756" t="s">
        <v>5080</v>
      </c>
      <c r="B348" s="2757">
        <v>73000000000</v>
      </c>
      <c r="C348" s="2758">
        <v>0.33</v>
      </c>
      <c r="D348" s="2757">
        <v>2800</v>
      </c>
      <c r="E348" s="2759">
        <v>28000000000</v>
      </c>
      <c r="F348" s="2759">
        <v>165445000</v>
      </c>
      <c r="G348" s="2760">
        <f t="shared" si="10"/>
        <v>165.44499999999999</v>
      </c>
      <c r="H348" s="2759">
        <v>96509800</v>
      </c>
      <c r="I348" s="2760">
        <f t="shared" si="11"/>
        <v>96.509799999999998</v>
      </c>
      <c r="J348" s="2759">
        <v>2.3E-5</v>
      </c>
      <c r="K348" s="2759">
        <v>960</v>
      </c>
      <c r="L348" s="2766">
        <v>160</v>
      </c>
    </row>
    <row r="349" spans="1:12" ht="15.75">
      <c r="A349" s="2761" t="s">
        <v>5081</v>
      </c>
      <c r="B349" s="2762">
        <v>72400000000</v>
      </c>
      <c r="C349" s="2763">
        <v>0.33</v>
      </c>
      <c r="D349" s="2762">
        <v>2800</v>
      </c>
      <c r="E349" s="2764">
        <v>28000000000</v>
      </c>
      <c r="F349" s="2764">
        <v>185000000</v>
      </c>
      <c r="G349" s="2765">
        <f t="shared" si="10"/>
        <v>185</v>
      </c>
      <c r="H349" s="2764">
        <v>95000000</v>
      </c>
      <c r="I349" s="2765">
        <f t="shared" si="11"/>
        <v>95</v>
      </c>
      <c r="J349" s="2764">
        <v>2.3E-5</v>
      </c>
      <c r="K349" s="2764">
        <v>880</v>
      </c>
      <c r="L349" s="2767">
        <v>192</v>
      </c>
    </row>
    <row r="350" spans="1:12" ht="15.75">
      <c r="A350" s="2756" t="s">
        <v>5082</v>
      </c>
      <c r="B350" s="2757">
        <v>72400000000</v>
      </c>
      <c r="C350" s="2758">
        <v>0.33</v>
      </c>
      <c r="D350" s="2757">
        <v>2800</v>
      </c>
      <c r="E350" s="2759">
        <v>28000000000</v>
      </c>
      <c r="F350" s="2759">
        <v>425000000</v>
      </c>
      <c r="G350" s="2760">
        <f t="shared" si="10"/>
        <v>425</v>
      </c>
      <c r="H350" s="2759">
        <v>290000000</v>
      </c>
      <c r="I350" s="2760">
        <f t="shared" si="11"/>
        <v>290</v>
      </c>
      <c r="J350" s="2759">
        <v>2.3E-5</v>
      </c>
      <c r="K350" s="2759">
        <v>880</v>
      </c>
      <c r="L350" s="2766">
        <v>134</v>
      </c>
    </row>
    <row r="351" spans="1:12" ht="15.75">
      <c r="A351" s="2761" t="s">
        <v>5083</v>
      </c>
      <c r="B351" s="2762">
        <v>72400000000</v>
      </c>
      <c r="C351" s="2763">
        <v>0.33</v>
      </c>
      <c r="D351" s="2762">
        <v>2800</v>
      </c>
      <c r="E351" s="2764">
        <v>28000000000</v>
      </c>
      <c r="F351" s="2764">
        <v>470000000</v>
      </c>
      <c r="G351" s="2765">
        <f t="shared" si="10"/>
        <v>470</v>
      </c>
      <c r="H351" s="2764">
        <v>415000000</v>
      </c>
      <c r="I351" s="2765">
        <f t="shared" si="11"/>
        <v>415</v>
      </c>
      <c r="J351" s="2764">
        <v>2.3E-5</v>
      </c>
      <c r="K351" s="2764">
        <v>880</v>
      </c>
      <c r="L351" s="2767">
        <v>155</v>
      </c>
    </row>
    <row r="352" spans="1:12" ht="15.75">
      <c r="A352" s="2756" t="s">
        <v>5084</v>
      </c>
      <c r="B352" s="2757">
        <v>74000000000</v>
      </c>
      <c r="C352" s="2758">
        <v>0.33</v>
      </c>
      <c r="D352" s="2757">
        <v>2800</v>
      </c>
      <c r="E352" s="2759">
        <v>27000000000</v>
      </c>
      <c r="F352" s="2759">
        <v>420507000</v>
      </c>
      <c r="G352" s="2760">
        <f t="shared" si="10"/>
        <v>420.50700000000001</v>
      </c>
      <c r="H352" s="2759">
        <v>317104000</v>
      </c>
      <c r="I352" s="2760">
        <f t="shared" si="11"/>
        <v>317.10399999999998</v>
      </c>
      <c r="J352" s="2759">
        <v>2.1999999999999999E-5</v>
      </c>
      <c r="K352" s="2759">
        <v>1000</v>
      </c>
      <c r="L352" s="2766">
        <v>150</v>
      </c>
    </row>
    <row r="353" spans="1:12" ht="15.75">
      <c r="A353" s="2761" t="s">
        <v>5085</v>
      </c>
      <c r="B353" s="2762">
        <v>73000000000</v>
      </c>
      <c r="C353" s="2763">
        <v>0.33</v>
      </c>
      <c r="D353" s="2762">
        <v>2800</v>
      </c>
      <c r="E353" s="2764">
        <v>28000000000</v>
      </c>
      <c r="F353" s="2764">
        <v>186126000</v>
      </c>
      <c r="G353" s="2765">
        <f t="shared" si="10"/>
        <v>186.126</v>
      </c>
      <c r="H353" s="2764">
        <v>758291000</v>
      </c>
      <c r="I353" s="2765">
        <f t="shared" si="11"/>
        <v>758.29100000000005</v>
      </c>
      <c r="J353" s="2764">
        <v>2.3E-5</v>
      </c>
      <c r="K353" s="2764">
        <v>800</v>
      </c>
      <c r="L353" s="2767">
        <v>140</v>
      </c>
    </row>
    <row r="354" spans="1:12" ht="15.75">
      <c r="A354" s="2756" t="s">
        <v>5086</v>
      </c>
      <c r="B354" s="2757">
        <v>72400000000</v>
      </c>
      <c r="C354" s="2758">
        <v>0.33</v>
      </c>
      <c r="D354" s="2757">
        <v>2780</v>
      </c>
      <c r="E354" s="2759">
        <v>28000000000</v>
      </c>
      <c r="F354" s="2759">
        <v>185000000</v>
      </c>
      <c r="G354" s="2760">
        <f t="shared" si="10"/>
        <v>185</v>
      </c>
      <c r="H354" s="2759">
        <v>75000000</v>
      </c>
      <c r="I354" s="2760">
        <f t="shared" si="11"/>
        <v>75</v>
      </c>
      <c r="J354" s="2759">
        <v>2.3200000000000001E-5</v>
      </c>
      <c r="K354" s="2759">
        <v>875</v>
      </c>
      <c r="L354" s="2766">
        <v>193</v>
      </c>
    </row>
    <row r="355" spans="1:12" ht="15.75">
      <c r="A355" s="2761" t="s">
        <v>5087</v>
      </c>
      <c r="B355" s="2762">
        <v>72400000000</v>
      </c>
      <c r="C355" s="2763">
        <v>0.33</v>
      </c>
      <c r="D355" s="2762">
        <v>2780</v>
      </c>
      <c r="E355" s="2764">
        <v>28000000000</v>
      </c>
      <c r="F355" s="2764">
        <v>485000000</v>
      </c>
      <c r="G355" s="2765">
        <f t="shared" si="10"/>
        <v>485</v>
      </c>
      <c r="H355" s="2764">
        <v>345000000</v>
      </c>
      <c r="I355" s="2765">
        <f t="shared" si="11"/>
        <v>345</v>
      </c>
      <c r="J355" s="2764">
        <v>2.3200000000000001E-5</v>
      </c>
      <c r="K355" s="2764">
        <v>875</v>
      </c>
      <c r="L355" s="2767">
        <v>120</v>
      </c>
    </row>
    <row r="356" spans="1:12" ht="15.75">
      <c r="A356" s="2756" t="s">
        <v>5088</v>
      </c>
      <c r="B356" s="2757">
        <v>72400000000</v>
      </c>
      <c r="C356" s="2758">
        <v>0.33</v>
      </c>
      <c r="D356" s="2757">
        <v>2780</v>
      </c>
      <c r="E356" s="2759">
        <v>28000000000</v>
      </c>
      <c r="F356" s="2759">
        <v>470000000</v>
      </c>
      <c r="G356" s="2760">
        <f t="shared" si="10"/>
        <v>470</v>
      </c>
      <c r="H356" s="2759">
        <v>325000000</v>
      </c>
      <c r="I356" s="2760">
        <f t="shared" si="11"/>
        <v>325</v>
      </c>
      <c r="J356" s="2759">
        <v>2.3200000000000001E-5</v>
      </c>
      <c r="K356" s="2759">
        <v>875</v>
      </c>
      <c r="L356" s="2766">
        <v>120</v>
      </c>
    </row>
    <row r="357" spans="1:12" ht="15.75">
      <c r="A357" s="2761" t="s">
        <v>5089</v>
      </c>
      <c r="B357" s="2762">
        <v>72400000000</v>
      </c>
      <c r="C357" s="2763">
        <v>0.33</v>
      </c>
      <c r="D357" s="2762">
        <v>2780</v>
      </c>
      <c r="E357" s="2764">
        <v>28000000000</v>
      </c>
      <c r="F357" s="2764">
        <v>495000000</v>
      </c>
      <c r="G357" s="2765">
        <f t="shared" si="10"/>
        <v>495</v>
      </c>
      <c r="H357" s="2764">
        <v>395000000</v>
      </c>
      <c r="I357" s="2765">
        <f t="shared" si="11"/>
        <v>395</v>
      </c>
      <c r="J357" s="2764">
        <v>2.3200000000000001E-5</v>
      </c>
      <c r="K357" s="2764">
        <v>875</v>
      </c>
      <c r="L357" s="2767">
        <v>120</v>
      </c>
    </row>
    <row r="358" spans="1:12" ht="15.75">
      <c r="A358" s="2756" t="s">
        <v>5090</v>
      </c>
      <c r="B358" s="2757">
        <v>72000000000</v>
      </c>
      <c r="C358" s="2758">
        <v>0.33</v>
      </c>
      <c r="D358" s="2757">
        <v>2840</v>
      </c>
      <c r="E358" s="2759">
        <v>27000000000</v>
      </c>
      <c r="F358" s="2759">
        <v>170000000</v>
      </c>
      <c r="G358" s="2760">
        <f t="shared" si="10"/>
        <v>170</v>
      </c>
      <c r="H358" s="2759">
        <v>70000000</v>
      </c>
      <c r="I358" s="2760">
        <f t="shared" si="11"/>
        <v>70</v>
      </c>
      <c r="J358" s="2759">
        <v>2.23E-5</v>
      </c>
      <c r="K358" s="2759">
        <v>864</v>
      </c>
      <c r="L358" s="2766">
        <v>170</v>
      </c>
    </row>
    <row r="359" spans="1:12" ht="15.75">
      <c r="A359" s="2761" t="s">
        <v>5091</v>
      </c>
      <c r="B359" s="2762">
        <v>72000000000</v>
      </c>
      <c r="C359" s="2763">
        <v>0.33</v>
      </c>
      <c r="D359" s="2762">
        <v>2840</v>
      </c>
      <c r="E359" s="2764">
        <v>27000000000</v>
      </c>
      <c r="F359" s="2764">
        <v>360000000</v>
      </c>
      <c r="G359" s="2765">
        <f t="shared" si="10"/>
        <v>360</v>
      </c>
      <c r="H359" s="2764">
        <v>250000000</v>
      </c>
      <c r="I359" s="2765">
        <f t="shared" si="11"/>
        <v>250</v>
      </c>
      <c r="J359" s="2764">
        <v>2.23E-5</v>
      </c>
      <c r="K359" s="2764">
        <v>864</v>
      </c>
      <c r="L359" s="2767">
        <v>116</v>
      </c>
    </row>
    <row r="360" spans="1:12" ht="15.75">
      <c r="A360" s="2756" t="s">
        <v>5092</v>
      </c>
      <c r="B360" s="2757">
        <v>72000000000</v>
      </c>
      <c r="C360" s="2758">
        <v>0.33</v>
      </c>
      <c r="D360" s="2757">
        <v>2840</v>
      </c>
      <c r="E360" s="2759">
        <v>27000000000</v>
      </c>
      <c r="F360" s="2759">
        <v>395000000</v>
      </c>
      <c r="G360" s="2760">
        <f t="shared" si="10"/>
        <v>395</v>
      </c>
      <c r="H360" s="2759">
        <v>315000000</v>
      </c>
      <c r="I360" s="2760">
        <f t="shared" si="11"/>
        <v>315</v>
      </c>
      <c r="J360" s="2759">
        <v>2.23E-5</v>
      </c>
      <c r="K360" s="2759">
        <v>864</v>
      </c>
      <c r="L360" s="2766">
        <v>116</v>
      </c>
    </row>
    <row r="361" spans="1:12" ht="15.75">
      <c r="A361" s="2761" t="s">
        <v>5093</v>
      </c>
      <c r="B361" s="2762">
        <v>72000000000</v>
      </c>
      <c r="C361" s="2763">
        <v>0.33</v>
      </c>
      <c r="D361" s="2762">
        <v>2840</v>
      </c>
      <c r="E361" s="2764">
        <v>27000000000</v>
      </c>
      <c r="F361" s="2764">
        <v>415000000</v>
      </c>
      <c r="G361" s="2765">
        <f t="shared" si="10"/>
        <v>415</v>
      </c>
      <c r="H361" s="2764">
        <v>290000000</v>
      </c>
      <c r="I361" s="2765">
        <f t="shared" si="11"/>
        <v>290</v>
      </c>
      <c r="J361" s="2764">
        <v>2.23E-5</v>
      </c>
      <c r="K361" s="2764">
        <v>864</v>
      </c>
      <c r="L361" s="2767">
        <v>120</v>
      </c>
    </row>
    <row r="362" spans="1:12" ht="15.75">
      <c r="A362" s="2756" t="s">
        <v>5094</v>
      </c>
      <c r="B362" s="2757">
        <v>72000000000</v>
      </c>
      <c r="C362" s="2758">
        <v>0.33</v>
      </c>
      <c r="D362" s="2757">
        <v>2840</v>
      </c>
      <c r="E362" s="2759">
        <v>27000000000</v>
      </c>
      <c r="F362" s="2759">
        <v>455000000</v>
      </c>
      <c r="G362" s="2760">
        <f t="shared" si="10"/>
        <v>455</v>
      </c>
      <c r="H362" s="2759">
        <v>350000000</v>
      </c>
      <c r="I362" s="2760">
        <f t="shared" si="11"/>
        <v>350</v>
      </c>
      <c r="J362" s="2759">
        <v>2.23E-5</v>
      </c>
      <c r="K362" s="2759">
        <v>864</v>
      </c>
      <c r="L362" s="2766">
        <v>120</v>
      </c>
    </row>
    <row r="363" spans="1:12" ht="15.75">
      <c r="A363" s="2761" t="s">
        <v>5095</v>
      </c>
      <c r="B363" s="2762">
        <v>72000000000</v>
      </c>
      <c r="C363" s="2763">
        <v>0.33</v>
      </c>
      <c r="D363" s="2762">
        <v>2840</v>
      </c>
      <c r="E363" s="2764">
        <v>27000000000</v>
      </c>
      <c r="F363" s="2764">
        <v>475000000</v>
      </c>
      <c r="G363" s="2765">
        <f t="shared" si="10"/>
        <v>475</v>
      </c>
      <c r="H363" s="2764">
        <v>395000000</v>
      </c>
      <c r="I363" s="2765">
        <f t="shared" si="11"/>
        <v>395</v>
      </c>
      <c r="J363" s="2764">
        <v>2.23E-5</v>
      </c>
      <c r="K363" s="2764">
        <v>864</v>
      </c>
      <c r="L363" s="2767">
        <v>120</v>
      </c>
    </row>
    <row r="364" spans="1:12" ht="15.75">
      <c r="A364" s="2756" t="s">
        <v>5096</v>
      </c>
      <c r="B364" s="2757">
        <v>74499996822.198395</v>
      </c>
      <c r="C364" s="2758">
        <v>0.33</v>
      </c>
      <c r="D364" s="2757">
        <v>2760.0000030000001</v>
      </c>
      <c r="E364" s="2759">
        <v>26999999870.958698</v>
      </c>
      <c r="F364" s="2759">
        <v>440999997.66250098</v>
      </c>
      <c r="G364" s="2760">
        <f t="shared" si="10"/>
        <v>440.99999766250102</v>
      </c>
      <c r="H364" s="2759">
        <v>371999996.99636298</v>
      </c>
      <c r="I364" s="2760">
        <f t="shared" si="11"/>
        <v>371.999996996363</v>
      </c>
      <c r="J364" s="2759">
        <v>2.1999999999999999E-5</v>
      </c>
      <c r="K364" s="2759">
        <v>874.999999</v>
      </c>
      <c r="L364" s="2766">
        <v>145.999999</v>
      </c>
    </row>
    <row r="365" spans="1:12" ht="15.75">
      <c r="A365" s="2761" t="s">
        <v>5097</v>
      </c>
      <c r="B365" s="2762">
        <v>69000000000</v>
      </c>
      <c r="C365" s="2763">
        <v>0.33</v>
      </c>
      <c r="D365" s="2762">
        <v>2700</v>
      </c>
      <c r="E365" s="2764">
        <v>27000000000</v>
      </c>
      <c r="F365" s="2764">
        <v>110297000</v>
      </c>
      <c r="G365" s="2765">
        <f t="shared" si="10"/>
        <v>110.297</v>
      </c>
      <c r="H365" s="2764">
        <v>41361300</v>
      </c>
      <c r="I365" s="2765">
        <f t="shared" si="11"/>
        <v>41.3613</v>
      </c>
      <c r="J365" s="2764">
        <v>2.3E-5</v>
      </c>
      <c r="K365" s="2764">
        <v>1000</v>
      </c>
      <c r="L365" s="2767">
        <v>170</v>
      </c>
    </row>
    <row r="366" spans="1:12" ht="15.75">
      <c r="A366" s="2756" t="s">
        <v>5098</v>
      </c>
      <c r="B366" s="2757">
        <v>69000000000</v>
      </c>
      <c r="C366" s="2758">
        <v>0.33</v>
      </c>
      <c r="D366" s="2757">
        <v>2730</v>
      </c>
      <c r="E366" s="2759">
        <v>25000000000</v>
      </c>
      <c r="F366" s="2759">
        <v>110000000</v>
      </c>
      <c r="G366" s="2760">
        <f t="shared" si="10"/>
        <v>110</v>
      </c>
      <c r="H366" s="2759">
        <v>40000000</v>
      </c>
      <c r="I366" s="2760">
        <f t="shared" si="11"/>
        <v>40</v>
      </c>
      <c r="J366" s="2759">
        <v>2.3200000000000001E-5</v>
      </c>
      <c r="K366" s="2759">
        <v>893</v>
      </c>
      <c r="L366" s="2766">
        <v>193</v>
      </c>
    </row>
    <row r="367" spans="1:12" ht="15.75">
      <c r="A367" s="2761" t="s">
        <v>5099</v>
      </c>
      <c r="B367" s="2762">
        <v>69000000666.137207</v>
      </c>
      <c r="C367" s="2763">
        <v>0.33</v>
      </c>
      <c r="D367" s="2762">
        <v>2730.0000020000002</v>
      </c>
      <c r="E367" s="2764">
        <v>24999999701.764301</v>
      </c>
      <c r="F367" s="2764">
        <v>105000000</v>
      </c>
      <c r="G367" s="2765">
        <f t="shared" si="10"/>
        <v>105</v>
      </c>
      <c r="H367" s="2764">
        <v>36000000</v>
      </c>
      <c r="I367" s="2765">
        <f t="shared" si="11"/>
        <v>36</v>
      </c>
      <c r="J367" s="2764">
        <v>2.3E-5</v>
      </c>
      <c r="K367" s="2764">
        <v>893.00000799999998</v>
      </c>
      <c r="L367" s="2767">
        <v>193.00000199999999</v>
      </c>
    </row>
    <row r="368" spans="1:12" ht="15.75">
      <c r="A368" s="2756" t="s">
        <v>5100</v>
      </c>
      <c r="B368" s="2757">
        <v>69000000000</v>
      </c>
      <c r="C368" s="2758">
        <v>0.33</v>
      </c>
      <c r="D368" s="2757">
        <v>2730</v>
      </c>
      <c r="E368" s="2759">
        <v>25000000000</v>
      </c>
      <c r="F368" s="2759">
        <v>130000000</v>
      </c>
      <c r="G368" s="2760">
        <f t="shared" si="10"/>
        <v>130</v>
      </c>
      <c r="H368" s="2759">
        <v>125000000</v>
      </c>
      <c r="I368" s="2760">
        <f t="shared" si="11"/>
        <v>125</v>
      </c>
      <c r="J368" s="2759">
        <v>2.3200000000000001E-5</v>
      </c>
      <c r="K368" s="2759">
        <v>893</v>
      </c>
      <c r="L368" s="2766">
        <v>162</v>
      </c>
    </row>
    <row r="369" spans="1:12" ht="15.75">
      <c r="A369" s="2761" t="s">
        <v>5101</v>
      </c>
      <c r="B369" s="2762">
        <v>69000000666.137207</v>
      </c>
      <c r="C369" s="2763">
        <v>0.33</v>
      </c>
      <c r="D369" s="2762">
        <v>2730.0000020000002</v>
      </c>
      <c r="E369" s="2764">
        <v>24999999701.764301</v>
      </c>
      <c r="F369" s="2764">
        <v>130000000.655497</v>
      </c>
      <c r="G369" s="2765">
        <f t="shared" si="10"/>
        <v>130.00000065549699</v>
      </c>
      <c r="H369" s="2764">
        <v>124999998.50882199</v>
      </c>
      <c r="I369" s="2765">
        <f t="shared" si="11"/>
        <v>124.999998508822</v>
      </c>
      <c r="J369" s="2764">
        <v>2.3E-5</v>
      </c>
      <c r="K369" s="2764">
        <v>893.00000799999998</v>
      </c>
      <c r="L369" s="2767">
        <v>161.999999</v>
      </c>
    </row>
    <row r="370" spans="1:12" ht="15.75">
      <c r="A370" s="2756" t="s">
        <v>5102</v>
      </c>
      <c r="B370" s="2757">
        <v>69000000000</v>
      </c>
      <c r="C370" s="2758">
        <v>0.33</v>
      </c>
      <c r="D370" s="2757">
        <v>2730</v>
      </c>
      <c r="E370" s="2759">
        <v>25000000000</v>
      </c>
      <c r="F370" s="2759">
        <v>150000000</v>
      </c>
      <c r="G370" s="2760">
        <f t="shared" si="10"/>
        <v>150</v>
      </c>
      <c r="H370" s="2759">
        <v>145000000</v>
      </c>
      <c r="I370" s="2760">
        <f t="shared" si="11"/>
        <v>145</v>
      </c>
      <c r="J370" s="2759">
        <v>2.3200000000000001E-5</v>
      </c>
      <c r="K370" s="2759">
        <v>893</v>
      </c>
      <c r="L370" s="2766">
        <v>159</v>
      </c>
    </row>
    <row r="371" spans="1:12" ht="15.75">
      <c r="A371" s="2761" t="s">
        <v>5103</v>
      </c>
      <c r="B371" s="2762">
        <v>69000000666.137207</v>
      </c>
      <c r="C371" s="2763">
        <v>0.33</v>
      </c>
      <c r="D371" s="2762">
        <v>2730.0000020000002</v>
      </c>
      <c r="E371" s="2764">
        <v>24999999701.764301</v>
      </c>
      <c r="F371" s="2764">
        <v>150000002.34744099</v>
      </c>
      <c r="G371" s="2765">
        <f t="shared" si="10"/>
        <v>150.00000234744101</v>
      </c>
      <c r="H371" s="2764">
        <v>145000000.20076501</v>
      </c>
      <c r="I371" s="2765">
        <f t="shared" si="11"/>
        <v>145.00000020076499</v>
      </c>
      <c r="J371" s="2764">
        <v>2.3E-5</v>
      </c>
      <c r="K371" s="2764">
        <v>893.00000799999998</v>
      </c>
      <c r="L371" s="2767">
        <v>159.00000199999999</v>
      </c>
    </row>
    <row r="372" spans="1:12" ht="15.75">
      <c r="A372" s="2756" t="s">
        <v>5104</v>
      </c>
      <c r="B372" s="2757">
        <v>69000000000</v>
      </c>
      <c r="C372" s="2758">
        <v>0.33</v>
      </c>
      <c r="D372" s="2757">
        <v>2730</v>
      </c>
      <c r="E372" s="2759">
        <v>25000000000</v>
      </c>
      <c r="F372" s="2759">
        <v>180000000</v>
      </c>
      <c r="G372" s="2760">
        <f t="shared" si="10"/>
        <v>180</v>
      </c>
      <c r="H372" s="2759">
        <v>170000000</v>
      </c>
      <c r="I372" s="2760">
        <f t="shared" si="11"/>
        <v>170</v>
      </c>
      <c r="J372" s="2759">
        <v>2.3200000000000001E-5</v>
      </c>
      <c r="K372" s="2759">
        <v>893</v>
      </c>
      <c r="L372" s="2766">
        <v>157</v>
      </c>
    </row>
    <row r="373" spans="1:12" ht="15.75">
      <c r="A373" s="2761" t="s">
        <v>5105</v>
      </c>
      <c r="B373" s="2762">
        <v>69000000000</v>
      </c>
      <c r="C373" s="2763">
        <v>0.33</v>
      </c>
      <c r="D373" s="2762">
        <v>2730</v>
      </c>
      <c r="E373" s="2764">
        <v>25000000000</v>
      </c>
      <c r="F373" s="2764">
        <v>200000000</v>
      </c>
      <c r="G373" s="2765">
        <f t="shared" si="10"/>
        <v>200</v>
      </c>
      <c r="H373" s="2764">
        <v>185000000</v>
      </c>
      <c r="I373" s="2765">
        <f t="shared" si="11"/>
        <v>185</v>
      </c>
      <c r="J373" s="2764">
        <v>2.3200000000000001E-5</v>
      </c>
      <c r="K373" s="2764">
        <v>893</v>
      </c>
      <c r="L373" s="2767">
        <v>155</v>
      </c>
    </row>
    <row r="374" spans="1:12" ht="15.75">
      <c r="A374" s="2756" t="s">
        <v>5106</v>
      </c>
      <c r="B374" s="2757">
        <v>69000000666.137207</v>
      </c>
      <c r="C374" s="2758">
        <v>0.33</v>
      </c>
      <c r="D374" s="2757">
        <v>2730.0000020000002</v>
      </c>
      <c r="E374" s="2759">
        <v>24999999701.764301</v>
      </c>
      <c r="F374" s="2759">
        <v>200000003.12992099</v>
      </c>
      <c r="G374" s="2760">
        <f t="shared" si="10"/>
        <v>200.000003129921</v>
      </c>
      <c r="H374" s="2759">
        <v>184999996.689895</v>
      </c>
      <c r="I374" s="2760">
        <f t="shared" si="11"/>
        <v>184.999996689895</v>
      </c>
      <c r="J374" s="2759">
        <v>2.3E-5</v>
      </c>
      <c r="K374" s="2759">
        <v>893.00000799999998</v>
      </c>
      <c r="L374" s="2766">
        <v>155.00000199999999</v>
      </c>
    </row>
    <row r="375" spans="1:12" ht="15.75">
      <c r="A375" s="2761" t="s">
        <v>5107</v>
      </c>
      <c r="B375" s="2762">
        <v>68899999795.832794</v>
      </c>
      <c r="C375" s="2763">
        <v>0.35</v>
      </c>
      <c r="D375" s="2762">
        <v>2720.0000009999999</v>
      </c>
      <c r="E375" s="2764">
        <v>24999999701.764301</v>
      </c>
      <c r="F375" s="2764">
        <v>241000001.42733699</v>
      </c>
      <c r="G375" s="2765">
        <f t="shared" si="10"/>
        <v>241.000001427337</v>
      </c>
      <c r="H375" s="2764">
        <v>200000003.12992099</v>
      </c>
      <c r="I375" s="2765">
        <f t="shared" si="11"/>
        <v>200.000003129921</v>
      </c>
      <c r="J375" s="2764">
        <v>2.4000000000000001E-5</v>
      </c>
      <c r="K375" s="2764">
        <v>893.00000799999998</v>
      </c>
      <c r="L375" s="2767">
        <v>163.00000199999999</v>
      </c>
    </row>
    <row r="376" spans="1:12" ht="15.75">
      <c r="A376" s="2756" t="s">
        <v>5108</v>
      </c>
      <c r="B376" s="2757">
        <v>68899999795.832794</v>
      </c>
      <c r="C376" s="2758">
        <v>0.35</v>
      </c>
      <c r="D376" s="2757">
        <v>2720.0000009999999</v>
      </c>
      <c r="E376" s="2759">
        <v>24999999701.764301</v>
      </c>
      <c r="F376" s="2759">
        <v>178999999.629691</v>
      </c>
      <c r="G376" s="2760">
        <f t="shared" si="10"/>
        <v>178.99999962969099</v>
      </c>
      <c r="H376" s="2759">
        <v>69000000.666136995</v>
      </c>
      <c r="I376" s="2760">
        <f t="shared" si="11"/>
        <v>69.000000666136998</v>
      </c>
      <c r="J376" s="2759">
        <v>2.4000000000000001E-5</v>
      </c>
      <c r="K376" s="2759">
        <v>893.00000799999998</v>
      </c>
      <c r="L376" s="2766">
        <v>163.00000199999999</v>
      </c>
    </row>
    <row r="377" spans="1:12" ht="15.75">
      <c r="A377" s="2761" t="s">
        <v>5109</v>
      </c>
      <c r="B377" s="2762">
        <v>72400000000</v>
      </c>
      <c r="C377" s="2763">
        <v>0.33</v>
      </c>
      <c r="D377" s="2762">
        <v>2680</v>
      </c>
      <c r="E377" s="2764">
        <v>27200000000</v>
      </c>
      <c r="F377" s="2764">
        <v>228000000</v>
      </c>
      <c r="G377" s="2765">
        <f t="shared" si="10"/>
        <v>228</v>
      </c>
      <c r="H377" s="2764">
        <v>152000000</v>
      </c>
      <c r="I377" s="2765">
        <f t="shared" si="11"/>
        <v>152</v>
      </c>
      <c r="J377" s="2764">
        <v>2.0999999999999999E-5</v>
      </c>
      <c r="K377" s="2764">
        <v>963</v>
      </c>
      <c r="L377" s="2767">
        <v>151</v>
      </c>
    </row>
    <row r="378" spans="1:12" ht="15.75">
      <c r="A378" s="2756" t="s">
        <v>5110</v>
      </c>
      <c r="B378" s="2757">
        <v>79000000000</v>
      </c>
      <c r="C378" s="2758">
        <v>0.34</v>
      </c>
      <c r="D378" s="2757">
        <v>2680</v>
      </c>
      <c r="E378" s="2759">
        <v>26000000000</v>
      </c>
      <c r="F378" s="2759">
        <v>380000000</v>
      </c>
      <c r="G378" s="2760">
        <f t="shared" si="10"/>
        <v>380</v>
      </c>
      <c r="H378" s="2759">
        <v>315000000</v>
      </c>
      <c r="I378" s="2760">
        <f t="shared" si="11"/>
        <v>315</v>
      </c>
      <c r="J378" s="2759">
        <v>1.9400000000000001E-5</v>
      </c>
      <c r="K378" s="2759">
        <v>850</v>
      </c>
      <c r="L378" s="2766">
        <v>138</v>
      </c>
    </row>
    <row r="379" spans="1:12" ht="15.75">
      <c r="A379" s="2761" t="s">
        <v>5111</v>
      </c>
      <c r="B379" s="2762">
        <v>70000000000</v>
      </c>
      <c r="C379" s="2763">
        <v>0.33</v>
      </c>
      <c r="D379" s="2762">
        <v>2680</v>
      </c>
      <c r="E379" s="2764">
        <v>25900000000</v>
      </c>
      <c r="F379" s="2764">
        <v>195000000</v>
      </c>
      <c r="G379" s="2765">
        <f t="shared" si="10"/>
        <v>195</v>
      </c>
      <c r="H379" s="2764">
        <v>90000000</v>
      </c>
      <c r="I379" s="2765">
        <f t="shared" si="11"/>
        <v>90</v>
      </c>
      <c r="J379" s="2764">
        <v>2.3799999999999999E-5</v>
      </c>
      <c r="K379" s="2764">
        <v>880</v>
      </c>
      <c r="L379" s="2767">
        <v>137</v>
      </c>
    </row>
    <row r="380" spans="1:12" ht="15.75">
      <c r="A380" s="2756" t="s">
        <v>5112</v>
      </c>
      <c r="B380" s="2757">
        <v>70000002474.423706</v>
      </c>
      <c r="C380" s="2758">
        <v>0.33</v>
      </c>
      <c r="D380" s="2757">
        <v>2679.9999990000001</v>
      </c>
      <c r="E380" s="2759">
        <v>25899999950.270699</v>
      </c>
      <c r="F380" s="2759">
        <v>195000000.983246</v>
      </c>
      <c r="G380" s="2760">
        <f t="shared" si="10"/>
        <v>195.000000983246</v>
      </c>
      <c r="H380" s="2759">
        <v>72394951.578263998</v>
      </c>
      <c r="I380" s="2760">
        <f t="shared" si="11"/>
        <v>72.394951578263999</v>
      </c>
      <c r="J380" s="2759">
        <v>2.4000000000000001E-5</v>
      </c>
      <c r="K380" s="2759">
        <v>880.00000799999998</v>
      </c>
      <c r="L380" s="2766">
        <v>137.00000299999999</v>
      </c>
    </row>
    <row r="381" spans="1:12" ht="15.75">
      <c r="A381" s="2761" t="s">
        <v>5113</v>
      </c>
      <c r="B381" s="2762">
        <v>70000000000</v>
      </c>
      <c r="C381" s="2763">
        <v>0.33</v>
      </c>
      <c r="D381" s="2762">
        <v>2680</v>
      </c>
      <c r="E381" s="2764">
        <v>25900000000</v>
      </c>
      <c r="F381" s="2764">
        <v>230000000</v>
      </c>
      <c r="G381" s="2765">
        <f t="shared" si="10"/>
        <v>230</v>
      </c>
      <c r="H381" s="2764">
        <v>195000000</v>
      </c>
      <c r="I381" s="2765">
        <f t="shared" si="11"/>
        <v>195</v>
      </c>
      <c r="J381" s="2764">
        <v>2.3799999999999999E-5</v>
      </c>
      <c r="K381" s="2764">
        <v>880</v>
      </c>
      <c r="L381" s="2767">
        <v>137</v>
      </c>
    </row>
    <row r="382" spans="1:12" ht="15.75">
      <c r="A382" s="2756" t="s">
        <v>5114</v>
      </c>
      <c r="B382" s="2757">
        <v>70000000000</v>
      </c>
      <c r="C382" s="2758">
        <v>0.33</v>
      </c>
      <c r="D382" s="2757">
        <v>2680</v>
      </c>
      <c r="E382" s="2759">
        <v>25900000000</v>
      </c>
      <c r="F382" s="2759">
        <v>260000000</v>
      </c>
      <c r="G382" s="2760">
        <f t="shared" si="10"/>
        <v>260</v>
      </c>
      <c r="H382" s="2759">
        <v>215000000</v>
      </c>
      <c r="I382" s="2760">
        <f t="shared" si="11"/>
        <v>215</v>
      </c>
      <c r="J382" s="2759">
        <v>2.3799999999999999E-5</v>
      </c>
      <c r="K382" s="2759">
        <v>880</v>
      </c>
      <c r="L382" s="2766">
        <v>137</v>
      </c>
    </row>
    <row r="383" spans="1:12" ht="15.75">
      <c r="A383" s="2761" t="s">
        <v>5115</v>
      </c>
      <c r="B383" s="2762">
        <v>70000000000</v>
      </c>
      <c r="C383" s="2763">
        <v>0.33</v>
      </c>
      <c r="D383" s="2762">
        <v>2680</v>
      </c>
      <c r="E383" s="2764">
        <v>25900000000</v>
      </c>
      <c r="F383" s="2764">
        <v>275000000</v>
      </c>
      <c r="G383" s="2765">
        <f t="shared" si="10"/>
        <v>275</v>
      </c>
      <c r="H383" s="2764">
        <v>240000000</v>
      </c>
      <c r="I383" s="2765">
        <f t="shared" si="11"/>
        <v>240</v>
      </c>
      <c r="J383" s="2764">
        <v>2.3799999999999999E-5</v>
      </c>
      <c r="K383" s="2764">
        <v>880</v>
      </c>
      <c r="L383" s="2767">
        <v>127</v>
      </c>
    </row>
    <row r="384" spans="1:12" ht="15.75">
      <c r="A384" s="2756" t="s">
        <v>5116</v>
      </c>
      <c r="B384" s="2757">
        <v>70000000000</v>
      </c>
      <c r="C384" s="2758">
        <v>0.33</v>
      </c>
      <c r="D384" s="2757">
        <v>2680</v>
      </c>
      <c r="E384" s="2759">
        <v>25900000000</v>
      </c>
      <c r="F384" s="2759">
        <v>290000000</v>
      </c>
      <c r="G384" s="2760">
        <f t="shared" si="10"/>
        <v>290</v>
      </c>
      <c r="H384" s="2759">
        <v>255000000</v>
      </c>
      <c r="I384" s="2760">
        <f t="shared" si="11"/>
        <v>255</v>
      </c>
      <c r="J384" s="2759">
        <v>2.3799999999999999E-5</v>
      </c>
      <c r="K384" s="2759">
        <v>880</v>
      </c>
      <c r="L384" s="2766">
        <v>137</v>
      </c>
    </row>
    <row r="385" spans="1:12" ht="15.75">
      <c r="A385" s="2761" t="s">
        <v>5117</v>
      </c>
      <c r="B385" s="2762">
        <v>70000002474.423706</v>
      </c>
      <c r="C385" s="2763">
        <v>0.33</v>
      </c>
      <c r="D385" s="2762">
        <v>2679.9999990000001</v>
      </c>
      <c r="E385" s="2764">
        <v>25899999950.270699</v>
      </c>
      <c r="F385" s="2764">
        <v>290000000.40153098</v>
      </c>
      <c r="G385" s="2765">
        <f t="shared" si="10"/>
        <v>290.000000401531</v>
      </c>
      <c r="H385" s="2764">
        <v>254999999.16431901</v>
      </c>
      <c r="I385" s="2765">
        <f t="shared" si="11"/>
        <v>254.99999916431901</v>
      </c>
      <c r="J385" s="2764">
        <v>2.4000000000000001E-5</v>
      </c>
      <c r="K385" s="2764">
        <v>880.00000799999998</v>
      </c>
      <c r="L385" s="2767">
        <v>137.00000299999999</v>
      </c>
    </row>
    <row r="386" spans="1:12" ht="15.75">
      <c r="A386" s="2756" t="s">
        <v>5118</v>
      </c>
      <c r="B386" s="2757">
        <v>70300000259.006699</v>
      </c>
      <c r="C386" s="2758">
        <v>0.33</v>
      </c>
      <c r="D386" s="2757">
        <v>2659.9999979999998</v>
      </c>
      <c r="E386" s="2759">
        <v>25899999950.270699</v>
      </c>
      <c r="F386" s="2759">
        <v>241000001.42733699</v>
      </c>
      <c r="G386" s="2760">
        <f t="shared" si="10"/>
        <v>241.000001427337</v>
      </c>
      <c r="H386" s="2759">
        <v>139274097.32199401</v>
      </c>
      <c r="I386" s="2760">
        <f t="shared" si="11"/>
        <v>139.27409732199399</v>
      </c>
      <c r="J386" s="2759">
        <v>2.4000000000000001E-5</v>
      </c>
      <c r="K386" s="2759">
        <v>900.00000499999999</v>
      </c>
      <c r="L386" s="2766">
        <v>125.00000300000001</v>
      </c>
    </row>
    <row r="387" spans="1:12" ht="15.75">
      <c r="A387" s="2761" t="s">
        <v>5119</v>
      </c>
      <c r="B387" s="2762">
        <v>70999997387.952896</v>
      </c>
      <c r="C387" s="2763">
        <v>0.33</v>
      </c>
      <c r="D387" s="2762">
        <v>2659.9999979999998</v>
      </c>
      <c r="E387" s="2764">
        <v>26400000164.938202</v>
      </c>
      <c r="F387" s="2764">
        <v>290000000.40153098</v>
      </c>
      <c r="G387" s="2765">
        <f t="shared" si="10"/>
        <v>290.000000401531</v>
      </c>
      <c r="H387" s="2764">
        <v>68947572.931679994</v>
      </c>
      <c r="I387" s="2765">
        <f t="shared" si="11"/>
        <v>68.94757293168</v>
      </c>
      <c r="J387" s="2764">
        <v>2.4000000000000001E-5</v>
      </c>
      <c r="K387" s="2764">
        <v>900.00000499999999</v>
      </c>
      <c r="L387" s="2767">
        <v>125.00000300000001</v>
      </c>
    </row>
    <row r="388" spans="1:12" ht="15.75">
      <c r="A388" s="2756" t="s">
        <v>5120</v>
      </c>
      <c r="B388" s="2757">
        <v>70000000000</v>
      </c>
      <c r="C388" s="2758">
        <v>0.33</v>
      </c>
      <c r="D388" s="2757">
        <v>2690</v>
      </c>
      <c r="E388" s="2759">
        <v>26000000000</v>
      </c>
      <c r="F388" s="2759">
        <v>250000000</v>
      </c>
      <c r="G388" s="2760">
        <f t="shared" ref="G388:G451" si="12">F388/1000000</f>
        <v>250</v>
      </c>
      <c r="H388" s="2759">
        <v>115000000</v>
      </c>
      <c r="I388" s="2760">
        <f t="shared" ref="I388:I451" si="13">H388/1000000</f>
        <v>115</v>
      </c>
      <c r="J388" s="2759">
        <v>2.3600000000000001E-5</v>
      </c>
      <c r="K388" s="2759">
        <v>900</v>
      </c>
      <c r="L388" s="2766">
        <v>134</v>
      </c>
    </row>
    <row r="389" spans="1:12" ht="15.75">
      <c r="A389" s="2761" t="s">
        <v>5121</v>
      </c>
      <c r="B389" s="2762">
        <v>70000000000</v>
      </c>
      <c r="C389" s="2763">
        <v>0.33</v>
      </c>
      <c r="D389" s="2762">
        <v>2690</v>
      </c>
      <c r="E389" s="2764">
        <v>26000000000</v>
      </c>
      <c r="F389" s="2764">
        <v>275000000</v>
      </c>
      <c r="G389" s="2765">
        <f t="shared" si="12"/>
        <v>275</v>
      </c>
      <c r="H389" s="2764">
        <v>205000000</v>
      </c>
      <c r="I389" s="2765">
        <f t="shared" si="13"/>
        <v>205</v>
      </c>
      <c r="J389" s="2764">
        <v>2.3600000000000001E-5</v>
      </c>
      <c r="K389" s="2764">
        <v>900</v>
      </c>
      <c r="L389" s="2767">
        <v>134</v>
      </c>
    </row>
    <row r="390" spans="1:12" ht="15.75">
      <c r="A390" s="2756" t="s">
        <v>5122</v>
      </c>
      <c r="B390" s="2757">
        <v>70000000000</v>
      </c>
      <c r="C390" s="2758">
        <v>0.33</v>
      </c>
      <c r="D390" s="2757">
        <v>2690</v>
      </c>
      <c r="E390" s="2759">
        <v>26000000000</v>
      </c>
      <c r="F390" s="2759">
        <v>305000000</v>
      </c>
      <c r="G390" s="2760">
        <f t="shared" si="12"/>
        <v>305</v>
      </c>
      <c r="H390" s="2759">
        <v>240000000</v>
      </c>
      <c r="I390" s="2760">
        <f t="shared" si="13"/>
        <v>240</v>
      </c>
      <c r="J390" s="2759">
        <v>2.3600000000000001E-5</v>
      </c>
      <c r="K390" s="2759">
        <v>900</v>
      </c>
      <c r="L390" s="2766">
        <v>134</v>
      </c>
    </row>
    <row r="391" spans="1:12" ht="15.75">
      <c r="A391" s="2761" t="s">
        <v>5123</v>
      </c>
      <c r="B391" s="2762">
        <v>70000000000</v>
      </c>
      <c r="C391" s="2763">
        <v>0.33</v>
      </c>
      <c r="D391" s="2762">
        <v>2690</v>
      </c>
      <c r="E391" s="2764">
        <v>26000000000</v>
      </c>
      <c r="F391" s="2764">
        <v>260000000</v>
      </c>
      <c r="G391" s="2765">
        <f t="shared" si="12"/>
        <v>260</v>
      </c>
      <c r="H391" s="2764">
        <v>180000000</v>
      </c>
      <c r="I391" s="2765">
        <f t="shared" si="13"/>
        <v>180</v>
      </c>
      <c r="J391" s="2764">
        <v>2.3600000000000001E-5</v>
      </c>
      <c r="K391" s="2764">
        <v>900</v>
      </c>
      <c r="L391" s="2767">
        <v>134</v>
      </c>
    </row>
    <row r="392" spans="1:12" ht="15.75">
      <c r="A392" s="2756" t="s">
        <v>5124</v>
      </c>
      <c r="B392" s="2757">
        <v>70000000000</v>
      </c>
      <c r="C392" s="2758">
        <v>0.33</v>
      </c>
      <c r="D392" s="2757">
        <v>2690</v>
      </c>
      <c r="E392" s="2759">
        <v>26000000000</v>
      </c>
      <c r="F392" s="2759">
        <v>250000000</v>
      </c>
      <c r="G392" s="2760">
        <f t="shared" si="12"/>
        <v>250</v>
      </c>
      <c r="H392" s="2759">
        <v>125000000</v>
      </c>
      <c r="I392" s="2760">
        <f t="shared" si="13"/>
        <v>125</v>
      </c>
      <c r="J392" s="2759">
        <v>2.3600000000000001E-5</v>
      </c>
      <c r="K392" s="2759">
        <v>900</v>
      </c>
      <c r="L392" s="2766">
        <v>134</v>
      </c>
    </row>
    <row r="393" spans="1:12" ht="15.75">
      <c r="A393" s="2761" t="s">
        <v>5125</v>
      </c>
      <c r="B393" s="2762">
        <v>69000000000</v>
      </c>
      <c r="C393" s="2763">
        <v>0.33</v>
      </c>
      <c r="D393" s="2762">
        <v>2700</v>
      </c>
      <c r="E393" s="2764">
        <v>26000000000</v>
      </c>
      <c r="F393" s="2764">
        <v>124084000</v>
      </c>
      <c r="G393" s="2765">
        <f t="shared" si="12"/>
        <v>124.084</v>
      </c>
      <c r="H393" s="2764">
        <v>55148500</v>
      </c>
      <c r="I393" s="2765">
        <f t="shared" si="13"/>
        <v>55.148499999999999</v>
      </c>
      <c r="J393" s="2764">
        <v>2.4000000000000001E-5</v>
      </c>
      <c r="K393" s="2764">
        <v>1300</v>
      </c>
      <c r="L393" s="2767">
        <v>170</v>
      </c>
    </row>
    <row r="394" spans="1:12" ht="15.75">
      <c r="A394" s="2756" t="s">
        <v>5126</v>
      </c>
      <c r="B394" s="2757">
        <v>69000000666.137207</v>
      </c>
      <c r="C394" s="2758">
        <v>0.33</v>
      </c>
      <c r="D394" s="2757">
        <v>2700</v>
      </c>
      <c r="E394" s="2759">
        <v>26000000131.0994</v>
      </c>
      <c r="F394" s="2759">
        <v>124999998.50882199</v>
      </c>
      <c r="G394" s="2760">
        <f t="shared" si="12"/>
        <v>124.999998508822</v>
      </c>
      <c r="H394" s="2759">
        <v>62052815.638512</v>
      </c>
      <c r="I394" s="2760">
        <f t="shared" si="13"/>
        <v>62.052815638512001</v>
      </c>
      <c r="J394" s="2759">
        <v>2.4000000000000001E-5</v>
      </c>
      <c r="K394" s="2759">
        <v>895.99998900000003</v>
      </c>
      <c r="L394" s="2766">
        <v>179.99999800000001</v>
      </c>
    </row>
    <row r="395" spans="1:12" ht="15.75">
      <c r="A395" s="2761" t="s">
        <v>5127</v>
      </c>
      <c r="B395" s="2762">
        <v>69000000666.137207</v>
      </c>
      <c r="C395" s="2763">
        <v>0.33</v>
      </c>
      <c r="D395" s="2762">
        <v>2700</v>
      </c>
      <c r="E395" s="2764">
        <v>26000000131.0994</v>
      </c>
      <c r="F395" s="2764">
        <v>239999999.61905101</v>
      </c>
      <c r="G395" s="2765">
        <f t="shared" si="12"/>
        <v>239.99999961905101</v>
      </c>
      <c r="H395" s="2764">
        <v>227526990.67454401</v>
      </c>
      <c r="I395" s="2765">
        <f t="shared" si="13"/>
        <v>227.52699067454401</v>
      </c>
      <c r="J395" s="2764">
        <v>2.4000000000000001E-5</v>
      </c>
      <c r="K395" s="2764">
        <v>895.99998900000003</v>
      </c>
      <c r="L395" s="2767">
        <v>153.999999</v>
      </c>
    </row>
    <row r="396" spans="1:12" ht="15.75">
      <c r="A396" s="2756" t="s">
        <v>5128</v>
      </c>
      <c r="B396" s="2757">
        <v>69000000666.137207</v>
      </c>
      <c r="C396" s="2758">
        <v>0.33</v>
      </c>
      <c r="D396" s="2757">
        <v>2700</v>
      </c>
      <c r="E396" s="2759">
        <v>26000000131.0994</v>
      </c>
      <c r="F396" s="2759">
        <v>310000002.09347397</v>
      </c>
      <c r="G396" s="2760">
        <f t="shared" si="12"/>
        <v>310.000002093474</v>
      </c>
      <c r="H396" s="2759">
        <v>275000000.85626203</v>
      </c>
      <c r="I396" s="2760">
        <f t="shared" si="13"/>
        <v>275.00000085626198</v>
      </c>
      <c r="J396" s="2759">
        <v>2.4000000000000001E-5</v>
      </c>
      <c r="K396" s="2759">
        <v>895.99998900000003</v>
      </c>
      <c r="L396" s="2766">
        <v>166.9</v>
      </c>
    </row>
    <row r="397" spans="1:12" ht="15.75">
      <c r="A397" s="2761" t="s">
        <v>5129</v>
      </c>
      <c r="B397" s="2762">
        <v>69000000000</v>
      </c>
      <c r="C397" s="2763">
        <v>0.33</v>
      </c>
      <c r="D397" s="2762">
        <v>2700</v>
      </c>
      <c r="E397" s="2764">
        <v>25800000000</v>
      </c>
      <c r="F397" s="2764">
        <v>90000000</v>
      </c>
      <c r="G397" s="2765">
        <f t="shared" si="12"/>
        <v>90</v>
      </c>
      <c r="H397" s="2764">
        <v>50000000</v>
      </c>
      <c r="I397" s="2765">
        <f t="shared" si="13"/>
        <v>50</v>
      </c>
      <c r="J397" s="2764">
        <v>2.34E-5</v>
      </c>
      <c r="K397" s="2764">
        <v>900</v>
      </c>
      <c r="L397" s="2767">
        <v>218</v>
      </c>
    </row>
    <row r="398" spans="1:12" ht="15.75">
      <c r="A398" s="2756" t="s">
        <v>5130</v>
      </c>
      <c r="B398" s="2757">
        <v>69000000666.137207</v>
      </c>
      <c r="C398" s="2758">
        <v>0.33</v>
      </c>
      <c r="D398" s="2757">
        <v>2700</v>
      </c>
      <c r="E398" s="2759">
        <v>25799999769.442101</v>
      </c>
      <c r="F398" s="2759">
        <v>89999997.271610007</v>
      </c>
      <c r="G398" s="2760">
        <f t="shared" si="12"/>
        <v>89.999997271609999</v>
      </c>
      <c r="H398" s="2759">
        <v>41368543.759007998</v>
      </c>
      <c r="I398" s="2760">
        <f t="shared" si="13"/>
        <v>41.368543759007999</v>
      </c>
      <c r="J398" s="2759">
        <v>2.3E-5</v>
      </c>
      <c r="K398" s="2759">
        <v>900.00000499999999</v>
      </c>
      <c r="L398" s="2766">
        <v>217.99999800000001</v>
      </c>
    </row>
    <row r="399" spans="1:12" ht="15.75">
      <c r="A399" s="2761" t="s">
        <v>5131</v>
      </c>
      <c r="B399" s="2762">
        <v>69000000000</v>
      </c>
      <c r="C399" s="2763">
        <v>0.33</v>
      </c>
      <c r="D399" s="2762">
        <v>2700</v>
      </c>
      <c r="E399" s="2764">
        <v>25800000000</v>
      </c>
      <c r="F399" s="2764">
        <v>150000000</v>
      </c>
      <c r="G399" s="2765">
        <f t="shared" si="12"/>
        <v>150</v>
      </c>
      <c r="H399" s="2764">
        <v>90000000</v>
      </c>
      <c r="I399" s="2765">
        <f t="shared" si="13"/>
        <v>90</v>
      </c>
      <c r="J399" s="2764">
        <v>2.34E-5</v>
      </c>
      <c r="K399" s="2764">
        <v>900</v>
      </c>
      <c r="L399" s="2767">
        <v>193</v>
      </c>
    </row>
    <row r="400" spans="1:12" ht="15.75">
      <c r="A400" s="2756" t="s">
        <v>5132</v>
      </c>
      <c r="B400" s="2757">
        <v>69000000000</v>
      </c>
      <c r="C400" s="2758">
        <v>0.33</v>
      </c>
      <c r="D400" s="2757">
        <v>2700</v>
      </c>
      <c r="E400" s="2759">
        <v>25800000000</v>
      </c>
      <c r="F400" s="2759">
        <v>170000000</v>
      </c>
      <c r="G400" s="2760">
        <f t="shared" si="12"/>
        <v>170</v>
      </c>
      <c r="H400" s="2759">
        <v>90000000</v>
      </c>
      <c r="I400" s="2760">
        <f t="shared" si="13"/>
        <v>90</v>
      </c>
      <c r="J400" s="2759">
        <v>2.34E-5</v>
      </c>
      <c r="K400" s="2759">
        <v>900</v>
      </c>
      <c r="L400" s="2766">
        <v>200</v>
      </c>
    </row>
    <row r="401" spans="1:12" ht="15.75">
      <c r="A401" s="2761" t="s">
        <v>5133</v>
      </c>
      <c r="B401" s="2762">
        <v>69000000000</v>
      </c>
      <c r="C401" s="2763">
        <v>0.33</v>
      </c>
      <c r="D401" s="2762">
        <v>2700</v>
      </c>
      <c r="E401" s="2764">
        <v>25800000000</v>
      </c>
      <c r="F401" s="2764">
        <v>185000000</v>
      </c>
      <c r="G401" s="2765">
        <f t="shared" si="12"/>
        <v>185</v>
      </c>
      <c r="H401" s="2764">
        <v>145000000</v>
      </c>
      <c r="I401" s="2765">
        <f t="shared" si="13"/>
        <v>145</v>
      </c>
      <c r="J401" s="2764">
        <v>2.34E-5</v>
      </c>
      <c r="K401" s="2764">
        <v>900</v>
      </c>
      <c r="L401" s="2767">
        <v>209</v>
      </c>
    </row>
    <row r="402" spans="1:12" ht="15.75">
      <c r="A402" s="2756" t="s">
        <v>5134</v>
      </c>
      <c r="B402" s="2757">
        <v>69000000000</v>
      </c>
      <c r="C402" s="2758">
        <v>0.33</v>
      </c>
      <c r="D402" s="2757">
        <v>2700</v>
      </c>
      <c r="E402" s="2759">
        <v>25800000000</v>
      </c>
      <c r="F402" s="2759">
        <v>240000000</v>
      </c>
      <c r="G402" s="2760">
        <f t="shared" si="12"/>
        <v>240</v>
      </c>
      <c r="H402" s="2759">
        <v>215000000</v>
      </c>
      <c r="I402" s="2760">
        <f t="shared" si="13"/>
        <v>215</v>
      </c>
      <c r="J402" s="2759">
        <v>2.34E-5</v>
      </c>
      <c r="K402" s="2759">
        <v>900</v>
      </c>
      <c r="L402" s="2766">
        <v>209</v>
      </c>
    </row>
    <row r="403" spans="1:12" ht="15.75">
      <c r="A403" s="2761" t="s">
        <v>5135</v>
      </c>
      <c r="B403" s="2762">
        <v>69000000666.137207</v>
      </c>
      <c r="C403" s="2763">
        <v>0.33</v>
      </c>
      <c r="D403" s="2762">
        <v>2700</v>
      </c>
      <c r="E403" s="2764">
        <v>25799999769.442101</v>
      </c>
      <c r="F403" s="2764">
        <v>239999999.61905101</v>
      </c>
      <c r="G403" s="2765">
        <f t="shared" si="12"/>
        <v>239.99999961905101</v>
      </c>
      <c r="H403" s="2764">
        <v>215000002.67518899</v>
      </c>
      <c r="I403" s="2765">
        <f t="shared" si="13"/>
        <v>215.00000267518899</v>
      </c>
      <c r="J403" s="2764">
        <v>2.3E-5</v>
      </c>
      <c r="K403" s="2764">
        <v>900.00000499999999</v>
      </c>
      <c r="L403" s="2767">
        <v>209.00000199999999</v>
      </c>
    </row>
    <row r="404" spans="1:12" ht="15.75">
      <c r="A404" s="2756" t="s">
        <v>5136</v>
      </c>
      <c r="B404" s="2757">
        <v>69000000000</v>
      </c>
      <c r="C404" s="2758">
        <v>0.33</v>
      </c>
      <c r="D404" s="2757">
        <v>2700</v>
      </c>
      <c r="E404" s="2759">
        <v>25800000000</v>
      </c>
      <c r="F404" s="2759">
        <v>255000000</v>
      </c>
      <c r="G404" s="2760">
        <f t="shared" si="12"/>
        <v>255</v>
      </c>
      <c r="H404" s="2759">
        <v>240000000</v>
      </c>
      <c r="I404" s="2760">
        <f t="shared" si="13"/>
        <v>240</v>
      </c>
      <c r="J404" s="2759">
        <v>2.34E-5</v>
      </c>
      <c r="K404" s="2759">
        <v>900</v>
      </c>
      <c r="L404" s="2766">
        <v>201</v>
      </c>
    </row>
    <row r="405" spans="1:12" ht="15.75">
      <c r="A405" s="2761" t="s">
        <v>5137</v>
      </c>
      <c r="B405" s="2762">
        <v>72000000000</v>
      </c>
      <c r="C405" s="2763">
        <v>0.33</v>
      </c>
      <c r="D405" s="2762">
        <v>2830</v>
      </c>
      <c r="E405" s="2764">
        <v>26900000000</v>
      </c>
      <c r="F405" s="2764">
        <v>495000000</v>
      </c>
      <c r="G405" s="2765">
        <f t="shared" si="12"/>
        <v>495</v>
      </c>
      <c r="H405" s="2764">
        <v>435000000</v>
      </c>
      <c r="I405" s="2765">
        <f t="shared" si="13"/>
        <v>435</v>
      </c>
      <c r="J405" s="2764">
        <v>2.3600000000000001E-5</v>
      </c>
      <c r="K405" s="2764">
        <v>860</v>
      </c>
      <c r="L405" s="2767">
        <v>155</v>
      </c>
    </row>
    <row r="406" spans="1:12" ht="15.75">
      <c r="A406" s="2756" t="s">
        <v>5138</v>
      </c>
      <c r="B406" s="2757">
        <v>72000000000</v>
      </c>
      <c r="C406" s="2758">
        <v>0.33</v>
      </c>
      <c r="D406" s="2757">
        <v>2830</v>
      </c>
      <c r="E406" s="2759">
        <v>26900000000</v>
      </c>
      <c r="F406" s="2759">
        <v>525000000</v>
      </c>
      <c r="G406" s="2760">
        <f t="shared" si="12"/>
        <v>525</v>
      </c>
      <c r="H406" s="2759">
        <v>470000000</v>
      </c>
      <c r="I406" s="2760">
        <f t="shared" si="13"/>
        <v>470</v>
      </c>
      <c r="J406" s="2759">
        <v>2.3600000000000001E-5</v>
      </c>
      <c r="K406" s="2759">
        <v>860</v>
      </c>
      <c r="L406" s="2766">
        <v>157</v>
      </c>
    </row>
    <row r="407" spans="1:12" ht="15.75">
      <c r="A407" s="2761" t="s">
        <v>5139</v>
      </c>
      <c r="B407" s="2762">
        <v>72000000000</v>
      </c>
      <c r="C407" s="2763">
        <v>0.33</v>
      </c>
      <c r="D407" s="2762">
        <v>2830</v>
      </c>
      <c r="E407" s="2764">
        <v>26900000000</v>
      </c>
      <c r="F407" s="2764">
        <v>550000000</v>
      </c>
      <c r="G407" s="2765">
        <f t="shared" si="12"/>
        <v>550</v>
      </c>
      <c r="H407" s="2764">
        <v>490000000</v>
      </c>
      <c r="I407" s="2765">
        <f t="shared" si="13"/>
        <v>490</v>
      </c>
      <c r="J407" s="2764">
        <v>2.3600000000000001E-5</v>
      </c>
      <c r="K407" s="2764">
        <v>860</v>
      </c>
      <c r="L407" s="2767">
        <v>153</v>
      </c>
    </row>
    <row r="408" spans="1:12" ht="15.75">
      <c r="A408" s="2756" t="s">
        <v>5140</v>
      </c>
      <c r="B408" s="2757">
        <v>71999999196.239395</v>
      </c>
      <c r="C408" s="2758">
        <v>0.33</v>
      </c>
      <c r="D408" s="2757">
        <v>2810.0000610000002</v>
      </c>
      <c r="E408" s="2759">
        <v>26899999690.130001</v>
      </c>
      <c r="F408" s="2759">
        <v>219999997.92710701</v>
      </c>
      <c r="G408" s="2760">
        <f t="shared" si="12"/>
        <v>219.99999792710699</v>
      </c>
      <c r="H408" s="2759">
        <v>94999999.418284997</v>
      </c>
      <c r="I408" s="2760">
        <f t="shared" si="13"/>
        <v>94.999999418285</v>
      </c>
      <c r="J408" s="2759">
        <v>2.4000000000000001E-5</v>
      </c>
      <c r="K408" s="2759">
        <v>959.99999400000002</v>
      </c>
      <c r="L408" s="2766">
        <v>173.00000199999999</v>
      </c>
    </row>
    <row r="409" spans="1:12" ht="15.75">
      <c r="A409" s="2761" t="s">
        <v>5141</v>
      </c>
      <c r="B409" s="2762">
        <v>72000000000</v>
      </c>
      <c r="C409" s="2763">
        <v>0.33</v>
      </c>
      <c r="D409" s="2762">
        <v>2810</v>
      </c>
      <c r="E409" s="2764">
        <v>26900000000</v>
      </c>
      <c r="F409" s="2764">
        <v>570000000</v>
      </c>
      <c r="G409" s="2765">
        <f t="shared" si="12"/>
        <v>570</v>
      </c>
      <c r="H409" s="2764">
        <v>505000000</v>
      </c>
      <c r="I409" s="2765">
        <f t="shared" si="13"/>
        <v>505</v>
      </c>
      <c r="J409" s="2764">
        <v>2.3600000000000001E-5</v>
      </c>
      <c r="K409" s="2764">
        <v>960</v>
      </c>
      <c r="L409" s="2767">
        <v>130</v>
      </c>
    </row>
    <row r="410" spans="1:12" ht="15.75">
      <c r="A410" s="2756" t="s">
        <v>5142</v>
      </c>
      <c r="B410" s="2757">
        <v>71999999196.239395</v>
      </c>
      <c r="C410" s="2758">
        <v>0.33</v>
      </c>
      <c r="D410" s="2757">
        <v>2810.0000610000002</v>
      </c>
      <c r="E410" s="2759">
        <v>26899999690.130001</v>
      </c>
      <c r="F410" s="2759">
        <v>570000003.40446901</v>
      </c>
      <c r="G410" s="2760">
        <f t="shared" si="12"/>
        <v>570.000003404469</v>
      </c>
      <c r="H410" s="2759">
        <v>505000003.07672</v>
      </c>
      <c r="I410" s="2760">
        <f t="shared" si="13"/>
        <v>505.00000307672002</v>
      </c>
      <c r="J410" s="2759">
        <v>2.4000000000000001E-5</v>
      </c>
      <c r="K410" s="2759">
        <v>959.99999400000002</v>
      </c>
      <c r="L410" s="2766">
        <v>129.999999</v>
      </c>
    </row>
    <row r="411" spans="1:12" ht="15.75">
      <c r="A411" s="2761" t="s">
        <v>5143</v>
      </c>
      <c r="B411" s="2762">
        <v>72000000000</v>
      </c>
      <c r="C411" s="2763">
        <v>0.33</v>
      </c>
      <c r="D411" s="2762">
        <v>2700</v>
      </c>
      <c r="E411" s="2764">
        <v>27000000000</v>
      </c>
      <c r="F411" s="2764">
        <v>0</v>
      </c>
      <c r="G411" s="2765">
        <f t="shared" si="12"/>
        <v>0</v>
      </c>
      <c r="H411" s="2764">
        <v>505000000</v>
      </c>
      <c r="I411" s="2765">
        <f t="shared" si="13"/>
        <v>505</v>
      </c>
      <c r="J411" s="2764">
        <v>2.5000000000000001E-5</v>
      </c>
      <c r="K411" s="2764">
        <v>960</v>
      </c>
      <c r="L411" s="2767">
        <v>120</v>
      </c>
    </row>
    <row r="412" spans="1:12" ht="15.75">
      <c r="A412" s="2756" t="s">
        <v>5144</v>
      </c>
      <c r="B412" s="2757">
        <v>370000000000</v>
      </c>
      <c r="C412" s="2758">
        <v>0.22</v>
      </c>
      <c r="D412" s="2757">
        <v>3960</v>
      </c>
      <c r="E412" s="2759">
        <v>150000000000</v>
      </c>
      <c r="F412" s="2759">
        <v>300000000</v>
      </c>
      <c r="G412" s="2760">
        <f t="shared" si="12"/>
        <v>300</v>
      </c>
      <c r="H412" s="2759">
        <v>0</v>
      </c>
      <c r="I412" s="2760">
        <f t="shared" si="13"/>
        <v>0</v>
      </c>
      <c r="J412" s="2759">
        <v>7.4000000000000003E-6</v>
      </c>
      <c r="K412" s="2759">
        <v>850</v>
      </c>
      <c r="L412" s="2766">
        <v>30</v>
      </c>
    </row>
    <row r="413" spans="1:12" ht="15.75">
      <c r="A413" s="2761" t="s">
        <v>5145</v>
      </c>
      <c r="B413" s="2762">
        <v>72400000000</v>
      </c>
      <c r="C413" s="2763">
        <v>0.33</v>
      </c>
      <c r="D413" s="2762">
        <v>2680</v>
      </c>
      <c r="E413" s="2764">
        <v>27200000000</v>
      </c>
      <c r="F413" s="2764">
        <v>145000000</v>
      </c>
      <c r="G413" s="2765">
        <f t="shared" si="12"/>
        <v>145</v>
      </c>
      <c r="H413" s="2764">
        <v>0</v>
      </c>
      <c r="I413" s="2765">
        <f t="shared" si="13"/>
        <v>0</v>
      </c>
      <c r="J413" s="2764">
        <v>2.1399999999999998E-5</v>
      </c>
      <c r="K413" s="2764">
        <v>963</v>
      </c>
      <c r="L413" s="2767">
        <v>167</v>
      </c>
    </row>
    <row r="414" spans="1:12" ht="15.75">
      <c r="A414" s="2756" t="s">
        <v>5146</v>
      </c>
      <c r="B414" s="2757">
        <v>71000000000</v>
      </c>
      <c r="C414" s="2758">
        <v>0.33</v>
      </c>
      <c r="D414" s="2757">
        <v>2760</v>
      </c>
      <c r="E414" s="2759">
        <v>26500000000</v>
      </c>
      <c r="F414" s="2759">
        <v>317000000</v>
      </c>
      <c r="G414" s="2760">
        <f t="shared" si="12"/>
        <v>317</v>
      </c>
      <c r="H414" s="2759">
        <v>159000000</v>
      </c>
      <c r="I414" s="2760">
        <f t="shared" si="13"/>
        <v>159</v>
      </c>
      <c r="J414" s="2759">
        <v>2.12E-5</v>
      </c>
      <c r="K414" s="2759">
        <v>963</v>
      </c>
      <c r="L414" s="2766">
        <v>109</v>
      </c>
    </row>
    <row r="415" spans="1:12" ht="15.75">
      <c r="A415" s="2761" t="s">
        <v>5147</v>
      </c>
      <c r="B415" s="2762">
        <v>69600000000</v>
      </c>
      <c r="C415" s="2763">
        <v>0.33</v>
      </c>
      <c r="D415" s="2762">
        <v>2710</v>
      </c>
      <c r="E415" s="2764">
        <v>26500000000</v>
      </c>
      <c r="F415" s="2764">
        <v>276000000</v>
      </c>
      <c r="G415" s="2765">
        <f t="shared" si="12"/>
        <v>276</v>
      </c>
      <c r="H415" s="2764">
        <v>207000000</v>
      </c>
      <c r="I415" s="2765">
        <f t="shared" si="13"/>
        <v>207</v>
      </c>
      <c r="J415" s="2764">
        <v>2.1999999999999999E-5</v>
      </c>
      <c r="K415" s="2764">
        <v>963</v>
      </c>
      <c r="L415" s="2767">
        <v>151</v>
      </c>
    </row>
    <row r="416" spans="1:12" ht="15.75">
      <c r="A416" s="2756" t="s">
        <v>5148</v>
      </c>
      <c r="B416" s="2757">
        <v>110000000000</v>
      </c>
      <c r="C416" s="2758">
        <v>0.3</v>
      </c>
      <c r="D416" s="2757">
        <v>7400</v>
      </c>
      <c r="E416" s="2759">
        <v>43000000000</v>
      </c>
      <c r="F416" s="2759">
        <v>551485000</v>
      </c>
      <c r="G416" s="2760">
        <f t="shared" si="12"/>
        <v>551.48500000000001</v>
      </c>
      <c r="H416" s="2759">
        <v>275742000</v>
      </c>
      <c r="I416" s="2760">
        <f t="shared" si="13"/>
        <v>275.74200000000002</v>
      </c>
      <c r="J416" s="2759">
        <v>1.7E-5</v>
      </c>
      <c r="K416" s="2759">
        <v>380</v>
      </c>
      <c r="L416" s="2766">
        <v>56</v>
      </c>
    </row>
    <row r="417" spans="1:12" ht="15.75">
      <c r="A417" s="2761" t="s">
        <v>5149</v>
      </c>
      <c r="B417" s="2762">
        <v>115000000000</v>
      </c>
      <c r="C417" s="2763">
        <v>0.3</v>
      </c>
      <c r="D417" s="2762">
        <v>8260</v>
      </c>
      <c r="E417" s="2764">
        <v>50000000000</v>
      </c>
      <c r="F417" s="2764">
        <v>483000000</v>
      </c>
      <c r="G417" s="2765">
        <f t="shared" si="12"/>
        <v>483</v>
      </c>
      <c r="H417" s="2764">
        <v>221000000</v>
      </c>
      <c r="I417" s="2765">
        <f t="shared" si="13"/>
        <v>221</v>
      </c>
      <c r="J417" s="2764">
        <v>1.6699999999999999E-5</v>
      </c>
      <c r="K417" s="2764">
        <v>0</v>
      </c>
      <c r="L417" s="2767">
        <v>118</v>
      </c>
    </row>
    <row r="418" spans="1:12" ht="15.75">
      <c r="A418" s="2756" t="s">
        <v>5150</v>
      </c>
      <c r="B418" s="2757">
        <v>125000000000</v>
      </c>
      <c r="C418" s="2758">
        <v>0.3</v>
      </c>
      <c r="D418" s="2757">
        <v>8250</v>
      </c>
      <c r="E418" s="2759">
        <v>50000000000</v>
      </c>
      <c r="F418" s="2759">
        <v>469000000</v>
      </c>
      <c r="G418" s="2760">
        <f t="shared" si="12"/>
        <v>469</v>
      </c>
      <c r="H418" s="2759">
        <v>172000000</v>
      </c>
      <c r="I418" s="2760">
        <f t="shared" si="13"/>
        <v>172</v>
      </c>
      <c r="J418" s="2759">
        <v>1.6699999999999999E-5</v>
      </c>
      <c r="K418" s="2759">
        <v>0</v>
      </c>
      <c r="L418" s="2766">
        <v>105</v>
      </c>
    </row>
    <row r="419" spans="1:12" ht="15.75">
      <c r="A419" s="2761" t="s">
        <v>5151</v>
      </c>
      <c r="B419" s="2762">
        <v>125000000000</v>
      </c>
      <c r="C419" s="2763">
        <v>0.3</v>
      </c>
      <c r="D419" s="2762">
        <v>8250</v>
      </c>
      <c r="E419" s="2764">
        <v>50000000000</v>
      </c>
      <c r="F419" s="2764">
        <v>469000000</v>
      </c>
      <c r="G419" s="2765">
        <f t="shared" si="12"/>
        <v>469</v>
      </c>
      <c r="H419" s="2764">
        <v>172000000</v>
      </c>
      <c r="I419" s="2765">
        <f t="shared" si="13"/>
        <v>172</v>
      </c>
      <c r="J419" s="2764">
        <v>1.6699999999999999E-5</v>
      </c>
      <c r="K419" s="2764">
        <v>0</v>
      </c>
      <c r="L419" s="2767">
        <v>105</v>
      </c>
    </row>
    <row r="420" spans="1:12" ht="15.75">
      <c r="A420" s="2756" t="s">
        <v>5152</v>
      </c>
      <c r="B420" s="2757">
        <v>303000000000</v>
      </c>
      <c r="C420" s="2758">
        <v>7.0000000000000007E-2</v>
      </c>
      <c r="D420" s="2757">
        <v>1844</v>
      </c>
      <c r="E420" s="2759">
        <v>135000000000</v>
      </c>
      <c r="F420" s="2759">
        <v>290000000</v>
      </c>
      <c r="G420" s="2760">
        <f t="shared" si="12"/>
        <v>290</v>
      </c>
      <c r="H420" s="2759">
        <v>207000000</v>
      </c>
      <c r="I420" s="2760">
        <f t="shared" si="13"/>
        <v>207</v>
      </c>
      <c r="J420" s="2759">
        <v>1.15E-5</v>
      </c>
      <c r="K420" s="2759">
        <v>0</v>
      </c>
      <c r="L420" s="2766">
        <v>216</v>
      </c>
    </row>
    <row r="421" spans="1:12" ht="15.75">
      <c r="A421" s="2761" t="s">
        <v>5153</v>
      </c>
      <c r="B421" s="2762">
        <v>303400000000</v>
      </c>
      <c r="C421" s="2763">
        <v>0.18</v>
      </c>
      <c r="D421" s="2762">
        <v>1850</v>
      </c>
      <c r="E421" s="2764">
        <v>135000000000</v>
      </c>
      <c r="F421" s="2764">
        <v>324000000</v>
      </c>
      <c r="G421" s="2765">
        <f t="shared" si="12"/>
        <v>324</v>
      </c>
      <c r="H421" s="2764">
        <v>241000000</v>
      </c>
      <c r="I421" s="2765">
        <f t="shared" si="13"/>
        <v>241</v>
      </c>
      <c r="J421" s="2764">
        <v>1.1399999999999999E-5</v>
      </c>
      <c r="K421" s="2764">
        <v>0</v>
      </c>
      <c r="L421" s="2767">
        <v>216.3</v>
      </c>
    </row>
    <row r="422" spans="1:12" ht="15.75">
      <c r="A422" s="2756" t="s">
        <v>5154</v>
      </c>
      <c r="B422" s="2757">
        <v>100000000000</v>
      </c>
      <c r="C422" s="2758">
        <v>0.33</v>
      </c>
      <c r="D422" s="2757">
        <v>8500</v>
      </c>
      <c r="E422" s="2759">
        <v>37000000000</v>
      </c>
      <c r="F422" s="2759">
        <v>478413000</v>
      </c>
      <c r="G422" s="2760">
        <f t="shared" si="12"/>
        <v>478.41300000000001</v>
      </c>
      <c r="H422" s="2759">
        <v>239689000</v>
      </c>
      <c r="I422" s="2760">
        <f t="shared" si="13"/>
        <v>239.68899999999999</v>
      </c>
      <c r="J422" s="2759">
        <v>1.8E-5</v>
      </c>
      <c r="K422" s="2759">
        <v>390</v>
      </c>
      <c r="L422" s="2766">
        <v>110</v>
      </c>
    </row>
    <row r="423" spans="1:12" ht="15.75">
      <c r="A423" s="2761" t="s">
        <v>5155</v>
      </c>
      <c r="B423" s="2762">
        <v>130000000000</v>
      </c>
      <c r="C423" s="2763">
        <v>0</v>
      </c>
      <c r="D423" s="2762">
        <v>8890</v>
      </c>
      <c r="E423" s="2764">
        <v>50000000000</v>
      </c>
      <c r="F423" s="2764">
        <v>234000000</v>
      </c>
      <c r="G423" s="2765">
        <f t="shared" si="12"/>
        <v>234</v>
      </c>
      <c r="H423" s="2764">
        <v>97000000</v>
      </c>
      <c r="I423" s="2765">
        <f t="shared" si="13"/>
        <v>97</v>
      </c>
      <c r="J423" s="2764">
        <v>1.7600000000000001E-5</v>
      </c>
      <c r="K423" s="2764">
        <v>0</v>
      </c>
      <c r="L423" s="2767">
        <v>171</v>
      </c>
    </row>
    <row r="424" spans="1:12" ht="15.75">
      <c r="A424" s="2756" t="s">
        <v>5156</v>
      </c>
      <c r="B424" s="2757">
        <v>110000000000</v>
      </c>
      <c r="C424" s="2758">
        <v>0.37</v>
      </c>
      <c r="D424" s="2757">
        <v>8900</v>
      </c>
      <c r="E424" s="2759">
        <v>40000000000</v>
      </c>
      <c r="F424" s="2759">
        <v>394380000</v>
      </c>
      <c r="G424" s="2760">
        <f t="shared" si="12"/>
        <v>394.38</v>
      </c>
      <c r="H424" s="2759">
        <v>258646000</v>
      </c>
      <c r="I424" s="2760">
        <f t="shared" si="13"/>
        <v>258.64600000000002</v>
      </c>
      <c r="J424" s="2759">
        <v>2.4000000000000001E-5</v>
      </c>
      <c r="K424" s="2759">
        <v>390</v>
      </c>
      <c r="L424" s="2766">
        <v>390</v>
      </c>
    </row>
    <row r="425" spans="1:12" ht="15.75">
      <c r="A425" s="2761" t="s">
        <v>5157</v>
      </c>
      <c r="B425" s="2762">
        <v>115000000000</v>
      </c>
      <c r="C425" s="2763">
        <v>0</v>
      </c>
      <c r="D425" s="2762">
        <v>8800</v>
      </c>
      <c r="E425" s="2764">
        <v>44000000000</v>
      </c>
      <c r="F425" s="2764">
        <v>255000000</v>
      </c>
      <c r="G425" s="2765">
        <f t="shared" si="12"/>
        <v>255</v>
      </c>
      <c r="H425" s="2764">
        <v>69000000</v>
      </c>
      <c r="I425" s="2765">
        <f t="shared" si="13"/>
        <v>69</v>
      </c>
      <c r="J425" s="2764">
        <v>1.84E-5</v>
      </c>
      <c r="K425" s="2764">
        <v>0</v>
      </c>
      <c r="L425" s="2767">
        <v>189</v>
      </c>
    </row>
    <row r="426" spans="1:12" ht="15.75">
      <c r="A426" s="2756" t="s">
        <v>5158</v>
      </c>
      <c r="B426" s="2757">
        <v>125000000000</v>
      </c>
      <c r="C426" s="2758">
        <v>0</v>
      </c>
      <c r="D426" s="2757">
        <v>8750</v>
      </c>
      <c r="E426" s="2759">
        <v>0</v>
      </c>
      <c r="F426" s="2759">
        <v>310000000</v>
      </c>
      <c r="G426" s="2760">
        <f t="shared" si="12"/>
        <v>310</v>
      </c>
      <c r="H426" s="2759">
        <v>172000000</v>
      </c>
      <c r="I426" s="2760">
        <f t="shared" si="13"/>
        <v>172</v>
      </c>
      <c r="J426" s="2759">
        <v>1.7600000000000001E-5</v>
      </c>
      <c r="K426" s="2759">
        <v>0</v>
      </c>
      <c r="L426" s="2766">
        <v>0</v>
      </c>
    </row>
    <row r="427" spans="1:12" ht="15.75">
      <c r="A427" s="2761" t="s">
        <v>5159</v>
      </c>
      <c r="B427" s="2762">
        <v>97000000000</v>
      </c>
      <c r="C427" s="2763">
        <v>0</v>
      </c>
      <c r="D427" s="2762">
        <v>8490</v>
      </c>
      <c r="E427" s="2764">
        <v>37000000000</v>
      </c>
      <c r="F427" s="2764">
        <v>338000000</v>
      </c>
      <c r="G427" s="2765">
        <f t="shared" si="12"/>
        <v>338</v>
      </c>
      <c r="H427" s="2764">
        <v>124000000</v>
      </c>
      <c r="I427" s="2765">
        <f t="shared" si="13"/>
        <v>124</v>
      </c>
      <c r="J427" s="2764">
        <v>2.05E-5</v>
      </c>
      <c r="K427" s="2764">
        <v>0</v>
      </c>
      <c r="L427" s="2767">
        <v>115</v>
      </c>
    </row>
    <row r="428" spans="1:12" ht="15.75">
      <c r="A428" s="2756" t="s">
        <v>5160</v>
      </c>
      <c r="B428" s="2757">
        <v>105000000000</v>
      </c>
      <c r="C428" s="2758">
        <v>0</v>
      </c>
      <c r="D428" s="2757">
        <v>8500</v>
      </c>
      <c r="E428" s="2759">
        <v>39000000000</v>
      </c>
      <c r="F428" s="2759">
        <v>338000000</v>
      </c>
      <c r="G428" s="2760">
        <f t="shared" si="12"/>
        <v>338</v>
      </c>
      <c r="H428" s="2759">
        <v>117000000</v>
      </c>
      <c r="I428" s="2760">
        <f t="shared" si="13"/>
        <v>117</v>
      </c>
      <c r="J428" s="2759">
        <v>2.0299999999999999E-5</v>
      </c>
      <c r="K428" s="2759">
        <v>0</v>
      </c>
      <c r="L428" s="2766">
        <v>115</v>
      </c>
    </row>
    <row r="429" spans="1:12" ht="15.75">
      <c r="A429" s="2761" t="s">
        <v>5161</v>
      </c>
      <c r="B429" s="2762">
        <v>110000000000</v>
      </c>
      <c r="C429" s="2763">
        <v>0.37</v>
      </c>
      <c r="D429" s="2762">
        <v>8700</v>
      </c>
      <c r="E429" s="2764">
        <v>41000000000</v>
      </c>
      <c r="F429" s="2764">
        <v>255062000</v>
      </c>
      <c r="G429" s="2765">
        <f t="shared" si="12"/>
        <v>255.06200000000001</v>
      </c>
      <c r="H429" s="2764">
        <v>82722700</v>
      </c>
      <c r="I429" s="2765">
        <f t="shared" si="13"/>
        <v>82.722700000000003</v>
      </c>
      <c r="J429" s="2764">
        <v>3.1999999999999999E-5</v>
      </c>
      <c r="K429" s="2764">
        <v>340</v>
      </c>
      <c r="L429" s="2767">
        <v>26</v>
      </c>
    </row>
    <row r="430" spans="1:12" ht="15.75">
      <c r="A430" s="2756" t="s">
        <v>5162</v>
      </c>
      <c r="B430" s="2757">
        <v>110000000000</v>
      </c>
      <c r="C430" s="2758">
        <v>0.37</v>
      </c>
      <c r="D430" s="2757">
        <v>8300</v>
      </c>
      <c r="E430" s="2759">
        <v>39000000000</v>
      </c>
      <c r="F430" s="2759">
        <v>448081000</v>
      </c>
      <c r="G430" s="2760">
        <f t="shared" si="12"/>
        <v>448.08100000000002</v>
      </c>
      <c r="H430" s="2759">
        <v>206807000</v>
      </c>
      <c r="I430" s="2760">
        <f t="shared" si="13"/>
        <v>206.80699999999999</v>
      </c>
      <c r="J430" s="2759">
        <v>2.1999999999999999E-5</v>
      </c>
      <c r="K430" s="2759">
        <v>380</v>
      </c>
      <c r="L430" s="2766">
        <v>9.6</v>
      </c>
    </row>
    <row r="431" spans="1:12" ht="15.75">
      <c r="A431" s="2761" t="s">
        <v>5163</v>
      </c>
      <c r="B431" s="2762">
        <v>125000000000</v>
      </c>
      <c r="C431" s="2763">
        <v>0</v>
      </c>
      <c r="D431" s="2762">
        <v>8690</v>
      </c>
      <c r="E431" s="2764">
        <v>47000000000</v>
      </c>
      <c r="F431" s="2764">
        <v>359000000</v>
      </c>
      <c r="G431" s="2765">
        <f t="shared" si="12"/>
        <v>359</v>
      </c>
      <c r="H431" s="2764">
        <v>124000000</v>
      </c>
      <c r="I431" s="2765">
        <f t="shared" si="13"/>
        <v>124</v>
      </c>
      <c r="J431" s="2764">
        <v>1.6200000000000001E-5</v>
      </c>
      <c r="K431" s="2764">
        <v>0</v>
      </c>
      <c r="L431" s="2767">
        <v>40</v>
      </c>
    </row>
    <row r="432" spans="1:12" ht="15.75">
      <c r="A432" s="2756" t="s">
        <v>5164</v>
      </c>
      <c r="B432" s="2757">
        <v>110000000000</v>
      </c>
      <c r="C432" s="2758">
        <v>0</v>
      </c>
      <c r="D432" s="2757">
        <v>8780</v>
      </c>
      <c r="E432" s="2759">
        <v>41000000000</v>
      </c>
      <c r="F432" s="2759">
        <v>455000000</v>
      </c>
      <c r="G432" s="2760">
        <f t="shared" si="12"/>
        <v>455</v>
      </c>
      <c r="H432" s="2759">
        <v>193000000</v>
      </c>
      <c r="I432" s="2760">
        <f t="shared" si="13"/>
        <v>193</v>
      </c>
      <c r="J432" s="2759">
        <v>1.84E-5</v>
      </c>
      <c r="K432" s="2759">
        <v>0</v>
      </c>
      <c r="L432" s="2766">
        <v>50</v>
      </c>
    </row>
    <row r="433" spans="1:12" ht="15.75">
      <c r="A433" s="2761" t="s">
        <v>5165</v>
      </c>
      <c r="B433" s="2762">
        <v>1100000000000</v>
      </c>
      <c r="C433" s="2763">
        <v>0.33</v>
      </c>
      <c r="D433" s="2762">
        <v>8300</v>
      </c>
      <c r="E433" s="2764">
        <v>37000000000</v>
      </c>
      <c r="F433" s="2764">
        <v>261955000</v>
      </c>
      <c r="G433" s="2765">
        <f t="shared" si="12"/>
        <v>261.95499999999998</v>
      </c>
      <c r="H433" s="2764">
        <v>110297000</v>
      </c>
      <c r="I433" s="2765">
        <f t="shared" si="13"/>
        <v>110.297</v>
      </c>
      <c r="J433" s="2764">
        <v>1.8E-5</v>
      </c>
      <c r="K433" s="2764">
        <v>380</v>
      </c>
      <c r="L433" s="2767">
        <v>47</v>
      </c>
    </row>
    <row r="434" spans="1:12" ht="15.75">
      <c r="A434" s="2756" t="s">
        <v>5166</v>
      </c>
      <c r="B434" s="2757">
        <v>110000000000</v>
      </c>
      <c r="C434" s="2758">
        <v>0.33</v>
      </c>
      <c r="D434" s="2757">
        <v>8400</v>
      </c>
      <c r="E434" s="2759">
        <v>40000000000</v>
      </c>
      <c r="F434" s="2759">
        <v>0</v>
      </c>
      <c r="G434" s="2760">
        <f t="shared" si="12"/>
        <v>0</v>
      </c>
      <c r="H434" s="2759">
        <v>0</v>
      </c>
      <c r="I434" s="2760">
        <f t="shared" si="13"/>
        <v>0</v>
      </c>
      <c r="J434" s="2759">
        <v>2.0000000000000002E-5</v>
      </c>
      <c r="K434" s="2759">
        <v>380</v>
      </c>
      <c r="L434" s="2766">
        <v>230</v>
      </c>
    </row>
    <row r="435" spans="1:12" ht="15.75">
      <c r="A435" s="2761" t="s">
        <v>5167</v>
      </c>
      <c r="B435" s="2762">
        <v>105000000000</v>
      </c>
      <c r="C435" s="2763">
        <v>0.37</v>
      </c>
      <c r="D435" s="2762">
        <v>4500</v>
      </c>
      <c r="E435" s="2764">
        <v>45000000000</v>
      </c>
      <c r="F435" s="2764">
        <v>440000000</v>
      </c>
      <c r="G435" s="2765">
        <f t="shared" si="12"/>
        <v>440</v>
      </c>
      <c r="H435" s="2764">
        <v>377000000</v>
      </c>
      <c r="I435" s="2765">
        <f t="shared" si="13"/>
        <v>377</v>
      </c>
      <c r="J435" s="2764">
        <v>9.0000000000000002E-6</v>
      </c>
      <c r="K435" s="2764">
        <v>523</v>
      </c>
      <c r="L435" s="2767">
        <v>19.899999999999999</v>
      </c>
    </row>
    <row r="436" spans="1:12" ht="15.75">
      <c r="A436" s="2756" t="s">
        <v>5168</v>
      </c>
      <c r="B436" s="2757">
        <v>105000000000</v>
      </c>
      <c r="C436" s="2758">
        <v>0.37</v>
      </c>
      <c r="D436" s="2757">
        <v>4510</v>
      </c>
      <c r="E436" s="2759">
        <v>45000000000</v>
      </c>
      <c r="F436" s="2759">
        <v>550000000</v>
      </c>
      <c r="G436" s="2760">
        <f t="shared" si="12"/>
        <v>550</v>
      </c>
      <c r="H436" s="2759">
        <v>500000000</v>
      </c>
      <c r="I436" s="2760">
        <f t="shared" si="13"/>
        <v>500</v>
      </c>
      <c r="J436" s="2759">
        <v>9.0000000000000002E-6</v>
      </c>
      <c r="K436" s="2759">
        <v>530</v>
      </c>
      <c r="L436" s="2766">
        <v>17.2</v>
      </c>
    </row>
    <row r="437" spans="1:12" ht="15.75">
      <c r="A437" s="2761" t="s">
        <v>5169</v>
      </c>
      <c r="B437" s="2762">
        <v>105000000000</v>
      </c>
      <c r="C437" s="2763">
        <v>0.37</v>
      </c>
      <c r="D437" s="2762">
        <v>4510</v>
      </c>
      <c r="E437" s="2764">
        <v>45000000000</v>
      </c>
      <c r="F437" s="2764">
        <v>344000000</v>
      </c>
      <c r="G437" s="2765">
        <f t="shared" si="12"/>
        <v>344</v>
      </c>
      <c r="H437" s="2764">
        <v>370000000</v>
      </c>
      <c r="I437" s="2765">
        <f t="shared" si="13"/>
        <v>370</v>
      </c>
      <c r="J437" s="2764">
        <v>9.0000000000000002E-6</v>
      </c>
      <c r="K437" s="2764">
        <v>0</v>
      </c>
      <c r="L437" s="2767">
        <v>16.399999999999999</v>
      </c>
    </row>
    <row r="438" spans="1:12" ht="15.75">
      <c r="A438" s="2756" t="s">
        <v>5170</v>
      </c>
      <c r="B438" s="2757">
        <v>105000000000</v>
      </c>
      <c r="C438" s="2758">
        <v>0.33</v>
      </c>
      <c r="D438" s="2757">
        <v>4510</v>
      </c>
      <c r="E438" s="2759">
        <v>0</v>
      </c>
      <c r="F438" s="2759">
        <v>485000000</v>
      </c>
      <c r="G438" s="2760">
        <f t="shared" si="12"/>
        <v>485</v>
      </c>
      <c r="H438" s="2759">
        <v>345000000</v>
      </c>
      <c r="I438" s="2760">
        <f t="shared" si="13"/>
        <v>345</v>
      </c>
      <c r="J438" s="2759">
        <v>9.0000000000000002E-6</v>
      </c>
      <c r="K438" s="2759">
        <v>0</v>
      </c>
      <c r="L438" s="2766">
        <v>21.79</v>
      </c>
    </row>
    <row r="439" spans="1:12" ht="15.75">
      <c r="A439" s="2761" t="s">
        <v>5171</v>
      </c>
      <c r="B439" s="2762">
        <v>105000000000</v>
      </c>
      <c r="C439" s="2763">
        <v>0.33</v>
      </c>
      <c r="D439" s="2762">
        <v>4510</v>
      </c>
      <c r="E439" s="2764">
        <v>0</v>
      </c>
      <c r="F439" s="2764">
        <v>485000000</v>
      </c>
      <c r="G439" s="2765">
        <f t="shared" si="12"/>
        <v>485</v>
      </c>
      <c r="H439" s="2764">
        <v>345000000</v>
      </c>
      <c r="I439" s="2765">
        <f t="shared" si="13"/>
        <v>345</v>
      </c>
      <c r="J439" s="2764">
        <v>9.0000000000000002E-6</v>
      </c>
      <c r="K439" s="2764">
        <v>0</v>
      </c>
      <c r="L439" s="2767">
        <v>21.79</v>
      </c>
    </row>
    <row r="440" spans="1:12" ht="15.75">
      <c r="A440" s="2756" t="s">
        <v>5172</v>
      </c>
      <c r="B440" s="2757">
        <v>104000001903.349</v>
      </c>
      <c r="C440" s="2758">
        <v>0.33</v>
      </c>
      <c r="D440" s="2757">
        <v>4820.0000810000001</v>
      </c>
      <c r="E440" s="2759">
        <v>39999999936.5084</v>
      </c>
      <c r="F440" s="2759">
        <v>1219999999.78719</v>
      </c>
      <c r="G440" s="2760">
        <f t="shared" si="12"/>
        <v>1219.9999997871901</v>
      </c>
      <c r="H440" s="2759">
        <v>1034213593.9752001</v>
      </c>
      <c r="I440" s="2760">
        <f t="shared" si="13"/>
        <v>1034.2135939752</v>
      </c>
      <c r="J440" s="2759">
        <v>7.9999999999999996E-6</v>
      </c>
      <c r="K440" s="2759">
        <v>514.99998000000005</v>
      </c>
      <c r="L440" s="2766">
        <v>6.2</v>
      </c>
    </row>
    <row r="441" spans="1:12" ht="15.75">
      <c r="A441" s="2761" t="s">
        <v>5173</v>
      </c>
      <c r="B441" s="2762">
        <v>110300000000</v>
      </c>
      <c r="C441" s="2763">
        <v>0.31</v>
      </c>
      <c r="D441" s="2762">
        <v>4480.0001000000002</v>
      </c>
      <c r="E441" s="2764">
        <v>47999999923.810097</v>
      </c>
      <c r="F441" s="2764">
        <v>860999984.93001401</v>
      </c>
      <c r="G441" s="2765">
        <f t="shared" si="12"/>
        <v>860.99998493001397</v>
      </c>
      <c r="H441" s="2764">
        <v>744633790</v>
      </c>
      <c r="I441" s="2765">
        <f t="shared" si="13"/>
        <v>744.63378999999998</v>
      </c>
      <c r="J441" s="2764">
        <v>9.0000000000000002E-6</v>
      </c>
      <c r="K441" s="2764">
        <v>530.00000899999998</v>
      </c>
      <c r="L441" s="2767">
        <v>7.8</v>
      </c>
    </row>
    <row r="442" spans="1:12" ht="15.75">
      <c r="A442" s="2756" t="s">
        <v>5174</v>
      </c>
      <c r="B442" s="2757">
        <v>123000001787.006</v>
      </c>
      <c r="C442" s="2758">
        <v>0.33</v>
      </c>
      <c r="D442" s="2757">
        <v>4650.0001000000002</v>
      </c>
      <c r="E442" s="2759">
        <v>45999999754.6157</v>
      </c>
      <c r="F442" s="2759">
        <v>1160000029.1851499</v>
      </c>
      <c r="G442" s="2760">
        <f t="shared" si="12"/>
        <v>1160.00002918515</v>
      </c>
      <c r="H442" s="2759">
        <v>1070000004.33451</v>
      </c>
      <c r="I442" s="2760">
        <f t="shared" si="13"/>
        <v>1070.0000043345101</v>
      </c>
      <c r="J442" s="2759">
        <v>9.0000000000000002E-6</v>
      </c>
      <c r="K442" s="2759">
        <v>499.99999300000002</v>
      </c>
      <c r="L442" s="2766">
        <v>7.8</v>
      </c>
    </row>
    <row r="443" spans="1:12" ht="15.75">
      <c r="A443" s="2761" t="s">
        <v>5175</v>
      </c>
      <c r="B443" s="2762">
        <v>104800310000</v>
      </c>
      <c r="C443" s="2763">
        <v>0.31</v>
      </c>
      <c r="D443" s="2762">
        <v>4428.7839999999997</v>
      </c>
      <c r="E443" s="2764">
        <v>41023807000</v>
      </c>
      <c r="F443" s="2764">
        <v>827370880</v>
      </c>
      <c r="G443" s="2765">
        <f t="shared" si="12"/>
        <v>827.37088000000006</v>
      </c>
      <c r="H443" s="2764">
        <v>1050000000</v>
      </c>
      <c r="I443" s="2765">
        <f t="shared" si="13"/>
        <v>1050</v>
      </c>
      <c r="J443" s="2764">
        <v>9.0000000000000002E-6</v>
      </c>
      <c r="K443" s="2764">
        <v>586.04</v>
      </c>
      <c r="L443" s="2767">
        <v>6.7</v>
      </c>
    </row>
    <row r="444" spans="1:12" ht="15.75">
      <c r="A444" s="2756" t="s">
        <v>5176</v>
      </c>
      <c r="B444" s="2757">
        <v>120000003256.903</v>
      </c>
      <c r="C444" s="2758">
        <v>0.32</v>
      </c>
      <c r="D444" s="2757">
        <v>4369.9999200000002</v>
      </c>
      <c r="E444" s="2759">
        <v>45999999754.6157</v>
      </c>
      <c r="F444" s="2759">
        <v>936999998.25415695</v>
      </c>
      <c r="G444" s="2760">
        <f t="shared" si="12"/>
        <v>936.99999825415705</v>
      </c>
      <c r="H444" s="2759">
        <v>930792234.57767999</v>
      </c>
      <c r="I444" s="2760">
        <f t="shared" si="13"/>
        <v>930.79223457768001</v>
      </c>
      <c r="J444" s="2759">
        <v>7.9999999999999996E-6</v>
      </c>
      <c r="K444" s="2759">
        <v>501.99997999999999</v>
      </c>
      <c r="L444" s="2766">
        <v>6</v>
      </c>
    </row>
    <row r="445" spans="1:12" ht="15.75">
      <c r="A445" s="2761" t="s">
        <v>5177</v>
      </c>
      <c r="B445" s="2762">
        <v>115000000000</v>
      </c>
      <c r="C445" s="2763">
        <v>0.33</v>
      </c>
      <c r="D445" s="2762">
        <v>4730</v>
      </c>
      <c r="E445" s="2764">
        <v>48999999663.669403</v>
      </c>
      <c r="F445" s="2764">
        <v>899999972.71609998</v>
      </c>
      <c r="G445" s="2765">
        <f t="shared" si="12"/>
        <v>899.99997271610005</v>
      </c>
      <c r="H445" s="2764">
        <v>792897.09</v>
      </c>
      <c r="I445" s="2765">
        <f t="shared" si="13"/>
        <v>0.79289708999999997</v>
      </c>
      <c r="J445" s="2764">
        <v>9.0000000000000002E-6</v>
      </c>
      <c r="K445" s="2764">
        <v>494.99998399999998</v>
      </c>
      <c r="L445" s="2767">
        <v>10.9</v>
      </c>
    </row>
    <row r="446" spans="1:12" ht="15.75">
      <c r="A446" s="2756" t="s">
        <v>5178</v>
      </c>
      <c r="B446" s="2757">
        <v>109999998963.55299</v>
      </c>
      <c r="C446" s="2758">
        <v>0.33</v>
      </c>
      <c r="D446" s="2757">
        <v>4650.0001000000002</v>
      </c>
      <c r="E446" s="2759">
        <v>40999999676.367699</v>
      </c>
      <c r="F446" s="2759">
        <v>1000000015.6496</v>
      </c>
      <c r="G446" s="2760">
        <f t="shared" si="12"/>
        <v>1000.0000156496</v>
      </c>
      <c r="H446" s="2759">
        <v>827370875.18016005</v>
      </c>
      <c r="I446" s="2760">
        <f t="shared" si="13"/>
        <v>827.37087518016006</v>
      </c>
      <c r="J446" s="2759">
        <v>1.0000000000000001E-5</v>
      </c>
      <c r="K446" s="2759">
        <v>524.999999</v>
      </c>
      <c r="L446" s="2766">
        <v>7.8</v>
      </c>
    </row>
    <row r="447" spans="1:12" ht="15.75">
      <c r="A447" s="2761" t="s">
        <v>5179</v>
      </c>
      <c r="B447" s="2762">
        <v>105000000000</v>
      </c>
      <c r="C447" s="2763">
        <v>0.34</v>
      </c>
      <c r="D447" s="2762">
        <v>4510</v>
      </c>
      <c r="E447" s="2764">
        <v>0</v>
      </c>
      <c r="F447" s="2764">
        <v>345000000</v>
      </c>
      <c r="G447" s="2765">
        <f t="shared" si="12"/>
        <v>345</v>
      </c>
      <c r="H447" s="2764">
        <v>220000000</v>
      </c>
      <c r="I447" s="2765">
        <f t="shared" si="13"/>
        <v>220</v>
      </c>
      <c r="J447" s="2764">
        <v>8.6000000000000007E-6</v>
      </c>
      <c r="K447" s="2764">
        <v>0</v>
      </c>
      <c r="L447" s="2767">
        <v>21.97</v>
      </c>
    </row>
    <row r="448" spans="1:12" ht="15.75">
      <c r="A448" s="2756" t="s">
        <v>5180</v>
      </c>
      <c r="B448" s="2757">
        <v>110300000000</v>
      </c>
      <c r="C448" s="2758">
        <v>0.31</v>
      </c>
      <c r="D448" s="2757">
        <v>4480</v>
      </c>
      <c r="E448" s="2759">
        <v>48000000000</v>
      </c>
      <c r="F448" s="2759">
        <v>861000000</v>
      </c>
      <c r="G448" s="2760">
        <f t="shared" si="12"/>
        <v>861</v>
      </c>
      <c r="H448" s="2759">
        <v>827000000</v>
      </c>
      <c r="I448" s="2760">
        <f t="shared" si="13"/>
        <v>827</v>
      </c>
      <c r="J448" s="2759">
        <v>9.3999999999999998E-6</v>
      </c>
      <c r="K448" s="2759">
        <v>530</v>
      </c>
      <c r="L448" s="2766">
        <v>7.8</v>
      </c>
    </row>
    <row r="449" spans="1:12" ht="15.75">
      <c r="A449" s="2761" t="s">
        <v>5181</v>
      </c>
      <c r="B449" s="2762">
        <v>120000000000</v>
      </c>
      <c r="C449" s="2763">
        <v>0.32</v>
      </c>
      <c r="D449" s="2762">
        <v>4370</v>
      </c>
      <c r="E449" s="2764">
        <v>46000000000</v>
      </c>
      <c r="F449" s="2764">
        <v>937000000</v>
      </c>
      <c r="G449" s="2765">
        <f t="shared" si="12"/>
        <v>937</v>
      </c>
      <c r="H449" s="2764">
        <v>910000000</v>
      </c>
      <c r="I449" s="2765">
        <f t="shared" si="13"/>
        <v>910</v>
      </c>
      <c r="J449" s="2764">
        <v>8.4999999999999999E-6</v>
      </c>
      <c r="K449" s="2764">
        <v>502</v>
      </c>
      <c r="L449" s="2767">
        <v>6</v>
      </c>
    </row>
    <row r="450" spans="1:12" ht="15.75">
      <c r="A450" s="2756" t="s">
        <v>5182</v>
      </c>
      <c r="B450" s="2757">
        <v>115000000000</v>
      </c>
      <c r="C450" s="2758">
        <v>0.33</v>
      </c>
      <c r="D450" s="2757">
        <v>4730</v>
      </c>
      <c r="E450" s="2759">
        <v>49000000000</v>
      </c>
      <c r="F450" s="2759">
        <v>900000000</v>
      </c>
      <c r="G450" s="2760">
        <f t="shared" si="12"/>
        <v>900</v>
      </c>
      <c r="H450" s="2759">
        <v>810000000</v>
      </c>
      <c r="I450" s="2760">
        <f t="shared" si="13"/>
        <v>810</v>
      </c>
      <c r="J450" s="2759">
        <v>8.6000000000000007E-6</v>
      </c>
      <c r="K450" s="2759">
        <v>495</v>
      </c>
      <c r="L450" s="2766">
        <v>10.9</v>
      </c>
    </row>
    <row r="451" spans="1:12" ht="15.75">
      <c r="A451" s="2761" t="s">
        <v>5183</v>
      </c>
      <c r="B451" s="2762">
        <v>99000000000</v>
      </c>
      <c r="C451" s="2763">
        <v>0.3</v>
      </c>
      <c r="D451" s="2762">
        <v>4820</v>
      </c>
      <c r="E451" s="2764">
        <v>43000000000</v>
      </c>
      <c r="F451" s="2764">
        <v>990000000</v>
      </c>
      <c r="G451" s="2765">
        <f t="shared" si="12"/>
        <v>990</v>
      </c>
      <c r="H451" s="2764">
        <v>830000000</v>
      </c>
      <c r="I451" s="2765">
        <f t="shared" si="13"/>
        <v>830</v>
      </c>
      <c r="J451" s="2764">
        <v>9.6700000000000006E-6</v>
      </c>
      <c r="K451" s="2764">
        <v>545</v>
      </c>
      <c r="L451" s="2767">
        <v>6.9</v>
      </c>
    </row>
    <row r="452" spans="1:12" ht="15.75">
      <c r="A452" s="2756" t="s">
        <v>5184</v>
      </c>
      <c r="B452" s="2757">
        <v>85500000000</v>
      </c>
      <c r="C452" s="2758">
        <v>0.3</v>
      </c>
      <c r="D452" s="2757">
        <v>6600</v>
      </c>
      <c r="E452" s="2759">
        <v>0</v>
      </c>
      <c r="F452" s="2759">
        <v>358000000</v>
      </c>
      <c r="G452" s="2760">
        <f t="shared" ref="G452:G493" si="14">F452/1000000</f>
        <v>358</v>
      </c>
      <c r="H452" s="2759">
        <v>0</v>
      </c>
      <c r="I452" s="2760">
        <f t="shared" ref="I452:I493" si="15">H452/1000000</f>
        <v>0</v>
      </c>
      <c r="J452" s="2759">
        <v>2.7800000000000001E-5</v>
      </c>
      <c r="K452" s="2759">
        <v>418.7</v>
      </c>
      <c r="L452" s="2766">
        <v>104.7</v>
      </c>
    </row>
    <row r="453" spans="1:12" ht="15.75">
      <c r="A453" s="2761" t="s">
        <v>5185</v>
      </c>
      <c r="B453" s="2762">
        <v>85000000000</v>
      </c>
      <c r="C453" s="2763">
        <v>0.3</v>
      </c>
      <c r="D453" s="2762">
        <v>6600</v>
      </c>
      <c r="E453" s="2764">
        <v>0</v>
      </c>
      <c r="F453" s="2764">
        <v>285000000</v>
      </c>
      <c r="G453" s="2765">
        <f t="shared" si="14"/>
        <v>285</v>
      </c>
      <c r="H453" s="2764">
        <v>0</v>
      </c>
      <c r="I453" s="2765">
        <f t="shared" si="15"/>
        <v>0</v>
      </c>
      <c r="J453" s="2764">
        <v>2.7399999999999999E-5</v>
      </c>
      <c r="K453" s="2764">
        <v>420</v>
      </c>
      <c r="L453" s="2767">
        <v>113</v>
      </c>
    </row>
    <row r="454" spans="1:12" ht="15.75">
      <c r="A454" s="2756" t="s">
        <v>5186</v>
      </c>
      <c r="B454" s="2757">
        <v>85000000000</v>
      </c>
      <c r="C454" s="2758">
        <v>0.3</v>
      </c>
      <c r="D454" s="2757">
        <v>6700</v>
      </c>
      <c r="E454" s="2759">
        <v>0</v>
      </c>
      <c r="F454" s="2759">
        <v>330000000</v>
      </c>
      <c r="G454" s="2760">
        <f t="shared" si="14"/>
        <v>330</v>
      </c>
      <c r="H454" s="2759">
        <v>0</v>
      </c>
      <c r="I454" s="2760">
        <f t="shared" si="15"/>
        <v>0</v>
      </c>
      <c r="J454" s="2759">
        <v>2.7399999999999999E-5</v>
      </c>
      <c r="K454" s="2759">
        <v>420</v>
      </c>
      <c r="L454" s="2766">
        <v>108.9</v>
      </c>
    </row>
    <row r="455" spans="1:12" ht="15.75">
      <c r="A455" s="2761" t="s">
        <v>5187</v>
      </c>
      <c r="B455" s="2762">
        <v>85000000000</v>
      </c>
      <c r="C455" s="2763">
        <v>0.3</v>
      </c>
      <c r="D455" s="2762">
        <v>6600</v>
      </c>
      <c r="E455" s="2764">
        <v>0</v>
      </c>
      <c r="F455" s="2764">
        <v>285000000</v>
      </c>
      <c r="G455" s="2765">
        <f t="shared" si="14"/>
        <v>285</v>
      </c>
      <c r="H455" s="2764">
        <v>285000000</v>
      </c>
      <c r="I455" s="2765">
        <f t="shared" si="15"/>
        <v>285</v>
      </c>
      <c r="J455" s="2764">
        <v>2.7399999999999999E-5</v>
      </c>
      <c r="K455" s="2764">
        <v>418.7</v>
      </c>
      <c r="L455" s="2767">
        <v>113</v>
      </c>
    </row>
    <row r="456" spans="1:12" ht="15.75">
      <c r="A456" s="2756" t="s">
        <v>5188</v>
      </c>
      <c r="B456" s="2757">
        <v>210000000000</v>
      </c>
      <c r="C456" s="2758">
        <v>0.34</v>
      </c>
      <c r="D456" s="2757">
        <v>8200</v>
      </c>
      <c r="E456" s="2759">
        <v>77000000000</v>
      </c>
      <c r="F456" s="2759">
        <v>620420000</v>
      </c>
      <c r="G456" s="2760">
        <f t="shared" si="14"/>
        <v>620.41999999999996</v>
      </c>
      <c r="H456" s="2759">
        <v>344678000</v>
      </c>
      <c r="I456" s="2760">
        <f t="shared" si="15"/>
        <v>344.678</v>
      </c>
      <c r="J456" s="2759">
        <v>1.5E-5</v>
      </c>
      <c r="K456" s="2759">
        <v>590</v>
      </c>
      <c r="L456" s="2766">
        <v>24</v>
      </c>
    </row>
    <row r="457" spans="1:12" ht="15.75">
      <c r="A457" s="2761" t="s">
        <v>5189</v>
      </c>
      <c r="B457" s="2762">
        <v>210000000000</v>
      </c>
      <c r="C457" s="2763">
        <v>0.34</v>
      </c>
      <c r="D457" s="2762">
        <v>8200</v>
      </c>
      <c r="E457" s="2764">
        <v>77000000000</v>
      </c>
      <c r="F457" s="2764">
        <v>0</v>
      </c>
      <c r="G457" s="2765">
        <f t="shared" si="14"/>
        <v>0</v>
      </c>
      <c r="H457" s="2764">
        <v>0</v>
      </c>
      <c r="I457" s="2765">
        <f t="shared" si="15"/>
        <v>0</v>
      </c>
      <c r="J457" s="2764">
        <v>1.5E-5</v>
      </c>
      <c r="K457" s="2764">
        <v>590</v>
      </c>
      <c r="L457" s="2767">
        <v>24</v>
      </c>
    </row>
    <row r="458" spans="1:12" ht="15.75">
      <c r="A458" s="2756" t="s">
        <v>5190</v>
      </c>
      <c r="B458" s="2757">
        <v>180000000000</v>
      </c>
      <c r="C458" s="2758">
        <v>0.34</v>
      </c>
      <c r="D458" s="2757">
        <v>8800</v>
      </c>
      <c r="E458" s="2759">
        <v>67000000000</v>
      </c>
      <c r="F458" s="2759">
        <v>448081000</v>
      </c>
      <c r="G458" s="2760">
        <f t="shared" si="14"/>
        <v>448.08100000000002</v>
      </c>
      <c r="H458" s="2759">
        <v>220594000</v>
      </c>
      <c r="I458" s="2760">
        <f t="shared" si="15"/>
        <v>220.59399999999999</v>
      </c>
      <c r="J458" s="2759">
        <v>1.4E-5</v>
      </c>
      <c r="K458" s="2759">
        <v>430</v>
      </c>
      <c r="L458" s="2766">
        <v>22</v>
      </c>
    </row>
    <row r="459" spans="1:12" ht="15.75">
      <c r="A459" s="2761" t="s">
        <v>5191</v>
      </c>
      <c r="B459" s="2762">
        <v>1000000000</v>
      </c>
      <c r="C459" s="2763">
        <v>0.3</v>
      </c>
      <c r="D459" s="2762">
        <v>1150</v>
      </c>
      <c r="E459" s="2764">
        <v>0</v>
      </c>
      <c r="F459" s="2764">
        <v>79289709</v>
      </c>
      <c r="G459" s="2765">
        <f t="shared" si="14"/>
        <v>79.289709000000002</v>
      </c>
      <c r="H459" s="2764">
        <v>60000000</v>
      </c>
      <c r="I459" s="2765">
        <f t="shared" si="15"/>
        <v>60</v>
      </c>
      <c r="J459" s="2764">
        <v>9.9999999999999995E-7</v>
      </c>
      <c r="K459" s="2764">
        <v>1500</v>
      </c>
      <c r="L459" s="2767">
        <v>0.53</v>
      </c>
    </row>
    <row r="460" spans="1:12" ht="15.75">
      <c r="A460" s="2756" t="s">
        <v>5192</v>
      </c>
      <c r="B460" s="2757">
        <v>2000000000</v>
      </c>
      <c r="C460" s="2758">
        <v>0.39400000000000002</v>
      </c>
      <c r="D460" s="2757">
        <v>1020</v>
      </c>
      <c r="E460" s="2759">
        <v>318900000</v>
      </c>
      <c r="F460" s="2759">
        <v>30000000</v>
      </c>
      <c r="G460" s="2760">
        <f t="shared" si="14"/>
        <v>30</v>
      </c>
      <c r="H460" s="2759">
        <v>0</v>
      </c>
      <c r="I460" s="2760">
        <f t="shared" si="15"/>
        <v>0</v>
      </c>
      <c r="J460" s="2759">
        <v>0</v>
      </c>
      <c r="K460" s="2759">
        <v>1386</v>
      </c>
      <c r="L460" s="2766">
        <v>0.22559999999999999</v>
      </c>
    </row>
    <row r="461" spans="1:12" ht="15.75">
      <c r="A461" s="2761" t="s">
        <v>5193</v>
      </c>
      <c r="B461" s="2762">
        <v>2410000000</v>
      </c>
      <c r="C461" s="2763">
        <v>0.38969999999999999</v>
      </c>
      <c r="D461" s="2762">
        <v>1070</v>
      </c>
      <c r="E461" s="2764">
        <v>862200000</v>
      </c>
      <c r="F461" s="2764">
        <v>40000000</v>
      </c>
      <c r="G461" s="2765">
        <f t="shared" si="14"/>
        <v>40</v>
      </c>
      <c r="H461" s="2764">
        <v>0</v>
      </c>
      <c r="I461" s="2765">
        <f t="shared" si="15"/>
        <v>0</v>
      </c>
      <c r="J461" s="2764">
        <v>0</v>
      </c>
      <c r="K461" s="2764">
        <v>1900</v>
      </c>
      <c r="L461" s="2767">
        <v>0.26179999999999998</v>
      </c>
    </row>
    <row r="462" spans="1:12" ht="15.75">
      <c r="A462" s="2756" t="s">
        <v>5194</v>
      </c>
      <c r="B462" s="2757">
        <v>2400000000</v>
      </c>
      <c r="C462" s="2758">
        <v>0.35</v>
      </c>
      <c r="D462" s="2757">
        <v>1200</v>
      </c>
      <c r="E462" s="2759">
        <v>890000000</v>
      </c>
      <c r="F462" s="2759">
        <v>48700000</v>
      </c>
      <c r="G462" s="2760">
        <f t="shared" si="14"/>
        <v>48.7</v>
      </c>
      <c r="H462" s="2759">
        <v>48400000</v>
      </c>
      <c r="I462" s="2760">
        <f t="shared" si="15"/>
        <v>48.4</v>
      </c>
      <c r="J462" s="2759">
        <v>5.1999999999999997E-5</v>
      </c>
      <c r="K462" s="2759">
        <v>1500</v>
      </c>
      <c r="L462" s="2766">
        <v>0.21</v>
      </c>
    </row>
    <row r="463" spans="1:12" ht="15.75">
      <c r="A463" s="2761" t="s">
        <v>5195</v>
      </c>
      <c r="B463" s="2762">
        <v>2900000000</v>
      </c>
      <c r="C463" s="2763">
        <v>0.3</v>
      </c>
      <c r="D463" s="2762">
        <v>141</v>
      </c>
      <c r="E463" s="2764">
        <v>0</v>
      </c>
      <c r="F463" s="2764">
        <v>40700000</v>
      </c>
      <c r="G463" s="2765">
        <f t="shared" si="14"/>
        <v>40.700000000000003</v>
      </c>
      <c r="H463" s="2764">
        <v>63000000</v>
      </c>
      <c r="I463" s="2765">
        <f t="shared" si="15"/>
        <v>63</v>
      </c>
      <c r="J463" s="2764">
        <v>0</v>
      </c>
      <c r="K463" s="2764">
        <v>0</v>
      </c>
      <c r="L463" s="2767">
        <v>0</v>
      </c>
    </row>
    <row r="464" spans="1:12" ht="15.75">
      <c r="A464" s="2756" t="s">
        <v>5196</v>
      </c>
      <c r="B464" s="2757">
        <v>8300000000</v>
      </c>
      <c r="C464" s="2758">
        <v>0.28000000000000003</v>
      </c>
      <c r="D464" s="2757">
        <v>1400</v>
      </c>
      <c r="E464" s="2759">
        <v>3200000000</v>
      </c>
      <c r="F464" s="2759">
        <v>62100000</v>
      </c>
      <c r="G464" s="2760">
        <f t="shared" si="14"/>
        <v>62.1</v>
      </c>
      <c r="H464" s="2759">
        <v>68900000</v>
      </c>
      <c r="I464" s="2760">
        <f t="shared" si="15"/>
        <v>68.900000000000006</v>
      </c>
      <c r="J464" s="2759">
        <v>3.0000000000000001E-5</v>
      </c>
      <c r="K464" s="2759">
        <v>1500</v>
      </c>
      <c r="L464" s="2766">
        <v>0.53</v>
      </c>
    </row>
    <row r="465" spans="1:12" ht="15.75">
      <c r="A465" s="2761" t="s">
        <v>5197</v>
      </c>
      <c r="B465" s="2762">
        <v>2620000000</v>
      </c>
      <c r="C465" s="2763">
        <v>0.34</v>
      </c>
      <c r="D465" s="2762">
        <v>1120</v>
      </c>
      <c r="E465" s="2764">
        <v>970400000</v>
      </c>
      <c r="F465" s="2764">
        <v>90000000</v>
      </c>
      <c r="G465" s="2765">
        <f t="shared" si="14"/>
        <v>90</v>
      </c>
      <c r="H465" s="2764">
        <v>0</v>
      </c>
      <c r="I465" s="2765">
        <f t="shared" si="15"/>
        <v>0</v>
      </c>
      <c r="J465" s="2764">
        <v>0</v>
      </c>
      <c r="K465" s="2764">
        <v>1601</v>
      </c>
      <c r="L465" s="2767">
        <v>0.23300000000000001</v>
      </c>
    </row>
    <row r="466" spans="1:12" ht="15.75">
      <c r="A466" s="2756" t="s">
        <v>5198</v>
      </c>
      <c r="B466" s="2757">
        <v>1930000000</v>
      </c>
      <c r="C466" s="2758">
        <v>0.39019999999999999</v>
      </c>
      <c r="D466" s="2757">
        <v>1300</v>
      </c>
      <c r="E466" s="2759">
        <v>690200000</v>
      </c>
      <c r="F466" s="2759">
        <v>56500000</v>
      </c>
      <c r="G466" s="2760">
        <f t="shared" si="14"/>
        <v>56.5</v>
      </c>
      <c r="H466" s="2759">
        <v>0</v>
      </c>
      <c r="I466" s="2760">
        <f t="shared" si="15"/>
        <v>0</v>
      </c>
      <c r="J466" s="2759">
        <v>0</v>
      </c>
      <c r="K466" s="2759">
        <v>1421</v>
      </c>
      <c r="L466" s="2766">
        <v>0.27410000000000001</v>
      </c>
    </row>
    <row r="467" spans="1:12" ht="15.75">
      <c r="A467" s="2761" t="s">
        <v>5199</v>
      </c>
      <c r="B467" s="2762">
        <v>2320000000</v>
      </c>
      <c r="C467" s="2763">
        <v>0.39119999999999999</v>
      </c>
      <c r="D467" s="2762">
        <v>1190</v>
      </c>
      <c r="E467" s="2764">
        <v>829100000</v>
      </c>
      <c r="F467" s="2764">
        <v>62700000</v>
      </c>
      <c r="G467" s="2765">
        <f t="shared" si="14"/>
        <v>62.7</v>
      </c>
      <c r="H467" s="2764">
        <v>0</v>
      </c>
      <c r="I467" s="2765">
        <f t="shared" si="15"/>
        <v>0</v>
      </c>
      <c r="J467" s="2764">
        <v>0</v>
      </c>
      <c r="K467" s="2764">
        <v>1535</v>
      </c>
      <c r="L467" s="2767">
        <v>0.189</v>
      </c>
    </row>
    <row r="468" spans="1:12" ht="15.75">
      <c r="A468" s="2756" t="s">
        <v>5200</v>
      </c>
      <c r="B468" s="2757">
        <v>1070000000</v>
      </c>
      <c r="C468" s="2758">
        <v>0.41010000000000002</v>
      </c>
      <c r="D468" s="2757">
        <v>952</v>
      </c>
      <c r="E468" s="2759">
        <v>377200000</v>
      </c>
      <c r="F468" s="2759">
        <v>22100000</v>
      </c>
      <c r="G468" s="2760">
        <f t="shared" si="14"/>
        <v>22.1</v>
      </c>
      <c r="H468" s="2759">
        <v>0</v>
      </c>
      <c r="I468" s="2760">
        <f t="shared" si="15"/>
        <v>0</v>
      </c>
      <c r="J468" s="2759">
        <v>0</v>
      </c>
      <c r="K468" s="2759">
        <v>1796</v>
      </c>
      <c r="L468" s="2766">
        <v>0.46100000000000002</v>
      </c>
    </row>
    <row r="469" spans="1:12" ht="15.75">
      <c r="A469" s="2761" t="s">
        <v>5201</v>
      </c>
      <c r="B469" s="2762">
        <v>172000000</v>
      </c>
      <c r="C469" s="2763">
        <v>0.439</v>
      </c>
      <c r="D469" s="2762">
        <v>917</v>
      </c>
      <c r="E469" s="2764">
        <v>59400000</v>
      </c>
      <c r="F469" s="2764">
        <v>13270000</v>
      </c>
      <c r="G469" s="2765">
        <f t="shared" si="14"/>
        <v>13.27</v>
      </c>
      <c r="H469" s="2764">
        <v>0</v>
      </c>
      <c r="I469" s="2765">
        <f t="shared" si="15"/>
        <v>0</v>
      </c>
      <c r="J469" s="2764">
        <v>0</v>
      </c>
      <c r="K469" s="2764">
        <v>1842</v>
      </c>
      <c r="L469" s="2767">
        <v>0.32200000000000001</v>
      </c>
    </row>
    <row r="470" spans="1:12" ht="15.75">
      <c r="A470" s="2756" t="s">
        <v>5202</v>
      </c>
      <c r="B470" s="2757">
        <v>2600000000</v>
      </c>
      <c r="C470" s="2758">
        <v>0.38590000000000002</v>
      </c>
      <c r="D470" s="2757">
        <v>1390</v>
      </c>
      <c r="E470" s="2759">
        <v>932800000</v>
      </c>
      <c r="F470" s="2759">
        <v>71500000</v>
      </c>
      <c r="G470" s="2760">
        <f t="shared" si="14"/>
        <v>71.5</v>
      </c>
      <c r="H470" s="2759">
        <v>60600000</v>
      </c>
      <c r="I470" s="2760">
        <f t="shared" si="15"/>
        <v>60.6</v>
      </c>
      <c r="J470" s="2759">
        <v>0</v>
      </c>
      <c r="K470" s="2759">
        <v>1378</v>
      </c>
      <c r="L470" s="2766">
        <v>0.221</v>
      </c>
    </row>
    <row r="471" spans="1:12" ht="15.75">
      <c r="A471" s="2761" t="s">
        <v>5203</v>
      </c>
      <c r="B471" s="2762">
        <v>896000000</v>
      </c>
      <c r="C471" s="2763">
        <v>0.4103</v>
      </c>
      <c r="D471" s="2762">
        <v>890</v>
      </c>
      <c r="E471" s="2764">
        <v>315800000</v>
      </c>
      <c r="F471" s="2764">
        <v>27600000</v>
      </c>
      <c r="G471" s="2765">
        <f t="shared" si="14"/>
        <v>27.6</v>
      </c>
      <c r="H471" s="2764">
        <v>0</v>
      </c>
      <c r="I471" s="2765">
        <f t="shared" si="15"/>
        <v>0</v>
      </c>
      <c r="J471" s="2764">
        <v>0</v>
      </c>
      <c r="K471" s="2764">
        <v>1881</v>
      </c>
      <c r="L471" s="2767">
        <v>0.14699999999999999</v>
      </c>
    </row>
    <row r="472" spans="1:12" ht="15.75">
      <c r="A472" s="2756" t="s">
        <v>5204</v>
      </c>
      <c r="B472" s="2757">
        <v>2280000000</v>
      </c>
      <c r="C472" s="2758">
        <v>0.38700000000000001</v>
      </c>
      <c r="D472" s="2757">
        <v>1040</v>
      </c>
      <c r="E472" s="2759">
        <v>817300000</v>
      </c>
      <c r="F472" s="2759">
        <v>35900000</v>
      </c>
      <c r="G472" s="2760">
        <f t="shared" si="14"/>
        <v>35.9</v>
      </c>
      <c r="H472" s="2759">
        <v>0</v>
      </c>
      <c r="I472" s="2760">
        <f t="shared" si="15"/>
        <v>0</v>
      </c>
      <c r="J472" s="2759">
        <v>0</v>
      </c>
      <c r="K472" s="2759">
        <v>1691</v>
      </c>
      <c r="L472" s="2766">
        <v>0.121</v>
      </c>
    </row>
    <row r="473" spans="1:12" ht="15.75">
      <c r="A473" s="2761" t="s">
        <v>5205</v>
      </c>
      <c r="B473" s="2762">
        <v>6000000</v>
      </c>
      <c r="C473" s="2763">
        <v>0.47</v>
      </c>
      <c r="D473" s="2762">
        <v>1290</v>
      </c>
      <c r="E473" s="2764">
        <v>2000000</v>
      </c>
      <c r="F473" s="2764">
        <v>13000000</v>
      </c>
      <c r="G473" s="2765">
        <f t="shared" si="14"/>
        <v>13</v>
      </c>
      <c r="H473" s="2764">
        <v>0</v>
      </c>
      <c r="I473" s="2765">
        <f t="shared" si="15"/>
        <v>0</v>
      </c>
      <c r="J473" s="2764">
        <v>0</v>
      </c>
      <c r="K473" s="2764">
        <v>1600</v>
      </c>
      <c r="L473" s="2767">
        <v>0.16</v>
      </c>
    </row>
    <row r="474" spans="1:12" ht="15.75">
      <c r="A474" s="2756" t="s">
        <v>5206</v>
      </c>
      <c r="B474" s="2757">
        <v>2410000000</v>
      </c>
      <c r="C474" s="2758">
        <v>0.38250000000000001</v>
      </c>
      <c r="D474" s="2757">
        <v>1300</v>
      </c>
      <c r="E474" s="2759">
        <v>866700000</v>
      </c>
      <c r="F474" s="2759">
        <v>40700000</v>
      </c>
      <c r="G474" s="2760">
        <f t="shared" si="14"/>
        <v>40.700000000000003</v>
      </c>
      <c r="H474" s="2759">
        <v>0</v>
      </c>
      <c r="I474" s="2760">
        <f t="shared" si="15"/>
        <v>0</v>
      </c>
      <c r="J474" s="2759">
        <v>0</v>
      </c>
      <c r="K474" s="2759">
        <v>1355</v>
      </c>
      <c r="L474" s="2766">
        <v>0.14699999999999999</v>
      </c>
    </row>
    <row r="475" spans="1:12" ht="15.75">
      <c r="A475" s="2761" t="s">
        <v>5207</v>
      </c>
      <c r="B475" s="2762">
        <v>172368932.3292</v>
      </c>
      <c r="C475" s="2763">
        <v>0.3</v>
      </c>
      <c r="D475" s="2762">
        <v>905.00000499999999</v>
      </c>
      <c r="E475" s="2764">
        <v>0</v>
      </c>
      <c r="F475" s="2764">
        <v>34000000.118400998</v>
      </c>
      <c r="G475" s="2765">
        <f t="shared" si="14"/>
        <v>34.000000118400997</v>
      </c>
      <c r="H475" s="2764">
        <v>6894757.2931679999</v>
      </c>
      <c r="I475" s="2765">
        <f t="shared" si="15"/>
        <v>6.8947572931680003</v>
      </c>
      <c r="J475" s="2764">
        <v>0</v>
      </c>
      <c r="K475" s="2764">
        <v>1841.9999889999999</v>
      </c>
      <c r="L475" s="2767">
        <v>0.32200000000000001</v>
      </c>
    </row>
    <row r="476" spans="1:12" ht="15.75">
      <c r="A476" s="2756" t="s">
        <v>5208</v>
      </c>
      <c r="B476" s="2757">
        <v>0</v>
      </c>
      <c r="C476" s="2758">
        <v>0</v>
      </c>
      <c r="D476" s="2757">
        <v>1190</v>
      </c>
      <c r="E476" s="2759">
        <v>0</v>
      </c>
      <c r="F476" s="2759">
        <v>75000000</v>
      </c>
      <c r="G476" s="2760">
        <f t="shared" si="14"/>
        <v>75</v>
      </c>
      <c r="H476" s="2759">
        <v>0</v>
      </c>
      <c r="I476" s="2760">
        <f t="shared" si="15"/>
        <v>0</v>
      </c>
      <c r="J476" s="2759">
        <v>0</v>
      </c>
      <c r="K476" s="2759">
        <v>0</v>
      </c>
      <c r="L476" s="2766">
        <v>0</v>
      </c>
    </row>
    <row r="477" spans="1:12" ht="15.75">
      <c r="A477" s="2761" t="s">
        <v>5209</v>
      </c>
      <c r="B477" s="2762">
        <v>0</v>
      </c>
      <c r="C477" s="2763">
        <v>0</v>
      </c>
      <c r="D477" s="2762">
        <v>2320</v>
      </c>
      <c r="E477" s="2764">
        <v>0</v>
      </c>
      <c r="F477" s="2764">
        <v>7580000</v>
      </c>
      <c r="G477" s="2765">
        <f t="shared" si="14"/>
        <v>7.58</v>
      </c>
      <c r="H477" s="2764">
        <v>0</v>
      </c>
      <c r="I477" s="2765">
        <f t="shared" si="15"/>
        <v>0</v>
      </c>
      <c r="J477" s="2764">
        <v>0</v>
      </c>
      <c r="K477" s="2764">
        <v>0</v>
      </c>
      <c r="L477" s="2767">
        <v>0</v>
      </c>
    </row>
    <row r="478" spans="1:12" ht="15.75">
      <c r="A478" s="2756" t="s">
        <v>5210</v>
      </c>
      <c r="B478" s="2757">
        <v>303000000000</v>
      </c>
      <c r="C478" s="2758">
        <v>0.7</v>
      </c>
      <c r="D478" s="2757">
        <v>1844</v>
      </c>
      <c r="E478" s="2759">
        <v>135000000000</v>
      </c>
      <c r="F478" s="2759">
        <v>370000000</v>
      </c>
      <c r="G478" s="2760">
        <f t="shared" si="14"/>
        <v>370</v>
      </c>
      <c r="H478" s="2759">
        <v>240000000</v>
      </c>
      <c r="I478" s="2760">
        <f t="shared" si="15"/>
        <v>240</v>
      </c>
      <c r="J478" s="2759">
        <v>1.15E-5</v>
      </c>
      <c r="K478" s="2759">
        <v>0</v>
      </c>
      <c r="L478" s="2766">
        <v>216</v>
      </c>
    </row>
    <row r="479" spans="1:12" ht="15.75">
      <c r="A479" s="2761" t="s">
        <v>5211</v>
      </c>
      <c r="B479" s="2762">
        <v>211000000000</v>
      </c>
      <c r="C479" s="2763">
        <v>0.31</v>
      </c>
      <c r="D479" s="2762">
        <v>8900</v>
      </c>
      <c r="E479" s="2764">
        <v>88000000000</v>
      </c>
      <c r="F479" s="2764">
        <v>235000000</v>
      </c>
      <c r="G479" s="2765">
        <f t="shared" si="14"/>
        <v>235</v>
      </c>
      <c r="H479" s="2764">
        <v>0</v>
      </c>
      <c r="I479" s="2765">
        <f t="shared" si="15"/>
        <v>0</v>
      </c>
      <c r="J479" s="2764">
        <v>1.2E-5</v>
      </c>
      <c r="K479" s="2764">
        <v>410</v>
      </c>
      <c r="L479" s="2767">
        <v>69</v>
      </c>
    </row>
    <row r="480" spans="1:12" ht="15.75">
      <c r="A480" s="2756" t="s">
        <v>5212</v>
      </c>
      <c r="B480" s="2757">
        <v>320000000000</v>
      </c>
      <c r="C480" s="2758">
        <v>0.38</v>
      </c>
      <c r="D480" s="2757">
        <v>10000</v>
      </c>
      <c r="E480" s="2759">
        <v>120000000000</v>
      </c>
      <c r="F480" s="2759">
        <v>500000000</v>
      </c>
      <c r="G480" s="2760">
        <f t="shared" si="14"/>
        <v>500</v>
      </c>
      <c r="H480" s="2759">
        <v>325000000</v>
      </c>
      <c r="I480" s="2760">
        <f t="shared" si="15"/>
        <v>325</v>
      </c>
      <c r="J480" s="2759">
        <v>5.0000000000000004E-6</v>
      </c>
      <c r="K480" s="2759">
        <v>270</v>
      </c>
      <c r="L480" s="2766">
        <v>150</v>
      </c>
    </row>
    <row r="481" spans="1:12" ht="15.75">
      <c r="A481" s="2761" t="s">
        <v>5213</v>
      </c>
      <c r="B481" s="2762">
        <v>210000000000</v>
      </c>
      <c r="C481" s="2763">
        <v>0.31</v>
      </c>
      <c r="D481" s="2762">
        <v>8500</v>
      </c>
      <c r="E481" s="2764">
        <v>79000000000</v>
      </c>
      <c r="F481" s="2764">
        <v>317000000</v>
      </c>
      <c r="G481" s="2765">
        <f t="shared" si="14"/>
        <v>317</v>
      </c>
      <c r="H481" s="2764">
        <v>59000000</v>
      </c>
      <c r="I481" s="2765">
        <f t="shared" si="15"/>
        <v>59</v>
      </c>
      <c r="J481" s="2764">
        <v>1.7E-5</v>
      </c>
      <c r="K481" s="2764">
        <v>460</v>
      </c>
      <c r="L481" s="2767">
        <v>43</v>
      </c>
    </row>
    <row r="482" spans="1:12" ht="15.75">
      <c r="A482" s="2756" t="s">
        <v>5214</v>
      </c>
      <c r="B482" s="2757">
        <v>78000000000</v>
      </c>
      <c r="C482" s="2758">
        <v>0.42</v>
      </c>
      <c r="D482" s="2757">
        <v>19000</v>
      </c>
      <c r="E482" s="2759">
        <v>26000000000</v>
      </c>
      <c r="F482" s="2759">
        <v>103000000</v>
      </c>
      <c r="G482" s="2760">
        <f t="shared" si="14"/>
        <v>103</v>
      </c>
      <c r="H482" s="2759">
        <v>0</v>
      </c>
      <c r="I482" s="2760">
        <f t="shared" si="15"/>
        <v>0</v>
      </c>
      <c r="J482" s="2759">
        <v>1.4E-5</v>
      </c>
      <c r="K482" s="2759">
        <v>130</v>
      </c>
      <c r="L482" s="2766">
        <v>300</v>
      </c>
    </row>
    <row r="483" spans="1:12" ht="15.75">
      <c r="A483" s="2761" t="s">
        <v>5215</v>
      </c>
      <c r="B483" s="2762">
        <v>14000000000</v>
      </c>
      <c r="C483" s="2763">
        <v>0.4</v>
      </c>
      <c r="D483" s="2762">
        <v>11000</v>
      </c>
      <c r="E483" s="2764">
        <v>49000000000</v>
      </c>
      <c r="F483" s="2764">
        <v>0</v>
      </c>
      <c r="G483" s="2765">
        <f t="shared" si="14"/>
        <v>0</v>
      </c>
      <c r="H483" s="2764">
        <v>0</v>
      </c>
      <c r="I483" s="2765">
        <f t="shared" si="15"/>
        <v>0</v>
      </c>
      <c r="J483" s="2764">
        <v>5.3000000000000001E-5</v>
      </c>
      <c r="K483" s="2764">
        <v>130</v>
      </c>
      <c r="L483" s="2767">
        <v>35</v>
      </c>
    </row>
    <row r="484" spans="1:12" ht="15.75">
      <c r="A484" s="2756" t="s">
        <v>5216</v>
      </c>
      <c r="B484" s="2757">
        <v>71000000000</v>
      </c>
      <c r="C484" s="2758">
        <v>0.37</v>
      </c>
      <c r="D484" s="2757">
        <v>11000</v>
      </c>
      <c r="E484" s="2759">
        <v>25000000000</v>
      </c>
      <c r="F484" s="2759">
        <v>125000000</v>
      </c>
      <c r="G484" s="2760">
        <f t="shared" si="14"/>
        <v>125</v>
      </c>
      <c r="H484" s="2759">
        <v>0</v>
      </c>
      <c r="I484" s="2760">
        <f t="shared" si="15"/>
        <v>0</v>
      </c>
      <c r="J484" s="2759">
        <v>2.0000000000000002E-5</v>
      </c>
      <c r="K484" s="2759">
        <v>230</v>
      </c>
      <c r="L484" s="2766">
        <v>420</v>
      </c>
    </row>
    <row r="485" spans="1:12" ht="15.75">
      <c r="A485" s="2761" t="s">
        <v>5217</v>
      </c>
      <c r="B485" s="2762">
        <v>110000000000</v>
      </c>
      <c r="C485" s="2763">
        <v>0.3</v>
      </c>
      <c r="D485" s="2762">
        <v>4600</v>
      </c>
      <c r="E485" s="2764">
        <v>43000000000</v>
      </c>
      <c r="F485" s="2764">
        <v>235000000</v>
      </c>
      <c r="G485" s="2765">
        <f t="shared" si="14"/>
        <v>235</v>
      </c>
      <c r="H485" s="2764">
        <v>140000000</v>
      </c>
      <c r="I485" s="2765">
        <f t="shared" si="15"/>
        <v>140</v>
      </c>
      <c r="J485" s="2764">
        <v>8.8000000000000004E-6</v>
      </c>
      <c r="K485" s="2764">
        <v>460</v>
      </c>
      <c r="L485" s="2767">
        <v>22</v>
      </c>
    </row>
    <row r="486" spans="1:12" ht="15.75">
      <c r="A486" s="2756" t="s">
        <v>5218</v>
      </c>
      <c r="B486" s="2757">
        <v>400000000000</v>
      </c>
      <c r="C486" s="2758">
        <v>0.28000000000000003</v>
      </c>
      <c r="D486" s="2757">
        <v>19000</v>
      </c>
      <c r="E486" s="2759">
        <v>160000000000</v>
      </c>
      <c r="F486" s="2759">
        <v>310000000</v>
      </c>
      <c r="G486" s="2760">
        <f t="shared" si="14"/>
        <v>310</v>
      </c>
      <c r="H486" s="2759">
        <v>750000000</v>
      </c>
      <c r="I486" s="2760">
        <f t="shared" si="15"/>
        <v>750</v>
      </c>
      <c r="J486" s="2759">
        <v>4.5000000000000001E-6</v>
      </c>
      <c r="K486" s="2759">
        <v>130</v>
      </c>
      <c r="L486" s="2766">
        <v>200</v>
      </c>
    </row>
    <row r="487" spans="1:12" ht="15.75">
      <c r="A487" s="2761" t="s">
        <v>5219</v>
      </c>
      <c r="B487" s="2762">
        <v>140000000000</v>
      </c>
      <c r="C487" s="2763">
        <v>0.36</v>
      </c>
      <c r="D487" s="2762">
        <v>6100</v>
      </c>
      <c r="E487" s="2764">
        <v>51000000000</v>
      </c>
      <c r="F487" s="2764">
        <v>53000000</v>
      </c>
      <c r="G487" s="2765">
        <f t="shared" si="14"/>
        <v>53</v>
      </c>
      <c r="H487" s="2764">
        <v>0</v>
      </c>
      <c r="I487" s="2765">
        <f t="shared" si="15"/>
        <v>0</v>
      </c>
      <c r="J487" s="2764">
        <v>8.3000000000000002E-6</v>
      </c>
      <c r="K487" s="2764">
        <v>500</v>
      </c>
      <c r="L487" s="2767">
        <v>31</v>
      </c>
    </row>
    <row r="488" spans="1:12" ht="15.75">
      <c r="A488" s="2756" t="s">
        <v>5220</v>
      </c>
      <c r="B488" s="2757">
        <v>99000000000</v>
      </c>
      <c r="C488" s="2758">
        <v>0.34</v>
      </c>
      <c r="D488" s="2757">
        <v>6600</v>
      </c>
      <c r="E488" s="2759">
        <v>36000000000</v>
      </c>
      <c r="F488" s="2759">
        <v>350000000</v>
      </c>
      <c r="G488" s="2760">
        <f t="shared" si="14"/>
        <v>350</v>
      </c>
      <c r="H488" s="2759">
        <v>59000000</v>
      </c>
      <c r="I488" s="2760">
        <f t="shared" si="15"/>
        <v>59</v>
      </c>
      <c r="J488" s="2759">
        <v>1.1E-5</v>
      </c>
      <c r="K488" s="2759">
        <v>290</v>
      </c>
      <c r="L488" s="2766">
        <v>1.7</v>
      </c>
    </row>
    <row r="489" spans="1:12" ht="15.75">
      <c r="A489" s="2761" t="s">
        <v>5221</v>
      </c>
      <c r="B489" s="2762">
        <v>0</v>
      </c>
      <c r="C489" s="2763">
        <v>0</v>
      </c>
      <c r="D489" s="2762">
        <v>1.1000000000000001</v>
      </c>
      <c r="E489" s="2764">
        <v>0</v>
      </c>
      <c r="F489" s="2764">
        <v>0</v>
      </c>
      <c r="G489" s="2765">
        <f t="shared" si="14"/>
        <v>0</v>
      </c>
      <c r="H489" s="2764">
        <v>0</v>
      </c>
      <c r="I489" s="2765">
        <f t="shared" si="15"/>
        <v>0</v>
      </c>
      <c r="J489" s="2764">
        <v>0</v>
      </c>
      <c r="K489" s="2764">
        <v>1000</v>
      </c>
      <c r="L489" s="2767">
        <v>2.7E-2</v>
      </c>
    </row>
    <row r="490" spans="1:12" ht="15.75">
      <c r="A490" s="2756" t="s">
        <v>5222</v>
      </c>
      <c r="B490" s="2757">
        <v>220590000000</v>
      </c>
      <c r="C490" s="2758">
        <v>0.22</v>
      </c>
      <c r="D490" s="2757">
        <v>2300</v>
      </c>
      <c r="E490" s="2759">
        <v>90407000000</v>
      </c>
      <c r="F490" s="2759">
        <v>172340000</v>
      </c>
      <c r="G490" s="2760">
        <f t="shared" si="14"/>
        <v>172.34</v>
      </c>
      <c r="H490" s="2759">
        <v>0</v>
      </c>
      <c r="I490" s="2760">
        <f t="shared" si="15"/>
        <v>0</v>
      </c>
      <c r="J490" s="2759">
        <v>1.08E-5</v>
      </c>
      <c r="K490" s="2759">
        <v>877.96</v>
      </c>
      <c r="L490" s="2766">
        <v>1.4948999999999999</v>
      </c>
    </row>
    <row r="491" spans="1:12" ht="15.75">
      <c r="A491" s="2761" t="s">
        <v>5223</v>
      </c>
      <c r="B491" s="2762">
        <v>68935000000</v>
      </c>
      <c r="C491" s="2763">
        <v>0.23</v>
      </c>
      <c r="D491" s="2762">
        <v>2457.6</v>
      </c>
      <c r="E491" s="2764">
        <v>28022000000</v>
      </c>
      <c r="F491" s="2764">
        <v>0</v>
      </c>
      <c r="G491" s="2765">
        <f t="shared" si="14"/>
        <v>0</v>
      </c>
      <c r="H491" s="2764">
        <v>0</v>
      </c>
      <c r="I491" s="2765">
        <f t="shared" si="15"/>
        <v>0</v>
      </c>
      <c r="J491" s="2764">
        <v>9.0000000000000002E-6</v>
      </c>
      <c r="K491" s="2764">
        <v>834.61</v>
      </c>
      <c r="L491" s="2767">
        <v>0.74975999999999998</v>
      </c>
    </row>
    <row r="492" spans="1:12" ht="15.75">
      <c r="A492" s="2756" t="s">
        <v>5224</v>
      </c>
      <c r="B492" s="2757">
        <v>6100000</v>
      </c>
      <c r="C492" s="2758">
        <v>0.49</v>
      </c>
      <c r="D492" s="2757">
        <v>1000</v>
      </c>
      <c r="E492" s="2759">
        <v>2900000</v>
      </c>
      <c r="F492" s="2759">
        <v>13787100</v>
      </c>
      <c r="G492" s="2760">
        <f t="shared" si="14"/>
        <v>13.787100000000001</v>
      </c>
      <c r="H492" s="2759">
        <v>9237370</v>
      </c>
      <c r="I492" s="2760">
        <f t="shared" si="15"/>
        <v>9.2373700000000003</v>
      </c>
      <c r="J492" s="2759">
        <v>6.7000000000000002E-4</v>
      </c>
      <c r="K492" s="2759">
        <v>0</v>
      </c>
      <c r="L492" s="2766">
        <v>0.14000000000000001</v>
      </c>
    </row>
    <row r="493" spans="1:12" ht="15.75">
      <c r="A493" s="2761" t="s">
        <v>5225</v>
      </c>
      <c r="B493" s="2762">
        <v>0</v>
      </c>
      <c r="C493" s="2763">
        <v>0</v>
      </c>
      <c r="D493" s="2762">
        <v>1000</v>
      </c>
      <c r="E493" s="2764">
        <v>0</v>
      </c>
      <c r="F493" s="2764">
        <v>0</v>
      </c>
      <c r="G493" s="2765">
        <f t="shared" si="14"/>
        <v>0</v>
      </c>
      <c r="H493" s="2764">
        <v>0</v>
      </c>
      <c r="I493" s="2765">
        <f t="shared" si="15"/>
        <v>0</v>
      </c>
      <c r="J493" s="2764">
        <v>0</v>
      </c>
      <c r="K493" s="2764">
        <v>4200</v>
      </c>
      <c r="L493" s="2767">
        <v>0.61</v>
      </c>
    </row>
  </sheetData>
  <sheetProtection selectLockedCells="1" selectUnlockedCells="1"/>
  <mergeCells count="11">
    <mergeCell ref="A1:L1"/>
    <mergeCell ref="F2:G2"/>
    <mergeCell ref="H2:I2"/>
    <mergeCell ref="A2:A3"/>
    <mergeCell ref="B2:B3"/>
    <mergeCell ref="C2:C3"/>
    <mergeCell ref="D2:D3"/>
    <mergeCell ref="E2:E3"/>
    <mergeCell ref="J2:J3"/>
    <mergeCell ref="K2:K3"/>
    <mergeCell ref="L2:L3"/>
  </mergeCells>
  <phoneticPr fontId="214" type="noConversion"/>
  <printOptions horizontalCentered="1" verticalCentered="1"/>
  <pageMargins left="0.235416666666667" right="0.235416666666667" top="0.39374999999999999" bottom="0.39374999999999999" header="0.51041666666666696" footer="0.51041666666666696"/>
  <pageSetup paperSize="9" orientation="landscape" horizontalDpi="300" verticalDpi="300"/>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V60"/>
  <sheetViews>
    <sheetView workbookViewId="0">
      <pane ySplit="2" topLeftCell="A9" activePane="bottomLeft" state="frozen"/>
      <selection pane="bottomLeft" sqref="A1:V1"/>
    </sheetView>
  </sheetViews>
  <sheetFormatPr defaultColWidth="8.125" defaultRowHeight="13.5"/>
  <cols>
    <col min="1" max="1" width="2.875" style="2742" customWidth="1"/>
    <col min="2" max="2" width="21.25" style="2743" customWidth="1"/>
    <col min="3" max="3" width="11.375" style="2743" customWidth="1"/>
    <col min="4" max="4" width="3.75" style="2742" customWidth="1"/>
    <col min="5" max="5" width="5.125" style="2742" customWidth="1"/>
    <col min="6" max="6" width="8.25" style="2742" customWidth="1"/>
    <col min="7" max="8" width="7.375" style="2742" customWidth="1"/>
    <col min="9" max="9" width="6" style="2742" customWidth="1"/>
    <col min="10" max="10" width="3.75" style="2742" customWidth="1"/>
    <col min="11" max="11" width="5.125" style="2742" customWidth="1"/>
    <col min="12" max="14" width="3.75" style="2742" customWidth="1"/>
    <col min="15" max="15" width="6.375" style="2742" customWidth="1"/>
    <col min="16" max="16" width="3.75" style="2742" customWidth="1"/>
    <col min="17" max="17" width="7.375" style="2742" customWidth="1"/>
    <col min="18" max="18" width="6.875" style="2742" customWidth="1"/>
    <col min="19" max="22" width="3.75" style="2742" customWidth="1"/>
    <col min="23" max="16384" width="8.125" style="2636"/>
  </cols>
  <sheetData>
    <row r="1" spans="1:22" ht="57.95" customHeight="1">
      <c r="A1" s="4806" t="s">
        <v>98</v>
      </c>
      <c r="B1" s="4806"/>
      <c r="C1" s="4806"/>
      <c r="D1" s="4806"/>
      <c r="E1" s="4806"/>
      <c r="F1" s="4806"/>
      <c r="G1" s="4806"/>
      <c r="H1" s="4806"/>
      <c r="I1" s="4806"/>
      <c r="J1" s="4806"/>
      <c r="K1" s="4806"/>
      <c r="L1" s="4806"/>
      <c r="M1" s="4806"/>
      <c r="N1" s="4806"/>
      <c r="O1" s="4806"/>
      <c r="P1" s="4806"/>
      <c r="Q1" s="4806"/>
      <c r="R1" s="4806"/>
      <c r="S1" s="4806"/>
      <c r="T1" s="4806"/>
      <c r="U1" s="4806"/>
      <c r="V1" s="4806"/>
    </row>
    <row r="2" spans="1:22" s="2740" customFormat="1" ht="35.1" customHeight="1">
      <c r="A2" s="2744" t="s">
        <v>216</v>
      </c>
      <c r="B2" s="2744" t="s">
        <v>5226</v>
      </c>
      <c r="C2" s="2744" t="s">
        <v>1932</v>
      </c>
      <c r="D2" s="2744" t="s">
        <v>5227</v>
      </c>
      <c r="E2" s="2744" t="s">
        <v>4745</v>
      </c>
      <c r="F2" s="2744" t="s">
        <v>5228</v>
      </c>
      <c r="G2" s="2744" t="s">
        <v>5229</v>
      </c>
      <c r="H2" s="2744" t="s">
        <v>5230</v>
      </c>
      <c r="I2" s="2744" t="s">
        <v>5231</v>
      </c>
      <c r="J2" s="2744" t="s">
        <v>5232</v>
      </c>
      <c r="K2" s="2744" t="s">
        <v>5233</v>
      </c>
      <c r="L2" s="2744" t="s">
        <v>5234</v>
      </c>
      <c r="M2" s="2744" t="s">
        <v>5235</v>
      </c>
      <c r="N2" s="2744" t="s">
        <v>5236</v>
      </c>
      <c r="O2" s="2744" t="s">
        <v>5237</v>
      </c>
      <c r="P2" s="2744" t="s">
        <v>5238</v>
      </c>
      <c r="Q2" s="2744" t="s">
        <v>5239</v>
      </c>
      <c r="R2" s="2744" t="s">
        <v>5240</v>
      </c>
      <c r="S2" s="2744" t="s">
        <v>5241</v>
      </c>
      <c r="T2" s="2744" t="s">
        <v>5242</v>
      </c>
      <c r="U2" s="2744" t="s">
        <v>5243</v>
      </c>
      <c r="V2" s="2744" t="s">
        <v>5244</v>
      </c>
    </row>
    <row r="3" spans="1:22" ht="23.1" customHeight="1">
      <c r="A3" s="2745">
        <v>1</v>
      </c>
      <c r="B3" s="2746" t="s">
        <v>5245</v>
      </c>
      <c r="C3" s="2746" t="s">
        <v>5246</v>
      </c>
      <c r="D3" s="2745" t="s">
        <v>5247</v>
      </c>
      <c r="E3" s="2745"/>
      <c r="F3" s="2745" t="s">
        <v>5248</v>
      </c>
      <c r="G3" s="2745" t="s">
        <v>5249</v>
      </c>
      <c r="H3" s="2747" t="s">
        <v>5250</v>
      </c>
      <c r="I3" s="2745">
        <v>8</v>
      </c>
      <c r="J3" s="2745">
        <v>3</v>
      </c>
      <c r="K3" s="2745">
        <v>9800</v>
      </c>
      <c r="L3" s="2745">
        <v>1.05</v>
      </c>
      <c r="M3" s="2745">
        <v>69</v>
      </c>
      <c r="N3" s="2745">
        <v>69</v>
      </c>
      <c r="O3" s="2745" t="s">
        <v>5251</v>
      </c>
      <c r="P3" s="2745"/>
      <c r="Q3" s="2745">
        <v>7</v>
      </c>
      <c r="R3" s="2745" t="s">
        <v>5252</v>
      </c>
      <c r="S3" s="2745">
        <v>86</v>
      </c>
      <c r="T3" s="2745"/>
      <c r="U3" s="2745"/>
      <c r="V3" s="2745">
        <v>18</v>
      </c>
    </row>
    <row r="4" spans="1:22" ht="23.1" customHeight="1">
      <c r="A4" s="2745">
        <v>2</v>
      </c>
      <c r="B4" s="2748" t="s">
        <v>5253</v>
      </c>
      <c r="C4" s="2748" t="s">
        <v>5254</v>
      </c>
      <c r="D4" s="2749"/>
      <c r="E4" s="2749"/>
      <c r="F4" s="2749"/>
      <c r="G4" s="2749"/>
      <c r="H4" s="2749"/>
      <c r="I4" s="2749"/>
      <c r="J4" s="2749">
        <v>3</v>
      </c>
      <c r="K4" s="2749"/>
      <c r="L4" s="2749"/>
      <c r="M4" s="2749"/>
      <c r="N4" s="2749"/>
      <c r="O4" s="2749"/>
      <c r="P4" s="2749"/>
      <c r="Q4" s="2749"/>
      <c r="R4" s="2749"/>
      <c r="S4" s="2749"/>
      <c r="T4" s="2749"/>
      <c r="U4" s="2749"/>
      <c r="V4" s="2749"/>
    </row>
    <row r="5" spans="1:22" ht="23.1" customHeight="1">
      <c r="A5" s="2745">
        <v>3</v>
      </c>
      <c r="B5" s="2746" t="s">
        <v>5255</v>
      </c>
      <c r="C5" s="2746" t="s">
        <v>5256</v>
      </c>
      <c r="D5" s="2745"/>
      <c r="E5" s="2745"/>
      <c r="F5" s="2745">
        <v>49</v>
      </c>
      <c r="G5" s="2745">
        <v>0.5</v>
      </c>
      <c r="H5" s="2747">
        <v>0.01</v>
      </c>
      <c r="I5" s="2745"/>
      <c r="J5" s="2745">
        <v>4</v>
      </c>
      <c r="K5" s="2745"/>
      <c r="L5" s="2745">
        <v>1.4</v>
      </c>
      <c r="M5" s="2745">
        <v>65</v>
      </c>
      <c r="N5" s="2745">
        <v>69</v>
      </c>
      <c r="O5" s="2745" t="s">
        <v>5257</v>
      </c>
      <c r="P5" s="2745"/>
      <c r="Q5" s="2745" t="s">
        <v>5258</v>
      </c>
      <c r="R5" s="2745"/>
      <c r="S5" s="2745">
        <v>99</v>
      </c>
      <c r="T5" s="2745">
        <v>0.38</v>
      </c>
      <c r="U5" s="2745"/>
      <c r="V5" s="2745"/>
    </row>
    <row r="6" spans="1:22" ht="23.1" customHeight="1">
      <c r="A6" s="2745">
        <v>4</v>
      </c>
      <c r="B6" s="2748" t="s">
        <v>5259</v>
      </c>
      <c r="C6" s="2748" t="s">
        <v>5260</v>
      </c>
      <c r="D6" s="2749"/>
      <c r="E6" s="2749"/>
      <c r="F6" s="2749"/>
      <c r="G6" s="2749"/>
      <c r="H6" s="2749"/>
      <c r="I6" s="2749"/>
      <c r="J6" s="2749">
        <v>3</v>
      </c>
      <c r="K6" s="2749"/>
      <c r="L6" s="2749"/>
      <c r="M6" s="2749"/>
      <c r="N6" s="2749"/>
      <c r="O6" s="2749"/>
      <c r="P6" s="2749"/>
      <c r="Q6" s="2749"/>
      <c r="R6" s="2749"/>
      <c r="S6" s="2749"/>
      <c r="T6" s="2749"/>
      <c r="U6" s="2749">
        <v>0.9</v>
      </c>
      <c r="V6" s="2749"/>
    </row>
    <row r="7" spans="1:22" ht="23.1" customHeight="1">
      <c r="A7" s="2745">
        <v>5</v>
      </c>
      <c r="B7" s="2746" t="s">
        <v>5261</v>
      </c>
      <c r="C7" s="2746" t="s">
        <v>5262</v>
      </c>
      <c r="D7" s="2745" t="s">
        <v>5263</v>
      </c>
      <c r="E7" s="2745"/>
      <c r="F7" s="2745">
        <v>37</v>
      </c>
      <c r="G7" s="2745"/>
      <c r="H7" s="2747" t="s">
        <v>5264</v>
      </c>
      <c r="I7" s="2745">
        <v>5.8</v>
      </c>
      <c r="J7" s="2745"/>
      <c r="K7" s="2745"/>
      <c r="L7" s="2745">
        <v>2.13</v>
      </c>
      <c r="M7" s="2745">
        <v>70</v>
      </c>
      <c r="N7" s="2745">
        <v>14</v>
      </c>
      <c r="O7" s="2745">
        <v>125</v>
      </c>
      <c r="P7" s="2745"/>
      <c r="Q7" s="2745">
        <v>17</v>
      </c>
      <c r="R7" s="2745" t="s">
        <v>5265</v>
      </c>
      <c r="S7" s="2745">
        <v>198</v>
      </c>
      <c r="T7" s="2745">
        <v>0.3</v>
      </c>
      <c r="U7" s="2745">
        <v>0.8</v>
      </c>
      <c r="V7" s="2745" t="s">
        <v>5266</v>
      </c>
    </row>
    <row r="8" spans="1:22" ht="23.1" customHeight="1">
      <c r="A8" s="2745">
        <v>6</v>
      </c>
      <c r="B8" s="2748" t="s">
        <v>5267</v>
      </c>
      <c r="C8" s="2748" t="s">
        <v>5268</v>
      </c>
      <c r="D8" s="2749" t="s">
        <v>5263</v>
      </c>
      <c r="E8" s="2749"/>
      <c r="F8" s="2749">
        <v>27.6</v>
      </c>
      <c r="G8" s="2749"/>
      <c r="H8" s="2749" t="s">
        <v>5264</v>
      </c>
      <c r="I8" s="2749">
        <v>10.5</v>
      </c>
      <c r="J8" s="2749"/>
      <c r="K8" s="2749"/>
      <c r="L8" s="2749">
        <v>2.1800000000000002</v>
      </c>
      <c r="M8" s="2749">
        <v>21</v>
      </c>
      <c r="N8" s="2749">
        <v>13</v>
      </c>
      <c r="O8" s="2749">
        <v>233</v>
      </c>
      <c r="P8" s="2749"/>
      <c r="Q8" s="2749">
        <v>2.7</v>
      </c>
      <c r="R8" s="2749"/>
      <c r="S8" s="2749">
        <v>288</v>
      </c>
      <c r="T8" s="2749">
        <v>0.13</v>
      </c>
      <c r="U8" s="2749">
        <v>0.96</v>
      </c>
      <c r="V8" s="2749" t="s">
        <v>5266</v>
      </c>
    </row>
    <row r="9" spans="1:22" ht="23.1" customHeight="1">
      <c r="A9" s="2745">
        <v>7</v>
      </c>
      <c r="B9" s="2746" t="s">
        <v>5269</v>
      </c>
      <c r="C9" s="2746" t="s">
        <v>5270</v>
      </c>
      <c r="D9" s="2745"/>
      <c r="E9" s="2745"/>
      <c r="F9" s="2745">
        <v>17.5</v>
      </c>
      <c r="G9" s="2745"/>
      <c r="H9" s="2747" t="s">
        <v>5264</v>
      </c>
      <c r="I9" s="2745">
        <v>7.1</v>
      </c>
      <c r="J9" s="2745">
        <v>3</v>
      </c>
      <c r="K9" s="2745"/>
      <c r="L9" s="2745">
        <v>2.2599999999999998</v>
      </c>
      <c r="M9" s="2745">
        <v>21</v>
      </c>
      <c r="N9" s="2745">
        <v>17</v>
      </c>
      <c r="O9" s="2745">
        <v>207</v>
      </c>
      <c r="P9" s="2745"/>
      <c r="Q9" s="2745">
        <v>1.8</v>
      </c>
      <c r="R9" s="2745"/>
      <c r="S9" s="2745"/>
      <c r="T9" s="2745">
        <v>0.3</v>
      </c>
      <c r="U9" s="2745"/>
      <c r="V9" s="2745"/>
    </row>
    <row r="10" spans="1:22" ht="23.1" customHeight="1">
      <c r="A10" s="2745">
        <v>8</v>
      </c>
      <c r="B10" s="2748" t="s">
        <v>5271</v>
      </c>
      <c r="C10" s="2748" t="s">
        <v>5272</v>
      </c>
      <c r="D10" s="2749" t="s">
        <v>5263</v>
      </c>
      <c r="E10" s="2749"/>
      <c r="F10" s="2749">
        <v>32</v>
      </c>
      <c r="G10" s="2749"/>
      <c r="H10" s="2749" t="s">
        <v>5264</v>
      </c>
      <c r="I10" s="2749">
        <v>5.8</v>
      </c>
      <c r="J10" s="2749"/>
      <c r="K10" s="2749"/>
      <c r="L10" s="2749">
        <v>2.11</v>
      </c>
      <c r="M10" s="2749">
        <v>55</v>
      </c>
      <c r="N10" s="2749">
        <v>12</v>
      </c>
      <c r="O10" s="2749">
        <v>190</v>
      </c>
      <c r="P10" s="2749"/>
      <c r="Q10" s="2749">
        <v>37</v>
      </c>
      <c r="R10" s="2749" t="s">
        <v>5273</v>
      </c>
      <c r="S10" s="2749">
        <v>198</v>
      </c>
      <c r="T10" s="2749"/>
      <c r="U10" s="2749"/>
      <c r="V10" s="2749" t="s">
        <v>5266</v>
      </c>
    </row>
    <row r="11" spans="1:22" ht="23.1" customHeight="1">
      <c r="A11" s="2745">
        <v>9</v>
      </c>
      <c r="B11" s="2746" t="s">
        <v>5274</v>
      </c>
      <c r="C11" s="2746" t="s">
        <v>5275</v>
      </c>
      <c r="D11" s="2745" t="s">
        <v>5276</v>
      </c>
      <c r="E11" s="2745" t="s">
        <v>5277</v>
      </c>
      <c r="F11" s="2745">
        <v>27</v>
      </c>
      <c r="G11" s="2745" t="s">
        <v>5278</v>
      </c>
      <c r="H11" s="2747" t="s">
        <v>5264</v>
      </c>
      <c r="I11" s="2745">
        <v>12.5</v>
      </c>
      <c r="J11" s="2745">
        <v>5</v>
      </c>
      <c r="K11" s="2745">
        <v>7150</v>
      </c>
      <c r="L11" s="2745">
        <v>0.95</v>
      </c>
      <c r="M11" s="2745">
        <v>11</v>
      </c>
      <c r="N11" s="2745">
        <v>10</v>
      </c>
      <c r="O11" s="2745" t="s">
        <v>5279</v>
      </c>
      <c r="P11" s="2745"/>
      <c r="Q11" s="2745" t="s">
        <v>5280</v>
      </c>
      <c r="R11" s="2745" t="s">
        <v>5281</v>
      </c>
      <c r="S11" s="2745">
        <v>78</v>
      </c>
      <c r="T11" s="2745"/>
      <c r="U11" s="2745"/>
      <c r="V11" s="2745">
        <v>20</v>
      </c>
    </row>
    <row r="12" spans="1:22" ht="23.1" customHeight="1">
      <c r="A12" s="2745">
        <v>10</v>
      </c>
      <c r="B12" s="2748" t="s">
        <v>5282</v>
      </c>
      <c r="C12" s="2748" t="s">
        <v>5283</v>
      </c>
      <c r="D12" s="2749"/>
      <c r="E12" s="2749"/>
      <c r="F12" s="2749">
        <v>20</v>
      </c>
      <c r="G12" s="2749" t="s">
        <v>5284</v>
      </c>
      <c r="H12" s="2749">
        <v>0.2</v>
      </c>
      <c r="I12" s="2749" t="s">
        <v>5285</v>
      </c>
      <c r="J12" s="2749"/>
      <c r="K12" s="2749">
        <v>7800</v>
      </c>
      <c r="L12" s="2749">
        <v>1.05</v>
      </c>
      <c r="M12" s="2749"/>
      <c r="N12" s="2749"/>
      <c r="O12" s="2749">
        <v>3.5</v>
      </c>
      <c r="P12" s="2749"/>
      <c r="Q12" s="2749"/>
      <c r="R12" s="2749"/>
      <c r="S12" s="2749"/>
      <c r="T12" s="2749"/>
      <c r="U12" s="2749"/>
      <c r="V12" s="2749"/>
    </row>
    <row r="13" spans="1:22" ht="23.1" customHeight="1">
      <c r="A13" s="2745">
        <v>11</v>
      </c>
      <c r="B13" s="2746" t="s">
        <v>5286</v>
      </c>
      <c r="C13" s="2746" t="s">
        <v>5287</v>
      </c>
      <c r="D13" s="2745" t="s">
        <v>5263</v>
      </c>
      <c r="E13" s="2745"/>
      <c r="F13" s="2745">
        <v>45.7</v>
      </c>
      <c r="G13" s="2745" t="s">
        <v>5288</v>
      </c>
      <c r="H13" s="2747" t="s">
        <v>5289</v>
      </c>
      <c r="I13" s="2745">
        <v>5</v>
      </c>
      <c r="J13" s="2745">
        <v>4</v>
      </c>
      <c r="K13" s="2745"/>
      <c r="L13" s="2745">
        <v>1.5</v>
      </c>
      <c r="M13" s="2745">
        <v>100</v>
      </c>
      <c r="N13" s="2745">
        <v>20.5</v>
      </c>
      <c r="O13" s="2745"/>
      <c r="P13" s="2745"/>
      <c r="Q13" s="2745" t="s">
        <v>5290</v>
      </c>
      <c r="R13" s="2745" t="s">
        <v>5291</v>
      </c>
      <c r="S13" s="2745"/>
      <c r="T13" s="2745"/>
      <c r="U13" s="2745"/>
      <c r="V13" s="2745"/>
    </row>
    <row r="14" spans="1:22" ht="23.1" customHeight="1">
      <c r="A14" s="2745">
        <v>12</v>
      </c>
      <c r="B14" s="2748" t="s">
        <v>5292</v>
      </c>
      <c r="C14" s="2748" t="s">
        <v>5293</v>
      </c>
      <c r="D14" s="2749"/>
      <c r="E14" s="2749"/>
      <c r="F14" s="2749"/>
      <c r="G14" s="2749">
        <v>6.0000000000000001E-3</v>
      </c>
      <c r="H14" s="2749"/>
      <c r="I14" s="2749"/>
      <c r="J14" s="2749"/>
      <c r="K14" s="2749"/>
      <c r="L14" s="2749"/>
      <c r="M14" s="2749"/>
      <c r="N14" s="2749"/>
      <c r="O14" s="2749"/>
      <c r="P14" s="2749"/>
      <c r="Q14" s="2749"/>
      <c r="R14" s="2749"/>
      <c r="S14" s="2749">
        <v>315</v>
      </c>
      <c r="T14" s="2749"/>
      <c r="U14" s="2749"/>
      <c r="V14" s="2749"/>
    </row>
    <row r="15" spans="1:22" ht="23.1" customHeight="1">
      <c r="A15" s="2745">
        <v>13</v>
      </c>
      <c r="B15" s="2746" t="s">
        <v>5294</v>
      </c>
      <c r="C15" s="2746" t="s">
        <v>5295</v>
      </c>
      <c r="D15" s="2745" t="s">
        <v>5276</v>
      </c>
      <c r="E15" s="2745"/>
      <c r="F15" s="2745" t="s">
        <v>5296</v>
      </c>
      <c r="G15" s="2745" t="s">
        <v>5297</v>
      </c>
      <c r="H15" s="2747" t="s">
        <v>5264</v>
      </c>
      <c r="I15" s="2745">
        <v>22</v>
      </c>
      <c r="J15" s="2745">
        <v>6</v>
      </c>
      <c r="K15" s="2745">
        <v>7200</v>
      </c>
      <c r="L15" s="2745">
        <v>0.92</v>
      </c>
      <c r="M15" s="2745">
        <v>34</v>
      </c>
      <c r="N15" s="2745">
        <v>28</v>
      </c>
      <c r="O15" s="2745" t="s">
        <v>5298</v>
      </c>
      <c r="P15" s="2745"/>
      <c r="Q15" s="2745" t="s">
        <v>5299</v>
      </c>
      <c r="R15" s="2745" t="s">
        <v>5300</v>
      </c>
      <c r="S15" s="2745">
        <v>50</v>
      </c>
      <c r="T15" s="2745"/>
      <c r="U15" s="2745"/>
      <c r="V15" s="2745">
        <v>20</v>
      </c>
    </row>
    <row r="16" spans="1:22" ht="23.1" customHeight="1">
      <c r="A16" s="2745">
        <v>14</v>
      </c>
      <c r="B16" s="2748" t="s">
        <v>5301</v>
      </c>
      <c r="C16" s="2748" t="s">
        <v>5302</v>
      </c>
      <c r="D16" s="2749"/>
      <c r="E16" s="2749"/>
      <c r="F16" s="2749"/>
      <c r="G16" s="2749"/>
      <c r="H16" s="2749"/>
      <c r="I16" s="2749"/>
      <c r="J16" s="2749"/>
      <c r="K16" s="2749"/>
      <c r="L16" s="2749"/>
      <c r="M16" s="2749"/>
      <c r="N16" s="2749"/>
      <c r="O16" s="2749"/>
      <c r="P16" s="2749"/>
      <c r="Q16" s="2749"/>
      <c r="R16" s="2749"/>
      <c r="S16" s="2749"/>
      <c r="T16" s="2749"/>
      <c r="U16" s="2749"/>
      <c r="V16" s="2749"/>
    </row>
    <row r="17" spans="1:22" ht="23.1" customHeight="1">
      <c r="A17" s="2745">
        <v>15</v>
      </c>
      <c r="B17" s="2746" t="s">
        <v>5303</v>
      </c>
      <c r="C17" s="2746" t="s">
        <v>5304</v>
      </c>
      <c r="D17" s="2745" t="s">
        <v>5276</v>
      </c>
      <c r="E17" s="2745"/>
      <c r="F17" s="2745">
        <v>74</v>
      </c>
      <c r="G17" s="2745" t="s">
        <v>5305</v>
      </c>
      <c r="H17" s="2747">
        <v>3</v>
      </c>
      <c r="I17" s="2745">
        <v>8.3000000000000007</v>
      </c>
      <c r="J17" s="2745">
        <v>4</v>
      </c>
      <c r="K17" s="2745">
        <v>15000</v>
      </c>
      <c r="L17" s="2745">
        <v>1.1399999999999999</v>
      </c>
      <c r="M17" s="2745">
        <v>120</v>
      </c>
      <c r="N17" s="2745"/>
      <c r="O17" s="2745">
        <v>70</v>
      </c>
      <c r="P17" s="2745">
        <v>33</v>
      </c>
      <c r="Q17" s="2745">
        <v>8.3000000000000007</v>
      </c>
      <c r="R17" s="2745" t="s">
        <v>5306</v>
      </c>
      <c r="S17" s="2745">
        <v>58</v>
      </c>
      <c r="T17" s="2745">
        <v>0.6</v>
      </c>
      <c r="U17" s="2745"/>
      <c r="V17" s="2745"/>
    </row>
    <row r="18" spans="1:22" ht="23.1" customHeight="1">
      <c r="A18" s="2745">
        <v>16</v>
      </c>
      <c r="B18" s="2748" t="s">
        <v>5307</v>
      </c>
      <c r="C18" s="2748" t="s">
        <v>5308</v>
      </c>
      <c r="D18" s="2749"/>
      <c r="E18" s="2749"/>
      <c r="F18" s="2749">
        <v>110</v>
      </c>
      <c r="G18" s="2749" t="s">
        <v>5309</v>
      </c>
      <c r="H18" s="2749">
        <v>1.1000000000000001</v>
      </c>
      <c r="I18" s="2749">
        <v>2.2000000000000002</v>
      </c>
      <c r="J18" s="2749">
        <v>3</v>
      </c>
      <c r="K18" s="2749"/>
      <c r="L18" s="2749">
        <v>1.37</v>
      </c>
      <c r="M18" s="2749">
        <v>210</v>
      </c>
      <c r="N18" s="2749"/>
      <c r="O18" s="2749">
        <v>3</v>
      </c>
      <c r="P18" s="2749">
        <v>76</v>
      </c>
      <c r="Q18" s="2749"/>
      <c r="R18" s="2749"/>
      <c r="S18" s="2749">
        <v>190</v>
      </c>
      <c r="T18" s="2749"/>
      <c r="U18" s="2749"/>
      <c r="V18" s="2749"/>
    </row>
    <row r="19" spans="1:22" ht="23.1" customHeight="1">
      <c r="A19" s="2745">
        <v>17</v>
      </c>
      <c r="B19" s="2746" t="s">
        <v>5310</v>
      </c>
      <c r="C19" s="2746" t="s">
        <v>5311</v>
      </c>
      <c r="D19" s="2745" t="s">
        <v>5276</v>
      </c>
      <c r="E19" s="2745"/>
      <c r="F19" s="2745">
        <v>80</v>
      </c>
      <c r="G19" s="2745" t="s">
        <v>5312</v>
      </c>
      <c r="H19" s="2747" t="s">
        <v>5313</v>
      </c>
      <c r="I19" s="2745">
        <v>7</v>
      </c>
      <c r="J19" s="2745">
        <v>4</v>
      </c>
      <c r="K19" s="2745">
        <v>16000</v>
      </c>
      <c r="L19" s="2745">
        <v>1.1499999999999999</v>
      </c>
      <c r="M19" s="2745">
        <v>130</v>
      </c>
      <c r="N19" s="2745"/>
      <c r="O19" s="2745">
        <v>60</v>
      </c>
      <c r="P19" s="2745">
        <v>39</v>
      </c>
      <c r="Q19" s="2745">
        <v>9.5</v>
      </c>
      <c r="R19" s="2745" t="s">
        <v>5314</v>
      </c>
      <c r="S19" s="2745">
        <v>60</v>
      </c>
      <c r="T19" s="2745">
        <v>0.5</v>
      </c>
      <c r="U19" s="2745"/>
      <c r="V19" s="2745"/>
    </row>
    <row r="20" spans="1:22" ht="23.1" customHeight="1">
      <c r="A20" s="2745">
        <v>18</v>
      </c>
      <c r="B20" s="2748" t="s">
        <v>5315</v>
      </c>
      <c r="C20" s="2748" t="s">
        <v>5316</v>
      </c>
      <c r="D20" s="2749"/>
      <c r="E20" s="2749"/>
      <c r="F20" s="2749">
        <v>189</v>
      </c>
      <c r="G20" s="2749" t="s">
        <v>5317</v>
      </c>
      <c r="H20" s="2749" t="s">
        <v>5318</v>
      </c>
      <c r="I20" s="2749"/>
      <c r="J20" s="2749">
        <v>3</v>
      </c>
      <c r="K20" s="2749"/>
      <c r="L20" s="2749">
        <v>1.38</v>
      </c>
      <c r="M20" s="2749">
        <v>262</v>
      </c>
      <c r="N20" s="2749"/>
      <c r="O20" s="2749">
        <v>3</v>
      </c>
      <c r="P20" s="2749">
        <v>102</v>
      </c>
      <c r="Q20" s="2749"/>
      <c r="R20" s="2749"/>
      <c r="S20" s="2749">
        <v>248</v>
      </c>
      <c r="T20" s="2749"/>
      <c r="U20" s="2749"/>
      <c r="V20" s="2749"/>
    </row>
    <row r="21" spans="1:22" ht="23.1" customHeight="1">
      <c r="A21" s="2745">
        <v>19</v>
      </c>
      <c r="B21" s="2746" t="s">
        <v>5319</v>
      </c>
      <c r="C21" s="2746" t="s">
        <v>5320</v>
      </c>
      <c r="D21" s="2745"/>
      <c r="E21" s="2745"/>
      <c r="F21" s="2745">
        <v>91</v>
      </c>
      <c r="G21" s="2745">
        <v>0.8</v>
      </c>
      <c r="H21" s="2747">
        <v>1.8</v>
      </c>
      <c r="I21" s="2745">
        <v>3.6</v>
      </c>
      <c r="J21" s="2745"/>
      <c r="K21" s="2745"/>
      <c r="L21" s="2745">
        <v>1.37</v>
      </c>
      <c r="M21" s="2745">
        <v>121</v>
      </c>
      <c r="N21" s="2745">
        <v>126</v>
      </c>
      <c r="O21" s="2745">
        <v>13</v>
      </c>
      <c r="P21" s="2745">
        <v>243</v>
      </c>
      <c r="Q21" s="2745">
        <v>8.6999999999999993</v>
      </c>
      <c r="R21" s="2745" t="s">
        <v>5321</v>
      </c>
      <c r="S21" s="2745">
        <v>274</v>
      </c>
      <c r="T21" s="2745"/>
      <c r="U21" s="2745"/>
      <c r="V21" s="2745"/>
    </row>
    <row r="22" spans="1:22" ht="23.1" customHeight="1">
      <c r="A22" s="2745">
        <v>20</v>
      </c>
      <c r="B22" s="2748" t="s">
        <v>5322</v>
      </c>
      <c r="C22" s="2748" t="s">
        <v>5323</v>
      </c>
      <c r="D22" s="2749"/>
      <c r="E22" s="2749"/>
      <c r="F22" s="2749">
        <v>55</v>
      </c>
      <c r="G22" s="2749">
        <v>0.44</v>
      </c>
      <c r="H22" s="2749">
        <v>0.09</v>
      </c>
      <c r="I22" s="2749">
        <v>9.1999999999999993</v>
      </c>
      <c r="J22" s="2749"/>
      <c r="K22" s="2749">
        <v>16000</v>
      </c>
      <c r="L22" s="2749">
        <v>1.31</v>
      </c>
      <c r="M22" s="2749">
        <v>85</v>
      </c>
      <c r="N22" s="2749"/>
      <c r="O22" s="2749" t="s">
        <v>5324</v>
      </c>
      <c r="P22" s="2749"/>
      <c r="Q22" s="2749">
        <v>4.3</v>
      </c>
      <c r="R22" s="2749" t="s">
        <v>5325</v>
      </c>
      <c r="S22" s="2749">
        <v>66</v>
      </c>
      <c r="T22" s="2749"/>
      <c r="U22" s="2749"/>
      <c r="V22" s="2749"/>
    </row>
    <row r="23" spans="1:22" ht="23.1" customHeight="1">
      <c r="A23" s="2745">
        <v>21</v>
      </c>
      <c r="B23" s="2746" t="s">
        <v>5326</v>
      </c>
      <c r="C23" s="2746" t="s">
        <v>5327</v>
      </c>
      <c r="D23" s="2745"/>
      <c r="E23" s="2745"/>
      <c r="F23" s="2745">
        <v>137</v>
      </c>
      <c r="G23" s="2745">
        <v>0.2</v>
      </c>
      <c r="H23" s="2747">
        <v>7.0000000000000007E-2</v>
      </c>
      <c r="I23" s="2745">
        <v>2.7</v>
      </c>
      <c r="J23" s="2745">
        <v>3</v>
      </c>
      <c r="K23" s="2745"/>
      <c r="L23" s="2745">
        <v>1.53</v>
      </c>
      <c r="M23" s="2745">
        <v>196</v>
      </c>
      <c r="N23" s="2745"/>
      <c r="O23" s="2745">
        <v>4</v>
      </c>
      <c r="P23" s="2745"/>
      <c r="Q23" s="2745">
        <v>7.8</v>
      </c>
      <c r="R23" s="2745" t="s">
        <v>5328</v>
      </c>
      <c r="S23" s="2745">
        <v>220</v>
      </c>
      <c r="T23" s="2745"/>
      <c r="U23" s="2745"/>
      <c r="V23" s="2745"/>
    </row>
    <row r="24" spans="1:22" ht="23.1" customHeight="1">
      <c r="A24" s="2745">
        <v>22</v>
      </c>
      <c r="B24" s="2748" t="s">
        <v>5329</v>
      </c>
      <c r="C24" s="2748" t="s">
        <v>5330</v>
      </c>
      <c r="D24" s="2749"/>
      <c r="E24" s="2749"/>
      <c r="F24" s="2749">
        <v>61</v>
      </c>
      <c r="G24" s="2749">
        <v>0.5</v>
      </c>
      <c r="H24" s="2749">
        <v>0.15</v>
      </c>
      <c r="I24" s="2749">
        <v>7.2</v>
      </c>
      <c r="J24" s="2749">
        <v>3</v>
      </c>
      <c r="K24" s="2749">
        <v>19000</v>
      </c>
      <c r="L24" s="2749">
        <v>1.2</v>
      </c>
      <c r="M24" s="2749">
        <v>82</v>
      </c>
      <c r="N24" s="2749">
        <v>78</v>
      </c>
      <c r="O24" s="2749">
        <v>90</v>
      </c>
      <c r="P24" s="2749"/>
      <c r="Q24" s="2749">
        <v>20</v>
      </c>
      <c r="R24" s="2749" t="s">
        <v>5331</v>
      </c>
      <c r="S24" s="2749">
        <v>133</v>
      </c>
      <c r="T24" s="2749">
        <v>0.37</v>
      </c>
      <c r="U24" s="2749">
        <v>0.93</v>
      </c>
      <c r="V24" s="2749"/>
    </row>
    <row r="25" spans="1:22" ht="23.1" customHeight="1">
      <c r="A25" s="2745">
        <v>23</v>
      </c>
      <c r="B25" s="2746" t="s">
        <v>5332</v>
      </c>
      <c r="C25" s="2746" t="s">
        <v>5333</v>
      </c>
      <c r="D25" s="2745" t="s">
        <v>5263</v>
      </c>
      <c r="E25" s="2745"/>
      <c r="F25" s="2745">
        <v>132</v>
      </c>
      <c r="G25" s="2745">
        <v>0.2</v>
      </c>
      <c r="H25" s="2747">
        <v>0.1</v>
      </c>
      <c r="I25" s="2745">
        <v>2.7</v>
      </c>
      <c r="J25" s="2745">
        <v>3</v>
      </c>
      <c r="K25" s="2745"/>
      <c r="L25" s="2745">
        <v>1.45</v>
      </c>
      <c r="M25" s="2745">
        <v>170</v>
      </c>
      <c r="N25" s="2745">
        <v>125</v>
      </c>
      <c r="O25" s="2745" t="s">
        <v>5334</v>
      </c>
      <c r="P25" s="2745"/>
      <c r="Q25" s="2745">
        <v>8</v>
      </c>
      <c r="R25" s="2745" t="s">
        <v>5335</v>
      </c>
      <c r="S25" s="2745">
        <v>146</v>
      </c>
      <c r="T25" s="2745"/>
      <c r="U25" s="2745"/>
      <c r="V25" s="2745"/>
    </row>
    <row r="26" spans="1:22" ht="23.1" customHeight="1">
      <c r="A26" s="2745">
        <v>24</v>
      </c>
      <c r="B26" s="2748" t="s">
        <v>5336</v>
      </c>
      <c r="C26" s="2748" t="s">
        <v>5337</v>
      </c>
      <c r="D26" s="2749"/>
      <c r="E26" s="2749"/>
      <c r="F26" s="2749">
        <v>103</v>
      </c>
      <c r="G26" s="2749"/>
      <c r="H26" s="2749"/>
      <c r="I26" s="2749">
        <v>10</v>
      </c>
      <c r="J26" s="2749"/>
      <c r="K26" s="2749"/>
      <c r="L26" s="2749">
        <v>1.3</v>
      </c>
      <c r="M26" s="2749"/>
      <c r="N26" s="2749"/>
      <c r="O26" s="2749">
        <v>11</v>
      </c>
      <c r="P26" s="2749"/>
      <c r="Q26" s="2749">
        <v>1387</v>
      </c>
      <c r="R26" s="2749"/>
      <c r="S26" s="2749">
        <v>145</v>
      </c>
      <c r="T26" s="2749"/>
      <c r="U26" s="2749"/>
      <c r="V26" s="2749">
        <v>35</v>
      </c>
    </row>
    <row r="27" spans="1:22" ht="23.1" customHeight="1">
      <c r="A27" s="2745">
        <v>25</v>
      </c>
      <c r="B27" s="2746" t="s">
        <v>5338</v>
      </c>
      <c r="C27" s="2746" t="s">
        <v>5339</v>
      </c>
      <c r="D27" s="2745"/>
      <c r="E27" s="2745"/>
      <c r="F27" s="2745"/>
      <c r="G27" s="2745"/>
      <c r="H27" s="2747"/>
      <c r="I27" s="2745">
        <v>8.4</v>
      </c>
      <c r="J27" s="2745"/>
      <c r="K27" s="2745"/>
      <c r="L27" s="2745"/>
      <c r="M27" s="2745"/>
      <c r="N27" s="2745"/>
      <c r="O27" s="2745"/>
      <c r="P27" s="2745"/>
      <c r="Q27" s="2745"/>
      <c r="R27" s="2745"/>
      <c r="S27" s="2745">
        <v>185</v>
      </c>
      <c r="T27" s="2745"/>
      <c r="U27" s="2745"/>
      <c r="V27" s="2745"/>
    </row>
    <row r="28" spans="1:22" ht="23.1" customHeight="1">
      <c r="A28" s="2745">
        <v>26</v>
      </c>
      <c r="B28" s="2748" t="s">
        <v>5340</v>
      </c>
      <c r="C28" s="2748" t="s">
        <v>5341</v>
      </c>
      <c r="D28" s="2749"/>
      <c r="E28" s="2749"/>
      <c r="F28" s="2749">
        <v>102</v>
      </c>
      <c r="G28" s="2749"/>
      <c r="H28" s="2749"/>
      <c r="I28" s="2749"/>
      <c r="J28" s="2749"/>
      <c r="K28" s="2749"/>
      <c r="L28" s="2749">
        <v>1.3</v>
      </c>
      <c r="M28" s="2749"/>
      <c r="N28" s="2749"/>
      <c r="O28" s="2749">
        <v>4</v>
      </c>
      <c r="P28" s="2749"/>
      <c r="Q28" s="2749"/>
      <c r="R28" s="2749"/>
      <c r="S28" s="2749"/>
      <c r="T28" s="2749"/>
      <c r="U28" s="2749"/>
      <c r="V28" s="2749">
        <v>40</v>
      </c>
    </row>
    <row r="29" spans="1:22" ht="23.1" customHeight="1">
      <c r="A29" s="2745">
        <v>27</v>
      </c>
      <c r="B29" s="2746" t="s">
        <v>5342</v>
      </c>
      <c r="C29" s="2746" t="s">
        <v>5343</v>
      </c>
      <c r="D29" s="2745"/>
      <c r="E29" s="2745"/>
      <c r="F29" s="2745">
        <v>85</v>
      </c>
      <c r="G29" s="2745">
        <v>0.6</v>
      </c>
      <c r="H29" s="2747">
        <v>0.25</v>
      </c>
      <c r="I29" s="2745">
        <v>5.5</v>
      </c>
      <c r="J29" s="2745"/>
      <c r="K29" s="2745"/>
      <c r="L29" s="2745">
        <v>1.1399999999999999</v>
      </c>
      <c r="M29" s="2745">
        <v>89</v>
      </c>
      <c r="N29" s="2745">
        <v>110</v>
      </c>
      <c r="O29" s="2745">
        <v>80</v>
      </c>
      <c r="P29" s="2745">
        <v>296</v>
      </c>
      <c r="Q29" s="2745">
        <v>12.1</v>
      </c>
      <c r="R29" s="2745" t="s">
        <v>5344</v>
      </c>
      <c r="S29" s="2745">
        <v>210</v>
      </c>
      <c r="T29" s="2745"/>
      <c r="U29" s="2745">
        <v>0.88</v>
      </c>
      <c r="V29" s="2745"/>
    </row>
    <row r="30" spans="1:22" ht="23.1" customHeight="1">
      <c r="A30" s="2745">
        <v>28</v>
      </c>
      <c r="B30" s="2748" t="s">
        <v>5345</v>
      </c>
      <c r="C30" s="2748" t="s">
        <v>5346</v>
      </c>
      <c r="D30" s="2749"/>
      <c r="E30" s="2749"/>
      <c r="F30" s="2749">
        <v>78</v>
      </c>
      <c r="G30" s="2749">
        <v>1.8</v>
      </c>
      <c r="H30" s="2749">
        <v>0.26</v>
      </c>
      <c r="I30" s="2749">
        <v>10</v>
      </c>
      <c r="J30" s="2749"/>
      <c r="K30" s="2749"/>
      <c r="L30" s="2749">
        <v>1.38</v>
      </c>
      <c r="M30" s="2749">
        <v>115</v>
      </c>
      <c r="N30" s="2749"/>
      <c r="O30" s="2749">
        <v>50</v>
      </c>
      <c r="P30" s="2749"/>
      <c r="Q30" s="2749">
        <v>4</v>
      </c>
      <c r="R30" s="2749"/>
      <c r="S30" s="2749">
        <v>70</v>
      </c>
      <c r="T30" s="2749"/>
      <c r="U30" s="2749">
        <v>0.9</v>
      </c>
      <c r="V30" s="2749"/>
    </row>
    <row r="31" spans="1:22" ht="23.1" customHeight="1">
      <c r="A31" s="2745">
        <v>29</v>
      </c>
      <c r="B31" s="2746" t="s">
        <v>5347</v>
      </c>
      <c r="C31" s="2746" t="s">
        <v>5348</v>
      </c>
      <c r="D31" s="2745"/>
      <c r="E31" s="2745"/>
      <c r="F31" s="2745">
        <v>124</v>
      </c>
      <c r="G31" s="2745" t="s">
        <v>5349</v>
      </c>
      <c r="H31" s="2747">
        <v>0.05</v>
      </c>
      <c r="I31" s="2745">
        <v>2.9</v>
      </c>
      <c r="J31" s="2745">
        <v>3</v>
      </c>
      <c r="K31" s="2745"/>
      <c r="L31" s="2745">
        <v>1.6</v>
      </c>
      <c r="M31" s="2745">
        <v>196</v>
      </c>
      <c r="N31" s="2745"/>
      <c r="O31" s="2745">
        <v>3</v>
      </c>
      <c r="P31" s="2745"/>
      <c r="Q31" s="2745">
        <v>80</v>
      </c>
      <c r="R31" s="2745" t="s">
        <v>5350</v>
      </c>
      <c r="S31" s="2745">
        <v>215</v>
      </c>
      <c r="T31" s="2745"/>
      <c r="U31" s="2745"/>
      <c r="V31" s="2745"/>
    </row>
    <row r="32" spans="1:22" ht="23.1" customHeight="1">
      <c r="A32" s="2745">
        <v>30</v>
      </c>
      <c r="B32" s="2748" t="s">
        <v>5351</v>
      </c>
      <c r="C32" s="2748" t="s">
        <v>5352</v>
      </c>
      <c r="D32" s="2749"/>
      <c r="E32" s="2749"/>
      <c r="F32" s="2749"/>
      <c r="G32" s="2749"/>
      <c r="H32" s="2749"/>
      <c r="I32" s="2749"/>
      <c r="J32" s="2749">
        <v>3</v>
      </c>
      <c r="K32" s="2749"/>
      <c r="L32" s="2749"/>
      <c r="M32" s="2749"/>
      <c r="N32" s="2749"/>
      <c r="O32" s="2749"/>
      <c r="P32" s="2749"/>
      <c r="Q32" s="2749"/>
      <c r="R32" s="2749"/>
      <c r="S32" s="2749"/>
      <c r="T32" s="2749"/>
      <c r="U32" s="2749">
        <v>0.85</v>
      </c>
      <c r="V32" s="2749"/>
    </row>
    <row r="33" spans="1:22" ht="23.1" customHeight="1">
      <c r="A33" s="2745">
        <v>31</v>
      </c>
      <c r="B33" s="2746" t="s">
        <v>5353</v>
      </c>
      <c r="C33" s="2746" t="s">
        <v>5354</v>
      </c>
      <c r="D33" s="2745"/>
      <c r="E33" s="2745"/>
      <c r="F33" s="2745">
        <v>100</v>
      </c>
      <c r="G33" s="2745">
        <v>0.75</v>
      </c>
      <c r="H33" s="2747">
        <v>0.3</v>
      </c>
      <c r="I33" s="2745">
        <v>3</v>
      </c>
      <c r="J33" s="2745"/>
      <c r="K33" s="2745"/>
      <c r="L33" s="2745">
        <v>1.38</v>
      </c>
      <c r="M33" s="2745">
        <v>205</v>
      </c>
      <c r="N33" s="2745">
        <v>166</v>
      </c>
      <c r="O33" s="2745"/>
      <c r="P33" s="2745">
        <v>53</v>
      </c>
      <c r="Q33" s="2745">
        <v>4</v>
      </c>
      <c r="R33" s="2745"/>
      <c r="S33" s="2745">
        <v>360</v>
      </c>
      <c r="T33" s="2745">
        <v>0.36</v>
      </c>
      <c r="U33" s="2745"/>
      <c r="V33" s="2745"/>
    </row>
    <row r="34" spans="1:22" ht="23.1" customHeight="1">
      <c r="A34" s="2745">
        <v>32</v>
      </c>
      <c r="B34" s="2748" t="s">
        <v>5355</v>
      </c>
      <c r="C34" s="2748" t="s">
        <v>5356</v>
      </c>
      <c r="D34" s="2749" t="s">
        <v>5247</v>
      </c>
      <c r="E34" s="2749"/>
      <c r="F34" s="2749" t="s">
        <v>5357</v>
      </c>
      <c r="G34" s="2749" t="s">
        <v>5317</v>
      </c>
      <c r="H34" s="2749">
        <v>0.34</v>
      </c>
      <c r="I34" s="2749">
        <v>7</v>
      </c>
      <c r="J34" s="2749">
        <v>3</v>
      </c>
      <c r="K34" s="2749"/>
      <c r="L34" s="2749">
        <v>1.19</v>
      </c>
      <c r="M34" s="2749">
        <v>110</v>
      </c>
      <c r="N34" s="2749">
        <v>130</v>
      </c>
      <c r="O34" s="2749" t="s">
        <v>5358</v>
      </c>
      <c r="P34" s="2749"/>
      <c r="Q34" s="2749">
        <v>21</v>
      </c>
      <c r="R34" s="2749" t="s">
        <v>5314</v>
      </c>
      <c r="S34" s="2749">
        <v>100</v>
      </c>
      <c r="T34" s="2749"/>
      <c r="U34" s="2749">
        <v>0.93</v>
      </c>
      <c r="V34" s="2749">
        <v>17.3</v>
      </c>
    </row>
    <row r="35" spans="1:22" ht="23.1" customHeight="1">
      <c r="A35" s="2745">
        <v>33</v>
      </c>
      <c r="B35" s="2746" t="s">
        <v>5359</v>
      </c>
      <c r="C35" s="2746" t="s">
        <v>5360</v>
      </c>
      <c r="D35" s="2745" t="s">
        <v>5247</v>
      </c>
      <c r="E35" s="2745"/>
      <c r="F35" s="2745">
        <v>62</v>
      </c>
      <c r="G35" s="2745" t="s">
        <v>5361</v>
      </c>
      <c r="H35" s="2747">
        <v>0.21</v>
      </c>
      <c r="I35" s="2745">
        <v>8.5</v>
      </c>
      <c r="J35" s="2745"/>
      <c r="K35" s="2745">
        <v>14000</v>
      </c>
      <c r="L35" s="2745">
        <v>1.41</v>
      </c>
      <c r="M35" s="2745">
        <v>98</v>
      </c>
      <c r="N35" s="2745">
        <v>110</v>
      </c>
      <c r="O35" s="2745"/>
      <c r="P35" s="2745"/>
      <c r="Q35" s="2745">
        <v>65</v>
      </c>
      <c r="R35" s="2745" t="s">
        <v>5331</v>
      </c>
      <c r="S35" s="2745">
        <v>110</v>
      </c>
      <c r="T35" s="2745">
        <v>0.31</v>
      </c>
      <c r="U35" s="2745"/>
      <c r="V35" s="2745"/>
    </row>
    <row r="36" spans="1:22" ht="23.1" customHeight="1">
      <c r="A36" s="2745">
        <v>34</v>
      </c>
      <c r="B36" s="2748" t="s">
        <v>5362</v>
      </c>
      <c r="C36" s="2748" t="s">
        <v>5363</v>
      </c>
      <c r="D36" s="2749"/>
      <c r="E36" s="2749"/>
      <c r="F36" s="2749">
        <v>130</v>
      </c>
      <c r="G36" s="2749"/>
      <c r="H36" s="2749"/>
      <c r="I36" s="2749">
        <v>2.6</v>
      </c>
      <c r="J36" s="2749">
        <v>3</v>
      </c>
      <c r="K36" s="2749"/>
      <c r="L36" s="2749">
        <v>1.61</v>
      </c>
      <c r="M36" s="2749">
        <v>182</v>
      </c>
      <c r="N36" s="2749"/>
      <c r="O36" s="2749"/>
      <c r="P36" s="2749"/>
      <c r="Q36" s="2749">
        <v>86</v>
      </c>
      <c r="R36" s="2749"/>
      <c r="S36" s="2749">
        <v>163</v>
      </c>
      <c r="T36" s="2749"/>
      <c r="U36" s="2749"/>
      <c r="V36" s="2749"/>
    </row>
    <row r="37" spans="1:22" ht="23.1" customHeight="1">
      <c r="A37" s="2745">
        <v>35</v>
      </c>
      <c r="B37" s="2746" t="s">
        <v>5364</v>
      </c>
      <c r="C37" s="2746" t="s">
        <v>5365</v>
      </c>
      <c r="D37" s="2745" t="s">
        <v>5247</v>
      </c>
      <c r="E37" s="2745"/>
      <c r="F37" s="2745">
        <v>70</v>
      </c>
      <c r="G37" s="2745" t="s">
        <v>5366</v>
      </c>
      <c r="H37" s="2747">
        <v>0.25</v>
      </c>
      <c r="I37" s="2745">
        <v>7.5</v>
      </c>
      <c r="J37" s="2745">
        <v>5</v>
      </c>
      <c r="K37" s="2745"/>
      <c r="L37" s="2745">
        <v>1.43</v>
      </c>
      <c r="M37" s="2745">
        <v>90</v>
      </c>
      <c r="N37" s="2745">
        <v>127</v>
      </c>
      <c r="O37" s="2745"/>
      <c r="P37" s="2745"/>
      <c r="Q37" s="2745">
        <v>76</v>
      </c>
      <c r="R37" s="2745" t="s">
        <v>5367</v>
      </c>
      <c r="S37" s="2745">
        <v>124</v>
      </c>
      <c r="T37" s="2745"/>
      <c r="U37" s="2745"/>
      <c r="V37" s="2745"/>
    </row>
    <row r="38" spans="1:22" ht="23.1" customHeight="1">
      <c r="A38" s="2745">
        <v>36</v>
      </c>
      <c r="B38" s="2748" t="s">
        <v>5368</v>
      </c>
      <c r="C38" s="2748" t="s">
        <v>5369</v>
      </c>
      <c r="D38" s="2749" t="s">
        <v>5276</v>
      </c>
      <c r="E38" s="2749"/>
      <c r="F38" s="2749">
        <v>29</v>
      </c>
      <c r="G38" s="2749" t="s">
        <v>5370</v>
      </c>
      <c r="H38" s="2749">
        <v>0.01</v>
      </c>
      <c r="I38" s="2749">
        <v>8</v>
      </c>
      <c r="J38" s="2749">
        <v>5</v>
      </c>
      <c r="K38" s="2749">
        <v>7300</v>
      </c>
      <c r="L38" s="2749">
        <v>0.9</v>
      </c>
      <c r="M38" s="2749">
        <v>50</v>
      </c>
      <c r="N38" s="2749">
        <v>45</v>
      </c>
      <c r="O38" s="2749" t="s">
        <v>5371</v>
      </c>
      <c r="P38" s="2749"/>
      <c r="Q38" s="2749">
        <v>0.5</v>
      </c>
      <c r="R38" s="2749" t="s">
        <v>5372</v>
      </c>
      <c r="S38" s="2749">
        <v>102</v>
      </c>
      <c r="T38" s="2749">
        <v>0.51</v>
      </c>
      <c r="U38" s="2749"/>
      <c r="V38" s="2749">
        <v>18</v>
      </c>
    </row>
    <row r="39" spans="1:22" ht="23.1" customHeight="1">
      <c r="A39" s="2745">
        <v>37</v>
      </c>
      <c r="B39" s="2746" t="s">
        <v>5373</v>
      </c>
      <c r="C39" s="2746" t="s">
        <v>5374</v>
      </c>
      <c r="D39" s="2745"/>
      <c r="E39" s="2745"/>
      <c r="F39" s="2745"/>
      <c r="G39" s="2745" t="s">
        <v>5375</v>
      </c>
      <c r="H39" s="2747">
        <v>0.05</v>
      </c>
      <c r="I39" s="2745">
        <v>4</v>
      </c>
      <c r="J39" s="2745"/>
      <c r="K39" s="2745"/>
      <c r="L39" s="2745"/>
      <c r="M39" s="2745"/>
      <c r="N39" s="2745"/>
      <c r="O39" s="2745"/>
      <c r="P39" s="2745"/>
      <c r="Q39" s="2745"/>
      <c r="R39" s="2745"/>
      <c r="S39" s="2745"/>
      <c r="T39" s="2745"/>
      <c r="U39" s="2745"/>
      <c r="V39" s="2745"/>
    </row>
    <row r="40" spans="1:22" ht="23.1" customHeight="1">
      <c r="A40" s="2745">
        <v>38</v>
      </c>
      <c r="B40" s="2748" t="s">
        <v>5376</v>
      </c>
      <c r="C40" s="2748" t="s">
        <v>5377</v>
      </c>
      <c r="D40" s="2749" t="s">
        <v>5263</v>
      </c>
      <c r="E40" s="2749"/>
      <c r="F40" s="2749">
        <v>76</v>
      </c>
      <c r="G40" s="2749">
        <v>0.7</v>
      </c>
      <c r="H40" s="2749">
        <v>0.03</v>
      </c>
      <c r="I40" s="2749">
        <v>4</v>
      </c>
      <c r="J40" s="2749">
        <v>3</v>
      </c>
      <c r="K40" s="2749">
        <v>32000</v>
      </c>
      <c r="L40" s="2749">
        <v>1.06</v>
      </c>
      <c r="M40" s="2749">
        <v>114</v>
      </c>
      <c r="N40" s="2749"/>
      <c r="O40" s="2749">
        <v>60</v>
      </c>
      <c r="P40" s="2749">
        <v>127</v>
      </c>
      <c r="Q40" s="2749"/>
      <c r="R40" s="2749" t="s">
        <v>5378</v>
      </c>
      <c r="S40" s="2749">
        <v>173</v>
      </c>
      <c r="T40" s="2749"/>
      <c r="U40" s="2749">
        <v>0.39</v>
      </c>
      <c r="V40" s="2749"/>
    </row>
    <row r="41" spans="1:22" ht="23.1" customHeight="1">
      <c r="A41" s="2745">
        <v>39</v>
      </c>
      <c r="B41" s="2746" t="s">
        <v>5379</v>
      </c>
      <c r="C41" s="2746" t="s">
        <v>5380</v>
      </c>
      <c r="D41" s="2745"/>
      <c r="E41" s="2745"/>
      <c r="F41" s="2745">
        <v>137</v>
      </c>
      <c r="G41" s="2745" t="s">
        <v>5381</v>
      </c>
      <c r="H41" s="2747" t="s">
        <v>5382</v>
      </c>
      <c r="I41" s="2745">
        <v>3</v>
      </c>
      <c r="J41" s="2745">
        <v>3</v>
      </c>
      <c r="K41" s="2745">
        <v>87000</v>
      </c>
      <c r="L41" s="2745">
        <v>1.6</v>
      </c>
      <c r="M41" s="2745">
        <v>204</v>
      </c>
      <c r="N41" s="2745"/>
      <c r="O41" s="2745">
        <v>1.3</v>
      </c>
      <c r="P41" s="2745"/>
      <c r="Q41" s="2745">
        <v>76</v>
      </c>
      <c r="R41" s="2745" t="s">
        <v>5383</v>
      </c>
      <c r="S41" s="2745">
        <v>260</v>
      </c>
      <c r="T41" s="2745"/>
      <c r="U41" s="2745"/>
      <c r="V41" s="2745">
        <v>44</v>
      </c>
    </row>
    <row r="42" spans="1:22" ht="23.1" customHeight="1">
      <c r="A42" s="2745">
        <v>40</v>
      </c>
      <c r="B42" s="2748" t="s">
        <v>5384</v>
      </c>
      <c r="C42" s="2748" t="s">
        <v>5385</v>
      </c>
      <c r="D42" s="2749" t="s">
        <v>5276</v>
      </c>
      <c r="E42" s="2749"/>
      <c r="F42" s="2749">
        <v>50</v>
      </c>
      <c r="G42" s="2749" t="s">
        <v>5386</v>
      </c>
      <c r="H42" s="2749">
        <v>0.05</v>
      </c>
      <c r="I42" s="2749">
        <v>8</v>
      </c>
      <c r="J42" s="2749">
        <v>3</v>
      </c>
      <c r="K42" s="2749">
        <v>7500</v>
      </c>
      <c r="L42" s="2749">
        <v>1.05</v>
      </c>
      <c r="M42" s="2749">
        <v>105</v>
      </c>
      <c r="N42" s="2749">
        <v>115</v>
      </c>
      <c r="O42" s="2749">
        <v>2</v>
      </c>
      <c r="P42" s="2749"/>
      <c r="Q42" s="2749">
        <v>16</v>
      </c>
      <c r="R42" s="2749" t="s">
        <v>5387</v>
      </c>
      <c r="S42" s="2749">
        <v>85</v>
      </c>
      <c r="T42" s="2749"/>
      <c r="U42" s="2749">
        <v>0.9</v>
      </c>
      <c r="V42" s="2749">
        <v>20</v>
      </c>
    </row>
    <row r="43" spans="1:22" ht="23.1" customHeight="1">
      <c r="A43" s="2745">
        <v>41</v>
      </c>
      <c r="B43" s="2746" t="s">
        <v>5388</v>
      </c>
      <c r="C43" s="2746" t="s">
        <v>5389</v>
      </c>
      <c r="D43" s="2745" t="s">
        <v>5263</v>
      </c>
      <c r="E43" s="2745"/>
      <c r="F43" s="2745">
        <v>75</v>
      </c>
      <c r="G43" s="2745">
        <v>0.6</v>
      </c>
      <c r="H43" s="2747">
        <v>0.22</v>
      </c>
      <c r="I43" s="2745">
        <v>5.7</v>
      </c>
      <c r="J43" s="2745">
        <v>3</v>
      </c>
      <c r="K43" s="2745"/>
      <c r="L43" s="2745">
        <v>1.24</v>
      </c>
      <c r="M43" s="2745">
        <v>128</v>
      </c>
      <c r="N43" s="2745">
        <v>98</v>
      </c>
      <c r="O43" s="2745" t="s">
        <v>5390</v>
      </c>
      <c r="P43" s="2745">
        <v>310</v>
      </c>
      <c r="Q43" s="2745">
        <v>14.2</v>
      </c>
      <c r="R43" s="2745" t="s">
        <v>5391</v>
      </c>
      <c r="S43" s="2745">
        <v>185</v>
      </c>
      <c r="T43" s="2745"/>
      <c r="U43" s="2745"/>
      <c r="V43" s="2745"/>
    </row>
    <row r="44" spans="1:22" ht="23.1" customHeight="1">
      <c r="A44" s="2745">
        <v>42</v>
      </c>
      <c r="B44" s="2748" t="s">
        <v>5392</v>
      </c>
      <c r="C44" s="2748" t="s">
        <v>5393</v>
      </c>
      <c r="D44" s="2749"/>
      <c r="E44" s="2749"/>
      <c r="F44" s="2749"/>
      <c r="G44" s="2749"/>
      <c r="H44" s="2749"/>
      <c r="I44" s="2749"/>
      <c r="J44" s="2749"/>
      <c r="K44" s="2749"/>
      <c r="L44" s="2749"/>
      <c r="M44" s="2749"/>
      <c r="N44" s="2749"/>
      <c r="O44" s="2749"/>
      <c r="P44" s="2749"/>
      <c r="Q44" s="2749"/>
      <c r="R44" s="2749"/>
      <c r="S44" s="2749"/>
      <c r="T44" s="2749"/>
      <c r="U44" s="2749"/>
      <c r="V44" s="2749"/>
    </row>
    <row r="45" spans="1:22" ht="23.1" customHeight="1">
      <c r="A45" s="2745">
        <v>43</v>
      </c>
      <c r="B45" s="2746" t="s">
        <v>5394</v>
      </c>
      <c r="C45" s="2746" t="s">
        <v>5395</v>
      </c>
      <c r="D45" s="2745"/>
      <c r="E45" s="2745"/>
      <c r="F45" s="2745" t="s">
        <v>5396</v>
      </c>
      <c r="G45" s="2745" t="s">
        <v>5397</v>
      </c>
      <c r="H45" s="2747">
        <v>0.25</v>
      </c>
      <c r="I45" s="2745">
        <v>1</v>
      </c>
      <c r="J45" s="2745">
        <v>6</v>
      </c>
      <c r="K45" s="2745">
        <v>6500</v>
      </c>
      <c r="L45" s="2745">
        <v>1.4</v>
      </c>
      <c r="M45" s="2745"/>
      <c r="N45" s="2745">
        <v>8.8000000000000007</v>
      </c>
      <c r="O45" s="2745"/>
      <c r="P45" s="2745"/>
      <c r="Q45" s="2745"/>
      <c r="R45" s="2745"/>
      <c r="S45" s="2745"/>
      <c r="T45" s="2745"/>
      <c r="U45" s="2745">
        <v>0.86</v>
      </c>
      <c r="V45" s="2745"/>
    </row>
    <row r="46" spans="1:22" ht="23.1" customHeight="1">
      <c r="A46" s="2745">
        <v>44</v>
      </c>
      <c r="B46" s="2748" t="s">
        <v>5398</v>
      </c>
      <c r="C46" s="2748" t="s">
        <v>5399</v>
      </c>
      <c r="D46" s="2749"/>
      <c r="E46" s="2749"/>
      <c r="F46" s="2749" t="s">
        <v>5400</v>
      </c>
      <c r="G46" s="2749" t="s">
        <v>5401</v>
      </c>
      <c r="H46" s="2749" t="s">
        <v>5264</v>
      </c>
      <c r="I46" s="2749">
        <v>12.5</v>
      </c>
      <c r="J46" s="2749"/>
      <c r="K46" s="2749"/>
      <c r="L46" s="2749">
        <v>0.94</v>
      </c>
      <c r="M46" s="2749">
        <v>11</v>
      </c>
      <c r="N46" s="2749">
        <v>10</v>
      </c>
      <c r="O46" s="2749" t="s">
        <v>5279</v>
      </c>
      <c r="P46" s="2749"/>
      <c r="Q46" s="2749" t="s">
        <v>5402</v>
      </c>
      <c r="R46" s="2749" t="s">
        <v>5403</v>
      </c>
      <c r="S46" s="2749">
        <v>95</v>
      </c>
      <c r="T46" s="2749">
        <v>0.19</v>
      </c>
      <c r="U46" s="2749"/>
      <c r="V46" s="2749">
        <v>20</v>
      </c>
    </row>
    <row r="47" spans="1:22" ht="23.1" customHeight="1">
      <c r="A47" s="2745">
        <v>45</v>
      </c>
      <c r="B47" s="2746" t="s">
        <v>5404</v>
      </c>
      <c r="C47" s="2746"/>
      <c r="D47" s="2745" t="s">
        <v>5276</v>
      </c>
      <c r="E47" s="2745"/>
      <c r="F47" s="2745"/>
      <c r="G47" s="2745"/>
      <c r="H47" s="2747"/>
      <c r="I47" s="2745"/>
      <c r="J47" s="2745"/>
      <c r="K47" s="2745"/>
      <c r="L47" s="2745"/>
      <c r="M47" s="2745"/>
      <c r="N47" s="2745"/>
      <c r="O47" s="2745"/>
      <c r="P47" s="2745"/>
      <c r="Q47" s="2745"/>
      <c r="R47" s="2745"/>
      <c r="S47" s="2745"/>
      <c r="T47" s="2745"/>
      <c r="U47" s="2745"/>
      <c r="V47" s="2745"/>
    </row>
    <row r="48" spans="1:22" s="2741" customFormat="1" ht="23.1" customHeight="1">
      <c r="A48" s="2745">
        <v>46</v>
      </c>
      <c r="B48" s="2748" t="s">
        <v>5245</v>
      </c>
      <c r="C48" s="2748" t="s">
        <v>5246</v>
      </c>
      <c r="D48" s="2749" t="s">
        <v>5247</v>
      </c>
      <c r="E48" s="2749"/>
      <c r="F48" s="2749" t="s">
        <v>5248</v>
      </c>
      <c r="G48" s="2749" t="s">
        <v>5249</v>
      </c>
      <c r="H48" s="2749" t="s">
        <v>5250</v>
      </c>
      <c r="I48" s="2749">
        <v>8</v>
      </c>
      <c r="J48" s="2749">
        <v>3</v>
      </c>
      <c r="K48" s="2749">
        <v>9800</v>
      </c>
      <c r="L48" s="2749">
        <v>1.05</v>
      </c>
      <c r="M48" s="2749">
        <v>69</v>
      </c>
      <c r="N48" s="2749">
        <v>69</v>
      </c>
      <c r="O48" s="2749" t="s">
        <v>5251</v>
      </c>
      <c r="P48" s="2749"/>
      <c r="Q48" s="2749">
        <v>7</v>
      </c>
      <c r="R48" s="2749" t="s">
        <v>5252</v>
      </c>
      <c r="S48" s="2749">
        <v>86</v>
      </c>
      <c r="T48" s="2749"/>
      <c r="U48" s="2749"/>
      <c r="V48" s="2749">
        <v>18</v>
      </c>
    </row>
    <row r="49" spans="1:22" s="2741" customFormat="1" ht="23.1" customHeight="1">
      <c r="A49" s="2745">
        <v>47</v>
      </c>
      <c r="B49" s="2746" t="s">
        <v>5274</v>
      </c>
      <c r="C49" s="2746" t="s">
        <v>5275</v>
      </c>
      <c r="D49" s="2745" t="s">
        <v>5276</v>
      </c>
      <c r="E49" s="2745" t="s">
        <v>5277</v>
      </c>
      <c r="F49" s="2745">
        <v>27</v>
      </c>
      <c r="G49" s="2745" t="s">
        <v>5278</v>
      </c>
      <c r="H49" s="2747" t="s">
        <v>5264</v>
      </c>
      <c r="I49" s="2745">
        <v>12.5</v>
      </c>
      <c r="J49" s="2745">
        <v>5</v>
      </c>
      <c r="K49" s="2745">
        <v>7150</v>
      </c>
      <c r="L49" s="2745">
        <v>0.95</v>
      </c>
      <c r="M49" s="2745">
        <v>11</v>
      </c>
      <c r="N49" s="2745">
        <v>10</v>
      </c>
      <c r="O49" s="2745" t="s">
        <v>5279</v>
      </c>
      <c r="P49" s="2745"/>
      <c r="Q49" s="2745" t="s">
        <v>5280</v>
      </c>
      <c r="R49" s="2745" t="s">
        <v>5281</v>
      </c>
      <c r="S49" s="2745">
        <v>78</v>
      </c>
      <c r="T49" s="2745"/>
      <c r="U49" s="2745"/>
      <c r="V49" s="2745">
        <v>20</v>
      </c>
    </row>
    <row r="50" spans="1:22" s="2741" customFormat="1" ht="23.1" customHeight="1">
      <c r="A50" s="2745">
        <v>48</v>
      </c>
      <c r="B50" s="2748" t="s">
        <v>5303</v>
      </c>
      <c r="C50" s="2748" t="s">
        <v>5304</v>
      </c>
      <c r="D50" s="2749" t="s">
        <v>5276</v>
      </c>
      <c r="E50" s="2749"/>
      <c r="F50" s="2749">
        <v>74</v>
      </c>
      <c r="G50" s="2749" t="s">
        <v>5305</v>
      </c>
      <c r="H50" s="2749">
        <v>3</v>
      </c>
      <c r="I50" s="2749">
        <v>8.3000000000000007</v>
      </c>
      <c r="J50" s="2749">
        <v>4</v>
      </c>
      <c r="K50" s="2749">
        <v>15000</v>
      </c>
      <c r="L50" s="2749">
        <v>1.1399999999999999</v>
      </c>
      <c r="M50" s="2749">
        <v>120</v>
      </c>
      <c r="N50" s="2749"/>
      <c r="O50" s="2749">
        <v>70</v>
      </c>
      <c r="P50" s="2749">
        <v>33</v>
      </c>
      <c r="Q50" s="2749">
        <v>8.3000000000000007</v>
      </c>
      <c r="R50" s="2749" t="s">
        <v>5306</v>
      </c>
      <c r="S50" s="2749">
        <v>58</v>
      </c>
      <c r="T50" s="2749">
        <v>0.6</v>
      </c>
      <c r="U50" s="2749"/>
      <c r="V50" s="2749"/>
    </row>
    <row r="51" spans="1:22" s="2741" customFormat="1" ht="23.1" customHeight="1">
      <c r="A51" s="2745">
        <v>49</v>
      </c>
      <c r="B51" s="2746" t="s">
        <v>5307</v>
      </c>
      <c r="C51" s="2746" t="s">
        <v>5308</v>
      </c>
      <c r="D51" s="2745"/>
      <c r="E51" s="2745"/>
      <c r="F51" s="2745">
        <v>110</v>
      </c>
      <c r="G51" s="2745" t="s">
        <v>5309</v>
      </c>
      <c r="H51" s="2747">
        <v>1.1000000000000001</v>
      </c>
      <c r="I51" s="2745">
        <v>2.2000000000000002</v>
      </c>
      <c r="J51" s="2745">
        <v>3</v>
      </c>
      <c r="K51" s="2745"/>
      <c r="L51" s="2745">
        <v>1.37</v>
      </c>
      <c r="M51" s="2745">
        <v>210</v>
      </c>
      <c r="N51" s="2745"/>
      <c r="O51" s="2745">
        <v>3</v>
      </c>
      <c r="P51" s="2745">
        <v>76</v>
      </c>
      <c r="Q51" s="2745"/>
      <c r="R51" s="2745"/>
      <c r="S51" s="2745">
        <v>190</v>
      </c>
      <c r="T51" s="2745"/>
      <c r="U51" s="2745"/>
      <c r="V51" s="2745"/>
    </row>
    <row r="52" spans="1:22" s="2741" customFormat="1" ht="23.1" customHeight="1">
      <c r="A52" s="2745">
        <v>50</v>
      </c>
      <c r="B52" s="2748" t="s">
        <v>5310</v>
      </c>
      <c r="C52" s="2748" t="s">
        <v>5311</v>
      </c>
      <c r="D52" s="2749" t="s">
        <v>5276</v>
      </c>
      <c r="E52" s="2749"/>
      <c r="F52" s="2749">
        <v>80</v>
      </c>
      <c r="G52" s="2749" t="s">
        <v>5312</v>
      </c>
      <c r="H52" s="2749" t="s">
        <v>5313</v>
      </c>
      <c r="I52" s="2749">
        <v>7</v>
      </c>
      <c r="J52" s="2749">
        <v>4</v>
      </c>
      <c r="K52" s="2749">
        <v>16000</v>
      </c>
      <c r="L52" s="2749">
        <v>1.1499999999999999</v>
      </c>
      <c r="M52" s="2749">
        <v>130</v>
      </c>
      <c r="N52" s="2749"/>
      <c r="O52" s="2749">
        <v>60</v>
      </c>
      <c r="P52" s="2749">
        <v>39</v>
      </c>
      <c r="Q52" s="2749">
        <v>9.5</v>
      </c>
      <c r="R52" s="2749" t="s">
        <v>5314</v>
      </c>
      <c r="S52" s="2749">
        <v>60</v>
      </c>
      <c r="T52" s="2749">
        <v>0.5</v>
      </c>
      <c r="U52" s="2749"/>
      <c r="V52" s="2749"/>
    </row>
    <row r="53" spans="1:22" s="2741" customFormat="1" ht="23.1" customHeight="1">
      <c r="A53" s="2745">
        <v>51</v>
      </c>
      <c r="B53" s="2746" t="s">
        <v>5315</v>
      </c>
      <c r="C53" s="2746" t="s">
        <v>5316</v>
      </c>
      <c r="D53" s="2745"/>
      <c r="E53" s="2745"/>
      <c r="F53" s="2745">
        <v>189</v>
      </c>
      <c r="G53" s="2745" t="s">
        <v>5317</v>
      </c>
      <c r="H53" s="2747" t="s">
        <v>5318</v>
      </c>
      <c r="I53" s="2745"/>
      <c r="J53" s="2745">
        <v>3</v>
      </c>
      <c r="K53" s="2745"/>
      <c r="L53" s="2745">
        <v>1.38</v>
      </c>
      <c r="M53" s="2745">
        <v>262</v>
      </c>
      <c r="N53" s="2745"/>
      <c r="O53" s="2745">
        <v>3</v>
      </c>
      <c r="P53" s="2745">
        <v>102</v>
      </c>
      <c r="Q53" s="2745"/>
      <c r="R53" s="2745"/>
      <c r="S53" s="2745">
        <v>248</v>
      </c>
      <c r="T53" s="2745"/>
      <c r="U53" s="2745"/>
      <c r="V53" s="2745"/>
    </row>
    <row r="54" spans="1:22" s="2741" customFormat="1" ht="23.1" customHeight="1">
      <c r="A54" s="2745">
        <v>52</v>
      </c>
      <c r="B54" s="2748" t="s">
        <v>5322</v>
      </c>
      <c r="C54" s="2748" t="s">
        <v>5323</v>
      </c>
      <c r="D54" s="2749"/>
      <c r="E54" s="2749"/>
      <c r="F54" s="2749">
        <v>55</v>
      </c>
      <c r="G54" s="2749">
        <v>0.44</v>
      </c>
      <c r="H54" s="2749">
        <v>0.09</v>
      </c>
      <c r="I54" s="2749">
        <v>9.1999999999999993</v>
      </c>
      <c r="J54" s="2749"/>
      <c r="K54" s="2749">
        <v>16000</v>
      </c>
      <c r="L54" s="2749">
        <v>1.31</v>
      </c>
      <c r="M54" s="2749">
        <v>85</v>
      </c>
      <c r="N54" s="2749"/>
      <c r="O54" s="2749" t="s">
        <v>5324</v>
      </c>
      <c r="P54" s="2749"/>
      <c r="Q54" s="2749">
        <v>4.3</v>
      </c>
      <c r="R54" s="2749" t="s">
        <v>5325</v>
      </c>
      <c r="S54" s="2749">
        <v>66</v>
      </c>
      <c r="T54" s="2749"/>
      <c r="U54" s="2749"/>
      <c r="V54" s="2749"/>
    </row>
    <row r="55" spans="1:22" s="2741" customFormat="1" ht="23.1" customHeight="1">
      <c r="A55" s="2745">
        <v>53</v>
      </c>
      <c r="B55" s="2746" t="s">
        <v>5326</v>
      </c>
      <c r="C55" s="2746" t="s">
        <v>5327</v>
      </c>
      <c r="D55" s="2745"/>
      <c r="E55" s="2745"/>
      <c r="F55" s="2745">
        <v>137</v>
      </c>
      <c r="G55" s="2745">
        <v>0.2</v>
      </c>
      <c r="H55" s="2747">
        <v>7.0000000000000007E-2</v>
      </c>
      <c r="I55" s="2745">
        <v>2.7</v>
      </c>
      <c r="J55" s="2745">
        <v>3</v>
      </c>
      <c r="K55" s="2745"/>
      <c r="L55" s="2745">
        <v>1.53</v>
      </c>
      <c r="M55" s="2745">
        <v>196</v>
      </c>
      <c r="N55" s="2745"/>
      <c r="O55" s="2745">
        <v>4</v>
      </c>
      <c r="P55" s="2745"/>
      <c r="Q55" s="2745">
        <v>7.8</v>
      </c>
      <c r="R55" s="2745" t="s">
        <v>5328</v>
      </c>
      <c r="S55" s="2745">
        <v>220</v>
      </c>
      <c r="T55" s="2745"/>
      <c r="U55" s="2745"/>
      <c r="V55" s="2745"/>
    </row>
    <row r="56" spans="1:22" s="2741" customFormat="1" ht="23.1" customHeight="1">
      <c r="A56" s="2745">
        <v>54</v>
      </c>
      <c r="B56" s="2748" t="s">
        <v>5359</v>
      </c>
      <c r="C56" s="2748" t="s">
        <v>5360</v>
      </c>
      <c r="D56" s="2749" t="s">
        <v>5247</v>
      </c>
      <c r="E56" s="2749"/>
      <c r="F56" s="2749">
        <v>62</v>
      </c>
      <c r="G56" s="2749" t="s">
        <v>5361</v>
      </c>
      <c r="H56" s="2749">
        <v>0.21</v>
      </c>
      <c r="I56" s="2749">
        <v>8.5</v>
      </c>
      <c r="J56" s="2749"/>
      <c r="K56" s="2749">
        <v>14000</v>
      </c>
      <c r="L56" s="2749">
        <v>1.41</v>
      </c>
      <c r="M56" s="2749">
        <v>98</v>
      </c>
      <c r="N56" s="2749">
        <v>110</v>
      </c>
      <c r="O56" s="2749"/>
      <c r="P56" s="2749"/>
      <c r="Q56" s="2749">
        <v>65</v>
      </c>
      <c r="R56" s="2749" t="s">
        <v>5331</v>
      </c>
      <c r="S56" s="2749">
        <v>110</v>
      </c>
      <c r="T56" s="2749">
        <v>0.31</v>
      </c>
      <c r="U56" s="2749"/>
      <c r="V56" s="2749"/>
    </row>
    <row r="57" spans="1:22" s="2741" customFormat="1" ht="23.1" customHeight="1">
      <c r="A57" s="2745">
        <v>55</v>
      </c>
      <c r="B57" s="2746" t="s">
        <v>5362</v>
      </c>
      <c r="C57" s="2746" t="s">
        <v>5363</v>
      </c>
      <c r="D57" s="2745"/>
      <c r="E57" s="2745"/>
      <c r="F57" s="2745">
        <v>130</v>
      </c>
      <c r="G57" s="2745"/>
      <c r="H57" s="2747"/>
      <c r="I57" s="2745">
        <v>2.6</v>
      </c>
      <c r="J57" s="2745">
        <v>3</v>
      </c>
      <c r="K57" s="2745"/>
      <c r="L57" s="2745">
        <v>1.61</v>
      </c>
      <c r="M57" s="2745">
        <v>182</v>
      </c>
      <c r="N57" s="2745"/>
      <c r="O57" s="2745"/>
      <c r="P57" s="2745"/>
      <c r="Q57" s="2745">
        <v>86</v>
      </c>
      <c r="R57" s="2745"/>
      <c r="S57" s="2745">
        <v>163</v>
      </c>
      <c r="T57" s="2745"/>
      <c r="U57" s="2745"/>
      <c r="V57" s="2745"/>
    </row>
    <row r="58" spans="1:22" s="2741" customFormat="1" ht="23.1" customHeight="1">
      <c r="A58" s="2745">
        <v>56</v>
      </c>
      <c r="B58" s="2748" t="s">
        <v>5364</v>
      </c>
      <c r="C58" s="2748" t="s">
        <v>5365</v>
      </c>
      <c r="D58" s="2749" t="s">
        <v>5247</v>
      </c>
      <c r="E58" s="2749"/>
      <c r="F58" s="2749">
        <v>70</v>
      </c>
      <c r="G58" s="2749" t="s">
        <v>5366</v>
      </c>
      <c r="H58" s="2749">
        <v>0.25</v>
      </c>
      <c r="I58" s="2749">
        <v>7.5</v>
      </c>
      <c r="J58" s="2749">
        <v>5</v>
      </c>
      <c r="K58" s="2749"/>
      <c r="L58" s="2749">
        <v>1.43</v>
      </c>
      <c r="M58" s="2749">
        <v>90</v>
      </c>
      <c r="N58" s="2749">
        <v>127</v>
      </c>
      <c r="O58" s="2749"/>
      <c r="P58" s="2749"/>
      <c r="Q58" s="2749">
        <v>76</v>
      </c>
      <c r="R58" s="2749" t="s">
        <v>5367</v>
      </c>
      <c r="S58" s="2749">
        <v>124</v>
      </c>
      <c r="T58" s="2749"/>
      <c r="U58" s="2749"/>
      <c r="V58" s="2749"/>
    </row>
    <row r="59" spans="1:22" s="2741" customFormat="1" ht="23.1" customHeight="1">
      <c r="A59" s="2745">
        <v>57</v>
      </c>
      <c r="B59" s="2746" t="s">
        <v>5368</v>
      </c>
      <c r="C59" s="2746" t="s">
        <v>5369</v>
      </c>
      <c r="D59" s="2745" t="s">
        <v>5276</v>
      </c>
      <c r="E59" s="2745"/>
      <c r="F59" s="2745">
        <v>29</v>
      </c>
      <c r="G59" s="2745" t="s">
        <v>5370</v>
      </c>
      <c r="H59" s="2747">
        <v>0.01</v>
      </c>
      <c r="I59" s="2745">
        <v>8</v>
      </c>
      <c r="J59" s="2745">
        <v>5</v>
      </c>
      <c r="K59" s="2745">
        <v>7300</v>
      </c>
      <c r="L59" s="2745">
        <v>0.9</v>
      </c>
      <c r="M59" s="2745">
        <v>50</v>
      </c>
      <c r="N59" s="2745">
        <v>45</v>
      </c>
      <c r="O59" s="2745" t="s">
        <v>5371</v>
      </c>
      <c r="P59" s="2745"/>
      <c r="Q59" s="2745">
        <v>0.5</v>
      </c>
      <c r="R59" s="2745" t="s">
        <v>5372</v>
      </c>
      <c r="S59" s="2745">
        <v>102</v>
      </c>
      <c r="T59" s="2745">
        <v>0.51</v>
      </c>
      <c r="U59" s="2745"/>
      <c r="V59" s="2745">
        <v>18</v>
      </c>
    </row>
    <row r="60" spans="1:22" s="2741" customFormat="1" ht="23.1" customHeight="1">
      <c r="A60" s="2745">
        <v>58</v>
      </c>
      <c r="B60" s="2748" t="s">
        <v>5373</v>
      </c>
      <c r="C60" s="2748" t="s">
        <v>5374</v>
      </c>
      <c r="D60" s="2749"/>
      <c r="E60" s="2749"/>
      <c r="F60" s="2749"/>
      <c r="G60" s="2749" t="s">
        <v>5375</v>
      </c>
      <c r="H60" s="2749">
        <v>0.05</v>
      </c>
      <c r="I60" s="2749">
        <v>4</v>
      </c>
      <c r="J60" s="2749"/>
      <c r="K60" s="2749"/>
      <c r="L60" s="2749"/>
      <c r="M60" s="2749"/>
      <c r="N60" s="2749"/>
      <c r="O60" s="2749"/>
      <c r="P60" s="2749"/>
      <c r="Q60" s="2749"/>
      <c r="R60" s="2749"/>
      <c r="S60" s="2749"/>
      <c r="T60" s="2749"/>
      <c r="U60" s="2749"/>
      <c r="V60" s="2749"/>
    </row>
  </sheetData>
  <mergeCells count="1">
    <mergeCell ref="A1:V1"/>
  </mergeCells>
  <phoneticPr fontId="214" type="noConversion"/>
  <pageMargins left="0.196527777777778" right="0.196527777777778" top="0.78680555555555598" bottom="0.39305555555555599" header="0.31388888888888899" footer="0.31388888888888899"/>
  <pageSetup paperSize="9" orientation="landscape"/>
  <headerFooter>
    <oddHeader>&amp;C&amp;"微软雅黑,常规"&amp;20塑料材料的性能对比表</oddHead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B1:H34"/>
  <sheetViews>
    <sheetView topLeftCell="A4" workbookViewId="0">
      <selection activeCell="B4" sqref="B4:H5"/>
    </sheetView>
  </sheetViews>
  <sheetFormatPr defaultColWidth="8.125" defaultRowHeight="16.5"/>
  <cols>
    <col min="1" max="1" width="0.25" style="2709" customWidth="1"/>
    <col min="2" max="2" width="29.75" style="2709" customWidth="1"/>
    <col min="3" max="3" width="10.75" style="2710" customWidth="1"/>
    <col min="4" max="4" width="8.25" style="2709" customWidth="1"/>
    <col min="5" max="5" width="22" style="2709" customWidth="1"/>
    <col min="6" max="6" width="15.625" style="2709" customWidth="1"/>
    <col min="7" max="7" width="9" style="2711" customWidth="1"/>
    <col min="8" max="8" width="8.25" style="2709" customWidth="1"/>
    <col min="9" max="16384" width="8.125" style="2709"/>
  </cols>
  <sheetData>
    <row r="1" spans="2:8" ht="3" customHeight="1"/>
    <row r="2" spans="2:8">
      <c r="B2" s="2712" t="s">
        <v>5405</v>
      </c>
      <c r="C2" s="2712"/>
      <c r="D2" s="2712"/>
      <c r="E2" s="2713"/>
    </row>
    <row r="4" spans="2:8">
      <c r="B4" s="4807" t="s">
        <v>5406</v>
      </c>
      <c r="C4" s="4808"/>
      <c r="D4" s="4808"/>
      <c r="E4" s="4808"/>
      <c r="F4" s="4808"/>
      <c r="G4" s="4808"/>
      <c r="H4" s="4809"/>
    </row>
    <row r="5" spans="2:8" ht="17.25" customHeight="1">
      <c r="B5" s="4810"/>
      <c r="C5" s="4811"/>
      <c r="D5" s="4811"/>
      <c r="E5" s="4811"/>
      <c r="F5" s="4811"/>
      <c r="G5" s="4811"/>
      <c r="H5" s="4812"/>
    </row>
    <row r="6" spans="2:8" ht="6" customHeight="1"/>
    <row r="7" spans="2:8" ht="13.5" customHeight="1">
      <c r="B7" s="4813" t="s">
        <v>5407</v>
      </c>
      <c r="C7" s="4814"/>
      <c r="D7" s="4815"/>
      <c r="E7" s="4813" t="s">
        <v>5408</v>
      </c>
      <c r="F7" s="4814"/>
      <c r="G7" s="4814"/>
      <c r="H7" s="4815"/>
    </row>
    <row r="8" spans="2:8" ht="14.25" customHeight="1">
      <c r="B8" s="4816"/>
      <c r="C8" s="4817"/>
      <c r="D8" s="4818"/>
      <c r="E8" s="4816"/>
      <c r="F8" s="4817"/>
      <c r="G8" s="4817"/>
      <c r="H8" s="4818"/>
    </row>
    <row r="9" spans="2:8" ht="15" customHeight="1">
      <c r="B9" s="4848" t="s">
        <v>5409</v>
      </c>
      <c r="C9" s="4850" t="s">
        <v>5410</v>
      </c>
      <c r="D9" s="4852" t="s">
        <v>5411</v>
      </c>
      <c r="E9" s="4854" t="s">
        <v>5412</v>
      </c>
      <c r="F9" s="4842" t="s">
        <v>984</v>
      </c>
      <c r="G9" s="4828" t="s">
        <v>251</v>
      </c>
      <c r="H9" s="4819" t="s">
        <v>5411</v>
      </c>
    </row>
    <row r="10" spans="2:8" ht="13.5" customHeight="1">
      <c r="B10" s="4849"/>
      <c r="C10" s="4851"/>
      <c r="D10" s="4853"/>
      <c r="E10" s="4855"/>
      <c r="F10" s="4843"/>
      <c r="G10" s="4829"/>
      <c r="H10" s="4820"/>
    </row>
    <row r="11" spans="2:8" ht="19.5">
      <c r="B11" s="2714" t="s">
        <v>5413</v>
      </c>
      <c r="C11" s="2715">
        <v>4</v>
      </c>
      <c r="D11" s="2716"/>
      <c r="E11" s="4856" t="s">
        <v>5414</v>
      </c>
      <c r="F11" s="4844"/>
      <c r="G11" s="4830">
        <f>POWER(C11/C12,1/2)/POWER(1+C11*C13/(C15*C14),1/2)</f>
        <v>0.66666666666666696</v>
      </c>
      <c r="H11" s="4821"/>
    </row>
    <row r="12" spans="2:8" ht="18.75">
      <c r="B12" s="2717" t="s">
        <v>5415</v>
      </c>
      <c r="C12" s="2718">
        <v>1</v>
      </c>
      <c r="D12" s="2719"/>
      <c r="E12" s="4844"/>
      <c r="F12" s="4844"/>
      <c r="G12" s="4830"/>
      <c r="H12" s="4821"/>
    </row>
    <row r="13" spans="2:8" ht="16.5" customHeight="1">
      <c r="B13" s="2717" t="s">
        <v>5416</v>
      </c>
      <c r="C13" s="2718">
        <v>4</v>
      </c>
      <c r="D13" s="2719"/>
      <c r="E13" s="4844"/>
      <c r="F13" s="4844"/>
      <c r="G13" s="4830"/>
      <c r="H13" s="4821"/>
    </row>
    <row r="14" spans="2:8" ht="16.5" customHeight="1">
      <c r="B14" s="2717" t="s">
        <v>5417</v>
      </c>
      <c r="C14" s="2718">
        <v>1</v>
      </c>
      <c r="D14" s="2719"/>
      <c r="E14" s="4844"/>
      <c r="F14" s="4844"/>
      <c r="G14" s="4830"/>
      <c r="H14" s="4821"/>
    </row>
    <row r="15" spans="2:8" ht="16.5" customHeight="1">
      <c r="B15" s="2720" t="s">
        <v>5418</v>
      </c>
      <c r="C15" s="2721">
        <v>2</v>
      </c>
      <c r="D15" s="2722"/>
      <c r="E15" s="4845"/>
      <c r="F15" s="4845"/>
      <c r="G15" s="4831"/>
      <c r="H15" s="4822"/>
    </row>
    <row r="16" spans="2:8" ht="6" customHeight="1">
      <c r="C16" s="2723"/>
    </row>
    <row r="17" spans="2:8" ht="16.5" customHeight="1">
      <c r="B17" s="2724" t="s">
        <v>5419</v>
      </c>
      <c r="C17" s="2725">
        <v>15</v>
      </c>
      <c r="D17" s="2726"/>
      <c r="E17" s="4836" t="s">
        <v>5420</v>
      </c>
      <c r="F17" s="4836" t="s">
        <v>5421</v>
      </c>
      <c r="G17" s="4832">
        <f>2*C18/C17</f>
        <v>0.4</v>
      </c>
      <c r="H17" s="4823"/>
    </row>
    <row r="18" spans="2:8" ht="16.5" customHeight="1">
      <c r="B18" s="2727" t="s">
        <v>5422</v>
      </c>
      <c r="C18" s="2728">
        <v>3</v>
      </c>
      <c r="D18" s="2729"/>
      <c r="E18" s="4837"/>
      <c r="F18" s="4837"/>
      <c r="G18" s="4833"/>
      <c r="H18" s="4824"/>
    </row>
    <row r="19" spans="2:8" ht="6" customHeight="1">
      <c r="C19" s="2723"/>
    </row>
    <row r="20" spans="2:8" ht="16.5" customHeight="1">
      <c r="B20" s="2714" t="s">
        <v>5423</v>
      </c>
      <c r="C20" s="2715">
        <v>9</v>
      </c>
      <c r="D20" s="2716"/>
      <c r="E20" s="4838" t="s">
        <v>5424</v>
      </c>
      <c r="F20" s="4846" t="s">
        <v>5425</v>
      </c>
      <c r="G20" s="4834">
        <f>C21*C20*(C22-C23)</f>
        <v>18</v>
      </c>
      <c r="H20" s="4825"/>
    </row>
    <row r="21" spans="2:8" ht="16.5" customHeight="1">
      <c r="B21" s="2730" t="s">
        <v>5419</v>
      </c>
      <c r="C21" s="2718">
        <v>1</v>
      </c>
      <c r="D21" s="2719"/>
      <c r="E21" s="4839"/>
      <c r="F21" s="4839"/>
      <c r="G21" s="4830"/>
      <c r="H21" s="4821"/>
    </row>
    <row r="22" spans="2:8" ht="19.5">
      <c r="B22" s="2731" t="s">
        <v>5426</v>
      </c>
      <c r="C22" s="2732">
        <v>4</v>
      </c>
      <c r="D22" s="2719"/>
      <c r="E22" s="4839"/>
      <c r="F22" s="4839"/>
      <c r="G22" s="4830"/>
      <c r="H22" s="4821"/>
    </row>
    <row r="23" spans="2:8" ht="19.5">
      <c r="B23" s="2720" t="s">
        <v>5427</v>
      </c>
      <c r="C23" s="2721">
        <v>2</v>
      </c>
      <c r="D23" s="2722"/>
      <c r="E23" s="4840"/>
      <c r="F23" s="4840"/>
      <c r="G23" s="4831"/>
      <c r="H23" s="4822"/>
    </row>
    <row r="24" spans="2:8" ht="6" customHeight="1">
      <c r="C24" s="2723"/>
    </row>
    <row r="25" spans="2:8" ht="18.75">
      <c r="B25" s="2733" t="s">
        <v>5415</v>
      </c>
      <c r="C25" s="2725">
        <v>1</v>
      </c>
      <c r="D25" s="2726"/>
      <c r="E25" s="4836" t="s">
        <v>5428</v>
      </c>
      <c r="F25" s="4847" t="s">
        <v>5429</v>
      </c>
      <c r="G25" s="4832">
        <f>C26*C25*(C27-C28)*(2*C30/C26)/C29</f>
        <v>2.4</v>
      </c>
      <c r="H25" s="4826"/>
    </row>
    <row r="26" spans="2:8">
      <c r="B26" s="2734" t="s">
        <v>5419</v>
      </c>
      <c r="C26" s="2735">
        <v>2</v>
      </c>
      <c r="D26" s="2736"/>
      <c r="E26" s="4841"/>
      <c r="F26" s="4841"/>
      <c r="G26" s="4835"/>
      <c r="H26" s="4827"/>
    </row>
    <row r="27" spans="2:8" ht="19.5">
      <c r="B27" s="2737" t="s">
        <v>5426</v>
      </c>
      <c r="C27" s="2735">
        <v>4</v>
      </c>
      <c r="D27" s="2736"/>
      <c r="E27" s="4841"/>
      <c r="F27" s="4841"/>
      <c r="G27" s="4835"/>
      <c r="H27" s="4827"/>
    </row>
    <row r="28" spans="2:8" ht="19.5">
      <c r="B28" s="2737" t="s">
        <v>5427</v>
      </c>
      <c r="C28" s="2735">
        <v>3</v>
      </c>
      <c r="D28" s="2736"/>
      <c r="E28" s="4841"/>
      <c r="F28" s="4841"/>
      <c r="G28" s="4835"/>
      <c r="H28" s="4827"/>
    </row>
    <row r="29" spans="2:8">
      <c r="B29" s="2737" t="s">
        <v>5430</v>
      </c>
      <c r="C29" s="2735">
        <v>5</v>
      </c>
      <c r="D29" s="2736"/>
      <c r="E29" s="4841"/>
      <c r="F29" s="4841"/>
      <c r="G29" s="4835"/>
      <c r="H29" s="4827"/>
    </row>
    <row r="30" spans="2:8">
      <c r="B30" s="2727" t="s">
        <v>5431</v>
      </c>
      <c r="C30" s="2728">
        <v>6</v>
      </c>
      <c r="D30" s="2729"/>
      <c r="E30" s="4837"/>
      <c r="F30" s="4837"/>
      <c r="G30" s="4833"/>
      <c r="H30" s="4824"/>
    </row>
    <row r="33" spans="2:6">
      <c r="B33" s="2738" t="s">
        <v>5432</v>
      </c>
      <c r="F33" s="2739"/>
    </row>
    <row r="34" spans="2:6">
      <c r="B34" s="2738" t="s">
        <v>5433</v>
      </c>
    </row>
  </sheetData>
  <mergeCells count="26">
    <mergeCell ref="E17:E18"/>
    <mergeCell ref="E20:E23"/>
    <mergeCell ref="E25:E30"/>
    <mergeCell ref="F9:F10"/>
    <mergeCell ref="F11:F15"/>
    <mergeCell ref="F17:F18"/>
    <mergeCell ref="F20:F23"/>
    <mergeCell ref="F25:F30"/>
    <mergeCell ref="E9:E10"/>
    <mergeCell ref="E11:E15"/>
    <mergeCell ref="H17:H18"/>
    <mergeCell ref="H20:H23"/>
    <mergeCell ref="H25:H30"/>
    <mergeCell ref="G9:G10"/>
    <mergeCell ref="G11:G15"/>
    <mergeCell ref="G17:G18"/>
    <mergeCell ref="G20:G23"/>
    <mergeCell ref="G25:G30"/>
    <mergeCell ref="B4:H5"/>
    <mergeCell ref="B7:D8"/>
    <mergeCell ref="E7:H8"/>
    <mergeCell ref="H9:H10"/>
    <mergeCell ref="H11:H15"/>
    <mergeCell ref="B9:B10"/>
    <mergeCell ref="C9:C10"/>
    <mergeCell ref="D9:D10"/>
  </mergeCells>
  <phoneticPr fontId="214" type="noConversion"/>
  <pageMargins left="0.69930555555555596" right="0.69930555555555596" top="0.75" bottom="0.75" header="0.3" footer="0.3"/>
  <pageSetup paperSize="9" orientation="portrait" horizontalDpi="200" verticalDpi="300"/>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J127"/>
  <sheetViews>
    <sheetView zoomScale="115" zoomScaleNormal="115" workbookViewId="0"/>
  </sheetViews>
  <sheetFormatPr defaultColWidth="8.75" defaultRowHeight="14.25"/>
  <cols>
    <col min="1" max="1" width="5" style="2694" customWidth="1"/>
    <col min="2" max="2" width="3.625" style="2694" customWidth="1"/>
    <col min="3" max="256" width="8.75" style="2694"/>
    <col min="257" max="257" width="5" style="2694" customWidth="1"/>
    <col min="258" max="258" width="3.625" style="2694" customWidth="1"/>
    <col min="259" max="512" width="8.75" style="2694"/>
    <col min="513" max="513" width="5" style="2694" customWidth="1"/>
    <col min="514" max="514" width="3.625" style="2694" customWidth="1"/>
    <col min="515" max="768" width="8.75" style="2694"/>
    <col min="769" max="769" width="5" style="2694" customWidth="1"/>
    <col min="770" max="770" width="3.625" style="2694" customWidth="1"/>
    <col min="771" max="1024" width="8.75" style="2694"/>
    <col min="1025" max="1025" width="5" style="2694" customWidth="1"/>
    <col min="1026" max="1026" width="3.625" style="2694" customWidth="1"/>
    <col min="1027" max="1280" width="8.75" style="2694"/>
    <col min="1281" max="1281" width="5" style="2694" customWidth="1"/>
    <col min="1282" max="1282" width="3.625" style="2694" customWidth="1"/>
    <col min="1283" max="1536" width="8.75" style="2694"/>
    <col min="1537" max="1537" width="5" style="2694" customWidth="1"/>
    <col min="1538" max="1538" width="3.625" style="2694" customWidth="1"/>
    <col min="1539" max="1792" width="8.75" style="2694"/>
    <col min="1793" max="1793" width="5" style="2694" customWidth="1"/>
    <col min="1794" max="1794" width="3.625" style="2694" customWidth="1"/>
    <col min="1795" max="2048" width="8.75" style="2694"/>
    <col min="2049" max="2049" width="5" style="2694" customWidth="1"/>
    <col min="2050" max="2050" width="3.625" style="2694" customWidth="1"/>
    <col min="2051" max="2304" width="8.75" style="2694"/>
    <col min="2305" max="2305" width="5" style="2694" customWidth="1"/>
    <col min="2306" max="2306" width="3.625" style="2694" customWidth="1"/>
    <col min="2307" max="2560" width="8.75" style="2694"/>
    <col min="2561" max="2561" width="5" style="2694" customWidth="1"/>
    <col min="2562" max="2562" width="3.625" style="2694" customWidth="1"/>
    <col min="2563" max="2816" width="8.75" style="2694"/>
    <col min="2817" max="2817" width="5" style="2694" customWidth="1"/>
    <col min="2818" max="2818" width="3.625" style="2694" customWidth="1"/>
    <col min="2819" max="3072" width="8.75" style="2694"/>
    <col min="3073" max="3073" width="5" style="2694" customWidth="1"/>
    <col min="3074" max="3074" width="3.625" style="2694" customWidth="1"/>
    <col min="3075" max="3328" width="8.75" style="2694"/>
    <col min="3329" max="3329" width="5" style="2694" customWidth="1"/>
    <col min="3330" max="3330" width="3.625" style="2694" customWidth="1"/>
    <col min="3331" max="3584" width="8.75" style="2694"/>
    <col min="3585" max="3585" width="5" style="2694" customWidth="1"/>
    <col min="3586" max="3586" width="3.625" style="2694" customWidth="1"/>
    <col min="3587" max="3840" width="8.75" style="2694"/>
    <col min="3841" max="3841" width="5" style="2694" customWidth="1"/>
    <col min="3842" max="3842" width="3.625" style="2694" customWidth="1"/>
    <col min="3843" max="4096" width="8.75" style="2694"/>
    <col min="4097" max="4097" width="5" style="2694" customWidth="1"/>
    <col min="4098" max="4098" width="3.625" style="2694" customWidth="1"/>
    <col min="4099" max="4352" width="8.75" style="2694"/>
    <col min="4353" max="4353" width="5" style="2694" customWidth="1"/>
    <col min="4354" max="4354" width="3.625" style="2694" customWidth="1"/>
    <col min="4355" max="4608" width="8.75" style="2694"/>
    <col min="4609" max="4609" width="5" style="2694" customWidth="1"/>
    <col min="4610" max="4610" width="3.625" style="2694" customWidth="1"/>
    <col min="4611" max="4864" width="8.75" style="2694"/>
    <col min="4865" max="4865" width="5" style="2694" customWidth="1"/>
    <col min="4866" max="4866" width="3.625" style="2694" customWidth="1"/>
    <col min="4867" max="5120" width="8.75" style="2694"/>
    <col min="5121" max="5121" width="5" style="2694" customWidth="1"/>
    <col min="5122" max="5122" width="3.625" style="2694" customWidth="1"/>
    <col min="5123" max="5376" width="8.75" style="2694"/>
    <col min="5377" max="5377" width="5" style="2694" customWidth="1"/>
    <col min="5378" max="5378" width="3.625" style="2694" customWidth="1"/>
    <col min="5379" max="5632" width="8.75" style="2694"/>
    <col min="5633" max="5633" width="5" style="2694" customWidth="1"/>
    <col min="5634" max="5634" width="3.625" style="2694" customWidth="1"/>
    <col min="5635" max="5888" width="8.75" style="2694"/>
    <col min="5889" max="5889" width="5" style="2694" customWidth="1"/>
    <col min="5890" max="5890" width="3.625" style="2694" customWidth="1"/>
    <col min="5891" max="6144" width="8.75" style="2694"/>
    <col min="6145" max="6145" width="5" style="2694" customWidth="1"/>
    <col min="6146" max="6146" width="3.625" style="2694" customWidth="1"/>
    <col min="6147" max="6400" width="8.75" style="2694"/>
    <col min="6401" max="6401" width="5" style="2694" customWidth="1"/>
    <col min="6402" max="6402" width="3.625" style="2694" customWidth="1"/>
    <col min="6403" max="6656" width="8.75" style="2694"/>
    <col min="6657" max="6657" width="5" style="2694" customWidth="1"/>
    <col min="6658" max="6658" width="3.625" style="2694" customWidth="1"/>
    <col min="6659" max="6912" width="8.75" style="2694"/>
    <col min="6913" max="6913" width="5" style="2694" customWidth="1"/>
    <col min="6914" max="6914" width="3.625" style="2694" customWidth="1"/>
    <col min="6915" max="7168" width="8.75" style="2694"/>
    <col min="7169" max="7169" width="5" style="2694" customWidth="1"/>
    <col min="7170" max="7170" width="3.625" style="2694" customWidth="1"/>
    <col min="7171" max="7424" width="8.75" style="2694"/>
    <col min="7425" max="7425" width="5" style="2694" customWidth="1"/>
    <col min="7426" max="7426" width="3.625" style="2694" customWidth="1"/>
    <col min="7427" max="7680" width="8.75" style="2694"/>
    <col min="7681" max="7681" width="5" style="2694" customWidth="1"/>
    <col min="7682" max="7682" width="3.625" style="2694" customWidth="1"/>
    <col min="7683" max="7936" width="8.75" style="2694"/>
    <col min="7937" max="7937" width="5" style="2694" customWidth="1"/>
    <col min="7938" max="7938" width="3.625" style="2694" customWidth="1"/>
    <col min="7939" max="8192" width="8.75" style="2694"/>
    <col min="8193" max="8193" width="5" style="2694" customWidth="1"/>
    <col min="8194" max="8194" width="3.625" style="2694" customWidth="1"/>
    <col min="8195" max="8448" width="8.75" style="2694"/>
    <col min="8449" max="8449" width="5" style="2694" customWidth="1"/>
    <col min="8450" max="8450" width="3.625" style="2694" customWidth="1"/>
    <col min="8451" max="8704" width="8.75" style="2694"/>
    <col min="8705" max="8705" width="5" style="2694" customWidth="1"/>
    <col min="8706" max="8706" width="3.625" style="2694" customWidth="1"/>
    <col min="8707" max="8960" width="8.75" style="2694"/>
    <col min="8961" max="8961" width="5" style="2694" customWidth="1"/>
    <col min="8962" max="8962" width="3.625" style="2694" customWidth="1"/>
    <col min="8963" max="9216" width="8.75" style="2694"/>
    <col min="9217" max="9217" width="5" style="2694" customWidth="1"/>
    <col min="9218" max="9218" width="3.625" style="2694" customWidth="1"/>
    <col min="9219" max="9472" width="8.75" style="2694"/>
    <col min="9473" max="9473" width="5" style="2694" customWidth="1"/>
    <col min="9474" max="9474" width="3.625" style="2694" customWidth="1"/>
    <col min="9475" max="9728" width="8.75" style="2694"/>
    <col min="9729" max="9729" width="5" style="2694" customWidth="1"/>
    <col min="9730" max="9730" width="3.625" style="2694" customWidth="1"/>
    <col min="9731" max="9984" width="8.75" style="2694"/>
    <col min="9985" max="9985" width="5" style="2694" customWidth="1"/>
    <col min="9986" max="9986" width="3.625" style="2694" customWidth="1"/>
    <col min="9987" max="10240" width="8.75" style="2694"/>
    <col min="10241" max="10241" width="5" style="2694" customWidth="1"/>
    <col min="10242" max="10242" width="3.625" style="2694" customWidth="1"/>
    <col min="10243" max="10496" width="8.75" style="2694"/>
    <col min="10497" max="10497" width="5" style="2694" customWidth="1"/>
    <col min="10498" max="10498" width="3.625" style="2694" customWidth="1"/>
    <col min="10499" max="10752" width="8.75" style="2694"/>
    <col min="10753" max="10753" width="5" style="2694" customWidth="1"/>
    <col min="10754" max="10754" width="3.625" style="2694" customWidth="1"/>
    <col min="10755" max="11008" width="8.75" style="2694"/>
    <col min="11009" max="11009" width="5" style="2694" customWidth="1"/>
    <col min="11010" max="11010" width="3.625" style="2694" customWidth="1"/>
    <col min="11011" max="11264" width="8.75" style="2694"/>
    <col min="11265" max="11265" width="5" style="2694" customWidth="1"/>
    <col min="11266" max="11266" width="3.625" style="2694" customWidth="1"/>
    <col min="11267" max="11520" width="8.75" style="2694"/>
    <col min="11521" max="11521" width="5" style="2694" customWidth="1"/>
    <col min="11522" max="11522" width="3.625" style="2694" customWidth="1"/>
    <col min="11523" max="11776" width="8.75" style="2694"/>
    <col min="11777" max="11777" width="5" style="2694" customWidth="1"/>
    <col min="11778" max="11778" width="3.625" style="2694" customWidth="1"/>
    <col min="11779" max="12032" width="8.75" style="2694"/>
    <col min="12033" max="12033" width="5" style="2694" customWidth="1"/>
    <col min="12034" max="12034" width="3.625" style="2694" customWidth="1"/>
    <col min="12035" max="12288" width="8.75" style="2694"/>
    <col min="12289" max="12289" width="5" style="2694" customWidth="1"/>
    <col min="12290" max="12290" width="3.625" style="2694" customWidth="1"/>
    <col min="12291" max="12544" width="8.75" style="2694"/>
    <col min="12545" max="12545" width="5" style="2694" customWidth="1"/>
    <col min="12546" max="12546" width="3.625" style="2694" customWidth="1"/>
    <col min="12547" max="12800" width="8.75" style="2694"/>
    <col min="12801" max="12801" width="5" style="2694" customWidth="1"/>
    <col min="12802" max="12802" width="3.625" style="2694" customWidth="1"/>
    <col min="12803" max="13056" width="8.75" style="2694"/>
    <col min="13057" max="13057" width="5" style="2694" customWidth="1"/>
    <col min="13058" max="13058" width="3.625" style="2694" customWidth="1"/>
    <col min="13059" max="13312" width="8.75" style="2694"/>
    <col min="13313" max="13313" width="5" style="2694" customWidth="1"/>
    <col min="13314" max="13314" width="3.625" style="2694" customWidth="1"/>
    <col min="13315" max="13568" width="8.75" style="2694"/>
    <col min="13569" max="13569" width="5" style="2694" customWidth="1"/>
    <col min="13570" max="13570" width="3.625" style="2694" customWidth="1"/>
    <col min="13571" max="13824" width="8.75" style="2694"/>
    <col min="13825" max="13825" width="5" style="2694" customWidth="1"/>
    <col min="13826" max="13826" width="3.625" style="2694" customWidth="1"/>
    <col min="13827" max="14080" width="8.75" style="2694"/>
    <col min="14081" max="14081" width="5" style="2694" customWidth="1"/>
    <col min="14082" max="14082" width="3.625" style="2694" customWidth="1"/>
    <col min="14083" max="14336" width="8.75" style="2694"/>
    <col min="14337" max="14337" width="5" style="2694" customWidth="1"/>
    <col min="14338" max="14338" width="3.625" style="2694" customWidth="1"/>
    <col min="14339" max="14592" width="8.75" style="2694"/>
    <col min="14593" max="14593" width="5" style="2694" customWidth="1"/>
    <col min="14594" max="14594" width="3.625" style="2694" customWidth="1"/>
    <col min="14595" max="14848" width="8.75" style="2694"/>
    <col min="14849" max="14849" width="5" style="2694" customWidth="1"/>
    <col min="14850" max="14850" width="3.625" style="2694" customWidth="1"/>
    <col min="14851" max="15104" width="8.75" style="2694"/>
    <col min="15105" max="15105" width="5" style="2694" customWidth="1"/>
    <col min="15106" max="15106" width="3.625" style="2694" customWidth="1"/>
    <col min="15107" max="15360" width="8.75" style="2694"/>
    <col min="15361" max="15361" width="5" style="2694" customWidth="1"/>
    <col min="15362" max="15362" width="3.625" style="2694" customWidth="1"/>
    <col min="15363" max="15616" width="8.75" style="2694"/>
    <col min="15617" max="15617" width="5" style="2694" customWidth="1"/>
    <col min="15618" max="15618" width="3.625" style="2694" customWidth="1"/>
    <col min="15619" max="15872" width="8.75" style="2694"/>
    <col min="15873" max="15873" width="5" style="2694" customWidth="1"/>
    <col min="15874" max="15874" width="3.625" style="2694" customWidth="1"/>
    <col min="15875" max="16128" width="8.75" style="2694"/>
    <col min="16129" max="16129" width="5" style="2694" customWidth="1"/>
    <col min="16130" max="16130" width="3.625" style="2694" customWidth="1"/>
    <col min="16131" max="16384" width="8.75" style="2694"/>
  </cols>
  <sheetData>
    <row r="1" spans="1:10" s="2692" customFormat="1" ht="25.5">
      <c r="A1" s="2695" t="s">
        <v>5434</v>
      </c>
    </row>
    <row r="2" spans="1:10" s="2693" customFormat="1" ht="20.25">
      <c r="A2" s="2696" t="s">
        <v>5435</v>
      </c>
      <c r="B2" s="2696" t="s">
        <v>5436</v>
      </c>
      <c r="C2" s="2697"/>
      <c r="D2" s="2697"/>
      <c r="E2" s="2697"/>
      <c r="F2" s="2697"/>
      <c r="G2" s="2697"/>
      <c r="H2" s="2697"/>
      <c r="I2" s="2697"/>
      <c r="J2" s="2697"/>
    </row>
    <row r="4" spans="1:10">
      <c r="C4" s="2694" t="s">
        <v>5437</v>
      </c>
    </row>
    <row r="5" spans="1:10">
      <c r="C5" s="2694" t="s">
        <v>5438</v>
      </c>
    </row>
    <row r="6" spans="1:10">
      <c r="C6" s="2698" t="s">
        <v>5439</v>
      </c>
    </row>
    <row r="8" spans="1:10" s="2693" customFormat="1" ht="20.25">
      <c r="A8" s="2696" t="s">
        <v>5440</v>
      </c>
      <c r="B8" s="2696" t="s">
        <v>5441</v>
      </c>
      <c r="C8" s="2697"/>
      <c r="D8" s="2697"/>
      <c r="E8" s="2697"/>
      <c r="F8" s="2697"/>
      <c r="G8" s="2697"/>
      <c r="H8" s="2697"/>
      <c r="I8" s="2697"/>
      <c r="J8" s="2697"/>
    </row>
    <row r="10" spans="1:10">
      <c r="C10" s="2694" t="s">
        <v>5442</v>
      </c>
    </row>
    <row r="11" spans="1:10">
      <c r="C11" s="2694" t="s">
        <v>5443</v>
      </c>
    </row>
    <row r="13" spans="1:10" ht="15.75">
      <c r="C13" s="2694" t="s">
        <v>5444</v>
      </c>
    </row>
    <row r="14" spans="1:10" ht="15.75">
      <c r="E14" s="2699" t="s">
        <v>5445</v>
      </c>
    </row>
    <row r="15" spans="1:10" ht="15.75">
      <c r="C15" s="2694" t="s">
        <v>2045</v>
      </c>
      <c r="D15" s="2699" t="s">
        <v>5446</v>
      </c>
    </row>
    <row r="16" spans="1:10" ht="15.75">
      <c r="D16" s="2699" t="s">
        <v>5447</v>
      </c>
    </row>
    <row r="17" spans="1:10" ht="15.75">
      <c r="D17" s="2699" t="s">
        <v>5448</v>
      </c>
    </row>
    <row r="18" spans="1:10" ht="15.75">
      <c r="D18" s="2699" t="s">
        <v>5449</v>
      </c>
    </row>
    <row r="19" spans="1:10">
      <c r="D19" s="2694" t="s">
        <v>5450</v>
      </c>
    </row>
    <row r="20" spans="1:10" ht="15.75">
      <c r="C20" s="2700" t="s">
        <v>5451</v>
      </c>
    </row>
    <row r="21" spans="1:10" ht="15.75">
      <c r="C21" s="2700" t="s">
        <v>5452</v>
      </c>
    </row>
    <row r="23" spans="1:10" s="2693" customFormat="1" ht="21">
      <c r="A23" s="2696" t="s">
        <v>5453</v>
      </c>
      <c r="B23" s="2696" t="s">
        <v>5454</v>
      </c>
      <c r="C23" s="2697"/>
      <c r="D23" s="2697"/>
      <c r="E23" s="2697"/>
      <c r="F23" s="2697"/>
      <c r="G23" s="2697"/>
      <c r="H23" s="2697"/>
      <c r="I23" s="2697"/>
      <c r="J23" s="2697"/>
    </row>
    <row r="25" spans="1:10">
      <c r="B25" s="2700" t="s">
        <v>5455</v>
      </c>
    </row>
    <row r="27" spans="1:10">
      <c r="J27" s="2701" t="s">
        <v>5456</v>
      </c>
    </row>
    <row r="30" spans="1:10">
      <c r="A30" s="2700" t="s">
        <v>5457</v>
      </c>
      <c r="B30" s="2700"/>
    </row>
    <row r="34" spans="1:10">
      <c r="A34" s="2700" t="s">
        <v>5458</v>
      </c>
    </row>
    <row r="36" spans="1:10">
      <c r="A36" s="2700" t="s">
        <v>5459</v>
      </c>
    </row>
    <row r="38" spans="1:10">
      <c r="A38" s="2700" t="s">
        <v>5460</v>
      </c>
    </row>
    <row r="41" spans="1:10" ht="15.75">
      <c r="F41" s="2701" t="s">
        <v>5461</v>
      </c>
    </row>
    <row r="42" spans="1:10" ht="15.75">
      <c r="J42" s="2704" t="s">
        <v>5462</v>
      </c>
    </row>
    <row r="43" spans="1:10" ht="15.75">
      <c r="C43" s="2694" t="s">
        <v>5463</v>
      </c>
    </row>
    <row r="44" spans="1:10" ht="15.75">
      <c r="C44" s="2694" t="s">
        <v>5464</v>
      </c>
    </row>
    <row r="46" spans="1:10" ht="15.75">
      <c r="C46" s="2702" t="s">
        <v>5465</v>
      </c>
    </row>
    <row r="47" spans="1:10" ht="15.75">
      <c r="C47" s="2703" t="s">
        <v>5466</v>
      </c>
    </row>
    <row r="49" spans="1:10">
      <c r="J49" s="2701" t="s">
        <v>5456</v>
      </c>
    </row>
    <row r="50" spans="1:10">
      <c r="B50" s="2700" t="s">
        <v>5455</v>
      </c>
    </row>
    <row r="52" spans="1:10" ht="15.75">
      <c r="C52" s="2699"/>
    </row>
    <row r="55" spans="1:10">
      <c r="A55" s="2700" t="s">
        <v>5457</v>
      </c>
    </row>
    <row r="58" spans="1:10" ht="15.75">
      <c r="A58" s="2700" t="s">
        <v>5458</v>
      </c>
      <c r="J58" s="2703" t="s">
        <v>5467</v>
      </c>
    </row>
    <row r="59" spans="1:10" ht="15.75">
      <c r="J59" s="2703" t="s">
        <v>5468</v>
      </c>
    </row>
    <row r="62" spans="1:10">
      <c r="A62" s="2700" t="s">
        <v>5460</v>
      </c>
    </row>
    <row r="66" spans="1:6">
      <c r="A66" s="2700" t="s">
        <v>5469</v>
      </c>
    </row>
    <row r="71" spans="1:6" ht="15.75">
      <c r="F71" s="2701" t="s">
        <v>5470</v>
      </c>
    </row>
    <row r="72" spans="1:6" ht="15.75">
      <c r="C72" s="2694" t="s">
        <v>5471</v>
      </c>
    </row>
    <row r="74" spans="1:6" ht="15.75">
      <c r="C74" s="2702" t="s">
        <v>2500</v>
      </c>
      <c r="D74" s="2700" t="s">
        <v>5472</v>
      </c>
    </row>
    <row r="75" spans="1:6" ht="15.75">
      <c r="D75" s="2700" t="s">
        <v>5473</v>
      </c>
    </row>
    <row r="76" spans="1:6">
      <c r="D76" s="2700" t="s">
        <v>5474</v>
      </c>
    </row>
    <row r="77" spans="1:6">
      <c r="D77" s="2700"/>
    </row>
    <row r="78" spans="1:6" ht="15.75">
      <c r="C78" s="2700" t="s">
        <v>5475</v>
      </c>
      <c r="D78" s="2700"/>
    </row>
    <row r="79" spans="1:6">
      <c r="D79" s="2705" t="s">
        <v>5476</v>
      </c>
    </row>
    <row r="80" spans="1:6">
      <c r="D80" s="2705" t="s">
        <v>5477</v>
      </c>
    </row>
    <row r="81" spans="1:10">
      <c r="D81" s="2700"/>
    </row>
    <row r="82" spans="1:10" ht="15.75">
      <c r="C82" s="2700" t="s">
        <v>5478</v>
      </c>
      <c r="D82" s="2705" t="s">
        <v>5479</v>
      </c>
    </row>
    <row r="83" spans="1:10">
      <c r="D83" s="2705" t="s">
        <v>5480</v>
      </c>
    </row>
    <row r="84" spans="1:10">
      <c r="D84" s="2705" t="s">
        <v>5481</v>
      </c>
    </row>
    <row r="85" spans="1:10">
      <c r="D85" s="2700"/>
    </row>
    <row r="86" spans="1:10" ht="15.75">
      <c r="C86" s="2700" t="s">
        <v>5482</v>
      </c>
      <c r="D86" s="2706" t="s">
        <v>5483</v>
      </c>
    </row>
    <row r="87" spans="1:10">
      <c r="D87" s="2700"/>
    </row>
    <row r="88" spans="1:10" ht="15.75">
      <c r="J88" s="2704" t="s">
        <v>5484</v>
      </c>
    </row>
    <row r="89" spans="1:10" s="2693" customFormat="1" ht="20.25">
      <c r="A89" s="2696" t="s">
        <v>5485</v>
      </c>
      <c r="B89" s="2696" t="s">
        <v>5486</v>
      </c>
      <c r="C89" s="2697"/>
      <c r="D89" s="2697"/>
      <c r="E89" s="2697"/>
      <c r="F89" s="2697"/>
      <c r="G89" s="2697"/>
      <c r="H89" s="2697"/>
      <c r="I89" s="2697"/>
      <c r="J89" s="2697"/>
    </row>
    <row r="90" spans="1:10" ht="15.75">
      <c r="B90" s="2699" t="s">
        <v>5487</v>
      </c>
      <c r="C90" s="2694" t="s">
        <v>5488</v>
      </c>
    </row>
    <row r="92" spans="1:10" ht="18.75">
      <c r="C92" s="2700" t="s">
        <v>5489</v>
      </c>
    </row>
    <row r="93" spans="1:10">
      <c r="C93" s="2700" t="s">
        <v>5490</v>
      </c>
    </row>
    <row r="97" spans="3:8" ht="15.75">
      <c r="F97" s="2701" t="s">
        <v>5491</v>
      </c>
    </row>
    <row r="99" spans="3:8" ht="15.75">
      <c r="C99" s="2700" t="s">
        <v>5492</v>
      </c>
      <c r="G99" s="2700" t="s">
        <v>5493</v>
      </c>
    </row>
    <row r="100" spans="3:8" ht="15.75">
      <c r="D100" s="2699" t="s">
        <v>5494</v>
      </c>
      <c r="G100" s="2700" t="s">
        <v>5495</v>
      </c>
    </row>
    <row r="101" spans="3:8" ht="15.75">
      <c r="D101" s="2699" t="s">
        <v>5496</v>
      </c>
      <c r="G101" s="2700" t="s">
        <v>5497</v>
      </c>
      <c r="H101" s="2700"/>
    </row>
    <row r="102" spans="3:8" ht="15.75">
      <c r="D102" s="2699" t="s">
        <v>5498</v>
      </c>
      <c r="G102" s="2700" t="s">
        <v>5499</v>
      </c>
    </row>
    <row r="104" spans="3:8" ht="15.75">
      <c r="C104" s="2700" t="s">
        <v>5500</v>
      </c>
    </row>
    <row r="105" spans="3:8" ht="15.75">
      <c r="D105" s="2699" t="s">
        <v>5501</v>
      </c>
    </row>
    <row r="106" spans="3:8" ht="15.75">
      <c r="D106" s="2699" t="s">
        <v>5502</v>
      </c>
    </row>
    <row r="108" spans="3:8" ht="15.75">
      <c r="C108" s="2700" t="s">
        <v>5503</v>
      </c>
    </row>
    <row r="109" spans="3:8" ht="15.75">
      <c r="D109" s="2699" t="s">
        <v>5504</v>
      </c>
    </row>
    <row r="110" spans="3:8" ht="15.75">
      <c r="D110" s="2699" t="s">
        <v>5505</v>
      </c>
    </row>
    <row r="112" spans="3:8" ht="15.75">
      <c r="C112" s="2700" t="s">
        <v>5506</v>
      </c>
      <c r="F112" s="2700" t="s">
        <v>5507</v>
      </c>
    </row>
    <row r="113" spans="3:9" ht="15.75">
      <c r="D113" s="2699" t="s">
        <v>5508</v>
      </c>
      <c r="F113" s="2700" t="s">
        <v>5509</v>
      </c>
    </row>
    <row r="114" spans="3:9" ht="15.75">
      <c r="D114" s="2699" t="s">
        <v>5510</v>
      </c>
    </row>
    <row r="116" spans="3:9" ht="15.75">
      <c r="C116" s="2700" t="s">
        <v>5511</v>
      </c>
    </row>
    <row r="117" spans="3:9" ht="15.75">
      <c r="D117" s="2699" t="s">
        <v>5512</v>
      </c>
    </row>
    <row r="119" spans="3:9" ht="15.75">
      <c r="C119" s="2700" t="s">
        <v>5513</v>
      </c>
    </row>
    <row r="120" spans="3:9">
      <c r="C120" s="2694" t="s">
        <v>5514</v>
      </c>
    </row>
    <row r="121" spans="3:9">
      <c r="C121" s="2694" t="s">
        <v>5515</v>
      </c>
    </row>
    <row r="123" spans="3:9" ht="15.75">
      <c r="C123" s="2707" t="s">
        <v>5516</v>
      </c>
    </row>
    <row r="127" spans="3:9">
      <c r="I127" s="2708" t="s">
        <v>5517</v>
      </c>
    </row>
  </sheetData>
  <phoneticPr fontId="214" type="noConversion"/>
  <pageMargins left="0.75" right="0.75" top="1" bottom="1" header="0.5" footer="0.5"/>
  <pageSetup paperSize="9" orientation="portrait" horizontalDpi="1200" verticalDpi="1200"/>
  <headerFooter scaleWithDoc="0" alignWithMargins="0"/>
  <drawing r:id="rId1"/>
  <legacyDrawing r:id="rId2"/>
  <oleObjects>
    <mc:AlternateContent xmlns:mc="http://schemas.openxmlformats.org/markup-compatibility/2006">
      <mc:Choice Requires="x14">
        <oleObject progId="AutoCAD.Drawing.16" shapeId="1287169" r:id="rId3">
          <objectPr defaultSize="0" altText="" r:id="rId4">
            <anchor moveWithCells="1">
              <from>
                <xdr:col>2</xdr:col>
                <xdr:colOff>304800</xdr:colOff>
                <xdr:row>47</xdr:row>
                <xdr:rowOff>38100</xdr:rowOff>
              </from>
              <to>
                <xdr:col>9</xdr:col>
                <xdr:colOff>9525</xdr:colOff>
                <xdr:row>69</xdr:row>
                <xdr:rowOff>114300</xdr:rowOff>
              </to>
            </anchor>
          </objectPr>
        </oleObject>
      </mc:Choice>
      <mc:Fallback>
        <oleObject progId="AutoCAD.Drawing.16" shapeId="1287169" r:id="rId3"/>
      </mc:Fallback>
    </mc:AlternateContent>
    <mc:AlternateContent xmlns:mc="http://schemas.openxmlformats.org/markup-compatibility/2006">
      <mc:Choice Requires="x14">
        <oleObject progId="AutoCAD.Drawing.16" shapeId="1287170" r:id="rId5">
          <objectPr defaultSize="0" altText="" r:id="rId6">
            <anchor moveWithCells="1">
              <from>
                <xdr:col>2</xdr:col>
                <xdr:colOff>304800</xdr:colOff>
                <xdr:row>23</xdr:row>
                <xdr:rowOff>66675</xdr:rowOff>
              </from>
              <to>
                <xdr:col>9</xdr:col>
                <xdr:colOff>161925</xdr:colOff>
                <xdr:row>40</xdr:row>
                <xdr:rowOff>38100</xdr:rowOff>
              </to>
            </anchor>
          </objectPr>
        </oleObject>
      </mc:Choice>
      <mc:Fallback>
        <oleObject progId="AutoCAD.Drawing.16" shapeId="1287170" r:id="rId5"/>
      </mc:Fallback>
    </mc:AlternateContent>
  </oleObjec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IV59"/>
  <sheetViews>
    <sheetView zoomScale="115" zoomScaleNormal="115" workbookViewId="0">
      <selection activeCell="D1" sqref="D1"/>
    </sheetView>
  </sheetViews>
  <sheetFormatPr defaultColWidth="8.75" defaultRowHeight="14.25"/>
  <cols>
    <col min="1" max="1" width="25" customWidth="1"/>
    <col min="2" max="2" width="15.125" customWidth="1"/>
    <col min="3" max="3" width="33.75" customWidth="1"/>
    <col min="4" max="32" width="9"/>
    <col min="257" max="16384" width="8.75" style="2679"/>
  </cols>
  <sheetData>
    <row r="1" spans="1:3">
      <c r="A1" t="s">
        <v>5518</v>
      </c>
      <c r="C1" t="s">
        <v>5519</v>
      </c>
    </row>
    <row r="2" spans="1:3">
      <c r="A2" t="s">
        <v>5520</v>
      </c>
      <c r="B2" s="2687">
        <v>1000</v>
      </c>
      <c r="C2" t="s">
        <v>5521</v>
      </c>
    </row>
    <row r="3" spans="1:3">
      <c r="A3" t="s">
        <v>5522</v>
      </c>
      <c r="B3" s="2687">
        <v>200</v>
      </c>
      <c r="C3" t="s">
        <v>5523</v>
      </c>
    </row>
    <row r="4" spans="1:3">
      <c r="A4" t="s">
        <v>5524</v>
      </c>
      <c r="B4">
        <f>B3*B2/7000</f>
        <v>28.571428571428601</v>
      </c>
      <c r="C4" t="s">
        <v>5525</v>
      </c>
    </row>
    <row r="6" spans="1:3">
      <c r="A6" t="s">
        <v>5526</v>
      </c>
    </row>
    <row r="7" spans="1:3" ht="18.75">
      <c r="A7" t="s">
        <v>5527</v>
      </c>
      <c r="B7" s="2687">
        <v>1000</v>
      </c>
      <c r="C7" t="s">
        <v>5528</v>
      </c>
    </row>
    <row r="8" spans="1:3" ht="16.5">
      <c r="A8" t="s">
        <v>5529</v>
      </c>
      <c r="B8" s="2687">
        <v>30</v>
      </c>
      <c r="C8" t="s">
        <v>5530</v>
      </c>
    </row>
    <row r="9" spans="1:3">
      <c r="A9" t="s">
        <v>5531</v>
      </c>
      <c r="B9">
        <f>B7*(1+0.0007*B8)</f>
        <v>1021</v>
      </c>
    </row>
    <row r="11" spans="1:3" ht="18.75">
      <c r="A11" t="s">
        <v>5532</v>
      </c>
      <c r="C11" t="s">
        <v>5533</v>
      </c>
    </row>
    <row r="12" spans="1:3" ht="18.75">
      <c r="A12" t="s">
        <v>5534</v>
      </c>
      <c r="B12" s="2687">
        <v>30</v>
      </c>
      <c r="C12" t="s">
        <v>5535</v>
      </c>
    </row>
    <row r="13" spans="1:3">
      <c r="A13" t="s">
        <v>5536</v>
      </c>
      <c r="B13" s="2687">
        <v>200</v>
      </c>
      <c r="C13" t="s">
        <v>5537</v>
      </c>
    </row>
    <row r="14" spans="1:3">
      <c r="A14" t="s">
        <v>5538</v>
      </c>
      <c r="B14">
        <f>B12*EXP(B13*0.003)</f>
        <v>54.663564011715302</v>
      </c>
    </row>
    <row r="16" spans="1:3">
      <c r="A16" t="s">
        <v>5539</v>
      </c>
    </row>
    <row r="17" spans="1:3" ht="18.75">
      <c r="A17" t="s">
        <v>5540</v>
      </c>
      <c r="B17" s="2687">
        <v>20</v>
      </c>
    </row>
    <row r="18" spans="1:3">
      <c r="A18" t="s">
        <v>5541</v>
      </c>
      <c r="B18" s="2687">
        <v>10</v>
      </c>
    </row>
    <row r="19" spans="1:3">
      <c r="A19" t="s">
        <v>5542</v>
      </c>
      <c r="B19" s="2687">
        <v>2.13</v>
      </c>
    </row>
    <row r="20" spans="1:3">
      <c r="A20" t="s">
        <v>5543</v>
      </c>
      <c r="B20">
        <f>B17*(50/B18)^B19</f>
        <v>616.36235365218204</v>
      </c>
    </row>
    <row r="27" spans="1:3">
      <c r="A27" t="s">
        <v>5544</v>
      </c>
      <c r="C27" t="s">
        <v>5545</v>
      </c>
    </row>
    <row r="28" spans="1:3">
      <c r="A28" t="s">
        <v>5546</v>
      </c>
      <c r="B28" s="2687">
        <v>5</v>
      </c>
      <c r="C28">
        <f>7.31*B28-6.31/B28</f>
        <v>35.287999999999997</v>
      </c>
    </row>
    <row r="29" spans="1:3">
      <c r="A29" t="s">
        <v>5547</v>
      </c>
      <c r="B29" s="2687">
        <v>100</v>
      </c>
      <c r="C29">
        <f>0.22*B29-180/B29</f>
        <v>20.2</v>
      </c>
    </row>
    <row r="30" spans="1:3">
      <c r="A30" t="s">
        <v>5548</v>
      </c>
      <c r="B30" s="2687">
        <v>100</v>
      </c>
      <c r="C30">
        <f>0.26*B30-172/B30</f>
        <v>24.28</v>
      </c>
    </row>
    <row r="32" spans="1:3">
      <c r="A32" t="s">
        <v>5549</v>
      </c>
    </row>
    <row r="33" spans="1:2">
      <c r="A33" t="s">
        <v>5550</v>
      </c>
      <c r="B33">
        <v>900</v>
      </c>
    </row>
    <row r="34" spans="1:2">
      <c r="A34" t="s">
        <v>5551</v>
      </c>
      <c r="B34">
        <v>500</v>
      </c>
    </row>
    <row r="35" spans="1:2">
      <c r="A35" t="s">
        <v>5552</v>
      </c>
      <c r="B35">
        <f>B34*10*B33/100000000</f>
        <v>4.4999999999999998E-2</v>
      </c>
    </row>
    <row r="37" spans="1:2" ht="16.5">
      <c r="A37" t="s">
        <v>5553</v>
      </c>
      <c r="B37" t="s">
        <v>5554</v>
      </c>
    </row>
    <row r="38" spans="1:2">
      <c r="A38" t="s">
        <v>5555</v>
      </c>
      <c r="B38" t="s">
        <v>5556</v>
      </c>
    </row>
    <row r="40" spans="1:2">
      <c r="B40" t="s">
        <v>5557</v>
      </c>
    </row>
    <row r="41" spans="1:2" ht="16.5">
      <c r="A41" t="s">
        <v>5558</v>
      </c>
      <c r="B41" t="s">
        <v>5559</v>
      </c>
    </row>
    <row r="42" spans="1:2" ht="16.5">
      <c r="A42" t="s">
        <v>5560</v>
      </c>
      <c r="B42" t="s">
        <v>5561</v>
      </c>
    </row>
    <row r="46" spans="1:2">
      <c r="B46" t="s">
        <v>5562</v>
      </c>
    </row>
    <row r="49" spans="1:2">
      <c r="A49" t="s">
        <v>5563</v>
      </c>
    </row>
    <row r="50" spans="1:2">
      <c r="A50" t="s">
        <v>5564</v>
      </c>
    </row>
    <row r="51" spans="1:2">
      <c r="A51" t="s">
        <v>5565</v>
      </c>
    </row>
    <row r="52" spans="1:2" ht="16.5">
      <c r="A52" t="s">
        <v>5566</v>
      </c>
      <c r="B52" t="s">
        <v>5567</v>
      </c>
    </row>
    <row r="54" spans="1:2">
      <c r="A54" t="s">
        <v>5568</v>
      </c>
    </row>
    <row r="55" spans="1:2" ht="16.5">
      <c r="A55" t="s">
        <v>5569</v>
      </c>
    </row>
    <row r="56" spans="1:2" ht="16.5">
      <c r="A56" t="s">
        <v>5570</v>
      </c>
      <c r="B56" t="s">
        <v>5571</v>
      </c>
    </row>
    <row r="58" spans="1:2">
      <c r="A58" t="s">
        <v>5572</v>
      </c>
    </row>
    <row r="59" spans="1:2">
      <c r="A59" t="s">
        <v>5573</v>
      </c>
    </row>
  </sheetData>
  <sheetProtection formatCells="0" formatColumns="0" formatRows="0" insertColumns="0" insertRows="0" insertHyperlinks="0" deleteColumns="0" deleteRows="0" sort="0" autoFilter="0" pivotTables="0"/>
  <protectedRanges>
    <protectedRange sqref="B2:B3 B7:B8 B12:B13 B17:B19 B28:B30" name="区域1"/>
  </protectedRanges>
  <phoneticPr fontId="214" type="noConversion"/>
  <pageMargins left="0.75" right="0.75" top="1" bottom="1" header="0.5" footer="0.5"/>
  <pageSetup paperSize="9" orientation="portrait" horizontalDpi="1200" verticalDpi="1200"/>
  <headerFooter scaleWithDoc="0" alignWithMargins="0"/>
  <drawing r:id="rId1"/>
  <legacyDrawing r:id="rId2"/>
  <oleObjects>
    <mc:AlternateContent xmlns:mc="http://schemas.openxmlformats.org/markup-compatibility/2006">
      <mc:Choice Requires="x14">
        <oleObject progId="Equation.3" shapeId="1258497" r:id="rId3">
          <objectPr defaultSize="0" altText="" r:id="rId4">
            <anchor moveWithCells="1">
              <from>
                <xdr:col>0</xdr:col>
                <xdr:colOff>381000</xdr:colOff>
                <xdr:row>44</xdr:row>
                <xdr:rowOff>76200</xdr:rowOff>
              </from>
              <to>
                <xdr:col>0</xdr:col>
                <xdr:colOff>1304925</xdr:colOff>
                <xdr:row>47</xdr:row>
                <xdr:rowOff>57150</xdr:rowOff>
              </to>
            </anchor>
          </objectPr>
        </oleObject>
      </mc:Choice>
      <mc:Fallback>
        <oleObject progId="Equation.3" shapeId="1258497" r:id="rId3"/>
      </mc:Fallback>
    </mc:AlternateContent>
    <mc:AlternateContent xmlns:mc="http://schemas.openxmlformats.org/markup-compatibility/2006">
      <mc:Choice Requires="x14">
        <oleObject progId="AutoCAD.Drawing.16" shapeId="1258498" r:id="rId5">
          <objectPr defaultSize="0" altText="" r:id="rId6">
            <anchor moveWithCells="1">
              <from>
                <xdr:col>0</xdr:col>
                <xdr:colOff>104775</xdr:colOff>
                <xdr:row>20</xdr:row>
                <xdr:rowOff>38100</xdr:rowOff>
              </from>
              <to>
                <xdr:col>2</xdr:col>
                <xdr:colOff>1676400</xdr:colOff>
                <xdr:row>24</xdr:row>
                <xdr:rowOff>19050</xdr:rowOff>
              </to>
            </anchor>
          </objectPr>
        </oleObject>
      </mc:Choice>
      <mc:Fallback>
        <oleObject progId="AutoCAD.Drawing.16" shapeId="1258498" r:id="rId5"/>
      </mc:Fallback>
    </mc:AlternateContent>
  </oleObjec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F118"/>
  <sheetViews>
    <sheetView workbookViewId="0">
      <selection activeCell="E1" sqref="E1"/>
    </sheetView>
  </sheetViews>
  <sheetFormatPr defaultColWidth="8.75" defaultRowHeight="14.25"/>
  <cols>
    <col min="1" max="1" width="17.875" style="2679" customWidth="1"/>
    <col min="2" max="2" width="18.375" style="2679"/>
    <col min="3" max="3" width="19.375" style="2679"/>
    <col min="4" max="4" width="20.625" style="2679" customWidth="1"/>
    <col min="5" max="5" width="10.5" style="2679"/>
    <col min="6" max="6" width="12.75" style="2679"/>
    <col min="7" max="32" width="9" style="2679"/>
    <col min="33" max="16384" width="8.75" style="2679"/>
  </cols>
  <sheetData>
    <row r="1" spans="1:4">
      <c r="A1" s="2688" t="s">
        <v>5574</v>
      </c>
      <c r="B1" s="2688" t="s">
        <v>5575</v>
      </c>
      <c r="C1" s="2688" t="s">
        <v>5576</v>
      </c>
      <c r="D1" s="2688" t="s">
        <v>5577</v>
      </c>
    </row>
    <row r="2" spans="1:4">
      <c r="A2" s="2687">
        <v>1</v>
      </c>
      <c r="B2" s="2687">
        <v>70</v>
      </c>
      <c r="C2" s="2687">
        <v>15</v>
      </c>
      <c r="D2" s="2687">
        <v>30</v>
      </c>
    </row>
    <row r="3" spans="1:4">
      <c r="A3" s="2688" t="s">
        <v>5578</v>
      </c>
      <c r="B3" s="2688" t="s">
        <v>5579</v>
      </c>
      <c r="C3" s="2688" t="s">
        <v>5580</v>
      </c>
      <c r="D3" s="2688" t="s">
        <v>5581</v>
      </c>
    </row>
    <row r="4" spans="1:4">
      <c r="A4">
        <f>(B2/5)^0.5*4.61</f>
        <v>17.2490405530279</v>
      </c>
      <c r="B4">
        <f>(B2/3)^0.5*4.61</f>
        <v>22.2684155999778</v>
      </c>
      <c r="C4">
        <f>(B2/0.8)^0.5*4.61</f>
        <v>43.122601382569698</v>
      </c>
      <c r="D4">
        <f>A2/10*C2*4/(2*410)</f>
        <v>7.3170731707317103E-3</v>
      </c>
    </row>
    <row r="5" spans="1:4">
      <c r="A5" s="2688" t="s">
        <v>5582</v>
      </c>
      <c r="B5" s="2688" t="s">
        <v>5583</v>
      </c>
      <c r="C5" s="2688"/>
      <c r="D5" s="2688"/>
    </row>
    <row r="6" spans="1:4">
      <c r="A6">
        <f>B2*1000/(3.1416*15*C2^2)</f>
        <v>6.6019673862811104</v>
      </c>
      <c r="B6">
        <f>A6*1000*C2/D2</f>
        <v>3300.9836931405598</v>
      </c>
      <c r="C6" s="2688"/>
      <c r="D6" s="2688"/>
    </row>
    <row r="7" spans="1:4">
      <c r="A7" s="2688"/>
      <c r="B7" s="2688"/>
      <c r="C7" s="2688"/>
      <c r="D7" s="2688"/>
    </row>
    <row r="8" spans="1:4">
      <c r="A8" s="2688"/>
      <c r="B8" s="2688" t="s">
        <v>5584</v>
      </c>
      <c r="C8" s="2688" t="s">
        <v>5585</v>
      </c>
      <c r="D8" s="2688"/>
    </row>
    <row r="9" spans="1:4">
      <c r="A9" s="2688"/>
      <c r="B9" s="2687">
        <v>1</v>
      </c>
      <c r="C9" s="2687">
        <v>1</v>
      </c>
      <c r="D9" s="2688"/>
    </row>
    <row r="10" spans="1:4">
      <c r="A10" s="2688" t="s">
        <v>5586</v>
      </c>
      <c r="B10">
        <f>B9*900*A6^2*75/(B6*C2*200)</f>
        <v>0.29708853238264998</v>
      </c>
      <c r="C10">
        <f>C9*900*A6^2*80/(B6*C2*200)</f>
        <v>0.31689443454149302</v>
      </c>
      <c r="D10" s="2688"/>
    </row>
    <row r="11" spans="1:4">
      <c r="A11" s="2688" t="s">
        <v>5587</v>
      </c>
      <c r="B11">
        <f>B9*900*A6^2*0.3164*B6^-0.25/(C2*200)</f>
        <v>0.54581269666373999</v>
      </c>
      <c r="C11">
        <f>C9*900*A6^2*0.3164*B6^-0.25/(C2*200)</f>
        <v>0.54581269666373999</v>
      </c>
      <c r="D11" s="2688"/>
    </row>
    <row r="13" spans="1:4">
      <c r="A13" t="s">
        <v>5588</v>
      </c>
      <c r="B13"/>
      <c r="C13"/>
      <c r="D13"/>
    </row>
    <row r="14" spans="1:4">
      <c r="A14" s="2688" t="s">
        <v>5589</v>
      </c>
      <c r="B14" s="2687">
        <v>100</v>
      </c>
      <c r="C14" s="2688" t="s">
        <v>5590</v>
      </c>
      <c r="D14" s="2687">
        <v>2</v>
      </c>
    </row>
    <row r="15" spans="1:4">
      <c r="A15" s="2688" t="s">
        <v>5591</v>
      </c>
      <c r="B15" s="2687">
        <v>10</v>
      </c>
      <c r="C15" s="2688" t="s">
        <v>5592</v>
      </c>
      <c r="D15">
        <f>(B14/(6*0.62*3.14159*B15*D14))^2*45</f>
        <v>8.2369727828466299</v>
      </c>
    </row>
    <row r="16" spans="1:4">
      <c r="A16" s="2688" t="s">
        <v>5593</v>
      </c>
      <c r="B16" s="2687">
        <v>69</v>
      </c>
      <c r="C16" s="2688" t="s">
        <v>5594</v>
      </c>
      <c r="D16">
        <f>B14^2*COS(B16/180*3.14159)/(3.14159*4*B15*D14)</f>
        <v>14.2590574833094</v>
      </c>
    </row>
    <row r="19" spans="1:4">
      <c r="A19" t="s">
        <v>5595</v>
      </c>
      <c r="B19" s="2691"/>
      <c r="C19" s="2691"/>
      <c r="D19" s="2691"/>
    </row>
    <row r="20" spans="1:4">
      <c r="A20" s="2691" t="s">
        <v>5596</v>
      </c>
      <c r="B20" s="2691" t="s">
        <v>5597</v>
      </c>
      <c r="C20" s="2691" t="s">
        <v>5598</v>
      </c>
      <c r="D20" s="2691"/>
    </row>
    <row r="21" spans="1:4">
      <c r="A21" s="2687">
        <v>5</v>
      </c>
      <c r="B21" s="2687">
        <v>3</v>
      </c>
      <c r="C21" s="2687">
        <v>0.62</v>
      </c>
      <c r="D21" s="2691"/>
    </row>
    <row r="22" spans="1:4">
      <c r="A22" s="2691" t="s">
        <v>5599</v>
      </c>
      <c r="B22" s="2691"/>
      <c r="C22" s="2691"/>
      <c r="D22" s="2691"/>
    </row>
    <row r="23" spans="1:4">
      <c r="A23">
        <f>C21*3.14*A21^2*6/400*(2000/9*B21)^0.5</f>
        <v>18.849809945991499</v>
      </c>
      <c r="B23" s="2691"/>
      <c r="C23" s="2691"/>
      <c r="D23" s="2691"/>
    </row>
    <row r="25" spans="1:4">
      <c r="A25" t="s">
        <v>5600</v>
      </c>
      <c r="B25" s="2688"/>
      <c r="C25" s="2688"/>
      <c r="D25" s="2688"/>
    </row>
    <row r="26" spans="1:4">
      <c r="A26" s="2688" t="s">
        <v>5596</v>
      </c>
      <c r="B26" s="2688" t="s">
        <v>5597</v>
      </c>
      <c r="C26" s="2688" t="s">
        <v>5577</v>
      </c>
      <c r="D26" s="2688" t="s">
        <v>5601</v>
      </c>
    </row>
    <row r="27" spans="1:4">
      <c r="A27" s="2687">
        <v>20</v>
      </c>
      <c r="B27" s="2687">
        <v>0.2</v>
      </c>
      <c r="C27" s="2687">
        <v>20</v>
      </c>
      <c r="D27" s="2687">
        <v>273</v>
      </c>
    </row>
    <row r="28" spans="1:4">
      <c r="A28" s="2688" t="s">
        <v>5599</v>
      </c>
      <c r="B28" s="2688"/>
      <c r="C28" s="2688"/>
      <c r="D28" s="2688"/>
    </row>
    <row r="29" spans="1:4">
      <c r="A29">
        <f>3.1416*A27^4*600/(1.28*C27*9*D27)*B27</f>
        <v>958.97435897435901</v>
      </c>
      <c r="B29" s="2688"/>
      <c r="C29" s="2688"/>
      <c r="D29" s="2688"/>
    </row>
    <row r="31" spans="1:4">
      <c r="A31" t="s">
        <v>5602</v>
      </c>
      <c r="B31" s="2691"/>
      <c r="C31" s="2691"/>
      <c r="D31" s="2691"/>
    </row>
    <row r="32" spans="1:4">
      <c r="A32" s="2691" t="s">
        <v>5603</v>
      </c>
      <c r="B32" s="2691" t="s">
        <v>5604</v>
      </c>
      <c r="C32" s="2691" t="s">
        <v>5605</v>
      </c>
      <c r="D32" s="2691" t="s">
        <v>5577</v>
      </c>
    </row>
    <row r="33" spans="1:4">
      <c r="A33" s="2687">
        <v>100</v>
      </c>
      <c r="B33" s="2687">
        <v>0.02</v>
      </c>
      <c r="C33" s="2687">
        <v>0</v>
      </c>
      <c r="D33" s="2687">
        <v>30</v>
      </c>
    </row>
    <row r="34" spans="1:4">
      <c r="A34" s="2691" t="s">
        <v>5597</v>
      </c>
      <c r="B34" s="2691" t="s">
        <v>5601</v>
      </c>
      <c r="C34" s="2691"/>
      <c r="D34" s="2691" t="s">
        <v>5606</v>
      </c>
    </row>
    <row r="35" spans="1:4">
      <c r="A35" s="2687">
        <v>100</v>
      </c>
      <c r="B35">
        <v>50</v>
      </c>
      <c r="C35" s="2691"/>
      <c r="D35">
        <f>C33/B33</f>
        <v>0</v>
      </c>
    </row>
    <row r="36" spans="1:4">
      <c r="A36" s="2691"/>
      <c r="B36" s="2691"/>
      <c r="C36" s="2691"/>
      <c r="D36" s="2691"/>
    </row>
    <row r="37" spans="1:4">
      <c r="A37" s="2691" t="s">
        <v>5599</v>
      </c>
      <c r="B37">
        <f>3.1416*A33*B33^3*A35*10000/(18*D33*B35)*(1+1.5*D35^2)</f>
        <v>9.30844444444444E-2</v>
      </c>
      <c r="C37" s="2691"/>
      <c r="D37" s="2691"/>
    </row>
    <row r="39" spans="1:4">
      <c r="A39" t="s">
        <v>5607</v>
      </c>
      <c r="B39"/>
      <c r="C39" s="2688"/>
      <c r="D39" s="2688"/>
    </row>
    <row r="40" spans="1:4">
      <c r="A40" s="2688" t="s">
        <v>5608</v>
      </c>
      <c r="B40" s="2688" t="s">
        <v>5609</v>
      </c>
      <c r="C40" t="s">
        <v>5610</v>
      </c>
      <c r="D40" s="2688" t="s">
        <v>5597</v>
      </c>
    </row>
    <row r="41" spans="1:4">
      <c r="A41" s="2687">
        <v>314</v>
      </c>
      <c r="B41" s="2687">
        <v>0.02</v>
      </c>
      <c r="C41" s="2687">
        <v>50</v>
      </c>
      <c r="D41" s="2687">
        <v>100</v>
      </c>
    </row>
    <row r="42" spans="1:4">
      <c r="A42" s="2688"/>
      <c r="B42" s="2688"/>
      <c r="C42" s="2688"/>
      <c r="D42" s="2688"/>
    </row>
    <row r="43" spans="1:4">
      <c r="A43" s="2688" t="s">
        <v>5599</v>
      </c>
      <c r="B43">
        <f>A41*B41^3*60000/(12*9*A49*C41)*D41</f>
        <v>9.3037037037037099E-2</v>
      </c>
      <c r="C43" s="2688"/>
      <c r="D43" s="2688"/>
    </row>
    <row r="45" spans="1:4">
      <c r="A45" t="s">
        <v>5611</v>
      </c>
      <c r="B45"/>
      <c r="C45" s="2691"/>
      <c r="D45" s="2691"/>
    </row>
    <row r="46" spans="1:4">
      <c r="A46" s="2691" t="s">
        <v>5609</v>
      </c>
      <c r="B46" s="2691" t="s">
        <v>5597</v>
      </c>
      <c r="C46" s="2691" t="s">
        <v>5612</v>
      </c>
      <c r="D46" s="2691" t="s">
        <v>5613</v>
      </c>
    </row>
    <row r="47" spans="1:4">
      <c r="A47" s="2687">
        <v>0.02</v>
      </c>
      <c r="B47" s="2687">
        <v>100</v>
      </c>
      <c r="C47" s="2687">
        <v>50</v>
      </c>
      <c r="D47" s="2687">
        <v>2</v>
      </c>
    </row>
    <row r="48" spans="1:4">
      <c r="A48" s="2691" t="s">
        <v>5577</v>
      </c>
      <c r="B48"/>
      <c r="C48" s="2691"/>
      <c r="D48" s="2691"/>
    </row>
    <row r="49" spans="1:6">
      <c r="A49" s="2687">
        <v>30</v>
      </c>
      <c r="B49" s="2691"/>
      <c r="C49" s="2691"/>
      <c r="D49" s="2691"/>
    </row>
    <row r="50" spans="1:6">
      <c r="A50" s="2691"/>
      <c r="B50" s="2691"/>
      <c r="C50" s="2691"/>
      <c r="D50" s="2691"/>
    </row>
    <row r="51" spans="1:6">
      <c r="A51" s="2691" t="s">
        <v>5599</v>
      </c>
      <c r="B51">
        <f>3.14159*A47^3*B47*10000/(9*A49*LN(C47/D47))</f>
        <v>2.89182165490834E-2</v>
      </c>
      <c r="C51" s="2691"/>
      <c r="D51" s="2691"/>
    </row>
    <row r="54" spans="1:6">
      <c r="A54" t="s">
        <v>5614</v>
      </c>
      <c r="B54"/>
      <c r="C54"/>
      <c r="D54"/>
      <c r="E54"/>
      <c r="F54"/>
    </row>
    <row r="55" spans="1:6">
      <c r="A55"/>
      <c r="B55"/>
      <c r="C55"/>
      <c r="D55"/>
      <c r="E55"/>
      <c r="F55"/>
    </row>
    <row r="56" spans="1:6">
      <c r="A56"/>
      <c r="B56"/>
      <c r="C56"/>
      <c r="D56"/>
      <c r="E56"/>
      <c r="F56"/>
    </row>
    <row r="57" spans="1:6">
      <c r="A57"/>
      <c r="B57"/>
      <c r="C57"/>
      <c r="D57"/>
      <c r="E57"/>
      <c r="F57"/>
    </row>
    <row r="58" spans="1:6">
      <c r="A58"/>
      <c r="B58"/>
      <c r="C58"/>
      <c r="D58"/>
      <c r="E58"/>
      <c r="F58"/>
    </row>
    <row r="59" spans="1:6">
      <c r="A59" t="s">
        <v>5615</v>
      </c>
      <c r="B59"/>
      <c r="C59"/>
      <c r="D59"/>
      <c r="E59"/>
      <c r="F59"/>
    </row>
    <row r="60" spans="1:6">
      <c r="A60"/>
      <c r="B60"/>
      <c r="C60"/>
      <c r="D60"/>
      <c r="E60"/>
      <c r="F60"/>
    </row>
    <row r="61" spans="1:6">
      <c r="A61"/>
      <c r="B61"/>
      <c r="C61"/>
      <c r="D61"/>
      <c r="E61"/>
      <c r="F61"/>
    </row>
    <row r="62" spans="1:6">
      <c r="A62"/>
      <c r="B62"/>
      <c r="C62"/>
      <c r="D62"/>
      <c r="E62"/>
      <c r="F62"/>
    </row>
    <row r="63" spans="1:6">
      <c r="A63"/>
      <c r="B63"/>
      <c r="C63"/>
      <c r="D63"/>
      <c r="E63"/>
      <c r="F63"/>
    </row>
    <row r="64" spans="1:6">
      <c r="A64"/>
      <c r="B64"/>
      <c r="C64"/>
      <c r="D64"/>
      <c r="E64"/>
      <c r="F64"/>
    </row>
    <row r="65" spans="1:6">
      <c r="A65" t="s">
        <v>5616</v>
      </c>
      <c r="B65" t="s">
        <v>5617</v>
      </c>
      <c r="C65"/>
      <c r="D65"/>
      <c r="E65"/>
      <c r="F65"/>
    </row>
    <row r="66" spans="1:6">
      <c r="A66"/>
      <c r="B66"/>
      <c r="C66"/>
      <c r="D66"/>
      <c r="E66"/>
      <c r="F66"/>
    </row>
    <row r="67" spans="1:6">
      <c r="A67" t="s">
        <v>5618</v>
      </c>
      <c r="B67"/>
      <c r="C67"/>
      <c r="D67"/>
      <c r="E67"/>
      <c r="F67"/>
    </row>
    <row r="68" spans="1:6" ht="18.75">
      <c r="A68" t="s">
        <v>5619</v>
      </c>
      <c r="B68"/>
      <c r="C68" t="s">
        <v>5620</v>
      </c>
      <c r="D68"/>
      <c r="E68"/>
      <c r="F68"/>
    </row>
    <row r="69" spans="1:6" ht="18.75">
      <c r="A69"/>
      <c r="B69"/>
      <c r="C69" t="s">
        <v>5621</v>
      </c>
      <c r="D69"/>
      <c r="E69"/>
      <c r="F69"/>
    </row>
    <row r="70" spans="1:6">
      <c r="A70"/>
      <c r="B70"/>
      <c r="C70" t="s">
        <v>5622</v>
      </c>
      <c r="D70"/>
      <c r="E70"/>
      <c r="F70"/>
    </row>
    <row r="71" spans="1:6">
      <c r="A71"/>
      <c r="B71"/>
      <c r="C71"/>
      <c r="D71"/>
      <c r="E71"/>
      <c r="F71"/>
    </row>
    <row r="72" spans="1:6">
      <c r="A72"/>
      <c r="B72"/>
      <c r="C72"/>
      <c r="D72"/>
      <c r="E72"/>
      <c r="F72"/>
    </row>
    <row r="73" spans="1:6" ht="18.75">
      <c r="A73" t="s">
        <v>5623</v>
      </c>
      <c r="B73"/>
      <c r="C73" t="s">
        <v>5624</v>
      </c>
      <c r="D73"/>
      <c r="E73"/>
      <c r="F73"/>
    </row>
    <row r="74" spans="1:6">
      <c r="A74"/>
      <c r="B74"/>
      <c r="C74" t="s">
        <v>5625</v>
      </c>
      <c r="D74"/>
      <c r="E74"/>
      <c r="F74"/>
    </row>
    <row r="75" spans="1:6">
      <c r="A75"/>
      <c r="B75"/>
      <c r="C75"/>
      <c r="D75"/>
      <c r="E75"/>
      <c r="F75"/>
    </row>
    <row r="76" spans="1:6">
      <c r="A76"/>
      <c r="B76"/>
      <c r="C76"/>
      <c r="D76"/>
      <c r="E76"/>
      <c r="F76"/>
    </row>
    <row r="77" spans="1:6">
      <c r="A77"/>
      <c r="B77"/>
      <c r="C77"/>
      <c r="D77"/>
      <c r="E77"/>
      <c r="F77"/>
    </row>
    <row r="78" spans="1:6">
      <c r="A78"/>
      <c r="B78"/>
      <c r="C78"/>
      <c r="D78"/>
      <c r="E78"/>
      <c r="F78"/>
    </row>
    <row r="79" spans="1:6">
      <c r="A79"/>
      <c r="B79"/>
      <c r="C79"/>
      <c r="D79"/>
      <c r="E79"/>
      <c r="F79"/>
    </row>
    <row r="80" spans="1:6">
      <c r="A80" t="s">
        <v>5626</v>
      </c>
      <c r="B80"/>
      <c r="C80"/>
      <c r="D80"/>
      <c r="E80"/>
      <c r="F80"/>
    </row>
    <row r="81" spans="1:6">
      <c r="A81"/>
      <c r="B81"/>
      <c r="C81" t="s">
        <v>5627</v>
      </c>
      <c r="D81"/>
      <c r="E81"/>
      <c r="F81"/>
    </row>
    <row r="82" spans="1:6">
      <c r="A82"/>
      <c r="B82"/>
      <c r="C82" t="s">
        <v>5628</v>
      </c>
      <c r="D82"/>
      <c r="E82"/>
      <c r="F82"/>
    </row>
    <row r="83" spans="1:6">
      <c r="A83"/>
      <c r="B83"/>
      <c r="C83" t="s">
        <v>5629</v>
      </c>
      <c r="D83"/>
      <c r="E83"/>
      <c r="F83"/>
    </row>
    <row r="84" spans="1:6">
      <c r="A84"/>
      <c r="B84"/>
      <c r="C84" t="s">
        <v>5630</v>
      </c>
      <c r="D84"/>
      <c r="E84"/>
      <c r="F84"/>
    </row>
    <row r="85" spans="1:6">
      <c r="A85"/>
      <c r="B85"/>
      <c r="C85" t="s">
        <v>5631</v>
      </c>
      <c r="D85"/>
      <c r="E85"/>
      <c r="F85"/>
    </row>
    <row r="86" spans="1:6">
      <c r="A86"/>
      <c r="B86"/>
      <c r="C86"/>
      <c r="D86"/>
      <c r="E86"/>
      <c r="F86"/>
    </row>
    <row r="87" spans="1:6">
      <c r="A87" t="s">
        <v>5632</v>
      </c>
      <c r="B87"/>
      <c r="C87"/>
      <c r="D87"/>
      <c r="E87"/>
      <c r="F87"/>
    </row>
    <row r="88" spans="1:6">
      <c r="A88"/>
      <c r="B88"/>
      <c r="C88"/>
      <c r="D88"/>
      <c r="E88"/>
      <c r="F88"/>
    </row>
    <row r="89" spans="1:6">
      <c r="A89"/>
      <c r="B89"/>
      <c r="C89" t="s">
        <v>5633</v>
      </c>
      <c r="D89"/>
      <c r="E89"/>
      <c r="F89"/>
    </row>
    <row r="90" spans="1:6">
      <c r="A90"/>
      <c r="B90"/>
      <c r="C90"/>
      <c r="D90"/>
      <c r="E90"/>
      <c r="F90"/>
    </row>
    <row r="91" spans="1:6">
      <c r="A91"/>
      <c r="B91"/>
      <c r="C91"/>
      <c r="D91"/>
      <c r="E91"/>
      <c r="F91"/>
    </row>
    <row r="92" spans="1:6">
      <c r="A92"/>
      <c r="B92"/>
      <c r="C92"/>
      <c r="D92"/>
      <c r="E92"/>
      <c r="F92"/>
    </row>
    <row r="93" spans="1:6" ht="18.75">
      <c r="A93"/>
      <c r="B93"/>
      <c r="C93" t="s">
        <v>5634</v>
      </c>
      <c r="D93" t="s">
        <v>5598</v>
      </c>
      <c r="E93" t="s">
        <v>5635</v>
      </c>
      <c r="F93"/>
    </row>
    <row r="94" spans="1:6">
      <c r="A94" t="s">
        <v>5595</v>
      </c>
      <c r="B94"/>
      <c r="C94" t="s">
        <v>5636</v>
      </c>
      <c r="D94" t="s">
        <v>5637</v>
      </c>
      <c r="E94" t="s">
        <v>5638</v>
      </c>
      <c r="F94"/>
    </row>
    <row r="95" spans="1:6" ht="15.75">
      <c r="A95"/>
      <c r="B95"/>
      <c r="C95" t="s">
        <v>5639</v>
      </c>
      <c r="D95" t="s">
        <v>5640</v>
      </c>
      <c r="E95">
        <v>0.82</v>
      </c>
      <c r="F95"/>
    </row>
    <row r="96" spans="1:6">
      <c r="A96"/>
      <c r="B96"/>
      <c r="C96"/>
      <c r="D96"/>
      <c r="E96"/>
      <c r="F96"/>
    </row>
    <row r="97" spans="1:6">
      <c r="A97"/>
      <c r="B97"/>
      <c r="C97"/>
      <c r="D97"/>
      <c r="E97"/>
      <c r="F97"/>
    </row>
    <row r="98" spans="1:6">
      <c r="A98" t="s">
        <v>5600</v>
      </c>
      <c r="B98"/>
      <c r="C98"/>
      <c r="D98"/>
      <c r="E98"/>
      <c r="F98"/>
    </row>
    <row r="99" spans="1:6">
      <c r="A99"/>
      <c r="B99"/>
      <c r="C99"/>
      <c r="D99"/>
      <c r="E99"/>
      <c r="F99"/>
    </row>
    <row r="100" spans="1:6">
      <c r="A100"/>
      <c r="B100"/>
      <c r="C100"/>
      <c r="D100"/>
      <c r="E100"/>
      <c r="F100"/>
    </row>
    <row r="101" spans="1:6">
      <c r="A101"/>
      <c r="B101"/>
      <c r="C101"/>
      <c r="D101"/>
      <c r="E101"/>
      <c r="F101"/>
    </row>
    <row r="102" spans="1:6">
      <c r="A102" t="s">
        <v>5602</v>
      </c>
      <c r="B102"/>
      <c r="C102"/>
      <c r="D102" t="s">
        <v>5641</v>
      </c>
      <c r="E102"/>
      <c r="F102"/>
    </row>
    <row r="103" spans="1:6">
      <c r="A103"/>
      <c r="B103"/>
      <c r="C103"/>
      <c r="D103" t="s">
        <v>5642</v>
      </c>
      <c r="E103"/>
      <c r="F103"/>
    </row>
    <row r="104" spans="1:6">
      <c r="A104"/>
      <c r="B104"/>
      <c r="C104"/>
      <c r="D104" t="s">
        <v>5643</v>
      </c>
      <c r="E104"/>
      <c r="F104"/>
    </row>
    <row r="105" spans="1:6">
      <c r="A105"/>
      <c r="B105"/>
      <c r="C105"/>
      <c r="D105"/>
      <c r="E105"/>
      <c r="F105"/>
    </row>
    <row r="106" spans="1:6">
      <c r="A106"/>
      <c r="B106" t="s">
        <v>5644</v>
      </c>
      <c r="C106"/>
      <c r="D106"/>
      <c r="E106"/>
      <c r="F106"/>
    </row>
    <row r="107" spans="1:6">
      <c r="A107"/>
      <c r="B107"/>
      <c r="C107"/>
      <c r="D107"/>
      <c r="E107"/>
      <c r="F107"/>
    </row>
    <row r="108" spans="1:6">
      <c r="A108"/>
      <c r="B108"/>
      <c r="C108"/>
      <c r="D108"/>
      <c r="E108"/>
      <c r="F108"/>
    </row>
    <row r="109" spans="1:6">
      <c r="A109" t="s">
        <v>5607</v>
      </c>
      <c r="B109"/>
      <c r="C109"/>
      <c r="D109" t="s">
        <v>5645</v>
      </c>
      <c r="E109"/>
      <c r="F109"/>
    </row>
    <row r="110" spans="1:6">
      <c r="A110"/>
      <c r="B110"/>
      <c r="C110"/>
      <c r="D110"/>
      <c r="E110"/>
      <c r="F110"/>
    </row>
    <row r="111" spans="1:6">
      <c r="A111"/>
      <c r="B111"/>
      <c r="C111"/>
      <c r="D111"/>
      <c r="E111"/>
      <c r="F111"/>
    </row>
    <row r="112" spans="1:6">
      <c r="A112"/>
      <c r="B112"/>
      <c r="C112"/>
      <c r="D112"/>
      <c r="E112"/>
      <c r="F112"/>
    </row>
    <row r="113" spans="1:6">
      <c r="A113"/>
      <c r="B113"/>
      <c r="C113"/>
      <c r="D113"/>
      <c r="E113"/>
      <c r="F113"/>
    </row>
    <row r="114" spans="1:6">
      <c r="A114"/>
      <c r="B114"/>
      <c r="C114"/>
      <c r="D114"/>
      <c r="E114"/>
      <c r="F114"/>
    </row>
    <row r="115" spans="1:6">
      <c r="A115" t="s">
        <v>5611</v>
      </c>
      <c r="B115"/>
      <c r="C115"/>
      <c r="D115" t="s">
        <v>5646</v>
      </c>
      <c r="E115"/>
      <c r="F115"/>
    </row>
    <row r="116" spans="1:6">
      <c r="A116"/>
      <c r="B116"/>
      <c r="C116"/>
      <c r="D116" t="s">
        <v>5647</v>
      </c>
      <c r="E116"/>
      <c r="F116"/>
    </row>
    <row r="117" spans="1:6">
      <c r="A117"/>
      <c r="B117"/>
      <c r="C117"/>
      <c r="D117"/>
      <c r="E117"/>
      <c r="F117"/>
    </row>
    <row r="118" spans="1:6">
      <c r="A118"/>
      <c r="B118"/>
      <c r="C118"/>
      <c r="D118"/>
      <c r="E118"/>
      <c r="F118"/>
    </row>
  </sheetData>
  <sheetProtection formatCells="0" formatColumns="0" formatRows="0" insertColumns="0" insertRows="0" insertHyperlinks="0" deleteColumns="0" deleteRows="0" sort="0" autoFilter="0"/>
  <phoneticPr fontId="214" type="noConversion"/>
  <pageMargins left="0.75" right="0.75" top="1" bottom="1" header="0.5" footer="0.5"/>
  <pageSetup paperSize="9" orientation="portrait" horizontalDpi="1200" verticalDpi="1200"/>
  <headerFooter scaleWithDoc="0" alignWithMargins="0"/>
  <drawing r:id="rId1"/>
  <legacyDrawing r:id="rId2"/>
  <oleObjects>
    <mc:AlternateContent xmlns:mc="http://schemas.openxmlformats.org/markup-compatibility/2006">
      <mc:Choice Requires="x14">
        <oleObject progId="Equation.3" shapeId="1257473" r:id="rId3">
          <objectPr defaultSize="0" altText="" r:id="rId4">
            <anchor moveWithCells="1">
              <from>
                <xdr:col>0</xdr:col>
                <xdr:colOff>0</xdr:colOff>
                <xdr:row>54</xdr:row>
                <xdr:rowOff>95250</xdr:rowOff>
              </from>
              <to>
                <xdr:col>1</xdr:col>
                <xdr:colOff>733425</xdr:colOff>
                <xdr:row>57</xdr:row>
                <xdr:rowOff>152400</xdr:rowOff>
              </to>
            </anchor>
          </objectPr>
        </oleObject>
      </mc:Choice>
      <mc:Fallback>
        <oleObject progId="Equation.3" shapeId="1257473" r:id="rId3"/>
      </mc:Fallback>
    </mc:AlternateContent>
    <mc:AlternateContent xmlns:mc="http://schemas.openxmlformats.org/markup-compatibility/2006">
      <mc:Choice Requires="x14">
        <oleObject progId="Equation.3" shapeId="1257474" r:id="rId5">
          <objectPr defaultSize="0" altText="" r:id="rId6">
            <anchor moveWithCells="1">
              <from>
                <xdr:col>0</xdr:col>
                <xdr:colOff>0</xdr:colOff>
                <xdr:row>59</xdr:row>
                <xdr:rowOff>57150</xdr:rowOff>
              </from>
              <to>
                <xdr:col>1</xdr:col>
                <xdr:colOff>1114425</xdr:colOff>
                <xdr:row>62</xdr:row>
                <xdr:rowOff>114300</xdr:rowOff>
              </to>
            </anchor>
          </objectPr>
        </oleObject>
      </mc:Choice>
      <mc:Fallback>
        <oleObject progId="Equation.3" shapeId="1257474" r:id="rId5"/>
      </mc:Fallback>
    </mc:AlternateContent>
    <mc:AlternateContent xmlns:mc="http://schemas.openxmlformats.org/markup-compatibility/2006">
      <mc:Choice Requires="x14">
        <oleObject progId="AutoCAD.Drawing.16" shapeId="1257475" r:id="rId7">
          <objectPr defaultSize="0" altText="" r:id="rId8">
            <anchor moveWithCells="1">
              <from>
                <xdr:col>3</xdr:col>
                <xdr:colOff>390525</xdr:colOff>
                <xdr:row>62</xdr:row>
                <xdr:rowOff>76200</xdr:rowOff>
              </from>
              <to>
                <xdr:col>5</xdr:col>
                <xdr:colOff>419100</xdr:colOff>
                <xdr:row>74</xdr:row>
                <xdr:rowOff>114300</xdr:rowOff>
              </to>
            </anchor>
          </objectPr>
        </oleObject>
      </mc:Choice>
      <mc:Fallback>
        <oleObject progId="AutoCAD.Drawing.16" shapeId="1257475" r:id="rId7"/>
      </mc:Fallback>
    </mc:AlternateContent>
    <mc:AlternateContent xmlns:mc="http://schemas.openxmlformats.org/markup-compatibility/2006">
      <mc:Choice Requires="x14">
        <oleObject progId="Equation.3" shapeId="1257476" r:id="rId9">
          <objectPr defaultSize="0" altText="" r:id="rId10">
            <anchor moveWithCells="1">
              <from>
                <xdr:col>0</xdr:col>
                <xdr:colOff>0</xdr:colOff>
                <xdr:row>87</xdr:row>
                <xdr:rowOff>19050</xdr:rowOff>
              </from>
              <to>
                <xdr:col>0</xdr:col>
                <xdr:colOff>1257300</xdr:colOff>
                <xdr:row>89</xdr:row>
                <xdr:rowOff>114300</xdr:rowOff>
              </to>
            </anchor>
          </objectPr>
        </oleObject>
      </mc:Choice>
      <mc:Fallback>
        <oleObject progId="Equation.3" shapeId="1257476" r:id="rId9"/>
      </mc:Fallback>
    </mc:AlternateContent>
    <mc:AlternateContent xmlns:mc="http://schemas.openxmlformats.org/markup-compatibility/2006">
      <mc:Choice Requires="x14">
        <oleObject progId="AutoCAD.Drawing.16" shapeId="1257477" r:id="rId11">
          <objectPr defaultSize="0" altText="" r:id="rId12">
            <anchor moveWithCells="1">
              <from>
                <xdr:col>3</xdr:col>
                <xdr:colOff>85725</xdr:colOff>
                <xdr:row>77</xdr:row>
                <xdr:rowOff>57150</xdr:rowOff>
              </from>
              <to>
                <xdr:col>5</xdr:col>
                <xdr:colOff>19050</xdr:colOff>
                <xdr:row>86</xdr:row>
                <xdr:rowOff>9525</xdr:rowOff>
              </to>
            </anchor>
          </objectPr>
        </oleObject>
      </mc:Choice>
      <mc:Fallback>
        <oleObject progId="AutoCAD.Drawing.16" shapeId="1257477" r:id="rId11"/>
      </mc:Fallback>
    </mc:AlternateContent>
    <mc:AlternateContent xmlns:mc="http://schemas.openxmlformats.org/markup-compatibility/2006">
      <mc:Choice Requires="x14">
        <oleObject progId="Equation.3" shapeId="1257478" r:id="rId13">
          <objectPr defaultSize="0" altText="" r:id="rId14">
            <anchor moveWithCells="1">
              <from>
                <xdr:col>0</xdr:col>
                <xdr:colOff>38100</xdr:colOff>
                <xdr:row>80</xdr:row>
                <xdr:rowOff>76200</xdr:rowOff>
              </from>
              <to>
                <xdr:col>0</xdr:col>
                <xdr:colOff>1276350</xdr:colOff>
                <xdr:row>82</xdr:row>
                <xdr:rowOff>161925</xdr:rowOff>
              </to>
            </anchor>
          </objectPr>
        </oleObject>
      </mc:Choice>
      <mc:Fallback>
        <oleObject progId="Equation.3" shapeId="1257478" r:id="rId13"/>
      </mc:Fallback>
    </mc:AlternateContent>
    <mc:AlternateContent xmlns:mc="http://schemas.openxmlformats.org/markup-compatibility/2006">
      <mc:Choice Requires="x14">
        <oleObject progId="Equation.3" shapeId="1257479" r:id="rId15">
          <objectPr defaultSize="0" altText="" r:id="rId16">
            <anchor moveWithCells="1">
              <from>
                <xdr:col>1</xdr:col>
                <xdr:colOff>19050</xdr:colOff>
                <xdr:row>92</xdr:row>
                <xdr:rowOff>76200</xdr:rowOff>
              </from>
              <to>
                <xdr:col>1</xdr:col>
                <xdr:colOff>1266825</xdr:colOff>
                <xdr:row>95</xdr:row>
                <xdr:rowOff>47625</xdr:rowOff>
              </to>
            </anchor>
          </objectPr>
        </oleObject>
      </mc:Choice>
      <mc:Fallback>
        <oleObject progId="Equation.3" shapeId="1257479" r:id="rId15"/>
      </mc:Fallback>
    </mc:AlternateContent>
    <mc:AlternateContent xmlns:mc="http://schemas.openxmlformats.org/markup-compatibility/2006">
      <mc:Choice Requires="x14">
        <oleObject progId="Equation.3" shapeId="1257480" r:id="rId17">
          <objectPr defaultSize="0" altText="" r:id="rId18">
            <anchor moveWithCells="1">
              <from>
                <xdr:col>1</xdr:col>
                <xdr:colOff>38100</xdr:colOff>
                <xdr:row>96</xdr:row>
                <xdr:rowOff>47625</xdr:rowOff>
              </from>
              <to>
                <xdr:col>2</xdr:col>
                <xdr:colOff>1123950</xdr:colOff>
                <xdr:row>99</xdr:row>
                <xdr:rowOff>95250</xdr:rowOff>
              </to>
            </anchor>
          </objectPr>
        </oleObject>
      </mc:Choice>
      <mc:Fallback>
        <oleObject progId="Equation.3" shapeId="1257480" r:id="rId17"/>
      </mc:Fallback>
    </mc:AlternateContent>
    <mc:AlternateContent xmlns:mc="http://schemas.openxmlformats.org/markup-compatibility/2006">
      <mc:Choice Requires="x14">
        <oleObject progId="Equation.3" shapeId="1257481" r:id="rId19">
          <objectPr defaultSize="0" altText="" r:id="rId20">
            <anchor moveWithCells="1">
              <from>
                <xdr:col>0</xdr:col>
                <xdr:colOff>1181100</xdr:colOff>
                <xdr:row>100</xdr:row>
                <xdr:rowOff>133350</xdr:rowOff>
              </from>
              <to>
                <xdr:col>2</xdr:col>
                <xdr:colOff>1419225</xdr:colOff>
                <xdr:row>103</xdr:row>
                <xdr:rowOff>161925</xdr:rowOff>
              </to>
            </anchor>
          </objectPr>
        </oleObject>
      </mc:Choice>
      <mc:Fallback>
        <oleObject progId="Equation.3" shapeId="1257481" r:id="rId19"/>
      </mc:Fallback>
    </mc:AlternateContent>
    <mc:AlternateContent xmlns:mc="http://schemas.openxmlformats.org/markup-compatibility/2006">
      <mc:Choice Requires="x14">
        <oleObject progId="Equation.3" shapeId="1257482" r:id="rId21">
          <objectPr defaultSize="0" altText="" r:id="rId22">
            <anchor moveWithCells="1">
              <from>
                <xdr:col>1</xdr:col>
                <xdr:colOff>47625</xdr:colOff>
                <xdr:row>108</xdr:row>
                <xdr:rowOff>47625</xdr:rowOff>
              </from>
              <to>
                <xdr:col>3</xdr:col>
                <xdr:colOff>171450</xdr:colOff>
                <xdr:row>111</xdr:row>
                <xdr:rowOff>76200</xdr:rowOff>
              </to>
            </anchor>
          </objectPr>
        </oleObject>
      </mc:Choice>
      <mc:Fallback>
        <oleObject progId="Equation.3" shapeId="1257482" r:id="rId21"/>
      </mc:Fallback>
    </mc:AlternateContent>
    <mc:AlternateContent xmlns:mc="http://schemas.openxmlformats.org/markup-compatibility/2006">
      <mc:Choice Requires="x14">
        <oleObject progId="Equation.3" shapeId="1257483" r:id="rId23">
          <objectPr defaultSize="0" altText="" r:id="rId24">
            <anchor moveWithCells="1">
              <from>
                <xdr:col>1</xdr:col>
                <xdr:colOff>47625</xdr:colOff>
                <xdr:row>114</xdr:row>
                <xdr:rowOff>9525</xdr:rowOff>
              </from>
              <to>
                <xdr:col>2</xdr:col>
                <xdr:colOff>1228725</xdr:colOff>
                <xdr:row>117</xdr:row>
                <xdr:rowOff>19050</xdr:rowOff>
              </to>
            </anchor>
          </objectPr>
        </oleObject>
      </mc:Choice>
      <mc:Fallback>
        <oleObject progId="Equation.3" shapeId="1257483" r:id="rId23"/>
      </mc:Fallback>
    </mc:AlternateContent>
  </oleObjec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J62"/>
  <sheetViews>
    <sheetView workbookViewId="0">
      <selection activeCell="K9" activeCellId="1" sqref="J1 K9"/>
    </sheetView>
  </sheetViews>
  <sheetFormatPr defaultColWidth="8.75" defaultRowHeight="14.25"/>
  <cols>
    <col min="1" max="1" width="18.375" style="2679"/>
    <col min="2" max="2" width="12.75" style="2679"/>
    <col min="3" max="3" width="26.875" style="2679" customWidth="1"/>
    <col min="4" max="4" width="10.5" style="2679" customWidth="1"/>
    <col min="5" max="5" width="7.5" style="2679" customWidth="1"/>
    <col min="6" max="7" width="13.875" style="2679"/>
    <col min="8" max="8" width="11.625" style="2679"/>
    <col min="9" max="16384" width="8.75" style="2679"/>
  </cols>
  <sheetData>
    <row r="1" spans="1:10">
      <c r="A1" t="s">
        <v>180</v>
      </c>
      <c r="B1"/>
      <c r="C1"/>
      <c r="F1"/>
      <c r="G1"/>
      <c r="H1"/>
    </row>
    <row r="2" spans="1:10">
      <c r="A2" s="2688" t="s">
        <v>5648</v>
      </c>
      <c r="B2" s="2688" t="s">
        <v>5649</v>
      </c>
      <c r="C2" s="2688" t="s">
        <v>5650</v>
      </c>
      <c r="F2"/>
      <c r="G2"/>
      <c r="H2"/>
    </row>
    <row r="3" spans="1:10">
      <c r="A3" s="2686">
        <v>1</v>
      </c>
      <c r="B3" s="2687">
        <v>0.183</v>
      </c>
      <c r="C3" s="2687">
        <v>2</v>
      </c>
      <c r="F3"/>
      <c r="G3"/>
      <c r="H3"/>
    </row>
    <row r="4" spans="1:10">
      <c r="A4" s="2686">
        <v>2</v>
      </c>
      <c r="B4" s="2687">
        <v>0.6</v>
      </c>
      <c r="C4" s="2687">
        <v>2</v>
      </c>
      <c r="F4"/>
      <c r="G4"/>
      <c r="H4"/>
    </row>
    <row r="5" spans="1:10">
      <c r="A5" s="2686">
        <v>3</v>
      </c>
      <c r="B5" s="2687">
        <v>0.317</v>
      </c>
      <c r="C5" s="2687">
        <v>2</v>
      </c>
      <c r="F5"/>
      <c r="G5"/>
      <c r="H5"/>
    </row>
    <row r="6" spans="1:10">
      <c r="A6" s="2686">
        <v>4</v>
      </c>
      <c r="B6" s="2687">
        <v>0.25</v>
      </c>
      <c r="C6" s="2687">
        <v>2</v>
      </c>
      <c r="F6"/>
      <c r="G6"/>
      <c r="H6"/>
    </row>
    <row r="7" spans="1:10">
      <c r="A7" s="2686">
        <v>5</v>
      </c>
      <c r="B7" s="2687">
        <v>0.95</v>
      </c>
      <c r="C7" s="2687">
        <v>2</v>
      </c>
      <c r="F7"/>
      <c r="G7"/>
      <c r="H7"/>
    </row>
    <row r="8" spans="1:10">
      <c r="A8"/>
      <c r="B8"/>
      <c r="C8"/>
      <c r="F8"/>
      <c r="G8"/>
      <c r="H8"/>
    </row>
    <row r="9" spans="1:10">
      <c r="A9" s="2688" t="s">
        <v>5651</v>
      </c>
      <c r="B9">
        <f>(B3*C3+B4*C4+B5*C5+B6*C6+B7*C7)/(C3+C4+C5+C6+C7)</f>
        <v>0.46</v>
      </c>
      <c r="C9"/>
    </row>
    <row r="10" spans="1:10">
      <c r="A10" s="2688" t="s">
        <v>5652</v>
      </c>
      <c r="B10">
        <f>0.5*(ABS(B9-B3)*C3+ABS(B9-B4)*C4+ABS(B9-B5)*C5+ABS(B9-B6)*C6+ABS(B9-B7)*C7)</f>
        <v>1.26</v>
      </c>
      <c r="C10"/>
    </row>
    <row r="12" spans="1:10">
      <c r="A12" s="2691" t="s">
        <v>5653</v>
      </c>
      <c r="B12" s="2687">
        <v>10</v>
      </c>
      <c r="C12" s="2691" t="s">
        <v>5654</v>
      </c>
      <c r="D12" s="2687">
        <v>0.85</v>
      </c>
      <c r="F12" s="2688"/>
      <c r="G12" s="2688" t="s">
        <v>5655</v>
      </c>
      <c r="H12" s="2688" t="s">
        <v>5656</v>
      </c>
      <c r="I12" s="2688" t="s">
        <v>5657</v>
      </c>
      <c r="J12" s="2688" t="s">
        <v>5658</v>
      </c>
    </row>
    <row r="13" spans="1:10" ht="15.75">
      <c r="A13" s="2691" t="s">
        <v>5574</v>
      </c>
      <c r="B13" s="2687">
        <v>140</v>
      </c>
      <c r="C13" s="2691" t="s">
        <v>5659</v>
      </c>
      <c r="D13" s="2687">
        <v>1</v>
      </c>
      <c r="F13" s="2688" t="s">
        <v>5654</v>
      </c>
      <c r="G13" s="2688" t="s">
        <v>5660</v>
      </c>
      <c r="H13" s="2688" t="s">
        <v>5661</v>
      </c>
      <c r="I13" s="2688" t="s">
        <v>5662</v>
      </c>
      <c r="J13" s="2688">
        <v>0.8</v>
      </c>
    </row>
    <row r="14" spans="1:10">
      <c r="A14" s="2691" t="s">
        <v>5663</v>
      </c>
      <c r="B14" s="2687">
        <v>100</v>
      </c>
      <c r="C14" s="2691"/>
      <c r="D14" s="2691"/>
      <c r="E14" s="2678"/>
    </row>
    <row r="15" spans="1:10" ht="18.75">
      <c r="A15" s="2691"/>
      <c r="B15" s="2691"/>
      <c r="C15" s="2691"/>
      <c r="D15" s="2691"/>
      <c r="F15" s="2688" t="s">
        <v>5664</v>
      </c>
      <c r="G15" s="2688" t="s">
        <v>5665</v>
      </c>
    </row>
    <row r="16" spans="1:10" ht="18.75">
      <c r="A16" s="2691" t="s">
        <v>5666</v>
      </c>
      <c r="B16">
        <f>B14*D12</f>
        <v>85</v>
      </c>
      <c r="C16" s="2691"/>
      <c r="D16" s="2691"/>
      <c r="F16" s="2688" t="s">
        <v>5667</v>
      </c>
      <c r="G16" s="2688" t="s">
        <v>5665</v>
      </c>
    </row>
    <row r="17" spans="1:8">
      <c r="A17" s="2691" t="s">
        <v>5668</v>
      </c>
      <c r="B17">
        <f>B12/(B16^(1/D13)*((1/B14)^(1/D13)-(1/B13)^(1/D13)))</f>
        <v>41.176470588235297</v>
      </c>
      <c r="C17" s="2691"/>
      <c r="D17" s="2691"/>
    </row>
    <row r="18" spans="1:8">
      <c r="F18" s="2688"/>
      <c r="G18" s="2688" t="s">
        <v>5669</v>
      </c>
      <c r="H18" s="2688" t="s">
        <v>5670</v>
      </c>
    </row>
    <row r="19" spans="1:8" ht="15.75">
      <c r="A19" t="s">
        <v>5671</v>
      </c>
      <c r="B19"/>
      <c r="C19" s="2688"/>
      <c r="D19" s="2688"/>
      <c r="F19" s="2688" t="s">
        <v>5659</v>
      </c>
      <c r="G19" s="2688">
        <v>1.4</v>
      </c>
      <c r="H19" s="2688">
        <v>1</v>
      </c>
    </row>
    <row r="20" spans="1:8">
      <c r="A20" s="2688" t="s">
        <v>5672</v>
      </c>
      <c r="B20" s="2687">
        <v>30</v>
      </c>
      <c r="C20" s="2688" t="s">
        <v>5666</v>
      </c>
      <c r="D20" s="2686">
        <f>D22</f>
        <v>270</v>
      </c>
      <c r="E20"/>
    </row>
    <row r="21" spans="1:8">
      <c r="A21" s="2688" t="s">
        <v>5673</v>
      </c>
      <c r="B21" s="2687">
        <v>40</v>
      </c>
      <c r="C21" s="2688" t="s">
        <v>5674</v>
      </c>
      <c r="D21" s="2687">
        <v>300</v>
      </c>
    </row>
    <row r="22" spans="1:8">
      <c r="A22" s="2688" t="s">
        <v>5675</v>
      </c>
      <c r="B22" s="2687">
        <v>0.05</v>
      </c>
      <c r="C22" s="2688" t="s">
        <v>5663</v>
      </c>
      <c r="D22" s="2687">
        <v>270</v>
      </c>
    </row>
    <row r="23" spans="1:8">
      <c r="A23" s="2688" t="s">
        <v>5575</v>
      </c>
      <c r="B23" s="2687">
        <v>250</v>
      </c>
      <c r="C23" s="2688"/>
      <c r="D23" s="2688"/>
    </row>
    <row r="24" spans="1:8">
      <c r="A24" s="2688"/>
      <c r="B24" s="2688"/>
      <c r="C24" s="2688"/>
      <c r="D24" s="2688"/>
    </row>
    <row r="25" spans="1:8">
      <c r="A25" s="2688" t="s">
        <v>5676</v>
      </c>
      <c r="B25">
        <f>0.2*900*B21*B23^2/(3.14159*B20^2/400*D20)*(1/((D21/D20)^0.285-1))/100000</f>
        <v>77.349448169041807</v>
      </c>
      <c r="C25" s="2688"/>
      <c r="D25" s="2688"/>
    </row>
    <row r="26" spans="1:8">
      <c r="A26" s="2688" t="s">
        <v>5677</v>
      </c>
      <c r="B26">
        <f>4*B23*D21*(0.0164*B21-B22)/(D21-D22)/1000</f>
        <v>6.06</v>
      </c>
      <c r="C26" s="2688"/>
      <c r="D26" s="2688"/>
    </row>
    <row r="28" spans="1:8">
      <c r="A28" t="s">
        <v>5678</v>
      </c>
    </row>
    <row r="29" spans="1:8" ht="15.75">
      <c r="A29" s="2691" t="s">
        <v>5679</v>
      </c>
      <c r="B29" s="2687">
        <v>300</v>
      </c>
      <c r="C29" s="2691" t="s">
        <v>5680</v>
      </c>
      <c r="D29" s="2687">
        <v>100</v>
      </c>
      <c r="F29" s="2688" t="s">
        <v>434</v>
      </c>
      <c r="G29" s="2688" t="s">
        <v>5681</v>
      </c>
    </row>
    <row r="30" spans="1:8" ht="15.75">
      <c r="A30" s="2691" t="s">
        <v>5682</v>
      </c>
      <c r="B30" s="2687">
        <v>0.01</v>
      </c>
      <c r="C30" s="2691" t="s">
        <v>5683</v>
      </c>
      <c r="D30" s="2687">
        <v>10</v>
      </c>
      <c r="F30" s="2688" t="s">
        <v>5684</v>
      </c>
      <c r="G30" s="2686">
        <v>1670</v>
      </c>
    </row>
    <row r="31" spans="1:8" ht="15.75">
      <c r="A31" s="2691" t="s">
        <v>5685</v>
      </c>
      <c r="B31" s="2687">
        <v>0</v>
      </c>
      <c r="C31" s="2691" t="s">
        <v>5686</v>
      </c>
      <c r="D31" s="2687">
        <v>20</v>
      </c>
      <c r="F31" s="2688" t="s">
        <v>426</v>
      </c>
      <c r="G31" s="2686">
        <v>210000</v>
      </c>
    </row>
    <row r="32" spans="1:8" ht="15.75">
      <c r="A32" s="2691" t="s">
        <v>5687</v>
      </c>
      <c r="B32" s="2687">
        <v>1670</v>
      </c>
      <c r="C32" s="2691" t="s">
        <v>5688</v>
      </c>
      <c r="D32" s="2687">
        <v>210000</v>
      </c>
      <c r="F32" s="2688" t="s">
        <v>5689</v>
      </c>
      <c r="G32" s="2686">
        <v>120000</v>
      </c>
    </row>
    <row r="33" spans="1:7">
      <c r="A33" s="2691"/>
      <c r="B33"/>
      <c r="C33" s="2691"/>
      <c r="D33"/>
      <c r="F33" s="2688" t="s">
        <v>5690</v>
      </c>
      <c r="G33" s="2686">
        <v>100000</v>
      </c>
    </row>
    <row r="34" spans="1:7" ht="15.75">
      <c r="A34" s="2691" t="s">
        <v>5691</v>
      </c>
      <c r="B34">
        <f>1000*(B32/900)^0.5/(1+B32*D29/D32/D30)^0.5</f>
        <v>1311.05487025251</v>
      </c>
      <c r="C34" s="2691" t="s">
        <v>5692</v>
      </c>
      <c r="D34">
        <f>B34*900*(B36-B37)/100000</f>
        <v>7.5117974224978896</v>
      </c>
      <c r="F34" s="2688" t="s">
        <v>5693</v>
      </c>
      <c r="G34" s="2686" t="s">
        <v>5694</v>
      </c>
    </row>
    <row r="35" spans="1:7" ht="15.75">
      <c r="A35" s="2691" t="s">
        <v>5695</v>
      </c>
      <c r="B35">
        <f>2*D31/B34</f>
        <v>3.0509783310820601E-2</v>
      </c>
      <c r="C35" s="2691" t="s">
        <v>5696</v>
      </c>
      <c r="D35">
        <f>B34*900*(B36-B37)*B35/B30/100000</f>
        <v>22.918331163519099</v>
      </c>
      <c r="F35" s="2688" t="s">
        <v>5697</v>
      </c>
      <c r="G35">
        <v>72000</v>
      </c>
    </row>
    <row r="36" spans="1:7">
      <c r="A36" t="s">
        <v>5698</v>
      </c>
      <c r="B36">
        <f>B29*400/(3.14159*D29^2*6)</f>
        <v>0.63662031009775299</v>
      </c>
      <c r="C36" s="2691"/>
      <c r="D36" s="2691"/>
    </row>
    <row r="37" spans="1:7">
      <c r="A37" t="s">
        <v>5699</v>
      </c>
      <c r="B37">
        <f>B31*400/(3.14159*D29^2*6)</f>
        <v>0</v>
      </c>
      <c r="C37" s="2691"/>
      <c r="D37" s="2691"/>
    </row>
    <row r="39" spans="1:7">
      <c r="A39"/>
      <c r="B39"/>
      <c r="C39"/>
      <c r="D39"/>
    </row>
    <row r="40" spans="1:7">
      <c r="A40" t="s">
        <v>5700</v>
      </c>
      <c r="B40"/>
      <c r="C40" t="s">
        <v>5701</v>
      </c>
      <c r="D40"/>
    </row>
    <row r="41" spans="1:7">
      <c r="A41"/>
      <c r="B41"/>
      <c r="C41" t="s">
        <v>5702</v>
      </c>
      <c r="D41"/>
    </row>
    <row r="42" spans="1:7">
      <c r="A42"/>
      <c r="B42"/>
      <c r="C42" t="s">
        <v>5703</v>
      </c>
      <c r="D42"/>
    </row>
    <row r="43" spans="1:7">
      <c r="A43"/>
      <c r="B43"/>
      <c r="C43" t="s">
        <v>5704</v>
      </c>
      <c r="D43"/>
    </row>
    <row r="44" spans="1:7">
      <c r="A44"/>
      <c r="B44"/>
      <c r="C44" t="s">
        <v>5705</v>
      </c>
      <c r="D44"/>
    </row>
    <row r="45" spans="1:7">
      <c r="A45"/>
      <c r="B45"/>
      <c r="C45" t="s">
        <v>5706</v>
      </c>
      <c r="D45"/>
    </row>
    <row r="46" spans="1:7">
      <c r="A46"/>
      <c r="B46"/>
      <c r="C46" t="s">
        <v>5707</v>
      </c>
      <c r="D46"/>
    </row>
    <row r="47" spans="1:7">
      <c r="A47"/>
      <c r="B47"/>
      <c r="C47" t="s">
        <v>5708</v>
      </c>
      <c r="D47"/>
    </row>
    <row r="48" spans="1:7">
      <c r="A48" t="s">
        <v>5709</v>
      </c>
      <c r="B48"/>
      <c r="C48"/>
      <c r="D48"/>
    </row>
    <row r="49" spans="1:4">
      <c r="A49"/>
      <c r="B49"/>
      <c r="C49"/>
      <c r="D49"/>
    </row>
    <row r="50" spans="1:4">
      <c r="A50"/>
      <c r="B50"/>
      <c r="C50"/>
      <c r="D50"/>
    </row>
    <row r="51" spans="1:4">
      <c r="A51"/>
      <c r="B51"/>
      <c r="C51"/>
      <c r="D51"/>
    </row>
    <row r="52" spans="1:4">
      <c r="A52" t="s">
        <v>5710</v>
      </c>
      <c r="B52"/>
      <c r="C52" t="s">
        <v>5711</v>
      </c>
      <c r="D52"/>
    </row>
    <row r="53" spans="1:4">
      <c r="A53"/>
      <c r="B53"/>
      <c r="C53"/>
      <c r="D53"/>
    </row>
    <row r="54" spans="1:4">
      <c r="A54"/>
      <c r="B54"/>
      <c r="C54"/>
      <c r="D54"/>
    </row>
    <row r="55" spans="1:4">
      <c r="A55"/>
      <c r="B55"/>
      <c r="C55"/>
      <c r="D55"/>
    </row>
    <row r="56" spans="1:4">
      <c r="A56"/>
      <c r="B56"/>
      <c r="C56"/>
      <c r="D56"/>
    </row>
    <row r="57" spans="1:4">
      <c r="A57"/>
      <c r="B57"/>
      <c r="C57"/>
      <c r="D57"/>
    </row>
    <row r="58" spans="1:4">
      <c r="A58"/>
      <c r="B58"/>
      <c r="C58"/>
      <c r="D58"/>
    </row>
    <row r="59" spans="1:4" ht="15.75">
      <c r="A59" t="s">
        <v>5712</v>
      </c>
      <c r="B59"/>
      <c r="C59" t="s">
        <v>5713</v>
      </c>
      <c r="D59"/>
    </row>
    <row r="60" spans="1:4">
      <c r="A60"/>
      <c r="B60"/>
      <c r="C60"/>
      <c r="D60"/>
    </row>
    <row r="61" spans="1:4">
      <c r="A61"/>
      <c r="B61"/>
      <c r="C61"/>
      <c r="D61"/>
    </row>
    <row r="62" spans="1:4">
      <c r="A62"/>
      <c r="B62"/>
      <c r="C62"/>
      <c r="D62"/>
    </row>
  </sheetData>
  <sheetProtection formatCells="0" formatColumns="0" formatRows="0" insertColumns="0" insertRows="0" insertHyperlinks="0" deleteColumns="0" deleteRows="0" sort="0" autoFilter="0" pivotTables="0"/>
  <phoneticPr fontId="214" type="noConversion"/>
  <pageMargins left="0.75" right="0.75" top="1" bottom="1" header="0.5" footer="0.5"/>
  <pageSetup paperSize="9" orientation="portrait" horizontalDpi="1200" verticalDpi="1200"/>
  <headerFooter scaleWithDoc="0" alignWithMargins="0"/>
  <drawing r:id="rId1"/>
  <legacyDrawing r:id="rId2"/>
  <oleObjects>
    <mc:AlternateContent xmlns:mc="http://schemas.openxmlformats.org/markup-compatibility/2006">
      <mc:Choice Requires="x14">
        <oleObject progId="Equation.3" shapeId="1256449" r:id="rId3">
          <objectPr defaultSize="0" altText="" r:id="rId4">
            <anchor moveWithCells="1" sizeWithCells="1">
              <from>
                <xdr:col>5</xdr:col>
                <xdr:colOff>266700</xdr:colOff>
                <xdr:row>3</xdr:row>
                <xdr:rowOff>133350</xdr:rowOff>
              </from>
              <to>
                <xdr:col>7</xdr:col>
                <xdr:colOff>590550</xdr:colOff>
                <xdr:row>7</xdr:row>
                <xdr:rowOff>161925</xdr:rowOff>
              </to>
            </anchor>
          </objectPr>
        </oleObject>
      </mc:Choice>
      <mc:Fallback>
        <oleObject progId="Equation.3" shapeId="1256449" r:id="rId3"/>
      </mc:Fallback>
    </mc:AlternateContent>
    <mc:AlternateContent xmlns:mc="http://schemas.openxmlformats.org/markup-compatibility/2006">
      <mc:Choice Requires="x14">
        <oleObject progId="Equation.3" shapeId="1256450" r:id="rId5">
          <objectPr defaultSize="0" altText="" r:id="rId6">
            <anchor moveWithCells="1" sizeWithCells="1">
              <from>
                <xdr:col>5</xdr:col>
                <xdr:colOff>190500</xdr:colOff>
                <xdr:row>1</xdr:row>
                <xdr:rowOff>0</xdr:rowOff>
              </from>
              <to>
                <xdr:col>7</xdr:col>
                <xdr:colOff>542925</xdr:colOff>
                <xdr:row>2</xdr:row>
                <xdr:rowOff>152400</xdr:rowOff>
              </to>
            </anchor>
          </objectPr>
        </oleObject>
      </mc:Choice>
      <mc:Fallback>
        <oleObject progId="Equation.3" shapeId="1256450" r:id="rId5"/>
      </mc:Fallback>
    </mc:AlternateContent>
    <mc:AlternateContent xmlns:mc="http://schemas.openxmlformats.org/markup-compatibility/2006">
      <mc:Choice Requires="x14">
        <oleObject progId="Equation.3" shapeId="1256451" r:id="rId7">
          <objectPr defaultSize="0" altText="" r:id="rId8">
            <anchor moveWithCells="1">
              <from>
                <xdr:col>0</xdr:col>
                <xdr:colOff>114300</xdr:colOff>
                <xdr:row>40</xdr:row>
                <xdr:rowOff>47625</xdr:rowOff>
              </from>
              <to>
                <xdr:col>1</xdr:col>
                <xdr:colOff>381000</xdr:colOff>
                <xdr:row>45</xdr:row>
                <xdr:rowOff>152400</xdr:rowOff>
              </to>
            </anchor>
          </objectPr>
        </oleObject>
      </mc:Choice>
      <mc:Fallback>
        <oleObject progId="Equation.3" shapeId="1256451" r:id="rId7"/>
      </mc:Fallback>
    </mc:AlternateContent>
    <mc:AlternateContent xmlns:mc="http://schemas.openxmlformats.org/markup-compatibility/2006">
      <mc:Choice Requires="x14">
        <oleObject progId="Equation.3" shapeId="1256452" r:id="rId9">
          <objectPr defaultSize="0" altText="" r:id="rId10">
            <anchor moveWithCells="1">
              <from>
                <xdr:col>0</xdr:col>
                <xdr:colOff>38100</xdr:colOff>
                <xdr:row>48</xdr:row>
                <xdr:rowOff>19050</xdr:rowOff>
              </from>
              <to>
                <xdr:col>1</xdr:col>
                <xdr:colOff>504825</xdr:colOff>
                <xdr:row>50</xdr:row>
                <xdr:rowOff>57150</xdr:rowOff>
              </to>
            </anchor>
          </objectPr>
        </oleObject>
      </mc:Choice>
      <mc:Fallback>
        <oleObject progId="Equation.3" shapeId="1256452" r:id="rId9"/>
      </mc:Fallback>
    </mc:AlternateContent>
    <mc:AlternateContent xmlns:mc="http://schemas.openxmlformats.org/markup-compatibility/2006">
      <mc:Choice Requires="x14">
        <oleObject progId="Equation.3" shapeId="1256453" r:id="rId11">
          <objectPr defaultSize="0" altText="" r:id="rId12">
            <anchor moveWithCells="1">
              <from>
                <xdr:col>0</xdr:col>
                <xdr:colOff>76200</xdr:colOff>
                <xdr:row>52</xdr:row>
                <xdr:rowOff>114300</xdr:rowOff>
              </from>
              <to>
                <xdr:col>0</xdr:col>
                <xdr:colOff>1066800</xdr:colOff>
                <xdr:row>57</xdr:row>
                <xdr:rowOff>114300</xdr:rowOff>
              </to>
            </anchor>
          </objectPr>
        </oleObject>
      </mc:Choice>
      <mc:Fallback>
        <oleObject progId="Equation.3" shapeId="1256453" r:id="rId11"/>
      </mc:Fallback>
    </mc:AlternateContent>
    <mc:AlternateContent xmlns:mc="http://schemas.openxmlformats.org/markup-compatibility/2006">
      <mc:Choice Requires="x14">
        <oleObject progId="Equation.3" shapeId="1256454" r:id="rId13">
          <objectPr defaultSize="0" altText="" r:id="rId14">
            <anchor moveWithCells="1">
              <from>
                <xdr:col>2</xdr:col>
                <xdr:colOff>285750</xdr:colOff>
                <xdr:row>52</xdr:row>
                <xdr:rowOff>95250</xdr:rowOff>
              </from>
              <to>
                <xdr:col>2</xdr:col>
                <xdr:colOff>1276350</xdr:colOff>
                <xdr:row>56</xdr:row>
                <xdr:rowOff>9525</xdr:rowOff>
              </to>
            </anchor>
          </objectPr>
        </oleObject>
      </mc:Choice>
      <mc:Fallback>
        <oleObject progId="Equation.3" shapeId="1256454" r:id="rId13"/>
      </mc:Fallback>
    </mc:AlternateContent>
    <mc:AlternateContent xmlns:mc="http://schemas.openxmlformats.org/markup-compatibility/2006">
      <mc:Choice Requires="x14">
        <oleObject progId="Equation.3" shapeId="1256455" r:id="rId15">
          <objectPr defaultSize="0" altText="" r:id="rId16">
            <anchor moveWithCells="1">
              <from>
                <xdr:col>2</xdr:col>
                <xdr:colOff>76200</xdr:colOff>
                <xdr:row>58</xdr:row>
                <xdr:rowOff>171450</xdr:rowOff>
              </from>
              <to>
                <xdr:col>2</xdr:col>
                <xdr:colOff>1524000</xdr:colOff>
                <xdr:row>61</xdr:row>
                <xdr:rowOff>152400</xdr:rowOff>
              </to>
            </anchor>
          </objectPr>
        </oleObject>
      </mc:Choice>
      <mc:Fallback>
        <oleObject progId="Equation.3" shapeId="1256455" r:id="rId15"/>
      </mc:Fallback>
    </mc:AlternateContent>
    <mc:AlternateContent xmlns:mc="http://schemas.openxmlformats.org/markup-compatibility/2006">
      <mc:Choice Requires="x14">
        <oleObject progId="Equation.3" shapeId="1256456" r:id="rId17">
          <objectPr defaultSize="0" altText="" r:id="rId18">
            <anchor moveWithCells="1">
              <from>
                <xdr:col>0</xdr:col>
                <xdr:colOff>133350</xdr:colOff>
                <xdr:row>59</xdr:row>
                <xdr:rowOff>152400</xdr:rowOff>
              </from>
              <to>
                <xdr:col>0</xdr:col>
                <xdr:colOff>1381125</xdr:colOff>
                <xdr:row>61</xdr:row>
                <xdr:rowOff>0</xdr:rowOff>
              </to>
            </anchor>
          </objectPr>
        </oleObject>
      </mc:Choice>
      <mc:Fallback>
        <oleObject progId="Equation.3" shapeId="1256456" r:id="rId17"/>
      </mc:Fallback>
    </mc:AlternateContent>
  </oleObjec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G53"/>
  <sheetViews>
    <sheetView workbookViewId="0">
      <selection activeCell="I10" sqref="I10"/>
    </sheetView>
  </sheetViews>
  <sheetFormatPr defaultColWidth="8.75" defaultRowHeight="14.25"/>
  <cols>
    <col min="1" max="1" width="27.125" style="2679" customWidth="1"/>
    <col min="2" max="2" width="9.5" style="2679"/>
    <col min="3" max="3" width="18.5" style="2679"/>
    <col min="4" max="4" width="8.75" style="2679"/>
    <col min="5" max="6" width="11.625" style="2679"/>
    <col min="7" max="8" width="8.75" style="2679"/>
    <col min="9" max="9" width="11.625" style="2679"/>
    <col min="10" max="10" width="8.625" style="2679"/>
    <col min="11" max="16384" width="8.75" style="2679"/>
  </cols>
  <sheetData>
    <row r="1" spans="1:7">
      <c r="A1" s="2685" t="s">
        <v>5714</v>
      </c>
    </row>
    <row r="2" spans="1:7" ht="15.75">
      <c r="A2" s="2688" t="s">
        <v>5715</v>
      </c>
      <c r="B2" s="2687">
        <v>3000</v>
      </c>
      <c r="C2" s="2688" t="s">
        <v>5716</v>
      </c>
      <c r="D2" s="2687">
        <v>11</v>
      </c>
      <c r="F2" s="2688" t="s">
        <v>5717</v>
      </c>
      <c r="G2" s="2686" t="s">
        <v>5718</v>
      </c>
    </row>
    <row r="3" spans="1:7" ht="15.75">
      <c r="A3" s="2688" t="s">
        <v>5719</v>
      </c>
      <c r="B3" s="2687">
        <v>8</v>
      </c>
      <c r="C3" s="2688" t="s">
        <v>5720</v>
      </c>
      <c r="D3" s="2687">
        <v>0</v>
      </c>
      <c r="F3" s="2688" t="s">
        <v>5721</v>
      </c>
      <c r="G3" t="s">
        <v>5722</v>
      </c>
    </row>
    <row r="4" spans="1:7" ht="15.75">
      <c r="A4" s="2688" t="s">
        <v>5723</v>
      </c>
      <c r="B4" s="2687">
        <v>1.9</v>
      </c>
      <c r="C4" s="2688" t="s">
        <v>5724</v>
      </c>
      <c r="D4" s="2687">
        <v>0</v>
      </c>
      <c r="F4" s="2688" t="s">
        <v>5725</v>
      </c>
      <c r="G4" s="2686">
        <v>15</v>
      </c>
    </row>
    <row r="5" spans="1:7" ht="18.75">
      <c r="A5" s="2688" t="s">
        <v>5726</v>
      </c>
      <c r="B5" s="2687">
        <v>30</v>
      </c>
      <c r="C5" s="2688" t="s">
        <v>5727</v>
      </c>
      <c r="D5">
        <f>B2*0.9*0.8</f>
        <v>2160</v>
      </c>
      <c r="F5" s="2688" t="s">
        <v>5728</v>
      </c>
      <c r="G5" s="2686">
        <v>23</v>
      </c>
    </row>
    <row r="6" spans="1:7" ht="15.75">
      <c r="A6" s="2688" t="s">
        <v>5729</v>
      </c>
      <c r="B6" s="2687">
        <v>55</v>
      </c>
      <c r="C6" s="2688" t="s">
        <v>5730</v>
      </c>
      <c r="D6">
        <f>6.66*(B2/1000)^(2/3)</f>
        <v>13.853358261525701</v>
      </c>
      <c r="F6" s="2688" t="s">
        <v>5731</v>
      </c>
      <c r="G6" t="s">
        <v>5732</v>
      </c>
    </row>
    <row r="7" spans="1:7">
      <c r="A7" s="2688"/>
      <c r="B7" s="2688"/>
      <c r="C7" s="2688"/>
      <c r="D7" s="2688"/>
    </row>
    <row r="8" spans="1:7" ht="15.75">
      <c r="A8" s="2688" t="s">
        <v>5733</v>
      </c>
      <c r="B8" s="2687">
        <v>16</v>
      </c>
      <c r="C8" s="2688" t="s">
        <v>5734</v>
      </c>
      <c r="D8">
        <f>B8*B3*(B6-B5)/1000</f>
        <v>3.2</v>
      </c>
    </row>
    <row r="9" spans="1:7" ht="15.75">
      <c r="A9" s="2688" t="s">
        <v>5735</v>
      </c>
      <c r="B9">
        <f>LN(1-(B6-B5)*B3*B8/((D3+D2-D4)*1000))*B4*1000*D5/(-B3*B8*60)</f>
        <v>183.702916208072</v>
      </c>
      <c r="C9" s="2688" t="s">
        <v>5736</v>
      </c>
      <c r="D9" s="2687">
        <v>6.5</v>
      </c>
    </row>
    <row r="10" spans="1:7">
      <c r="A10" s="2688" t="s">
        <v>5737</v>
      </c>
      <c r="B10">
        <f>B5+(D2+D3-D4)*1000/(B3*B8)</f>
        <v>115.9375</v>
      </c>
      <c r="C10" s="2688" t="s">
        <v>5738</v>
      </c>
      <c r="D10">
        <f>D6*D9/1000*7850/0.7</f>
        <v>1009.8108647062101</v>
      </c>
    </row>
    <row r="12" spans="1:7">
      <c r="A12" s="2685" t="s">
        <v>5739</v>
      </c>
      <c r="B12" s="2688"/>
      <c r="C12" s="2688"/>
      <c r="D12" s="2688"/>
    </row>
    <row r="13" spans="1:7" ht="15.75">
      <c r="A13" s="2688" t="s">
        <v>5740</v>
      </c>
      <c r="B13" s="2687">
        <v>4000</v>
      </c>
      <c r="C13" s="2688"/>
      <c r="D13" s="2688"/>
    </row>
    <row r="14" spans="1:7" ht="15.75">
      <c r="A14" s="2688" t="s">
        <v>5741</v>
      </c>
      <c r="B14" s="2687">
        <v>10</v>
      </c>
      <c r="C14" s="2688"/>
      <c r="D14" s="2688"/>
    </row>
    <row r="15" spans="1:7" ht="15.75">
      <c r="A15" s="2688" t="s">
        <v>5742</v>
      </c>
      <c r="B15">
        <f>B13*1.29*1008*B14/1000/3600</f>
        <v>14.448</v>
      </c>
      <c r="C15" s="2688"/>
      <c r="D15" s="2688"/>
    </row>
    <row r="17" spans="1:4">
      <c r="A17" s="2685" t="s">
        <v>5743</v>
      </c>
      <c r="B17" s="2688"/>
      <c r="C17" s="2688"/>
      <c r="D17" s="2688"/>
    </row>
    <row r="18" spans="1:4" ht="15.75">
      <c r="A18" s="2688" t="s">
        <v>5744</v>
      </c>
      <c r="B18" s="2687">
        <v>4</v>
      </c>
      <c r="C18" s="2688"/>
      <c r="D18" s="2688"/>
    </row>
    <row r="19" spans="1:4" ht="15.75">
      <c r="A19" s="2688" t="s">
        <v>5745</v>
      </c>
      <c r="B19" s="2687">
        <v>5</v>
      </c>
      <c r="C19" s="2688"/>
      <c r="D19" s="2688"/>
    </row>
    <row r="20" spans="1:4" ht="15.75">
      <c r="A20" s="2688" t="s">
        <v>5742</v>
      </c>
      <c r="B20">
        <f>B18*1000*4186.8*B19/1000/3600</f>
        <v>23.26</v>
      </c>
      <c r="C20" s="2688"/>
      <c r="D20" s="2688"/>
    </row>
    <row r="22" spans="1:4">
      <c r="A22" s="2685" t="s">
        <v>5746</v>
      </c>
      <c r="B22" s="2688"/>
      <c r="C22" s="2688"/>
      <c r="D22" s="2688"/>
    </row>
    <row r="23" spans="1:4">
      <c r="A23" s="2688" t="s">
        <v>5747</v>
      </c>
      <c r="B23" s="2687">
        <v>204</v>
      </c>
      <c r="C23" s="2688" t="s">
        <v>5748</v>
      </c>
      <c r="D23">
        <f>9/5*B23+32</f>
        <v>399.2</v>
      </c>
    </row>
    <row r="24" spans="1:4">
      <c r="A24" s="2688" t="s">
        <v>5749</v>
      </c>
      <c r="B24" s="2687">
        <v>200</v>
      </c>
      <c r="C24" s="2688" t="s">
        <v>5750</v>
      </c>
      <c r="D24">
        <f>5/9*(B24-32)</f>
        <v>93.3333333333333</v>
      </c>
    </row>
    <row r="27" spans="1:4" ht="15.75">
      <c r="C27" t="s">
        <v>5751</v>
      </c>
    </row>
    <row r="28" spans="1:4" ht="15.75">
      <c r="C28" t="s">
        <v>5752</v>
      </c>
    </row>
    <row r="29" spans="1:4" ht="15.75">
      <c r="C29" t="s">
        <v>5753</v>
      </c>
    </row>
    <row r="30" spans="1:4" ht="15.75">
      <c r="C30" t="s">
        <v>5754</v>
      </c>
    </row>
    <row r="31" spans="1:4" ht="15.75">
      <c r="C31" t="s">
        <v>5755</v>
      </c>
    </row>
    <row r="32" spans="1:4" ht="15.75">
      <c r="C32" t="s">
        <v>5756</v>
      </c>
    </row>
    <row r="33" spans="1:4" ht="15.75">
      <c r="A33" s="2679" t="s">
        <v>5757</v>
      </c>
      <c r="C33" t="s">
        <v>5758</v>
      </c>
    </row>
    <row r="34" spans="1:4" ht="15.75">
      <c r="C34" t="s">
        <v>5759</v>
      </c>
    </row>
    <row r="39" spans="1:4">
      <c r="A39" s="2679" t="s">
        <v>5739</v>
      </c>
    </row>
    <row r="40" spans="1:4" ht="15">
      <c r="A40" t="s">
        <v>5760</v>
      </c>
      <c r="D40"/>
    </row>
    <row r="41" spans="1:4">
      <c r="D41"/>
    </row>
    <row r="42" spans="1:4" ht="15.75">
      <c r="A42" t="s">
        <v>5761</v>
      </c>
      <c r="D42"/>
    </row>
    <row r="43" spans="1:4" ht="15.75">
      <c r="A43" t="s">
        <v>5762</v>
      </c>
      <c r="D43"/>
    </row>
    <row r="44" spans="1:4" ht="15.75">
      <c r="A44" t="s">
        <v>5763</v>
      </c>
    </row>
    <row r="45" spans="1:4" ht="15.75">
      <c r="A45" t="s">
        <v>5764</v>
      </c>
    </row>
    <row r="47" spans="1:4">
      <c r="A47" s="2679" t="s">
        <v>5743</v>
      </c>
    </row>
    <row r="48" spans="1:4" ht="15">
      <c r="A48" t="s">
        <v>5760</v>
      </c>
    </row>
    <row r="50" spans="1:1" ht="15.75">
      <c r="A50" t="s">
        <v>5765</v>
      </c>
    </row>
    <row r="51" spans="1:1" ht="15.75">
      <c r="A51" t="s">
        <v>5766</v>
      </c>
    </row>
    <row r="52" spans="1:1" ht="15.75">
      <c r="A52" t="s">
        <v>5767</v>
      </c>
    </row>
    <row r="53" spans="1:1" ht="15.75">
      <c r="A53" t="s">
        <v>5768</v>
      </c>
    </row>
  </sheetData>
  <sheetProtection formatCells="0" formatColumns="0" formatRows="0" insertColumns="0" insertRows="0" insertHyperlinks="0" deleteColumns="0" deleteRows="0" sort="0" autoFilter="0" pivotTables="0"/>
  <phoneticPr fontId="214" type="noConversion"/>
  <pageMargins left="0.75" right="0.75" top="1" bottom="1" header="0.5" footer="0.5"/>
  <pageSetup paperSize="9" orientation="portrait"/>
  <headerFooter scaleWithDoc="0" alignWithMargins="0"/>
  <drawing r:id="rId1"/>
  <legacyDrawing r:id="rId2"/>
  <oleObjects>
    <mc:AlternateContent xmlns:mc="http://schemas.openxmlformats.org/markup-compatibility/2006">
      <mc:Choice Requires="x14">
        <oleObject progId="Equation.3" shapeId="1255425" r:id="rId3">
          <objectPr defaultSize="0" altText="" r:id="rId4">
            <anchor moveWithCells="1">
              <from>
                <xdr:col>0</xdr:col>
                <xdr:colOff>19050</xdr:colOff>
                <xdr:row>26</xdr:row>
                <xdr:rowOff>95250</xdr:rowOff>
              </from>
              <to>
                <xdr:col>1</xdr:col>
                <xdr:colOff>276225</xdr:colOff>
                <xdr:row>29</xdr:row>
                <xdr:rowOff>95250</xdr:rowOff>
              </to>
            </anchor>
          </objectPr>
        </oleObject>
      </mc:Choice>
      <mc:Fallback>
        <oleObject progId="Equation.3" shapeId="1255425" r:id="rId3"/>
      </mc:Fallback>
    </mc:AlternateContent>
    <mc:AlternateContent xmlns:mc="http://schemas.openxmlformats.org/markup-compatibility/2006">
      <mc:Choice Requires="x14">
        <oleObject progId="Equation.3" shapeId="1255426" r:id="rId5">
          <objectPr defaultSize="0" altText="" r:id="rId6">
            <anchor moveWithCells="1">
              <from>
                <xdr:col>0</xdr:col>
                <xdr:colOff>76200</xdr:colOff>
                <xdr:row>33</xdr:row>
                <xdr:rowOff>152400</xdr:rowOff>
              </from>
              <to>
                <xdr:col>0</xdr:col>
                <xdr:colOff>1114425</xdr:colOff>
                <xdr:row>35</xdr:row>
                <xdr:rowOff>152400</xdr:rowOff>
              </to>
            </anchor>
          </objectPr>
        </oleObject>
      </mc:Choice>
      <mc:Fallback>
        <oleObject progId="Equation.3" shapeId="1255426" r:id="rId5"/>
      </mc:Fallback>
    </mc:AlternateContent>
  </oleObjec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N32"/>
  <sheetViews>
    <sheetView zoomScale="75" zoomScaleNormal="75" workbookViewId="0">
      <selection activeCell="M1" sqref="M1"/>
    </sheetView>
  </sheetViews>
  <sheetFormatPr defaultColWidth="8.75" defaultRowHeight="14.25"/>
  <cols>
    <col min="1" max="1" width="40.375" style="2679"/>
    <col min="2" max="2" width="10.875" style="2679"/>
    <col min="3" max="16384" width="8.75" style="2679"/>
  </cols>
  <sheetData>
    <row r="1" spans="1:14">
      <c r="A1" t="s">
        <v>5769</v>
      </c>
      <c r="B1" s="2690"/>
      <c r="C1" s="2690"/>
      <c r="D1" s="2690"/>
      <c r="E1" s="2690"/>
      <c r="F1">
        <v>1</v>
      </c>
      <c r="G1" t="s">
        <v>5770</v>
      </c>
      <c r="H1">
        <f>F1*0.0689</f>
        <v>6.8900000000000003E-2</v>
      </c>
      <c r="I1" t="s">
        <v>5771</v>
      </c>
      <c r="J1"/>
      <c r="K1"/>
      <c r="L1"/>
      <c r="M1" s="2690"/>
      <c r="N1" s="2690"/>
    </row>
    <row r="2" spans="1:14" ht="18">
      <c r="A2" t="s">
        <v>5772</v>
      </c>
      <c r="B2">
        <v>50</v>
      </c>
      <c r="C2" t="s">
        <v>5773</v>
      </c>
      <c r="F2">
        <v>100</v>
      </c>
      <c r="G2" t="s">
        <v>5774</v>
      </c>
      <c r="H2">
        <f>F2*14.5</f>
        <v>1450</v>
      </c>
      <c r="I2" t="s">
        <v>5775</v>
      </c>
      <c r="J2"/>
      <c r="K2"/>
      <c r="L2"/>
      <c r="M2" s="2690"/>
      <c r="N2" s="2690"/>
    </row>
    <row r="3" spans="1:14" ht="18.75">
      <c r="A3" t="s">
        <v>5776</v>
      </c>
      <c r="B3">
        <v>80</v>
      </c>
      <c r="C3" t="s">
        <v>5777</v>
      </c>
      <c r="F3">
        <v>1</v>
      </c>
      <c r="G3" t="s">
        <v>5778</v>
      </c>
      <c r="H3">
        <f>F3*0.7457</f>
        <v>0.74570000000000003</v>
      </c>
      <c r="I3" t="s">
        <v>5779</v>
      </c>
      <c r="J3"/>
      <c r="K3"/>
      <c r="L3"/>
      <c r="M3" s="2690"/>
      <c r="N3" s="2690"/>
    </row>
    <row r="4" spans="1:14">
      <c r="A4" t="s">
        <v>5780</v>
      </c>
      <c r="B4">
        <v>37</v>
      </c>
      <c r="C4"/>
      <c r="F4">
        <v>1</v>
      </c>
      <c r="G4" t="s">
        <v>5781</v>
      </c>
      <c r="H4">
        <f>F4/0.7457</f>
        <v>1.3410218586563001</v>
      </c>
      <c r="I4" t="s">
        <v>5782</v>
      </c>
      <c r="J4"/>
      <c r="K4"/>
      <c r="L4"/>
      <c r="M4"/>
      <c r="N4"/>
    </row>
    <row r="5" spans="1:14">
      <c r="A5" t="s">
        <v>5783</v>
      </c>
      <c r="B5">
        <v>60</v>
      </c>
      <c r="C5" t="s">
        <v>5784</v>
      </c>
      <c r="F5">
        <v>1</v>
      </c>
      <c r="G5" t="s">
        <v>5785</v>
      </c>
      <c r="H5">
        <f>F5*3.745</f>
        <v>3.7450000000000001</v>
      </c>
      <c r="I5" t="s">
        <v>5786</v>
      </c>
      <c r="J5"/>
      <c r="K5"/>
      <c r="L5"/>
      <c r="M5"/>
      <c r="N5"/>
    </row>
    <row r="6" spans="1:14">
      <c r="A6" t="s">
        <v>5787</v>
      </c>
      <c r="B6">
        <f>B3/B4</f>
        <v>2.1621621621621601</v>
      </c>
      <c r="C6" t="s">
        <v>5777</v>
      </c>
      <c r="D6"/>
      <c r="E6"/>
      <c r="F6">
        <v>1</v>
      </c>
      <c r="G6" t="s">
        <v>5788</v>
      </c>
      <c r="H6">
        <f>F6*0.264</f>
        <v>0.26400000000000001</v>
      </c>
      <c r="I6" t="s">
        <v>5789</v>
      </c>
      <c r="J6"/>
      <c r="K6"/>
      <c r="L6"/>
      <c r="M6"/>
      <c r="N6"/>
    </row>
    <row r="7" spans="1:14">
      <c r="A7" t="s">
        <v>5790</v>
      </c>
      <c r="B7">
        <f>B2*B4</f>
        <v>1850</v>
      </c>
      <c r="C7" t="s">
        <v>5773</v>
      </c>
      <c r="D7"/>
      <c r="E7"/>
      <c r="F7">
        <v>180</v>
      </c>
      <c r="G7" t="s">
        <v>5791</v>
      </c>
      <c r="H7">
        <v>1500</v>
      </c>
      <c r="I7" t="s">
        <v>227</v>
      </c>
      <c r="J7">
        <f>F7*H7/1000</f>
        <v>270</v>
      </c>
      <c r="K7" t="s">
        <v>5786</v>
      </c>
      <c r="L7"/>
      <c r="M7"/>
      <c r="N7"/>
    </row>
    <row r="8" spans="1:14" ht="21">
      <c r="A8" t="s">
        <v>5792</v>
      </c>
      <c r="B8">
        <f>2*3.14159*B3*B2/(60000*C11)</f>
        <v>0.52359833333333305</v>
      </c>
      <c r="C8" t="s">
        <v>5779</v>
      </c>
      <c r="F8" t="s">
        <v>5793</v>
      </c>
      <c r="G8"/>
      <c r="H8"/>
      <c r="I8"/>
      <c r="J8" t="s">
        <v>5794</v>
      </c>
      <c r="K8"/>
      <c r="L8"/>
      <c r="M8"/>
      <c r="N8"/>
    </row>
    <row r="9" spans="1:14">
      <c r="A9" t="s">
        <v>5795</v>
      </c>
      <c r="B9">
        <f>B6/0.0159/B5/C11</f>
        <v>2.83302170094623</v>
      </c>
      <c r="C9" t="s">
        <v>5771</v>
      </c>
      <c r="D9"/>
      <c r="F9" t="s">
        <v>5796</v>
      </c>
      <c r="G9"/>
      <c r="H9"/>
      <c r="I9"/>
      <c r="J9" t="s">
        <v>5797</v>
      </c>
      <c r="K9"/>
      <c r="L9"/>
      <c r="M9"/>
      <c r="N9"/>
    </row>
    <row r="10" spans="1:14">
      <c r="A10" t="s">
        <v>5798</v>
      </c>
      <c r="B10">
        <f>B5*B2*B4/1000/C12</f>
        <v>116.842105263158</v>
      </c>
      <c r="C10" t="s">
        <v>2771</v>
      </c>
      <c r="F10"/>
      <c r="G10"/>
      <c r="H10"/>
      <c r="I10"/>
      <c r="J10"/>
      <c r="K10"/>
      <c r="L10"/>
      <c r="M10"/>
      <c r="N10"/>
    </row>
    <row r="11" spans="1:14" ht="21">
      <c r="A11" t="s">
        <v>5799</v>
      </c>
      <c r="B11" t="s">
        <v>5800</v>
      </c>
      <c r="C11">
        <v>0.8</v>
      </c>
      <c r="F11" t="s">
        <v>5801</v>
      </c>
      <c r="G11"/>
      <c r="H11"/>
      <c r="I11"/>
      <c r="J11"/>
      <c r="K11"/>
      <c r="L11"/>
      <c r="M11"/>
      <c r="N11"/>
    </row>
    <row r="12" spans="1:14">
      <c r="A12" t="s">
        <v>5802</v>
      </c>
      <c r="B12" t="s">
        <v>5800</v>
      </c>
      <c r="C12">
        <v>0.95</v>
      </c>
      <c r="F12" t="s">
        <v>5803</v>
      </c>
      <c r="G12"/>
      <c r="H12"/>
      <c r="I12"/>
      <c r="J12"/>
      <c r="K12"/>
      <c r="L12"/>
      <c r="M12"/>
      <c r="N12"/>
    </row>
    <row r="13" spans="1:14">
      <c r="A13"/>
      <c r="F13"/>
      <c r="G13"/>
      <c r="H13"/>
      <c r="I13"/>
      <c r="J13"/>
      <c r="K13"/>
      <c r="L13"/>
      <c r="M13"/>
      <c r="N13"/>
    </row>
    <row r="14" spans="1:14">
      <c r="A14" t="s">
        <v>5804</v>
      </c>
      <c r="B14"/>
      <c r="C14"/>
      <c r="D14" s="2690"/>
      <c r="E14" s="2690"/>
    </row>
    <row r="15" spans="1:14">
      <c r="A15" t="s">
        <v>5805</v>
      </c>
      <c r="B15">
        <v>135</v>
      </c>
      <c r="C15" t="s">
        <v>2771</v>
      </c>
      <c r="E15"/>
    </row>
    <row r="16" spans="1:14">
      <c r="A16" t="s">
        <v>5806</v>
      </c>
      <c r="B16">
        <v>200</v>
      </c>
      <c r="C16" t="s">
        <v>5771</v>
      </c>
      <c r="E16"/>
    </row>
    <row r="17" spans="1:5">
      <c r="A17" t="s">
        <v>5807</v>
      </c>
      <c r="B17">
        <v>1500</v>
      </c>
      <c r="C17" t="s">
        <v>5773</v>
      </c>
      <c r="E17"/>
    </row>
    <row r="18" spans="1:5">
      <c r="A18" t="s">
        <v>1059</v>
      </c>
      <c r="B18">
        <f>B15*B16/(600*0.85)</f>
        <v>52.941176470588204</v>
      </c>
      <c r="C18" t="s">
        <v>5779</v>
      </c>
      <c r="E18"/>
    </row>
    <row r="19" spans="1:5">
      <c r="A19" t="s">
        <v>5808</v>
      </c>
      <c r="B19">
        <f>B15/B17*1000/0.95</f>
        <v>94.736842105263193</v>
      </c>
      <c r="C19" t="s">
        <v>5784</v>
      </c>
      <c r="E19"/>
    </row>
    <row r="20" spans="1:5">
      <c r="A20"/>
      <c r="B20"/>
      <c r="C20"/>
      <c r="E20"/>
    </row>
    <row r="21" spans="1:5">
      <c r="A21" t="s">
        <v>5809</v>
      </c>
      <c r="E21"/>
    </row>
    <row r="22" spans="1:5">
      <c r="A22" t="s">
        <v>5810</v>
      </c>
      <c r="B22">
        <v>1</v>
      </c>
      <c r="C22" t="s">
        <v>5811</v>
      </c>
      <c r="D22" s="2690"/>
      <c r="E22"/>
    </row>
    <row r="23" spans="1:5">
      <c r="A23" t="s">
        <v>5812</v>
      </c>
      <c r="B23">
        <v>250</v>
      </c>
      <c r="C23" t="s">
        <v>234</v>
      </c>
      <c r="E23"/>
    </row>
    <row r="24" spans="1:5">
      <c r="A24" t="s">
        <v>5813</v>
      </c>
      <c r="B24">
        <v>1</v>
      </c>
      <c r="C24"/>
      <c r="E24"/>
    </row>
    <row r="25" spans="1:5">
      <c r="A25" t="s">
        <v>5814</v>
      </c>
      <c r="B25">
        <v>0</v>
      </c>
      <c r="C25" t="s">
        <v>234</v>
      </c>
      <c r="E25"/>
    </row>
    <row r="26" spans="1:5">
      <c r="A26" t="s">
        <v>5815</v>
      </c>
      <c r="B26">
        <v>216</v>
      </c>
      <c r="C26" t="s">
        <v>5816</v>
      </c>
      <c r="D26"/>
      <c r="E26"/>
    </row>
    <row r="27" spans="1:5">
      <c r="A27" t="s">
        <v>5817</v>
      </c>
      <c r="B27">
        <f>B26/(B23/2/1000+0.5*B25/1000)/(2*3.1415926)</f>
        <v>275.01974635412603</v>
      </c>
      <c r="C27" t="s">
        <v>5773</v>
      </c>
      <c r="D27" t="s">
        <v>5818</v>
      </c>
      <c r="E27"/>
    </row>
    <row r="28" spans="1:5">
      <c r="A28" t="s">
        <v>5819</v>
      </c>
      <c r="B28">
        <v>275</v>
      </c>
      <c r="C28" t="s">
        <v>5773</v>
      </c>
      <c r="D28"/>
      <c r="E28"/>
    </row>
    <row r="29" spans="1:5">
      <c r="A29" t="s">
        <v>5820</v>
      </c>
      <c r="B29">
        <f>(B23/1000/2+(B24-0.5)*B25/1000)*B22*1000*9.8</f>
        <v>1225</v>
      </c>
      <c r="C29" t="s">
        <v>5777</v>
      </c>
    </row>
    <row r="30" spans="1:5">
      <c r="A30" t="s">
        <v>5821</v>
      </c>
      <c r="B30">
        <f>(B23/1000/2+0.5*B25/1000)*B22*1000*9.8</f>
        <v>1225</v>
      </c>
      <c r="C30" t="s">
        <v>5777</v>
      </c>
    </row>
    <row r="31" spans="1:5">
      <c r="A31" t="s">
        <v>5822</v>
      </c>
      <c r="B31">
        <f>(B23/2/1000+(B24-0.5)*B25/1000)*2*3.1415926*B28</f>
        <v>215.98449124999999</v>
      </c>
      <c r="C31" t="s">
        <v>5816</v>
      </c>
    </row>
    <row r="32" spans="1:5">
      <c r="A32" t="s">
        <v>5823</v>
      </c>
      <c r="B32">
        <f>(B23/2/1000+0.5*B25/1000)*2*3.1415926*B28</f>
        <v>215.98449124999999</v>
      </c>
      <c r="C32" t="s">
        <v>5816</v>
      </c>
    </row>
  </sheetData>
  <sheetProtection formatCells="0" formatColumns="0" formatRows="0" insertColumns="0" insertRows="0" insertHyperlinks="0" deleteColumns="0" deleteRows="0" sort="0" autoFilter="0" pivotTables="0"/>
  <protectedRanges>
    <protectedRange sqref="E35 C14 C15 E35" name="区域2"/>
    <protectedRange sqref="E35 B29 B31 B2 B3 B4 B10 B18 B19 B20" name="区域1"/>
  </protectedRanges>
  <phoneticPr fontId="214" type="noConversion"/>
  <pageMargins left="0.75" right="0.75" top="1" bottom="1" header="0.5" footer="0.5"/>
  <pageSetup paperSize="9" orientation="portrait" horizontalDpi="1200" verticalDpi="1200"/>
  <headerFooter scaleWithDoc="0" alignWithMargins="0"/>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G54"/>
  <sheetViews>
    <sheetView zoomScale="85" zoomScaleNormal="85" workbookViewId="0">
      <selection activeCell="E6" sqref="E6"/>
    </sheetView>
  </sheetViews>
  <sheetFormatPr defaultColWidth="8.75" defaultRowHeight="14.25"/>
  <cols>
    <col min="1" max="1" width="20.5" style="2679"/>
    <col min="2" max="2" width="17.25" style="2679"/>
    <col min="3" max="3" width="19.375" style="2679"/>
    <col min="4" max="4" width="16.125" style="2679" customWidth="1"/>
    <col min="5" max="5" width="18.25" style="2679" customWidth="1"/>
    <col min="6" max="6" width="18.375" style="2679"/>
    <col min="7" max="8" width="7.5" style="2679"/>
    <col min="9" max="9" width="8.75" style="2679"/>
    <col min="10" max="10" width="19.375" style="2679"/>
    <col min="11" max="16384" width="8.75" style="2679"/>
  </cols>
  <sheetData>
    <row r="1" spans="1:7">
      <c r="A1" s="2685" t="s">
        <v>5824</v>
      </c>
    </row>
    <row r="2" spans="1:7">
      <c r="A2" s="2686" t="s">
        <v>2718</v>
      </c>
      <c r="B2" s="2686" t="s">
        <v>1778</v>
      </c>
      <c r="C2" s="2686" t="s">
        <v>5825</v>
      </c>
      <c r="D2" s="2686" t="s">
        <v>5826</v>
      </c>
    </row>
    <row r="3" spans="1:7">
      <c r="A3" s="2687">
        <v>250</v>
      </c>
      <c r="B3" s="2687">
        <v>160</v>
      </c>
      <c r="C3" s="2687">
        <v>4800</v>
      </c>
      <c r="D3" s="2687">
        <v>4000</v>
      </c>
    </row>
    <row r="5" spans="1:7">
      <c r="A5" s="2688" t="s">
        <v>5827</v>
      </c>
      <c r="B5" s="2689">
        <f>A3^2*3.14159/400</f>
        <v>490.87343750000002</v>
      </c>
      <c r="C5" s="2688" t="s">
        <v>5828</v>
      </c>
      <c r="D5" s="2689">
        <f>B5*C3/10000</f>
        <v>235.61924999999999</v>
      </c>
    </row>
    <row r="6" spans="1:7">
      <c r="A6" s="2688" t="s">
        <v>5829</v>
      </c>
      <c r="B6" s="2689">
        <f>B5-B3^2*3.14159/400</f>
        <v>289.81167749999997</v>
      </c>
      <c r="C6" s="2688" t="s">
        <v>5830</v>
      </c>
      <c r="D6" s="2689">
        <f>B6*C3/10000</f>
        <v>139.1096052</v>
      </c>
    </row>
    <row r="7" spans="1:7">
      <c r="A7" s="2688" t="s">
        <v>5831</v>
      </c>
      <c r="B7" s="2689">
        <f>B5/B6</f>
        <v>1.69376693766938</v>
      </c>
      <c r="C7" s="2688" t="s">
        <v>5832</v>
      </c>
      <c r="D7" s="2689">
        <f>D5-D6</f>
        <v>96.509644800000004</v>
      </c>
    </row>
    <row r="8" spans="1:7">
      <c r="A8" s="2690"/>
      <c r="B8" s="2690"/>
      <c r="C8" s="2690"/>
      <c r="D8" s="2690"/>
    </row>
    <row r="9" spans="1:7" ht="15.75">
      <c r="A9" s="2688" t="s">
        <v>5833</v>
      </c>
      <c r="B9" s="2687">
        <v>3.3</v>
      </c>
      <c r="C9" s="2688" t="s">
        <v>5599</v>
      </c>
      <c r="D9" s="2689">
        <f>B5*B9/10</f>
        <v>161.98823437499999</v>
      </c>
      <c r="F9" s="2691" t="s">
        <v>5679</v>
      </c>
      <c r="G9" s="2687">
        <v>42</v>
      </c>
    </row>
    <row r="10" spans="1:7" ht="15.75">
      <c r="A10" s="2688" t="s">
        <v>5834</v>
      </c>
      <c r="B10" s="2687">
        <v>3.3</v>
      </c>
      <c r="C10" s="2688" t="s">
        <v>5599</v>
      </c>
      <c r="D10" s="2689">
        <f>B6*B10/10</f>
        <v>95.637853574999994</v>
      </c>
      <c r="F10" s="2691" t="s">
        <v>5835</v>
      </c>
      <c r="G10" s="2687">
        <v>160</v>
      </c>
    </row>
    <row r="11" spans="1:7">
      <c r="A11" s="2688"/>
      <c r="B11" s="2686"/>
      <c r="C11" s="2688" t="s">
        <v>5836</v>
      </c>
      <c r="D11" s="2689">
        <f>MAX(D10,D9-D10)</f>
        <v>95.637853574999994</v>
      </c>
      <c r="F11" s="2691" t="s">
        <v>5837</v>
      </c>
      <c r="G11" s="2687">
        <v>0.9</v>
      </c>
    </row>
    <row r="12" spans="1:7" ht="15.75">
      <c r="A12" s="2690"/>
      <c r="B12" s="2690"/>
      <c r="C12" s="2690"/>
      <c r="D12" s="2690"/>
      <c r="F12" s="2691" t="s">
        <v>5838</v>
      </c>
      <c r="G12">
        <f>G9*G10/600/G11</f>
        <v>12.4444444444444</v>
      </c>
    </row>
    <row r="13" spans="1:7">
      <c r="A13" s="2688" t="s">
        <v>5839</v>
      </c>
      <c r="B13" s="2687">
        <v>30</v>
      </c>
      <c r="C13" s="2688" t="s">
        <v>5840</v>
      </c>
      <c r="D13" s="2689">
        <f>B13/B5*1000+B15/B7</f>
        <v>61.115549769384302</v>
      </c>
    </row>
    <row r="14" spans="1:7">
      <c r="A14" s="2688" t="s">
        <v>5841</v>
      </c>
      <c r="B14" s="2687">
        <v>20</v>
      </c>
      <c r="C14" s="2688" t="s">
        <v>5842</v>
      </c>
      <c r="D14" s="2689">
        <f>B14/B6*1000+B15*B7</f>
        <v>69.010331717913601</v>
      </c>
    </row>
    <row r="15" spans="1:7">
      <c r="A15" s="2688" t="s">
        <v>5843</v>
      </c>
      <c r="B15" s="2687">
        <v>0</v>
      </c>
      <c r="C15" s="2688"/>
      <c r="D15" s="2688"/>
    </row>
    <row r="16" spans="1:7">
      <c r="F16" s="2688" t="s">
        <v>5840</v>
      </c>
      <c r="G16" s="2687">
        <v>160</v>
      </c>
    </row>
    <row r="17" spans="1:7">
      <c r="A17" t="s">
        <v>5844</v>
      </c>
      <c r="F17" s="2688" t="s">
        <v>5842</v>
      </c>
      <c r="G17" s="2687">
        <v>0</v>
      </c>
    </row>
    <row r="18" spans="1:7">
      <c r="A18" s="2691" t="s">
        <v>5845</v>
      </c>
      <c r="B18" s="2687">
        <v>4.5</v>
      </c>
      <c r="C18"/>
      <c r="D18"/>
      <c r="F18" s="2688" t="s">
        <v>5846</v>
      </c>
      <c r="G18">
        <f>G16*B5/1000-G17*B6/1000</f>
        <v>78.539749999999998</v>
      </c>
    </row>
    <row r="19" spans="1:7">
      <c r="A19" s="2691" t="s">
        <v>5847</v>
      </c>
      <c r="B19" s="2687">
        <v>350</v>
      </c>
      <c r="C19"/>
      <c r="D19"/>
    </row>
    <row r="20" spans="1:7">
      <c r="A20" s="2691" t="s">
        <v>5848</v>
      </c>
      <c r="B20" s="2687">
        <v>25</v>
      </c>
      <c r="C20"/>
      <c r="D20"/>
    </row>
    <row r="21" spans="1:7">
      <c r="A21" s="2691"/>
      <c r="B21" s="2691"/>
      <c r="C21"/>
      <c r="D21"/>
    </row>
    <row r="22" spans="1:7">
      <c r="A22" s="2691"/>
      <c r="B22" s="2691" t="s">
        <v>5849</v>
      </c>
      <c r="C22" s="2691" t="s">
        <v>5840</v>
      </c>
      <c r="D22" s="2691" t="s">
        <v>5842</v>
      </c>
    </row>
    <row r="23" spans="1:7">
      <c r="A23" s="2691" t="s">
        <v>5850</v>
      </c>
      <c r="B23" s="2687">
        <v>50</v>
      </c>
      <c r="C23" s="2689">
        <f>((B19+B20*(1+B18))-B23/B6*1000)/(B18+B7)</f>
        <v>50.853410190428697</v>
      </c>
      <c r="D23" s="2689">
        <f>C23*B7+B23/B6*1000</f>
        <v>258.65965414307101</v>
      </c>
    </row>
    <row r="24" spans="1:7">
      <c r="A24" s="2691" t="s">
        <v>5851</v>
      </c>
      <c r="B24" s="2687">
        <v>70</v>
      </c>
      <c r="C24" s="2689">
        <f>D24/B7+B24/B5*1000</f>
        <v>182.60515334326101</v>
      </c>
      <c r="D24" s="2689">
        <f>(B19+B20*(1+B18)-B24/B5*1000)/(B18+1/B7)</f>
        <v>67.754410368164301</v>
      </c>
    </row>
    <row r="27" spans="1:7">
      <c r="A27" t="s">
        <v>5852</v>
      </c>
      <c r="E27" s="2688" t="s">
        <v>5853</v>
      </c>
      <c r="F27" s="2688" t="s">
        <v>5854</v>
      </c>
    </row>
    <row r="28" spans="1:7">
      <c r="A28" s="2688" t="s">
        <v>5855</v>
      </c>
      <c r="B28" s="2687">
        <v>3</v>
      </c>
      <c r="C28" s="2688"/>
      <c r="E28" s="2688" t="s">
        <v>5856</v>
      </c>
      <c r="F28" s="2686">
        <v>0.25</v>
      </c>
    </row>
    <row r="29" spans="1:7" ht="18.75">
      <c r="A29" s="2688" t="s">
        <v>5857</v>
      </c>
      <c r="B29" s="2687">
        <v>1</v>
      </c>
      <c r="C29" s="2688"/>
      <c r="E29" s="2688" t="s">
        <v>5858</v>
      </c>
      <c r="F29" s="2686">
        <v>1</v>
      </c>
    </row>
    <row r="30" spans="1:7">
      <c r="A30" s="2688" t="s">
        <v>5859</v>
      </c>
      <c r="B30" s="2686">
        <v>85</v>
      </c>
      <c r="C30" s="2688"/>
      <c r="E30" s="2688" t="s">
        <v>5860</v>
      </c>
      <c r="F30" s="2686">
        <v>2</v>
      </c>
    </row>
    <row r="31" spans="1:7">
      <c r="A31" s="2688"/>
      <c r="B31" s="2689" t="str">
        <f>IF(4*(D3+C3)/B3-B30*B29^0.5&gt;0,"↓","×")</f>
        <v>↓</v>
      </c>
      <c r="C31" s="2689" t="str">
        <f>IF(4*(C3+D3)/B3-B30*B29^0.5&lt;0,"↓","×")</f>
        <v>×</v>
      </c>
      <c r="E31" s="2688" t="s">
        <v>5861</v>
      </c>
      <c r="F31" s="2686">
        <v>4</v>
      </c>
    </row>
    <row r="32" spans="1:7">
      <c r="A32" s="2688" t="s">
        <v>5862</v>
      </c>
      <c r="B32" s="2689">
        <f>B29*B3^4*3.14159^3*20.6/(64*(C3+D3)^2)/B28</f>
        <v>28.1532862184404</v>
      </c>
      <c r="C32" s="2689">
        <f>(0.049*3.14159*B3^2*0.25)/(1+16*(C3+D3)^2/(5000*B29*B3^2))/B28</f>
        <v>30.7491455680399</v>
      </c>
    </row>
    <row r="33" spans="1:7">
      <c r="A33" s="2688" t="s">
        <v>5863</v>
      </c>
      <c r="B33" s="2689">
        <f>B32/B5*1000</f>
        <v>57.353452168493803</v>
      </c>
      <c r="C33" s="2689">
        <f>C32/B5*1000</f>
        <v>62.641697877652902</v>
      </c>
    </row>
    <row r="36" spans="1:7">
      <c r="A36" t="s">
        <v>5864</v>
      </c>
    </row>
    <row r="37" spans="1:7">
      <c r="A37" s="2688" t="s">
        <v>5865</v>
      </c>
      <c r="B37" s="2687">
        <v>410</v>
      </c>
      <c r="C37" s="2688"/>
      <c r="E37" s="2688" t="s">
        <v>434</v>
      </c>
      <c r="F37" s="2688" t="s">
        <v>5866</v>
      </c>
      <c r="G37" s="2688" t="s">
        <v>5867</v>
      </c>
    </row>
    <row r="38" spans="1:7">
      <c r="A38" s="2688" t="s">
        <v>5868</v>
      </c>
      <c r="B38" s="2687">
        <v>320</v>
      </c>
      <c r="C38" s="2688"/>
      <c r="E38" s="2688" t="s">
        <v>5869</v>
      </c>
      <c r="F38" s="2688" t="s">
        <v>5870</v>
      </c>
      <c r="G38" s="2688" t="s">
        <v>5871</v>
      </c>
    </row>
    <row r="39" spans="1:7">
      <c r="A39" s="2688" t="s">
        <v>5872</v>
      </c>
      <c r="B39" s="2687">
        <v>5</v>
      </c>
      <c r="C39" s="2688"/>
      <c r="E39" s="2688" t="s">
        <v>5873</v>
      </c>
      <c r="F39" s="2688" t="s">
        <v>5874</v>
      </c>
      <c r="G39" s="2688" t="s">
        <v>5875</v>
      </c>
    </row>
    <row r="40" spans="1:7">
      <c r="A40" s="2688" t="s">
        <v>5876</v>
      </c>
      <c r="B40" s="2689">
        <f>B38/10*A3/(2*B37/B39)</f>
        <v>48.780487804878</v>
      </c>
      <c r="C40" s="2688" t="s">
        <v>5877</v>
      </c>
    </row>
    <row r="41" spans="1:7">
      <c r="A41" s="2688" t="s">
        <v>5876</v>
      </c>
      <c r="B41" s="2689">
        <f>A3/2*(((B37/B39+0.4*B38/10)/(B37/B39-1.3*B38/10))^0.5-1)</f>
        <v>66.480035409428595</v>
      </c>
      <c r="C41" s="2688" t="s">
        <v>5878</v>
      </c>
    </row>
    <row r="43" spans="1:7">
      <c r="A43" t="s">
        <v>5879</v>
      </c>
    </row>
    <row r="44" spans="1:7">
      <c r="A44" s="2691" t="s">
        <v>5880</v>
      </c>
      <c r="B44" s="2687">
        <v>410</v>
      </c>
    </row>
    <row r="45" spans="1:7">
      <c r="A45" s="2691" t="s">
        <v>5872</v>
      </c>
      <c r="B45" s="2687">
        <v>1.4</v>
      </c>
    </row>
    <row r="46" spans="1:7">
      <c r="A46" s="2691" t="s">
        <v>5881</v>
      </c>
      <c r="B46">
        <f>((B13*B45)/(3.14159*B44*25))^0.5*1000</f>
        <v>36.115028304966998</v>
      </c>
    </row>
    <row r="48" spans="1:7">
      <c r="A48"/>
      <c r="B48"/>
      <c r="C48"/>
      <c r="D48"/>
      <c r="E48"/>
    </row>
    <row r="49" spans="1:5">
      <c r="A49"/>
      <c r="B49"/>
      <c r="C49"/>
      <c r="D49"/>
      <c r="E49"/>
    </row>
    <row r="50" spans="1:5" ht="18.75">
      <c r="A50" t="s">
        <v>5882</v>
      </c>
      <c r="B50"/>
      <c r="C50"/>
      <c r="D50" t="s">
        <v>5883</v>
      </c>
      <c r="E50" t="s">
        <v>5884</v>
      </c>
    </row>
    <row r="51" spans="1:5" ht="18.75">
      <c r="A51"/>
      <c r="B51"/>
      <c r="C51"/>
      <c r="D51" t="s">
        <v>5885</v>
      </c>
      <c r="E51" t="s">
        <v>5886</v>
      </c>
    </row>
    <row r="52" spans="1:5">
      <c r="A52"/>
      <c r="B52"/>
      <c r="C52"/>
      <c r="D52" t="s">
        <v>5887</v>
      </c>
      <c r="E52" t="s">
        <v>5888</v>
      </c>
    </row>
    <row r="53" spans="1:5">
      <c r="A53" t="s">
        <v>5889</v>
      </c>
      <c r="B53"/>
      <c r="C53"/>
      <c r="D53" t="s">
        <v>5890</v>
      </c>
      <c r="E53" t="s">
        <v>5891</v>
      </c>
    </row>
    <row r="54" spans="1:5">
      <c r="A54"/>
      <c r="B54"/>
      <c r="C54"/>
      <c r="D54"/>
      <c r="E54"/>
    </row>
  </sheetData>
  <sheetProtection sheet="1" formatCells="0" formatColumns="0" formatRows="0" insertColumns="0" insertRows="0" insertHyperlinks="0" deleteColumns="0" deleteRows="0" sort="0" autoFilter="0" pivotTables="0"/>
  <protectedRanges>
    <protectedRange sqref="A3 B3 C3 D3 B9 B10 B13 B14 B15 B19 B18 B20 B23 B24 B37 B38 B39 B28 B29 B30" name="区域1"/>
  </protectedRanges>
  <phoneticPr fontId="214" type="noConversion"/>
  <pageMargins left="0.75" right="0.75" top="1" bottom="1" header="0.5" footer="0.5"/>
  <pageSetup paperSize="9" orientation="portrait" horizontalDpi="1200" verticalDpi="1200"/>
  <headerFooter scaleWithDoc="0" alignWithMargins="0"/>
  <drawing r:id="rId1"/>
  <legacyDrawing r:id="rId2"/>
  <oleObjects>
    <mc:AlternateContent xmlns:mc="http://schemas.openxmlformats.org/markup-compatibility/2006">
      <mc:Choice Requires="x14">
        <oleObject progId="Equation.3" shapeId="1253377" r:id="rId3">
          <objectPr defaultSize="0" altText="" r:id="rId4">
            <anchor moveWithCells="1">
              <from>
                <xdr:col>0</xdr:col>
                <xdr:colOff>1524000</xdr:colOff>
                <xdr:row>48</xdr:row>
                <xdr:rowOff>19050</xdr:rowOff>
              </from>
              <to>
                <xdr:col>1</xdr:col>
                <xdr:colOff>904875</xdr:colOff>
                <xdr:row>50</xdr:row>
                <xdr:rowOff>133350</xdr:rowOff>
              </to>
            </anchor>
          </objectPr>
        </oleObject>
      </mc:Choice>
      <mc:Fallback>
        <oleObject progId="Equation.3" shapeId="1253377" r:id="rId3"/>
      </mc:Fallback>
    </mc:AlternateContent>
    <mc:AlternateContent xmlns:mc="http://schemas.openxmlformats.org/markup-compatibility/2006">
      <mc:Choice Requires="x14">
        <oleObject progId="Equation.3" shapeId="1253378" r:id="rId5">
          <objectPr defaultSize="0" altText="" r:id="rId6">
            <anchor moveWithCells="1">
              <from>
                <xdr:col>0</xdr:col>
                <xdr:colOff>1428750</xdr:colOff>
                <xdr:row>50</xdr:row>
                <xdr:rowOff>228600</xdr:rowOff>
              </from>
              <to>
                <xdr:col>2</xdr:col>
                <xdr:colOff>371475</xdr:colOff>
                <xdr:row>53</xdr:row>
                <xdr:rowOff>114300</xdr:rowOff>
              </to>
            </anchor>
          </objectPr>
        </oleObject>
      </mc:Choice>
      <mc:Fallback>
        <oleObject progId="Equation.3" shapeId="1253378" r:id="rId5"/>
      </mc:Fallback>
    </mc:AlternateContent>
    <mc:AlternateContent xmlns:mc="http://schemas.openxmlformats.org/markup-compatibility/2006">
      <mc:Choice Requires="x14">
        <oleObject progId="AutoCAD.Drawing.16" shapeId="1253379" r:id="rId7">
          <objectPr defaultSize="0" altText="" r:id="rId8">
            <anchor moveWithCells="1">
              <from>
                <xdr:col>2</xdr:col>
                <xdr:colOff>581025</xdr:colOff>
                <xdr:row>17</xdr:row>
                <xdr:rowOff>0</xdr:rowOff>
              </from>
              <to>
                <xdr:col>2</xdr:col>
                <xdr:colOff>1143000</xdr:colOff>
                <xdr:row>20</xdr:row>
                <xdr:rowOff>114300</xdr:rowOff>
              </to>
            </anchor>
          </objectPr>
        </oleObject>
      </mc:Choice>
      <mc:Fallback>
        <oleObject progId="AutoCAD.Drawing.16" shapeId="1253379" r:id="rId7"/>
      </mc:Fallback>
    </mc:AlternateContent>
    <mc:AlternateContent xmlns:mc="http://schemas.openxmlformats.org/markup-compatibility/2006">
      <mc:Choice Requires="x14">
        <oleObject progId="AutoCAD.Drawing.16" shapeId="1253380" r:id="rId9">
          <objectPr defaultSize="0" altText="" r:id="rId10">
            <anchor moveWithCells="1">
              <from>
                <xdr:col>3</xdr:col>
                <xdr:colOff>342900</xdr:colOff>
                <xdr:row>17</xdr:row>
                <xdr:rowOff>19050</xdr:rowOff>
              </from>
              <to>
                <xdr:col>3</xdr:col>
                <xdr:colOff>838200</xdr:colOff>
                <xdr:row>20</xdr:row>
                <xdr:rowOff>76200</xdr:rowOff>
              </to>
            </anchor>
          </objectPr>
        </oleObject>
      </mc:Choice>
      <mc:Fallback>
        <oleObject progId="AutoCAD.Drawing.16" shapeId="1253380" r:id="rId9"/>
      </mc:Fallback>
    </mc:AlternateContent>
  </oleObjec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L2907"/>
  <sheetViews>
    <sheetView workbookViewId="0">
      <pane ySplit="3" topLeftCell="A4" activePane="bottomLeft" state="frozen"/>
      <selection pane="bottomLeft" activeCell="N8" activeCellId="1" sqref="M1 N8"/>
    </sheetView>
  </sheetViews>
  <sheetFormatPr defaultColWidth="8.75" defaultRowHeight="14.25"/>
  <cols>
    <col min="1" max="1" width="13.875" style="2678"/>
    <col min="2" max="2" width="23.125" style="2678" customWidth="1"/>
    <col min="3" max="4" width="8.5" style="2678"/>
    <col min="5" max="5" width="10.5" style="2678"/>
    <col min="6" max="6" width="5.5" style="2678"/>
    <col min="7" max="7" width="6.5" style="2678"/>
    <col min="8" max="9" width="9.625" style="2678"/>
    <col min="10" max="10" width="8.5" style="2678"/>
    <col min="11" max="11" width="8.75" style="2679"/>
    <col min="12" max="12" width="22.5" style="2678" customWidth="1"/>
    <col min="13" max="16384" width="8.75" style="2679"/>
  </cols>
  <sheetData>
    <row r="1" spans="1:12" ht="40.9" customHeight="1">
      <c r="A1" s="4857" t="s">
        <v>5892</v>
      </c>
      <c r="B1" s="4857"/>
      <c r="C1" s="4857"/>
      <c r="D1" s="4857"/>
      <c r="E1" s="4857"/>
      <c r="F1" s="4857"/>
      <c r="G1" s="4857"/>
      <c r="H1" s="4857"/>
      <c r="I1" s="4857"/>
      <c r="J1" s="4857"/>
      <c r="K1" s="4857"/>
      <c r="L1" s="4857"/>
    </row>
    <row r="2" spans="1:12">
      <c r="A2" s="4858" t="s">
        <v>5893</v>
      </c>
      <c r="B2" s="4859" t="s">
        <v>5894</v>
      </c>
      <c r="C2" s="2680" t="s">
        <v>5895</v>
      </c>
      <c r="D2" s="2680" t="s">
        <v>1916</v>
      </c>
      <c r="E2" s="2680" t="s">
        <v>5896</v>
      </c>
      <c r="F2" s="2680" t="s">
        <v>5897</v>
      </c>
      <c r="G2" s="2680" t="s">
        <v>5898</v>
      </c>
      <c r="H2" s="2680" t="s">
        <v>5899</v>
      </c>
      <c r="I2" s="2680" t="s">
        <v>5900</v>
      </c>
      <c r="J2" s="2680" t="s">
        <v>5901</v>
      </c>
      <c r="K2" s="2684"/>
      <c r="L2" s="4859" t="s">
        <v>5902</v>
      </c>
    </row>
    <row r="3" spans="1:12">
      <c r="A3" s="4859"/>
      <c r="B3" s="4859"/>
      <c r="C3" s="2681" t="s">
        <v>5903</v>
      </c>
      <c r="D3" s="2681" t="s">
        <v>5903</v>
      </c>
      <c r="E3" s="2681" t="s">
        <v>5903</v>
      </c>
      <c r="F3" s="2681" t="s">
        <v>5904</v>
      </c>
      <c r="G3" s="2681" t="s">
        <v>5904</v>
      </c>
      <c r="H3" s="2681" t="s">
        <v>5905</v>
      </c>
      <c r="I3" s="2681" t="s">
        <v>5905</v>
      </c>
      <c r="J3" s="2681" t="s">
        <v>5906</v>
      </c>
      <c r="K3" s="2684"/>
      <c r="L3" s="4859"/>
    </row>
    <row r="4" spans="1:12">
      <c r="A4" s="2682" t="s">
        <v>146</v>
      </c>
      <c r="B4" s="2682">
        <v>30202</v>
      </c>
      <c r="C4" s="2682">
        <v>15</v>
      </c>
      <c r="D4" s="2682">
        <v>35</v>
      </c>
      <c r="E4" s="2682">
        <v>11</v>
      </c>
      <c r="F4" s="2682">
        <v>14.9</v>
      </c>
      <c r="G4" s="2682">
        <v>13.4</v>
      </c>
      <c r="H4" s="2682">
        <v>12000</v>
      </c>
      <c r="I4" s="2682">
        <v>16000</v>
      </c>
      <c r="J4" s="2682">
        <v>5.2999999999999999E-2</v>
      </c>
      <c r="L4" s="2682" t="s">
        <v>5907</v>
      </c>
    </row>
    <row r="5" spans="1:12">
      <c r="A5" s="2683" t="s">
        <v>146</v>
      </c>
      <c r="B5" s="2683">
        <v>30244</v>
      </c>
      <c r="C5" s="2683">
        <v>220</v>
      </c>
      <c r="D5" s="2683">
        <v>400</v>
      </c>
      <c r="E5" s="2683">
        <v>73</v>
      </c>
      <c r="F5" s="2683" t="s">
        <v>5908</v>
      </c>
      <c r="G5" s="2683" t="s">
        <v>5908</v>
      </c>
      <c r="H5" s="2683" t="s">
        <v>5908</v>
      </c>
      <c r="I5" s="2683" t="s">
        <v>5908</v>
      </c>
      <c r="J5" s="2683">
        <v>35.5</v>
      </c>
      <c r="K5" s="2684"/>
      <c r="L5" s="2683" t="s">
        <v>5909</v>
      </c>
    </row>
    <row r="6" spans="1:12">
      <c r="A6" s="2682" t="s">
        <v>146</v>
      </c>
      <c r="B6" s="2682">
        <v>30340</v>
      </c>
      <c r="C6" s="2682">
        <v>200</v>
      </c>
      <c r="D6" s="2682">
        <v>420</v>
      </c>
      <c r="E6" s="2682">
        <v>80</v>
      </c>
      <c r="F6" s="2682">
        <v>1120</v>
      </c>
      <c r="G6" s="2682">
        <v>1450</v>
      </c>
      <c r="H6" s="2682">
        <v>820</v>
      </c>
      <c r="I6" s="2682">
        <v>1100</v>
      </c>
      <c r="J6" s="2682">
        <v>53.5</v>
      </c>
      <c r="L6" s="2682" t="s">
        <v>5910</v>
      </c>
    </row>
    <row r="7" spans="1:12">
      <c r="A7" s="2683" t="s">
        <v>146</v>
      </c>
      <c r="B7" s="2683">
        <v>30352</v>
      </c>
      <c r="C7" s="2683">
        <v>260</v>
      </c>
      <c r="D7" s="2683">
        <v>540</v>
      </c>
      <c r="E7" s="2683">
        <v>114</v>
      </c>
      <c r="F7" s="2683" t="s">
        <v>5908</v>
      </c>
      <c r="G7" s="2683" t="s">
        <v>5908</v>
      </c>
      <c r="H7" s="2683" t="s">
        <v>5908</v>
      </c>
      <c r="I7" s="2683" t="s">
        <v>5908</v>
      </c>
      <c r="J7" s="2683">
        <v>108</v>
      </c>
      <c r="K7" s="2684"/>
      <c r="L7" s="2683" t="s">
        <v>5911</v>
      </c>
    </row>
    <row r="8" spans="1:12">
      <c r="A8" s="2682" t="s">
        <v>146</v>
      </c>
      <c r="B8" s="2682">
        <v>32205</v>
      </c>
      <c r="C8" s="2682">
        <v>25</v>
      </c>
      <c r="D8" s="2682">
        <v>72</v>
      </c>
      <c r="E8" s="2682">
        <v>24.25</v>
      </c>
      <c r="F8" s="2682" t="s">
        <v>5908</v>
      </c>
      <c r="G8" s="2682" t="s">
        <v>5908</v>
      </c>
      <c r="H8" s="2682" t="s">
        <v>5908</v>
      </c>
      <c r="I8" s="2682" t="s">
        <v>5908</v>
      </c>
      <c r="J8" s="2682">
        <v>0.17399999999999999</v>
      </c>
      <c r="L8" s="2682">
        <v>7505</v>
      </c>
    </row>
    <row r="9" spans="1:12">
      <c r="A9" s="2683" t="s">
        <v>146</v>
      </c>
      <c r="B9" s="2683">
        <v>30302</v>
      </c>
      <c r="C9" s="2683">
        <v>15</v>
      </c>
      <c r="D9" s="2683">
        <v>42</v>
      </c>
      <c r="E9" s="2683">
        <v>13</v>
      </c>
      <c r="F9" s="2683">
        <v>22.8</v>
      </c>
      <c r="G9" s="2683">
        <v>21.5</v>
      </c>
      <c r="H9" s="2683">
        <v>9000</v>
      </c>
      <c r="I9" s="2683">
        <v>12000</v>
      </c>
      <c r="J9" s="2683">
        <v>9.4E-2</v>
      </c>
      <c r="K9" s="2684"/>
      <c r="L9" s="2683" t="s">
        <v>5912</v>
      </c>
    </row>
    <row r="10" spans="1:12">
      <c r="A10" s="2682" t="s">
        <v>146</v>
      </c>
      <c r="B10" s="2682">
        <v>30203</v>
      </c>
      <c r="C10" s="2682">
        <v>17</v>
      </c>
      <c r="D10" s="2682">
        <v>40</v>
      </c>
      <c r="E10" s="2682">
        <v>12</v>
      </c>
      <c r="F10" s="2682">
        <v>20.8</v>
      </c>
      <c r="G10" s="2682">
        <v>21.8</v>
      </c>
      <c r="H10" s="2682">
        <v>9000</v>
      </c>
      <c r="I10" s="2682">
        <v>12000</v>
      </c>
      <c r="J10" s="2682">
        <v>7.9000000000000001E-2</v>
      </c>
      <c r="L10" s="2682" t="s">
        <v>5913</v>
      </c>
    </row>
    <row r="11" spans="1:12">
      <c r="A11" s="2683" t="s">
        <v>146</v>
      </c>
      <c r="B11" s="2683">
        <v>30303</v>
      </c>
      <c r="C11" s="2683">
        <v>17</v>
      </c>
      <c r="D11" s="2683">
        <v>47</v>
      </c>
      <c r="E11" s="2683">
        <v>14</v>
      </c>
      <c r="F11" s="2683">
        <v>28.2</v>
      </c>
      <c r="G11" s="2683">
        <v>27.2</v>
      </c>
      <c r="H11" s="2683">
        <v>8500</v>
      </c>
      <c r="I11" s="2683">
        <v>11000</v>
      </c>
      <c r="J11" s="2683">
        <v>0.129</v>
      </c>
      <c r="K11" s="2684"/>
      <c r="L11" s="2683" t="s">
        <v>5914</v>
      </c>
    </row>
    <row r="12" spans="1:12">
      <c r="A12" s="2682" t="s">
        <v>146</v>
      </c>
      <c r="B12" s="2682">
        <v>32303</v>
      </c>
      <c r="C12" s="2682">
        <v>17</v>
      </c>
      <c r="D12" s="2682">
        <v>47</v>
      </c>
      <c r="E12" s="2682">
        <v>19</v>
      </c>
      <c r="F12" s="2682">
        <v>31.9</v>
      </c>
      <c r="G12" s="2682">
        <v>29.9</v>
      </c>
      <c r="H12" s="2682">
        <v>9400</v>
      </c>
      <c r="I12" s="2682">
        <v>13000</v>
      </c>
      <c r="J12" s="2682">
        <v>0.17</v>
      </c>
      <c r="L12" s="2682" t="s">
        <v>5915</v>
      </c>
    </row>
    <row r="13" spans="1:12">
      <c r="A13" s="2683" t="s">
        <v>146</v>
      </c>
      <c r="B13" s="2683">
        <v>32904</v>
      </c>
      <c r="C13" s="2683">
        <v>20</v>
      </c>
      <c r="D13" s="2683">
        <v>37</v>
      </c>
      <c r="E13" s="2683">
        <v>12</v>
      </c>
      <c r="F13" s="2683">
        <v>13.2</v>
      </c>
      <c r="G13" s="2683">
        <v>17.5</v>
      </c>
      <c r="H13" s="2683">
        <v>9500</v>
      </c>
      <c r="I13" s="2683">
        <v>13000</v>
      </c>
      <c r="J13" s="2683">
        <v>5.6000000000000001E-2</v>
      </c>
      <c r="K13" s="2684"/>
      <c r="L13" s="2683" t="s">
        <v>5916</v>
      </c>
    </row>
    <row r="14" spans="1:12">
      <c r="A14" s="2682" t="s">
        <v>146</v>
      </c>
      <c r="B14" s="2682">
        <v>32004</v>
      </c>
      <c r="C14" s="2682">
        <v>20</v>
      </c>
      <c r="D14" s="2682">
        <v>42</v>
      </c>
      <c r="E14" s="2682">
        <v>15</v>
      </c>
      <c r="F14" s="2682">
        <v>25</v>
      </c>
      <c r="G14" s="2682">
        <v>28.2</v>
      </c>
      <c r="H14" s="2682">
        <v>8500</v>
      </c>
      <c r="I14" s="2682">
        <v>11000</v>
      </c>
      <c r="J14" s="2682">
        <v>9.5000000000000001E-2</v>
      </c>
      <c r="L14" s="2682" t="s">
        <v>5917</v>
      </c>
    </row>
    <row r="15" spans="1:12">
      <c r="A15" s="2683" t="s">
        <v>146</v>
      </c>
      <c r="B15" s="2683">
        <v>30204</v>
      </c>
      <c r="C15" s="2683">
        <v>20</v>
      </c>
      <c r="D15" s="2683">
        <v>47</v>
      </c>
      <c r="E15" s="2683">
        <v>14</v>
      </c>
      <c r="F15" s="2683">
        <v>28.2</v>
      </c>
      <c r="G15" s="2683">
        <v>30.5</v>
      </c>
      <c r="H15" s="2683">
        <v>8000</v>
      </c>
      <c r="I15" s="2683">
        <v>10000</v>
      </c>
      <c r="J15" s="2683">
        <v>0.126</v>
      </c>
      <c r="K15" s="2684"/>
      <c r="L15" s="2683" t="s">
        <v>5918</v>
      </c>
    </row>
    <row r="16" spans="1:12">
      <c r="A16" s="2682" t="s">
        <v>146</v>
      </c>
      <c r="B16" s="2682">
        <v>30304</v>
      </c>
      <c r="C16" s="2682">
        <v>20</v>
      </c>
      <c r="D16" s="2682">
        <v>52</v>
      </c>
      <c r="E16" s="2682">
        <v>15</v>
      </c>
      <c r="F16" s="2682">
        <v>30.5</v>
      </c>
      <c r="G16" s="2682">
        <v>28.4</v>
      </c>
      <c r="H16" s="2682">
        <v>8300</v>
      </c>
      <c r="I16" s="2682">
        <v>11000</v>
      </c>
      <c r="J16" s="2682">
        <v>0.17</v>
      </c>
      <c r="L16" s="2682" t="s">
        <v>5919</v>
      </c>
    </row>
    <row r="17" spans="1:12">
      <c r="A17" s="2683" t="s">
        <v>146</v>
      </c>
      <c r="B17" s="2683">
        <v>32304</v>
      </c>
      <c r="C17" s="2683">
        <v>20</v>
      </c>
      <c r="D17" s="2683">
        <v>52</v>
      </c>
      <c r="E17" s="2683">
        <v>21</v>
      </c>
      <c r="F17" s="2683">
        <v>42.8</v>
      </c>
      <c r="G17" s="2683">
        <v>46.2</v>
      </c>
      <c r="H17" s="2683">
        <v>7500</v>
      </c>
      <c r="I17" s="2683">
        <v>9500</v>
      </c>
      <c r="J17" s="2683">
        <v>0.23</v>
      </c>
      <c r="K17" s="2684"/>
      <c r="L17" s="2683" t="s">
        <v>5920</v>
      </c>
    </row>
    <row r="18" spans="1:12">
      <c r="A18" s="2682" t="s">
        <v>146</v>
      </c>
      <c r="B18" s="2682" t="s">
        <v>5921</v>
      </c>
      <c r="C18" s="2682">
        <v>22</v>
      </c>
      <c r="D18" s="2682">
        <v>40</v>
      </c>
      <c r="E18" s="2682">
        <v>12</v>
      </c>
      <c r="F18" s="2682">
        <v>15</v>
      </c>
      <c r="G18" s="2682">
        <v>20</v>
      </c>
      <c r="H18" s="2682">
        <v>8500</v>
      </c>
      <c r="I18" s="2682">
        <v>11000</v>
      </c>
      <c r="J18" s="2682">
        <v>6.5000000000000002E-2</v>
      </c>
      <c r="L18" s="2682" t="s">
        <v>5922</v>
      </c>
    </row>
    <row r="19" spans="1:12">
      <c r="A19" s="2683" t="s">
        <v>146</v>
      </c>
      <c r="B19" s="2683" t="s">
        <v>5923</v>
      </c>
      <c r="C19" s="2683">
        <v>22</v>
      </c>
      <c r="D19" s="2683">
        <v>44</v>
      </c>
      <c r="E19" s="2683">
        <v>15</v>
      </c>
      <c r="F19" s="2683">
        <v>26</v>
      </c>
      <c r="G19" s="2683">
        <v>30.2</v>
      </c>
      <c r="H19" s="2683">
        <v>8000</v>
      </c>
      <c r="I19" s="2683">
        <v>10000</v>
      </c>
      <c r="J19" s="2683">
        <v>0.1</v>
      </c>
      <c r="K19" s="2684"/>
      <c r="L19" s="2683" t="s">
        <v>5924</v>
      </c>
    </row>
    <row r="20" spans="1:12">
      <c r="A20" s="2682" t="s">
        <v>146</v>
      </c>
      <c r="B20" s="2682">
        <v>32905</v>
      </c>
      <c r="C20" s="2682">
        <v>25</v>
      </c>
      <c r="D20" s="2682">
        <v>42</v>
      </c>
      <c r="E20" s="2682">
        <v>12</v>
      </c>
      <c r="F20" s="2682">
        <v>16</v>
      </c>
      <c r="G20" s="2682">
        <v>21</v>
      </c>
      <c r="H20" s="2682">
        <v>6300</v>
      </c>
      <c r="I20" s="2682">
        <v>10000</v>
      </c>
      <c r="J20" s="2682">
        <v>6.4000000000000001E-2</v>
      </c>
      <c r="L20" s="2682" t="s">
        <v>5925</v>
      </c>
    </row>
    <row r="21" spans="1:12">
      <c r="A21" s="2683" t="s">
        <v>146</v>
      </c>
      <c r="B21" s="2683">
        <v>32005</v>
      </c>
      <c r="C21" s="2683">
        <v>25</v>
      </c>
      <c r="D21" s="2683">
        <v>47</v>
      </c>
      <c r="E21" s="2683">
        <v>15</v>
      </c>
      <c r="F21" s="2683">
        <v>28</v>
      </c>
      <c r="G21" s="2683">
        <v>34</v>
      </c>
      <c r="H21" s="2683">
        <v>7500</v>
      </c>
      <c r="I21" s="2683">
        <v>9500</v>
      </c>
      <c r="J21" s="2683">
        <v>0.11</v>
      </c>
      <c r="K21" s="2684"/>
      <c r="L21" s="2683" t="s">
        <v>5926</v>
      </c>
    </row>
    <row r="22" spans="1:12">
      <c r="A22" s="2682" t="s">
        <v>146</v>
      </c>
      <c r="B22" s="2682">
        <v>33005</v>
      </c>
      <c r="C22" s="2682">
        <v>25</v>
      </c>
      <c r="D22" s="2682">
        <v>47</v>
      </c>
      <c r="E22" s="2682">
        <v>17</v>
      </c>
      <c r="F22" s="2682">
        <v>32.5</v>
      </c>
      <c r="G22" s="2682">
        <v>42.5</v>
      </c>
      <c r="H22" s="2682">
        <v>7500</v>
      </c>
      <c r="I22" s="2682">
        <v>9500</v>
      </c>
      <c r="J22" s="2682">
        <v>0.129</v>
      </c>
      <c r="L22" s="2682" t="s">
        <v>5927</v>
      </c>
    </row>
    <row r="23" spans="1:12">
      <c r="A23" s="2683" t="s">
        <v>146</v>
      </c>
      <c r="B23" s="2683">
        <v>30205</v>
      </c>
      <c r="C23" s="2683">
        <v>25</v>
      </c>
      <c r="D23" s="2683">
        <v>52</v>
      </c>
      <c r="E23" s="2683">
        <v>15</v>
      </c>
      <c r="F23" s="2683">
        <v>32.200000000000003</v>
      </c>
      <c r="G23" s="2683">
        <v>37</v>
      </c>
      <c r="H23" s="2683">
        <v>7000</v>
      </c>
      <c r="I23" s="2683">
        <v>9000</v>
      </c>
      <c r="J23" s="2683">
        <v>0.154</v>
      </c>
      <c r="K23" s="2684"/>
      <c r="L23" s="2683" t="s">
        <v>5928</v>
      </c>
    </row>
    <row r="24" spans="1:12">
      <c r="A24" s="2682" t="s">
        <v>146</v>
      </c>
      <c r="B24" s="2682">
        <v>33205</v>
      </c>
      <c r="C24" s="2682">
        <v>25</v>
      </c>
      <c r="D24" s="2682">
        <v>52</v>
      </c>
      <c r="E24" s="2682">
        <v>22</v>
      </c>
      <c r="F24" s="2682">
        <v>47</v>
      </c>
      <c r="G24" s="2682">
        <v>55.8</v>
      </c>
      <c r="H24" s="2682">
        <v>7000</v>
      </c>
      <c r="I24" s="2682">
        <v>9000</v>
      </c>
      <c r="J24" s="2682">
        <v>0.216</v>
      </c>
      <c r="L24" s="2682" t="s">
        <v>5929</v>
      </c>
    </row>
    <row r="25" spans="1:12">
      <c r="A25" s="2683" t="s">
        <v>146</v>
      </c>
      <c r="B25" s="2683">
        <v>30305</v>
      </c>
      <c r="C25" s="2683">
        <v>25</v>
      </c>
      <c r="D25" s="2683">
        <v>62</v>
      </c>
      <c r="E25" s="2683">
        <v>17</v>
      </c>
      <c r="F25" s="2683">
        <v>46.8</v>
      </c>
      <c r="G25" s="2683">
        <v>48</v>
      </c>
      <c r="H25" s="2683">
        <v>6300</v>
      </c>
      <c r="I25" s="2683">
        <v>8000</v>
      </c>
      <c r="J25" s="2683">
        <v>0.26300000000000001</v>
      </c>
      <c r="K25" s="2684"/>
      <c r="L25" s="2683" t="s">
        <v>5930</v>
      </c>
    </row>
    <row r="26" spans="1:12">
      <c r="A26" s="2682" t="s">
        <v>146</v>
      </c>
      <c r="B26" s="2682">
        <v>31305</v>
      </c>
      <c r="C26" s="2682">
        <v>25</v>
      </c>
      <c r="D26" s="2682">
        <v>62</v>
      </c>
      <c r="E26" s="2682">
        <v>17</v>
      </c>
      <c r="F26" s="2682">
        <v>40.5</v>
      </c>
      <c r="G26" s="2682">
        <v>46</v>
      </c>
      <c r="H26" s="2682">
        <v>6300</v>
      </c>
      <c r="I26" s="2682">
        <v>8000</v>
      </c>
      <c r="J26" s="2682">
        <v>0.26200000000000001</v>
      </c>
      <c r="L26" s="2682" t="s">
        <v>5931</v>
      </c>
    </row>
    <row r="27" spans="1:12">
      <c r="A27" s="2683" t="s">
        <v>146</v>
      </c>
      <c r="B27" s="2683">
        <v>32305</v>
      </c>
      <c r="C27" s="2683">
        <v>25</v>
      </c>
      <c r="D27" s="2683">
        <v>62</v>
      </c>
      <c r="E27" s="2683">
        <v>24</v>
      </c>
      <c r="F27" s="2683">
        <v>61.5</v>
      </c>
      <c r="G27" s="2683">
        <v>68.8</v>
      </c>
      <c r="H27" s="2683">
        <v>6300</v>
      </c>
      <c r="I27" s="2683">
        <v>8000</v>
      </c>
      <c r="J27" s="2683">
        <v>0.36799999999999999</v>
      </c>
      <c r="K27" s="2684"/>
      <c r="L27" s="2683" t="s">
        <v>5932</v>
      </c>
    </row>
    <row r="28" spans="1:12">
      <c r="A28" s="2682" t="s">
        <v>146</v>
      </c>
      <c r="B28" s="2682" t="s">
        <v>5933</v>
      </c>
      <c r="C28" s="2682">
        <v>28</v>
      </c>
      <c r="D28" s="2682">
        <v>45</v>
      </c>
      <c r="E28" s="2682">
        <v>12</v>
      </c>
      <c r="F28" s="2682">
        <v>16.8</v>
      </c>
      <c r="G28" s="2682">
        <v>22.8</v>
      </c>
      <c r="H28" s="2682" t="s">
        <v>5934</v>
      </c>
      <c r="I28" s="2682">
        <v>9500</v>
      </c>
      <c r="J28" s="2682">
        <v>6.9000000000000006E-2</v>
      </c>
      <c r="L28" s="2682" t="s">
        <v>5922</v>
      </c>
    </row>
    <row r="29" spans="1:12">
      <c r="A29" s="2683" t="s">
        <v>146</v>
      </c>
      <c r="B29" s="2683" t="s">
        <v>5935</v>
      </c>
      <c r="C29" s="2683">
        <v>28</v>
      </c>
      <c r="D29" s="2683">
        <v>52</v>
      </c>
      <c r="E29" s="2683">
        <v>16</v>
      </c>
      <c r="F29" s="2683">
        <v>31.5</v>
      </c>
      <c r="G29" s="2683">
        <v>40.5</v>
      </c>
      <c r="H29" s="2683">
        <v>6700</v>
      </c>
      <c r="I29" s="2683">
        <v>8500</v>
      </c>
      <c r="J29" s="2683">
        <v>0.14199999999999999</v>
      </c>
      <c r="K29" s="2684"/>
      <c r="L29" s="2683" t="s">
        <v>5936</v>
      </c>
    </row>
    <row r="30" spans="1:12">
      <c r="A30" s="2682" t="s">
        <v>146</v>
      </c>
      <c r="B30" s="2682" t="s">
        <v>5937</v>
      </c>
      <c r="C30" s="2682">
        <v>28</v>
      </c>
      <c r="D30" s="2682">
        <v>58</v>
      </c>
      <c r="E30" s="2682">
        <v>24</v>
      </c>
      <c r="F30" s="2682">
        <v>58</v>
      </c>
      <c r="G30" s="2682">
        <v>68.2</v>
      </c>
      <c r="H30" s="2682">
        <v>6300</v>
      </c>
      <c r="I30" s="2682">
        <v>8000</v>
      </c>
      <c r="J30" s="2682">
        <v>0.28599999999999998</v>
      </c>
      <c r="L30" s="2682" t="s">
        <v>5938</v>
      </c>
    </row>
    <row r="31" spans="1:12">
      <c r="A31" s="2683" t="s">
        <v>146</v>
      </c>
      <c r="B31" s="2683">
        <v>32906</v>
      </c>
      <c r="C31" s="2683">
        <v>30</v>
      </c>
      <c r="D31" s="2683">
        <v>47</v>
      </c>
      <c r="E31" s="2683">
        <v>12</v>
      </c>
      <c r="F31" s="2683">
        <v>17</v>
      </c>
      <c r="G31" s="2683">
        <v>23.2</v>
      </c>
      <c r="H31" s="2683">
        <v>7000</v>
      </c>
      <c r="I31" s="2683">
        <v>9000</v>
      </c>
      <c r="J31" s="2683">
        <v>7.1999999999999995E-2</v>
      </c>
      <c r="K31" s="2684"/>
      <c r="L31" s="2683" t="s">
        <v>5939</v>
      </c>
    </row>
    <row r="32" spans="1:12">
      <c r="A32" s="2682" t="s">
        <v>146</v>
      </c>
      <c r="B32" s="2682" t="s">
        <v>5940</v>
      </c>
      <c r="C32" s="2682">
        <v>30</v>
      </c>
      <c r="D32" s="2682">
        <v>55</v>
      </c>
      <c r="E32" s="2682">
        <v>16</v>
      </c>
      <c r="F32" s="2682">
        <v>27.8</v>
      </c>
      <c r="G32" s="2682">
        <v>35.5</v>
      </c>
      <c r="H32" s="2682">
        <v>6300</v>
      </c>
      <c r="I32" s="2682">
        <v>8000</v>
      </c>
      <c r="J32" s="2682">
        <v>0.16</v>
      </c>
      <c r="L32" s="2682" t="s">
        <v>5941</v>
      </c>
    </row>
    <row r="33" spans="1:12">
      <c r="A33" s="2683" t="s">
        <v>146</v>
      </c>
      <c r="B33" s="2683">
        <v>32006</v>
      </c>
      <c r="C33" s="2683">
        <v>30</v>
      </c>
      <c r="D33" s="2683">
        <v>55</v>
      </c>
      <c r="E33" s="2683">
        <v>17</v>
      </c>
      <c r="F33" s="2683">
        <v>35.799999999999997</v>
      </c>
      <c r="G33" s="2683">
        <v>46.8</v>
      </c>
      <c r="H33" s="2683">
        <v>6300</v>
      </c>
      <c r="I33" s="2683">
        <v>8000</v>
      </c>
      <c r="J33" s="2683">
        <v>0.17</v>
      </c>
      <c r="K33" s="2684"/>
      <c r="L33" s="2683" t="s">
        <v>5942</v>
      </c>
    </row>
    <row r="34" spans="1:12">
      <c r="A34" s="2682" t="s">
        <v>146</v>
      </c>
      <c r="B34" s="2682">
        <v>33006</v>
      </c>
      <c r="C34" s="2682">
        <v>30</v>
      </c>
      <c r="D34" s="2682">
        <v>55</v>
      </c>
      <c r="E34" s="2682">
        <v>20</v>
      </c>
      <c r="F34" s="2682">
        <v>43.8</v>
      </c>
      <c r="G34" s="2682">
        <v>58.8</v>
      </c>
      <c r="H34" s="2682">
        <v>6300</v>
      </c>
      <c r="I34" s="2682">
        <v>8000</v>
      </c>
      <c r="J34" s="2682">
        <v>0.20100000000000001</v>
      </c>
      <c r="L34" s="2682" t="s">
        <v>5943</v>
      </c>
    </row>
    <row r="35" spans="1:12">
      <c r="A35" s="2683" t="s">
        <v>146</v>
      </c>
      <c r="B35" s="2683">
        <v>30206</v>
      </c>
      <c r="C35" s="2683">
        <v>30</v>
      </c>
      <c r="D35" s="2683">
        <v>62</v>
      </c>
      <c r="E35" s="2683">
        <v>17.5</v>
      </c>
      <c r="F35" s="2683">
        <v>43.2</v>
      </c>
      <c r="G35" s="2683">
        <v>50.5</v>
      </c>
      <c r="H35" s="2683">
        <v>6000</v>
      </c>
      <c r="I35" s="2683">
        <v>7500</v>
      </c>
      <c r="J35" s="2683">
        <v>0.23100000000000001</v>
      </c>
      <c r="K35" s="2684"/>
      <c r="L35" s="2683" t="s">
        <v>5944</v>
      </c>
    </row>
    <row r="36" spans="1:12">
      <c r="A36" s="2682" t="s">
        <v>146</v>
      </c>
      <c r="B36" s="2682">
        <v>32206</v>
      </c>
      <c r="C36" s="2682">
        <v>30</v>
      </c>
      <c r="D36" s="2682">
        <v>62</v>
      </c>
      <c r="E36" s="2682">
        <v>20</v>
      </c>
      <c r="F36" s="2682">
        <v>51.8</v>
      </c>
      <c r="G36" s="2682">
        <v>63.8</v>
      </c>
      <c r="H36" s="2682">
        <v>6000</v>
      </c>
      <c r="I36" s="2682">
        <v>7500</v>
      </c>
      <c r="J36" s="2682">
        <v>0.28699999999999998</v>
      </c>
      <c r="L36" s="2682" t="s">
        <v>5945</v>
      </c>
    </row>
    <row r="37" spans="1:12">
      <c r="A37" s="2683" t="s">
        <v>146</v>
      </c>
      <c r="B37" s="2683">
        <v>33206</v>
      </c>
      <c r="C37" s="2683">
        <v>30</v>
      </c>
      <c r="D37" s="2683">
        <v>62</v>
      </c>
      <c r="E37" s="2683">
        <v>25</v>
      </c>
      <c r="F37" s="2683">
        <v>63.8</v>
      </c>
      <c r="G37" s="2683">
        <v>75.5</v>
      </c>
      <c r="H37" s="2683">
        <v>6000</v>
      </c>
      <c r="I37" s="2683">
        <v>7500</v>
      </c>
      <c r="J37" s="2683">
        <v>0.34200000000000003</v>
      </c>
      <c r="K37" s="2684"/>
      <c r="L37" s="2683" t="s">
        <v>5946</v>
      </c>
    </row>
    <row r="38" spans="1:12">
      <c r="A38" s="2682" t="s">
        <v>146</v>
      </c>
      <c r="B38" s="2682">
        <v>30306</v>
      </c>
      <c r="C38" s="2682">
        <v>30</v>
      </c>
      <c r="D38" s="2682">
        <v>72</v>
      </c>
      <c r="E38" s="2682">
        <v>21</v>
      </c>
      <c r="F38" s="2682">
        <v>59</v>
      </c>
      <c r="G38" s="2682">
        <v>63</v>
      </c>
      <c r="H38" s="2682">
        <v>5600</v>
      </c>
      <c r="I38" s="2682">
        <v>7000</v>
      </c>
      <c r="J38" s="2682">
        <v>0.38700000000000001</v>
      </c>
      <c r="L38" s="2682" t="s">
        <v>5947</v>
      </c>
    </row>
    <row r="39" spans="1:12">
      <c r="A39" s="2683" t="s">
        <v>146</v>
      </c>
      <c r="B39" s="2683">
        <v>23334</v>
      </c>
      <c r="C39" s="2683">
        <v>170</v>
      </c>
      <c r="D39" s="2683">
        <v>360</v>
      </c>
      <c r="E39" s="2683">
        <v>120</v>
      </c>
      <c r="F39" s="2683" t="s">
        <v>5922</v>
      </c>
      <c r="G39" s="2683" t="s">
        <v>5922</v>
      </c>
      <c r="H39" s="2683" t="s">
        <v>5922</v>
      </c>
      <c r="I39" s="2683" t="s">
        <v>5922</v>
      </c>
      <c r="J39" s="2683" t="s">
        <v>5922</v>
      </c>
      <c r="K39" s="2684"/>
      <c r="L39" s="2683">
        <v>7634</v>
      </c>
    </row>
    <row r="40" spans="1:12">
      <c r="A40" s="2682" t="s">
        <v>146</v>
      </c>
      <c r="B40" s="2682">
        <v>31306</v>
      </c>
      <c r="C40" s="2682">
        <v>30</v>
      </c>
      <c r="D40" s="2682">
        <v>72</v>
      </c>
      <c r="E40" s="2682">
        <v>21</v>
      </c>
      <c r="F40" s="2682">
        <v>52.5</v>
      </c>
      <c r="G40" s="2682">
        <v>60.5</v>
      </c>
      <c r="H40" s="2682">
        <v>5600</v>
      </c>
      <c r="I40" s="2682">
        <v>7000</v>
      </c>
      <c r="J40" s="2682">
        <v>0.39200000000000002</v>
      </c>
      <c r="L40" s="2682" t="s">
        <v>5948</v>
      </c>
    </row>
    <row r="41" spans="1:12">
      <c r="A41" s="2683" t="s">
        <v>146</v>
      </c>
      <c r="B41" s="2683">
        <v>32306</v>
      </c>
      <c r="C41" s="2683">
        <v>30</v>
      </c>
      <c r="D41" s="2683">
        <v>72</v>
      </c>
      <c r="E41" s="2683">
        <v>27</v>
      </c>
      <c r="F41" s="2683">
        <v>81.5</v>
      </c>
      <c r="G41" s="2683">
        <v>96.5</v>
      </c>
      <c r="H41" s="2683">
        <v>5600</v>
      </c>
      <c r="I41" s="2683">
        <v>7000</v>
      </c>
      <c r="J41" s="2683">
        <v>0.56200000000000006</v>
      </c>
      <c r="K41" s="2684"/>
      <c r="L41" s="2683" t="s">
        <v>5949</v>
      </c>
    </row>
    <row r="42" spans="1:12">
      <c r="A42" s="2682" t="s">
        <v>146</v>
      </c>
      <c r="B42" s="2682" t="s">
        <v>5950</v>
      </c>
      <c r="C42" s="2682">
        <v>32</v>
      </c>
      <c r="D42" s="2682">
        <v>52</v>
      </c>
      <c r="E42" s="2682">
        <v>14</v>
      </c>
      <c r="F42" s="2682">
        <v>23.8</v>
      </c>
      <c r="G42" s="2682">
        <v>32.5</v>
      </c>
      <c r="H42" s="2682">
        <v>6300</v>
      </c>
      <c r="I42" s="2682">
        <v>8000</v>
      </c>
      <c r="J42" s="2682">
        <v>0.106</v>
      </c>
      <c r="L42" s="2682" t="s">
        <v>5922</v>
      </c>
    </row>
    <row r="43" spans="1:12">
      <c r="A43" s="2683" t="s">
        <v>146</v>
      </c>
      <c r="B43" s="2683" t="s">
        <v>5951</v>
      </c>
      <c r="C43" s="2683">
        <v>32</v>
      </c>
      <c r="D43" s="2683">
        <v>58</v>
      </c>
      <c r="E43" s="2683">
        <v>17</v>
      </c>
      <c r="F43" s="2683">
        <v>36.5</v>
      </c>
      <c r="G43" s="2683">
        <v>49.2</v>
      </c>
      <c r="H43" s="2683">
        <v>6000</v>
      </c>
      <c r="I43" s="2683">
        <v>7500</v>
      </c>
      <c r="J43" s="2683">
        <v>0.187</v>
      </c>
      <c r="K43" s="2684"/>
      <c r="L43" s="2683" t="s">
        <v>5952</v>
      </c>
    </row>
    <row r="44" spans="1:12">
      <c r="A44" s="2682" t="s">
        <v>146</v>
      </c>
      <c r="B44" s="2682" t="s">
        <v>5953</v>
      </c>
      <c r="C44" s="2682">
        <v>32</v>
      </c>
      <c r="D44" s="2682">
        <v>65</v>
      </c>
      <c r="E44" s="2682">
        <v>26</v>
      </c>
      <c r="F44" s="2682">
        <v>68.8</v>
      </c>
      <c r="G44" s="2682">
        <v>82.2</v>
      </c>
      <c r="H44" s="2682">
        <v>5600</v>
      </c>
      <c r="I44" s="2682">
        <v>7000</v>
      </c>
      <c r="J44" s="2682">
        <v>0.38500000000000001</v>
      </c>
      <c r="L44" s="2682" t="s">
        <v>5954</v>
      </c>
    </row>
    <row r="45" spans="1:12">
      <c r="A45" s="2683" t="s">
        <v>146</v>
      </c>
      <c r="B45" s="2683">
        <v>32907</v>
      </c>
      <c r="C45" s="2683">
        <v>35</v>
      </c>
      <c r="D45" s="2683">
        <v>55</v>
      </c>
      <c r="E45" s="2683">
        <v>14</v>
      </c>
      <c r="F45" s="2683">
        <v>25.8</v>
      </c>
      <c r="G45" s="2683">
        <v>34.799999999999997</v>
      </c>
      <c r="H45" s="2683">
        <v>6000</v>
      </c>
      <c r="I45" s="2683">
        <v>7500</v>
      </c>
      <c r="J45" s="2683">
        <v>0.114</v>
      </c>
      <c r="K45" s="2684"/>
      <c r="L45" s="2683" t="s">
        <v>5955</v>
      </c>
    </row>
    <row r="46" spans="1:12">
      <c r="A46" s="2682" t="s">
        <v>146</v>
      </c>
      <c r="B46" s="2682" t="s">
        <v>5956</v>
      </c>
      <c r="C46" s="2682">
        <v>35</v>
      </c>
      <c r="D46" s="2682">
        <v>62</v>
      </c>
      <c r="E46" s="2682">
        <v>17</v>
      </c>
      <c r="F46" s="2682">
        <v>33.799999999999997</v>
      </c>
      <c r="G46" s="2682">
        <v>47.2</v>
      </c>
      <c r="H46" s="2682">
        <v>5600</v>
      </c>
      <c r="I46" s="2682">
        <v>7000</v>
      </c>
      <c r="J46" s="2682">
        <v>0.21</v>
      </c>
      <c r="L46" s="2682" t="s">
        <v>5957</v>
      </c>
    </row>
    <row r="47" spans="1:12">
      <c r="A47" s="2683" t="s">
        <v>146</v>
      </c>
      <c r="B47" s="2683">
        <v>32007</v>
      </c>
      <c r="C47" s="2683">
        <v>35</v>
      </c>
      <c r="D47" s="2683">
        <v>62</v>
      </c>
      <c r="E47" s="2683">
        <v>18</v>
      </c>
      <c r="F47" s="2683">
        <v>43.2</v>
      </c>
      <c r="G47" s="2683">
        <v>59.2</v>
      </c>
      <c r="H47" s="2683">
        <v>5600</v>
      </c>
      <c r="I47" s="2683">
        <v>7000</v>
      </c>
      <c r="J47" s="2683">
        <v>0.224</v>
      </c>
      <c r="K47" s="2684"/>
      <c r="L47" s="2683" t="s">
        <v>5958</v>
      </c>
    </row>
    <row r="48" spans="1:12">
      <c r="A48" s="2682" t="s">
        <v>146</v>
      </c>
      <c r="B48" s="2682">
        <v>33007</v>
      </c>
      <c r="C48" s="2682">
        <v>35</v>
      </c>
      <c r="D48" s="2682">
        <v>62</v>
      </c>
      <c r="E48" s="2682">
        <v>20</v>
      </c>
      <c r="F48" s="2682">
        <v>40.799999999999997</v>
      </c>
      <c r="G48" s="2682">
        <v>53.8</v>
      </c>
      <c r="H48" s="2682">
        <v>6200</v>
      </c>
      <c r="I48" s="2682">
        <v>8200</v>
      </c>
      <c r="J48" s="2682">
        <v>0.25</v>
      </c>
      <c r="L48" s="2682" t="s">
        <v>5959</v>
      </c>
    </row>
    <row r="49" spans="1:12">
      <c r="A49" s="2683" t="s">
        <v>146</v>
      </c>
      <c r="B49" s="2683">
        <v>30207</v>
      </c>
      <c r="C49" s="2683">
        <v>35</v>
      </c>
      <c r="D49" s="2683">
        <v>72</v>
      </c>
      <c r="E49" s="2683">
        <v>17</v>
      </c>
      <c r="F49" s="2683">
        <v>54.2</v>
      </c>
      <c r="G49" s="2683">
        <v>63.5</v>
      </c>
      <c r="H49" s="2683">
        <v>5300</v>
      </c>
      <c r="I49" s="2683">
        <v>6700</v>
      </c>
      <c r="J49" s="2683">
        <v>0.33100000000000002</v>
      </c>
      <c r="K49" s="2684"/>
      <c r="L49" s="2683" t="s">
        <v>5960</v>
      </c>
    </row>
    <row r="50" spans="1:12">
      <c r="A50" s="2682" t="s">
        <v>146</v>
      </c>
      <c r="B50" s="2682">
        <v>32207</v>
      </c>
      <c r="C50" s="2682">
        <v>35</v>
      </c>
      <c r="D50" s="2682">
        <v>72</v>
      </c>
      <c r="E50" s="2682">
        <v>23</v>
      </c>
      <c r="F50" s="2682">
        <v>70.5</v>
      </c>
      <c r="G50" s="2682">
        <v>89.5</v>
      </c>
      <c r="H50" s="2682">
        <v>5300</v>
      </c>
      <c r="I50" s="2682">
        <v>6700</v>
      </c>
      <c r="J50" s="2682">
        <v>0.44500000000000001</v>
      </c>
      <c r="L50" s="2682" t="s">
        <v>5961</v>
      </c>
    </row>
    <row r="51" spans="1:12">
      <c r="A51" s="2683" t="s">
        <v>146</v>
      </c>
      <c r="B51" s="2683">
        <v>33207</v>
      </c>
      <c r="C51" s="2683">
        <v>35</v>
      </c>
      <c r="D51" s="2683">
        <v>72</v>
      </c>
      <c r="E51" s="2683">
        <v>28</v>
      </c>
      <c r="F51" s="2683">
        <v>82.5</v>
      </c>
      <c r="G51" s="2683">
        <v>102</v>
      </c>
      <c r="H51" s="2683">
        <v>5300</v>
      </c>
      <c r="I51" s="2683">
        <v>6700</v>
      </c>
      <c r="J51" s="2683">
        <v>0.51500000000000001</v>
      </c>
      <c r="K51" s="2684"/>
      <c r="L51" s="2683" t="s">
        <v>5962</v>
      </c>
    </row>
    <row r="52" spans="1:12">
      <c r="A52" s="2682" t="s">
        <v>146</v>
      </c>
      <c r="B52" s="2682">
        <v>30307</v>
      </c>
      <c r="C52" s="2682">
        <v>35</v>
      </c>
      <c r="D52" s="2682">
        <v>80</v>
      </c>
      <c r="E52" s="2682">
        <v>21</v>
      </c>
      <c r="F52" s="2682">
        <v>75.2</v>
      </c>
      <c r="G52" s="2682">
        <v>82.5</v>
      </c>
      <c r="H52" s="2682">
        <v>5000</v>
      </c>
      <c r="I52" s="2682">
        <v>6300</v>
      </c>
      <c r="J52" s="2682">
        <v>0.51500000000000001</v>
      </c>
      <c r="L52" s="2682" t="s">
        <v>5963</v>
      </c>
    </row>
    <row r="53" spans="1:12">
      <c r="A53" s="2683" t="s">
        <v>146</v>
      </c>
      <c r="B53" s="2683">
        <v>31307</v>
      </c>
      <c r="C53" s="2683">
        <v>35</v>
      </c>
      <c r="D53" s="2683">
        <v>80</v>
      </c>
      <c r="E53" s="2683">
        <v>21</v>
      </c>
      <c r="F53" s="2683">
        <v>65.8</v>
      </c>
      <c r="G53" s="2683">
        <v>76.8</v>
      </c>
      <c r="H53" s="2683">
        <v>5000</v>
      </c>
      <c r="I53" s="2683">
        <v>6300</v>
      </c>
      <c r="J53" s="2683">
        <v>0.51400000000000001</v>
      </c>
      <c r="K53" s="2684"/>
      <c r="L53" s="2683" t="s">
        <v>5964</v>
      </c>
    </row>
    <row r="54" spans="1:12">
      <c r="A54" s="2682" t="s">
        <v>146</v>
      </c>
      <c r="B54" s="2682">
        <v>32307</v>
      </c>
      <c r="C54" s="2682">
        <v>35</v>
      </c>
      <c r="D54" s="2682">
        <v>80</v>
      </c>
      <c r="E54" s="2682">
        <v>31</v>
      </c>
      <c r="F54" s="2682">
        <v>99</v>
      </c>
      <c r="G54" s="2682">
        <v>118</v>
      </c>
      <c r="H54" s="2682">
        <v>5000</v>
      </c>
      <c r="I54" s="2682">
        <v>6300</v>
      </c>
      <c r="J54" s="2682">
        <v>0.76300000000000001</v>
      </c>
      <c r="L54" s="2682" t="s">
        <v>5965</v>
      </c>
    </row>
    <row r="55" spans="1:12">
      <c r="A55" s="2683" t="s">
        <v>146</v>
      </c>
      <c r="B55" s="2683" t="s">
        <v>5966</v>
      </c>
      <c r="C55" s="2683">
        <v>40</v>
      </c>
      <c r="D55" s="2683">
        <v>62</v>
      </c>
      <c r="E55" s="2683">
        <v>14</v>
      </c>
      <c r="F55" s="2683">
        <v>21.2</v>
      </c>
      <c r="G55" s="2683">
        <v>28.2</v>
      </c>
      <c r="H55" s="2683">
        <v>5600</v>
      </c>
      <c r="I55" s="2683">
        <v>7000</v>
      </c>
      <c r="J55" s="2683">
        <v>0.14000000000000001</v>
      </c>
      <c r="K55" s="2684"/>
      <c r="L55" s="2683">
        <v>2007908</v>
      </c>
    </row>
    <row r="56" spans="1:12">
      <c r="A56" s="2682" t="s">
        <v>146</v>
      </c>
      <c r="B56" s="2682">
        <v>32908</v>
      </c>
      <c r="C56" s="2682">
        <v>40</v>
      </c>
      <c r="D56" s="2682">
        <v>62</v>
      </c>
      <c r="E56" s="2682">
        <v>15</v>
      </c>
      <c r="F56" s="2682">
        <v>31.5</v>
      </c>
      <c r="G56" s="2682">
        <v>46</v>
      </c>
      <c r="H56" s="2682">
        <v>5600</v>
      </c>
      <c r="I56" s="2682">
        <v>7000</v>
      </c>
      <c r="J56" s="2682">
        <v>0.155</v>
      </c>
      <c r="L56" s="2682" t="s">
        <v>5967</v>
      </c>
    </row>
    <row r="57" spans="1:12">
      <c r="A57" s="2683" t="s">
        <v>146</v>
      </c>
      <c r="B57" s="2683" t="s">
        <v>5968</v>
      </c>
      <c r="C57" s="2683">
        <v>40</v>
      </c>
      <c r="D57" s="2683">
        <v>68</v>
      </c>
      <c r="E57" s="2683">
        <v>18</v>
      </c>
      <c r="F57" s="2683">
        <v>39.799999999999997</v>
      </c>
      <c r="G57" s="2683">
        <v>55.2</v>
      </c>
      <c r="H57" s="2683">
        <v>5300</v>
      </c>
      <c r="I57" s="2683">
        <v>6700</v>
      </c>
      <c r="J57" s="2683">
        <v>0.27</v>
      </c>
      <c r="K57" s="2684"/>
      <c r="L57" s="2683" t="s">
        <v>5922</v>
      </c>
    </row>
    <row r="58" spans="1:12">
      <c r="A58" s="2682" t="s">
        <v>146</v>
      </c>
      <c r="B58" s="2682">
        <v>32008</v>
      </c>
      <c r="C58" s="2682">
        <v>40</v>
      </c>
      <c r="D58" s="2682">
        <v>68</v>
      </c>
      <c r="E58" s="2682">
        <v>19</v>
      </c>
      <c r="F58" s="2682">
        <v>51.8</v>
      </c>
      <c r="G58" s="2682">
        <v>71</v>
      </c>
      <c r="H58" s="2682">
        <v>5300</v>
      </c>
      <c r="I58" s="2682">
        <v>6700</v>
      </c>
      <c r="J58" s="2682">
        <v>0.26700000000000002</v>
      </c>
      <c r="L58" s="2682" t="s">
        <v>5969</v>
      </c>
    </row>
    <row r="59" spans="1:12">
      <c r="A59" s="2683" t="s">
        <v>146</v>
      </c>
      <c r="B59" s="2683">
        <v>33008</v>
      </c>
      <c r="C59" s="2683">
        <v>40</v>
      </c>
      <c r="D59" s="2683">
        <v>68</v>
      </c>
      <c r="E59" s="2683">
        <v>22</v>
      </c>
      <c r="F59" s="2683">
        <v>60.2</v>
      </c>
      <c r="G59" s="2683">
        <v>79.5</v>
      </c>
      <c r="H59" s="2683">
        <v>5300</v>
      </c>
      <c r="I59" s="2683">
        <v>6700</v>
      </c>
      <c r="J59" s="2683">
        <v>0.30599999999999999</v>
      </c>
      <c r="K59" s="2684"/>
      <c r="L59" s="2683" t="s">
        <v>5970</v>
      </c>
    </row>
    <row r="60" spans="1:12">
      <c r="A60" s="2682" t="s">
        <v>146</v>
      </c>
      <c r="B60" s="2682">
        <v>33108</v>
      </c>
      <c r="C60" s="2682">
        <v>40</v>
      </c>
      <c r="D60" s="2682">
        <v>75</v>
      </c>
      <c r="E60" s="2682">
        <v>26</v>
      </c>
      <c r="F60" s="2682">
        <v>84.8</v>
      </c>
      <c r="G60" s="2682">
        <v>110</v>
      </c>
      <c r="H60" s="2682">
        <v>5000</v>
      </c>
      <c r="I60" s="2682">
        <v>6300</v>
      </c>
      <c r="J60" s="2682">
        <v>0.496</v>
      </c>
      <c r="L60" s="2682" t="s">
        <v>5971</v>
      </c>
    </row>
    <row r="61" spans="1:12">
      <c r="A61" s="2683" t="s">
        <v>146</v>
      </c>
      <c r="B61" s="2683">
        <v>30208</v>
      </c>
      <c r="C61" s="2683">
        <v>40</v>
      </c>
      <c r="D61" s="2683">
        <v>80</v>
      </c>
      <c r="E61" s="2683">
        <v>18</v>
      </c>
      <c r="F61" s="2683">
        <v>63</v>
      </c>
      <c r="G61" s="2683">
        <v>74</v>
      </c>
      <c r="H61" s="2683">
        <v>5000</v>
      </c>
      <c r="I61" s="2683">
        <v>6300</v>
      </c>
      <c r="J61" s="2683">
        <v>0.42199999999999999</v>
      </c>
      <c r="K61" s="2684"/>
      <c r="L61" s="2683" t="s">
        <v>5972</v>
      </c>
    </row>
    <row r="62" spans="1:12">
      <c r="A62" s="2682" t="s">
        <v>146</v>
      </c>
      <c r="B62" s="2682">
        <v>32208</v>
      </c>
      <c r="C62" s="2682">
        <v>40</v>
      </c>
      <c r="D62" s="2682">
        <v>80</v>
      </c>
      <c r="E62" s="2682">
        <v>23</v>
      </c>
      <c r="F62" s="2682">
        <v>77.8</v>
      </c>
      <c r="G62" s="2682">
        <v>97.2</v>
      </c>
      <c r="H62" s="2682">
        <v>5000</v>
      </c>
      <c r="I62" s="2682">
        <v>6300</v>
      </c>
      <c r="J62" s="2682">
        <v>0.53200000000000003</v>
      </c>
      <c r="L62" s="2682" t="s">
        <v>5973</v>
      </c>
    </row>
    <row r="63" spans="1:12">
      <c r="A63" s="2683" t="s">
        <v>146</v>
      </c>
      <c r="B63" s="2683">
        <v>33208</v>
      </c>
      <c r="C63" s="2683">
        <v>40</v>
      </c>
      <c r="D63" s="2683">
        <v>80</v>
      </c>
      <c r="E63" s="2683">
        <v>32</v>
      </c>
      <c r="F63" s="2683">
        <v>105</v>
      </c>
      <c r="G63" s="2683">
        <v>135</v>
      </c>
      <c r="H63" s="2683">
        <v>5000</v>
      </c>
      <c r="I63" s="2683">
        <v>6300</v>
      </c>
      <c r="J63" s="2683">
        <v>0.71499999999999997</v>
      </c>
      <c r="K63" s="2684"/>
      <c r="L63" s="2683" t="s">
        <v>5974</v>
      </c>
    </row>
    <row r="64" spans="1:12">
      <c r="A64" s="2682" t="s">
        <v>146</v>
      </c>
      <c r="B64" s="2682">
        <v>30308</v>
      </c>
      <c r="C64" s="2682">
        <v>40</v>
      </c>
      <c r="D64" s="2682">
        <v>90</v>
      </c>
      <c r="E64" s="2682">
        <v>23</v>
      </c>
      <c r="F64" s="2682">
        <v>90.8</v>
      </c>
      <c r="G64" s="2682">
        <v>108</v>
      </c>
      <c r="H64" s="2682">
        <v>4500</v>
      </c>
      <c r="I64" s="2682">
        <v>5600</v>
      </c>
      <c r="J64" s="2682">
        <v>0.747</v>
      </c>
      <c r="L64" s="2682" t="s">
        <v>5975</v>
      </c>
    </row>
    <row r="65" spans="1:12">
      <c r="A65" s="2683" t="s">
        <v>146</v>
      </c>
      <c r="B65" s="2683">
        <v>31308</v>
      </c>
      <c r="C65" s="2683">
        <v>40</v>
      </c>
      <c r="D65" s="2683">
        <v>90</v>
      </c>
      <c r="E65" s="2683">
        <v>23</v>
      </c>
      <c r="F65" s="2683">
        <v>81.5</v>
      </c>
      <c r="G65" s="2683">
        <v>96.5</v>
      </c>
      <c r="H65" s="2683">
        <v>4500</v>
      </c>
      <c r="I65" s="2683">
        <v>5600</v>
      </c>
      <c r="J65" s="2683">
        <v>0.72699999999999998</v>
      </c>
      <c r="K65" s="2684"/>
      <c r="L65" s="2683" t="s">
        <v>5976</v>
      </c>
    </row>
    <row r="66" spans="1:12">
      <c r="A66" s="2682" t="s">
        <v>146</v>
      </c>
      <c r="B66" s="2682">
        <v>32308</v>
      </c>
      <c r="C66" s="2682">
        <v>40</v>
      </c>
      <c r="D66" s="2682">
        <v>90</v>
      </c>
      <c r="E66" s="2682">
        <v>33</v>
      </c>
      <c r="F66" s="2682">
        <v>115</v>
      </c>
      <c r="G66" s="2682">
        <v>148</v>
      </c>
      <c r="H66" s="2682">
        <v>4500</v>
      </c>
      <c r="I66" s="2682">
        <v>5600</v>
      </c>
      <c r="J66" s="2682">
        <v>1.04</v>
      </c>
      <c r="L66" s="2682" t="s">
        <v>5977</v>
      </c>
    </row>
    <row r="67" spans="1:12">
      <c r="A67" s="2683" t="s">
        <v>146</v>
      </c>
      <c r="B67" s="2683" t="s">
        <v>5978</v>
      </c>
      <c r="C67" s="2683">
        <v>45</v>
      </c>
      <c r="D67" s="2683">
        <v>68</v>
      </c>
      <c r="E67" s="2683">
        <v>14</v>
      </c>
      <c r="F67" s="2683">
        <v>22.2</v>
      </c>
      <c r="G67" s="2683">
        <v>32.799999999999997</v>
      </c>
      <c r="H67" s="2683">
        <v>5300</v>
      </c>
      <c r="I67" s="2683">
        <v>6700</v>
      </c>
      <c r="J67" s="2683" t="s">
        <v>5908</v>
      </c>
      <c r="K67" s="2684"/>
      <c r="L67" s="2683" t="s">
        <v>5922</v>
      </c>
    </row>
    <row r="68" spans="1:12">
      <c r="A68" s="2682" t="s">
        <v>146</v>
      </c>
      <c r="B68" s="2682">
        <v>32909</v>
      </c>
      <c r="C68" s="2682">
        <v>45</v>
      </c>
      <c r="D68" s="2682">
        <v>68</v>
      </c>
      <c r="E68" s="2682">
        <v>15</v>
      </c>
      <c r="F68" s="2682">
        <v>32</v>
      </c>
      <c r="G68" s="2682">
        <v>48.5</v>
      </c>
      <c r="H68" s="2682">
        <v>5300</v>
      </c>
      <c r="I68" s="2682">
        <v>6700</v>
      </c>
      <c r="J68" s="2682">
        <v>0.18</v>
      </c>
      <c r="L68" s="2682" t="s">
        <v>5979</v>
      </c>
    </row>
    <row r="69" spans="1:12">
      <c r="A69" s="2683" t="s">
        <v>146</v>
      </c>
      <c r="B69" s="2683" t="s">
        <v>5980</v>
      </c>
      <c r="C69" s="2683">
        <v>45</v>
      </c>
      <c r="D69" s="2683">
        <v>75</v>
      </c>
      <c r="E69" s="2683">
        <v>19</v>
      </c>
      <c r="F69" s="2683">
        <v>44.5</v>
      </c>
      <c r="G69" s="2683">
        <v>62.5</v>
      </c>
      <c r="H69" s="2683">
        <v>5000</v>
      </c>
      <c r="I69" s="2683">
        <v>6300</v>
      </c>
      <c r="J69" s="2683">
        <v>0.32</v>
      </c>
      <c r="K69" s="2684"/>
      <c r="L69" s="2683" t="s">
        <v>5981</v>
      </c>
    </row>
    <row r="70" spans="1:12">
      <c r="A70" s="2682" t="s">
        <v>146</v>
      </c>
      <c r="B70" s="2682">
        <v>32009</v>
      </c>
      <c r="C70" s="2682">
        <v>45</v>
      </c>
      <c r="D70" s="2682">
        <v>75</v>
      </c>
      <c r="E70" s="2682">
        <v>20</v>
      </c>
      <c r="F70" s="2682">
        <v>58.5</v>
      </c>
      <c r="G70" s="2682">
        <v>81.5</v>
      </c>
      <c r="H70" s="2682">
        <v>5000</v>
      </c>
      <c r="I70" s="2682">
        <v>6300</v>
      </c>
      <c r="J70" s="2682">
        <v>0.33700000000000002</v>
      </c>
      <c r="L70" s="2682" t="s">
        <v>5982</v>
      </c>
    </row>
    <row r="71" spans="1:12">
      <c r="A71" s="2683" t="s">
        <v>146</v>
      </c>
      <c r="B71" s="2683">
        <v>33009</v>
      </c>
      <c r="C71" s="2683">
        <v>45</v>
      </c>
      <c r="D71" s="2683">
        <v>75</v>
      </c>
      <c r="E71" s="2683">
        <v>24</v>
      </c>
      <c r="F71" s="2683">
        <v>72.5</v>
      </c>
      <c r="G71" s="2683">
        <v>100</v>
      </c>
      <c r="H71" s="2683">
        <v>5000</v>
      </c>
      <c r="I71" s="2683">
        <v>6300</v>
      </c>
      <c r="J71" s="2683">
        <v>0.39800000000000002</v>
      </c>
      <c r="K71" s="2684"/>
      <c r="L71" s="2683" t="s">
        <v>5983</v>
      </c>
    </row>
    <row r="72" spans="1:12">
      <c r="A72" s="2682" t="s">
        <v>146</v>
      </c>
      <c r="B72" s="2682">
        <v>33109</v>
      </c>
      <c r="C72" s="2682">
        <v>45</v>
      </c>
      <c r="D72" s="2682">
        <v>80</v>
      </c>
      <c r="E72" s="2682">
        <v>26</v>
      </c>
      <c r="F72" s="2682">
        <v>87</v>
      </c>
      <c r="G72" s="2682">
        <v>118</v>
      </c>
      <c r="H72" s="2682">
        <v>4500</v>
      </c>
      <c r="I72" s="2682">
        <v>5600</v>
      </c>
      <c r="J72" s="2682">
        <v>0.53500000000000003</v>
      </c>
      <c r="L72" s="2682" t="s">
        <v>5984</v>
      </c>
    </row>
    <row r="73" spans="1:12">
      <c r="A73" s="2683" t="s">
        <v>146</v>
      </c>
      <c r="B73" s="2683">
        <v>30209</v>
      </c>
      <c r="C73" s="2683">
        <v>45</v>
      </c>
      <c r="D73" s="2683">
        <v>85</v>
      </c>
      <c r="E73" s="2683">
        <v>19</v>
      </c>
      <c r="F73" s="2683">
        <v>67.8</v>
      </c>
      <c r="G73" s="2683">
        <v>83.5</v>
      </c>
      <c r="H73" s="2683">
        <v>4500</v>
      </c>
      <c r="I73" s="2683">
        <v>5600</v>
      </c>
      <c r="J73" s="2683">
        <v>0.47399999999999998</v>
      </c>
      <c r="K73" s="2684"/>
      <c r="L73" s="2683" t="s">
        <v>5985</v>
      </c>
    </row>
    <row r="74" spans="1:12">
      <c r="A74" s="2682" t="s">
        <v>146</v>
      </c>
      <c r="B74" s="2682">
        <v>32209</v>
      </c>
      <c r="C74" s="2682">
        <v>45</v>
      </c>
      <c r="D74" s="2682">
        <v>85</v>
      </c>
      <c r="E74" s="2682">
        <v>23</v>
      </c>
      <c r="F74" s="2682">
        <v>80.8</v>
      </c>
      <c r="G74" s="2682">
        <v>105</v>
      </c>
      <c r="H74" s="2682">
        <v>4500</v>
      </c>
      <c r="I74" s="2682">
        <v>5600</v>
      </c>
      <c r="J74" s="2682">
        <v>0.57299999999999995</v>
      </c>
      <c r="L74" s="2682" t="s">
        <v>5986</v>
      </c>
    </row>
    <row r="75" spans="1:12">
      <c r="A75" s="2683" t="s">
        <v>146</v>
      </c>
      <c r="B75" s="2683">
        <v>33209</v>
      </c>
      <c r="C75" s="2683">
        <v>45</v>
      </c>
      <c r="D75" s="2683">
        <v>85</v>
      </c>
      <c r="E75" s="2683">
        <v>32</v>
      </c>
      <c r="F75" s="2683">
        <v>110</v>
      </c>
      <c r="G75" s="2683">
        <v>145</v>
      </c>
      <c r="H75" s="2683">
        <v>4500</v>
      </c>
      <c r="I75" s="2683">
        <v>5600</v>
      </c>
      <c r="J75" s="2683">
        <v>0.77100000000000002</v>
      </c>
      <c r="K75" s="2684"/>
      <c r="L75" s="2683" t="s">
        <v>5987</v>
      </c>
    </row>
    <row r="76" spans="1:12">
      <c r="A76" s="2682" t="s">
        <v>146</v>
      </c>
      <c r="B76" s="2682">
        <v>30309</v>
      </c>
      <c r="C76" s="2682">
        <v>45</v>
      </c>
      <c r="D76" s="2682">
        <v>100</v>
      </c>
      <c r="E76" s="2682">
        <v>25</v>
      </c>
      <c r="F76" s="2682">
        <v>108</v>
      </c>
      <c r="G76" s="2682">
        <v>130</v>
      </c>
      <c r="H76" s="2682">
        <v>4000</v>
      </c>
      <c r="I76" s="2682">
        <v>5000</v>
      </c>
      <c r="J76" s="2682">
        <v>0.98399999999999999</v>
      </c>
      <c r="L76" s="2682" t="s">
        <v>5988</v>
      </c>
    </row>
    <row r="77" spans="1:12">
      <c r="A77" s="2683" t="s">
        <v>146</v>
      </c>
      <c r="B77" s="2683">
        <v>31309</v>
      </c>
      <c r="C77" s="2683">
        <v>45</v>
      </c>
      <c r="D77" s="2683">
        <v>100</v>
      </c>
      <c r="E77" s="2683">
        <v>25</v>
      </c>
      <c r="F77" s="2683">
        <v>95.5</v>
      </c>
      <c r="G77" s="2683">
        <v>115</v>
      </c>
      <c r="H77" s="2683">
        <v>4000</v>
      </c>
      <c r="I77" s="2683">
        <v>5000</v>
      </c>
      <c r="J77" s="2683">
        <v>0.94399999999999995</v>
      </c>
      <c r="K77" s="2684"/>
      <c r="L77" s="2683" t="s">
        <v>5989</v>
      </c>
    </row>
    <row r="78" spans="1:12">
      <c r="A78" s="2682" t="s">
        <v>146</v>
      </c>
      <c r="B78" s="2682">
        <v>32309</v>
      </c>
      <c r="C78" s="2682">
        <v>45</v>
      </c>
      <c r="D78" s="2682">
        <v>100</v>
      </c>
      <c r="E78" s="2682">
        <v>36</v>
      </c>
      <c r="F78" s="2682">
        <v>145</v>
      </c>
      <c r="G78" s="2682">
        <v>188</v>
      </c>
      <c r="H78" s="2682">
        <v>4000</v>
      </c>
      <c r="I78" s="2682">
        <v>5000</v>
      </c>
      <c r="J78" s="2682">
        <v>1.4</v>
      </c>
      <c r="L78" s="2682" t="s">
        <v>5990</v>
      </c>
    </row>
    <row r="79" spans="1:12">
      <c r="A79" s="2683" t="s">
        <v>146</v>
      </c>
      <c r="B79" s="2683" t="s">
        <v>5991</v>
      </c>
      <c r="C79" s="2683">
        <v>50</v>
      </c>
      <c r="D79" s="2683">
        <v>72</v>
      </c>
      <c r="E79" s="2683">
        <v>14</v>
      </c>
      <c r="F79" s="2683">
        <v>22.2</v>
      </c>
      <c r="G79" s="2683">
        <v>32.799999999999997</v>
      </c>
      <c r="H79" s="2683">
        <v>5000</v>
      </c>
      <c r="I79" s="2683">
        <v>6300</v>
      </c>
      <c r="J79" s="2683">
        <v>0.7</v>
      </c>
      <c r="K79" s="2684"/>
      <c r="L79" s="2683" t="s">
        <v>5922</v>
      </c>
    </row>
    <row r="80" spans="1:12">
      <c r="A80" s="2682" t="s">
        <v>146</v>
      </c>
      <c r="B80" s="2682">
        <v>32910</v>
      </c>
      <c r="C80" s="2682">
        <v>50</v>
      </c>
      <c r="D80" s="2682">
        <v>72</v>
      </c>
      <c r="E80" s="2682">
        <v>15</v>
      </c>
      <c r="F80" s="2682">
        <v>36.799999999999997</v>
      </c>
      <c r="G80" s="2682">
        <v>56</v>
      </c>
      <c r="H80" s="2682">
        <v>5000</v>
      </c>
      <c r="I80" s="2682">
        <v>6300</v>
      </c>
      <c r="J80" s="2682">
        <v>0.18099999999999999</v>
      </c>
      <c r="L80" s="2682" t="s">
        <v>5992</v>
      </c>
    </row>
    <row r="81" spans="1:12">
      <c r="A81" s="2683" t="s">
        <v>146</v>
      </c>
      <c r="B81" s="2683" t="s">
        <v>5993</v>
      </c>
      <c r="C81" s="2683">
        <v>50</v>
      </c>
      <c r="D81" s="2683">
        <v>80</v>
      </c>
      <c r="E81" s="2683">
        <v>19</v>
      </c>
      <c r="F81" s="2683">
        <v>45.8</v>
      </c>
      <c r="G81" s="2683">
        <v>66.2</v>
      </c>
      <c r="H81" s="2683">
        <v>4500</v>
      </c>
      <c r="I81" s="2683">
        <v>5600</v>
      </c>
      <c r="J81" s="2683">
        <v>0.31</v>
      </c>
      <c r="K81" s="2684"/>
      <c r="L81" s="2683" t="s">
        <v>5994</v>
      </c>
    </row>
    <row r="82" spans="1:12">
      <c r="A82" s="2682" t="s">
        <v>146</v>
      </c>
      <c r="B82" s="2682">
        <v>32010</v>
      </c>
      <c r="C82" s="2682">
        <v>50</v>
      </c>
      <c r="D82" s="2682">
        <v>80</v>
      </c>
      <c r="E82" s="2682">
        <v>20</v>
      </c>
      <c r="F82" s="2682">
        <v>61</v>
      </c>
      <c r="G82" s="2682">
        <v>89</v>
      </c>
      <c r="H82" s="2682">
        <v>4500</v>
      </c>
      <c r="I82" s="2682">
        <v>5600</v>
      </c>
      <c r="J82" s="2682">
        <v>0.36599999999999999</v>
      </c>
      <c r="L82" s="2682" t="s">
        <v>5995</v>
      </c>
    </row>
    <row r="83" spans="1:12">
      <c r="A83" s="2683" t="s">
        <v>146</v>
      </c>
      <c r="B83" s="2683">
        <v>33010</v>
      </c>
      <c r="C83" s="2683">
        <v>50</v>
      </c>
      <c r="D83" s="2683">
        <v>80</v>
      </c>
      <c r="E83" s="2683">
        <v>24</v>
      </c>
      <c r="F83" s="2683">
        <v>76.8</v>
      </c>
      <c r="G83" s="2683">
        <v>110</v>
      </c>
      <c r="H83" s="2683">
        <v>4500</v>
      </c>
      <c r="I83" s="2683">
        <v>5600</v>
      </c>
      <c r="J83" s="2683">
        <v>0.433</v>
      </c>
      <c r="K83" s="2684"/>
      <c r="L83" s="2683" t="s">
        <v>5996</v>
      </c>
    </row>
    <row r="84" spans="1:12">
      <c r="A84" s="2682" t="s">
        <v>146</v>
      </c>
      <c r="B84" s="2682">
        <v>33110</v>
      </c>
      <c r="C84" s="2682">
        <v>50</v>
      </c>
      <c r="D84" s="2682">
        <v>85</v>
      </c>
      <c r="E84" s="2682">
        <v>26</v>
      </c>
      <c r="F84" s="2682">
        <v>89.2</v>
      </c>
      <c r="G84" s="2682">
        <v>125</v>
      </c>
      <c r="H84" s="2682">
        <v>4300</v>
      </c>
      <c r="I84" s="2682">
        <v>5300</v>
      </c>
      <c r="J84" s="2682">
        <v>0.57199999999999995</v>
      </c>
      <c r="L84" s="2682" t="s">
        <v>5997</v>
      </c>
    </row>
    <row r="85" spans="1:12">
      <c r="A85" s="2683" t="s">
        <v>146</v>
      </c>
      <c r="B85" s="2683">
        <v>30210</v>
      </c>
      <c r="C85" s="2683">
        <v>50</v>
      </c>
      <c r="D85" s="2683">
        <v>90</v>
      </c>
      <c r="E85" s="2683">
        <v>20</v>
      </c>
      <c r="F85" s="2683">
        <v>73.2</v>
      </c>
      <c r="G85" s="2683">
        <v>92</v>
      </c>
      <c r="H85" s="2683">
        <v>4300</v>
      </c>
      <c r="I85" s="2683">
        <v>5300</v>
      </c>
      <c r="J85" s="2683">
        <v>0.52900000000000003</v>
      </c>
      <c r="K85" s="2684"/>
      <c r="L85" s="2683" t="s">
        <v>5998</v>
      </c>
    </row>
    <row r="86" spans="1:12">
      <c r="A86" s="2682" t="s">
        <v>146</v>
      </c>
      <c r="B86" s="2682">
        <v>32210</v>
      </c>
      <c r="C86" s="2682">
        <v>50</v>
      </c>
      <c r="D86" s="2682">
        <v>90</v>
      </c>
      <c r="E86" s="2682">
        <v>23</v>
      </c>
      <c r="F86" s="2682">
        <v>82.8</v>
      </c>
      <c r="G86" s="2682">
        <v>108</v>
      </c>
      <c r="H86" s="2682">
        <v>4300</v>
      </c>
      <c r="I86" s="2682">
        <v>5300</v>
      </c>
      <c r="J86" s="2682">
        <v>0.626</v>
      </c>
      <c r="L86" s="2682" t="s">
        <v>5999</v>
      </c>
    </row>
    <row r="87" spans="1:12">
      <c r="A87" s="2683" t="s">
        <v>146</v>
      </c>
      <c r="B87" s="2683">
        <v>33210</v>
      </c>
      <c r="C87" s="2683">
        <v>50</v>
      </c>
      <c r="D87" s="2683">
        <v>90</v>
      </c>
      <c r="E87" s="2683">
        <v>32</v>
      </c>
      <c r="F87" s="2683">
        <v>112</v>
      </c>
      <c r="G87" s="2683">
        <v>155</v>
      </c>
      <c r="H87" s="2683">
        <v>4300</v>
      </c>
      <c r="I87" s="2683">
        <v>5300</v>
      </c>
      <c r="J87" s="2683">
        <v>0.82499999999999996</v>
      </c>
      <c r="K87" s="2684"/>
      <c r="L87" s="2683" t="s">
        <v>6000</v>
      </c>
    </row>
    <row r="88" spans="1:12">
      <c r="A88" s="2682" t="s">
        <v>146</v>
      </c>
      <c r="B88" s="2682">
        <v>30310</v>
      </c>
      <c r="C88" s="2682">
        <v>50</v>
      </c>
      <c r="D88" s="2682">
        <v>110</v>
      </c>
      <c r="E88" s="2682">
        <v>27</v>
      </c>
      <c r="F88" s="2682">
        <v>130</v>
      </c>
      <c r="G88" s="2682">
        <v>158</v>
      </c>
      <c r="H88" s="2682">
        <v>3800</v>
      </c>
      <c r="I88" s="2682">
        <v>4800</v>
      </c>
      <c r="J88" s="2682">
        <v>1.28</v>
      </c>
      <c r="L88" s="2682" t="s">
        <v>6001</v>
      </c>
    </row>
    <row r="89" spans="1:12">
      <c r="A89" s="2683" t="s">
        <v>146</v>
      </c>
      <c r="B89" s="2683">
        <v>31310</v>
      </c>
      <c r="C89" s="2683">
        <v>50</v>
      </c>
      <c r="D89" s="2683">
        <v>110</v>
      </c>
      <c r="E89" s="2683">
        <v>27</v>
      </c>
      <c r="F89" s="2683">
        <v>108</v>
      </c>
      <c r="G89" s="2683">
        <v>128</v>
      </c>
      <c r="H89" s="2683">
        <v>3800</v>
      </c>
      <c r="I89" s="2683">
        <v>4800</v>
      </c>
      <c r="J89" s="2683">
        <v>1.21</v>
      </c>
      <c r="K89" s="2684"/>
      <c r="L89" s="2683" t="s">
        <v>6002</v>
      </c>
    </row>
    <row r="90" spans="1:12">
      <c r="A90" s="2682" t="s">
        <v>146</v>
      </c>
      <c r="B90" s="2682">
        <v>32310</v>
      </c>
      <c r="C90" s="2682">
        <v>50</v>
      </c>
      <c r="D90" s="2682">
        <v>110</v>
      </c>
      <c r="E90" s="2682">
        <v>42.5</v>
      </c>
      <c r="F90" s="2682">
        <v>178</v>
      </c>
      <c r="G90" s="2682">
        <v>235</v>
      </c>
      <c r="H90" s="2682">
        <v>3800</v>
      </c>
      <c r="I90" s="2682">
        <v>4800</v>
      </c>
      <c r="J90" s="2682">
        <v>1.89</v>
      </c>
      <c r="L90" s="2682" t="s">
        <v>6003</v>
      </c>
    </row>
    <row r="91" spans="1:12">
      <c r="A91" s="2683" t="s">
        <v>146</v>
      </c>
      <c r="B91" s="2683">
        <v>32911</v>
      </c>
      <c r="C91" s="2683">
        <v>55</v>
      </c>
      <c r="D91" s="2683">
        <v>80</v>
      </c>
      <c r="E91" s="2683">
        <v>17</v>
      </c>
      <c r="F91" s="2683">
        <v>41.5</v>
      </c>
      <c r="G91" s="2683">
        <v>66.8</v>
      </c>
      <c r="H91" s="2683">
        <v>4800</v>
      </c>
      <c r="I91" s="2683">
        <v>6000</v>
      </c>
      <c r="J91" s="2683">
        <v>0.26200000000000001</v>
      </c>
      <c r="K91" s="2684"/>
      <c r="L91" s="2683" t="s">
        <v>6004</v>
      </c>
    </row>
    <row r="92" spans="1:12">
      <c r="A92" s="2682" t="s">
        <v>146</v>
      </c>
      <c r="B92" s="2682" t="s">
        <v>6005</v>
      </c>
      <c r="C92" s="2682">
        <v>55</v>
      </c>
      <c r="D92" s="2682">
        <v>90</v>
      </c>
      <c r="E92" s="2682">
        <v>22</v>
      </c>
      <c r="F92" s="2682">
        <v>63.8</v>
      </c>
      <c r="G92" s="2682">
        <v>93.2</v>
      </c>
      <c r="H92" s="2682">
        <v>4000</v>
      </c>
      <c r="I92" s="2682">
        <v>5000</v>
      </c>
      <c r="J92" s="2682">
        <v>0.53</v>
      </c>
      <c r="L92" s="2682" t="s">
        <v>5922</v>
      </c>
    </row>
    <row r="93" spans="1:12">
      <c r="A93" s="2683" t="s">
        <v>146</v>
      </c>
      <c r="B93" s="2683">
        <v>32011</v>
      </c>
      <c r="C93" s="2683">
        <v>55</v>
      </c>
      <c r="D93" s="2683">
        <v>90</v>
      </c>
      <c r="E93" s="2683">
        <v>23</v>
      </c>
      <c r="F93" s="2683">
        <v>80.2</v>
      </c>
      <c r="G93" s="2683">
        <v>118</v>
      </c>
      <c r="H93" s="2683">
        <v>4000</v>
      </c>
      <c r="I93" s="2683">
        <v>5000</v>
      </c>
      <c r="J93" s="2683">
        <v>0.55100000000000005</v>
      </c>
      <c r="K93" s="2684"/>
      <c r="L93" s="2683" t="s">
        <v>6006</v>
      </c>
    </row>
    <row r="94" spans="1:12">
      <c r="A94" s="2682" t="s">
        <v>146</v>
      </c>
      <c r="B94" s="2682">
        <v>33011</v>
      </c>
      <c r="C94" s="2682">
        <v>55</v>
      </c>
      <c r="D94" s="2682">
        <v>90</v>
      </c>
      <c r="E94" s="2682">
        <v>27</v>
      </c>
      <c r="F94" s="2682">
        <v>94.8</v>
      </c>
      <c r="G94" s="2682">
        <v>145</v>
      </c>
      <c r="H94" s="2682">
        <v>4000</v>
      </c>
      <c r="I94" s="2682">
        <v>5000</v>
      </c>
      <c r="J94" s="2682">
        <v>0.65100000000000002</v>
      </c>
      <c r="L94" s="2682" t="s">
        <v>6007</v>
      </c>
    </row>
    <row r="95" spans="1:12">
      <c r="A95" s="2683" t="s">
        <v>146</v>
      </c>
      <c r="B95" s="2683">
        <v>33111</v>
      </c>
      <c r="C95" s="2683">
        <v>55</v>
      </c>
      <c r="D95" s="2683">
        <v>95</v>
      </c>
      <c r="E95" s="2683">
        <v>30</v>
      </c>
      <c r="F95" s="2683">
        <v>115</v>
      </c>
      <c r="G95" s="2683">
        <v>165</v>
      </c>
      <c r="H95" s="2683">
        <v>3800</v>
      </c>
      <c r="I95" s="2683">
        <v>4800</v>
      </c>
      <c r="J95" s="2683">
        <v>0.84299999999999997</v>
      </c>
      <c r="K95" s="2684"/>
      <c r="L95" s="2683" t="s">
        <v>6008</v>
      </c>
    </row>
    <row r="96" spans="1:12">
      <c r="A96" s="2682" t="s">
        <v>146</v>
      </c>
      <c r="B96" s="2682">
        <v>30211</v>
      </c>
      <c r="C96" s="2682">
        <v>55</v>
      </c>
      <c r="D96" s="2682">
        <v>100</v>
      </c>
      <c r="E96" s="2682">
        <v>21</v>
      </c>
      <c r="F96" s="2682">
        <v>90.8</v>
      </c>
      <c r="G96" s="2682">
        <v>115</v>
      </c>
      <c r="H96" s="2682">
        <v>3800</v>
      </c>
      <c r="I96" s="2682">
        <v>4800</v>
      </c>
      <c r="J96" s="2682">
        <v>0.71299999999999997</v>
      </c>
      <c r="L96" s="2682" t="s">
        <v>6009</v>
      </c>
    </row>
    <row r="97" spans="1:12">
      <c r="A97" s="2683" t="s">
        <v>146</v>
      </c>
      <c r="B97" s="2683">
        <v>32211</v>
      </c>
      <c r="C97" s="2683">
        <v>55</v>
      </c>
      <c r="D97" s="2683">
        <v>100</v>
      </c>
      <c r="E97" s="2683">
        <v>25</v>
      </c>
      <c r="F97" s="2683">
        <v>108</v>
      </c>
      <c r="G97" s="2683">
        <v>142</v>
      </c>
      <c r="H97" s="2683">
        <v>3800</v>
      </c>
      <c r="I97" s="2683">
        <v>4800</v>
      </c>
      <c r="J97" s="2683">
        <v>0.85299999999999998</v>
      </c>
      <c r="K97" s="2684"/>
      <c r="L97" s="2683" t="s">
        <v>6010</v>
      </c>
    </row>
    <row r="98" spans="1:12">
      <c r="A98" s="2682" t="s">
        <v>146</v>
      </c>
      <c r="B98" s="2682">
        <v>33211</v>
      </c>
      <c r="C98" s="2682">
        <v>55</v>
      </c>
      <c r="D98" s="2682">
        <v>100</v>
      </c>
      <c r="E98" s="2682">
        <v>35</v>
      </c>
      <c r="F98" s="2682">
        <v>142</v>
      </c>
      <c r="G98" s="2682">
        <v>198</v>
      </c>
      <c r="H98" s="2682">
        <v>3800</v>
      </c>
      <c r="I98" s="2682">
        <v>4800</v>
      </c>
      <c r="J98" s="2682">
        <v>1.1499999999999999</v>
      </c>
      <c r="L98" s="2682" t="s">
        <v>6011</v>
      </c>
    </row>
    <row r="99" spans="1:12">
      <c r="A99" s="2683" t="s">
        <v>146</v>
      </c>
      <c r="B99" s="2683">
        <v>30311</v>
      </c>
      <c r="C99" s="2683">
        <v>55</v>
      </c>
      <c r="D99" s="2683">
        <v>120</v>
      </c>
      <c r="E99" s="2683">
        <v>29</v>
      </c>
      <c r="F99" s="2683">
        <v>152</v>
      </c>
      <c r="G99" s="2683">
        <v>188</v>
      </c>
      <c r="H99" s="2683">
        <v>3400</v>
      </c>
      <c r="I99" s="2683">
        <v>4300</v>
      </c>
      <c r="J99" s="2683">
        <v>1.63</v>
      </c>
      <c r="K99" s="2684"/>
      <c r="L99" s="2683" t="s">
        <v>6012</v>
      </c>
    </row>
    <row r="100" spans="1:12">
      <c r="A100" s="2682" t="s">
        <v>146</v>
      </c>
      <c r="B100" s="2682">
        <v>31311</v>
      </c>
      <c r="C100" s="2682">
        <v>55</v>
      </c>
      <c r="D100" s="2682">
        <v>120</v>
      </c>
      <c r="E100" s="2682">
        <v>29</v>
      </c>
      <c r="F100" s="2682">
        <v>130</v>
      </c>
      <c r="G100" s="2682">
        <v>158</v>
      </c>
      <c r="H100" s="2682">
        <v>3400</v>
      </c>
      <c r="I100" s="2682">
        <v>4300</v>
      </c>
      <c r="J100" s="2682">
        <v>1.56</v>
      </c>
      <c r="L100" s="2682" t="s">
        <v>6013</v>
      </c>
    </row>
    <row r="101" spans="1:12">
      <c r="A101" s="2683" t="s">
        <v>146</v>
      </c>
      <c r="B101" s="2683">
        <v>32311</v>
      </c>
      <c r="C101" s="2683">
        <v>55</v>
      </c>
      <c r="D101" s="2683">
        <v>120</v>
      </c>
      <c r="E101" s="2683">
        <v>43</v>
      </c>
      <c r="F101" s="2683">
        <v>202</v>
      </c>
      <c r="G101" s="2683">
        <v>270</v>
      </c>
      <c r="H101" s="2683">
        <v>3400</v>
      </c>
      <c r="I101" s="2683">
        <v>4300</v>
      </c>
      <c r="J101" s="2683">
        <v>2.37</v>
      </c>
      <c r="K101" s="2684"/>
      <c r="L101" s="2683" t="s">
        <v>6014</v>
      </c>
    </row>
    <row r="102" spans="1:12">
      <c r="A102" s="2682" t="s">
        <v>146</v>
      </c>
      <c r="B102" s="2682" t="s">
        <v>6015</v>
      </c>
      <c r="C102" s="2682">
        <v>60</v>
      </c>
      <c r="D102" s="2682">
        <v>85</v>
      </c>
      <c r="E102" s="2682">
        <v>16</v>
      </c>
      <c r="F102" s="2682">
        <v>34.5</v>
      </c>
      <c r="G102" s="2682">
        <v>56.5</v>
      </c>
      <c r="H102" s="2682">
        <v>4000</v>
      </c>
      <c r="I102" s="2682">
        <v>5000</v>
      </c>
      <c r="J102" s="2682">
        <v>0.24</v>
      </c>
      <c r="L102" s="2682" t="s">
        <v>5922</v>
      </c>
    </row>
    <row r="103" spans="1:12">
      <c r="A103" s="2683" t="s">
        <v>146</v>
      </c>
      <c r="B103" s="2683">
        <v>32912</v>
      </c>
      <c r="C103" s="2683">
        <v>60</v>
      </c>
      <c r="D103" s="2683">
        <v>85</v>
      </c>
      <c r="E103" s="2683">
        <v>17</v>
      </c>
      <c r="F103" s="2683">
        <v>46</v>
      </c>
      <c r="G103" s="2683">
        <v>73</v>
      </c>
      <c r="H103" s="2683">
        <v>4000</v>
      </c>
      <c r="I103" s="2683">
        <v>5000</v>
      </c>
      <c r="J103" s="2683">
        <v>0.27900000000000003</v>
      </c>
      <c r="K103" s="2684"/>
      <c r="L103" s="2683" t="s">
        <v>6016</v>
      </c>
    </row>
    <row r="104" spans="1:12">
      <c r="A104" s="2682" t="s">
        <v>146</v>
      </c>
      <c r="B104" s="2682" t="s">
        <v>6017</v>
      </c>
      <c r="C104" s="2682">
        <v>60</v>
      </c>
      <c r="D104" s="2682">
        <v>95</v>
      </c>
      <c r="E104" s="2682">
        <v>22</v>
      </c>
      <c r="F104" s="2682">
        <v>64.8</v>
      </c>
      <c r="G104" s="2682">
        <v>98</v>
      </c>
      <c r="H104" s="2682">
        <v>3800</v>
      </c>
      <c r="I104" s="2682">
        <v>4800</v>
      </c>
      <c r="J104" s="2682">
        <v>0.56000000000000005</v>
      </c>
      <c r="L104" s="2682" t="s">
        <v>5922</v>
      </c>
    </row>
    <row r="105" spans="1:12">
      <c r="A105" s="2683" t="s">
        <v>146</v>
      </c>
      <c r="B105" s="2683">
        <v>32012</v>
      </c>
      <c r="C105" s="2683">
        <v>60</v>
      </c>
      <c r="D105" s="2683">
        <v>95</v>
      </c>
      <c r="E105" s="2683">
        <v>23</v>
      </c>
      <c r="F105" s="2683">
        <v>81.8</v>
      </c>
      <c r="G105" s="2683">
        <v>122</v>
      </c>
      <c r="H105" s="2683">
        <v>3800</v>
      </c>
      <c r="I105" s="2683">
        <v>4800</v>
      </c>
      <c r="J105" s="2683">
        <v>0.58399999999999996</v>
      </c>
      <c r="K105" s="2684"/>
      <c r="L105" s="2683" t="s">
        <v>6018</v>
      </c>
    </row>
    <row r="106" spans="1:12">
      <c r="A106" s="2682" t="s">
        <v>146</v>
      </c>
      <c r="B106" s="2682">
        <v>33012</v>
      </c>
      <c r="C106" s="2682">
        <v>60</v>
      </c>
      <c r="D106" s="2682">
        <v>95</v>
      </c>
      <c r="E106" s="2682">
        <v>27</v>
      </c>
      <c r="F106" s="2682">
        <v>96.8</v>
      </c>
      <c r="G106" s="2682">
        <v>150</v>
      </c>
      <c r="H106" s="2682">
        <v>3800</v>
      </c>
      <c r="I106" s="2682">
        <v>4800</v>
      </c>
      <c r="J106" s="2682">
        <v>0.69099999999999995</v>
      </c>
      <c r="L106" s="2682" t="s">
        <v>6019</v>
      </c>
    </row>
    <row r="107" spans="1:12">
      <c r="A107" s="2683" t="s">
        <v>146</v>
      </c>
      <c r="B107" s="2683">
        <v>33112</v>
      </c>
      <c r="C107" s="2683">
        <v>60</v>
      </c>
      <c r="D107" s="2683">
        <v>100</v>
      </c>
      <c r="E107" s="2683">
        <v>30</v>
      </c>
      <c r="F107" s="2683">
        <v>118</v>
      </c>
      <c r="G107" s="2683">
        <v>172</v>
      </c>
      <c r="H107" s="2683">
        <v>3600</v>
      </c>
      <c r="I107" s="2683">
        <v>4500</v>
      </c>
      <c r="J107" s="2683">
        <v>0.89500000000000002</v>
      </c>
      <c r="K107" s="2684"/>
      <c r="L107" s="2683" t="s">
        <v>6020</v>
      </c>
    </row>
    <row r="108" spans="1:12">
      <c r="A108" s="2682" t="s">
        <v>146</v>
      </c>
      <c r="B108" s="2682">
        <v>30212</v>
      </c>
      <c r="C108" s="2682">
        <v>60</v>
      </c>
      <c r="D108" s="2682">
        <v>110</v>
      </c>
      <c r="E108" s="2682">
        <v>22</v>
      </c>
      <c r="F108" s="2682">
        <v>102</v>
      </c>
      <c r="G108" s="2682">
        <v>130</v>
      </c>
      <c r="H108" s="2682">
        <v>3600</v>
      </c>
      <c r="I108" s="2682">
        <v>4500</v>
      </c>
      <c r="J108" s="2682">
        <v>0.90400000000000003</v>
      </c>
      <c r="L108" s="2682" t="s">
        <v>6021</v>
      </c>
    </row>
    <row r="109" spans="1:12">
      <c r="A109" s="2683" t="s">
        <v>146</v>
      </c>
      <c r="B109" s="2683">
        <v>32212</v>
      </c>
      <c r="C109" s="2683">
        <v>60</v>
      </c>
      <c r="D109" s="2683">
        <v>110</v>
      </c>
      <c r="E109" s="2683">
        <v>28</v>
      </c>
      <c r="F109" s="2683">
        <v>132</v>
      </c>
      <c r="G109" s="2683">
        <v>180</v>
      </c>
      <c r="H109" s="2683">
        <v>3600</v>
      </c>
      <c r="I109" s="2683">
        <v>4500</v>
      </c>
      <c r="J109" s="2683">
        <v>1.17</v>
      </c>
      <c r="K109" s="2684"/>
      <c r="L109" s="2683" t="s">
        <v>6022</v>
      </c>
    </row>
    <row r="110" spans="1:12">
      <c r="A110" s="2682" t="s">
        <v>146</v>
      </c>
      <c r="B110" s="2682">
        <v>33212</v>
      </c>
      <c r="C110" s="2682">
        <v>60</v>
      </c>
      <c r="D110" s="2682">
        <v>110</v>
      </c>
      <c r="E110" s="2682">
        <v>38</v>
      </c>
      <c r="F110" s="2682">
        <v>165</v>
      </c>
      <c r="G110" s="2682">
        <v>230</v>
      </c>
      <c r="H110" s="2682">
        <v>3600</v>
      </c>
      <c r="I110" s="2682">
        <v>4500</v>
      </c>
      <c r="J110" s="2682">
        <v>1.51</v>
      </c>
      <c r="L110" s="2682" t="s">
        <v>6023</v>
      </c>
    </row>
    <row r="111" spans="1:12">
      <c r="A111" s="2683" t="s">
        <v>146</v>
      </c>
      <c r="B111" s="2683">
        <v>30312</v>
      </c>
      <c r="C111" s="2683">
        <v>60</v>
      </c>
      <c r="D111" s="2683">
        <v>130</v>
      </c>
      <c r="E111" s="2683">
        <v>31</v>
      </c>
      <c r="F111" s="2683">
        <v>170</v>
      </c>
      <c r="G111" s="2683">
        <v>210</v>
      </c>
      <c r="H111" s="2683">
        <v>3200</v>
      </c>
      <c r="I111" s="2683">
        <v>4000</v>
      </c>
      <c r="J111" s="2683">
        <v>1.99</v>
      </c>
      <c r="K111" s="2684"/>
      <c r="L111" s="2683" t="s">
        <v>6024</v>
      </c>
    </row>
    <row r="112" spans="1:12">
      <c r="A112" s="2682" t="s">
        <v>146</v>
      </c>
      <c r="B112" s="2682">
        <v>31312</v>
      </c>
      <c r="C112" s="2682">
        <v>60</v>
      </c>
      <c r="D112" s="2682">
        <v>130</v>
      </c>
      <c r="E112" s="2682">
        <v>31</v>
      </c>
      <c r="F112" s="2682">
        <v>145</v>
      </c>
      <c r="G112" s="2682">
        <v>178</v>
      </c>
      <c r="H112" s="2682">
        <v>3200</v>
      </c>
      <c r="I112" s="2682">
        <v>4000</v>
      </c>
      <c r="J112" s="2682">
        <v>1.9</v>
      </c>
      <c r="L112" s="2682" t="s">
        <v>6025</v>
      </c>
    </row>
    <row r="113" spans="1:12">
      <c r="A113" s="2683" t="s">
        <v>146</v>
      </c>
      <c r="B113" s="2683">
        <v>32312</v>
      </c>
      <c r="C113" s="2683">
        <v>60</v>
      </c>
      <c r="D113" s="2683">
        <v>130</v>
      </c>
      <c r="E113" s="2683">
        <v>46</v>
      </c>
      <c r="F113" s="2683">
        <v>228</v>
      </c>
      <c r="G113" s="2683">
        <v>302</v>
      </c>
      <c r="H113" s="2683">
        <v>3200</v>
      </c>
      <c r="I113" s="2683">
        <v>4000</v>
      </c>
      <c r="J113" s="2683">
        <v>2.9</v>
      </c>
      <c r="K113" s="2684"/>
      <c r="L113" s="2683" t="s">
        <v>6026</v>
      </c>
    </row>
    <row r="114" spans="1:12">
      <c r="A114" s="2682" t="s">
        <v>146</v>
      </c>
      <c r="B114" s="2682">
        <v>32913</v>
      </c>
      <c r="C114" s="2682">
        <v>65</v>
      </c>
      <c r="D114" s="2682">
        <v>90</v>
      </c>
      <c r="E114" s="2682">
        <v>17</v>
      </c>
      <c r="F114" s="2682">
        <v>45.5</v>
      </c>
      <c r="G114" s="2682">
        <v>73.2</v>
      </c>
      <c r="H114" s="2682">
        <v>3800</v>
      </c>
      <c r="I114" s="2682">
        <v>4800</v>
      </c>
      <c r="J114" s="2682">
        <v>0.29499999999999998</v>
      </c>
      <c r="L114" s="2682" t="s">
        <v>6027</v>
      </c>
    </row>
    <row r="115" spans="1:12">
      <c r="A115" s="2683" t="s">
        <v>146</v>
      </c>
      <c r="B115" s="2683" t="s">
        <v>6028</v>
      </c>
      <c r="C115" s="2683">
        <v>65</v>
      </c>
      <c r="D115" s="2683">
        <v>100</v>
      </c>
      <c r="E115" s="2683">
        <v>22</v>
      </c>
      <c r="F115" s="2683">
        <v>67</v>
      </c>
      <c r="G115" s="2683">
        <v>102</v>
      </c>
      <c r="H115" s="2683">
        <v>3600</v>
      </c>
      <c r="I115" s="2683">
        <v>4500</v>
      </c>
      <c r="J115" s="2683">
        <v>0.63</v>
      </c>
      <c r="K115" s="2684"/>
      <c r="L115" s="2683">
        <v>2007113</v>
      </c>
    </row>
    <row r="116" spans="1:12">
      <c r="A116" s="2682" t="s">
        <v>146</v>
      </c>
      <c r="B116" s="2682">
        <v>32013</v>
      </c>
      <c r="C116" s="2682">
        <v>65</v>
      </c>
      <c r="D116" s="2682">
        <v>100</v>
      </c>
      <c r="E116" s="2682">
        <v>23</v>
      </c>
      <c r="F116" s="2682">
        <v>82.8</v>
      </c>
      <c r="G116" s="2682">
        <v>128</v>
      </c>
      <c r="H116" s="2682">
        <v>3600</v>
      </c>
      <c r="I116" s="2682">
        <v>4500</v>
      </c>
      <c r="J116" s="2682">
        <v>0.62</v>
      </c>
      <c r="L116" s="2682" t="s">
        <v>6029</v>
      </c>
    </row>
    <row r="117" spans="1:12">
      <c r="A117" s="2683" t="s">
        <v>146</v>
      </c>
      <c r="B117" s="2683">
        <v>33013</v>
      </c>
      <c r="C117" s="2683">
        <v>65</v>
      </c>
      <c r="D117" s="2683">
        <v>100</v>
      </c>
      <c r="E117" s="2683">
        <v>27</v>
      </c>
      <c r="F117" s="2683">
        <v>98</v>
      </c>
      <c r="G117" s="2683">
        <v>158</v>
      </c>
      <c r="H117" s="2683">
        <v>3600</v>
      </c>
      <c r="I117" s="2683">
        <v>4500</v>
      </c>
      <c r="J117" s="2683">
        <v>0.73199999999999998</v>
      </c>
      <c r="K117" s="2684"/>
      <c r="L117" s="2683" t="s">
        <v>6030</v>
      </c>
    </row>
    <row r="118" spans="1:12">
      <c r="A118" s="2682" t="s">
        <v>146</v>
      </c>
      <c r="B118" s="2682">
        <v>33113</v>
      </c>
      <c r="C118" s="2682">
        <v>65</v>
      </c>
      <c r="D118" s="2682">
        <v>110</v>
      </c>
      <c r="E118" s="2682">
        <v>34</v>
      </c>
      <c r="F118" s="2682">
        <v>142</v>
      </c>
      <c r="G118" s="2682">
        <v>220</v>
      </c>
      <c r="H118" s="2682">
        <v>3400</v>
      </c>
      <c r="I118" s="2682">
        <v>4300</v>
      </c>
      <c r="J118" s="2682">
        <v>1.3</v>
      </c>
      <c r="L118" s="2682" t="s">
        <v>6031</v>
      </c>
    </row>
    <row r="119" spans="1:12">
      <c r="A119" s="2683" t="s">
        <v>146</v>
      </c>
      <c r="B119" s="2683">
        <v>30213</v>
      </c>
      <c r="C119" s="2683">
        <v>65</v>
      </c>
      <c r="D119" s="2683">
        <v>120</v>
      </c>
      <c r="E119" s="2683">
        <v>23</v>
      </c>
      <c r="F119" s="2683">
        <v>120</v>
      </c>
      <c r="G119" s="2683">
        <v>152</v>
      </c>
      <c r="H119" s="2683">
        <v>3200</v>
      </c>
      <c r="I119" s="2683">
        <v>4000</v>
      </c>
      <c r="J119" s="2683">
        <v>1.1299999999999999</v>
      </c>
      <c r="K119" s="2684"/>
      <c r="L119" s="2683" t="s">
        <v>6032</v>
      </c>
    </row>
    <row r="120" spans="1:12">
      <c r="A120" s="2682" t="s">
        <v>146</v>
      </c>
      <c r="B120" s="2682">
        <v>32213</v>
      </c>
      <c r="C120" s="2682">
        <v>65</v>
      </c>
      <c r="D120" s="2682">
        <v>120</v>
      </c>
      <c r="E120" s="2682">
        <v>31</v>
      </c>
      <c r="F120" s="2682">
        <v>160</v>
      </c>
      <c r="G120" s="2682">
        <v>222</v>
      </c>
      <c r="H120" s="2682">
        <v>3200</v>
      </c>
      <c r="I120" s="2682">
        <v>4000</v>
      </c>
      <c r="J120" s="2682">
        <v>1.55</v>
      </c>
      <c r="L120" s="2682" t="s">
        <v>6033</v>
      </c>
    </row>
    <row r="121" spans="1:12">
      <c r="A121" s="2683" t="s">
        <v>146</v>
      </c>
      <c r="B121" s="2683">
        <v>33213</v>
      </c>
      <c r="C121" s="2683">
        <v>65</v>
      </c>
      <c r="D121" s="2683">
        <v>120</v>
      </c>
      <c r="E121" s="2683">
        <v>41</v>
      </c>
      <c r="F121" s="2683">
        <v>202</v>
      </c>
      <c r="G121" s="2683">
        <v>282</v>
      </c>
      <c r="H121" s="2683">
        <v>3200</v>
      </c>
      <c r="I121" s="2683">
        <v>4000</v>
      </c>
      <c r="J121" s="2683">
        <v>1.99</v>
      </c>
      <c r="K121" s="2684"/>
      <c r="L121" s="2683" t="s">
        <v>6034</v>
      </c>
    </row>
    <row r="122" spans="1:12">
      <c r="A122" s="2682" t="s">
        <v>146</v>
      </c>
      <c r="B122" s="2682">
        <v>30313</v>
      </c>
      <c r="C122" s="2682">
        <v>65</v>
      </c>
      <c r="D122" s="2682">
        <v>140</v>
      </c>
      <c r="E122" s="2682">
        <v>33</v>
      </c>
      <c r="F122" s="2682">
        <v>195</v>
      </c>
      <c r="G122" s="2682">
        <v>242</v>
      </c>
      <c r="H122" s="2682">
        <v>2800</v>
      </c>
      <c r="I122" s="2682">
        <v>3600</v>
      </c>
      <c r="J122" s="2682">
        <v>2.44</v>
      </c>
      <c r="L122" s="2682" t="s">
        <v>6035</v>
      </c>
    </row>
    <row r="123" spans="1:12">
      <c r="A123" s="2683" t="s">
        <v>146</v>
      </c>
      <c r="B123" s="2683">
        <v>31313</v>
      </c>
      <c r="C123" s="2683">
        <v>65</v>
      </c>
      <c r="D123" s="2683">
        <v>140</v>
      </c>
      <c r="E123" s="2683">
        <v>33</v>
      </c>
      <c r="F123" s="2683">
        <v>165</v>
      </c>
      <c r="G123" s="2683">
        <v>202</v>
      </c>
      <c r="H123" s="2683">
        <v>2800</v>
      </c>
      <c r="I123" s="2683">
        <v>3600</v>
      </c>
      <c r="J123" s="2683">
        <v>2.37</v>
      </c>
      <c r="K123" s="2684"/>
      <c r="L123" s="2683" t="s">
        <v>6036</v>
      </c>
    </row>
    <row r="124" spans="1:12">
      <c r="A124" s="2682" t="s">
        <v>146</v>
      </c>
      <c r="B124" s="2682">
        <v>32313</v>
      </c>
      <c r="C124" s="2682">
        <v>65</v>
      </c>
      <c r="D124" s="2682">
        <v>140</v>
      </c>
      <c r="E124" s="2682">
        <v>48</v>
      </c>
      <c r="F124" s="2682">
        <v>260</v>
      </c>
      <c r="G124" s="2682">
        <v>350</v>
      </c>
      <c r="H124" s="2682">
        <v>2800</v>
      </c>
      <c r="I124" s="2682">
        <v>3000</v>
      </c>
      <c r="J124" s="2682">
        <v>3.51</v>
      </c>
      <c r="L124" s="2682" t="s">
        <v>6037</v>
      </c>
    </row>
    <row r="125" spans="1:12">
      <c r="A125" s="2683" t="s">
        <v>146</v>
      </c>
      <c r="B125" s="2683" t="s">
        <v>6038</v>
      </c>
      <c r="C125" s="2683">
        <v>70</v>
      </c>
      <c r="D125" s="2683">
        <v>100</v>
      </c>
      <c r="E125" s="2683">
        <v>19</v>
      </c>
      <c r="F125" s="2683">
        <v>53.2</v>
      </c>
      <c r="G125" s="2683">
        <v>85.5</v>
      </c>
      <c r="H125" s="2683">
        <v>3600</v>
      </c>
      <c r="I125" s="2683">
        <v>4500</v>
      </c>
      <c r="J125" s="2683" t="s">
        <v>5908</v>
      </c>
      <c r="K125" s="2684"/>
      <c r="L125" s="2683" t="s">
        <v>5922</v>
      </c>
    </row>
    <row r="126" spans="1:12">
      <c r="A126" s="2682" t="s">
        <v>146</v>
      </c>
      <c r="B126" s="2682">
        <v>32914</v>
      </c>
      <c r="C126" s="2682">
        <v>70</v>
      </c>
      <c r="D126" s="2682">
        <v>100</v>
      </c>
      <c r="E126" s="2682">
        <v>20</v>
      </c>
      <c r="F126" s="2682">
        <v>70.8</v>
      </c>
      <c r="G126" s="2682">
        <v>115</v>
      </c>
      <c r="H126" s="2682">
        <v>3600</v>
      </c>
      <c r="I126" s="2682">
        <v>4500</v>
      </c>
      <c r="J126" s="2682">
        <v>0.47099999999999997</v>
      </c>
      <c r="L126" s="2682" t="s">
        <v>6039</v>
      </c>
    </row>
    <row r="127" spans="1:12">
      <c r="A127" s="2683" t="s">
        <v>146</v>
      </c>
      <c r="B127" s="2683" t="s">
        <v>6040</v>
      </c>
      <c r="C127" s="2683">
        <v>70</v>
      </c>
      <c r="D127" s="2683">
        <v>110</v>
      </c>
      <c r="E127" s="2683">
        <v>24</v>
      </c>
      <c r="F127" s="2683">
        <v>83.8</v>
      </c>
      <c r="G127" s="2683">
        <v>128</v>
      </c>
      <c r="H127" s="2683">
        <v>3400</v>
      </c>
      <c r="I127" s="2683">
        <v>4300</v>
      </c>
      <c r="J127" s="2683">
        <v>0.85</v>
      </c>
      <c r="K127" s="2684"/>
      <c r="L127" s="2683" t="s">
        <v>5922</v>
      </c>
    </row>
    <row r="128" spans="1:12">
      <c r="A128" s="2682" t="s">
        <v>146</v>
      </c>
      <c r="B128" s="2682">
        <v>32014</v>
      </c>
      <c r="C128" s="2682">
        <v>70</v>
      </c>
      <c r="D128" s="2682">
        <v>110</v>
      </c>
      <c r="E128" s="2682">
        <v>25</v>
      </c>
      <c r="F128" s="2682">
        <v>105</v>
      </c>
      <c r="G128" s="2682">
        <v>160</v>
      </c>
      <c r="H128" s="2682">
        <v>3400</v>
      </c>
      <c r="I128" s="2682">
        <v>4300</v>
      </c>
      <c r="J128" s="2682">
        <v>0.83899999999999997</v>
      </c>
      <c r="L128" s="2682" t="s">
        <v>6041</v>
      </c>
    </row>
    <row r="129" spans="1:12">
      <c r="A129" s="2683" t="s">
        <v>146</v>
      </c>
      <c r="B129" s="2683">
        <v>33014</v>
      </c>
      <c r="C129" s="2683">
        <v>70</v>
      </c>
      <c r="D129" s="2683">
        <v>110</v>
      </c>
      <c r="E129" s="2683">
        <v>31</v>
      </c>
      <c r="F129" s="2683">
        <v>135</v>
      </c>
      <c r="G129" s="2683">
        <v>220</v>
      </c>
      <c r="H129" s="2683">
        <v>3400</v>
      </c>
      <c r="I129" s="2683">
        <v>4300</v>
      </c>
      <c r="J129" s="2683">
        <v>1.07</v>
      </c>
      <c r="K129" s="2684"/>
      <c r="L129" s="2683" t="s">
        <v>6042</v>
      </c>
    </row>
    <row r="130" spans="1:12">
      <c r="A130" s="2682" t="s">
        <v>146</v>
      </c>
      <c r="B130" s="2682">
        <v>33114</v>
      </c>
      <c r="C130" s="2682">
        <v>70</v>
      </c>
      <c r="D130" s="2682">
        <v>120</v>
      </c>
      <c r="E130" s="2682">
        <v>37</v>
      </c>
      <c r="F130" s="2682">
        <v>172</v>
      </c>
      <c r="G130" s="2682">
        <v>268</v>
      </c>
      <c r="H130" s="2682">
        <v>3200</v>
      </c>
      <c r="I130" s="2682">
        <v>4000</v>
      </c>
      <c r="J130" s="2682">
        <v>1.7</v>
      </c>
      <c r="L130" s="2682" t="s">
        <v>6043</v>
      </c>
    </row>
    <row r="131" spans="1:12">
      <c r="A131" s="2683" t="s">
        <v>146</v>
      </c>
      <c r="B131" s="2683">
        <v>30214</v>
      </c>
      <c r="C131" s="2683">
        <v>70</v>
      </c>
      <c r="D131" s="2683">
        <v>125</v>
      </c>
      <c r="E131" s="2683">
        <v>24</v>
      </c>
      <c r="F131" s="2683">
        <v>132</v>
      </c>
      <c r="G131" s="2683">
        <v>175</v>
      </c>
      <c r="H131" s="2683">
        <v>3000</v>
      </c>
      <c r="I131" s="2683">
        <v>3800</v>
      </c>
      <c r="J131" s="2683">
        <v>1.26</v>
      </c>
      <c r="K131" s="2684"/>
      <c r="L131" s="2683" t="s">
        <v>6044</v>
      </c>
    </row>
    <row r="132" spans="1:12">
      <c r="A132" s="2682" t="s">
        <v>146</v>
      </c>
      <c r="B132" s="2682">
        <v>32214</v>
      </c>
      <c r="C132" s="2682">
        <v>70</v>
      </c>
      <c r="D132" s="2682">
        <v>125</v>
      </c>
      <c r="E132" s="2682">
        <v>31</v>
      </c>
      <c r="F132" s="2682">
        <v>168</v>
      </c>
      <c r="G132" s="2682">
        <v>238</v>
      </c>
      <c r="H132" s="2682">
        <v>3000</v>
      </c>
      <c r="I132" s="2682">
        <v>3800</v>
      </c>
      <c r="J132" s="2682">
        <v>1.64</v>
      </c>
      <c r="L132" s="2682" t="s">
        <v>6045</v>
      </c>
    </row>
    <row r="133" spans="1:12">
      <c r="A133" s="2683" t="s">
        <v>146</v>
      </c>
      <c r="B133" s="2683">
        <v>33214</v>
      </c>
      <c r="C133" s="2683">
        <v>70</v>
      </c>
      <c r="D133" s="2683">
        <v>125</v>
      </c>
      <c r="E133" s="2683">
        <v>41</v>
      </c>
      <c r="F133" s="2683">
        <v>208</v>
      </c>
      <c r="G133" s="2683">
        <v>29.8</v>
      </c>
      <c r="H133" s="2683">
        <v>3000</v>
      </c>
      <c r="I133" s="2683">
        <v>3800</v>
      </c>
      <c r="J133" s="2683">
        <v>2.1</v>
      </c>
      <c r="K133" s="2684"/>
      <c r="L133" s="2683" t="s">
        <v>6046</v>
      </c>
    </row>
    <row r="134" spans="1:12">
      <c r="A134" s="2682" t="s">
        <v>146</v>
      </c>
      <c r="B134" s="2682">
        <v>30314</v>
      </c>
      <c r="C134" s="2682">
        <v>70</v>
      </c>
      <c r="D134" s="2682">
        <v>150</v>
      </c>
      <c r="E134" s="2682">
        <v>35</v>
      </c>
      <c r="F134" s="2682">
        <v>218</v>
      </c>
      <c r="G134" s="2682">
        <v>272</v>
      </c>
      <c r="H134" s="2682">
        <v>2600</v>
      </c>
      <c r="I134" s="2682">
        <v>3400</v>
      </c>
      <c r="J134" s="2682">
        <v>2.98</v>
      </c>
      <c r="L134" s="2682" t="s">
        <v>6047</v>
      </c>
    </row>
    <row r="135" spans="1:12">
      <c r="A135" s="2683" t="s">
        <v>146</v>
      </c>
      <c r="B135" s="2683">
        <v>31314</v>
      </c>
      <c r="C135" s="2683">
        <v>70</v>
      </c>
      <c r="D135" s="2683">
        <v>150</v>
      </c>
      <c r="E135" s="2683">
        <v>35</v>
      </c>
      <c r="F135" s="2683">
        <v>188</v>
      </c>
      <c r="G135" s="2683">
        <v>230</v>
      </c>
      <c r="H135" s="2683">
        <v>2600</v>
      </c>
      <c r="I135" s="2683">
        <v>3400</v>
      </c>
      <c r="J135" s="2683">
        <v>2.86</v>
      </c>
      <c r="K135" s="2684"/>
      <c r="L135" s="2683" t="s">
        <v>6048</v>
      </c>
    </row>
    <row r="136" spans="1:12">
      <c r="A136" s="2682" t="s">
        <v>146</v>
      </c>
      <c r="B136" s="2682">
        <v>32314</v>
      </c>
      <c r="C136" s="2682">
        <v>70</v>
      </c>
      <c r="D136" s="2682">
        <v>150</v>
      </c>
      <c r="E136" s="2682">
        <v>51</v>
      </c>
      <c r="F136" s="2682">
        <v>257</v>
      </c>
      <c r="G136" s="2682">
        <v>315</v>
      </c>
      <c r="H136" s="2682">
        <v>2700</v>
      </c>
      <c r="I136" s="2682">
        <v>3600</v>
      </c>
      <c r="J136" s="2682">
        <v>4.1100000000000003</v>
      </c>
      <c r="L136" s="2682" t="s">
        <v>6049</v>
      </c>
    </row>
    <row r="137" spans="1:12">
      <c r="A137" s="2683" t="s">
        <v>146</v>
      </c>
      <c r="B137" s="2683">
        <v>32915</v>
      </c>
      <c r="C137" s="2683">
        <v>75</v>
      </c>
      <c r="D137" s="2683">
        <v>105</v>
      </c>
      <c r="E137" s="2683">
        <v>20</v>
      </c>
      <c r="F137" s="2683">
        <v>78.2</v>
      </c>
      <c r="G137" s="2683">
        <v>125</v>
      </c>
      <c r="H137" s="2683">
        <v>3400</v>
      </c>
      <c r="I137" s="2683">
        <v>4300</v>
      </c>
      <c r="J137" s="2683">
        <v>0.49</v>
      </c>
      <c r="K137" s="2684"/>
      <c r="L137" s="2683" t="s">
        <v>6050</v>
      </c>
    </row>
    <row r="138" spans="1:12">
      <c r="A138" s="2682" t="s">
        <v>146</v>
      </c>
      <c r="B138" s="2682" t="s">
        <v>6051</v>
      </c>
      <c r="C138" s="2682">
        <v>75</v>
      </c>
      <c r="D138" s="2682">
        <v>115</v>
      </c>
      <c r="E138" s="2682">
        <v>24</v>
      </c>
      <c r="F138" s="2682">
        <v>85.2</v>
      </c>
      <c r="G138" s="2682">
        <v>135</v>
      </c>
      <c r="H138" s="2682">
        <v>3200</v>
      </c>
      <c r="I138" s="2682">
        <v>4000</v>
      </c>
      <c r="J138" s="2682">
        <v>0.88</v>
      </c>
      <c r="L138" s="2682" t="s">
        <v>5922</v>
      </c>
    </row>
    <row r="139" spans="1:12">
      <c r="A139" s="2683" t="s">
        <v>146</v>
      </c>
      <c r="B139" s="2683">
        <v>32015</v>
      </c>
      <c r="C139" s="2683">
        <v>75</v>
      </c>
      <c r="D139" s="2683">
        <v>115</v>
      </c>
      <c r="E139" s="2683">
        <v>25</v>
      </c>
      <c r="F139" s="2683">
        <v>102</v>
      </c>
      <c r="G139" s="2683">
        <v>160</v>
      </c>
      <c r="H139" s="2683">
        <v>3200</v>
      </c>
      <c r="I139" s="2683">
        <v>4000</v>
      </c>
      <c r="J139" s="2683">
        <v>0.875</v>
      </c>
      <c r="K139" s="2684"/>
      <c r="L139" s="2683" t="s">
        <v>6052</v>
      </c>
    </row>
    <row r="140" spans="1:12">
      <c r="A140" s="2682" t="s">
        <v>146</v>
      </c>
      <c r="B140" s="2682">
        <v>33015</v>
      </c>
      <c r="C140" s="2682">
        <v>75</v>
      </c>
      <c r="D140" s="2682">
        <v>115</v>
      </c>
      <c r="E140" s="2682">
        <v>31</v>
      </c>
      <c r="F140" s="2682">
        <v>132</v>
      </c>
      <c r="G140" s="2682">
        <v>220</v>
      </c>
      <c r="H140" s="2682">
        <v>3200</v>
      </c>
      <c r="I140" s="2682">
        <v>4000</v>
      </c>
      <c r="J140" s="2682">
        <v>1.1200000000000001</v>
      </c>
      <c r="L140" s="2682" t="s">
        <v>6053</v>
      </c>
    </row>
    <row r="141" spans="1:12">
      <c r="A141" s="2683" t="s">
        <v>146</v>
      </c>
      <c r="B141" s="2683">
        <v>33115</v>
      </c>
      <c r="C141" s="2683">
        <v>75</v>
      </c>
      <c r="D141" s="2683">
        <v>125</v>
      </c>
      <c r="E141" s="2683">
        <v>37</v>
      </c>
      <c r="F141" s="2683">
        <v>175</v>
      </c>
      <c r="G141" s="2683">
        <v>280</v>
      </c>
      <c r="H141" s="2683">
        <v>3000</v>
      </c>
      <c r="I141" s="2683">
        <v>3800</v>
      </c>
      <c r="J141" s="2683">
        <v>1.78</v>
      </c>
      <c r="K141" s="2684"/>
      <c r="L141" s="2683" t="s">
        <v>6054</v>
      </c>
    </row>
    <row r="142" spans="1:12">
      <c r="A142" s="2682" t="s">
        <v>146</v>
      </c>
      <c r="B142" s="2682">
        <v>30215</v>
      </c>
      <c r="C142" s="2682">
        <v>75</v>
      </c>
      <c r="D142" s="2682">
        <v>130</v>
      </c>
      <c r="E142" s="2682">
        <v>25</v>
      </c>
      <c r="F142" s="2682">
        <v>138</v>
      </c>
      <c r="G142" s="2682">
        <v>185</v>
      </c>
      <c r="H142" s="2682">
        <v>2800</v>
      </c>
      <c r="I142" s="2682">
        <v>3600</v>
      </c>
      <c r="J142" s="2682">
        <v>1.36</v>
      </c>
      <c r="L142" s="2682" t="s">
        <v>6055</v>
      </c>
    </row>
    <row r="143" spans="1:12">
      <c r="A143" s="2683" t="s">
        <v>146</v>
      </c>
      <c r="B143" s="2683">
        <v>32215</v>
      </c>
      <c r="C143" s="2683">
        <v>75</v>
      </c>
      <c r="D143" s="2683">
        <v>130</v>
      </c>
      <c r="E143" s="2683">
        <v>31</v>
      </c>
      <c r="F143" s="2683">
        <v>170</v>
      </c>
      <c r="G143" s="2683">
        <v>242</v>
      </c>
      <c r="H143" s="2683">
        <v>2800</v>
      </c>
      <c r="I143" s="2683">
        <v>3600</v>
      </c>
      <c r="J143" s="2683">
        <v>1.74</v>
      </c>
      <c r="K143" s="2684"/>
      <c r="L143" s="2683" t="s">
        <v>6056</v>
      </c>
    </row>
    <row r="144" spans="1:12">
      <c r="A144" s="2682" t="s">
        <v>146</v>
      </c>
      <c r="B144" s="2682">
        <v>33215</v>
      </c>
      <c r="C144" s="2682">
        <v>75</v>
      </c>
      <c r="D144" s="2682">
        <v>130</v>
      </c>
      <c r="E144" s="2682">
        <v>41</v>
      </c>
      <c r="F144" s="2682">
        <v>208</v>
      </c>
      <c r="G144" s="2682">
        <v>300</v>
      </c>
      <c r="H144" s="2682">
        <v>2800</v>
      </c>
      <c r="I144" s="2682">
        <v>3600</v>
      </c>
      <c r="J144" s="2682">
        <v>2.17</v>
      </c>
      <c r="L144" s="2682" t="s">
        <v>6057</v>
      </c>
    </row>
    <row r="145" spans="1:12">
      <c r="A145" s="2683" t="s">
        <v>146</v>
      </c>
      <c r="B145" s="2683">
        <v>30315</v>
      </c>
      <c r="C145" s="2683">
        <v>75</v>
      </c>
      <c r="D145" s="2683">
        <v>160</v>
      </c>
      <c r="E145" s="2683">
        <v>37</v>
      </c>
      <c r="F145" s="2683">
        <v>252</v>
      </c>
      <c r="G145" s="2683">
        <v>318</v>
      </c>
      <c r="H145" s="2683">
        <v>2400</v>
      </c>
      <c r="I145" s="2683">
        <v>3200</v>
      </c>
      <c r="J145" s="2683">
        <v>3.57</v>
      </c>
      <c r="K145" s="2684"/>
      <c r="L145" s="2683" t="s">
        <v>6058</v>
      </c>
    </row>
    <row r="146" spans="1:12">
      <c r="A146" s="2682" t="s">
        <v>146</v>
      </c>
      <c r="B146" s="2682">
        <v>31315</v>
      </c>
      <c r="C146" s="2682">
        <v>75</v>
      </c>
      <c r="D146" s="2682">
        <v>160</v>
      </c>
      <c r="E146" s="2682">
        <v>37</v>
      </c>
      <c r="F146" s="2682">
        <v>208</v>
      </c>
      <c r="G146" s="2682">
        <v>258</v>
      </c>
      <c r="H146" s="2682">
        <v>2400</v>
      </c>
      <c r="I146" s="2682">
        <v>3200</v>
      </c>
      <c r="J146" s="2682">
        <v>3.38</v>
      </c>
      <c r="L146" s="2682" t="s">
        <v>6059</v>
      </c>
    </row>
    <row r="147" spans="1:12">
      <c r="A147" s="2683" t="s">
        <v>146</v>
      </c>
      <c r="B147" s="2683">
        <v>32315</v>
      </c>
      <c r="C147" s="2683">
        <v>75</v>
      </c>
      <c r="D147" s="2683">
        <v>160</v>
      </c>
      <c r="E147" s="2683">
        <v>55</v>
      </c>
      <c r="F147" s="2683">
        <v>348</v>
      </c>
      <c r="G147" s="2683">
        <v>482</v>
      </c>
      <c r="H147" s="2683">
        <v>2400</v>
      </c>
      <c r="I147" s="2683">
        <v>3200</v>
      </c>
      <c r="J147" s="2683">
        <v>5.37</v>
      </c>
      <c r="K147" s="2684"/>
      <c r="L147" s="2683" t="s">
        <v>6060</v>
      </c>
    </row>
    <row r="148" spans="1:12">
      <c r="A148" s="2682" t="s">
        <v>146</v>
      </c>
      <c r="B148" s="2682">
        <v>32916</v>
      </c>
      <c r="C148" s="2682">
        <v>80</v>
      </c>
      <c r="D148" s="2682">
        <v>110</v>
      </c>
      <c r="E148" s="2682">
        <v>20</v>
      </c>
      <c r="F148" s="2682">
        <v>79.2</v>
      </c>
      <c r="G148" s="2682">
        <v>128</v>
      </c>
      <c r="H148" s="2682">
        <v>3200</v>
      </c>
      <c r="I148" s="2682">
        <v>4000</v>
      </c>
      <c r="J148" s="2682">
        <v>0.51400000000000001</v>
      </c>
      <c r="L148" s="2682" t="s">
        <v>6061</v>
      </c>
    </row>
    <row r="149" spans="1:12">
      <c r="A149" s="2683" t="s">
        <v>146</v>
      </c>
      <c r="B149" s="2683" t="s">
        <v>6062</v>
      </c>
      <c r="C149" s="2683">
        <v>80</v>
      </c>
      <c r="D149" s="2683">
        <v>125</v>
      </c>
      <c r="E149" s="2683">
        <v>27</v>
      </c>
      <c r="F149" s="2683">
        <v>102</v>
      </c>
      <c r="G149" s="2683">
        <v>162</v>
      </c>
      <c r="H149" s="2683">
        <v>3000</v>
      </c>
      <c r="I149" s="2683">
        <v>3800</v>
      </c>
      <c r="J149" s="2683">
        <v>1.18</v>
      </c>
      <c r="K149" s="2684"/>
      <c r="L149" s="2683" t="s">
        <v>5922</v>
      </c>
    </row>
    <row r="150" spans="1:12">
      <c r="A150" s="2682" t="s">
        <v>146</v>
      </c>
      <c r="B150" s="2682">
        <v>32016</v>
      </c>
      <c r="C150" s="2682">
        <v>80</v>
      </c>
      <c r="D150" s="2682">
        <v>125</v>
      </c>
      <c r="E150" s="2682">
        <v>29</v>
      </c>
      <c r="F150" s="2682">
        <v>140</v>
      </c>
      <c r="G150" s="2682">
        <v>220</v>
      </c>
      <c r="H150" s="2682">
        <v>3000</v>
      </c>
      <c r="I150" s="2682">
        <v>3800</v>
      </c>
      <c r="J150" s="2682">
        <v>1.27</v>
      </c>
      <c r="L150" s="2682" t="s">
        <v>6063</v>
      </c>
    </row>
    <row r="151" spans="1:12">
      <c r="A151" s="2683" t="s">
        <v>146</v>
      </c>
      <c r="B151" s="2683">
        <v>33016</v>
      </c>
      <c r="C151" s="2683">
        <v>80</v>
      </c>
      <c r="D151" s="2683">
        <v>125</v>
      </c>
      <c r="E151" s="2683">
        <v>36</v>
      </c>
      <c r="F151" s="2683">
        <v>182</v>
      </c>
      <c r="G151" s="2683">
        <v>305</v>
      </c>
      <c r="H151" s="2683">
        <v>3000</v>
      </c>
      <c r="I151" s="2683">
        <v>3800</v>
      </c>
      <c r="J151" s="2683">
        <v>1.63</v>
      </c>
      <c r="K151" s="2684"/>
      <c r="L151" s="2683" t="s">
        <v>6064</v>
      </c>
    </row>
    <row r="152" spans="1:12">
      <c r="A152" s="2682" t="s">
        <v>146</v>
      </c>
      <c r="B152" s="2682">
        <v>33116</v>
      </c>
      <c r="C152" s="2682">
        <v>80</v>
      </c>
      <c r="D152" s="2682">
        <v>130</v>
      </c>
      <c r="E152" s="2682">
        <v>37</v>
      </c>
      <c r="F152" s="2682">
        <v>180</v>
      </c>
      <c r="G152" s="2682">
        <v>292</v>
      </c>
      <c r="H152" s="2682">
        <v>2800</v>
      </c>
      <c r="I152" s="2682">
        <v>3600</v>
      </c>
      <c r="J152" s="2682">
        <v>1.87</v>
      </c>
      <c r="L152" s="2682" t="s">
        <v>6065</v>
      </c>
    </row>
    <row r="153" spans="1:12">
      <c r="A153" s="2683" t="s">
        <v>146</v>
      </c>
      <c r="B153" s="2683">
        <v>30216</v>
      </c>
      <c r="C153" s="2683">
        <v>80</v>
      </c>
      <c r="D153" s="2683">
        <v>140</v>
      </c>
      <c r="E153" s="2683">
        <v>26</v>
      </c>
      <c r="F153" s="2683">
        <v>160</v>
      </c>
      <c r="G153" s="2683">
        <v>212</v>
      </c>
      <c r="H153" s="2683">
        <v>2600</v>
      </c>
      <c r="I153" s="2683">
        <v>3400</v>
      </c>
      <c r="J153" s="2683">
        <v>1.67</v>
      </c>
      <c r="K153" s="2684"/>
      <c r="L153" s="2683" t="s">
        <v>6066</v>
      </c>
    </row>
    <row r="154" spans="1:12">
      <c r="A154" s="2682" t="s">
        <v>146</v>
      </c>
      <c r="B154" s="2682">
        <v>32216</v>
      </c>
      <c r="C154" s="2682">
        <v>80</v>
      </c>
      <c r="D154" s="2682">
        <v>140</v>
      </c>
      <c r="E154" s="2682">
        <v>33</v>
      </c>
      <c r="F154" s="2682">
        <v>198</v>
      </c>
      <c r="G154" s="2682">
        <v>278</v>
      </c>
      <c r="H154" s="2682">
        <v>2600</v>
      </c>
      <c r="I154" s="2682">
        <v>3400</v>
      </c>
      <c r="J154" s="2682">
        <v>2.13</v>
      </c>
      <c r="L154" s="2682" t="s">
        <v>6067</v>
      </c>
    </row>
    <row r="155" spans="1:12">
      <c r="A155" s="2683" t="s">
        <v>146</v>
      </c>
      <c r="B155" s="2683">
        <v>33216</v>
      </c>
      <c r="C155" s="2683">
        <v>80</v>
      </c>
      <c r="D155" s="2683">
        <v>140</v>
      </c>
      <c r="E155" s="2683">
        <v>46</v>
      </c>
      <c r="F155" s="2683">
        <v>245</v>
      </c>
      <c r="G155" s="2683">
        <v>362</v>
      </c>
      <c r="H155" s="2683">
        <v>2600</v>
      </c>
      <c r="I155" s="2683">
        <v>3400</v>
      </c>
      <c r="J155" s="2683">
        <v>2.83</v>
      </c>
      <c r="K155" s="2684"/>
      <c r="L155" s="2683" t="s">
        <v>6068</v>
      </c>
    </row>
    <row r="156" spans="1:12">
      <c r="A156" s="2682" t="s">
        <v>146</v>
      </c>
      <c r="B156" s="2682">
        <v>30316</v>
      </c>
      <c r="C156" s="2682">
        <v>80</v>
      </c>
      <c r="D156" s="2682">
        <v>170</v>
      </c>
      <c r="E156" s="2682">
        <v>39</v>
      </c>
      <c r="F156" s="2682">
        <v>278</v>
      </c>
      <c r="G156" s="2682">
        <v>352</v>
      </c>
      <c r="H156" s="2682">
        <v>2200</v>
      </c>
      <c r="I156" s="2682">
        <v>3000</v>
      </c>
      <c r="J156" s="2682">
        <v>4.2699999999999996</v>
      </c>
      <c r="L156" s="2682" t="s">
        <v>6069</v>
      </c>
    </row>
    <row r="157" spans="1:12">
      <c r="A157" s="2683" t="s">
        <v>146</v>
      </c>
      <c r="B157" s="2683">
        <v>31316</v>
      </c>
      <c r="C157" s="2683">
        <v>80</v>
      </c>
      <c r="D157" s="2683">
        <v>170</v>
      </c>
      <c r="E157" s="2683">
        <v>39</v>
      </c>
      <c r="F157" s="2683">
        <v>230</v>
      </c>
      <c r="G157" s="2683">
        <v>288</v>
      </c>
      <c r="H157" s="2683">
        <v>2200</v>
      </c>
      <c r="I157" s="2683">
        <v>3000</v>
      </c>
      <c r="J157" s="2683">
        <v>4.05</v>
      </c>
      <c r="K157" s="2684"/>
      <c r="L157" s="2683" t="s">
        <v>6070</v>
      </c>
    </row>
    <row r="158" spans="1:12">
      <c r="A158" s="2682" t="s">
        <v>146</v>
      </c>
      <c r="B158" s="2682">
        <v>32316</v>
      </c>
      <c r="C158" s="2682">
        <v>80</v>
      </c>
      <c r="D158" s="2682">
        <v>170</v>
      </c>
      <c r="E158" s="2682">
        <v>58</v>
      </c>
      <c r="F158" s="2682">
        <v>388</v>
      </c>
      <c r="G158" s="2682">
        <v>542</v>
      </c>
      <c r="H158" s="2682">
        <v>2200</v>
      </c>
      <c r="I158" s="2682">
        <v>3000</v>
      </c>
      <c r="J158" s="2682">
        <v>6.38</v>
      </c>
      <c r="L158" s="2682" t="s">
        <v>6071</v>
      </c>
    </row>
    <row r="159" spans="1:12">
      <c r="A159" s="2683" t="s">
        <v>146</v>
      </c>
      <c r="B159" s="2683" t="s">
        <v>6072</v>
      </c>
      <c r="C159" s="2683">
        <v>85</v>
      </c>
      <c r="D159" s="2683">
        <v>120</v>
      </c>
      <c r="E159" s="2683">
        <v>22</v>
      </c>
      <c r="F159" s="2683">
        <v>74.2</v>
      </c>
      <c r="G159" s="2683">
        <v>125</v>
      </c>
      <c r="H159" s="2683">
        <v>3400</v>
      </c>
      <c r="I159" s="2683">
        <v>3800</v>
      </c>
      <c r="J159" s="2683">
        <v>0.73</v>
      </c>
      <c r="K159" s="2684"/>
      <c r="L159" s="2683" t="s">
        <v>5922</v>
      </c>
    </row>
    <row r="160" spans="1:12">
      <c r="A160" s="2682" t="s">
        <v>146</v>
      </c>
      <c r="B160" s="2682">
        <v>32917</v>
      </c>
      <c r="C160" s="2682">
        <v>85</v>
      </c>
      <c r="D160" s="2682">
        <v>120</v>
      </c>
      <c r="E160" s="2682">
        <v>23</v>
      </c>
      <c r="F160" s="2682">
        <v>96.8</v>
      </c>
      <c r="G160" s="2682">
        <v>165</v>
      </c>
      <c r="H160" s="2682">
        <v>3400</v>
      </c>
      <c r="I160" s="2682">
        <v>3800</v>
      </c>
      <c r="J160" s="2682">
        <v>0.76700000000000002</v>
      </c>
      <c r="L160" s="2682" t="s">
        <v>6073</v>
      </c>
    </row>
    <row r="161" spans="1:12">
      <c r="A161" s="2683" t="s">
        <v>146</v>
      </c>
      <c r="B161" s="2683" t="s">
        <v>6074</v>
      </c>
      <c r="C161" s="2683">
        <v>85</v>
      </c>
      <c r="D161" s="2683">
        <v>130</v>
      </c>
      <c r="E161" s="2683">
        <v>27</v>
      </c>
      <c r="F161" s="2683">
        <v>105</v>
      </c>
      <c r="G161" s="2683">
        <v>170</v>
      </c>
      <c r="H161" s="2683">
        <v>2800</v>
      </c>
      <c r="I161" s="2683">
        <v>3600</v>
      </c>
      <c r="J161" s="2683">
        <v>1.25</v>
      </c>
      <c r="K161" s="2684"/>
      <c r="L161" s="2683" t="s">
        <v>5922</v>
      </c>
    </row>
    <row r="162" spans="1:12">
      <c r="A162" s="2682" t="s">
        <v>146</v>
      </c>
      <c r="B162" s="2682">
        <v>32017</v>
      </c>
      <c r="C162" s="2682">
        <v>85</v>
      </c>
      <c r="D162" s="2682">
        <v>130</v>
      </c>
      <c r="E162" s="2682">
        <v>29</v>
      </c>
      <c r="F162" s="2682">
        <v>140</v>
      </c>
      <c r="G162" s="2682">
        <v>220</v>
      </c>
      <c r="H162" s="2682">
        <v>2800</v>
      </c>
      <c r="I162" s="2682">
        <v>3600</v>
      </c>
      <c r="J162" s="2682">
        <v>1.32</v>
      </c>
      <c r="L162" s="2682" t="s">
        <v>5957</v>
      </c>
    </row>
    <row r="163" spans="1:12">
      <c r="A163" s="2683" t="s">
        <v>146</v>
      </c>
      <c r="B163" s="2683">
        <v>33017</v>
      </c>
      <c r="C163" s="2683">
        <v>85</v>
      </c>
      <c r="D163" s="2683">
        <v>130</v>
      </c>
      <c r="E163" s="2683">
        <v>36</v>
      </c>
      <c r="F163" s="2683">
        <v>180</v>
      </c>
      <c r="G163" s="2683">
        <v>305</v>
      </c>
      <c r="H163" s="2683">
        <v>2800</v>
      </c>
      <c r="I163" s="2683">
        <v>3600</v>
      </c>
      <c r="J163" s="2683">
        <v>1.69</v>
      </c>
      <c r="K163" s="2684"/>
      <c r="L163" s="2683" t="s">
        <v>6075</v>
      </c>
    </row>
    <row r="164" spans="1:12">
      <c r="A164" s="2682" t="s">
        <v>146</v>
      </c>
      <c r="B164" s="2682">
        <v>33117</v>
      </c>
      <c r="C164" s="2682">
        <v>85</v>
      </c>
      <c r="D164" s="2682">
        <v>140</v>
      </c>
      <c r="E164" s="2682">
        <v>41</v>
      </c>
      <c r="F164" s="2682">
        <v>215</v>
      </c>
      <c r="G164" s="2682">
        <v>355</v>
      </c>
      <c r="H164" s="2682">
        <v>2600</v>
      </c>
      <c r="I164" s="2682">
        <v>3400</v>
      </c>
      <c r="J164" s="2682">
        <v>2.4300000000000002</v>
      </c>
      <c r="L164" s="2682" t="s">
        <v>6076</v>
      </c>
    </row>
    <row r="165" spans="1:12">
      <c r="A165" s="2683" t="s">
        <v>146</v>
      </c>
      <c r="B165" s="2683">
        <v>30217</v>
      </c>
      <c r="C165" s="2683">
        <v>85</v>
      </c>
      <c r="D165" s="2683">
        <v>150</v>
      </c>
      <c r="E165" s="2683">
        <v>31</v>
      </c>
      <c r="F165" s="2683">
        <v>178</v>
      </c>
      <c r="G165" s="2683">
        <v>238</v>
      </c>
      <c r="H165" s="2683">
        <v>2400</v>
      </c>
      <c r="I165" s="2683">
        <v>3200</v>
      </c>
      <c r="J165" s="2683">
        <v>2.06</v>
      </c>
      <c r="K165" s="2684"/>
      <c r="L165" s="2683" t="s">
        <v>6077</v>
      </c>
    </row>
    <row r="166" spans="1:12">
      <c r="A166" s="2682" t="s">
        <v>146</v>
      </c>
      <c r="B166" s="2682">
        <v>32217</v>
      </c>
      <c r="C166" s="2682">
        <v>85</v>
      </c>
      <c r="D166" s="2682">
        <v>150</v>
      </c>
      <c r="E166" s="2682">
        <v>36</v>
      </c>
      <c r="F166" s="2682">
        <v>228</v>
      </c>
      <c r="G166" s="2682">
        <v>325</v>
      </c>
      <c r="H166" s="2682">
        <v>2400</v>
      </c>
      <c r="I166" s="2682">
        <v>3200</v>
      </c>
      <c r="J166" s="2682">
        <v>2.68</v>
      </c>
      <c r="L166" s="2682" t="s">
        <v>6078</v>
      </c>
    </row>
    <row r="167" spans="1:12">
      <c r="A167" s="2683" t="s">
        <v>146</v>
      </c>
      <c r="B167" s="2683">
        <v>23217</v>
      </c>
      <c r="C167" s="2683">
        <v>85</v>
      </c>
      <c r="D167" s="2683">
        <v>150</v>
      </c>
      <c r="E167" s="2683">
        <v>49</v>
      </c>
      <c r="F167" s="2683">
        <v>282</v>
      </c>
      <c r="G167" s="2683">
        <v>415</v>
      </c>
      <c r="H167" s="2683">
        <v>2400</v>
      </c>
      <c r="I167" s="2683">
        <v>3200</v>
      </c>
      <c r="J167" s="2683">
        <v>3.52</v>
      </c>
      <c r="K167" s="2684"/>
      <c r="L167" s="2683" t="s">
        <v>5922</v>
      </c>
    </row>
    <row r="168" spans="1:12">
      <c r="A168" s="2682" t="s">
        <v>146</v>
      </c>
      <c r="B168" s="2682">
        <v>30317</v>
      </c>
      <c r="C168" s="2682">
        <v>85</v>
      </c>
      <c r="D168" s="2682">
        <v>180</v>
      </c>
      <c r="E168" s="2682">
        <v>41</v>
      </c>
      <c r="F168" s="2682">
        <v>305</v>
      </c>
      <c r="G168" s="2682">
        <v>388</v>
      </c>
      <c r="H168" s="2682">
        <v>2000</v>
      </c>
      <c r="I168" s="2682">
        <v>2800</v>
      </c>
      <c r="J168" s="2682">
        <v>4.96</v>
      </c>
      <c r="L168" s="2682" t="s">
        <v>6079</v>
      </c>
    </row>
    <row r="169" spans="1:12">
      <c r="A169" s="2683" t="s">
        <v>146</v>
      </c>
      <c r="B169" s="2683">
        <v>31317</v>
      </c>
      <c r="C169" s="2683">
        <v>85</v>
      </c>
      <c r="D169" s="2683">
        <v>180</v>
      </c>
      <c r="E169" s="2683">
        <v>41</v>
      </c>
      <c r="F169" s="2683">
        <v>255</v>
      </c>
      <c r="G169" s="2683">
        <v>318</v>
      </c>
      <c r="H169" s="2683">
        <v>2000</v>
      </c>
      <c r="I169" s="2683">
        <v>2800</v>
      </c>
      <c r="J169" s="2683">
        <v>4.6900000000000004</v>
      </c>
      <c r="K169" s="2684"/>
      <c r="L169" s="2683" t="s">
        <v>6080</v>
      </c>
    </row>
    <row r="170" spans="1:12">
      <c r="A170" s="2682" t="s">
        <v>146</v>
      </c>
      <c r="B170" s="2682">
        <v>32317</v>
      </c>
      <c r="C170" s="2682">
        <v>85</v>
      </c>
      <c r="D170" s="2682">
        <v>180</v>
      </c>
      <c r="E170" s="2682">
        <v>60</v>
      </c>
      <c r="F170" s="2682">
        <v>422</v>
      </c>
      <c r="G170" s="2682">
        <v>592</v>
      </c>
      <c r="H170" s="2682">
        <v>2000</v>
      </c>
      <c r="I170" s="2682">
        <v>2800</v>
      </c>
      <c r="J170" s="2682">
        <v>7.31</v>
      </c>
      <c r="L170" s="2682" t="s">
        <v>6081</v>
      </c>
    </row>
    <row r="171" spans="1:12">
      <c r="A171" s="2683" t="s">
        <v>146</v>
      </c>
      <c r="B171" s="2683" t="s">
        <v>6082</v>
      </c>
      <c r="C171" s="2683">
        <v>90</v>
      </c>
      <c r="D171" s="2683">
        <v>125</v>
      </c>
      <c r="E171" s="2683">
        <v>22</v>
      </c>
      <c r="F171" s="2683">
        <v>77.8</v>
      </c>
      <c r="G171" s="2683">
        <v>140</v>
      </c>
      <c r="H171" s="2683">
        <v>3200</v>
      </c>
      <c r="I171" s="2683">
        <v>3600</v>
      </c>
      <c r="J171" s="2683" t="s">
        <v>5908</v>
      </c>
      <c r="K171" s="2684"/>
      <c r="L171" s="2683" t="s">
        <v>5922</v>
      </c>
    </row>
    <row r="172" spans="1:12">
      <c r="A172" s="2682" t="s">
        <v>146</v>
      </c>
      <c r="B172" s="2682">
        <v>32918</v>
      </c>
      <c r="C172" s="2682">
        <v>90</v>
      </c>
      <c r="D172" s="2682">
        <v>125</v>
      </c>
      <c r="E172" s="2682">
        <v>23</v>
      </c>
      <c r="F172" s="2682">
        <v>95.8</v>
      </c>
      <c r="G172" s="2682">
        <v>165</v>
      </c>
      <c r="H172" s="2682">
        <v>3200</v>
      </c>
      <c r="I172" s="2682">
        <v>3600</v>
      </c>
      <c r="J172" s="2682">
        <v>0.79600000000000004</v>
      </c>
      <c r="L172" s="2682" t="s">
        <v>6083</v>
      </c>
    </row>
    <row r="173" spans="1:12">
      <c r="A173" s="2683" t="s">
        <v>146</v>
      </c>
      <c r="B173" s="2683" t="s">
        <v>6084</v>
      </c>
      <c r="C173" s="2683">
        <v>90</v>
      </c>
      <c r="D173" s="2683">
        <v>140</v>
      </c>
      <c r="E173" s="2683">
        <v>30</v>
      </c>
      <c r="F173" s="2683">
        <v>122</v>
      </c>
      <c r="G173" s="2683">
        <v>192</v>
      </c>
      <c r="H173" s="2683">
        <v>2600</v>
      </c>
      <c r="I173" s="2683">
        <v>3400</v>
      </c>
      <c r="J173" s="2683">
        <v>1.7</v>
      </c>
      <c r="K173" s="2684"/>
      <c r="L173" s="2683">
        <v>2007118</v>
      </c>
    </row>
    <row r="174" spans="1:12">
      <c r="A174" s="2682" t="s">
        <v>146</v>
      </c>
      <c r="B174" s="2682">
        <v>32018</v>
      </c>
      <c r="C174" s="2682">
        <v>90</v>
      </c>
      <c r="D174" s="2682">
        <v>140</v>
      </c>
      <c r="E174" s="2682">
        <v>32</v>
      </c>
      <c r="F174" s="2682">
        <v>170</v>
      </c>
      <c r="G174" s="2682">
        <v>270</v>
      </c>
      <c r="H174" s="2682">
        <v>2600</v>
      </c>
      <c r="I174" s="2682">
        <v>3400</v>
      </c>
      <c r="J174" s="2682">
        <v>1.72</v>
      </c>
      <c r="L174" s="2682" t="s">
        <v>6085</v>
      </c>
    </row>
    <row r="175" spans="1:12">
      <c r="A175" s="2683" t="s">
        <v>146</v>
      </c>
      <c r="B175" s="2683">
        <v>33018</v>
      </c>
      <c r="C175" s="2683">
        <v>90</v>
      </c>
      <c r="D175" s="2683">
        <v>140</v>
      </c>
      <c r="E175" s="2683">
        <v>39</v>
      </c>
      <c r="F175" s="2683">
        <v>232</v>
      </c>
      <c r="G175" s="2683">
        <v>388</v>
      </c>
      <c r="H175" s="2683">
        <v>2600</v>
      </c>
      <c r="I175" s="2683">
        <v>3400</v>
      </c>
      <c r="J175" s="2683">
        <v>2.2000000000000002</v>
      </c>
      <c r="K175" s="2684"/>
      <c r="L175" s="2683" t="s">
        <v>6086</v>
      </c>
    </row>
    <row r="176" spans="1:12">
      <c r="A176" s="2682" t="s">
        <v>146</v>
      </c>
      <c r="B176" s="2682">
        <v>33118</v>
      </c>
      <c r="C176" s="2682">
        <v>90</v>
      </c>
      <c r="D176" s="2682">
        <v>150</v>
      </c>
      <c r="E176" s="2682">
        <v>45</v>
      </c>
      <c r="F176" s="2682">
        <v>252</v>
      </c>
      <c r="G176" s="2682">
        <v>415</v>
      </c>
      <c r="H176" s="2682">
        <v>2400</v>
      </c>
      <c r="I176" s="2682">
        <v>3200</v>
      </c>
      <c r="J176" s="2682">
        <v>3.13</v>
      </c>
      <c r="L176" s="2682" t="s">
        <v>6087</v>
      </c>
    </row>
    <row r="177" spans="1:12">
      <c r="A177" s="2683" t="s">
        <v>146</v>
      </c>
      <c r="B177" s="2683">
        <v>30218</v>
      </c>
      <c r="C177" s="2683">
        <v>90</v>
      </c>
      <c r="D177" s="2683">
        <v>160</v>
      </c>
      <c r="E177" s="2683">
        <v>30</v>
      </c>
      <c r="F177" s="2683">
        <v>200</v>
      </c>
      <c r="G177" s="2683">
        <v>270</v>
      </c>
      <c r="H177" s="2683">
        <v>2200</v>
      </c>
      <c r="I177" s="2683">
        <v>3000</v>
      </c>
      <c r="J177" s="2683">
        <v>2.54</v>
      </c>
      <c r="K177" s="2684"/>
      <c r="L177" s="2683" t="s">
        <v>6088</v>
      </c>
    </row>
    <row r="178" spans="1:12">
      <c r="A178" s="2682" t="s">
        <v>146</v>
      </c>
      <c r="B178" s="2682">
        <v>32218</v>
      </c>
      <c r="C178" s="2682">
        <v>90</v>
      </c>
      <c r="D178" s="2682">
        <v>160</v>
      </c>
      <c r="E178" s="2682">
        <v>40</v>
      </c>
      <c r="F178" s="2682">
        <v>270</v>
      </c>
      <c r="G178" s="2682">
        <v>395</v>
      </c>
      <c r="H178" s="2682">
        <v>2200</v>
      </c>
      <c r="I178" s="2682">
        <v>3000</v>
      </c>
      <c r="J178" s="2682">
        <v>3.44</v>
      </c>
      <c r="L178" s="2682" t="s">
        <v>6089</v>
      </c>
    </row>
    <row r="179" spans="1:12">
      <c r="A179" s="2683" t="s">
        <v>146</v>
      </c>
      <c r="B179" s="2683">
        <v>33218</v>
      </c>
      <c r="C179" s="2683">
        <v>90</v>
      </c>
      <c r="D179" s="2683">
        <v>160</v>
      </c>
      <c r="E179" s="2683">
        <v>55</v>
      </c>
      <c r="F179" s="2683">
        <v>330</v>
      </c>
      <c r="G179" s="2683">
        <v>500</v>
      </c>
      <c r="H179" s="2683">
        <v>2200</v>
      </c>
      <c r="I179" s="2683">
        <v>3000</v>
      </c>
      <c r="J179" s="2683">
        <v>4.55</v>
      </c>
      <c r="K179" s="2684"/>
      <c r="L179" s="2683" t="s">
        <v>6090</v>
      </c>
    </row>
    <row r="180" spans="1:12">
      <c r="A180" s="2682" t="s">
        <v>146</v>
      </c>
      <c r="B180" s="2682">
        <v>30318</v>
      </c>
      <c r="C180" s="2682">
        <v>90</v>
      </c>
      <c r="D180" s="2682">
        <v>190</v>
      </c>
      <c r="E180" s="2682">
        <v>43</v>
      </c>
      <c r="F180" s="2682">
        <v>342</v>
      </c>
      <c r="G180" s="2682">
        <v>440</v>
      </c>
      <c r="H180" s="2682">
        <v>1900</v>
      </c>
      <c r="I180" s="2682">
        <v>2600</v>
      </c>
      <c r="J180" s="2682">
        <v>5.8</v>
      </c>
      <c r="L180" s="2682" t="s">
        <v>6091</v>
      </c>
    </row>
    <row r="181" spans="1:12">
      <c r="A181" s="2683" t="s">
        <v>146</v>
      </c>
      <c r="B181" s="2683">
        <v>31318</v>
      </c>
      <c r="C181" s="2683">
        <v>90</v>
      </c>
      <c r="D181" s="2683">
        <v>190</v>
      </c>
      <c r="E181" s="2683">
        <v>43</v>
      </c>
      <c r="F181" s="2683">
        <v>282</v>
      </c>
      <c r="G181" s="2683">
        <v>358</v>
      </c>
      <c r="H181" s="2683">
        <v>1900</v>
      </c>
      <c r="I181" s="2683">
        <v>2600</v>
      </c>
      <c r="J181" s="2683">
        <v>5.46</v>
      </c>
      <c r="K181" s="2684"/>
      <c r="L181" s="2683" t="s">
        <v>6092</v>
      </c>
    </row>
    <row r="182" spans="1:12">
      <c r="A182" s="2682" t="s">
        <v>146</v>
      </c>
      <c r="B182" s="2682">
        <v>32318</v>
      </c>
      <c r="C182" s="2682">
        <v>90</v>
      </c>
      <c r="D182" s="2682">
        <v>190</v>
      </c>
      <c r="E182" s="2682">
        <v>64</v>
      </c>
      <c r="F182" s="2682">
        <v>478</v>
      </c>
      <c r="G182" s="2682">
        <v>682</v>
      </c>
      <c r="H182" s="2682">
        <v>1900</v>
      </c>
      <c r="I182" s="2682">
        <v>2600</v>
      </c>
      <c r="J182" s="2682">
        <v>8.81</v>
      </c>
      <c r="L182" s="2682" t="s">
        <v>6093</v>
      </c>
    </row>
    <row r="183" spans="1:12">
      <c r="A183" s="2683" t="s">
        <v>146</v>
      </c>
      <c r="B183" s="2683">
        <v>32919</v>
      </c>
      <c r="C183" s="2683">
        <v>95</v>
      </c>
      <c r="D183" s="2683">
        <v>130</v>
      </c>
      <c r="E183" s="2683">
        <v>23</v>
      </c>
      <c r="F183" s="2683">
        <v>97.2</v>
      </c>
      <c r="G183" s="2683">
        <v>170</v>
      </c>
      <c r="H183" s="2683">
        <v>2600</v>
      </c>
      <c r="I183" s="2683">
        <v>3400</v>
      </c>
      <c r="J183" s="2683">
        <v>0.83099999999999996</v>
      </c>
      <c r="K183" s="2684"/>
      <c r="L183" s="2683" t="s">
        <v>6094</v>
      </c>
    </row>
    <row r="184" spans="1:12">
      <c r="A184" s="2682" t="s">
        <v>146</v>
      </c>
      <c r="B184" s="2682" t="s">
        <v>6095</v>
      </c>
      <c r="C184" s="2682">
        <v>95</v>
      </c>
      <c r="D184" s="2682">
        <v>145</v>
      </c>
      <c r="E184" s="2682">
        <v>30</v>
      </c>
      <c r="F184" s="2682">
        <v>122</v>
      </c>
      <c r="G184" s="2682">
        <v>192</v>
      </c>
      <c r="H184" s="2682">
        <v>2400</v>
      </c>
      <c r="I184" s="2682">
        <v>3200</v>
      </c>
      <c r="J184" s="2682">
        <v>1.7</v>
      </c>
      <c r="L184" s="2682" t="s">
        <v>5922</v>
      </c>
    </row>
    <row r="185" spans="1:12">
      <c r="A185" s="2683" t="s">
        <v>146</v>
      </c>
      <c r="B185" s="2683">
        <v>32109</v>
      </c>
      <c r="C185" s="2683">
        <v>95</v>
      </c>
      <c r="D185" s="2683">
        <v>145</v>
      </c>
      <c r="E185" s="2683">
        <v>32</v>
      </c>
      <c r="F185" s="2683">
        <v>175</v>
      </c>
      <c r="G185" s="2683">
        <v>280</v>
      </c>
      <c r="H185" s="2683">
        <v>2400</v>
      </c>
      <c r="I185" s="2683">
        <v>3200</v>
      </c>
      <c r="J185" s="2683">
        <v>1.79</v>
      </c>
      <c r="K185" s="2684"/>
      <c r="L185" s="2683" t="s">
        <v>5922</v>
      </c>
    </row>
    <row r="186" spans="1:12">
      <c r="A186" s="2682" t="s">
        <v>146</v>
      </c>
      <c r="B186" s="2682">
        <v>33019</v>
      </c>
      <c r="C186" s="2682">
        <v>95</v>
      </c>
      <c r="D186" s="2682">
        <v>145</v>
      </c>
      <c r="E186" s="2682">
        <v>39</v>
      </c>
      <c r="F186" s="2682">
        <v>230</v>
      </c>
      <c r="G186" s="2682">
        <v>390</v>
      </c>
      <c r="H186" s="2682">
        <v>2400</v>
      </c>
      <c r="I186" s="2682">
        <v>3200</v>
      </c>
      <c r="J186" s="2682">
        <v>2.2599999999999998</v>
      </c>
      <c r="L186" s="2682" t="s">
        <v>6096</v>
      </c>
    </row>
    <row r="187" spans="1:12">
      <c r="A187" s="2683" t="s">
        <v>146</v>
      </c>
      <c r="B187" s="2683">
        <v>33119</v>
      </c>
      <c r="C187" s="2683">
        <v>95</v>
      </c>
      <c r="D187" s="2683">
        <v>160</v>
      </c>
      <c r="E187" s="2683">
        <v>49</v>
      </c>
      <c r="F187" s="2683">
        <v>298</v>
      </c>
      <c r="G187" s="2683">
        <v>498</v>
      </c>
      <c r="H187" s="2683">
        <v>2200</v>
      </c>
      <c r="I187" s="2683">
        <v>3000</v>
      </c>
      <c r="J187" s="2683">
        <v>3.94</v>
      </c>
      <c r="K187" s="2684"/>
      <c r="L187" s="2683" t="s">
        <v>6097</v>
      </c>
    </row>
    <row r="188" spans="1:12">
      <c r="A188" s="2682" t="s">
        <v>146</v>
      </c>
      <c r="B188" s="2682">
        <v>30219</v>
      </c>
      <c r="C188" s="2682">
        <v>95</v>
      </c>
      <c r="D188" s="2682">
        <v>170</v>
      </c>
      <c r="E188" s="2682">
        <v>32</v>
      </c>
      <c r="F188" s="2682">
        <v>228</v>
      </c>
      <c r="G188" s="2682">
        <v>308</v>
      </c>
      <c r="H188" s="2682">
        <v>2000</v>
      </c>
      <c r="I188" s="2682">
        <v>2800</v>
      </c>
      <c r="J188" s="2682">
        <v>3.04</v>
      </c>
      <c r="L188" s="2682" t="s">
        <v>6098</v>
      </c>
    </row>
    <row r="189" spans="1:12">
      <c r="A189" s="2683" t="s">
        <v>146</v>
      </c>
      <c r="B189" s="2683">
        <v>30336</v>
      </c>
      <c r="C189" s="2683">
        <v>180</v>
      </c>
      <c r="D189" s="2683">
        <v>380</v>
      </c>
      <c r="E189" s="2683">
        <v>75</v>
      </c>
      <c r="F189" s="2683">
        <v>901</v>
      </c>
      <c r="G189" s="2683">
        <v>1110</v>
      </c>
      <c r="H189" s="2683">
        <v>940</v>
      </c>
      <c r="I189" s="2683">
        <v>1300</v>
      </c>
      <c r="J189" s="2683">
        <v>39.700000000000003</v>
      </c>
      <c r="K189" s="2684"/>
      <c r="L189" s="2683" t="s">
        <v>6099</v>
      </c>
    </row>
    <row r="190" spans="1:12">
      <c r="A190" s="2682" t="s">
        <v>146</v>
      </c>
      <c r="B190" s="2682">
        <v>32219</v>
      </c>
      <c r="C190" s="2682">
        <v>95</v>
      </c>
      <c r="D190" s="2682">
        <v>170</v>
      </c>
      <c r="E190" s="2682">
        <v>43</v>
      </c>
      <c r="F190" s="2682">
        <v>302</v>
      </c>
      <c r="G190" s="2682">
        <v>448</v>
      </c>
      <c r="H190" s="2682">
        <v>2000</v>
      </c>
      <c r="I190" s="2682">
        <v>2800</v>
      </c>
      <c r="J190" s="2682">
        <v>4.24</v>
      </c>
      <c r="L190" s="2682" t="s">
        <v>6100</v>
      </c>
    </row>
    <row r="191" spans="1:12">
      <c r="A191" s="2683" t="s">
        <v>146</v>
      </c>
      <c r="B191" s="2683">
        <v>33219</v>
      </c>
      <c r="C191" s="2683">
        <v>95</v>
      </c>
      <c r="D191" s="2683">
        <v>170</v>
      </c>
      <c r="E191" s="2683">
        <v>58</v>
      </c>
      <c r="F191" s="2683">
        <v>378</v>
      </c>
      <c r="G191" s="2683">
        <v>568</v>
      </c>
      <c r="H191" s="2683">
        <v>2000</v>
      </c>
      <c r="I191" s="2683">
        <v>2800</v>
      </c>
      <c r="J191" s="2683">
        <v>5.48</v>
      </c>
      <c r="K191" s="2684"/>
      <c r="L191" s="2683" t="s">
        <v>6101</v>
      </c>
    </row>
    <row r="192" spans="1:12">
      <c r="A192" s="2682" t="s">
        <v>146</v>
      </c>
      <c r="B192" s="2682">
        <v>30319</v>
      </c>
      <c r="C192" s="2682">
        <v>95</v>
      </c>
      <c r="D192" s="2682">
        <v>200</v>
      </c>
      <c r="E192" s="2682">
        <v>45</v>
      </c>
      <c r="F192" s="2682">
        <v>317</v>
      </c>
      <c r="G192" s="2682">
        <v>368</v>
      </c>
      <c r="H192" s="2682">
        <v>2000</v>
      </c>
      <c r="I192" s="2682">
        <v>2600</v>
      </c>
      <c r="J192" s="2682">
        <v>6.32</v>
      </c>
      <c r="L192" s="2682" t="s">
        <v>6102</v>
      </c>
    </row>
    <row r="193" spans="1:12">
      <c r="A193" s="2683" t="s">
        <v>146</v>
      </c>
      <c r="B193" s="2683">
        <v>31319</v>
      </c>
      <c r="C193" s="2683">
        <v>95</v>
      </c>
      <c r="D193" s="2683">
        <v>200</v>
      </c>
      <c r="E193" s="2683">
        <v>45</v>
      </c>
      <c r="F193" s="2683">
        <v>310</v>
      </c>
      <c r="G193" s="2683">
        <v>400</v>
      </c>
      <c r="H193" s="2683">
        <v>1800</v>
      </c>
      <c r="I193" s="2683">
        <v>2400</v>
      </c>
      <c r="J193" s="2683">
        <v>6.46</v>
      </c>
      <c r="K193" s="2684"/>
      <c r="L193" s="2683" t="s">
        <v>6103</v>
      </c>
    </row>
    <row r="194" spans="1:12">
      <c r="A194" s="2682" t="s">
        <v>146</v>
      </c>
      <c r="B194" s="2682">
        <v>32319</v>
      </c>
      <c r="C194" s="2682">
        <v>95</v>
      </c>
      <c r="D194" s="2682">
        <v>200</v>
      </c>
      <c r="E194" s="2682">
        <v>67</v>
      </c>
      <c r="F194" s="2682">
        <v>427</v>
      </c>
      <c r="G194" s="2682">
        <v>544</v>
      </c>
      <c r="H194" s="2682">
        <v>2000</v>
      </c>
      <c r="I194" s="2682">
        <v>2600</v>
      </c>
      <c r="J194" s="2682">
        <v>9.35</v>
      </c>
      <c r="L194" s="2682" t="s">
        <v>6104</v>
      </c>
    </row>
    <row r="195" spans="1:12">
      <c r="A195" s="2683" t="s">
        <v>146</v>
      </c>
      <c r="B195" s="2683">
        <v>32920</v>
      </c>
      <c r="C195" s="2683">
        <v>100</v>
      </c>
      <c r="D195" s="2683">
        <v>140</v>
      </c>
      <c r="E195" s="2683">
        <v>25</v>
      </c>
      <c r="F195" s="2683">
        <v>128</v>
      </c>
      <c r="G195" s="2683">
        <v>218</v>
      </c>
      <c r="H195" s="2683">
        <v>2400</v>
      </c>
      <c r="I195" s="2683">
        <v>3200</v>
      </c>
      <c r="J195" s="2683">
        <v>1.1200000000000001</v>
      </c>
      <c r="K195" s="2684"/>
      <c r="L195" s="2683" t="s">
        <v>6105</v>
      </c>
    </row>
    <row r="196" spans="1:12">
      <c r="A196" s="2682" t="s">
        <v>146</v>
      </c>
      <c r="B196" s="2682" t="s">
        <v>6106</v>
      </c>
      <c r="C196" s="2682">
        <v>100</v>
      </c>
      <c r="D196" s="2682">
        <v>150</v>
      </c>
      <c r="E196" s="2682">
        <v>30</v>
      </c>
      <c r="F196" s="2682">
        <v>125</v>
      </c>
      <c r="G196" s="2682">
        <v>205</v>
      </c>
      <c r="H196" s="2682">
        <v>2200</v>
      </c>
      <c r="I196" s="2682">
        <v>3000</v>
      </c>
      <c r="J196" s="2682">
        <v>1.79</v>
      </c>
      <c r="L196" s="2682" t="s">
        <v>6107</v>
      </c>
    </row>
    <row r="197" spans="1:12">
      <c r="A197" s="2683" t="s">
        <v>146</v>
      </c>
      <c r="B197" s="2683">
        <v>32020</v>
      </c>
      <c r="C197" s="2683">
        <v>100</v>
      </c>
      <c r="D197" s="2683">
        <v>150</v>
      </c>
      <c r="E197" s="2683">
        <v>32</v>
      </c>
      <c r="F197" s="2683">
        <v>172</v>
      </c>
      <c r="G197" s="2683">
        <v>282</v>
      </c>
      <c r="H197" s="2683">
        <v>2200</v>
      </c>
      <c r="I197" s="2683">
        <v>3000</v>
      </c>
      <c r="J197" s="2683">
        <v>1.85</v>
      </c>
      <c r="K197" s="2684"/>
      <c r="L197" s="2683" t="s">
        <v>6107</v>
      </c>
    </row>
    <row r="198" spans="1:12">
      <c r="A198" s="2682" t="s">
        <v>146</v>
      </c>
      <c r="B198" s="2682">
        <v>33020</v>
      </c>
      <c r="C198" s="2682">
        <v>100</v>
      </c>
      <c r="D198" s="2682">
        <v>150</v>
      </c>
      <c r="E198" s="2682">
        <v>39</v>
      </c>
      <c r="F198" s="2682">
        <v>230</v>
      </c>
      <c r="G198" s="2682">
        <v>390</v>
      </c>
      <c r="H198" s="2682">
        <v>2200</v>
      </c>
      <c r="I198" s="2682">
        <v>3000</v>
      </c>
      <c r="J198" s="2682">
        <v>2.33</v>
      </c>
      <c r="L198" s="2682" t="s">
        <v>6108</v>
      </c>
    </row>
    <row r="199" spans="1:12">
      <c r="A199" s="2683" t="s">
        <v>146</v>
      </c>
      <c r="B199" s="2683">
        <v>35120</v>
      </c>
      <c r="C199" s="2683">
        <v>100</v>
      </c>
      <c r="D199" s="2683">
        <v>165</v>
      </c>
      <c r="E199" s="2683">
        <v>52</v>
      </c>
      <c r="F199" s="2683">
        <v>308</v>
      </c>
      <c r="G199" s="2683">
        <v>528</v>
      </c>
      <c r="H199" s="2683">
        <v>2000</v>
      </c>
      <c r="I199" s="2683">
        <v>2800</v>
      </c>
      <c r="J199" s="2683">
        <v>4.3099999999999996</v>
      </c>
      <c r="K199" s="2684"/>
      <c r="L199" s="2683" t="s">
        <v>5922</v>
      </c>
    </row>
    <row r="200" spans="1:12">
      <c r="A200" s="2682" t="s">
        <v>146</v>
      </c>
      <c r="B200" s="2682">
        <v>30220</v>
      </c>
      <c r="C200" s="2682">
        <v>100</v>
      </c>
      <c r="D200" s="2682">
        <v>180</v>
      </c>
      <c r="E200" s="2682">
        <v>34</v>
      </c>
      <c r="F200" s="2682">
        <v>255</v>
      </c>
      <c r="G200" s="2682">
        <v>350</v>
      </c>
      <c r="H200" s="2682">
        <v>1900</v>
      </c>
      <c r="I200" s="2682">
        <v>2600</v>
      </c>
      <c r="J200" s="2682">
        <v>3.72</v>
      </c>
      <c r="L200" s="2682" t="s">
        <v>6109</v>
      </c>
    </row>
    <row r="201" spans="1:12">
      <c r="A201" s="2683" t="s">
        <v>146</v>
      </c>
      <c r="B201" s="2683">
        <v>32220</v>
      </c>
      <c r="C201" s="2683">
        <v>100</v>
      </c>
      <c r="D201" s="2683">
        <v>180</v>
      </c>
      <c r="E201" s="2683">
        <v>46</v>
      </c>
      <c r="F201" s="2683">
        <v>340</v>
      </c>
      <c r="G201" s="2683">
        <v>512</v>
      </c>
      <c r="H201" s="2683">
        <v>1900</v>
      </c>
      <c r="I201" s="2683">
        <v>2600</v>
      </c>
      <c r="J201" s="2683">
        <v>5.0999999999999996</v>
      </c>
      <c r="K201" s="2684"/>
      <c r="L201" s="2683" t="s">
        <v>6110</v>
      </c>
    </row>
    <row r="202" spans="1:12">
      <c r="A202" s="2682" t="s">
        <v>146</v>
      </c>
      <c r="B202" s="2682">
        <v>33220</v>
      </c>
      <c r="C202" s="2682">
        <v>100</v>
      </c>
      <c r="D202" s="2682">
        <v>180</v>
      </c>
      <c r="E202" s="2682">
        <v>63</v>
      </c>
      <c r="F202" s="2682">
        <v>438</v>
      </c>
      <c r="G202" s="2682">
        <v>665</v>
      </c>
      <c r="H202" s="2682">
        <v>1900</v>
      </c>
      <c r="I202" s="2682">
        <v>2600</v>
      </c>
      <c r="J202" s="2682">
        <v>6.71</v>
      </c>
      <c r="L202" s="2682" t="s">
        <v>6111</v>
      </c>
    </row>
    <row r="203" spans="1:12">
      <c r="A203" s="2683" t="s">
        <v>146</v>
      </c>
      <c r="B203" s="2683">
        <v>30320</v>
      </c>
      <c r="C203" s="2683">
        <v>100</v>
      </c>
      <c r="D203" s="2683">
        <v>215</v>
      </c>
      <c r="E203" s="2683">
        <v>47</v>
      </c>
      <c r="F203" s="2683">
        <v>344</v>
      </c>
      <c r="G203" s="2683">
        <v>400</v>
      </c>
      <c r="H203" s="2683">
        <v>1800</v>
      </c>
      <c r="I203" s="2683">
        <v>2400</v>
      </c>
      <c r="J203" s="2683">
        <v>7.76</v>
      </c>
      <c r="K203" s="2684"/>
      <c r="L203" s="2683" t="s">
        <v>6112</v>
      </c>
    </row>
    <row r="204" spans="1:12">
      <c r="A204" s="2682" t="s">
        <v>146</v>
      </c>
      <c r="B204" s="2682">
        <v>31320</v>
      </c>
      <c r="C204" s="2682">
        <v>100</v>
      </c>
      <c r="D204" s="2682">
        <v>215</v>
      </c>
      <c r="E204" s="2682">
        <v>51</v>
      </c>
      <c r="F204" s="2682">
        <v>372</v>
      </c>
      <c r="G204" s="2682">
        <v>488</v>
      </c>
      <c r="H204" s="2682">
        <v>1600</v>
      </c>
      <c r="I204" s="2682">
        <v>2000</v>
      </c>
      <c r="J204" s="2682">
        <v>8.59</v>
      </c>
      <c r="L204" s="2682" t="s">
        <v>6113</v>
      </c>
    </row>
    <row r="205" spans="1:12">
      <c r="A205" s="2683" t="s">
        <v>146</v>
      </c>
      <c r="B205" s="2683">
        <v>32320</v>
      </c>
      <c r="C205" s="2683">
        <v>100</v>
      </c>
      <c r="D205" s="2683">
        <v>215</v>
      </c>
      <c r="E205" s="2683">
        <v>73</v>
      </c>
      <c r="F205" s="2683">
        <v>491</v>
      </c>
      <c r="G205" s="2683">
        <v>637</v>
      </c>
      <c r="H205" s="2683">
        <v>1800</v>
      </c>
      <c r="I205" s="2683">
        <v>2400</v>
      </c>
      <c r="J205" s="2683">
        <v>12.2</v>
      </c>
      <c r="K205" s="2684"/>
      <c r="L205" s="2683" t="s">
        <v>6114</v>
      </c>
    </row>
    <row r="206" spans="1:12">
      <c r="A206" s="2682" t="s">
        <v>146</v>
      </c>
      <c r="B206" s="2682">
        <v>32921</v>
      </c>
      <c r="C206" s="2682">
        <v>105</v>
      </c>
      <c r="D206" s="2682">
        <v>145</v>
      </c>
      <c r="E206" s="2682">
        <v>25</v>
      </c>
      <c r="F206" s="2682">
        <v>128</v>
      </c>
      <c r="G206" s="2682">
        <v>225</v>
      </c>
      <c r="H206" s="2682">
        <v>2200</v>
      </c>
      <c r="I206" s="2682">
        <v>3000</v>
      </c>
      <c r="J206" s="2682">
        <v>1.1599999999999999</v>
      </c>
      <c r="L206" s="2682" t="s">
        <v>6115</v>
      </c>
    </row>
    <row r="207" spans="1:12">
      <c r="A207" s="2683" t="s">
        <v>146</v>
      </c>
      <c r="B207" s="2683" t="s">
        <v>6116</v>
      </c>
      <c r="C207" s="2683">
        <v>105</v>
      </c>
      <c r="D207" s="2683">
        <v>160</v>
      </c>
      <c r="E207" s="2683">
        <v>33</v>
      </c>
      <c r="F207" s="2683">
        <v>162</v>
      </c>
      <c r="G207" s="2683">
        <v>270</v>
      </c>
      <c r="H207" s="2683">
        <v>2000</v>
      </c>
      <c r="I207" s="2683">
        <v>2800</v>
      </c>
      <c r="J207" s="2683">
        <v>2.5</v>
      </c>
      <c r="K207" s="2684"/>
      <c r="L207" s="2683">
        <v>2007121</v>
      </c>
    </row>
    <row r="208" spans="1:12">
      <c r="A208" s="2682" t="s">
        <v>146</v>
      </c>
      <c r="B208" s="2682">
        <v>32021</v>
      </c>
      <c r="C208" s="2682">
        <v>105</v>
      </c>
      <c r="D208" s="2682">
        <v>160</v>
      </c>
      <c r="E208" s="2682">
        <v>35</v>
      </c>
      <c r="F208" s="2682">
        <v>205</v>
      </c>
      <c r="G208" s="2682">
        <v>335</v>
      </c>
      <c r="H208" s="2682">
        <v>2000</v>
      </c>
      <c r="I208" s="2682">
        <v>2800</v>
      </c>
      <c r="J208" s="2682">
        <v>2.4</v>
      </c>
      <c r="L208" s="2682" t="s">
        <v>6117</v>
      </c>
    </row>
    <row r="209" spans="1:12">
      <c r="A209" s="2683" t="s">
        <v>146</v>
      </c>
      <c r="B209" s="2683">
        <v>33021</v>
      </c>
      <c r="C209" s="2683">
        <v>105</v>
      </c>
      <c r="D209" s="2683">
        <v>160</v>
      </c>
      <c r="E209" s="2683">
        <v>43</v>
      </c>
      <c r="F209" s="2683">
        <v>258</v>
      </c>
      <c r="G209" s="2683">
        <v>438</v>
      </c>
      <c r="H209" s="2683">
        <v>2000</v>
      </c>
      <c r="I209" s="2683">
        <v>2800</v>
      </c>
      <c r="J209" s="2683">
        <v>2.97</v>
      </c>
      <c r="K209" s="2684"/>
      <c r="L209" s="2683" t="s">
        <v>6118</v>
      </c>
    </row>
    <row r="210" spans="1:12">
      <c r="A210" s="2682" t="s">
        <v>146</v>
      </c>
      <c r="B210" s="2682">
        <v>33121</v>
      </c>
      <c r="C210" s="2682">
        <v>105</v>
      </c>
      <c r="D210" s="2682">
        <v>175</v>
      </c>
      <c r="E210" s="2682">
        <v>56</v>
      </c>
      <c r="F210" s="2682">
        <v>352</v>
      </c>
      <c r="G210" s="2682">
        <v>608</v>
      </c>
      <c r="H210" s="2682">
        <v>1900</v>
      </c>
      <c r="I210" s="2682">
        <v>2600</v>
      </c>
      <c r="J210" s="2682">
        <v>5.29</v>
      </c>
      <c r="L210" s="2682" t="s">
        <v>6119</v>
      </c>
    </row>
    <row r="211" spans="1:12">
      <c r="A211" s="2683" t="s">
        <v>146</v>
      </c>
      <c r="B211" s="2683">
        <v>30221</v>
      </c>
      <c r="C211" s="2683">
        <v>105</v>
      </c>
      <c r="D211" s="2683">
        <v>190</v>
      </c>
      <c r="E211" s="2683">
        <v>36</v>
      </c>
      <c r="F211" s="2683">
        <v>285</v>
      </c>
      <c r="G211" s="2683">
        <v>398</v>
      </c>
      <c r="H211" s="2683">
        <v>1800</v>
      </c>
      <c r="I211" s="2683">
        <v>2400</v>
      </c>
      <c r="J211" s="2683">
        <v>4.38</v>
      </c>
      <c r="K211" s="2684"/>
      <c r="L211" s="2683" t="s">
        <v>6120</v>
      </c>
    </row>
    <row r="212" spans="1:12">
      <c r="A212" s="2682" t="s">
        <v>146</v>
      </c>
      <c r="B212" s="2682">
        <v>32221</v>
      </c>
      <c r="C212" s="2682">
        <v>105</v>
      </c>
      <c r="D212" s="2682">
        <v>190</v>
      </c>
      <c r="E212" s="2682">
        <v>50</v>
      </c>
      <c r="F212" s="2682">
        <v>380</v>
      </c>
      <c r="G212" s="2682">
        <v>578</v>
      </c>
      <c r="H212" s="2682">
        <v>1800</v>
      </c>
      <c r="I212" s="2682">
        <v>2400</v>
      </c>
      <c r="J212" s="2682">
        <v>6.26</v>
      </c>
      <c r="L212" s="2682" t="s">
        <v>6121</v>
      </c>
    </row>
    <row r="213" spans="1:12">
      <c r="A213" s="2683" t="s">
        <v>146</v>
      </c>
      <c r="B213" s="2683">
        <v>33221</v>
      </c>
      <c r="C213" s="2683">
        <v>105</v>
      </c>
      <c r="D213" s="2683">
        <v>190</v>
      </c>
      <c r="E213" s="2683">
        <v>68</v>
      </c>
      <c r="F213" s="2683">
        <v>498</v>
      </c>
      <c r="G213" s="2683">
        <v>770</v>
      </c>
      <c r="H213" s="2683">
        <v>1800</v>
      </c>
      <c r="I213" s="2683">
        <v>2400</v>
      </c>
      <c r="J213" s="2683">
        <v>8.1199999999999992</v>
      </c>
      <c r="K213" s="2684"/>
      <c r="L213" s="2683" t="s">
        <v>6122</v>
      </c>
    </row>
    <row r="214" spans="1:12">
      <c r="A214" s="2682" t="s">
        <v>146</v>
      </c>
      <c r="B214" s="2682">
        <v>30321</v>
      </c>
      <c r="C214" s="2682">
        <v>105</v>
      </c>
      <c r="D214" s="2682">
        <v>225</v>
      </c>
      <c r="E214" s="2682">
        <v>49</v>
      </c>
      <c r="F214" s="2682">
        <v>371</v>
      </c>
      <c r="G214" s="2682">
        <v>432</v>
      </c>
      <c r="H214" s="2682">
        <v>1700</v>
      </c>
      <c r="I214" s="2682">
        <v>2300</v>
      </c>
      <c r="J214" s="2682">
        <v>8.74</v>
      </c>
      <c r="L214" s="2682" t="s">
        <v>6123</v>
      </c>
    </row>
    <row r="215" spans="1:12">
      <c r="A215" s="2683" t="s">
        <v>146</v>
      </c>
      <c r="B215" s="2683">
        <v>31321</v>
      </c>
      <c r="C215" s="2683">
        <v>105</v>
      </c>
      <c r="D215" s="2683">
        <v>225</v>
      </c>
      <c r="E215" s="2683">
        <v>53</v>
      </c>
      <c r="F215" s="2683">
        <v>398</v>
      </c>
      <c r="G215" s="2683">
        <v>525</v>
      </c>
      <c r="H215" s="2683">
        <v>1500</v>
      </c>
      <c r="I215" s="2683">
        <v>1900</v>
      </c>
      <c r="J215" s="2683">
        <v>9.58</v>
      </c>
      <c r="K215" s="2684"/>
      <c r="L215" s="2683" t="s">
        <v>6124</v>
      </c>
    </row>
    <row r="216" spans="1:12">
      <c r="A216" s="2682" t="s">
        <v>146</v>
      </c>
      <c r="B216" s="2682">
        <v>32321</v>
      </c>
      <c r="C216" s="2682">
        <v>105</v>
      </c>
      <c r="D216" s="2682">
        <v>225</v>
      </c>
      <c r="E216" s="2682">
        <v>77</v>
      </c>
      <c r="F216" s="2682">
        <v>543</v>
      </c>
      <c r="G216" s="2682">
        <v>707</v>
      </c>
      <c r="H216" s="2682">
        <v>1800</v>
      </c>
      <c r="I216" s="2682">
        <v>2300</v>
      </c>
      <c r="J216" s="2682">
        <v>13.9</v>
      </c>
      <c r="L216" s="2682" t="s">
        <v>6125</v>
      </c>
    </row>
    <row r="217" spans="1:12">
      <c r="A217" s="2683" t="s">
        <v>146</v>
      </c>
      <c r="B217" s="2683" t="s">
        <v>6126</v>
      </c>
      <c r="C217" s="2683">
        <v>110</v>
      </c>
      <c r="D217" s="2683">
        <v>150</v>
      </c>
      <c r="E217" s="2683">
        <v>24</v>
      </c>
      <c r="F217" s="2683">
        <v>85.5</v>
      </c>
      <c r="G217" s="2683">
        <v>148</v>
      </c>
      <c r="H217" s="2683">
        <v>2000</v>
      </c>
      <c r="I217" s="2683">
        <v>2800</v>
      </c>
      <c r="J217" s="2683">
        <v>1.1000000000000001</v>
      </c>
      <c r="K217" s="2684"/>
      <c r="L217" s="2683">
        <v>2007922</v>
      </c>
    </row>
    <row r="218" spans="1:12">
      <c r="A218" s="2682" t="s">
        <v>146</v>
      </c>
      <c r="B218" s="2682">
        <v>32922</v>
      </c>
      <c r="C218" s="2682">
        <v>110</v>
      </c>
      <c r="D218" s="2682">
        <v>150</v>
      </c>
      <c r="E218" s="2682">
        <v>25</v>
      </c>
      <c r="F218" s="2682">
        <v>130</v>
      </c>
      <c r="G218" s="2682">
        <v>232</v>
      </c>
      <c r="H218" s="2682">
        <v>2000</v>
      </c>
      <c r="I218" s="2682">
        <v>2800</v>
      </c>
      <c r="J218" s="2682">
        <v>1.2</v>
      </c>
      <c r="L218" s="2682" t="s">
        <v>6127</v>
      </c>
    </row>
    <row r="219" spans="1:12">
      <c r="A219" s="2683" t="s">
        <v>146</v>
      </c>
      <c r="B219" s="2683" t="s">
        <v>6128</v>
      </c>
      <c r="C219" s="2683">
        <v>110</v>
      </c>
      <c r="D219" s="2683">
        <v>170</v>
      </c>
      <c r="E219" s="2683">
        <v>36</v>
      </c>
      <c r="F219" s="2683">
        <v>182</v>
      </c>
      <c r="G219" s="2683">
        <v>302</v>
      </c>
      <c r="H219" s="2683">
        <v>1900</v>
      </c>
      <c r="I219" s="2683">
        <v>2600</v>
      </c>
      <c r="J219" s="2683">
        <v>3.1</v>
      </c>
      <c r="K219" s="2684"/>
      <c r="L219" s="2683">
        <v>2007122</v>
      </c>
    </row>
    <row r="220" spans="1:12">
      <c r="A220" s="2682" t="s">
        <v>146</v>
      </c>
      <c r="B220" s="2682">
        <v>32022</v>
      </c>
      <c r="C220" s="2682">
        <v>110</v>
      </c>
      <c r="D220" s="2682">
        <v>170</v>
      </c>
      <c r="E220" s="2682">
        <v>38</v>
      </c>
      <c r="F220" s="2682">
        <v>245</v>
      </c>
      <c r="G220" s="2682">
        <v>402</v>
      </c>
      <c r="H220" s="2682">
        <v>1900</v>
      </c>
      <c r="I220" s="2682">
        <v>2600</v>
      </c>
      <c r="J220" s="2682">
        <v>3.02</v>
      </c>
      <c r="L220" s="2682" t="s">
        <v>6129</v>
      </c>
    </row>
    <row r="221" spans="1:12">
      <c r="A221" s="2683" t="s">
        <v>146</v>
      </c>
      <c r="B221" s="2683">
        <v>33022</v>
      </c>
      <c r="C221" s="2683">
        <v>110</v>
      </c>
      <c r="D221" s="2683">
        <v>170</v>
      </c>
      <c r="E221" s="2683">
        <v>47</v>
      </c>
      <c r="F221" s="2683">
        <v>288</v>
      </c>
      <c r="G221" s="2683">
        <v>502</v>
      </c>
      <c r="H221" s="2683">
        <v>1900</v>
      </c>
      <c r="I221" s="2683">
        <v>2600</v>
      </c>
      <c r="J221" s="2683">
        <v>3.74</v>
      </c>
      <c r="K221" s="2684"/>
      <c r="L221" s="2683" t="s">
        <v>6130</v>
      </c>
    </row>
    <row r="222" spans="1:12">
      <c r="A222" s="2682" t="s">
        <v>146</v>
      </c>
      <c r="B222" s="2682">
        <v>33122</v>
      </c>
      <c r="C222" s="2682">
        <v>110</v>
      </c>
      <c r="D222" s="2682">
        <v>180</v>
      </c>
      <c r="E222" s="2682">
        <v>56</v>
      </c>
      <c r="F222" s="2682">
        <v>372</v>
      </c>
      <c r="G222" s="2682">
        <v>638</v>
      </c>
      <c r="H222" s="2682">
        <v>1800</v>
      </c>
      <c r="I222" s="2682">
        <v>2400</v>
      </c>
      <c r="J222" s="2682">
        <v>5.5</v>
      </c>
      <c r="L222" s="2682" t="s">
        <v>6131</v>
      </c>
    </row>
    <row r="223" spans="1:12">
      <c r="A223" s="2683" t="s">
        <v>146</v>
      </c>
      <c r="B223" s="2683">
        <v>30222</v>
      </c>
      <c r="C223" s="2683">
        <v>110</v>
      </c>
      <c r="D223" s="2683">
        <v>200</v>
      </c>
      <c r="E223" s="2683">
        <v>38</v>
      </c>
      <c r="F223" s="2683">
        <v>315</v>
      </c>
      <c r="G223" s="2683">
        <v>445</v>
      </c>
      <c r="H223" s="2683">
        <v>1700</v>
      </c>
      <c r="I223" s="2683">
        <v>2200</v>
      </c>
      <c r="J223" s="2683">
        <v>5.21</v>
      </c>
      <c r="K223" s="2684"/>
      <c r="L223" s="2683" t="s">
        <v>6132</v>
      </c>
    </row>
    <row r="224" spans="1:12">
      <c r="A224" s="2682" t="s">
        <v>146</v>
      </c>
      <c r="B224" s="2682">
        <v>32222</v>
      </c>
      <c r="C224" s="2682">
        <v>110</v>
      </c>
      <c r="D224" s="2682">
        <v>200</v>
      </c>
      <c r="E224" s="2682">
        <v>53</v>
      </c>
      <c r="F224" s="2682">
        <v>430</v>
      </c>
      <c r="G224" s="2682">
        <v>665</v>
      </c>
      <c r="H224" s="2682">
        <v>1700</v>
      </c>
      <c r="I224" s="2682">
        <v>2200</v>
      </c>
      <c r="J224" s="2682">
        <v>7.43</v>
      </c>
      <c r="L224" s="2682" t="s">
        <v>6133</v>
      </c>
    </row>
    <row r="225" spans="1:12">
      <c r="A225" s="2683" t="s">
        <v>146</v>
      </c>
      <c r="B225" s="2683">
        <v>30322</v>
      </c>
      <c r="C225" s="2683">
        <v>110</v>
      </c>
      <c r="D225" s="2683">
        <v>240</v>
      </c>
      <c r="E225" s="2683">
        <v>50</v>
      </c>
      <c r="F225" s="2683">
        <v>407</v>
      </c>
      <c r="G225" s="2683">
        <v>475</v>
      </c>
      <c r="H225" s="2683">
        <v>1600</v>
      </c>
      <c r="I225" s="2683">
        <v>2100</v>
      </c>
      <c r="J225" s="2683">
        <v>10.4</v>
      </c>
      <c r="K225" s="2684"/>
      <c r="L225" s="2683" t="s">
        <v>6134</v>
      </c>
    </row>
    <row r="226" spans="1:12">
      <c r="A226" s="2682" t="s">
        <v>146</v>
      </c>
      <c r="B226" s="2682">
        <v>31322</v>
      </c>
      <c r="C226" s="2682">
        <v>110</v>
      </c>
      <c r="D226" s="2682">
        <v>240</v>
      </c>
      <c r="E226" s="2682">
        <v>57</v>
      </c>
      <c r="F226" s="2682">
        <v>458</v>
      </c>
      <c r="G226" s="2682">
        <v>610</v>
      </c>
      <c r="H226" s="2682">
        <v>1400</v>
      </c>
      <c r="I226" s="2682">
        <v>1800</v>
      </c>
      <c r="J226" s="2682">
        <v>12.1</v>
      </c>
      <c r="L226" s="2682" t="s">
        <v>6135</v>
      </c>
    </row>
    <row r="227" spans="1:12">
      <c r="A227" s="2683" t="s">
        <v>146</v>
      </c>
      <c r="B227" s="2683">
        <v>32322</v>
      </c>
      <c r="C227" s="2683">
        <v>110</v>
      </c>
      <c r="D227" s="2683">
        <v>240</v>
      </c>
      <c r="E227" s="2683">
        <v>80</v>
      </c>
      <c r="F227" s="2683">
        <v>607</v>
      </c>
      <c r="G227" s="2683">
        <v>797</v>
      </c>
      <c r="H227" s="2683">
        <v>1600</v>
      </c>
      <c r="I227" s="2683">
        <v>2200</v>
      </c>
      <c r="J227" s="2683">
        <v>16.600000000000001</v>
      </c>
      <c r="K227" s="2684"/>
      <c r="L227" s="2683" t="s">
        <v>6136</v>
      </c>
    </row>
    <row r="228" spans="1:12">
      <c r="A228" s="2682" t="s">
        <v>146</v>
      </c>
      <c r="B228" s="2682">
        <v>32924</v>
      </c>
      <c r="C228" s="2682">
        <v>120</v>
      </c>
      <c r="D228" s="2682">
        <v>165</v>
      </c>
      <c r="E228" s="2682">
        <v>29</v>
      </c>
      <c r="F228" s="2682">
        <v>172</v>
      </c>
      <c r="G228" s="2682">
        <v>318</v>
      </c>
      <c r="H228" s="2682">
        <v>1800</v>
      </c>
      <c r="I228" s="2682">
        <v>2400</v>
      </c>
      <c r="J228" s="2682">
        <v>1.78</v>
      </c>
      <c r="L228" s="2682" t="s">
        <v>6137</v>
      </c>
    </row>
    <row r="229" spans="1:12">
      <c r="A229" s="2683" t="s">
        <v>146</v>
      </c>
      <c r="B229" s="2683" t="s">
        <v>6138</v>
      </c>
      <c r="C229" s="2683">
        <v>120</v>
      </c>
      <c r="D229" s="2683">
        <v>180</v>
      </c>
      <c r="E229" s="2683">
        <v>36</v>
      </c>
      <c r="F229" s="2683">
        <v>198</v>
      </c>
      <c r="G229" s="2683">
        <v>338</v>
      </c>
      <c r="H229" s="2683">
        <v>1700</v>
      </c>
      <c r="I229" s="2683">
        <v>2200</v>
      </c>
      <c r="J229" s="2683">
        <v>3.1</v>
      </c>
      <c r="K229" s="2684"/>
      <c r="L229" s="2683">
        <v>2007124</v>
      </c>
    </row>
    <row r="230" spans="1:12">
      <c r="A230" s="2682" t="s">
        <v>146</v>
      </c>
      <c r="B230" s="2682">
        <v>32024</v>
      </c>
      <c r="C230" s="2682">
        <v>120</v>
      </c>
      <c r="D230" s="2682">
        <v>180</v>
      </c>
      <c r="E230" s="2682">
        <v>38</v>
      </c>
      <c r="F230" s="2682">
        <v>242</v>
      </c>
      <c r="G230" s="2682">
        <v>405</v>
      </c>
      <c r="H230" s="2682">
        <v>1700</v>
      </c>
      <c r="I230" s="2682">
        <v>2200</v>
      </c>
      <c r="J230" s="2682">
        <v>3.18</v>
      </c>
      <c r="L230" s="2682" t="s">
        <v>6139</v>
      </c>
    </row>
    <row r="231" spans="1:12">
      <c r="A231" s="2683" t="s">
        <v>146</v>
      </c>
      <c r="B231" s="2683">
        <v>33024</v>
      </c>
      <c r="C231" s="2683">
        <v>120</v>
      </c>
      <c r="D231" s="2683">
        <v>180</v>
      </c>
      <c r="E231" s="2683">
        <v>48</v>
      </c>
      <c r="F231" s="2683">
        <v>298</v>
      </c>
      <c r="G231" s="2683">
        <v>535</v>
      </c>
      <c r="H231" s="2683">
        <v>1700</v>
      </c>
      <c r="I231" s="2683">
        <v>2200</v>
      </c>
      <c r="J231" s="2683">
        <v>4.07</v>
      </c>
      <c r="K231" s="2684"/>
      <c r="L231" s="2683" t="s">
        <v>6140</v>
      </c>
    </row>
    <row r="232" spans="1:12">
      <c r="A232" s="2682" t="s">
        <v>146</v>
      </c>
      <c r="B232" s="2682">
        <v>33124</v>
      </c>
      <c r="C232" s="2682">
        <v>120</v>
      </c>
      <c r="D232" s="2682">
        <v>200</v>
      </c>
      <c r="E232" s="2682">
        <v>62</v>
      </c>
      <c r="F232" s="2682">
        <v>448</v>
      </c>
      <c r="G232" s="2682">
        <v>778</v>
      </c>
      <c r="H232" s="2682">
        <v>1600</v>
      </c>
      <c r="I232" s="2682">
        <v>2000</v>
      </c>
      <c r="J232" s="2682">
        <v>7.68</v>
      </c>
      <c r="L232" s="2682" t="s">
        <v>6141</v>
      </c>
    </row>
    <row r="233" spans="1:12">
      <c r="A233" s="2683" t="s">
        <v>146</v>
      </c>
      <c r="B233" s="2683">
        <v>30224</v>
      </c>
      <c r="C233" s="2683">
        <v>120</v>
      </c>
      <c r="D233" s="2683">
        <v>215</v>
      </c>
      <c r="E233" s="2683">
        <v>40</v>
      </c>
      <c r="F233" s="2683">
        <v>338</v>
      </c>
      <c r="G233" s="2683">
        <v>482</v>
      </c>
      <c r="H233" s="2683">
        <v>1500</v>
      </c>
      <c r="I233" s="2683">
        <v>1900</v>
      </c>
      <c r="J233" s="2683">
        <v>6.2</v>
      </c>
      <c r="K233" s="2684"/>
      <c r="L233" s="2683" t="s">
        <v>6142</v>
      </c>
    </row>
    <row r="234" spans="1:12">
      <c r="A234" s="2682" t="s">
        <v>146</v>
      </c>
      <c r="B234" s="2682">
        <v>32224</v>
      </c>
      <c r="C234" s="2682">
        <v>120</v>
      </c>
      <c r="D234" s="2682">
        <v>215</v>
      </c>
      <c r="E234" s="2682">
        <v>62</v>
      </c>
      <c r="F234" s="2682">
        <v>478</v>
      </c>
      <c r="G234" s="2682">
        <v>758</v>
      </c>
      <c r="H234" s="2682">
        <v>1500</v>
      </c>
      <c r="I234" s="2682">
        <v>1900</v>
      </c>
      <c r="J234" s="2682">
        <v>9.6</v>
      </c>
      <c r="L234" s="2682" t="s">
        <v>6143</v>
      </c>
    </row>
    <row r="235" spans="1:12">
      <c r="A235" s="2683" t="s">
        <v>146</v>
      </c>
      <c r="B235" s="2683">
        <v>30324</v>
      </c>
      <c r="C235" s="2683">
        <v>120</v>
      </c>
      <c r="D235" s="2683">
        <v>260</v>
      </c>
      <c r="E235" s="2683">
        <v>55</v>
      </c>
      <c r="F235" s="2683">
        <v>505</v>
      </c>
      <c r="G235" s="2683">
        <v>611</v>
      </c>
      <c r="H235" s="2683">
        <v>1500</v>
      </c>
      <c r="I235" s="2683">
        <v>2000</v>
      </c>
      <c r="J235" s="2683">
        <v>13.7</v>
      </c>
      <c r="K235" s="2684"/>
      <c r="L235" s="2683" t="s">
        <v>6144</v>
      </c>
    </row>
    <row r="236" spans="1:12">
      <c r="A236" s="2682" t="s">
        <v>146</v>
      </c>
      <c r="B236" s="2682">
        <v>31324</v>
      </c>
      <c r="C236" s="2682">
        <v>120</v>
      </c>
      <c r="D236" s="2682">
        <v>260</v>
      </c>
      <c r="E236" s="2682">
        <v>62</v>
      </c>
      <c r="F236" s="2682">
        <v>535</v>
      </c>
      <c r="G236" s="2682">
        <v>725</v>
      </c>
      <c r="H236" s="2682">
        <v>1300</v>
      </c>
      <c r="I236" s="2682">
        <v>1700</v>
      </c>
      <c r="J236" s="2682">
        <v>15.3</v>
      </c>
      <c r="L236" s="2682" t="s">
        <v>6145</v>
      </c>
    </row>
    <row r="237" spans="1:12">
      <c r="A237" s="2683" t="s">
        <v>146</v>
      </c>
      <c r="B237" s="2683">
        <v>32324</v>
      </c>
      <c r="C237" s="2683">
        <v>120</v>
      </c>
      <c r="D237" s="2683">
        <v>260</v>
      </c>
      <c r="E237" s="2683">
        <v>86</v>
      </c>
      <c r="F237" s="2683">
        <v>825</v>
      </c>
      <c r="G237" s="2683">
        <v>1230</v>
      </c>
      <c r="H237" s="2683">
        <v>1300</v>
      </c>
      <c r="I237" s="2683">
        <v>1700</v>
      </c>
      <c r="J237" s="2683">
        <v>22.1</v>
      </c>
      <c r="K237" s="2684"/>
      <c r="L237" s="2683" t="s">
        <v>6146</v>
      </c>
    </row>
    <row r="238" spans="1:12">
      <c r="A238" s="2682" t="s">
        <v>146</v>
      </c>
      <c r="B238" s="2682" t="s">
        <v>6147</v>
      </c>
      <c r="C238" s="2682">
        <v>130</v>
      </c>
      <c r="D238" s="2682">
        <v>180</v>
      </c>
      <c r="E238" s="2682">
        <v>30</v>
      </c>
      <c r="F238" s="2682">
        <v>142</v>
      </c>
      <c r="G238" s="2682">
        <v>260</v>
      </c>
      <c r="H238" s="2682">
        <v>1700</v>
      </c>
      <c r="I238" s="2682">
        <v>2200</v>
      </c>
      <c r="J238" s="2682">
        <v>2.31</v>
      </c>
      <c r="L238" s="2682">
        <v>2007926</v>
      </c>
    </row>
    <row r="239" spans="1:12">
      <c r="A239" s="2683" t="s">
        <v>146</v>
      </c>
      <c r="B239" s="2683">
        <v>32926</v>
      </c>
      <c r="C239" s="2683">
        <v>130</v>
      </c>
      <c r="D239" s="2683">
        <v>180</v>
      </c>
      <c r="E239" s="2683">
        <v>32</v>
      </c>
      <c r="F239" s="2683">
        <v>205</v>
      </c>
      <c r="G239" s="2683">
        <v>380</v>
      </c>
      <c r="H239" s="2683">
        <v>1700</v>
      </c>
      <c r="I239" s="2683">
        <v>2200</v>
      </c>
      <c r="J239" s="2683">
        <v>2.34</v>
      </c>
      <c r="K239" s="2684"/>
      <c r="L239" s="2683" t="s">
        <v>6148</v>
      </c>
    </row>
    <row r="240" spans="1:12">
      <c r="A240" s="2682" t="s">
        <v>146</v>
      </c>
      <c r="B240" s="2682" t="s">
        <v>6149</v>
      </c>
      <c r="C240" s="2682">
        <v>130</v>
      </c>
      <c r="D240" s="2682">
        <v>200</v>
      </c>
      <c r="E240" s="2682">
        <v>42</v>
      </c>
      <c r="F240" s="2682">
        <v>242</v>
      </c>
      <c r="G240" s="2682">
        <v>418</v>
      </c>
      <c r="H240" s="2682">
        <v>1600</v>
      </c>
      <c r="I240" s="2682">
        <v>2000</v>
      </c>
      <c r="J240" s="2682">
        <v>4.46</v>
      </c>
      <c r="L240" s="2682">
        <v>2007126</v>
      </c>
    </row>
    <row r="241" spans="1:12">
      <c r="A241" s="2683" t="s">
        <v>146</v>
      </c>
      <c r="B241" s="2683">
        <v>32026</v>
      </c>
      <c r="C241" s="2683">
        <v>130</v>
      </c>
      <c r="D241" s="2683">
        <v>200</v>
      </c>
      <c r="E241" s="2683">
        <v>45</v>
      </c>
      <c r="F241" s="2683">
        <v>335</v>
      </c>
      <c r="G241" s="2683">
        <v>568</v>
      </c>
      <c r="H241" s="2683">
        <v>1600</v>
      </c>
      <c r="I241" s="2683">
        <v>2000</v>
      </c>
      <c r="J241" s="2683">
        <v>4.9400000000000004</v>
      </c>
      <c r="K241" s="2684"/>
      <c r="L241" s="2683" t="s">
        <v>6150</v>
      </c>
    </row>
    <row r="242" spans="1:12">
      <c r="A242" s="2682" t="s">
        <v>146</v>
      </c>
      <c r="B242" s="2682">
        <v>33026</v>
      </c>
      <c r="C242" s="2682">
        <v>130</v>
      </c>
      <c r="D242" s="2682">
        <v>200</v>
      </c>
      <c r="E242" s="2682">
        <v>55</v>
      </c>
      <c r="F242" s="2682">
        <v>400</v>
      </c>
      <c r="G242" s="2682">
        <v>728</v>
      </c>
      <c r="H242" s="2682">
        <v>1600</v>
      </c>
      <c r="I242" s="2682">
        <v>2000</v>
      </c>
      <c r="J242" s="2682">
        <v>6.14</v>
      </c>
      <c r="L242" s="2682" t="s">
        <v>6151</v>
      </c>
    </row>
    <row r="243" spans="1:12">
      <c r="A243" s="2683" t="s">
        <v>146</v>
      </c>
      <c r="B243" s="2683">
        <v>30226</v>
      </c>
      <c r="C243" s="2683">
        <v>130</v>
      </c>
      <c r="D243" s="2683">
        <v>230</v>
      </c>
      <c r="E243" s="2683">
        <v>40</v>
      </c>
      <c r="F243" s="2683">
        <v>365</v>
      </c>
      <c r="G243" s="2683">
        <v>520</v>
      </c>
      <c r="H243" s="2683">
        <v>1400</v>
      </c>
      <c r="I243" s="2683">
        <v>1800</v>
      </c>
      <c r="J243" s="2683">
        <v>6.94</v>
      </c>
      <c r="K243" s="2684"/>
      <c r="L243" s="2683" t="s">
        <v>6152</v>
      </c>
    </row>
    <row r="244" spans="1:12">
      <c r="A244" s="2682" t="s">
        <v>146</v>
      </c>
      <c r="B244" s="2682">
        <v>32226</v>
      </c>
      <c r="C244" s="2682">
        <v>130</v>
      </c>
      <c r="D244" s="2682">
        <v>230</v>
      </c>
      <c r="E244" s="2682">
        <v>64</v>
      </c>
      <c r="F244" s="2682">
        <v>552</v>
      </c>
      <c r="G244" s="2682">
        <v>888</v>
      </c>
      <c r="H244" s="2682">
        <v>1400</v>
      </c>
      <c r="I244" s="2682">
        <v>1800</v>
      </c>
      <c r="J244" s="2682">
        <v>11.4</v>
      </c>
      <c r="L244" s="2682" t="s">
        <v>6153</v>
      </c>
    </row>
    <row r="245" spans="1:12">
      <c r="A245" s="2683" t="s">
        <v>146</v>
      </c>
      <c r="B245" s="2683">
        <v>30326</v>
      </c>
      <c r="C245" s="2683">
        <v>130</v>
      </c>
      <c r="D245" s="2683">
        <v>280</v>
      </c>
      <c r="E245" s="2683">
        <v>58</v>
      </c>
      <c r="F245" s="2683">
        <v>640</v>
      </c>
      <c r="G245" s="2683">
        <v>855</v>
      </c>
      <c r="H245" s="2683">
        <v>1100</v>
      </c>
      <c r="I245" s="2683">
        <v>1500</v>
      </c>
      <c r="J245" s="2683">
        <v>17.3</v>
      </c>
      <c r="K245" s="2684"/>
      <c r="L245" s="2683" t="s">
        <v>6154</v>
      </c>
    </row>
    <row r="246" spans="1:12">
      <c r="A246" s="2682" t="s">
        <v>146</v>
      </c>
      <c r="B246" s="2682">
        <v>31326</v>
      </c>
      <c r="C246" s="2682">
        <v>130</v>
      </c>
      <c r="D246" s="2682">
        <v>280</v>
      </c>
      <c r="E246" s="2682">
        <v>66</v>
      </c>
      <c r="F246" s="2682">
        <v>592</v>
      </c>
      <c r="G246" s="2682">
        <v>805</v>
      </c>
      <c r="H246" s="2682">
        <v>1100</v>
      </c>
      <c r="I246" s="2682">
        <v>1500</v>
      </c>
      <c r="J246" s="2682">
        <v>18.399999999999999</v>
      </c>
      <c r="L246" s="2682" t="s">
        <v>6155</v>
      </c>
    </row>
    <row r="247" spans="1:12">
      <c r="A247" s="2683" t="s">
        <v>146</v>
      </c>
      <c r="B247" s="2683" t="s">
        <v>6156</v>
      </c>
      <c r="C247" s="2683">
        <v>140</v>
      </c>
      <c r="D247" s="2683">
        <v>190</v>
      </c>
      <c r="E247" s="2683">
        <v>30</v>
      </c>
      <c r="F247" s="2683">
        <v>145</v>
      </c>
      <c r="G247" s="2683">
        <v>265</v>
      </c>
      <c r="H247" s="2683">
        <v>1600</v>
      </c>
      <c r="I247" s="2683">
        <v>2000</v>
      </c>
      <c r="J247" s="2683">
        <v>2.4300000000000002</v>
      </c>
      <c r="K247" s="2684"/>
      <c r="L247" s="2683">
        <v>2007928</v>
      </c>
    </row>
    <row r="248" spans="1:12">
      <c r="A248" s="2682" t="s">
        <v>146</v>
      </c>
      <c r="B248" s="2682">
        <v>32928</v>
      </c>
      <c r="C248" s="2682">
        <v>140</v>
      </c>
      <c r="D248" s="2682">
        <v>190</v>
      </c>
      <c r="E248" s="2682">
        <v>32</v>
      </c>
      <c r="F248" s="2682">
        <v>208</v>
      </c>
      <c r="G248" s="2682">
        <v>392</v>
      </c>
      <c r="H248" s="2682">
        <v>1600</v>
      </c>
      <c r="I248" s="2682">
        <v>2000</v>
      </c>
      <c r="J248" s="2682">
        <v>2.4700000000000002</v>
      </c>
      <c r="L248" s="2682" t="s">
        <v>6157</v>
      </c>
    </row>
    <row r="249" spans="1:12">
      <c r="A249" s="2683" t="s">
        <v>146</v>
      </c>
      <c r="B249" s="2683" t="s">
        <v>6158</v>
      </c>
      <c r="C249" s="2683">
        <v>140</v>
      </c>
      <c r="D249" s="2683">
        <v>210</v>
      </c>
      <c r="E249" s="2683">
        <v>42</v>
      </c>
      <c r="F249" s="2683">
        <v>258</v>
      </c>
      <c r="G249" s="2683">
        <v>452</v>
      </c>
      <c r="H249" s="2683">
        <v>1400</v>
      </c>
      <c r="I249" s="2683">
        <v>1800</v>
      </c>
      <c r="J249" s="2683">
        <v>5.21</v>
      </c>
      <c r="K249" s="2684"/>
      <c r="L249" s="2683">
        <v>2007128</v>
      </c>
    </row>
    <row r="250" spans="1:12">
      <c r="A250" s="2682" t="s">
        <v>146</v>
      </c>
      <c r="B250" s="2682">
        <v>32028</v>
      </c>
      <c r="C250" s="2682">
        <v>140</v>
      </c>
      <c r="D250" s="2682">
        <v>210</v>
      </c>
      <c r="E250" s="2682">
        <v>45</v>
      </c>
      <c r="F250" s="2682">
        <v>330</v>
      </c>
      <c r="G250" s="2682">
        <v>568</v>
      </c>
      <c r="H250" s="2682">
        <v>1400</v>
      </c>
      <c r="I250" s="2682">
        <v>1800</v>
      </c>
      <c r="J250" s="2682">
        <v>5.15</v>
      </c>
      <c r="L250" s="2682" t="s">
        <v>6159</v>
      </c>
    </row>
    <row r="251" spans="1:12">
      <c r="A251" s="2683" t="s">
        <v>146</v>
      </c>
      <c r="B251" s="2683">
        <v>33028</v>
      </c>
      <c r="C251" s="2683">
        <v>140</v>
      </c>
      <c r="D251" s="2683">
        <v>210</v>
      </c>
      <c r="E251" s="2683">
        <v>56</v>
      </c>
      <c r="F251" s="2683">
        <v>408</v>
      </c>
      <c r="G251" s="2683">
        <v>755</v>
      </c>
      <c r="H251" s="2683">
        <v>1400</v>
      </c>
      <c r="I251" s="2683">
        <v>1800</v>
      </c>
      <c r="J251" s="2683">
        <v>6.57</v>
      </c>
      <c r="K251" s="2684"/>
      <c r="L251" s="2683" t="s">
        <v>6160</v>
      </c>
    </row>
    <row r="252" spans="1:12">
      <c r="A252" s="2682" t="s">
        <v>146</v>
      </c>
      <c r="B252" s="2682">
        <v>30228</v>
      </c>
      <c r="C252" s="2682">
        <v>140</v>
      </c>
      <c r="D252" s="2682">
        <v>250</v>
      </c>
      <c r="E252" s="2682">
        <v>42</v>
      </c>
      <c r="F252" s="2682">
        <v>408</v>
      </c>
      <c r="G252" s="2682">
        <v>585</v>
      </c>
      <c r="H252" s="2682">
        <v>1200</v>
      </c>
      <c r="I252" s="2682">
        <v>1600</v>
      </c>
      <c r="J252" s="2682">
        <v>8.73</v>
      </c>
      <c r="L252" s="2682" t="s">
        <v>6161</v>
      </c>
    </row>
    <row r="253" spans="1:12">
      <c r="A253" s="2683" t="s">
        <v>146</v>
      </c>
      <c r="B253" s="2683">
        <v>32228</v>
      </c>
      <c r="C253" s="2683">
        <v>140</v>
      </c>
      <c r="D253" s="2683">
        <v>250</v>
      </c>
      <c r="E253" s="2683">
        <v>68</v>
      </c>
      <c r="F253" s="2683">
        <v>645</v>
      </c>
      <c r="G253" s="2683">
        <v>1050</v>
      </c>
      <c r="H253" s="2683">
        <v>1200</v>
      </c>
      <c r="I253" s="2683">
        <v>1600</v>
      </c>
      <c r="J253" s="2683">
        <v>14.4</v>
      </c>
      <c r="K253" s="2684"/>
      <c r="L253" s="2683" t="s">
        <v>6162</v>
      </c>
    </row>
    <row r="254" spans="1:12">
      <c r="A254" s="2682" t="s">
        <v>146</v>
      </c>
      <c r="B254" s="2682">
        <v>30328</v>
      </c>
      <c r="C254" s="2682">
        <v>140</v>
      </c>
      <c r="D254" s="2682">
        <v>300</v>
      </c>
      <c r="E254" s="2682">
        <v>62</v>
      </c>
      <c r="F254" s="2682">
        <v>722</v>
      </c>
      <c r="G254" s="2682">
        <v>975</v>
      </c>
      <c r="H254" s="2682">
        <v>1000</v>
      </c>
      <c r="I254" s="2682">
        <v>1400</v>
      </c>
      <c r="J254" s="2682">
        <v>21.4</v>
      </c>
      <c r="L254" s="2682" t="s">
        <v>6163</v>
      </c>
    </row>
    <row r="255" spans="1:12">
      <c r="A255" s="2683" t="s">
        <v>146</v>
      </c>
      <c r="B255" s="2683">
        <v>31328</v>
      </c>
      <c r="C255" s="2683">
        <v>140</v>
      </c>
      <c r="D255" s="2683">
        <v>300</v>
      </c>
      <c r="E255" s="2683">
        <v>70</v>
      </c>
      <c r="F255" s="2683">
        <v>678</v>
      </c>
      <c r="G255" s="2683">
        <v>928</v>
      </c>
      <c r="H255" s="2683">
        <v>1000</v>
      </c>
      <c r="I255" s="2683">
        <v>1400</v>
      </c>
      <c r="J255" s="2683">
        <v>22.8</v>
      </c>
      <c r="K255" s="2684"/>
      <c r="L255" s="2683" t="s">
        <v>6164</v>
      </c>
    </row>
    <row r="256" spans="1:12">
      <c r="A256" s="2682" t="s">
        <v>146</v>
      </c>
      <c r="B256" s="2682" t="s">
        <v>6165</v>
      </c>
      <c r="C256" s="2682">
        <v>150</v>
      </c>
      <c r="D256" s="2682">
        <v>210</v>
      </c>
      <c r="E256" s="2682">
        <v>36</v>
      </c>
      <c r="F256" s="2682">
        <v>198</v>
      </c>
      <c r="G256" s="2682">
        <v>368</v>
      </c>
      <c r="H256" s="2682">
        <v>1400</v>
      </c>
      <c r="I256" s="2682">
        <v>1800</v>
      </c>
      <c r="J256" s="2682" t="s">
        <v>5908</v>
      </c>
      <c r="L256" s="2682">
        <v>2007930</v>
      </c>
    </row>
    <row r="257" spans="1:12">
      <c r="A257" s="2683" t="s">
        <v>146</v>
      </c>
      <c r="B257" s="2683">
        <v>32930</v>
      </c>
      <c r="C257" s="2683">
        <v>150</v>
      </c>
      <c r="D257" s="2683">
        <v>210</v>
      </c>
      <c r="E257" s="2683">
        <v>38</v>
      </c>
      <c r="F257" s="2683">
        <v>260</v>
      </c>
      <c r="G257" s="2683">
        <v>510</v>
      </c>
      <c r="H257" s="2683">
        <v>1400</v>
      </c>
      <c r="I257" s="2683">
        <v>1800</v>
      </c>
      <c r="J257" s="2683">
        <v>3.87</v>
      </c>
      <c r="K257" s="2684"/>
      <c r="L257" s="2683" t="s">
        <v>6166</v>
      </c>
    </row>
    <row r="258" spans="1:12">
      <c r="A258" s="2682" t="s">
        <v>146</v>
      </c>
      <c r="B258" s="2682" t="s">
        <v>6167</v>
      </c>
      <c r="C258" s="2682">
        <v>150</v>
      </c>
      <c r="D258" s="2682">
        <v>225</v>
      </c>
      <c r="E258" s="2682">
        <v>45</v>
      </c>
      <c r="F258" s="2682">
        <v>292</v>
      </c>
      <c r="G258" s="2682">
        <v>525</v>
      </c>
      <c r="H258" s="2682">
        <v>1300</v>
      </c>
      <c r="I258" s="2682">
        <v>1700</v>
      </c>
      <c r="J258" s="2682">
        <v>6.2</v>
      </c>
      <c r="L258" s="2682">
        <v>2007130</v>
      </c>
    </row>
    <row r="259" spans="1:12">
      <c r="A259" s="2683" t="s">
        <v>146</v>
      </c>
      <c r="B259" s="2683">
        <v>32030</v>
      </c>
      <c r="C259" s="2683">
        <v>150</v>
      </c>
      <c r="D259" s="2683">
        <v>225</v>
      </c>
      <c r="E259" s="2683">
        <v>48</v>
      </c>
      <c r="F259" s="2683">
        <v>368</v>
      </c>
      <c r="G259" s="2683">
        <v>635</v>
      </c>
      <c r="H259" s="2683">
        <v>1300</v>
      </c>
      <c r="I259" s="2683">
        <v>1700</v>
      </c>
      <c r="J259" s="2683">
        <v>6.25</v>
      </c>
      <c r="K259" s="2684"/>
      <c r="L259" s="2683" t="s">
        <v>6168</v>
      </c>
    </row>
    <row r="260" spans="1:12">
      <c r="A260" s="2682" t="s">
        <v>146</v>
      </c>
      <c r="B260" s="2682">
        <v>33030</v>
      </c>
      <c r="C260" s="2682">
        <v>150</v>
      </c>
      <c r="D260" s="2682">
        <v>225</v>
      </c>
      <c r="E260" s="2682">
        <v>59</v>
      </c>
      <c r="F260" s="2682">
        <v>460</v>
      </c>
      <c r="G260" s="2682">
        <v>875</v>
      </c>
      <c r="H260" s="2682">
        <v>1300</v>
      </c>
      <c r="I260" s="2682">
        <v>1700</v>
      </c>
      <c r="J260" s="2682">
        <v>7.98</v>
      </c>
      <c r="L260" s="2682" t="s">
        <v>6169</v>
      </c>
    </row>
    <row r="261" spans="1:12">
      <c r="A261" s="2683" t="s">
        <v>146</v>
      </c>
      <c r="B261" s="2683">
        <v>30230</v>
      </c>
      <c r="C261" s="2683">
        <v>150</v>
      </c>
      <c r="D261" s="2683">
        <v>270</v>
      </c>
      <c r="E261" s="2683">
        <v>45</v>
      </c>
      <c r="F261" s="2683">
        <v>450</v>
      </c>
      <c r="G261" s="2683">
        <v>645</v>
      </c>
      <c r="H261" s="2683">
        <v>1100</v>
      </c>
      <c r="I261" s="2683">
        <v>1500</v>
      </c>
      <c r="J261" s="2683">
        <v>10.8</v>
      </c>
      <c r="K261" s="2684"/>
      <c r="L261" s="2683" t="s">
        <v>6170</v>
      </c>
    </row>
    <row r="262" spans="1:12">
      <c r="A262" s="2682" t="s">
        <v>146</v>
      </c>
      <c r="B262" s="2682">
        <v>32230</v>
      </c>
      <c r="C262" s="2682">
        <v>150</v>
      </c>
      <c r="D262" s="2682">
        <v>270</v>
      </c>
      <c r="E262" s="2682">
        <v>73</v>
      </c>
      <c r="F262" s="2682">
        <v>720</v>
      </c>
      <c r="G262" s="2682">
        <v>1180</v>
      </c>
      <c r="H262" s="2682">
        <v>1100</v>
      </c>
      <c r="I262" s="2682">
        <v>1500</v>
      </c>
      <c r="J262" s="2682">
        <v>18.2</v>
      </c>
      <c r="L262" s="2682" t="s">
        <v>6171</v>
      </c>
    </row>
    <row r="263" spans="1:12">
      <c r="A263" s="2683" t="s">
        <v>146</v>
      </c>
      <c r="B263" s="2683">
        <v>30330</v>
      </c>
      <c r="C263" s="2683">
        <v>150</v>
      </c>
      <c r="D263" s="2683">
        <v>320</v>
      </c>
      <c r="E263" s="2683">
        <v>65</v>
      </c>
      <c r="F263" s="2683">
        <v>802</v>
      </c>
      <c r="G263" s="2683">
        <v>1090</v>
      </c>
      <c r="H263" s="2683">
        <v>950</v>
      </c>
      <c r="I263" s="2683">
        <v>1300</v>
      </c>
      <c r="J263" s="2683">
        <v>25.2</v>
      </c>
      <c r="K263" s="2684"/>
      <c r="L263" s="2683" t="s">
        <v>6172</v>
      </c>
    </row>
    <row r="264" spans="1:12">
      <c r="A264" s="2682" t="s">
        <v>146</v>
      </c>
      <c r="B264" s="2682">
        <v>31330</v>
      </c>
      <c r="C264" s="2682">
        <v>150</v>
      </c>
      <c r="D264" s="2682">
        <v>320</v>
      </c>
      <c r="E264" s="2682">
        <v>75</v>
      </c>
      <c r="F264" s="2682">
        <v>772</v>
      </c>
      <c r="G264" s="2682">
        <v>1070</v>
      </c>
      <c r="H264" s="2682">
        <v>950</v>
      </c>
      <c r="I264" s="2682">
        <v>1300</v>
      </c>
      <c r="J264" s="2682">
        <v>27.4</v>
      </c>
      <c r="L264" s="2682" t="s">
        <v>6173</v>
      </c>
    </row>
    <row r="265" spans="1:12">
      <c r="A265" s="2683" t="s">
        <v>146</v>
      </c>
      <c r="B265" s="2683" t="s">
        <v>6174</v>
      </c>
      <c r="C265" s="2683">
        <v>160</v>
      </c>
      <c r="D265" s="2683">
        <v>220</v>
      </c>
      <c r="E265" s="2683">
        <v>36</v>
      </c>
      <c r="F265" s="2683">
        <v>218</v>
      </c>
      <c r="G265" s="2683">
        <v>405</v>
      </c>
      <c r="H265" s="2683">
        <v>1300</v>
      </c>
      <c r="I265" s="2683">
        <v>1700</v>
      </c>
      <c r="J265" s="2683">
        <v>3.79</v>
      </c>
      <c r="K265" s="2684"/>
      <c r="L265" s="2683">
        <v>2007932</v>
      </c>
    </row>
    <row r="266" spans="1:12">
      <c r="A266" s="2682" t="s">
        <v>146</v>
      </c>
      <c r="B266" s="2682">
        <v>32932</v>
      </c>
      <c r="C266" s="2682">
        <v>160</v>
      </c>
      <c r="D266" s="2682">
        <v>220</v>
      </c>
      <c r="E266" s="2682">
        <v>38</v>
      </c>
      <c r="F266" s="2682">
        <v>262</v>
      </c>
      <c r="G266" s="2682">
        <v>525</v>
      </c>
      <c r="H266" s="2682">
        <v>1300</v>
      </c>
      <c r="I266" s="2682">
        <v>1700</v>
      </c>
      <c r="J266" s="2682">
        <v>4.07</v>
      </c>
      <c r="L266" s="2682" t="s">
        <v>6175</v>
      </c>
    </row>
    <row r="267" spans="1:12">
      <c r="A267" s="2683" t="s">
        <v>146</v>
      </c>
      <c r="B267" s="2683" t="s">
        <v>6176</v>
      </c>
      <c r="C267" s="2683">
        <v>160</v>
      </c>
      <c r="D267" s="2683">
        <v>240</v>
      </c>
      <c r="E267" s="2683">
        <v>48</v>
      </c>
      <c r="F267" s="2683">
        <v>345</v>
      </c>
      <c r="G267" s="2683">
        <v>632</v>
      </c>
      <c r="H267" s="2683">
        <v>1200</v>
      </c>
      <c r="I267" s="2683">
        <v>1600</v>
      </c>
      <c r="J267" s="2683">
        <v>7.7</v>
      </c>
      <c r="K267" s="2684"/>
      <c r="L267" s="2683">
        <v>2007132</v>
      </c>
    </row>
    <row r="268" spans="1:12">
      <c r="A268" s="2682" t="s">
        <v>146</v>
      </c>
      <c r="B268" s="2682">
        <v>32032</v>
      </c>
      <c r="C268" s="2682">
        <v>160</v>
      </c>
      <c r="D268" s="2682">
        <v>240</v>
      </c>
      <c r="E268" s="2682">
        <v>51</v>
      </c>
      <c r="F268" s="2682">
        <v>420</v>
      </c>
      <c r="G268" s="2682">
        <v>735</v>
      </c>
      <c r="H268" s="2682">
        <v>1200</v>
      </c>
      <c r="I268" s="2682">
        <v>1600</v>
      </c>
      <c r="J268" s="2682">
        <v>7.66</v>
      </c>
      <c r="L268" s="2682" t="s">
        <v>6177</v>
      </c>
    </row>
    <row r="269" spans="1:12">
      <c r="A269" s="2683" t="s">
        <v>146</v>
      </c>
      <c r="B269" s="2683">
        <v>30232</v>
      </c>
      <c r="C269" s="2683">
        <v>160</v>
      </c>
      <c r="D269" s="2683">
        <v>290</v>
      </c>
      <c r="E269" s="2683">
        <v>48</v>
      </c>
      <c r="F269" s="2683">
        <v>512</v>
      </c>
      <c r="G269" s="2683">
        <v>738</v>
      </c>
      <c r="H269" s="2683">
        <v>1000</v>
      </c>
      <c r="I269" s="2683">
        <v>1400</v>
      </c>
      <c r="J269" s="2683">
        <v>13.3</v>
      </c>
      <c r="K269" s="2684"/>
      <c r="L269" s="2683" t="s">
        <v>6178</v>
      </c>
    </row>
    <row r="270" spans="1:12">
      <c r="A270" s="2682" t="s">
        <v>146</v>
      </c>
      <c r="B270" s="2682">
        <v>32232</v>
      </c>
      <c r="C270" s="2682">
        <v>160</v>
      </c>
      <c r="D270" s="2682">
        <v>290</v>
      </c>
      <c r="E270" s="2682">
        <v>84</v>
      </c>
      <c r="F270" s="2682">
        <v>858</v>
      </c>
      <c r="G270" s="2682">
        <v>1430</v>
      </c>
      <c r="H270" s="2682">
        <v>1000</v>
      </c>
      <c r="I270" s="2682">
        <v>1400</v>
      </c>
      <c r="J270" s="2682">
        <v>23.3</v>
      </c>
      <c r="L270" s="2682" t="s">
        <v>6179</v>
      </c>
    </row>
    <row r="271" spans="1:12">
      <c r="A271" s="2683" t="s">
        <v>146</v>
      </c>
      <c r="B271" s="2683">
        <v>30332</v>
      </c>
      <c r="C271" s="2683">
        <v>160</v>
      </c>
      <c r="D271" s="2683">
        <v>340</v>
      </c>
      <c r="E271" s="2683">
        <v>68</v>
      </c>
      <c r="F271" s="2683">
        <v>878</v>
      </c>
      <c r="G271" s="2683">
        <v>1190</v>
      </c>
      <c r="H271" s="2683">
        <v>900</v>
      </c>
      <c r="I271" s="2683">
        <v>1200</v>
      </c>
      <c r="J271" s="2683">
        <v>29.5</v>
      </c>
      <c r="K271" s="2684"/>
      <c r="L271" s="2683" t="s">
        <v>6180</v>
      </c>
    </row>
    <row r="272" spans="1:12">
      <c r="A272" s="2682" t="s">
        <v>146</v>
      </c>
      <c r="B272" s="2682" t="s">
        <v>6181</v>
      </c>
      <c r="C272" s="2682">
        <v>170</v>
      </c>
      <c r="D272" s="2682">
        <v>230</v>
      </c>
      <c r="E272" s="2682">
        <v>36</v>
      </c>
      <c r="F272" s="2682">
        <v>222</v>
      </c>
      <c r="G272" s="2682">
        <v>418</v>
      </c>
      <c r="H272" s="2682">
        <v>1200</v>
      </c>
      <c r="I272" s="2682">
        <v>1600</v>
      </c>
      <c r="J272" s="2682">
        <v>3.84</v>
      </c>
      <c r="L272" s="2682">
        <v>2007934</v>
      </c>
    </row>
    <row r="273" spans="1:12">
      <c r="A273" s="2683" t="s">
        <v>146</v>
      </c>
      <c r="B273" s="2683">
        <v>32934</v>
      </c>
      <c r="C273" s="2683">
        <v>170</v>
      </c>
      <c r="D273" s="2683">
        <v>230</v>
      </c>
      <c r="E273" s="2683">
        <v>38</v>
      </c>
      <c r="F273" s="2683">
        <v>280</v>
      </c>
      <c r="G273" s="2683">
        <v>560</v>
      </c>
      <c r="H273" s="2683">
        <v>1200</v>
      </c>
      <c r="I273" s="2683">
        <v>1600</v>
      </c>
      <c r="J273" s="2683">
        <v>4.33</v>
      </c>
      <c r="K273" s="2684"/>
      <c r="L273" s="2683" t="s">
        <v>6182</v>
      </c>
    </row>
    <row r="274" spans="1:12">
      <c r="A274" s="2682" t="s">
        <v>146</v>
      </c>
      <c r="B274" s="2682" t="s">
        <v>6183</v>
      </c>
      <c r="C274" s="2682">
        <v>170</v>
      </c>
      <c r="D274" s="2682">
        <v>260</v>
      </c>
      <c r="E274" s="2682">
        <v>54</v>
      </c>
      <c r="F274" s="2682">
        <v>385</v>
      </c>
      <c r="G274" s="2682">
        <v>728</v>
      </c>
      <c r="H274" s="2682">
        <v>1100</v>
      </c>
      <c r="I274" s="2682">
        <v>1500</v>
      </c>
      <c r="J274" s="2682">
        <v>10.1</v>
      </c>
      <c r="L274" s="2682">
        <v>2007134</v>
      </c>
    </row>
    <row r="275" spans="1:12">
      <c r="A275" s="2683" t="s">
        <v>146</v>
      </c>
      <c r="B275" s="2683">
        <v>32034</v>
      </c>
      <c r="C275" s="2683">
        <v>170</v>
      </c>
      <c r="D275" s="2683">
        <v>260</v>
      </c>
      <c r="E275" s="2683">
        <v>57</v>
      </c>
      <c r="F275" s="2683">
        <v>520</v>
      </c>
      <c r="G275" s="2683">
        <v>920</v>
      </c>
      <c r="H275" s="2683">
        <v>1100</v>
      </c>
      <c r="I275" s="2683">
        <v>1500</v>
      </c>
      <c r="J275" s="2683">
        <v>10.4</v>
      </c>
      <c r="K275" s="2684"/>
      <c r="L275" s="2683" t="s">
        <v>6184</v>
      </c>
    </row>
    <row r="276" spans="1:12">
      <c r="A276" s="2682" t="s">
        <v>146</v>
      </c>
      <c r="B276" s="2682">
        <v>30234</v>
      </c>
      <c r="C276" s="2682">
        <v>170</v>
      </c>
      <c r="D276" s="2682">
        <v>310</v>
      </c>
      <c r="E276" s="2682">
        <v>52</v>
      </c>
      <c r="F276" s="2682">
        <v>590</v>
      </c>
      <c r="G276" s="2682">
        <v>865</v>
      </c>
      <c r="H276" s="2682">
        <v>1000</v>
      </c>
      <c r="I276" s="2682">
        <v>1300</v>
      </c>
      <c r="J276" s="2682">
        <v>16.600000000000001</v>
      </c>
      <c r="L276" s="2682" t="s">
        <v>6185</v>
      </c>
    </row>
    <row r="277" spans="1:12">
      <c r="A277" s="2683" t="s">
        <v>146</v>
      </c>
      <c r="B277" s="2683">
        <v>32234</v>
      </c>
      <c r="C277" s="2683">
        <v>170</v>
      </c>
      <c r="D277" s="2683">
        <v>310</v>
      </c>
      <c r="E277" s="2683">
        <v>86</v>
      </c>
      <c r="F277" s="2683">
        <v>968</v>
      </c>
      <c r="G277" s="2683">
        <v>1640</v>
      </c>
      <c r="H277" s="2683">
        <v>1000</v>
      </c>
      <c r="I277" s="2683">
        <v>1300</v>
      </c>
      <c r="J277" s="2683">
        <v>28.6</v>
      </c>
      <c r="K277" s="2684"/>
      <c r="L277" s="2683" t="s">
        <v>6186</v>
      </c>
    </row>
    <row r="278" spans="1:12">
      <c r="A278" s="2682" t="s">
        <v>146</v>
      </c>
      <c r="B278" s="2682">
        <v>30334</v>
      </c>
      <c r="C278" s="2682">
        <v>170</v>
      </c>
      <c r="D278" s="2682">
        <v>360</v>
      </c>
      <c r="E278" s="2682">
        <v>72</v>
      </c>
      <c r="F278" s="2682">
        <v>995</v>
      </c>
      <c r="G278" s="2682">
        <v>1370</v>
      </c>
      <c r="H278" s="2682">
        <v>850</v>
      </c>
      <c r="I278" s="2682">
        <v>1100</v>
      </c>
      <c r="J278" s="2682">
        <v>35.6</v>
      </c>
      <c r="L278" s="2682" t="s">
        <v>6187</v>
      </c>
    </row>
    <row r="279" spans="1:12">
      <c r="A279" s="2683" t="s">
        <v>146</v>
      </c>
      <c r="B279" s="2683">
        <v>32936</v>
      </c>
      <c r="C279" s="2683">
        <v>180</v>
      </c>
      <c r="D279" s="2683">
        <v>250</v>
      </c>
      <c r="E279" s="2683">
        <v>45</v>
      </c>
      <c r="F279" s="2683">
        <v>340</v>
      </c>
      <c r="G279" s="2683">
        <v>708</v>
      </c>
      <c r="H279" s="2683">
        <v>1100</v>
      </c>
      <c r="I279" s="2683">
        <v>1500</v>
      </c>
      <c r="J279" s="2683">
        <v>6.44</v>
      </c>
      <c r="K279" s="2684"/>
      <c r="L279" s="2683" t="s">
        <v>6188</v>
      </c>
    </row>
    <row r="280" spans="1:12">
      <c r="A280" s="2682" t="s">
        <v>146</v>
      </c>
      <c r="B280" s="2682" t="s">
        <v>6189</v>
      </c>
      <c r="C280" s="2682">
        <v>180</v>
      </c>
      <c r="D280" s="2682">
        <v>280</v>
      </c>
      <c r="E280" s="2682">
        <v>60</v>
      </c>
      <c r="F280" s="2682">
        <v>502</v>
      </c>
      <c r="G280" s="2682">
        <v>890</v>
      </c>
      <c r="H280" s="2682">
        <v>1000</v>
      </c>
      <c r="I280" s="2682">
        <v>1400</v>
      </c>
      <c r="J280" s="2682">
        <v>14.7</v>
      </c>
      <c r="L280" s="2682">
        <v>2007136</v>
      </c>
    </row>
    <row r="281" spans="1:12">
      <c r="A281" s="2683" t="s">
        <v>146</v>
      </c>
      <c r="B281" s="2683">
        <v>32036</v>
      </c>
      <c r="C281" s="2683">
        <v>180</v>
      </c>
      <c r="D281" s="2683">
        <v>280</v>
      </c>
      <c r="E281" s="2683">
        <v>64</v>
      </c>
      <c r="F281" s="2683">
        <v>640</v>
      </c>
      <c r="G281" s="2683">
        <v>1150</v>
      </c>
      <c r="H281" s="2683">
        <v>1000</v>
      </c>
      <c r="I281" s="2683">
        <v>1400</v>
      </c>
      <c r="J281" s="2683">
        <v>14.1</v>
      </c>
      <c r="K281" s="2684"/>
      <c r="L281" s="2683" t="s">
        <v>6190</v>
      </c>
    </row>
    <row r="282" spans="1:12">
      <c r="A282" s="2682" t="s">
        <v>146</v>
      </c>
      <c r="B282" s="2682">
        <v>30236</v>
      </c>
      <c r="C282" s="2682">
        <v>180</v>
      </c>
      <c r="D282" s="2682">
        <v>320</v>
      </c>
      <c r="E282" s="2682">
        <v>52</v>
      </c>
      <c r="F282" s="2682">
        <v>610</v>
      </c>
      <c r="G282" s="2682">
        <v>912</v>
      </c>
      <c r="H282" s="2682">
        <v>900</v>
      </c>
      <c r="I282" s="2682">
        <v>1200</v>
      </c>
      <c r="J282" s="2682">
        <v>17.3</v>
      </c>
      <c r="L282" s="2682" t="s">
        <v>6191</v>
      </c>
    </row>
    <row r="283" spans="1:12">
      <c r="A283" s="2683" t="s">
        <v>146</v>
      </c>
      <c r="B283" s="2683">
        <v>32236</v>
      </c>
      <c r="C283" s="2683">
        <v>180</v>
      </c>
      <c r="D283" s="2683">
        <v>320</v>
      </c>
      <c r="E283" s="2683">
        <v>86</v>
      </c>
      <c r="F283" s="2683">
        <v>998</v>
      </c>
      <c r="G283" s="2683">
        <v>1720</v>
      </c>
      <c r="H283" s="2683">
        <v>900</v>
      </c>
      <c r="I283" s="2683">
        <v>1200</v>
      </c>
      <c r="J283" s="2683">
        <v>29.9</v>
      </c>
      <c r="K283" s="2684"/>
      <c r="L283" s="2683" t="s">
        <v>6192</v>
      </c>
    </row>
    <row r="284" spans="1:12">
      <c r="A284" s="2682" t="s">
        <v>146</v>
      </c>
      <c r="B284" s="2682">
        <v>30936</v>
      </c>
      <c r="C284" s="2682">
        <v>180</v>
      </c>
      <c r="D284" s="2682">
        <v>380</v>
      </c>
      <c r="E284" s="2682">
        <v>75</v>
      </c>
      <c r="F284" s="2682">
        <v>1090</v>
      </c>
      <c r="G284" s="2682">
        <v>1500</v>
      </c>
      <c r="H284" s="2682">
        <v>900</v>
      </c>
      <c r="I284" s="2682">
        <v>1100</v>
      </c>
      <c r="J284" s="2682">
        <v>40.700000000000003</v>
      </c>
      <c r="L284" s="2682" t="s">
        <v>5922</v>
      </c>
    </row>
    <row r="285" spans="1:12">
      <c r="A285" s="2683" t="s">
        <v>146</v>
      </c>
      <c r="B285" s="2683" t="s">
        <v>6193</v>
      </c>
      <c r="C285" s="2683">
        <v>190</v>
      </c>
      <c r="D285" s="2683">
        <v>260</v>
      </c>
      <c r="E285" s="2683">
        <v>42</v>
      </c>
      <c r="F285" s="2683">
        <v>292</v>
      </c>
      <c r="G285" s="2683">
        <v>580</v>
      </c>
      <c r="H285" s="2683">
        <v>1000</v>
      </c>
      <c r="I285" s="2683">
        <v>1400</v>
      </c>
      <c r="J285" s="2683">
        <v>6.52</v>
      </c>
      <c r="K285" s="2684"/>
      <c r="L285" s="2683">
        <v>2007938</v>
      </c>
    </row>
    <row r="286" spans="1:12">
      <c r="A286" s="2682" t="s">
        <v>146</v>
      </c>
      <c r="B286" s="2682">
        <v>32938</v>
      </c>
      <c r="C286" s="2682">
        <v>190</v>
      </c>
      <c r="D286" s="2682">
        <v>260</v>
      </c>
      <c r="E286" s="2682">
        <v>45</v>
      </c>
      <c r="F286" s="2682">
        <v>360</v>
      </c>
      <c r="G286" s="2682">
        <v>740</v>
      </c>
      <c r="H286" s="2682">
        <v>1000</v>
      </c>
      <c r="I286" s="2682">
        <v>1400</v>
      </c>
      <c r="J286" s="2682">
        <v>6.66</v>
      </c>
      <c r="L286" s="2682" t="s">
        <v>6194</v>
      </c>
    </row>
    <row r="287" spans="1:12">
      <c r="A287" s="2683" t="s">
        <v>146</v>
      </c>
      <c r="B287" s="2683" t="s">
        <v>6195</v>
      </c>
      <c r="C287" s="2683">
        <v>190</v>
      </c>
      <c r="D287" s="2683">
        <v>290</v>
      </c>
      <c r="E287" s="2683">
        <v>60</v>
      </c>
      <c r="F287" s="2683">
        <v>502</v>
      </c>
      <c r="G287" s="2683">
        <v>932</v>
      </c>
      <c r="H287" s="2683">
        <v>950</v>
      </c>
      <c r="I287" s="2683">
        <v>1300</v>
      </c>
      <c r="J287" s="2683">
        <v>14.1</v>
      </c>
      <c r="K287" s="2684"/>
      <c r="L287" s="2683">
        <v>2007138</v>
      </c>
    </row>
    <row r="288" spans="1:12">
      <c r="A288" s="2682" t="s">
        <v>146</v>
      </c>
      <c r="B288" s="2682">
        <v>32038</v>
      </c>
      <c r="C288" s="2682">
        <v>190</v>
      </c>
      <c r="D288" s="2682">
        <v>290</v>
      </c>
      <c r="E288" s="2682">
        <v>64</v>
      </c>
      <c r="F288" s="2682">
        <v>652</v>
      </c>
      <c r="G288" s="2682">
        <v>1180</v>
      </c>
      <c r="H288" s="2682">
        <v>950</v>
      </c>
      <c r="I288" s="2682">
        <v>1300</v>
      </c>
      <c r="J288" s="2682">
        <v>14.6</v>
      </c>
      <c r="L288" s="2682" t="s">
        <v>6196</v>
      </c>
    </row>
    <row r="289" spans="1:12">
      <c r="A289" s="2683" t="s">
        <v>146</v>
      </c>
      <c r="B289" s="2683">
        <v>30238</v>
      </c>
      <c r="C289" s="2683">
        <v>190</v>
      </c>
      <c r="D289" s="2683">
        <v>340</v>
      </c>
      <c r="E289" s="2683">
        <v>55</v>
      </c>
      <c r="F289" s="2683">
        <v>698</v>
      </c>
      <c r="G289" s="2683">
        <v>1030</v>
      </c>
      <c r="H289" s="2683">
        <v>850</v>
      </c>
      <c r="I289" s="2683">
        <v>1100</v>
      </c>
      <c r="J289" s="2683">
        <v>20.8</v>
      </c>
      <c r="K289" s="2684"/>
      <c r="L289" s="2683" t="s">
        <v>6197</v>
      </c>
    </row>
    <row r="290" spans="1:12">
      <c r="A290" s="2682" t="s">
        <v>146</v>
      </c>
      <c r="B290" s="2682">
        <v>32238</v>
      </c>
      <c r="C290" s="2682">
        <v>190</v>
      </c>
      <c r="D290" s="2682">
        <v>340</v>
      </c>
      <c r="E290" s="2682">
        <v>92</v>
      </c>
      <c r="F290" s="2682">
        <v>1120</v>
      </c>
      <c r="G290" s="2682">
        <v>1900</v>
      </c>
      <c r="H290" s="2682">
        <v>850</v>
      </c>
      <c r="I290" s="2682">
        <v>1100</v>
      </c>
      <c r="J290" s="2682">
        <v>36.1</v>
      </c>
      <c r="L290" s="2682" t="s">
        <v>6198</v>
      </c>
    </row>
    <row r="291" spans="1:12">
      <c r="A291" s="2683" t="s">
        <v>146</v>
      </c>
      <c r="B291" s="2683" t="s">
        <v>6199</v>
      </c>
      <c r="C291" s="2683">
        <v>200</v>
      </c>
      <c r="D291" s="2683">
        <v>280</v>
      </c>
      <c r="E291" s="2683">
        <v>48</v>
      </c>
      <c r="F291" s="2683">
        <v>345</v>
      </c>
      <c r="G291" s="2683">
        <v>710</v>
      </c>
      <c r="H291" s="2683">
        <v>950</v>
      </c>
      <c r="I291" s="2683">
        <v>1300</v>
      </c>
      <c r="J291" s="2683">
        <v>8.86</v>
      </c>
      <c r="K291" s="2684"/>
      <c r="L291" s="2683">
        <v>2007940</v>
      </c>
    </row>
    <row r="292" spans="1:12">
      <c r="A292" s="2682" t="s">
        <v>146</v>
      </c>
      <c r="B292" s="2682">
        <v>32940</v>
      </c>
      <c r="C292" s="2682">
        <v>200</v>
      </c>
      <c r="D292" s="2682">
        <v>280</v>
      </c>
      <c r="E292" s="2682">
        <v>51</v>
      </c>
      <c r="F292" s="2682">
        <v>460</v>
      </c>
      <c r="G292" s="2682">
        <v>950</v>
      </c>
      <c r="H292" s="2682">
        <v>950</v>
      </c>
      <c r="I292" s="2682">
        <v>1300</v>
      </c>
      <c r="J292" s="2682">
        <v>9.43</v>
      </c>
      <c r="L292" s="2682" t="s">
        <v>6200</v>
      </c>
    </row>
    <row r="293" spans="1:12">
      <c r="A293" s="2683" t="s">
        <v>146</v>
      </c>
      <c r="B293" s="2683" t="s">
        <v>6201</v>
      </c>
      <c r="C293" s="2683">
        <v>200</v>
      </c>
      <c r="D293" s="2683">
        <v>310</v>
      </c>
      <c r="E293" s="2683">
        <v>66</v>
      </c>
      <c r="F293" s="2683">
        <v>575</v>
      </c>
      <c r="G293" s="2683">
        <v>1120</v>
      </c>
      <c r="H293" s="2683">
        <v>900</v>
      </c>
      <c r="I293" s="2683">
        <v>1200</v>
      </c>
      <c r="J293" s="2683">
        <v>17.399999999999999</v>
      </c>
      <c r="K293" s="2684"/>
      <c r="L293" s="2683">
        <v>2007140</v>
      </c>
    </row>
    <row r="294" spans="1:12">
      <c r="A294" s="2682" t="s">
        <v>146</v>
      </c>
      <c r="B294" s="2682">
        <v>32040</v>
      </c>
      <c r="C294" s="2682">
        <v>200</v>
      </c>
      <c r="D294" s="2682">
        <v>310</v>
      </c>
      <c r="E294" s="2682">
        <v>70</v>
      </c>
      <c r="F294" s="2682">
        <v>782</v>
      </c>
      <c r="G294" s="2682">
        <v>1420</v>
      </c>
      <c r="H294" s="2682">
        <v>900</v>
      </c>
      <c r="I294" s="2682">
        <v>1200</v>
      </c>
      <c r="J294" s="2682">
        <v>18.899999999999999</v>
      </c>
      <c r="L294" s="2682" t="s">
        <v>6202</v>
      </c>
    </row>
    <row r="295" spans="1:12">
      <c r="A295" s="2683" t="s">
        <v>146</v>
      </c>
      <c r="B295" s="2683">
        <v>30240</v>
      </c>
      <c r="C295" s="2683">
        <v>200</v>
      </c>
      <c r="D295" s="2683">
        <v>360</v>
      </c>
      <c r="E295" s="2683">
        <v>58</v>
      </c>
      <c r="F295" s="2683">
        <v>685</v>
      </c>
      <c r="G295" s="2683">
        <v>972</v>
      </c>
      <c r="H295" s="2683">
        <v>940</v>
      </c>
      <c r="I295" s="2683">
        <v>1200</v>
      </c>
      <c r="J295" s="2683">
        <v>25.6</v>
      </c>
      <c r="K295" s="2684"/>
      <c r="L295" s="2683" t="s">
        <v>6203</v>
      </c>
    </row>
    <row r="296" spans="1:12">
      <c r="A296" s="2682" t="s">
        <v>146</v>
      </c>
      <c r="B296" s="2682">
        <v>32240</v>
      </c>
      <c r="C296" s="2682">
        <v>200</v>
      </c>
      <c r="D296" s="2682">
        <v>360</v>
      </c>
      <c r="E296" s="2682">
        <v>98</v>
      </c>
      <c r="F296" s="2682">
        <v>1320</v>
      </c>
      <c r="G296" s="2682">
        <v>2180</v>
      </c>
      <c r="H296" s="2682">
        <v>800</v>
      </c>
      <c r="I296" s="2682">
        <v>1000</v>
      </c>
      <c r="J296" s="2682">
        <v>43.2</v>
      </c>
      <c r="L296" s="2682" t="s">
        <v>6204</v>
      </c>
    </row>
    <row r="297" spans="1:12">
      <c r="A297" s="2683" t="s">
        <v>146</v>
      </c>
      <c r="B297" s="2683" t="s">
        <v>6205</v>
      </c>
      <c r="C297" s="2683">
        <v>220</v>
      </c>
      <c r="D297" s="2683">
        <v>300</v>
      </c>
      <c r="E297" s="2683">
        <v>48</v>
      </c>
      <c r="F297" s="2683">
        <v>372</v>
      </c>
      <c r="G297" s="2683">
        <v>795</v>
      </c>
      <c r="H297" s="2683">
        <v>900</v>
      </c>
      <c r="I297" s="2683">
        <v>1200</v>
      </c>
      <c r="J297" s="2683">
        <v>10.1</v>
      </c>
      <c r="K297" s="2684"/>
      <c r="L297" s="2683">
        <v>2007944</v>
      </c>
    </row>
    <row r="298" spans="1:12">
      <c r="A298" s="2682" t="s">
        <v>146</v>
      </c>
      <c r="B298" s="2682">
        <v>32944</v>
      </c>
      <c r="C298" s="2682">
        <v>220</v>
      </c>
      <c r="D298" s="2682">
        <v>300</v>
      </c>
      <c r="E298" s="2682">
        <v>51</v>
      </c>
      <c r="F298" s="2682">
        <v>470</v>
      </c>
      <c r="G298" s="2682">
        <v>978</v>
      </c>
      <c r="H298" s="2682">
        <v>900</v>
      </c>
      <c r="I298" s="2682">
        <v>1200</v>
      </c>
      <c r="J298" s="2682">
        <v>10</v>
      </c>
      <c r="L298" s="2682" t="s">
        <v>6206</v>
      </c>
    </row>
    <row r="299" spans="1:12">
      <c r="A299" s="2683" t="s">
        <v>146</v>
      </c>
      <c r="B299" s="2683" t="s">
        <v>6207</v>
      </c>
      <c r="C299" s="2683">
        <v>220</v>
      </c>
      <c r="D299" s="2683">
        <v>340</v>
      </c>
      <c r="E299" s="2683">
        <v>72</v>
      </c>
      <c r="F299" s="2683">
        <v>702</v>
      </c>
      <c r="G299" s="2683">
        <v>1330</v>
      </c>
      <c r="H299" s="2683">
        <v>800</v>
      </c>
      <c r="I299" s="2683">
        <v>1000</v>
      </c>
      <c r="J299" s="2683">
        <v>22.3</v>
      </c>
      <c r="K299" s="2684"/>
      <c r="L299" s="2683">
        <v>2007144</v>
      </c>
    </row>
    <row r="300" spans="1:12">
      <c r="A300" s="2682" t="s">
        <v>146</v>
      </c>
      <c r="B300" s="2682">
        <v>32044</v>
      </c>
      <c r="C300" s="2682">
        <v>220</v>
      </c>
      <c r="D300" s="2682">
        <v>340</v>
      </c>
      <c r="E300" s="2682">
        <v>76.5</v>
      </c>
      <c r="F300" s="2682">
        <v>908</v>
      </c>
      <c r="G300" s="2682">
        <v>1670</v>
      </c>
      <c r="H300" s="2682">
        <v>800</v>
      </c>
      <c r="I300" s="2682">
        <v>1000</v>
      </c>
      <c r="J300" s="2682">
        <v>24.4</v>
      </c>
      <c r="L300" s="2682" t="s">
        <v>6208</v>
      </c>
    </row>
    <row r="301" spans="1:12">
      <c r="A301" s="2683" t="s">
        <v>146</v>
      </c>
      <c r="B301" s="2683" t="s">
        <v>6209</v>
      </c>
      <c r="C301" s="2683">
        <v>240</v>
      </c>
      <c r="D301" s="2683">
        <v>320</v>
      </c>
      <c r="E301" s="2683">
        <v>48</v>
      </c>
      <c r="F301" s="2683">
        <v>390</v>
      </c>
      <c r="G301" s="2683">
        <v>860</v>
      </c>
      <c r="H301" s="2683">
        <v>800</v>
      </c>
      <c r="I301" s="2683">
        <v>1000</v>
      </c>
      <c r="J301" s="2683">
        <v>10.9</v>
      </c>
      <c r="K301" s="2684"/>
      <c r="L301" s="2683">
        <v>2007948</v>
      </c>
    </row>
    <row r="302" spans="1:12">
      <c r="A302" s="2682" t="s">
        <v>146</v>
      </c>
      <c r="B302" s="2682">
        <v>32948</v>
      </c>
      <c r="C302" s="2682">
        <v>240</v>
      </c>
      <c r="D302" s="2682">
        <v>320</v>
      </c>
      <c r="E302" s="2682">
        <v>51</v>
      </c>
      <c r="F302" s="2682">
        <v>520</v>
      </c>
      <c r="G302" s="2682">
        <v>1060</v>
      </c>
      <c r="H302" s="2682">
        <v>800</v>
      </c>
      <c r="I302" s="2682">
        <v>1000</v>
      </c>
      <c r="J302" s="2682">
        <v>10.7</v>
      </c>
      <c r="L302" s="2682" t="s">
        <v>6210</v>
      </c>
    </row>
    <row r="303" spans="1:12">
      <c r="A303" s="2683" t="s">
        <v>146</v>
      </c>
      <c r="B303" s="2683" t="s">
        <v>6211</v>
      </c>
      <c r="C303" s="2683">
        <v>240</v>
      </c>
      <c r="D303" s="2683">
        <v>360</v>
      </c>
      <c r="E303" s="2683">
        <v>72</v>
      </c>
      <c r="F303" s="2683">
        <v>710</v>
      </c>
      <c r="G303" s="2683">
        <v>1420</v>
      </c>
      <c r="H303" s="2683">
        <v>700</v>
      </c>
      <c r="I303" s="2683">
        <v>900</v>
      </c>
      <c r="J303" s="2683">
        <v>25.5</v>
      </c>
      <c r="K303" s="2684"/>
      <c r="L303" s="2683">
        <v>2007148</v>
      </c>
    </row>
    <row r="304" spans="1:12">
      <c r="A304" s="2682" t="s">
        <v>146</v>
      </c>
      <c r="B304" s="2682">
        <v>32048</v>
      </c>
      <c r="C304" s="2682">
        <v>240</v>
      </c>
      <c r="D304" s="2682">
        <v>360</v>
      </c>
      <c r="E304" s="2682">
        <v>76</v>
      </c>
      <c r="F304" s="2682">
        <v>920</v>
      </c>
      <c r="G304" s="2682">
        <v>1730</v>
      </c>
      <c r="H304" s="2682">
        <v>700</v>
      </c>
      <c r="I304" s="2682">
        <v>900</v>
      </c>
      <c r="J304" s="2682">
        <v>25.9</v>
      </c>
      <c r="L304" s="2682" t="s">
        <v>6212</v>
      </c>
    </row>
    <row r="305" spans="1:12">
      <c r="A305" s="2683" t="s">
        <v>146</v>
      </c>
      <c r="B305" s="2683" t="s">
        <v>6213</v>
      </c>
      <c r="C305" s="2683">
        <v>260</v>
      </c>
      <c r="D305" s="2683">
        <v>360</v>
      </c>
      <c r="E305" s="2683">
        <v>60</v>
      </c>
      <c r="F305" s="2683">
        <v>525</v>
      </c>
      <c r="G305" s="2683">
        <v>1150</v>
      </c>
      <c r="H305" s="2683">
        <v>700</v>
      </c>
      <c r="I305" s="2683">
        <v>900</v>
      </c>
      <c r="J305" s="2683">
        <v>19.2</v>
      </c>
      <c r="K305" s="2684"/>
      <c r="L305" s="2683">
        <v>2007952</v>
      </c>
    </row>
    <row r="306" spans="1:12">
      <c r="A306" s="2682" t="s">
        <v>146</v>
      </c>
      <c r="B306" s="2682">
        <v>32952</v>
      </c>
      <c r="C306" s="2682">
        <v>260</v>
      </c>
      <c r="D306" s="2682">
        <v>360</v>
      </c>
      <c r="E306" s="2682">
        <v>63.5</v>
      </c>
      <c r="F306" s="2682">
        <v>688</v>
      </c>
      <c r="G306" s="2682">
        <v>1470</v>
      </c>
      <c r="H306" s="2682">
        <v>700</v>
      </c>
      <c r="I306" s="2682">
        <v>900</v>
      </c>
      <c r="J306" s="2682">
        <v>18.600000000000001</v>
      </c>
      <c r="L306" s="2682" t="s">
        <v>6214</v>
      </c>
    </row>
    <row r="307" spans="1:12">
      <c r="A307" s="2683" t="s">
        <v>146</v>
      </c>
      <c r="B307" s="2683" t="s">
        <v>6215</v>
      </c>
      <c r="C307" s="2683">
        <v>260</v>
      </c>
      <c r="D307" s="2683">
        <v>400</v>
      </c>
      <c r="E307" s="2683">
        <v>82</v>
      </c>
      <c r="F307" s="2683">
        <v>902</v>
      </c>
      <c r="G307" s="2683">
        <v>1810</v>
      </c>
      <c r="H307" s="2683">
        <v>670</v>
      </c>
      <c r="I307" s="2683">
        <v>850</v>
      </c>
      <c r="J307" s="2683">
        <v>37.799999999999997</v>
      </c>
      <c r="K307" s="2684"/>
      <c r="L307" s="2683">
        <v>2007152</v>
      </c>
    </row>
    <row r="308" spans="1:12">
      <c r="A308" s="2682" t="s">
        <v>146</v>
      </c>
      <c r="B308" s="2682">
        <v>32052</v>
      </c>
      <c r="C308" s="2682">
        <v>260</v>
      </c>
      <c r="D308" s="2682">
        <v>400</v>
      </c>
      <c r="E308" s="2682">
        <v>87</v>
      </c>
      <c r="F308" s="2682">
        <v>1120</v>
      </c>
      <c r="G308" s="2682">
        <v>2170</v>
      </c>
      <c r="H308" s="2682">
        <v>670</v>
      </c>
      <c r="I308" s="2682">
        <v>850</v>
      </c>
      <c r="J308" s="2682">
        <v>38</v>
      </c>
      <c r="L308" s="2682" t="s">
        <v>6216</v>
      </c>
    </row>
    <row r="309" spans="1:12">
      <c r="A309" s="2683" t="s">
        <v>146</v>
      </c>
      <c r="B309" s="2683">
        <v>32956</v>
      </c>
      <c r="C309" s="2683">
        <v>280</v>
      </c>
      <c r="D309" s="2683">
        <v>380</v>
      </c>
      <c r="E309" s="2683">
        <v>63.5</v>
      </c>
      <c r="F309" s="2683">
        <v>745</v>
      </c>
      <c r="G309" s="2683">
        <v>1580</v>
      </c>
      <c r="H309" s="2683">
        <v>630</v>
      </c>
      <c r="I309" s="2683">
        <v>800</v>
      </c>
      <c r="J309" s="2683">
        <v>19.7</v>
      </c>
      <c r="K309" s="2684"/>
      <c r="L309" s="2683">
        <v>20079562</v>
      </c>
    </row>
    <row r="310" spans="1:12">
      <c r="A310" s="2682" t="s">
        <v>146</v>
      </c>
      <c r="B310" s="2682" t="s">
        <v>6217</v>
      </c>
      <c r="C310" s="2682">
        <v>280</v>
      </c>
      <c r="D310" s="2682">
        <v>420</v>
      </c>
      <c r="E310" s="2682">
        <v>82</v>
      </c>
      <c r="F310" s="2682">
        <v>622</v>
      </c>
      <c r="G310" s="2682">
        <v>1940</v>
      </c>
      <c r="H310" s="2682">
        <v>600</v>
      </c>
      <c r="I310" s="2682">
        <v>750</v>
      </c>
      <c r="J310" s="2682">
        <v>39.6</v>
      </c>
      <c r="L310" s="2682">
        <v>2007156</v>
      </c>
    </row>
    <row r="311" spans="1:12">
      <c r="A311" s="2683" t="s">
        <v>146</v>
      </c>
      <c r="B311" s="2683">
        <v>32056</v>
      </c>
      <c r="C311" s="2683">
        <v>280</v>
      </c>
      <c r="D311" s="2683">
        <v>420</v>
      </c>
      <c r="E311" s="2683">
        <v>87</v>
      </c>
      <c r="F311" s="2683">
        <v>1190</v>
      </c>
      <c r="G311" s="2683">
        <v>2290</v>
      </c>
      <c r="H311" s="2683">
        <v>600</v>
      </c>
      <c r="I311" s="2683">
        <v>750</v>
      </c>
      <c r="J311" s="2683">
        <v>40.200000000000003</v>
      </c>
      <c r="K311" s="2684"/>
      <c r="L311" s="2683" t="s">
        <v>6218</v>
      </c>
    </row>
    <row r="312" spans="1:12">
      <c r="A312" s="2682" t="s">
        <v>146</v>
      </c>
      <c r="B312" s="2682" t="s">
        <v>6219</v>
      </c>
      <c r="C312" s="2682">
        <v>300</v>
      </c>
      <c r="D312" s="2682">
        <v>420</v>
      </c>
      <c r="E312" s="2682">
        <v>72</v>
      </c>
      <c r="F312" s="2682">
        <v>778</v>
      </c>
      <c r="G312" s="2682">
        <v>1700</v>
      </c>
      <c r="H312" s="2682">
        <v>600</v>
      </c>
      <c r="I312" s="2682">
        <v>750</v>
      </c>
      <c r="J312" s="2682">
        <v>30.2</v>
      </c>
      <c r="L312" s="2682">
        <v>2007950</v>
      </c>
    </row>
    <row r="313" spans="1:12">
      <c r="A313" s="2683" t="s">
        <v>146</v>
      </c>
      <c r="B313" s="2683">
        <v>32960</v>
      </c>
      <c r="C313" s="2683">
        <v>300</v>
      </c>
      <c r="D313" s="2683">
        <v>420</v>
      </c>
      <c r="E313" s="2683">
        <v>76</v>
      </c>
      <c r="F313" s="2683">
        <v>1020</v>
      </c>
      <c r="G313" s="2683">
        <v>2200</v>
      </c>
      <c r="H313" s="2683">
        <v>600</v>
      </c>
      <c r="I313" s="2683">
        <v>750</v>
      </c>
      <c r="J313" s="2683">
        <v>31.5</v>
      </c>
      <c r="K313" s="2684"/>
      <c r="L313" s="2683" t="s">
        <v>6220</v>
      </c>
    </row>
    <row r="314" spans="1:12">
      <c r="A314" s="2682" t="s">
        <v>146</v>
      </c>
      <c r="B314" s="2682" t="s">
        <v>6221</v>
      </c>
      <c r="C314" s="2682">
        <v>300</v>
      </c>
      <c r="D314" s="2682">
        <v>460</v>
      </c>
      <c r="E314" s="2682">
        <v>95</v>
      </c>
      <c r="F314" s="2682">
        <v>1050</v>
      </c>
      <c r="G314" s="2682">
        <v>2190</v>
      </c>
      <c r="H314" s="2682">
        <v>560</v>
      </c>
      <c r="I314" s="2682">
        <v>700</v>
      </c>
      <c r="J314" s="2682">
        <v>55.9</v>
      </c>
      <c r="L314" s="2682">
        <v>2007160</v>
      </c>
    </row>
    <row r="315" spans="1:12">
      <c r="A315" s="2683" t="s">
        <v>146</v>
      </c>
      <c r="B315" s="2683">
        <v>32060</v>
      </c>
      <c r="C315" s="2683">
        <v>300</v>
      </c>
      <c r="D315" s="2683">
        <v>460</v>
      </c>
      <c r="E315" s="2683">
        <v>100</v>
      </c>
      <c r="F315" s="2683">
        <v>1520</v>
      </c>
      <c r="G315" s="2683">
        <v>2940</v>
      </c>
      <c r="H315" s="2683">
        <v>560</v>
      </c>
      <c r="I315" s="2683">
        <v>700</v>
      </c>
      <c r="J315" s="2683">
        <v>57.5</v>
      </c>
      <c r="K315" s="2684"/>
      <c r="L315" s="2683" t="s">
        <v>6222</v>
      </c>
    </row>
    <row r="316" spans="1:12">
      <c r="A316" s="2682" t="s">
        <v>146</v>
      </c>
      <c r="B316" s="2682" t="s">
        <v>6223</v>
      </c>
      <c r="C316" s="2682">
        <v>320</v>
      </c>
      <c r="D316" s="2682">
        <v>440</v>
      </c>
      <c r="E316" s="2682">
        <v>72</v>
      </c>
      <c r="F316" s="2682">
        <v>798</v>
      </c>
      <c r="G316" s="2682">
        <v>1760</v>
      </c>
      <c r="H316" s="2682">
        <v>560</v>
      </c>
      <c r="I316" s="2682">
        <v>700</v>
      </c>
      <c r="J316" s="2682">
        <v>44.7</v>
      </c>
      <c r="L316" s="2682">
        <v>2007964</v>
      </c>
    </row>
    <row r="317" spans="1:12">
      <c r="A317" s="2683" t="s">
        <v>146</v>
      </c>
      <c r="B317" s="2683">
        <v>32964</v>
      </c>
      <c r="C317" s="2683">
        <v>320</v>
      </c>
      <c r="D317" s="2683">
        <v>440</v>
      </c>
      <c r="E317" s="2683">
        <v>76</v>
      </c>
      <c r="F317" s="2683">
        <v>1040</v>
      </c>
      <c r="G317" s="2683">
        <v>2320</v>
      </c>
      <c r="H317" s="2683">
        <v>560</v>
      </c>
      <c r="I317" s="2683">
        <v>700</v>
      </c>
      <c r="J317" s="2683">
        <v>33.299999999999997</v>
      </c>
      <c r="K317" s="2684"/>
      <c r="L317" s="2683" t="s">
        <v>6224</v>
      </c>
    </row>
    <row r="318" spans="1:12">
      <c r="A318" s="2682" t="s">
        <v>146</v>
      </c>
      <c r="B318" s="2682" t="s">
        <v>6225</v>
      </c>
      <c r="C318" s="2682">
        <v>320</v>
      </c>
      <c r="D318" s="2682">
        <v>480</v>
      </c>
      <c r="E318" s="2682">
        <v>95</v>
      </c>
      <c r="F318" s="2682">
        <v>1050</v>
      </c>
      <c r="G318" s="2682">
        <v>2190</v>
      </c>
      <c r="H318" s="2682">
        <v>530</v>
      </c>
      <c r="I318" s="2682">
        <v>670</v>
      </c>
      <c r="J318" s="2682">
        <v>59.1</v>
      </c>
      <c r="L318" s="2682">
        <v>2007164</v>
      </c>
    </row>
    <row r="319" spans="1:12">
      <c r="A319" s="2683" t="s">
        <v>146</v>
      </c>
      <c r="B319" s="2683">
        <v>32064</v>
      </c>
      <c r="C319" s="2683">
        <v>320</v>
      </c>
      <c r="D319" s="2683">
        <v>480</v>
      </c>
      <c r="E319" s="2683">
        <v>100</v>
      </c>
      <c r="F319" s="2683">
        <v>1540</v>
      </c>
      <c r="G319" s="2683">
        <v>3000</v>
      </c>
      <c r="H319" s="2683">
        <v>530</v>
      </c>
      <c r="I319" s="2683">
        <v>670</v>
      </c>
      <c r="J319" s="2683">
        <v>60.6</v>
      </c>
      <c r="K319" s="2684"/>
      <c r="L319" s="2683" t="s">
        <v>6226</v>
      </c>
    </row>
    <row r="320" spans="1:12">
      <c r="A320" s="2682" t="s">
        <v>146</v>
      </c>
      <c r="B320" s="2682" t="s">
        <v>6227</v>
      </c>
      <c r="C320" s="2682">
        <v>340</v>
      </c>
      <c r="D320" s="2682">
        <v>460</v>
      </c>
      <c r="E320" s="2682">
        <v>72</v>
      </c>
      <c r="F320" s="2682">
        <v>805</v>
      </c>
      <c r="G320" s="2682">
        <v>1830</v>
      </c>
      <c r="H320" s="2682">
        <v>530</v>
      </c>
      <c r="I320" s="2682">
        <v>670</v>
      </c>
      <c r="J320" s="2682">
        <v>34.299999999999997</v>
      </c>
      <c r="L320" s="2682">
        <v>2007968</v>
      </c>
    </row>
    <row r="321" spans="1:12">
      <c r="A321" s="2683" t="s">
        <v>146</v>
      </c>
      <c r="B321" s="2683">
        <v>32968</v>
      </c>
      <c r="C321" s="2683">
        <v>340</v>
      </c>
      <c r="D321" s="2683">
        <v>460</v>
      </c>
      <c r="E321" s="2683">
        <v>76</v>
      </c>
      <c r="F321" s="2683">
        <v>1050</v>
      </c>
      <c r="G321" s="2683">
        <v>2380</v>
      </c>
      <c r="H321" s="2683">
        <v>530</v>
      </c>
      <c r="I321" s="2683">
        <v>670</v>
      </c>
      <c r="J321" s="2683">
        <v>34.799999999999997</v>
      </c>
      <c r="K321" s="2684"/>
      <c r="L321" s="2683" t="s">
        <v>6228</v>
      </c>
    </row>
    <row r="322" spans="1:12">
      <c r="A322" s="2682" t="s">
        <v>146</v>
      </c>
      <c r="B322" s="2682" t="s">
        <v>6229</v>
      </c>
      <c r="C322" s="2682">
        <v>360</v>
      </c>
      <c r="D322" s="2682">
        <v>480</v>
      </c>
      <c r="E322" s="2682">
        <v>72</v>
      </c>
      <c r="F322" s="2682">
        <v>838</v>
      </c>
      <c r="G322" s="2682">
        <v>1940</v>
      </c>
      <c r="H322" s="2682">
        <v>500</v>
      </c>
      <c r="I322" s="2682">
        <v>630</v>
      </c>
      <c r="J322" s="2682">
        <v>35.799999999999997</v>
      </c>
      <c r="L322" s="2682">
        <v>2007972</v>
      </c>
    </row>
    <row r="323" spans="1:12">
      <c r="A323" s="2683" t="s">
        <v>146</v>
      </c>
      <c r="B323" s="2683">
        <v>32972</v>
      </c>
      <c r="C323" s="2683">
        <v>360</v>
      </c>
      <c r="D323" s="2683">
        <v>480</v>
      </c>
      <c r="E323" s="2683">
        <v>76</v>
      </c>
      <c r="F323" s="2683">
        <v>1060</v>
      </c>
      <c r="G323" s="2683">
        <v>2430</v>
      </c>
      <c r="H323" s="2683">
        <v>500</v>
      </c>
      <c r="I323" s="2683">
        <v>630</v>
      </c>
      <c r="J323" s="2683">
        <v>36.299999999999997</v>
      </c>
      <c r="K323" s="2684"/>
      <c r="L323" s="2683" t="s">
        <v>6230</v>
      </c>
    </row>
    <row r="324" spans="1:12">
      <c r="A324" s="2682" t="s">
        <v>146</v>
      </c>
      <c r="B324" s="2682">
        <v>32203</v>
      </c>
      <c r="C324" s="2682">
        <v>17</v>
      </c>
      <c r="D324" s="2682">
        <v>40</v>
      </c>
      <c r="E324" s="2682">
        <v>16</v>
      </c>
      <c r="F324" s="2682" t="s">
        <v>5922</v>
      </c>
      <c r="G324" s="2682" t="s">
        <v>5922</v>
      </c>
      <c r="H324" s="2682" t="s">
        <v>5922</v>
      </c>
      <c r="I324" s="2682" t="s">
        <v>5922</v>
      </c>
      <c r="J324" s="2682" t="s">
        <v>5922</v>
      </c>
      <c r="L324" s="2682">
        <v>7503</v>
      </c>
    </row>
    <row r="325" spans="1:12">
      <c r="A325" s="2683" t="s">
        <v>146</v>
      </c>
      <c r="B325" s="2683">
        <v>32328</v>
      </c>
      <c r="C325" s="2683">
        <v>140</v>
      </c>
      <c r="D325" s="2683">
        <v>300</v>
      </c>
      <c r="E325" s="2683">
        <v>102</v>
      </c>
      <c r="F325" s="2683" t="s">
        <v>5922</v>
      </c>
      <c r="G325" s="2683" t="s">
        <v>5922</v>
      </c>
      <c r="H325" s="2683" t="s">
        <v>5922</v>
      </c>
      <c r="I325" s="2683" t="s">
        <v>5922</v>
      </c>
      <c r="J325" s="2683" t="s">
        <v>5922</v>
      </c>
      <c r="K325" s="2684"/>
      <c r="L325" s="2683">
        <v>7628</v>
      </c>
    </row>
    <row r="326" spans="1:12">
      <c r="A326" s="2682" t="s">
        <v>146</v>
      </c>
      <c r="B326" s="2682">
        <v>32332</v>
      </c>
      <c r="C326" s="2682">
        <v>160</v>
      </c>
      <c r="D326" s="2682">
        <v>340</v>
      </c>
      <c r="E326" s="2682">
        <v>114</v>
      </c>
      <c r="F326" s="2682">
        <v>1220</v>
      </c>
      <c r="G326" s="2682">
        <v>1720</v>
      </c>
      <c r="H326" s="2682">
        <v>1100</v>
      </c>
      <c r="I326" s="2682">
        <v>1400</v>
      </c>
      <c r="J326" s="2682">
        <v>47.9</v>
      </c>
      <c r="L326" s="2682">
        <v>7632</v>
      </c>
    </row>
    <row r="327" spans="1:12">
      <c r="A327" s="2683" t="s">
        <v>146</v>
      </c>
      <c r="B327" s="2683">
        <v>33120</v>
      </c>
      <c r="C327" s="2683">
        <v>100</v>
      </c>
      <c r="D327" s="2683">
        <v>165</v>
      </c>
      <c r="E327" s="2683">
        <v>52</v>
      </c>
      <c r="F327" s="2683" t="s">
        <v>5922</v>
      </c>
      <c r="G327" s="2683" t="s">
        <v>5922</v>
      </c>
      <c r="H327" s="2683" t="s">
        <v>5922</v>
      </c>
      <c r="I327" s="2683" t="s">
        <v>5922</v>
      </c>
      <c r="J327" s="2683">
        <v>4.3099999999999996</v>
      </c>
      <c r="K327" s="2684"/>
      <c r="L327" s="2683" t="s">
        <v>6231</v>
      </c>
    </row>
    <row r="328" spans="1:12">
      <c r="A328" s="2682" t="s">
        <v>146</v>
      </c>
      <c r="B328" s="2682" t="s">
        <v>6232</v>
      </c>
      <c r="C328" s="2682">
        <v>190</v>
      </c>
      <c r="D328" s="2682">
        <v>290</v>
      </c>
      <c r="E328" s="2682">
        <v>51</v>
      </c>
      <c r="F328" s="2682" t="s">
        <v>5908</v>
      </c>
      <c r="G328" s="2682" t="s">
        <v>5908</v>
      </c>
      <c r="H328" s="2682" t="s">
        <v>5908</v>
      </c>
      <c r="I328" s="2682" t="s">
        <v>5908</v>
      </c>
      <c r="J328" s="2682">
        <v>13.5</v>
      </c>
      <c r="L328" s="2682">
        <v>7138</v>
      </c>
    </row>
    <row r="329" spans="1:12">
      <c r="A329" s="2683" t="s">
        <v>146</v>
      </c>
      <c r="B329" s="2683" t="s">
        <v>6233</v>
      </c>
      <c r="C329" s="2683">
        <v>340</v>
      </c>
      <c r="D329" s="2683">
        <v>540</v>
      </c>
      <c r="E329" s="2683">
        <v>86</v>
      </c>
      <c r="F329" s="2683" t="s">
        <v>5908</v>
      </c>
      <c r="G329" s="2683" t="s">
        <v>5908</v>
      </c>
      <c r="H329" s="2683" t="s">
        <v>5908</v>
      </c>
      <c r="I329" s="2683" t="s">
        <v>5908</v>
      </c>
      <c r="J329" s="2683">
        <v>57</v>
      </c>
      <c r="K329" s="2684"/>
      <c r="L329" s="2683">
        <v>7168</v>
      </c>
    </row>
    <row r="330" spans="1:12">
      <c r="A330" s="2682" t="s">
        <v>146</v>
      </c>
      <c r="B330" s="2682" t="s">
        <v>6234</v>
      </c>
      <c r="C330" s="2682">
        <v>400</v>
      </c>
      <c r="D330" s="2682">
        <v>600</v>
      </c>
      <c r="E330" s="2682">
        <v>95</v>
      </c>
      <c r="F330" s="2682" t="s">
        <v>5908</v>
      </c>
      <c r="G330" s="2682" t="s">
        <v>5908</v>
      </c>
      <c r="H330" s="2682" t="s">
        <v>5908</v>
      </c>
      <c r="I330" s="2682" t="s">
        <v>5908</v>
      </c>
      <c r="J330" s="2682">
        <v>84</v>
      </c>
      <c r="L330" s="2682">
        <v>7180</v>
      </c>
    </row>
    <row r="331" spans="1:12">
      <c r="A331" s="2683" t="s">
        <v>146</v>
      </c>
      <c r="B331" s="2683" t="s">
        <v>6235</v>
      </c>
      <c r="C331" s="2683">
        <v>420</v>
      </c>
      <c r="D331" s="2683">
        <v>620</v>
      </c>
      <c r="E331" s="2683">
        <v>95</v>
      </c>
      <c r="F331" s="2683" t="s">
        <v>5908</v>
      </c>
      <c r="G331" s="2683" t="s">
        <v>5908</v>
      </c>
      <c r="H331" s="2683" t="s">
        <v>5908</v>
      </c>
      <c r="I331" s="2683" t="s">
        <v>5908</v>
      </c>
      <c r="J331" s="2683">
        <v>91.7</v>
      </c>
      <c r="K331" s="2684"/>
      <c r="L331" s="2683">
        <v>7184</v>
      </c>
    </row>
    <row r="332" spans="1:12">
      <c r="A332" s="2682" t="s">
        <v>146</v>
      </c>
      <c r="B332" s="2682" t="s">
        <v>6236</v>
      </c>
      <c r="C332" s="2682">
        <v>440</v>
      </c>
      <c r="D332" s="2682">
        <v>650</v>
      </c>
      <c r="E332" s="2682">
        <v>96.4</v>
      </c>
      <c r="F332" s="2682" t="s">
        <v>5908</v>
      </c>
      <c r="G332" s="2682" t="s">
        <v>5908</v>
      </c>
      <c r="H332" s="2682" t="s">
        <v>5908</v>
      </c>
      <c r="I332" s="2682" t="s">
        <v>5908</v>
      </c>
      <c r="J332" s="2682">
        <v>99.4</v>
      </c>
      <c r="L332" s="2682">
        <v>7188</v>
      </c>
    </row>
    <row r="333" spans="1:12">
      <c r="A333" s="2683" t="s">
        <v>146</v>
      </c>
      <c r="B333" s="2683" t="s">
        <v>6237</v>
      </c>
      <c r="C333" s="2683">
        <v>500</v>
      </c>
      <c r="D333" s="2683">
        <v>720</v>
      </c>
      <c r="E333" s="2683">
        <v>110</v>
      </c>
      <c r="F333" s="2683" t="s">
        <v>5908</v>
      </c>
      <c r="G333" s="2683" t="s">
        <v>5908</v>
      </c>
      <c r="H333" s="2683" t="s">
        <v>5908</v>
      </c>
      <c r="I333" s="2683" t="s">
        <v>5908</v>
      </c>
      <c r="J333" s="2683">
        <v>135</v>
      </c>
      <c r="K333" s="2684"/>
      <c r="L333" s="2683" t="s">
        <v>6238</v>
      </c>
    </row>
    <row r="334" spans="1:12">
      <c r="A334" s="2682" t="s">
        <v>146</v>
      </c>
      <c r="B334" s="2682" t="s">
        <v>6239</v>
      </c>
      <c r="C334" s="2682">
        <v>560</v>
      </c>
      <c r="D334" s="2682">
        <v>820</v>
      </c>
      <c r="E334" s="2682">
        <v>121</v>
      </c>
      <c r="F334" s="2682" t="s">
        <v>5908</v>
      </c>
      <c r="G334" s="2682" t="s">
        <v>5908</v>
      </c>
      <c r="H334" s="2682" t="s">
        <v>5908</v>
      </c>
      <c r="I334" s="2682" t="s">
        <v>5908</v>
      </c>
      <c r="J334" s="2682">
        <v>191</v>
      </c>
      <c r="L334" s="2682" t="s">
        <v>6240</v>
      </c>
    </row>
    <row r="335" spans="1:12">
      <c r="A335" s="2683" t="s">
        <v>146</v>
      </c>
      <c r="B335" s="2683" t="s">
        <v>6241</v>
      </c>
      <c r="C335" s="2683">
        <v>600</v>
      </c>
      <c r="D335" s="2683">
        <v>870</v>
      </c>
      <c r="E335" s="2683">
        <v>124</v>
      </c>
      <c r="F335" s="2683" t="s">
        <v>5908</v>
      </c>
      <c r="G335" s="2683" t="s">
        <v>5908</v>
      </c>
      <c r="H335" s="2683" t="s">
        <v>5908</v>
      </c>
      <c r="I335" s="2683" t="s">
        <v>5908</v>
      </c>
      <c r="J335" s="2683">
        <v>235</v>
      </c>
      <c r="K335" s="2684"/>
      <c r="L335" s="2683" t="s">
        <v>6242</v>
      </c>
    </row>
    <row r="336" spans="1:12">
      <c r="A336" s="2682" t="s">
        <v>146</v>
      </c>
      <c r="B336" s="2682" t="s">
        <v>6243</v>
      </c>
      <c r="C336" s="2682">
        <v>630</v>
      </c>
      <c r="D336" s="2682">
        <v>920</v>
      </c>
      <c r="E336" s="2682">
        <v>135</v>
      </c>
      <c r="F336" s="2682" t="s">
        <v>5908</v>
      </c>
      <c r="G336" s="2682" t="s">
        <v>5908</v>
      </c>
      <c r="H336" s="2682" t="s">
        <v>5908</v>
      </c>
      <c r="I336" s="2682" t="s">
        <v>5908</v>
      </c>
      <c r="J336" s="2682">
        <v>278</v>
      </c>
      <c r="L336" s="2682" t="s">
        <v>6244</v>
      </c>
    </row>
    <row r="337" spans="1:12">
      <c r="A337" s="2683" t="s">
        <v>146</v>
      </c>
      <c r="B337" s="2683" t="s">
        <v>6245</v>
      </c>
      <c r="C337" s="2683">
        <v>900</v>
      </c>
      <c r="D337" s="2683">
        <v>1280</v>
      </c>
      <c r="E337" s="2683">
        <v>190</v>
      </c>
      <c r="F337" s="2683" t="s">
        <v>5908</v>
      </c>
      <c r="G337" s="2683" t="s">
        <v>5908</v>
      </c>
      <c r="H337" s="2683" t="s">
        <v>5908</v>
      </c>
      <c r="I337" s="2683" t="s">
        <v>5908</v>
      </c>
      <c r="J337" s="2683">
        <v>703</v>
      </c>
      <c r="K337" s="2684"/>
      <c r="L337" s="2683" t="s">
        <v>6246</v>
      </c>
    </row>
    <row r="338" spans="1:12">
      <c r="A338" s="2682" t="s">
        <v>146</v>
      </c>
      <c r="B338" s="2682" t="s">
        <v>6247</v>
      </c>
      <c r="C338" s="2682">
        <v>220</v>
      </c>
      <c r="D338" s="2682">
        <v>400</v>
      </c>
      <c r="E338" s="2682">
        <v>73</v>
      </c>
      <c r="F338" s="2682" t="s">
        <v>5908</v>
      </c>
      <c r="G338" s="2682" t="s">
        <v>5908</v>
      </c>
      <c r="H338" s="2682" t="s">
        <v>5908</v>
      </c>
      <c r="I338" s="2682" t="s">
        <v>5908</v>
      </c>
      <c r="J338" s="2682">
        <v>35.4</v>
      </c>
      <c r="L338" s="2682" t="s">
        <v>5922</v>
      </c>
    </row>
    <row r="339" spans="1:12">
      <c r="A339" s="2683" t="s">
        <v>146</v>
      </c>
      <c r="B339" s="2683">
        <v>32204</v>
      </c>
      <c r="C339" s="2683">
        <v>20</v>
      </c>
      <c r="D339" s="2683">
        <v>47</v>
      </c>
      <c r="E339" s="2683">
        <v>19.25</v>
      </c>
      <c r="F339" s="2683" t="s">
        <v>5908</v>
      </c>
      <c r="G339" s="2683" t="s">
        <v>5908</v>
      </c>
      <c r="H339" s="2683" t="s">
        <v>5908</v>
      </c>
      <c r="I339" s="2683" t="s">
        <v>5908</v>
      </c>
      <c r="J339" s="2683">
        <v>0.151</v>
      </c>
      <c r="K339" s="2684"/>
      <c r="L339" s="2683">
        <v>7504</v>
      </c>
    </row>
    <row r="340" spans="1:12">
      <c r="A340" s="2682" t="s">
        <v>146</v>
      </c>
      <c r="B340" s="2682" t="s">
        <v>6248</v>
      </c>
      <c r="C340" s="2682">
        <v>80</v>
      </c>
      <c r="D340" s="2682">
        <v>140</v>
      </c>
      <c r="E340" s="2682">
        <v>38.5</v>
      </c>
      <c r="F340" s="2682" t="s">
        <v>5908</v>
      </c>
      <c r="G340" s="2682" t="s">
        <v>5908</v>
      </c>
      <c r="H340" s="2682" t="s">
        <v>5908</v>
      </c>
      <c r="I340" s="2682" t="s">
        <v>5908</v>
      </c>
      <c r="J340" s="2682">
        <v>2.1339999999999999</v>
      </c>
      <c r="L340" s="2682" t="s">
        <v>5922</v>
      </c>
    </row>
    <row r="341" spans="1:12">
      <c r="A341" s="2683" t="s">
        <v>146</v>
      </c>
      <c r="B341" s="2683">
        <v>32244</v>
      </c>
      <c r="C341" s="2683">
        <v>220</v>
      </c>
      <c r="D341" s="2683">
        <v>400</v>
      </c>
      <c r="E341" s="2683">
        <v>108</v>
      </c>
      <c r="F341" s="2683">
        <v>1190</v>
      </c>
      <c r="G341" s="2683">
        <v>1930</v>
      </c>
      <c r="H341" s="2683">
        <v>830</v>
      </c>
      <c r="I341" s="2683">
        <v>1100</v>
      </c>
      <c r="J341" s="2683">
        <v>56.8</v>
      </c>
      <c r="K341" s="2684"/>
      <c r="L341" s="2683" t="s">
        <v>6249</v>
      </c>
    </row>
    <row r="342" spans="1:12">
      <c r="A342" s="2682" t="s">
        <v>146</v>
      </c>
      <c r="B342" s="2682">
        <v>32248</v>
      </c>
      <c r="C342" s="2682">
        <v>240</v>
      </c>
      <c r="D342" s="2682">
        <v>440</v>
      </c>
      <c r="E342" s="2682">
        <v>120</v>
      </c>
      <c r="F342" s="2682">
        <v>1530</v>
      </c>
      <c r="G342" s="2682">
        <v>2480</v>
      </c>
      <c r="H342" s="2682">
        <v>740</v>
      </c>
      <c r="I342" s="2682">
        <v>980</v>
      </c>
      <c r="J342" s="2682">
        <v>76.400000000000006</v>
      </c>
      <c r="L342" s="2682" t="s">
        <v>6250</v>
      </c>
    </row>
    <row r="343" spans="1:12">
      <c r="A343" s="2683" t="s">
        <v>146</v>
      </c>
      <c r="B343" s="2683" t="s">
        <v>6251</v>
      </c>
      <c r="C343" s="2683">
        <v>32</v>
      </c>
      <c r="D343" s="2683">
        <v>75</v>
      </c>
      <c r="E343" s="2683">
        <v>29.75</v>
      </c>
      <c r="F343" s="2683" t="s">
        <v>5908</v>
      </c>
      <c r="G343" s="2683" t="s">
        <v>5908</v>
      </c>
      <c r="H343" s="2683" t="s">
        <v>5908</v>
      </c>
      <c r="I343" s="2683" t="s">
        <v>5908</v>
      </c>
      <c r="J343" s="2683">
        <v>0.628</v>
      </c>
      <c r="K343" s="2684"/>
      <c r="L343" s="2683" t="s">
        <v>5922</v>
      </c>
    </row>
    <row r="344" spans="1:12">
      <c r="A344" s="2682" t="s">
        <v>146</v>
      </c>
      <c r="B344" s="2682" t="s">
        <v>6252</v>
      </c>
      <c r="C344" s="2682">
        <v>40</v>
      </c>
      <c r="D344" s="2682">
        <v>90</v>
      </c>
      <c r="E344" s="2682">
        <v>35.25</v>
      </c>
      <c r="F344" s="2682" t="s">
        <v>5908</v>
      </c>
      <c r="G344" s="2682" t="s">
        <v>5908</v>
      </c>
      <c r="H344" s="2682" t="s">
        <v>5908</v>
      </c>
      <c r="I344" s="2682" t="s">
        <v>5908</v>
      </c>
      <c r="J344" s="2682">
        <v>1.06</v>
      </c>
      <c r="L344" s="2682" t="s">
        <v>5922</v>
      </c>
    </row>
    <row r="345" spans="1:12">
      <c r="A345" s="2683" t="s">
        <v>146</v>
      </c>
      <c r="B345" s="2683" t="s">
        <v>6253</v>
      </c>
      <c r="C345" s="2683">
        <v>55</v>
      </c>
      <c r="D345" s="2683">
        <v>120</v>
      </c>
      <c r="E345" s="2683">
        <v>45.5</v>
      </c>
      <c r="F345" s="2683" t="s">
        <v>5908</v>
      </c>
      <c r="G345" s="2683" t="s">
        <v>5908</v>
      </c>
      <c r="H345" s="2683" t="s">
        <v>5908</v>
      </c>
      <c r="I345" s="2683" t="s">
        <v>5908</v>
      </c>
      <c r="J345" s="2683">
        <v>2.355</v>
      </c>
      <c r="K345" s="2684"/>
      <c r="L345" s="2683" t="s">
        <v>6254</v>
      </c>
    </row>
    <row r="346" spans="1:12">
      <c r="A346" s="2682" t="s">
        <v>146</v>
      </c>
      <c r="B346" s="2682" t="s">
        <v>6255</v>
      </c>
      <c r="C346" s="2682">
        <v>60</v>
      </c>
      <c r="D346" s="2682">
        <v>130</v>
      </c>
      <c r="E346" s="2682">
        <v>46</v>
      </c>
      <c r="F346" s="2682" t="s">
        <v>5908</v>
      </c>
      <c r="G346" s="2682" t="s">
        <v>5908</v>
      </c>
      <c r="H346" s="2682" t="s">
        <v>5908</v>
      </c>
      <c r="I346" s="2682" t="s">
        <v>5908</v>
      </c>
      <c r="J346" s="2682">
        <v>2.972</v>
      </c>
      <c r="L346" s="2682" t="s">
        <v>5922</v>
      </c>
    </row>
    <row r="347" spans="1:12">
      <c r="A347" s="2683" t="s">
        <v>146</v>
      </c>
      <c r="B347" s="2683" t="s">
        <v>6256</v>
      </c>
      <c r="C347" s="2683">
        <v>65</v>
      </c>
      <c r="D347" s="2683">
        <v>140</v>
      </c>
      <c r="E347" s="2683">
        <v>51</v>
      </c>
      <c r="F347" s="2683" t="s">
        <v>5908</v>
      </c>
      <c r="G347" s="2683" t="s">
        <v>5908</v>
      </c>
      <c r="H347" s="2683" t="s">
        <v>5908</v>
      </c>
      <c r="I347" s="2683" t="s">
        <v>5908</v>
      </c>
      <c r="J347" s="2683">
        <v>3.75</v>
      </c>
      <c r="K347" s="2684"/>
      <c r="L347" s="2683" t="s">
        <v>5922</v>
      </c>
    </row>
    <row r="348" spans="1:12">
      <c r="A348" s="2682" t="s">
        <v>146</v>
      </c>
      <c r="B348" s="2682" t="s">
        <v>6257</v>
      </c>
      <c r="C348" s="2682">
        <v>70</v>
      </c>
      <c r="D348" s="2682">
        <v>150</v>
      </c>
      <c r="E348" s="2682">
        <v>54</v>
      </c>
      <c r="F348" s="2682" t="s">
        <v>5908</v>
      </c>
      <c r="G348" s="2682" t="s">
        <v>5908</v>
      </c>
      <c r="H348" s="2682" t="s">
        <v>5908</v>
      </c>
      <c r="I348" s="2682" t="s">
        <v>5908</v>
      </c>
      <c r="J348" s="2682">
        <v>4.54</v>
      </c>
      <c r="L348" s="2682" t="s">
        <v>5922</v>
      </c>
    </row>
    <row r="349" spans="1:12">
      <c r="A349" s="2683" t="s">
        <v>146</v>
      </c>
      <c r="B349" s="2683" t="s">
        <v>6258</v>
      </c>
      <c r="C349" s="2683">
        <v>75</v>
      </c>
      <c r="D349" s="2683">
        <v>160</v>
      </c>
      <c r="E349" s="2683">
        <v>58</v>
      </c>
      <c r="F349" s="2683" t="s">
        <v>5908</v>
      </c>
      <c r="G349" s="2683" t="s">
        <v>5908</v>
      </c>
      <c r="H349" s="2683" t="s">
        <v>5908</v>
      </c>
      <c r="I349" s="2683" t="s">
        <v>5908</v>
      </c>
      <c r="J349" s="2683">
        <v>5.4480000000000004</v>
      </c>
      <c r="K349" s="2684"/>
      <c r="L349" s="2683" t="s">
        <v>5922</v>
      </c>
    </row>
    <row r="350" spans="1:12">
      <c r="A350" s="2682" t="s">
        <v>146</v>
      </c>
      <c r="B350" s="2682">
        <v>32326</v>
      </c>
      <c r="C350" s="2682">
        <v>130</v>
      </c>
      <c r="D350" s="2682">
        <v>280</v>
      </c>
      <c r="E350" s="2682">
        <v>93</v>
      </c>
      <c r="F350" s="2682">
        <v>852</v>
      </c>
      <c r="G350" s="2682">
        <v>1160</v>
      </c>
      <c r="H350" s="2682">
        <v>1400</v>
      </c>
      <c r="I350" s="2682">
        <v>1800</v>
      </c>
      <c r="J350" s="2682">
        <v>26.5</v>
      </c>
      <c r="L350" s="2682" t="s">
        <v>6259</v>
      </c>
    </row>
    <row r="351" spans="1:12">
      <c r="A351" s="2683" t="s">
        <v>146</v>
      </c>
      <c r="B351" s="2683">
        <v>32330</v>
      </c>
      <c r="C351" s="2683">
        <v>150</v>
      </c>
      <c r="D351" s="2683">
        <v>320</v>
      </c>
      <c r="E351" s="2683">
        <v>114</v>
      </c>
      <c r="F351" s="2683" t="s">
        <v>5908</v>
      </c>
      <c r="G351" s="2683" t="s">
        <v>5908</v>
      </c>
      <c r="H351" s="2683" t="s">
        <v>5908</v>
      </c>
      <c r="I351" s="2683" t="s">
        <v>5908</v>
      </c>
      <c r="J351" s="2683">
        <v>37.1</v>
      </c>
      <c r="K351" s="2684"/>
      <c r="L351" s="2683">
        <v>7630</v>
      </c>
    </row>
    <row r="352" spans="1:12">
      <c r="A352" s="2682" t="s">
        <v>146</v>
      </c>
      <c r="B352" s="2682">
        <v>32334</v>
      </c>
      <c r="C352" s="2682">
        <v>170</v>
      </c>
      <c r="D352" s="2682">
        <v>360</v>
      </c>
      <c r="E352" s="2682">
        <v>120</v>
      </c>
      <c r="F352" s="2682">
        <v>1310</v>
      </c>
      <c r="G352" s="2682">
        <v>1830</v>
      </c>
      <c r="H352" s="2682">
        <v>1000</v>
      </c>
      <c r="I352" s="2682">
        <v>1300</v>
      </c>
      <c r="J352" s="2682">
        <v>56.9</v>
      </c>
      <c r="L352" s="2682" t="s">
        <v>6260</v>
      </c>
    </row>
    <row r="353" spans="1:12">
      <c r="A353" s="2683" t="s">
        <v>146</v>
      </c>
      <c r="B353" s="2683">
        <v>30607</v>
      </c>
      <c r="C353" s="2683">
        <v>35</v>
      </c>
      <c r="D353" s="2683">
        <v>65</v>
      </c>
      <c r="E353" s="2683">
        <v>18</v>
      </c>
      <c r="F353" s="2683" t="s">
        <v>5908</v>
      </c>
      <c r="G353" s="2683" t="s">
        <v>5908</v>
      </c>
      <c r="H353" s="2683" t="s">
        <v>5908</v>
      </c>
      <c r="I353" s="2683" t="s">
        <v>5908</v>
      </c>
      <c r="J353" s="2683">
        <v>0.23</v>
      </c>
      <c r="K353" s="2684"/>
      <c r="L353" s="2683" t="s">
        <v>5922</v>
      </c>
    </row>
    <row r="354" spans="1:12">
      <c r="A354" s="2682" t="s">
        <v>146</v>
      </c>
      <c r="B354" s="2682">
        <v>30610</v>
      </c>
      <c r="C354" s="2682">
        <v>50</v>
      </c>
      <c r="D354" s="2682">
        <v>82</v>
      </c>
      <c r="E354" s="2682">
        <v>21.5</v>
      </c>
      <c r="F354" s="2682" t="s">
        <v>5908</v>
      </c>
      <c r="G354" s="2682" t="s">
        <v>5908</v>
      </c>
      <c r="H354" s="2682" t="s">
        <v>5908</v>
      </c>
      <c r="I354" s="2682" t="s">
        <v>5908</v>
      </c>
      <c r="J354" s="2682">
        <v>0.33</v>
      </c>
      <c r="L354" s="2682">
        <v>7710</v>
      </c>
    </row>
    <row r="355" spans="1:12">
      <c r="A355" s="2683" t="s">
        <v>146</v>
      </c>
      <c r="B355" s="2683">
        <v>30612</v>
      </c>
      <c r="C355" s="2683">
        <v>60</v>
      </c>
      <c r="D355" s="2683">
        <v>120</v>
      </c>
      <c r="E355" s="2683">
        <v>46</v>
      </c>
      <c r="F355" s="2683" t="s">
        <v>5908</v>
      </c>
      <c r="G355" s="2683" t="s">
        <v>5908</v>
      </c>
      <c r="H355" s="2683" t="s">
        <v>5908</v>
      </c>
      <c r="I355" s="2683" t="s">
        <v>5908</v>
      </c>
      <c r="J355" s="2683">
        <v>2.2200000000000002</v>
      </c>
      <c r="K355" s="2684"/>
      <c r="L355" s="2683" t="s">
        <v>5922</v>
      </c>
    </row>
    <row r="356" spans="1:12">
      <c r="A356" s="2682" t="s">
        <v>146</v>
      </c>
      <c r="B356" s="2682">
        <v>30613</v>
      </c>
      <c r="C356" s="2682">
        <v>65</v>
      </c>
      <c r="D356" s="2682">
        <v>150</v>
      </c>
      <c r="E356" s="2682">
        <v>54</v>
      </c>
      <c r="F356" s="2682" t="s">
        <v>5908</v>
      </c>
      <c r="G356" s="2682" t="s">
        <v>5908</v>
      </c>
      <c r="H356" s="2682" t="s">
        <v>5908</v>
      </c>
      <c r="I356" s="2682" t="s">
        <v>5908</v>
      </c>
      <c r="J356" s="2682">
        <v>4.5</v>
      </c>
      <c r="L356" s="2682" t="s">
        <v>6261</v>
      </c>
    </row>
    <row r="357" spans="1:12">
      <c r="A357" s="2683" t="s">
        <v>146</v>
      </c>
      <c r="B357" s="2683" t="s">
        <v>6262</v>
      </c>
      <c r="C357" s="2683">
        <v>70</v>
      </c>
      <c r="D357" s="2683">
        <v>130</v>
      </c>
      <c r="E357" s="2683">
        <v>42</v>
      </c>
      <c r="F357" s="2683">
        <v>233</v>
      </c>
      <c r="G357" s="2683">
        <v>319</v>
      </c>
      <c r="H357" s="2683">
        <v>3000</v>
      </c>
      <c r="I357" s="2683">
        <v>4000</v>
      </c>
      <c r="J357" s="2683">
        <v>2.48</v>
      </c>
      <c r="K357" s="2684"/>
      <c r="L357" s="2683" t="s">
        <v>5922</v>
      </c>
    </row>
    <row r="358" spans="1:12">
      <c r="A358" s="2682" t="s">
        <v>146</v>
      </c>
      <c r="B358" s="2682">
        <v>30616</v>
      </c>
      <c r="C358" s="2682">
        <v>80</v>
      </c>
      <c r="D358" s="2682">
        <v>130</v>
      </c>
      <c r="E358" s="2682">
        <v>32</v>
      </c>
      <c r="F358" s="2682" t="s">
        <v>5908</v>
      </c>
      <c r="G358" s="2682" t="s">
        <v>5908</v>
      </c>
      <c r="H358" s="2682" t="s">
        <v>5908</v>
      </c>
      <c r="I358" s="2682" t="s">
        <v>5908</v>
      </c>
      <c r="J358" s="2682">
        <v>1.6</v>
      </c>
      <c r="L358" s="2682" t="s">
        <v>6263</v>
      </c>
    </row>
    <row r="359" spans="1:12">
      <c r="A359" s="2683" t="s">
        <v>146</v>
      </c>
      <c r="B359" s="2683" t="s">
        <v>6264</v>
      </c>
      <c r="C359" s="2683">
        <v>90</v>
      </c>
      <c r="D359" s="2683">
        <v>160</v>
      </c>
      <c r="E359" s="2683">
        <v>50</v>
      </c>
      <c r="F359" s="2683" t="s">
        <v>5908</v>
      </c>
      <c r="G359" s="2683" t="s">
        <v>5908</v>
      </c>
      <c r="H359" s="2683" t="s">
        <v>5908</v>
      </c>
      <c r="I359" s="2683" t="s">
        <v>5908</v>
      </c>
      <c r="J359" s="2683">
        <v>3.83</v>
      </c>
      <c r="K359" s="2684"/>
      <c r="L359" s="2683" t="s">
        <v>5922</v>
      </c>
    </row>
    <row r="360" spans="1:12">
      <c r="A360" s="2682" t="s">
        <v>146</v>
      </c>
      <c r="B360" s="2682" t="s">
        <v>6265</v>
      </c>
      <c r="C360" s="2682">
        <v>105</v>
      </c>
      <c r="D360" s="2682">
        <v>215</v>
      </c>
      <c r="E360" s="2682">
        <v>78</v>
      </c>
      <c r="F360" s="2682" t="s">
        <v>5908</v>
      </c>
      <c r="G360" s="2682" t="s">
        <v>5908</v>
      </c>
      <c r="H360" s="2682" t="s">
        <v>5908</v>
      </c>
      <c r="I360" s="2682" t="s">
        <v>5908</v>
      </c>
      <c r="J360" s="2682">
        <v>12.6</v>
      </c>
      <c r="L360" s="2682" t="s">
        <v>5922</v>
      </c>
    </row>
    <row r="361" spans="1:12">
      <c r="A361" s="2683" t="s">
        <v>146</v>
      </c>
      <c r="B361" s="2683">
        <v>30623</v>
      </c>
      <c r="C361" s="2683">
        <v>115</v>
      </c>
      <c r="D361" s="2683">
        <v>190</v>
      </c>
      <c r="E361" s="2683">
        <v>49</v>
      </c>
      <c r="F361" s="2683" t="s">
        <v>5908</v>
      </c>
      <c r="G361" s="2683" t="s">
        <v>5908</v>
      </c>
      <c r="H361" s="2683" t="s">
        <v>5908</v>
      </c>
      <c r="I361" s="2683" t="s">
        <v>5908</v>
      </c>
      <c r="J361" s="2683">
        <v>5.13</v>
      </c>
      <c r="K361" s="2684"/>
      <c r="L361" s="2683">
        <v>7723</v>
      </c>
    </row>
    <row r="362" spans="1:12">
      <c r="A362" s="2682" t="s">
        <v>146</v>
      </c>
      <c r="B362" s="2682">
        <v>30628</v>
      </c>
      <c r="C362" s="2682">
        <v>140</v>
      </c>
      <c r="D362" s="2682">
        <v>230</v>
      </c>
      <c r="E362" s="2682">
        <v>58</v>
      </c>
      <c r="F362" s="2682" t="s">
        <v>5908</v>
      </c>
      <c r="G362" s="2682" t="s">
        <v>5908</v>
      </c>
      <c r="H362" s="2682" t="s">
        <v>5908</v>
      </c>
      <c r="I362" s="2682" t="s">
        <v>5908</v>
      </c>
      <c r="J362" s="2682">
        <v>8.9700000000000006</v>
      </c>
      <c r="L362" s="2682" t="s">
        <v>6266</v>
      </c>
    </row>
    <row r="363" spans="1:12">
      <c r="A363" s="2683" t="s">
        <v>146</v>
      </c>
      <c r="B363" s="2683">
        <v>30636</v>
      </c>
      <c r="C363" s="2683">
        <v>180</v>
      </c>
      <c r="D363" s="2683">
        <v>290</v>
      </c>
      <c r="E363" s="2683">
        <v>65</v>
      </c>
      <c r="F363" s="2683" t="s">
        <v>5908</v>
      </c>
      <c r="G363" s="2683" t="s">
        <v>5908</v>
      </c>
      <c r="H363" s="2683" t="s">
        <v>5908</v>
      </c>
      <c r="I363" s="2683" t="s">
        <v>5908</v>
      </c>
      <c r="J363" s="2683">
        <v>15.6</v>
      </c>
      <c r="K363" s="2684"/>
      <c r="L363" s="2683" t="s">
        <v>5922</v>
      </c>
    </row>
    <row r="364" spans="1:12">
      <c r="A364" s="2682" t="s">
        <v>146</v>
      </c>
      <c r="B364" s="2682" t="s">
        <v>6267</v>
      </c>
      <c r="C364" s="2682">
        <v>330</v>
      </c>
      <c r="D364" s="2682">
        <v>482</v>
      </c>
      <c r="E364" s="2682">
        <v>87</v>
      </c>
      <c r="F364" s="2682" t="s">
        <v>5908</v>
      </c>
      <c r="G364" s="2682" t="s">
        <v>5908</v>
      </c>
      <c r="H364" s="2682" t="s">
        <v>5908</v>
      </c>
      <c r="I364" s="2682" t="s">
        <v>5908</v>
      </c>
      <c r="J364" s="2682">
        <v>37.200000000000003</v>
      </c>
      <c r="L364" s="2682" t="s">
        <v>5922</v>
      </c>
    </row>
    <row r="365" spans="1:12">
      <c r="A365" s="2683" t="s">
        <v>146</v>
      </c>
      <c r="B365" s="2683">
        <v>30672</v>
      </c>
      <c r="C365" s="2683">
        <v>360</v>
      </c>
      <c r="D365" s="2683">
        <v>530</v>
      </c>
      <c r="E365" s="2683">
        <v>80</v>
      </c>
      <c r="F365" s="2683" t="s">
        <v>5908</v>
      </c>
      <c r="G365" s="2683" t="s">
        <v>5908</v>
      </c>
      <c r="H365" s="2683" t="s">
        <v>5908</v>
      </c>
      <c r="I365" s="2683" t="s">
        <v>5908</v>
      </c>
      <c r="J365" s="2683">
        <v>52.6</v>
      </c>
      <c r="K365" s="2684"/>
      <c r="L365" s="2683">
        <v>7772</v>
      </c>
    </row>
    <row r="366" spans="1:12">
      <c r="A366" s="2682" t="s">
        <v>146</v>
      </c>
      <c r="B366" s="2682" t="s">
        <v>6268</v>
      </c>
      <c r="C366" s="2682">
        <v>520</v>
      </c>
      <c r="D366" s="2682">
        <v>740</v>
      </c>
      <c r="E366" s="2682">
        <v>95</v>
      </c>
      <c r="F366" s="2682" t="s">
        <v>5908</v>
      </c>
      <c r="G366" s="2682" t="s">
        <v>5908</v>
      </c>
      <c r="H366" s="2682" t="s">
        <v>5908</v>
      </c>
      <c r="I366" s="2682" t="s">
        <v>5908</v>
      </c>
      <c r="J366" s="2682">
        <v>118</v>
      </c>
      <c r="L366" s="2682" t="s">
        <v>6269</v>
      </c>
    </row>
    <row r="367" spans="1:12">
      <c r="A367" s="2683" t="s">
        <v>146</v>
      </c>
      <c r="B367" s="2683">
        <v>30604</v>
      </c>
      <c r="C367" s="2683">
        <v>19.05</v>
      </c>
      <c r="D367" s="2683">
        <v>45.25</v>
      </c>
      <c r="E367" s="2683">
        <v>15.13</v>
      </c>
      <c r="F367" s="2683" t="s">
        <v>5908</v>
      </c>
      <c r="G367" s="2683" t="s">
        <v>5908</v>
      </c>
      <c r="H367" s="2683" t="s">
        <v>5908</v>
      </c>
      <c r="I367" s="2683" t="s">
        <v>5908</v>
      </c>
      <c r="J367" s="2683">
        <v>0.124</v>
      </c>
      <c r="K367" s="2684"/>
      <c r="L367" s="2683" t="s">
        <v>5922</v>
      </c>
    </row>
    <row r="368" spans="1:12">
      <c r="A368" s="2682" t="s">
        <v>146</v>
      </c>
      <c r="B368" s="2682">
        <v>30605</v>
      </c>
      <c r="C368" s="2682">
        <v>26</v>
      </c>
      <c r="D368" s="2682">
        <v>57.15</v>
      </c>
      <c r="E368" s="2682">
        <v>17.46</v>
      </c>
      <c r="F368" s="2682" t="s">
        <v>5908</v>
      </c>
      <c r="G368" s="2682" t="s">
        <v>5908</v>
      </c>
      <c r="H368" s="2682" t="s">
        <v>5908</v>
      </c>
      <c r="I368" s="2682" t="s">
        <v>5908</v>
      </c>
      <c r="J368" s="2682">
        <v>0.222</v>
      </c>
      <c r="L368" s="2682" t="s">
        <v>5922</v>
      </c>
    </row>
    <row r="369" spans="1:12">
      <c r="A369" s="2683" t="s">
        <v>146</v>
      </c>
      <c r="B369" s="2683" t="s">
        <v>6270</v>
      </c>
      <c r="C369" s="2683">
        <v>40</v>
      </c>
      <c r="D369" s="2683">
        <v>80</v>
      </c>
      <c r="E369" s="2683">
        <v>21.5</v>
      </c>
      <c r="F369" s="2683" t="s">
        <v>5908</v>
      </c>
      <c r="G369" s="2683" t="s">
        <v>5908</v>
      </c>
      <c r="H369" s="2683" t="s">
        <v>5908</v>
      </c>
      <c r="I369" s="2683" t="s">
        <v>5908</v>
      </c>
      <c r="J369" s="2683">
        <v>0.45</v>
      </c>
      <c r="K369" s="2684"/>
      <c r="L369" s="2683">
        <v>7208</v>
      </c>
    </row>
    <row r="370" spans="1:12">
      <c r="A370" s="2682" t="s">
        <v>146</v>
      </c>
      <c r="B370" s="2682" t="s">
        <v>6271</v>
      </c>
      <c r="C370" s="2682">
        <v>45</v>
      </c>
      <c r="D370" s="2682">
        <v>90</v>
      </c>
      <c r="E370" s="2682">
        <v>38.5</v>
      </c>
      <c r="F370" s="2682" t="s">
        <v>5908</v>
      </c>
      <c r="G370" s="2682" t="s">
        <v>5908</v>
      </c>
      <c r="H370" s="2682" t="s">
        <v>5908</v>
      </c>
      <c r="I370" s="2682" t="s">
        <v>5908</v>
      </c>
      <c r="J370" s="2682">
        <v>0.84599999999999997</v>
      </c>
      <c r="L370" s="2682" t="s">
        <v>5922</v>
      </c>
    </row>
    <row r="371" spans="1:12">
      <c r="A371" s="2683" t="s">
        <v>146</v>
      </c>
      <c r="B371" s="2683" t="s">
        <v>6272</v>
      </c>
      <c r="C371" s="2683">
        <v>65</v>
      </c>
      <c r="D371" s="2683">
        <v>110</v>
      </c>
      <c r="E371" s="2683">
        <v>30.5</v>
      </c>
      <c r="F371" s="2683" t="s">
        <v>5908</v>
      </c>
      <c r="G371" s="2683" t="s">
        <v>5908</v>
      </c>
      <c r="H371" s="2683" t="s">
        <v>5908</v>
      </c>
      <c r="I371" s="2683" t="s">
        <v>5908</v>
      </c>
      <c r="J371" s="2683">
        <v>1.1000000000000001</v>
      </c>
      <c r="K371" s="2684"/>
      <c r="L371" s="2683">
        <v>7813</v>
      </c>
    </row>
    <row r="372" spans="1:12">
      <c r="A372" s="2682" t="s">
        <v>146</v>
      </c>
      <c r="B372" s="2682" t="s">
        <v>6273</v>
      </c>
      <c r="C372" s="2682">
        <v>70</v>
      </c>
      <c r="D372" s="2682">
        <v>117</v>
      </c>
      <c r="E372" s="2682">
        <v>33</v>
      </c>
      <c r="F372" s="2682" t="s">
        <v>5908</v>
      </c>
      <c r="G372" s="2682" t="s">
        <v>5908</v>
      </c>
      <c r="H372" s="2682" t="s">
        <v>5908</v>
      </c>
      <c r="I372" s="2682" t="s">
        <v>5908</v>
      </c>
      <c r="J372" s="2682">
        <v>1.33</v>
      </c>
      <c r="L372" s="2682" t="s">
        <v>6274</v>
      </c>
    </row>
    <row r="373" spans="1:12">
      <c r="A373" s="2683" t="s">
        <v>146</v>
      </c>
      <c r="B373" s="2683">
        <v>30615</v>
      </c>
      <c r="C373" s="2683">
        <v>75</v>
      </c>
      <c r="D373" s="2683">
        <v>135</v>
      </c>
      <c r="E373" s="2683">
        <v>44.5</v>
      </c>
      <c r="F373" s="2683" t="s">
        <v>5908</v>
      </c>
      <c r="G373" s="2683" t="s">
        <v>5908</v>
      </c>
      <c r="H373" s="2683" t="s">
        <v>5908</v>
      </c>
      <c r="I373" s="2683" t="s">
        <v>5908</v>
      </c>
      <c r="J373" s="2683">
        <v>2.57</v>
      </c>
      <c r="K373" s="2684"/>
      <c r="L373" s="2683" t="s">
        <v>6275</v>
      </c>
    </row>
    <row r="374" spans="1:12">
      <c r="A374" s="2682" t="s">
        <v>146</v>
      </c>
      <c r="B374" s="2682" t="s">
        <v>6276</v>
      </c>
      <c r="C374" s="2682">
        <v>75</v>
      </c>
      <c r="D374" s="2682">
        <v>135</v>
      </c>
      <c r="E374" s="2682">
        <v>45</v>
      </c>
      <c r="F374" s="2682" t="s">
        <v>5908</v>
      </c>
      <c r="G374" s="2682" t="s">
        <v>5908</v>
      </c>
      <c r="H374" s="2682" t="s">
        <v>5908</v>
      </c>
      <c r="I374" s="2682" t="s">
        <v>5908</v>
      </c>
      <c r="J374" s="2682">
        <v>2.6</v>
      </c>
      <c r="L374" s="2682" t="s">
        <v>5922</v>
      </c>
    </row>
    <row r="375" spans="1:12">
      <c r="A375" s="2683" t="s">
        <v>146</v>
      </c>
      <c r="B375" s="2683" t="s">
        <v>6277</v>
      </c>
      <c r="C375" s="2683">
        <v>80</v>
      </c>
      <c r="D375" s="2683">
        <v>140</v>
      </c>
      <c r="E375" s="2683">
        <v>45</v>
      </c>
      <c r="F375" s="2683" t="s">
        <v>5908</v>
      </c>
      <c r="G375" s="2683" t="s">
        <v>5908</v>
      </c>
      <c r="H375" s="2683" t="s">
        <v>5908</v>
      </c>
      <c r="I375" s="2683" t="s">
        <v>5908</v>
      </c>
      <c r="J375" s="2683">
        <v>2.74</v>
      </c>
      <c r="K375" s="2684"/>
      <c r="L375" s="2683" t="s">
        <v>6263</v>
      </c>
    </row>
    <row r="376" spans="1:12">
      <c r="A376" s="2682" t="s">
        <v>146</v>
      </c>
      <c r="B376" s="2682">
        <v>30617</v>
      </c>
      <c r="C376" s="2682">
        <v>85</v>
      </c>
      <c r="D376" s="2682">
        <v>157</v>
      </c>
      <c r="E376" s="2682">
        <v>47.65</v>
      </c>
      <c r="F376" s="2682" t="s">
        <v>5908</v>
      </c>
      <c r="G376" s="2682" t="s">
        <v>5908</v>
      </c>
      <c r="H376" s="2682" t="s">
        <v>5908</v>
      </c>
      <c r="I376" s="2682" t="s">
        <v>5908</v>
      </c>
      <c r="J376" s="2682">
        <v>3.95</v>
      </c>
      <c r="L376" s="2682" t="s">
        <v>6278</v>
      </c>
    </row>
    <row r="377" spans="1:12">
      <c r="A377" s="2683" t="s">
        <v>146</v>
      </c>
      <c r="B377" s="2683">
        <v>30618</v>
      </c>
      <c r="C377" s="2683">
        <v>90</v>
      </c>
      <c r="D377" s="2683">
        <v>170</v>
      </c>
      <c r="E377" s="2683">
        <v>62</v>
      </c>
      <c r="F377" s="2683" t="s">
        <v>5908</v>
      </c>
      <c r="G377" s="2683" t="s">
        <v>5908</v>
      </c>
      <c r="H377" s="2683" t="s">
        <v>5908</v>
      </c>
      <c r="I377" s="2683" t="s">
        <v>5908</v>
      </c>
      <c r="J377" s="2683">
        <v>6.07</v>
      </c>
      <c r="K377" s="2684"/>
      <c r="L377" s="2683">
        <v>7818</v>
      </c>
    </row>
    <row r="378" spans="1:12">
      <c r="A378" s="2682" t="s">
        <v>146</v>
      </c>
      <c r="B378" s="2682" t="s">
        <v>6279</v>
      </c>
      <c r="C378" s="2682">
        <v>140</v>
      </c>
      <c r="D378" s="2682">
        <v>300</v>
      </c>
      <c r="E378" s="2682">
        <v>90</v>
      </c>
      <c r="F378" s="2682" t="s">
        <v>5908</v>
      </c>
      <c r="G378" s="2682" t="s">
        <v>5908</v>
      </c>
      <c r="H378" s="2682" t="s">
        <v>5908</v>
      </c>
      <c r="I378" s="2682" t="s">
        <v>5908</v>
      </c>
      <c r="J378" s="2682">
        <v>6.07</v>
      </c>
      <c r="L378" s="2682">
        <v>7828</v>
      </c>
    </row>
    <row r="379" spans="1:12">
      <c r="A379" s="2683" t="s">
        <v>146</v>
      </c>
      <c r="B379" s="2683">
        <v>30632</v>
      </c>
      <c r="C379" s="2683">
        <v>205</v>
      </c>
      <c r="D379" s="2683">
        <v>485</v>
      </c>
      <c r="E379" s="2683">
        <v>117.5</v>
      </c>
      <c r="F379" s="2683" t="s">
        <v>5908</v>
      </c>
      <c r="G379" s="2683" t="s">
        <v>5908</v>
      </c>
      <c r="H379" s="2683" t="s">
        <v>5908</v>
      </c>
      <c r="I379" s="2683" t="s">
        <v>5908</v>
      </c>
      <c r="J379" s="2683">
        <v>90.8</v>
      </c>
      <c r="K379" s="2684"/>
      <c r="L379" s="2683">
        <v>7832</v>
      </c>
    </row>
    <row r="380" spans="1:12">
      <c r="A380" s="2682" t="s">
        <v>146</v>
      </c>
      <c r="B380" s="2682">
        <v>30641</v>
      </c>
      <c r="C380" s="2682">
        <v>205</v>
      </c>
      <c r="D380" s="2682">
        <v>485</v>
      </c>
      <c r="E380" s="2682">
        <v>117.5</v>
      </c>
      <c r="F380" s="2682" t="s">
        <v>5908</v>
      </c>
      <c r="G380" s="2682" t="s">
        <v>5908</v>
      </c>
      <c r="H380" s="2682" t="s">
        <v>5908</v>
      </c>
      <c r="I380" s="2682" t="s">
        <v>5908</v>
      </c>
      <c r="J380" s="2682">
        <v>90.8</v>
      </c>
      <c r="L380" s="2682">
        <v>7841</v>
      </c>
    </row>
    <row r="381" spans="1:12">
      <c r="A381" s="2683" t="s">
        <v>146</v>
      </c>
      <c r="B381" s="2683">
        <v>30651</v>
      </c>
      <c r="C381" s="2683">
        <v>255</v>
      </c>
      <c r="D381" s="2683">
        <v>560</v>
      </c>
      <c r="E381" s="2683">
        <v>123.8</v>
      </c>
      <c r="F381" s="2683" t="s">
        <v>5908</v>
      </c>
      <c r="G381" s="2683" t="s">
        <v>5908</v>
      </c>
      <c r="H381" s="2683" t="s">
        <v>5908</v>
      </c>
      <c r="I381" s="2683" t="s">
        <v>5908</v>
      </c>
      <c r="J381" s="2683">
        <v>129</v>
      </c>
      <c r="K381" s="2684"/>
      <c r="L381" s="2683">
        <v>7851</v>
      </c>
    </row>
    <row r="382" spans="1:12">
      <c r="A382" s="2682" t="s">
        <v>146</v>
      </c>
      <c r="B382" s="2682" t="s">
        <v>6280</v>
      </c>
      <c r="C382" s="2682">
        <v>290</v>
      </c>
      <c r="D382" s="2682">
        <v>410</v>
      </c>
      <c r="E382" s="2682">
        <v>76.5</v>
      </c>
      <c r="F382" s="2682" t="s">
        <v>5908</v>
      </c>
      <c r="G382" s="2682" t="s">
        <v>5908</v>
      </c>
      <c r="H382" s="2682" t="s">
        <v>5908</v>
      </c>
      <c r="I382" s="2682" t="s">
        <v>5908</v>
      </c>
      <c r="J382" s="2682">
        <v>29.8</v>
      </c>
      <c r="L382" s="2682" t="s">
        <v>5922</v>
      </c>
    </row>
    <row r="383" spans="1:12">
      <c r="A383" s="2683" t="s">
        <v>146</v>
      </c>
      <c r="B383" s="2683">
        <v>30660</v>
      </c>
      <c r="C383" s="2683">
        <v>300</v>
      </c>
      <c r="D383" s="2683">
        <v>440</v>
      </c>
      <c r="E383" s="2683">
        <v>73</v>
      </c>
      <c r="F383" s="2683" t="s">
        <v>5908</v>
      </c>
      <c r="G383" s="2683" t="s">
        <v>5908</v>
      </c>
      <c r="H383" s="2683" t="s">
        <v>5908</v>
      </c>
      <c r="I383" s="2683" t="s">
        <v>5908</v>
      </c>
      <c r="J383" s="2683">
        <v>30.7</v>
      </c>
      <c r="K383" s="2684"/>
      <c r="L383" s="2683">
        <v>7860</v>
      </c>
    </row>
    <row r="384" spans="1:12">
      <c r="A384" s="2682" t="s">
        <v>146</v>
      </c>
      <c r="B384" s="2682" t="s">
        <v>6281</v>
      </c>
      <c r="C384" s="2682">
        <v>400</v>
      </c>
      <c r="D384" s="2682">
        <v>500</v>
      </c>
      <c r="E384" s="2682">
        <v>60</v>
      </c>
      <c r="F384" s="2682" t="s">
        <v>5908</v>
      </c>
      <c r="G384" s="2682" t="s">
        <v>5908</v>
      </c>
      <c r="H384" s="2682" t="s">
        <v>5908</v>
      </c>
      <c r="I384" s="2682" t="s">
        <v>5908</v>
      </c>
      <c r="J384" s="2682">
        <v>30.7</v>
      </c>
      <c r="L384" s="2682">
        <v>7880</v>
      </c>
    </row>
    <row r="385" spans="1:12">
      <c r="A385" s="2683" t="s">
        <v>146</v>
      </c>
      <c r="B385" s="2683" t="s">
        <v>6282</v>
      </c>
      <c r="C385" s="2683">
        <v>760</v>
      </c>
      <c r="D385" s="2683">
        <v>890</v>
      </c>
      <c r="E385" s="2683">
        <v>75</v>
      </c>
      <c r="F385" s="2683" t="s">
        <v>5908</v>
      </c>
      <c r="G385" s="2683" t="s">
        <v>5908</v>
      </c>
      <c r="H385" s="2683" t="s">
        <v>5908</v>
      </c>
      <c r="I385" s="2683" t="s">
        <v>5908</v>
      </c>
      <c r="J385" s="2683">
        <v>30.7</v>
      </c>
      <c r="K385" s="2684"/>
      <c r="L385" s="2683" t="s">
        <v>6283</v>
      </c>
    </row>
    <row r="386" spans="1:12">
      <c r="A386" s="2682" t="s">
        <v>146</v>
      </c>
      <c r="B386" s="2682" t="s">
        <v>6284</v>
      </c>
      <c r="C386" s="2682">
        <v>47</v>
      </c>
      <c r="D386" s="2682">
        <v>100</v>
      </c>
      <c r="E386" s="2682">
        <v>43</v>
      </c>
      <c r="F386" s="2682" t="s">
        <v>5908</v>
      </c>
      <c r="G386" s="2682" t="s">
        <v>5908</v>
      </c>
      <c r="H386" s="2682" t="s">
        <v>5908</v>
      </c>
      <c r="I386" s="2682" t="s">
        <v>5908</v>
      </c>
      <c r="J386" s="2682">
        <v>1.66</v>
      </c>
      <c r="L386" s="2682">
        <v>7909</v>
      </c>
    </row>
    <row r="387" spans="1:12">
      <c r="A387" s="2683" t="s">
        <v>146</v>
      </c>
      <c r="B387" s="2683" t="s">
        <v>6285</v>
      </c>
      <c r="C387" s="2683">
        <v>48</v>
      </c>
      <c r="D387" s="2683">
        <v>112</v>
      </c>
      <c r="E387" s="2683">
        <v>29.5</v>
      </c>
      <c r="F387" s="2683" t="s">
        <v>5908</v>
      </c>
      <c r="G387" s="2683" t="s">
        <v>5908</v>
      </c>
      <c r="H387" s="2683" t="s">
        <v>5908</v>
      </c>
      <c r="I387" s="2683" t="s">
        <v>5908</v>
      </c>
      <c r="J387" s="2683">
        <v>1.66</v>
      </c>
      <c r="K387" s="2684"/>
      <c r="L387" s="2683" t="s">
        <v>5922</v>
      </c>
    </row>
    <row r="388" spans="1:12">
      <c r="A388" s="2682" t="s">
        <v>146</v>
      </c>
      <c r="B388" s="2682" t="s">
        <v>6286</v>
      </c>
      <c r="C388" s="2682">
        <v>57.15</v>
      </c>
      <c r="D388" s="2682">
        <v>104.77500000000001</v>
      </c>
      <c r="E388" s="2682">
        <v>30.161999999999999</v>
      </c>
      <c r="F388" s="2682" t="s">
        <v>5908</v>
      </c>
      <c r="G388" s="2682" t="s">
        <v>5908</v>
      </c>
      <c r="H388" s="2682" t="s">
        <v>5908</v>
      </c>
      <c r="I388" s="2682" t="s">
        <v>5908</v>
      </c>
      <c r="J388" s="2682">
        <v>1.03</v>
      </c>
      <c r="L388" s="2682">
        <v>7911</v>
      </c>
    </row>
    <row r="389" spans="1:12">
      <c r="A389" s="2683" t="s">
        <v>146</v>
      </c>
      <c r="B389" s="2683" t="s">
        <v>6287</v>
      </c>
      <c r="C389" s="2683">
        <v>66.674999999999997</v>
      </c>
      <c r="D389" s="2683">
        <v>112.71299999999999</v>
      </c>
      <c r="E389" s="2683">
        <v>30.163</v>
      </c>
      <c r="F389" s="2683" t="s">
        <v>5908</v>
      </c>
      <c r="G389" s="2683" t="s">
        <v>5908</v>
      </c>
      <c r="H389" s="2683" t="s">
        <v>5908</v>
      </c>
      <c r="I389" s="2683" t="s">
        <v>5908</v>
      </c>
      <c r="J389" s="2683">
        <v>1.143</v>
      </c>
      <c r="K389" s="2684"/>
      <c r="L389" s="2683" t="s">
        <v>5922</v>
      </c>
    </row>
    <row r="390" spans="1:12">
      <c r="A390" s="2682" t="s">
        <v>146</v>
      </c>
      <c r="B390" s="2682" t="s">
        <v>6288</v>
      </c>
      <c r="C390" s="2682">
        <v>107.95</v>
      </c>
      <c r="D390" s="2682">
        <v>168.27500000000001</v>
      </c>
      <c r="E390" s="2682">
        <v>36.572000000000003</v>
      </c>
      <c r="F390" s="2682" t="s">
        <v>5908</v>
      </c>
      <c r="G390" s="2682" t="s">
        <v>5908</v>
      </c>
      <c r="H390" s="2682" t="s">
        <v>5908</v>
      </c>
      <c r="I390" s="2682" t="s">
        <v>5908</v>
      </c>
      <c r="J390" s="2682">
        <v>3.26</v>
      </c>
      <c r="L390" s="2682" t="s">
        <v>5922</v>
      </c>
    </row>
    <row r="391" spans="1:12">
      <c r="A391" s="2683" t="s">
        <v>146</v>
      </c>
      <c r="B391" s="2683" t="s">
        <v>6289</v>
      </c>
      <c r="C391" s="2683">
        <v>127</v>
      </c>
      <c r="D391" s="2683">
        <v>182.56200000000001</v>
      </c>
      <c r="E391" s="2683">
        <v>39.688000000000002</v>
      </c>
      <c r="F391" s="2683" t="s">
        <v>5908</v>
      </c>
      <c r="G391" s="2683" t="s">
        <v>5908</v>
      </c>
      <c r="H391" s="2683" t="s">
        <v>5908</v>
      </c>
      <c r="I391" s="2683" t="s">
        <v>5908</v>
      </c>
      <c r="J391" s="2683">
        <v>3.31</v>
      </c>
      <c r="K391" s="2684"/>
      <c r="L391" s="2683" t="s">
        <v>6290</v>
      </c>
    </row>
    <row r="392" spans="1:12">
      <c r="A392" s="2682" t="s">
        <v>146</v>
      </c>
      <c r="B392" s="2682" t="s">
        <v>6291</v>
      </c>
      <c r="C392" s="2682">
        <v>136.52500000000001</v>
      </c>
      <c r="D392" s="2682">
        <v>190.5</v>
      </c>
      <c r="E392" s="2682">
        <v>39.688000000000002</v>
      </c>
      <c r="F392" s="2682" t="s">
        <v>5908</v>
      </c>
      <c r="G392" s="2682" t="s">
        <v>5908</v>
      </c>
      <c r="H392" s="2682" t="s">
        <v>5908</v>
      </c>
      <c r="I392" s="2682" t="s">
        <v>5908</v>
      </c>
      <c r="J392" s="2682">
        <v>3.43</v>
      </c>
      <c r="L392" s="2682" t="s">
        <v>6292</v>
      </c>
    </row>
    <row r="393" spans="1:12">
      <c r="A393" s="2683" t="s">
        <v>146</v>
      </c>
      <c r="B393" s="2683" t="s">
        <v>6293</v>
      </c>
      <c r="C393" s="2683">
        <v>254</v>
      </c>
      <c r="D393" s="2683">
        <v>422.27499999999998</v>
      </c>
      <c r="E393" s="2683">
        <v>86.1</v>
      </c>
      <c r="F393" s="2683" t="s">
        <v>5908</v>
      </c>
      <c r="G393" s="2683" t="s">
        <v>5908</v>
      </c>
      <c r="H393" s="2683" t="s">
        <v>5908</v>
      </c>
      <c r="I393" s="2683" t="s">
        <v>5908</v>
      </c>
      <c r="J393" s="2683">
        <v>3.43</v>
      </c>
      <c r="K393" s="2684"/>
      <c r="L393" s="2683" t="s">
        <v>5922</v>
      </c>
    </row>
    <row r="394" spans="1:12">
      <c r="A394" s="2682" t="s">
        <v>146</v>
      </c>
      <c r="B394" s="2682">
        <v>31303</v>
      </c>
      <c r="C394" s="2682">
        <v>17</v>
      </c>
      <c r="D394" s="2682">
        <v>47</v>
      </c>
      <c r="E394" s="2682">
        <v>15.5</v>
      </c>
      <c r="F394" s="2682" t="s">
        <v>5908</v>
      </c>
      <c r="G394" s="2682" t="s">
        <v>5908</v>
      </c>
      <c r="H394" s="2682" t="s">
        <v>5908</v>
      </c>
      <c r="I394" s="2682" t="s">
        <v>5908</v>
      </c>
      <c r="J394" s="2682">
        <v>0.13</v>
      </c>
      <c r="L394" s="2682" t="s">
        <v>6294</v>
      </c>
    </row>
    <row r="395" spans="1:12">
      <c r="A395" s="2683" t="s">
        <v>146</v>
      </c>
      <c r="B395" s="2683">
        <v>31304</v>
      </c>
      <c r="C395" s="2683">
        <v>20</v>
      </c>
      <c r="D395" s="2683">
        <v>52</v>
      </c>
      <c r="E395" s="2683">
        <v>16.5</v>
      </c>
      <c r="F395" s="2683" t="s">
        <v>5908</v>
      </c>
      <c r="G395" s="2683" t="s">
        <v>5908</v>
      </c>
      <c r="H395" s="2683" t="s">
        <v>5908</v>
      </c>
      <c r="I395" s="2683" t="s">
        <v>5908</v>
      </c>
      <c r="J395" s="2683">
        <v>0.17</v>
      </c>
      <c r="K395" s="2684"/>
      <c r="L395" s="2683" t="s">
        <v>5922</v>
      </c>
    </row>
    <row r="396" spans="1:12">
      <c r="A396" s="2682" t="s">
        <v>146</v>
      </c>
      <c r="B396" s="2682">
        <v>313010</v>
      </c>
      <c r="C396" s="2682">
        <v>50</v>
      </c>
      <c r="D396" s="2682">
        <v>110</v>
      </c>
      <c r="E396" s="2682">
        <v>29.5</v>
      </c>
      <c r="F396" s="2682" t="s">
        <v>5908</v>
      </c>
      <c r="G396" s="2682" t="s">
        <v>5908</v>
      </c>
      <c r="H396" s="2682" t="s">
        <v>5908</v>
      </c>
      <c r="I396" s="2682" t="s">
        <v>5908</v>
      </c>
      <c r="J396" s="2682">
        <v>1.23</v>
      </c>
      <c r="L396" s="2682" t="s">
        <v>5922</v>
      </c>
    </row>
    <row r="397" spans="1:12">
      <c r="A397" s="2683" t="s">
        <v>146</v>
      </c>
      <c r="B397" s="2683">
        <v>31332</v>
      </c>
      <c r="C397" s="2683">
        <v>160</v>
      </c>
      <c r="D397" s="2683">
        <v>340</v>
      </c>
      <c r="E397" s="2683">
        <v>88</v>
      </c>
      <c r="F397" s="2683" t="s">
        <v>5908</v>
      </c>
      <c r="G397" s="2683" t="s">
        <v>5908</v>
      </c>
      <c r="H397" s="2683" t="s">
        <v>5908</v>
      </c>
      <c r="I397" s="2683" t="s">
        <v>5908</v>
      </c>
      <c r="J397" s="2683">
        <v>29.9</v>
      </c>
      <c r="K397" s="2684"/>
      <c r="L397" s="2683" t="s">
        <v>6295</v>
      </c>
    </row>
    <row r="398" spans="1:12">
      <c r="A398" s="2682" t="s">
        <v>146</v>
      </c>
      <c r="B398" s="2682" t="s">
        <v>6296</v>
      </c>
      <c r="C398" s="2682">
        <v>30</v>
      </c>
      <c r="D398" s="2682">
        <v>72</v>
      </c>
      <c r="E398" s="2682">
        <v>24.5</v>
      </c>
      <c r="F398" s="2682" t="s">
        <v>5908</v>
      </c>
      <c r="G398" s="2682" t="s">
        <v>5908</v>
      </c>
      <c r="H398" s="2682" t="s">
        <v>5908</v>
      </c>
      <c r="I398" s="2682" t="s">
        <v>5908</v>
      </c>
      <c r="J398" s="2682">
        <v>0.47199999999999998</v>
      </c>
      <c r="L398" s="2682" t="s">
        <v>5922</v>
      </c>
    </row>
    <row r="399" spans="1:12">
      <c r="A399" s="2683" t="s">
        <v>146</v>
      </c>
      <c r="B399" s="2683" t="s">
        <v>6297</v>
      </c>
      <c r="C399" s="2683">
        <v>45</v>
      </c>
      <c r="D399" s="2683">
        <v>100</v>
      </c>
      <c r="E399" s="2683">
        <v>32</v>
      </c>
      <c r="F399" s="2683" t="s">
        <v>5908</v>
      </c>
      <c r="G399" s="2683" t="s">
        <v>5908</v>
      </c>
      <c r="H399" s="2683" t="s">
        <v>5908</v>
      </c>
      <c r="I399" s="2683" t="s">
        <v>5908</v>
      </c>
      <c r="J399" s="2683">
        <v>1.04</v>
      </c>
      <c r="K399" s="2684"/>
      <c r="L399" s="2683" t="s">
        <v>6298</v>
      </c>
    </row>
    <row r="400" spans="1:12">
      <c r="A400" s="2682" t="s">
        <v>146</v>
      </c>
      <c r="B400" s="2682" t="s">
        <v>6299</v>
      </c>
      <c r="C400" s="2682">
        <v>55</v>
      </c>
      <c r="D400" s="2682">
        <v>125</v>
      </c>
      <c r="E400" s="2682">
        <v>37</v>
      </c>
      <c r="F400" s="2682" t="s">
        <v>5908</v>
      </c>
      <c r="G400" s="2682" t="s">
        <v>5908</v>
      </c>
      <c r="H400" s="2682" t="s">
        <v>5908</v>
      </c>
      <c r="I400" s="2682" t="s">
        <v>5908</v>
      </c>
      <c r="J400" s="2682">
        <v>2.1</v>
      </c>
      <c r="L400" s="2682" t="s">
        <v>6300</v>
      </c>
    </row>
    <row r="401" spans="1:12">
      <c r="A401" s="2683" t="s">
        <v>146</v>
      </c>
      <c r="B401" s="2683" t="s">
        <v>6301</v>
      </c>
      <c r="C401" s="2683">
        <v>100</v>
      </c>
      <c r="D401" s="2683">
        <v>190</v>
      </c>
      <c r="E401" s="2683">
        <v>125</v>
      </c>
      <c r="F401" s="2683" t="s">
        <v>5908</v>
      </c>
      <c r="G401" s="2683" t="s">
        <v>5908</v>
      </c>
      <c r="H401" s="2683" t="s">
        <v>5908</v>
      </c>
      <c r="I401" s="2683" t="s">
        <v>5908</v>
      </c>
      <c r="J401" s="2683">
        <v>15</v>
      </c>
      <c r="K401" s="2684"/>
      <c r="L401" s="2683">
        <v>37720</v>
      </c>
    </row>
    <row r="402" spans="1:12">
      <c r="A402" s="2682" t="s">
        <v>146</v>
      </c>
      <c r="B402" s="2682" t="s">
        <v>6302</v>
      </c>
      <c r="C402" s="2682">
        <v>130</v>
      </c>
      <c r="D402" s="2682">
        <v>235</v>
      </c>
      <c r="E402" s="2682">
        <v>145</v>
      </c>
      <c r="F402" s="2682" t="s">
        <v>5908</v>
      </c>
      <c r="G402" s="2682" t="s">
        <v>5908</v>
      </c>
      <c r="H402" s="2682" t="s">
        <v>5908</v>
      </c>
      <c r="I402" s="2682" t="s">
        <v>5908</v>
      </c>
      <c r="J402" s="2682">
        <v>24.7</v>
      </c>
      <c r="L402" s="2682" t="s">
        <v>5922</v>
      </c>
    </row>
    <row r="403" spans="1:12">
      <c r="A403" s="2683" t="s">
        <v>146</v>
      </c>
      <c r="B403" s="2683" t="s">
        <v>6303</v>
      </c>
      <c r="C403" s="2683">
        <v>160</v>
      </c>
      <c r="D403" s="2683">
        <v>270</v>
      </c>
      <c r="E403" s="2683">
        <v>140</v>
      </c>
      <c r="F403" s="2683" t="s">
        <v>5908</v>
      </c>
      <c r="G403" s="2683" t="s">
        <v>5908</v>
      </c>
      <c r="H403" s="2683" t="s">
        <v>5908</v>
      </c>
      <c r="I403" s="2683" t="s">
        <v>5908</v>
      </c>
      <c r="J403" s="2683">
        <v>26.7</v>
      </c>
      <c r="K403" s="2684"/>
      <c r="L403" s="2683" t="s">
        <v>5922</v>
      </c>
    </row>
    <row r="404" spans="1:12">
      <c r="A404" s="2682" t="s">
        <v>146</v>
      </c>
      <c r="B404" s="2682" t="s">
        <v>6304</v>
      </c>
      <c r="C404" s="2682">
        <v>180</v>
      </c>
      <c r="D404" s="2682">
        <v>285</v>
      </c>
      <c r="E404" s="2682">
        <v>108</v>
      </c>
      <c r="F404" s="2682" t="s">
        <v>5908</v>
      </c>
      <c r="G404" s="2682" t="s">
        <v>5908</v>
      </c>
      <c r="H404" s="2682" t="s">
        <v>5908</v>
      </c>
      <c r="I404" s="2682" t="s">
        <v>5908</v>
      </c>
      <c r="J404" s="2682">
        <v>32.200000000000003</v>
      </c>
      <c r="L404" s="2682">
        <v>37736</v>
      </c>
    </row>
    <row r="405" spans="1:12">
      <c r="A405" s="2683" t="s">
        <v>146</v>
      </c>
      <c r="B405" s="2683" t="s">
        <v>6305</v>
      </c>
      <c r="C405" s="2683">
        <v>205</v>
      </c>
      <c r="D405" s="2683">
        <v>320</v>
      </c>
      <c r="E405" s="2683">
        <v>150</v>
      </c>
      <c r="F405" s="2683" t="s">
        <v>5908</v>
      </c>
      <c r="G405" s="2683" t="s">
        <v>5908</v>
      </c>
      <c r="H405" s="2683" t="s">
        <v>5908</v>
      </c>
      <c r="I405" s="2683" t="s">
        <v>5908</v>
      </c>
      <c r="J405" s="2683">
        <v>40.200000000000003</v>
      </c>
      <c r="K405" s="2684"/>
      <c r="L405" s="2683" t="s">
        <v>5922</v>
      </c>
    </row>
    <row r="406" spans="1:12">
      <c r="A406" s="2682" t="s">
        <v>146</v>
      </c>
      <c r="B406" s="2682" t="s">
        <v>6306</v>
      </c>
      <c r="C406" s="2682">
        <v>225</v>
      </c>
      <c r="D406" s="2682">
        <v>360</v>
      </c>
      <c r="E406" s="2682">
        <v>146.5</v>
      </c>
      <c r="F406" s="2682" t="s">
        <v>5908</v>
      </c>
      <c r="G406" s="2682" t="s">
        <v>5908</v>
      </c>
      <c r="H406" s="2682" t="s">
        <v>5908</v>
      </c>
      <c r="I406" s="2682" t="s">
        <v>5908</v>
      </c>
      <c r="J406" s="2682">
        <v>48.2</v>
      </c>
      <c r="L406" s="2682">
        <v>37745</v>
      </c>
    </row>
    <row r="407" spans="1:12">
      <c r="A407" s="2683" t="s">
        <v>146</v>
      </c>
      <c r="B407" s="2683" t="s">
        <v>6307</v>
      </c>
      <c r="C407" s="2683">
        <v>230</v>
      </c>
      <c r="D407" s="2683">
        <v>355</v>
      </c>
      <c r="E407" s="2683">
        <v>145</v>
      </c>
      <c r="F407" s="2683" t="s">
        <v>5908</v>
      </c>
      <c r="G407" s="2683" t="s">
        <v>5908</v>
      </c>
      <c r="H407" s="2683" t="s">
        <v>5908</v>
      </c>
      <c r="I407" s="2683" t="s">
        <v>5908</v>
      </c>
      <c r="J407" s="2683">
        <v>43.2</v>
      </c>
      <c r="K407" s="2684"/>
      <c r="L407" s="2683" t="s">
        <v>5922</v>
      </c>
    </row>
    <row r="408" spans="1:12">
      <c r="A408" s="2682" t="s">
        <v>146</v>
      </c>
      <c r="B408" s="2682" t="s">
        <v>6308</v>
      </c>
      <c r="C408" s="2682">
        <v>260</v>
      </c>
      <c r="D408" s="2682">
        <v>430</v>
      </c>
      <c r="E408" s="2682">
        <v>180</v>
      </c>
      <c r="F408" s="2682" t="s">
        <v>5908</v>
      </c>
      <c r="G408" s="2682" t="s">
        <v>5908</v>
      </c>
      <c r="H408" s="2682" t="s">
        <v>5908</v>
      </c>
      <c r="I408" s="2682" t="s">
        <v>5908</v>
      </c>
      <c r="J408" s="2682">
        <v>87.9</v>
      </c>
      <c r="L408" s="2682">
        <v>37752</v>
      </c>
    </row>
    <row r="409" spans="1:12">
      <c r="A409" s="2683" t="s">
        <v>146</v>
      </c>
      <c r="B409" s="2683" t="s">
        <v>6309</v>
      </c>
      <c r="C409" s="2683">
        <v>340</v>
      </c>
      <c r="D409" s="2683">
        <v>500</v>
      </c>
      <c r="E409" s="2683">
        <v>155</v>
      </c>
      <c r="F409" s="2683" t="s">
        <v>5908</v>
      </c>
      <c r="G409" s="2683" t="s">
        <v>5908</v>
      </c>
      <c r="H409" s="2683" t="s">
        <v>5908</v>
      </c>
      <c r="I409" s="2683" t="s">
        <v>5908</v>
      </c>
      <c r="J409" s="2683">
        <v>94.5</v>
      </c>
      <c r="K409" s="2684"/>
      <c r="L409" s="2683">
        <v>37768</v>
      </c>
    </row>
    <row r="410" spans="1:12">
      <c r="A410" s="2682" t="s">
        <v>146</v>
      </c>
      <c r="B410" s="2682" t="s">
        <v>6310</v>
      </c>
      <c r="C410" s="2682">
        <v>360</v>
      </c>
      <c r="D410" s="2682">
        <v>530</v>
      </c>
      <c r="E410" s="2682">
        <v>155</v>
      </c>
      <c r="F410" s="2682" t="s">
        <v>5908</v>
      </c>
      <c r="G410" s="2682" t="s">
        <v>5908</v>
      </c>
      <c r="H410" s="2682" t="s">
        <v>5908</v>
      </c>
      <c r="I410" s="2682" t="s">
        <v>5908</v>
      </c>
      <c r="J410" s="2682">
        <v>109</v>
      </c>
      <c r="L410" s="2682">
        <v>37772</v>
      </c>
    </row>
    <row r="411" spans="1:12">
      <c r="A411" s="2683" t="s">
        <v>146</v>
      </c>
      <c r="B411" s="2683" t="s">
        <v>6311</v>
      </c>
      <c r="C411" s="2683">
        <v>400</v>
      </c>
      <c r="D411" s="2683">
        <v>590</v>
      </c>
      <c r="E411" s="2683">
        <v>185</v>
      </c>
      <c r="F411" s="2683" t="s">
        <v>5908</v>
      </c>
      <c r="G411" s="2683" t="s">
        <v>5908</v>
      </c>
      <c r="H411" s="2683" t="s">
        <v>5908</v>
      </c>
      <c r="I411" s="2683" t="s">
        <v>5908</v>
      </c>
      <c r="J411" s="2683">
        <v>166</v>
      </c>
      <c r="K411" s="2684"/>
      <c r="L411" s="2683">
        <v>37780</v>
      </c>
    </row>
    <row r="412" spans="1:12">
      <c r="A412" s="2682" t="s">
        <v>146</v>
      </c>
      <c r="B412" s="2682" t="s">
        <v>6312</v>
      </c>
      <c r="C412" s="2682">
        <v>420</v>
      </c>
      <c r="D412" s="2682">
        <v>620</v>
      </c>
      <c r="E412" s="2682">
        <v>190</v>
      </c>
      <c r="F412" s="2682" t="s">
        <v>5908</v>
      </c>
      <c r="G412" s="2682" t="s">
        <v>5908</v>
      </c>
      <c r="H412" s="2682" t="s">
        <v>5908</v>
      </c>
      <c r="I412" s="2682" t="s">
        <v>5908</v>
      </c>
      <c r="J412" s="2682">
        <v>170.98</v>
      </c>
      <c r="L412" s="2682">
        <v>37784</v>
      </c>
    </row>
    <row r="413" spans="1:12">
      <c r="A413" s="2683" t="s">
        <v>146</v>
      </c>
      <c r="B413" s="2683" t="s">
        <v>6313</v>
      </c>
      <c r="C413" s="2683">
        <v>300</v>
      </c>
      <c r="D413" s="2683">
        <v>440</v>
      </c>
      <c r="E413" s="2683">
        <v>140</v>
      </c>
      <c r="F413" s="2683" t="s">
        <v>5908</v>
      </c>
      <c r="G413" s="2683" t="s">
        <v>5908</v>
      </c>
      <c r="H413" s="2683" t="s">
        <v>5908</v>
      </c>
      <c r="I413" s="2683" t="s">
        <v>5908</v>
      </c>
      <c r="J413" s="2683">
        <v>300</v>
      </c>
      <c r="K413" s="2684"/>
      <c r="L413" s="2683">
        <v>37860</v>
      </c>
    </row>
    <row r="414" spans="1:12">
      <c r="A414" s="2682" t="s">
        <v>146</v>
      </c>
      <c r="B414" s="2682" t="s">
        <v>6314</v>
      </c>
      <c r="C414" s="2682">
        <v>203</v>
      </c>
      <c r="D414" s="2682">
        <v>276</v>
      </c>
      <c r="E414" s="2682">
        <v>95</v>
      </c>
      <c r="F414" s="2682" t="s">
        <v>5908</v>
      </c>
      <c r="G414" s="2682" t="s">
        <v>5908</v>
      </c>
      <c r="H414" s="2682" t="s">
        <v>5908</v>
      </c>
      <c r="I414" s="2682" t="s">
        <v>5908</v>
      </c>
      <c r="J414" s="2682">
        <v>14.8</v>
      </c>
      <c r="L414" s="2682" t="s">
        <v>5922</v>
      </c>
    </row>
    <row r="415" spans="1:12">
      <c r="A415" s="2683" t="s">
        <v>146</v>
      </c>
      <c r="B415" s="2683" t="s">
        <v>6315</v>
      </c>
      <c r="C415" s="2683">
        <v>50</v>
      </c>
      <c r="D415" s="2683">
        <v>110</v>
      </c>
      <c r="E415" s="2683">
        <v>29.75</v>
      </c>
      <c r="F415" s="2683" t="s">
        <v>5908</v>
      </c>
      <c r="G415" s="2683" t="s">
        <v>5908</v>
      </c>
      <c r="H415" s="2683" t="s">
        <v>5908</v>
      </c>
      <c r="I415" s="2683" t="s">
        <v>5908</v>
      </c>
      <c r="J415" s="2683">
        <v>14.8</v>
      </c>
      <c r="K415" s="2684"/>
      <c r="L415" s="2683" t="s">
        <v>5922</v>
      </c>
    </row>
    <row r="416" spans="1:12">
      <c r="A416" s="2682" t="s">
        <v>146</v>
      </c>
      <c r="B416" s="2682" t="s">
        <v>6316</v>
      </c>
      <c r="C416" s="2682">
        <v>75</v>
      </c>
      <c r="D416" s="2682">
        <v>130</v>
      </c>
      <c r="E416" s="2682">
        <v>33.5</v>
      </c>
      <c r="F416" s="2682" t="s">
        <v>5908</v>
      </c>
      <c r="G416" s="2682" t="s">
        <v>5908</v>
      </c>
      <c r="H416" s="2682" t="s">
        <v>5908</v>
      </c>
      <c r="I416" s="2682" t="s">
        <v>5908</v>
      </c>
      <c r="J416" s="2682">
        <v>14.8</v>
      </c>
      <c r="L416" s="2682">
        <v>67515</v>
      </c>
    </row>
    <row r="417" spans="1:12">
      <c r="A417" s="2683" t="s">
        <v>146</v>
      </c>
      <c r="B417" s="2683" t="s">
        <v>6317</v>
      </c>
      <c r="C417" s="2683">
        <v>90</v>
      </c>
      <c r="D417" s="2683">
        <v>110</v>
      </c>
      <c r="E417" s="2683">
        <v>42.5</v>
      </c>
      <c r="F417" s="2683" t="s">
        <v>5908</v>
      </c>
      <c r="G417" s="2683" t="s">
        <v>5908</v>
      </c>
      <c r="H417" s="2683" t="s">
        <v>5908</v>
      </c>
      <c r="I417" s="2683" t="s">
        <v>5908</v>
      </c>
      <c r="J417" s="2683">
        <v>14.8</v>
      </c>
      <c r="K417" s="2684"/>
      <c r="L417" s="2683">
        <v>67518</v>
      </c>
    </row>
    <row r="418" spans="1:12">
      <c r="A418" s="2682" t="s">
        <v>146</v>
      </c>
      <c r="B418" s="2682" t="s">
        <v>6318</v>
      </c>
      <c r="C418" s="2682">
        <v>70</v>
      </c>
      <c r="D418" s="2682">
        <v>120</v>
      </c>
      <c r="E418" s="2682">
        <v>45</v>
      </c>
      <c r="F418" s="2682" t="s">
        <v>5908</v>
      </c>
      <c r="G418" s="2682" t="s">
        <v>5908</v>
      </c>
      <c r="H418" s="2682" t="s">
        <v>5908</v>
      </c>
      <c r="I418" s="2682" t="s">
        <v>5908</v>
      </c>
      <c r="J418" s="2682">
        <v>1.94</v>
      </c>
      <c r="L418" s="2682">
        <v>67714</v>
      </c>
    </row>
    <row r="419" spans="1:12">
      <c r="A419" s="2683" t="s">
        <v>146</v>
      </c>
      <c r="B419" s="2683" t="s">
        <v>6319</v>
      </c>
      <c r="C419" s="2683">
        <v>140</v>
      </c>
      <c r="D419" s="2683">
        <v>230</v>
      </c>
      <c r="E419" s="2683">
        <v>58</v>
      </c>
      <c r="F419" s="2683" t="s">
        <v>5908</v>
      </c>
      <c r="G419" s="2683" t="s">
        <v>5908</v>
      </c>
      <c r="H419" s="2683" t="s">
        <v>5908</v>
      </c>
      <c r="I419" s="2683" t="s">
        <v>5908</v>
      </c>
      <c r="J419" s="2683">
        <v>1.94</v>
      </c>
      <c r="K419" s="2684"/>
      <c r="L419" s="2683">
        <v>67728</v>
      </c>
    </row>
    <row r="420" spans="1:12">
      <c r="A420" s="2682" t="s">
        <v>146</v>
      </c>
      <c r="B420" s="2682" t="s">
        <v>6320</v>
      </c>
      <c r="C420" s="2682">
        <v>622</v>
      </c>
      <c r="D420" s="2682">
        <v>734</v>
      </c>
      <c r="E420" s="2682">
        <v>46</v>
      </c>
      <c r="F420" s="2682" t="s">
        <v>5908</v>
      </c>
      <c r="G420" s="2682" t="s">
        <v>5908</v>
      </c>
      <c r="H420" s="2682" t="s">
        <v>5908</v>
      </c>
      <c r="I420" s="2682" t="s">
        <v>5908</v>
      </c>
      <c r="J420" s="2682">
        <v>33.6</v>
      </c>
      <c r="L420" s="2682" t="s">
        <v>5922</v>
      </c>
    </row>
    <row r="421" spans="1:12">
      <c r="A421" s="2683" t="s">
        <v>146</v>
      </c>
      <c r="B421" s="2683">
        <v>381068</v>
      </c>
      <c r="C421" s="2683">
        <v>340</v>
      </c>
      <c r="D421" s="2683">
        <v>520</v>
      </c>
      <c r="E421" s="2683">
        <v>325</v>
      </c>
      <c r="F421" s="2683" t="s">
        <v>5908</v>
      </c>
      <c r="G421" s="2683" t="s">
        <v>5908</v>
      </c>
      <c r="H421" s="2683" t="s">
        <v>5908</v>
      </c>
      <c r="I421" s="2683" t="s">
        <v>5908</v>
      </c>
      <c r="J421" s="2683">
        <v>234</v>
      </c>
      <c r="K421" s="2684"/>
      <c r="L421" s="2683">
        <v>77168</v>
      </c>
    </row>
    <row r="422" spans="1:12">
      <c r="A422" s="2682" t="s">
        <v>146</v>
      </c>
      <c r="B422" s="2682" t="s">
        <v>6321</v>
      </c>
      <c r="C422" s="2682">
        <v>360</v>
      </c>
      <c r="D422" s="2682">
        <v>540</v>
      </c>
      <c r="E422" s="2682">
        <v>325</v>
      </c>
      <c r="F422" s="2682" t="s">
        <v>5908</v>
      </c>
      <c r="G422" s="2682" t="s">
        <v>5908</v>
      </c>
      <c r="H422" s="2682" t="s">
        <v>5908</v>
      </c>
      <c r="I422" s="2682" t="s">
        <v>5908</v>
      </c>
      <c r="J422" s="2682">
        <v>248</v>
      </c>
      <c r="L422" s="2682" t="s">
        <v>6322</v>
      </c>
    </row>
    <row r="423" spans="1:12">
      <c r="A423" s="2683" t="s">
        <v>146</v>
      </c>
      <c r="B423" s="2683">
        <v>381076</v>
      </c>
      <c r="C423" s="2683">
        <v>380</v>
      </c>
      <c r="D423" s="2683">
        <v>560</v>
      </c>
      <c r="E423" s="2683">
        <v>325</v>
      </c>
      <c r="F423" s="2683" t="s">
        <v>5908</v>
      </c>
      <c r="G423" s="2683" t="s">
        <v>5908</v>
      </c>
      <c r="H423" s="2683" t="s">
        <v>5908</v>
      </c>
      <c r="I423" s="2683" t="s">
        <v>5908</v>
      </c>
      <c r="J423" s="2683">
        <v>281</v>
      </c>
      <c r="K423" s="2684"/>
      <c r="L423" s="2683">
        <v>77176</v>
      </c>
    </row>
    <row r="424" spans="1:12">
      <c r="A424" s="2682" t="s">
        <v>146</v>
      </c>
      <c r="B424" s="2682">
        <v>381080</v>
      </c>
      <c r="C424" s="2682">
        <v>400</v>
      </c>
      <c r="D424" s="2682">
        <v>600</v>
      </c>
      <c r="E424" s="2682">
        <v>356</v>
      </c>
      <c r="F424" s="2682" t="s">
        <v>5908</v>
      </c>
      <c r="G424" s="2682" t="s">
        <v>5908</v>
      </c>
      <c r="H424" s="2682" t="s">
        <v>5908</v>
      </c>
      <c r="I424" s="2682" t="s">
        <v>5908</v>
      </c>
      <c r="J424" s="2682">
        <v>317</v>
      </c>
      <c r="L424" s="2682">
        <v>77180</v>
      </c>
    </row>
    <row r="425" spans="1:12">
      <c r="A425" s="2683" t="s">
        <v>146</v>
      </c>
      <c r="B425" s="2683">
        <v>381084</v>
      </c>
      <c r="C425" s="2683">
        <v>420</v>
      </c>
      <c r="D425" s="2683">
        <v>620</v>
      </c>
      <c r="E425" s="2683">
        <v>356</v>
      </c>
      <c r="F425" s="2683" t="s">
        <v>5908</v>
      </c>
      <c r="G425" s="2683" t="s">
        <v>5908</v>
      </c>
      <c r="H425" s="2683" t="s">
        <v>5908</v>
      </c>
      <c r="I425" s="2683" t="s">
        <v>5908</v>
      </c>
      <c r="J425" s="2683">
        <v>358</v>
      </c>
      <c r="K425" s="2684"/>
      <c r="L425" s="2683">
        <v>77184</v>
      </c>
    </row>
    <row r="426" spans="1:12">
      <c r="A426" s="2682" t="s">
        <v>146</v>
      </c>
      <c r="B426" s="2682">
        <v>381088</v>
      </c>
      <c r="C426" s="2682">
        <v>440</v>
      </c>
      <c r="D426" s="2682">
        <v>650</v>
      </c>
      <c r="E426" s="2682">
        <v>376</v>
      </c>
      <c r="F426" s="2682" t="s">
        <v>5908</v>
      </c>
      <c r="G426" s="2682" t="s">
        <v>5908</v>
      </c>
      <c r="H426" s="2682" t="s">
        <v>5908</v>
      </c>
      <c r="I426" s="2682" t="s">
        <v>5908</v>
      </c>
      <c r="J426" s="2682">
        <v>401</v>
      </c>
      <c r="L426" s="2682">
        <v>77188</v>
      </c>
    </row>
    <row r="427" spans="1:12">
      <c r="A427" s="2683" t="s">
        <v>146</v>
      </c>
      <c r="B427" s="2683">
        <v>381096</v>
      </c>
      <c r="C427" s="2683">
        <v>480</v>
      </c>
      <c r="D427" s="2683">
        <v>700</v>
      </c>
      <c r="E427" s="2683">
        <v>420</v>
      </c>
      <c r="F427" s="2683" t="s">
        <v>5908</v>
      </c>
      <c r="G427" s="2683" t="s">
        <v>5908</v>
      </c>
      <c r="H427" s="2683" t="s">
        <v>5908</v>
      </c>
      <c r="I427" s="2683" t="s">
        <v>5908</v>
      </c>
      <c r="J427" s="2683">
        <v>547</v>
      </c>
      <c r="K427" s="2684"/>
      <c r="L427" s="2683">
        <v>77196</v>
      </c>
    </row>
    <row r="428" spans="1:12">
      <c r="A428" s="2682" t="s">
        <v>146</v>
      </c>
      <c r="B428" s="2682" t="s">
        <v>6323</v>
      </c>
      <c r="C428" s="2682">
        <v>480</v>
      </c>
      <c r="D428" s="2682">
        <v>700</v>
      </c>
      <c r="E428" s="2682">
        <v>420</v>
      </c>
      <c r="F428" s="2682" t="s">
        <v>5908</v>
      </c>
      <c r="G428" s="2682" t="s">
        <v>5908</v>
      </c>
      <c r="H428" s="2682" t="s">
        <v>5908</v>
      </c>
      <c r="I428" s="2682" t="s">
        <v>5908</v>
      </c>
      <c r="J428" s="2682">
        <v>547</v>
      </c>
      <c r="L428" s="2682" t="s">
        <v>6324</v>
      </c>
    </row>
    <row r="429" spans="1:12">
      <c r="A429" s="2683" t="s">
        <v>146</v>
      </c>
      <c r="B429" s="2683" t="s">
        <v>6325</v>
      </c>
      <c r="C429" s="2683">
        <v>500</v>
      </c>
      <c r="D429" s="2683">
        <v>720</v>
      </c>
      <c r="E429" s="2683">
        <v>420</v>
      </c>
      <c r="F429" s="2683" t="s">
        <v>5908</v>
      </c>
      <c r="G429" s="2683" t="s">
        <v>5908</v>
      </c>
      <c r="H429" s="2683" t="s">
        <v>5908</v>
      </c>
      <c r="I429" s="2683" t="s">
        <v>5908</v>
      </c>
      <c r="J429" s="2683">
        <v>565</v>
      </c>
      <c r="K429" s="2684"/>
      <c r="L429" s="2683" t="s">
        <v>6326</v>
      </c>
    </row>
    <row r="430" spans="1:12">
      <c r="A430" s="2682" t="s">
        <v>146</v>
      </c>
      <c r="B430" s="2682" t="s">
        <v>6327</v>
      </c>
      <c r="C430" s="2682">
        <v>530</v>
      </c>
      <c r="D430" s="2682">
        <v>780</v>
      </c>
      <c r="E430" s="2682">
        <v>450</v>
      </c>
      <c r="F430" s="2682" t="s">
        <v>5908</v>
      </c>
      <c r="G430" s="2682" t="s">
        <v>5908</v>
      </c>
      <c r="H430" s="2682" t="s">
        <v>5908</v>
      </c>
      <c r="I430" s="2682" t="s">
        <v>5908</v>
      </c>
      <c r="J430" s="2682">
        <v>744</v>
      </c>
      <c r="L430" s="2682" t="s">
        <v>6328</v>
      </c>
    </row>
    <row r="431" spans="1:12">
      <c r="A431" s="2683" t="s">
        <v>146</v>
      </c>
      <c r="B431" s="2683" t="s">
        <v>6329</v>
      </c>
      <c r="C431" s="2683">
        <v>600</v>
      </c>
      <c r="D431" s="2683">
        <v>870</v>
      </c>
      <c r="E431" s="2683">
        <v>480</v>
      </c>
      <c r="F431" s="2683" t="s">
        <v>5908</v>
      </c>
      <c r="G431" s="2683" t="s">
        <v>5908</v>
      </c>
      <c r="H431" s="2683" t="s">
        <v>5908</v>
      </c>
      <c r="I431" s="2683" t="s">
        <v>5908</v>
      </c>
      <c r="J431" s="2683">
        <v>995</v>
      </c>
      <c r="K431" s="2684"/>
      <c r="L431" s="2683" t="s">
        <v>6330</v>
      </c>
    </row>
    <row r="432" spans="1:12">
      <c r="A432" s="2682" t="s">
        <v>146</v>
      </c>
      <c r="B432" s="2682" t="s">
        <v>6331</v>
      </c>
      <c r="C432" s="2682">
        <v>630</v>
      </c>
      <c r="D432" s="2682">
        <v>920</v>
      </c>
      <c r="E432" s="2682">
        <v>515</v>
      </c>
      <c r="F432" s="2682" t="s">
        <v>5908</v>
      </c>
      <c r="G432" s="2682" t="s">
        <v>5908</v>
      </c>
      <c r="H432" s="2682" t="s">
        <v>5908</v>
      </c>
      <c r="I432" s="2682" t="s">
        <v>5908</v>
      </c>
      <c r="J432" s="2682">
        <v>1158</v>
      </c>
      <c r="L432" s="2682" t="s">
        <v>6332</v>
      </c>
    </row>
    <row r="433" spans="1:12">
      <c r="A433" s="2683" t="s">
        <v>146</v>
      </c>
      <c r="B433" s="2683" t="s">
        <v>6333</v>
      </c>
      <c r="C433" s="2683">
        <v>710</v>
      </c>
      <c r="D433" s="2683">
        <v>1030</v>
      </c>
      <c r="E433" s="2683">
        <v>555</v>
      </c>
      <c r="F433" s="2683" t="s">
        <v>5908</v>
      </c>
      <c r="G433" s="2683" t="s">
        <v>5908</v>
      </c>
      <c r="H433" s="2683" t="s">
        <v>5908</v>
      </c>
      <c r="I433" s="2683" t="s">
        <v>5908</v>
      </c>
      <c r="J433" s="2683">
        <v>1658</v>
      </c>
      <c r="K433" s="2684"/>
      <c r="L433" s="2683" t="s">
        <v>6334</v>
      </c>
    </row>
    <row r="434" spans="1:12">
      <c r="A434" s="2682" t="s">
        <v>146</v>
      </c>
      <c r="B434" s="2682" t="s">
        <v>6335</v>
      </c>
      <c r="C434" s="2682">
        <v>150</v>
      </c>
      <c r="D434" s="2682">
        <v>225</v>
      </c>
      <c r="E434" s="2682">
        <v>136</v>
      </c>
      <c r="F434" s="2682" t="s">
        <v>5908</v>
      </c>
      <c r="G434" s="2682" t="s">
        <v>5908</v>
      </c>
      <c r="H434" s="2682" t="s">
        <v>5908</v>
      </c>
      <c r="I434" s="2682" t="s">
        <v>5908</v>
      </c>
      <c r="J434" s="2682">
        <v>17.7</v>
      </c>
      <c r="L434" s="2682">
        <v>77730</v>
      </c>
    </row>
    <row r="435" spans="1:12">
      <c r="A435" s="2683" t="s">
        <v>146</v>
      </c>
      <c r="B435" s="2683" t="s">
        <v>6336</v>
      </c>
      <c r="C435" s="2683">
        <v>180</v>
      </c>
      <c r="D435" s="2683">
        <v>280</v>
      </c>
      <c r="E435" s="2683">
        <v>180</v>
      </c>
      <c r="F435" s="2683" t="s">
        <v>5908</v>
      </c>
      <c r="G435" s="2683" t="s">
        <v>5908</v>
      </c>
      <c r="H435" s="2683" t="s">
        <v>5908</v>
      </c>
      <c r="I435" s="2683" t="s">
        <v>5908</v>
      </c>
      <c r="J435" s="2683">
        <v>39.6</v>
      </c>
      <c r="K435" s="2684"/>
      <c r="L435" s="2683">
        <v>77736</v>
      </c>
    </row>
    <row r="436" spans="1:12">
      <c r="A436" s="2682" t="s">
        <v>146</v>
      </c>
      <c r="B436" s="2682" t="s">
        <v>6337</v>
      </c>
      <c r="C436" s="2682">
        <v>250</v>
      </c>
      <c r="D436" s="2682">
        <v>460</v>
      </c>
      <c r="E436" s="2682">
        <v>270</v>
      </c>
      <c r="F436" s="2682" t="s">
        <v>5908</v>
      </c>
      <c r="G436" s="2682" t="s">
        <v>5908</v>
      </c>
      <c r="H436" s="2682" t="s">
        <v>5908</v>
      </c>
      <c r="I436" s="2682" t="s">
        <v>5908</v>
      </c>
      <c r="J436" s="2682">
        <v>55.6</v>
      </c>
      <c r="L436" s="2682" t="s">
        <v>5922</v>
      </c>
    </row>
    <row r="437" spans="1:12">
      <c r="A437" s="2683" t="s">
        <v>146</v>
      </c>
      <c r="B437" s="2683" t="s">
        <v>6338</v>
      </c>
      <c r="C437" s="2683">
        <v>260</v>
      </c>
      <c r="D437" s="2683">
        <v>400</v>
      </c>
      <c r="E437" s="2683">
        <v>225</v>
      </c>
      <c r="F437" s="2683" t="s">
        <v>5908</v>
      </c>
      <c r="G437" s="2683" t="s">
        <v>5908</v>
      </c>
      <c r="H437" s="2683" t="s">
        <v>5908</v>
      </c>
      <c r="I437" s="2683" t="s">
        <v>5908</v>
      </c>
      <c r="J437" s="2683">
        <v>114</v>
      </c>
      <c r="K437" s="2684"/>
      <c r="L437" s="2683" t="s">
        <v>5922</v>
      </c>
    </row>
    <row r="438" spans="1:12">
      <c r="A438" s="2682" t="s">
        <v>146</v>
      </c>
      <c r="B438" s="2682" t="s">
        <v>6339</v>
      </c>
      <c r="C438" s="2682">
        <v>280</v>
      </c>
      <c r="D438" s="2682">
        <v>420</v>
      </c>
      <c r="E438" s="2682">
        <v>250</v>
      </c>
      <c r="F438" s="2682" t="s">
        <v>5908</v>
      </c>
      <c r="G438" s="2682" t="s">
        <v>5908</v>
      </c>
      <c r="H438" s="2682" t="s">
        <v>5908</v>
      </c>
      <c r="I438" s="2682" t="s">
        <v>5908</v>
      </c>
      <c r="J438" s="2682">
        <v>119</v>
      </c>
      <c r="L438" s="2682">
        <v>77756</v>
      </c>
    </row>
    <row r="439" spans="1:12">
      <c r="A439" s="2683" t="s">
        <v>146</v>
      </c>
      <c r="B439" s="2683" t="s">
        <v>6340</v>
      </c>
      <c r="C439" s="2683">
        <v>280</v>
      </c>
      <c r="D439" s="2683">
        <v>420</v>
      </c>
      <c r="E439" s="2683">
        <v>350</v>
      </c>
      <c r="F439" s="2683" t="s">
        <v>5908</v>
      </c>
      <c r="G439" s="2683" t="s">
        <v>5908</v>
      </c>
      <c r="H439" s="2683" t="s">
        <v>5908</v>
      </c>
      <c r="I439" s="2683" t="s">
        <v>5908</v>
      </c>
      <c r="J439" s="2683">
        <v>119</v>
      </c>
      <c r="K439" s="2684"/>
      <c r="L439" s="2683" t="s">
        <v>5922</v>
      </c>
    </row>
    <row r="440" spans="1:12">
      <c r="A440" s="2682" t="s">
        <v>146</v>
      </c>
      <c r="B440" s="2682" t="s">
        <v>6341</v>
      </c>
      <c r="C440" s="2682">
        <v>300</v>
      </c>
      <c r="D440" s="2682">
        <v>500</v>
      </c>
      <c r="E440" s="2682">
        <v>350</v>
      </c>
      <c r="F440" s="2682" t="s">
        <v>5908</v>
      </c>
      <c r="G440" s="2682" t="s">
        <v>5908</v>
      </c>
      <c r="H440" s="2682" t="s">
        <v>5908</v>
      </c>
      <c r="I440" s="2682" t="s">
        <v>5908</v>
      </c>
      <c r="J440" s="2682">
        <v>286</v>
      </c>
      <c r="L440" s="2682" t="s">
        <v>5922</v>
      </c>
    </row>
    <row r="441" spans="1:12">
      <c r="A441" s="2683" t="s">
        <v>146</v>
      </c>
      <c r="B441" s="2683">
        <v>380664</v>
      </c>
      <c r="C441" s="2683">
        <v>320</v>
      </c>
      <c r="D441" s="2683">
        <v>460</v>
      </c>
      <c r="E441" s="2683">
        <v>338</v>
      </c>
      <c r="F441" s="2683" t="s">
        <v>5908</v>
      </c>
      <c r="G441" s="2683" t="s">
        <v>5908</v>
      </c>
      <c r="H441" s="2683" t="s">
        <v>5908</v>
      </c>
      <c r="I441" s="2683" t="s">
        <v>5908</v>
      </c>
      <c r="J441" s="2683">
        <v>180</v>
      </c>
      <c r="K441" s="2684"/>
      <c r="L441" s="2683">
        <v>77764</v>
      </c>
    </row>
    <row r="442" spans="1:12">
      <c r="A442" s="2682" t="s">
        <v>146</v>
      </c>
      <c r="B442" s="2682">
        <v>380676</v>
      </c>
      <c r="C442" s="2682">
        <v>300</v>
      </c>
      <c r="D442" s="2682">
        <v>500</v>
      </c>
      <c r="E442" s="2682">
        <v>350</v>
      </c>
      <c r="F442" s="2682" t="s">
        <v>5908</v>
      </c>
      <c r="G442" s="2682" t="s">
        <v>5908</v>
      </c>
      <c r="H442" s="2682" t="s">
        <v>5908</v>
      </c>
      <c r="I442" s="2682" t="s">
        <v>5908</v>
      </c>
      <c r="J442" s="2682">
        <v>180</v>
      </c>
      <c r="L442" s="2682">
        <v>77776</v>
      </c>
    </row>
    <row r="443" spans="1:12">
      <c r="A443" s="2683" t="s">
        <v>146</v>
      </c>
      <c r="B443" s="2683">
        <v>380679</v>
      </c>
      <c r="C443" s="2683">
        <v>395</v>
      </c>
      <c r="D443" s="2683">
        <v>545</v>
      </c>
      <c r="E443" s="2683">
        <v>288.7</v>
      </c>
      <c r="F443" s="2683" t="s">
        <v>5908</v>
      </c>
      <c r="G443" s="2683" t="s">
        <v>5908</v>
      </c>
      <c r="H443" s="2683" t="s">
        <v>5908</v>
      </c>
      <c r="I443" s="2683" t="s">
        <v>5908</v>
      </c>
      <c r="J443" s="2683">
        <v>194</v>
      </c>
      <c r="K443" s="2684"/>
      <c r="L443" s="2683">
        <v>77779</v>
      </c>
    </row>
    <row r="444" spans="1:12">
      <c r="A444" s="2682" t="s">
        <v>146</v>
      </c>
      <c r="B444" s="2682" t="s">
        <v>6342</v>
      </c>
      <c r="C444" s="2682">
        <v>440</v>
      </c>
      <c r="D444" s="2682">
        <v>650</v>
      </c>
      <c r="E444" s="2682">
        <v>335</v>
      </c>
      <c r="F444" s="2682" t="s">
        <v>5908</v>
      </c>
      <c r="G444" s="2682" t="s">
        <v>5908</v>
      </c>
      <c r="H444" s="2682" t="s">
        <v>5908</v>
      </c>
      <c r="I444" s="2682" t="s">
        <v>5908</v>
      </c>
      <c r="J444" s="2682">
        <v>385</v>
      </c>
      <c r="L444" s="2682">
        <v>77788</v>
      </c>
    </row>
    <row r="445" spans="1:12">
      <c r="A445" s="2683" t="s">
        <v>146</v>
      </c>
      <c r="B445" s="2683">
        <v>380692</v>
      </c>
      <c r="C445" s="2683">
        <v>460</v>
      </c>
      <c r="D445" s="2683">
        <v>730</v>
      </c>
      <c r="E445" s="2683">
        <v>440</v>
      </c>
      <c r="F445" s="2683" t="s">
        <v>5908</v>
      </c>
      <c r="G445" s="2683" t="s">
        <v>5908</v>
      </c>
      <c r="H445" s="2683" t="s">
        <v>5908</v>
      </c>
      <c r="I445" s="2683" t="s">
        <v>5908</v>
      </c>
      <c r="J445" s="2683">
        <v>694</v>
      </c>
      <c r="K445" s="2684"/>
      <c r="L445" s="2683">
        <v>77892</v>
      </c>
    </row>
    <row r="446" spans="1:12">
      <c r="A446" s="2682" t="s">
        <v>146</v>
      </c>
      <c r="B446" s="2682" t="s">
        <v>6343</v>
      </c>
      <c r="C446" s="2682">
        <v>560</v>
      </c>
      <c r="D446" s="2682">
        <v>920</v>
      </c>
      <c r="E446" s="2682">
        <v>620</v>
      </c>
      <c r="F446" s="2682" t="s">
        <v>5908</v>
      </c>
      <c r="G446" s="2682" t="s">
        <v>5908</v>
      </c>
      <c r="H446" s="2682" t="s">
        <v>5908</v>
      </c>
      <c r="I446" s="2682" t="s">
        <v>5908</v>
      </c>
      <c r="J446" s="2682">
        <v>1635</v>
      </c>
      <c r="L446" s="2682" t="s">
        <v>5922</v>
      </c>
    </row>
    <row r="447" spans="1:12">
      <c r="A447" s="2683" t="s">
        <v>146</v>
      </c>
      <c r="B447" s="2683" t="s">
        <v>6344</v>
      </c>
      <c r="C447" s="2683">
        <v>600</v>
      </c>
      <c r="D447" s="2683">
        <v>980</v>
      </c>
      <c r="E447" s="2683">
        <v>650</v>
      </c>
      <c r="F447" s="2683" t="s">
        <v>5908</v>
      </c>
      <c r="G447" s="2683" t="s">
        <v>5908</v>
      </c>
      <c r="H447" s="2683" t="s">
        <v>5908</v>
      </c>
      <c r="I447" s="2683" t="s">
        <v>5908</v>
      </c>
      <c r="J447" s="2683">
        <v>1970</v>
      </c>
      <c r="K447" s="2684"/>
      <c r="L447" s="2683" t="s">
        <v>5922</v>
      </c>
    </row>
    <row r="448" spans="1:12">
      <c r="A448" s="2682" t="s">
        <v>146</v>
      </c>
      <c r="B448" s="2682" t="s">
        <v>6345</v>
      </c>
      <c r="C448" s="2682">
        <v>650</v>
      </c>
      <c r="D448" s="2682">
        <v>1030</v>
      </c>
      <c r="E448" s="2682">
        <v>560</v>
      </c>
      <c r="F448" s="2682" t="s">
        <v>5908</v>
      </c>
      <c r="G448" s="2682" t="s">
        <v>5908</v>
      </c>
      <c r="H448" s="2682" t="s">
        <v>5908</v>
      </c>
      <c r="I448" s="2682" t="s">
        <v>5908</v>
      </c>
      <c r="J448" s="2682">
        <v>1769</v>
      </c>
      <c r="L448" s="2682" t="s">
        <v>6346</v>
      </c>
    </row>
    <row r="449" spans="1:12">
      <c r="A449" s="2683" t="s">
        <v>146</v>
      </c>
      <c r="B449" s="2683" t="s">
        <v>6347</v>
      </c>
      <c r="C449" s="2683">
        <v>650</v>
      </c>
      <c r="D449" s="2683">
        <v>1030</v>
      </c>
      <c r="E449" s="2683">
        <v>560</v>
      </c>
      <c r="F449" s="2683" t="s">
        <v>5908</v>
      </c>
      <c r="G449" s="2683" t="s">
        <v>5908</v>
      </c>
      <c r="H449" s="2683" t="s">
        <v>5908</v>
      </c>
      <c r="I449" s="2683" t="s">
        <v>5908</v>
      </c>
      <c r="J449" s="2683">
        <v>1769</v>
      </c>
      <c r="K449" s="2684"/>
      <c r="L449" s="2683" t="s">
        <v>6348</v>
      </c>
    </row>
    <row r="450" spans="1:12">
      <c r="A450" s="2682" t="s">
        <v>146</v>
      </c>
      <c r="B450" s="2682" t="s">
        <v>6349</v>
      </c>
      <c r="C450" s="2682">
        <v>660</v>
      </c>
      <c r="D450" s="2682">
        <v>1070</v>
      </c>
      <c r="E450" s="2682">
        <v>650</v>
      </c>
      <c r="F450" s="2682" t="s">
        <v>5908</v>
      </c>
      <c r="G450" s="2682" t="s">
        <v>5908</v>
      </c>
      <c r="H450" s="2682" t="s">
        <v>5908</v>
      </c>
      <c r="I450" s="2682" t="s">
        <v>5908</v>
      </c>
      <c r="J450" s="2682">
        <v>2282</v>
      </c>
      <c r="L450" s="2682" t="s">
        <v>6350</v>
      </c>
    </row>
    <row r="451" spans="1:12">
      <c r="A451" s="2683" t="s">
        <v>146</v>
      </c>
      <c r="B451" s="2683" t="s">
        <v>6351</v>
      </c>
      <c r="C451" s="2683">
        <v>750</v>
      </c>
      <c r="D451" s="2683">
        <v>1130</v>
      </c>
      <c r="E451" s="2683">
        <v>690</v>
      </c>
      <c r="F451" s="2683" t="s">
        <v>5908</v>
      </c>
      <c r="G451" s="2683" t="s">
        <v>5908</v>
      </c>
      <c r="H451" s="2683" t="s">
        <v>5908</v>
      </c>
      <c r="I451" s="2683" t="s">
        <v>5908</v>
      </c>
      <c r="J451" s="2683">
        <v>2549</v>
      </c>
      <c r="K451" s="2684"/>
      <c r="L451" s="2683" t="s">
        <v>6352</v>
      </c>
    </row>
    <row r="452" spans="1:12">
      <c r="A452" s="2682" t="s">
        <v>146</v>
      </c>
      <c r="B452" s="2682">
        <v>380680</v>
      </c>
      <c r="C452" s="2682">
        <v>400</v>
      </c>
      <c r="D452" s="2682">
        <v>540</v>
      </c>
      <c r="E452" s="2682">
        <v>280</v>
      </c>
      <c r="F452" s="2682" t="s">
        <v>5908</v>
      </c>
      <c r="G452" s="2682" t="s">
        <v>5908</v>
      </c>
      <c r="H452" s="2682" t="s">
        <v>5908</v>
      </c>
      <c r="I452" s="2682" t="s">
        <v>5908</v>
      </c>
      <c r="J452" s="2682">
        <v>175</v>
      </c>
      <c r="L452" s="2682">
        <v>77880</v>
      </c>
    </row>
    <row r="453" spans="1:12">
      <c r="A453" s="2683" t="s">
        <v>146</v>
      </c>
      <c r="B453" s="2683" t="s">
        <v>6353</v>
      </c>
      <c r="C453" s="2683">
        <v>420</v>
      </c>
      <c r="D453" s="2683">
        <v>760</v>
      </c>
      <c r="E453" s="2683">
        <v>500</v>
      </c>
      <c r="F453" s="2683" t="s">
        <v>5908</v>
      </c>
      <c r="G453" s="2683" t="s">
        <v>5908</v>
      </c>
      <c r="H453" s="2683" t="s">
        <v>5908</v>
      </c>
      <c r="I453" s="2683" t="s">
        <v>5908</v>
      </c>
      <c r="J453" s="2683">
        <v>1039</v>
      </c>
      <c r="K453" s="2684"/>
      <c r="L453" s="2683" t="s">
        <v>5922</v>
      </c>
    </row>
    <row r="454" spans="1:12">
      <c r="A454" s="2682" t="s">
        <v>146</v>
      </c>
      <c r="B454" s="2682">
        <v>380688</v>
      </c>
      <c r="C454" s="2682">
        <v>440</v>
      </c>
      <c r="D454" s="2682">
        <v>620</v>
      </c>
      <c r="E454" s="2682">
        <v>484</v>
      </c>
      <c r="F454" s="2682" t="s">
        <v>5908</v>
      </c>
      <c r="G454" s="2682" t="s">
        <v>5908</v>
      </c>
      <c r="H454" s="2682" t="s">
        <v>5908</v>
      </c>
      <c r="I454" s="2682" t="s">
        <v>5908</v>
      </c>
      <c r="J454" s="2682">
        <v>440</v>
      </c>
      <c r="L454" s="2682">
        <v>77888</v>
      </c>
    </row>
    <row r="455" spans="1:12">
      <c r="A455" s="2683" t="s">
        <v>146</v>
      </c>
      <c r="B455" s="2683" t="s">
        <v>6354</v>
      </c>
      <c r="C455" s="2683">
        <v>460</v>
      </c>
      <c r="D455" s="2683">
        <v>650</v>
      </c>
      <c r="E455" s="2683">
        <v>474</v>
      </c>
      <c r="F455" s="2683" t="s">
        <v>5908</v>
      </c>
      <c r="G455" s="2683" t="s">
        <v>5908</v>
      </c>
      <c r="H455" s="2683" t="s">
        <v>5908</v>
      </c>
      <c r="I455" s="2683" t="s">
        <v>5908</v>
      </c>
      <c r="J455" s="2683">
        <v>495</v>
      </c>
      <c r="K455" s="2684"/>
      <c r="L455" s="2683" t="s">
        <v>6355</v>
      </c>
    </row>
    <row r="456" spans="1:12">
      <c r="A456" s="2682" t="s">
        <v>146</v>
      </c>
      <c r="B456" s="2682" t="s">
        <v>6356</v>
      </c>
      <c r="C456" s="2682">
        <v>139.69999999999999</v>
      </c>
      <c r="D456" s="2682">
        <v>200</v>
      </c>
      <c r="E456" s="2682">
        <v>160.33799999999999</v>
      </c>
      <c r="F456" s="2682" t="s">
        <v>5908</v>
      </c>
      <c r="G456" s="2682" t="s">
        <v>5908</v>
      </c>
      <c r="H456" s="2682" t="s">
        <v>5908</v>
      </c>
      <c r="I456" s="2682" t="s">
        <v>5908</v>
      </c>
      <c r="J456" s="2682">
        <v>495</v>
      </c>
      <c r="L456" s="2682" t="s">
        <v>5922</v>
      </c>
    </row>
    <row r="457" spans="1:12">
      <c r="A457" s="2683" t="s">
        <v>146</v>
      </c>
      <c r="B457" s="2683" t="s">
        <v>6357</v>
      </c>
      <c r="C457" s="2683">
        <v>482.6</v>
      </c>
      <c r="D457" s="2683">
        <v>615.95000000000005</v>
      </c>
      <c r="E457" s="2683">
        <v>330.2</v>
      </c>
      <c r="F457" s="2683" t="s">
        <v>5908</v>
      </c>
      <c r="G457" s="2683" t="s">
        <v>5908</v>
      </c>
      <c r="H457" s="2683" t="s">
        <v>5908</v>
      </c>
      <c r="I457" s="2683" t="s">
        <v>5908</v>
      </c>
      <c r="J457" s="2683">
        <v>239</v>
      </c>
      <c r="K457" s="2684"/>
      <c r="L457" s="2683" t="s">
        <v>5922</v>
      </c>
    </row>
    <row r="458" spans="1:12">
      <c r="A458" s="2682" t="s">
        <v>146</v>
      </c>
      <c r="B458" s="2682" t="s">
        <v>6358</v>
      </c>
      <c r="C458" s="2682">
        <v>540</v>
      </c>
      <c r="D458" s="2682">
        <v>690</v>
      </c>
      <c r="E458" s="2682">
        <v>400</v>
      </c>
      <c r="F458" s="2682" t="s">
        <v>5908</v>
      </c>
      <c r="G458" s="2682" t="s">
        <v>5908</v>
      </c>
      <c r="H458" s="2682" t="s">
        <v>5908</v>
      </c>
      <c r="I458" s="2682" t="s">
        <v>5908</v>
      </c>
      <c r="J458" s="2682">
        <v>375</v>
      </c>
      <c r="L458" s="2682" t="s">
        <v>5922</v>
      </c>
    </row>
    <row r="459" spans="1:12">
      <c r="A459" s="2683" t="s">
        <v>146</v>
      </c>
      <c r="B459" s="2683" t="s">
        <v>6359</v>
      </c>
      <c r="C459" s="2683">
        <v>600</v>
      </c>
      <c r="D459" s="2683">
        <v>800</v>
      </c>
      <c r="E459" s="2683">
        <v>365</v>
      </c>
      <c r="F459" s="2683" t="s">
        <v>5908</v>
      </c>
      <c r="G459" s="2683" t="s">
        <v>5908</v>
      </c>
      <c r="H459" s="2683" t="s">
        <v>5908</v>
      </c>
      <c r="I459" s="2683" t="s">
        <v>5908</v>
      </c>
      <c r="J459" s="2683">
        <v>489</v>
      </c>
      <c r="K459" s="2684"/>
      <c r="L459" s="2683" t="s">
        <v>6360</v>
      </c>
    </row>
    <row r="460" spans="1:12">
      <c r="A460" s="2682" t="s">
        <v>146</v>
      </c>
      <c r="B460" s="2682">
        <v>351056</v>
      </c>
      <c r="C460" s="2682">
        <v>280</v>
      </c>
      <c r="D460" s="2682">
        <v>420</v>
      </c>
      <c r="E460" s="2682">
        <v>133</v>
      </c>
      <c r="F460" s="2682" t="s">
        <v>5908</v>
      </c>
      <c r="G460" s="2682" t="s">
        <v>5908</v>
      </c>
      <c r="H460" s="2682" t="s">
        <v>5908</v>
      </c>
      <c r="I460" s="2682" t="s">
        <v>5908</v>
      </c>
      <c r="J460" s="2682">
        <v>58.1</v>
      </c>
      <c r="L460" s="2682">
        <v>97156</v>
      </c>
    </row>
    <row r="461" spans="1:12">
      <c r="A461" s="2683" t="s">
        <v>146</v>
      </c>
      <c r="B461" s="2683">
        <v>351068</v>
      </c>
      <c r="C461" s="2683">
        <v>340</v>
      </c>
      <c r="D461" s="2683">
        <v>520</v>
      </c>
      <c r="E461" s="2683">
        <v>180</v>
      </c>
      <c r="F461" s="2683" t="s">
        <v>5908</v>
      </c>
      <c r="G461" s="2683" t="s">
        <v>5908</v>
      </c>
      <c r="H461" s="2683" t="s">
        <v>5908</v>
      </c>
      <c r="I461" s="2683" t="s">
        <v>5908</v>
      </c>
      <c r="J461" s="2683">
        <v>119</v>
      </c>
      <c r="K461" s="2684"/>
      <c r="L461" s="2683">
        <v>97168</v>
      </c>
    </row>
    <row r="462" spans="1:12">
      <c r="A462" s="2682" t="s">
        <v>146</v>
      </c>
      <c r="B462" s="2682">
        <v>351072</v>
      </c>
      <c r="C462" s="2682">
        <v>360</v>
      </c>
      <c r="D462" s="2682">
        <v>540</v>
      </c>
      <c r="E462" s="2682">
        <v>185</v>
      </c>
      <c r="F462" s="2682" t="s">
        <v>5908</v>
      </c>
      <c r="G462" s="2682" t="s">
        <v>5908</v>
      </c>
      <c r="H462" s="2682" t="s">
        <v>5908</v>
      </c>
      <c r="I462" s="2682" t="s">
        <v>5908</v>
      </c>
      <c r="J462" s="2682">
        <v>120</v>
      </c>
      <c r="L462" s="2682">
        <v>97172</v>
      </c>
    </row>
    <row r="463" spans="1:12">
      <c r="A463" s="2683" t="s">
        <v>146</v>
      </c>
      <c r="B463" s="2683">
        <v>351076</v>
      </c>
      <c r="C463" s="2683">
        <v>380</v>
      </c>
      <c r="D463" s="2683">
        <v>560</v>
      </c>
      <c r="E463" s="2683">
        <v>190</v>
      </c>
      <c r="F463" s="2683" t="s">
        <v>5908</v>
      </c>
      <c r="G463" s="2683" t="s">
        <v>5908</v>
      </c>
      <c r="H463" s="2683" t="s">
        <v>5908</v>
      </c>
      <c r="I463" s="2683" t="s">
        <v>5908</v>
      </c>
      <c r="J463" s="2683">
        <v>146</v>
      </c>
      <c r="K463" s="2684"/>
      <c r="L463" s="2683">
        <v>97176</v>
      </c>
    </row>
    <row r="464" spans="1:12">
      <c r="A464" s="2682" t="s">
        <v>146</v>
      </c>
      <c r="B464" s="2682">
        <v>351080</v>
      </c>
      <c r="C464" s="2682">
        <v>400</v>
      </c>
      <c r="D464" s="2682">
        <v>600</v>
      </c>
      <c r="E464" s="2682">
        <v>206</v>
      </c>
      <c r="F464" s="2682" t="s">
        <v>5908</v>
      </c>
      <c r="G464" s="2682" t="s">
        <v>5908</v>
      </c>
      <c r="H464" s="2682" t="s">
        <v>5908</v>
      </c>
      <c r="I464" s="2682" t="s">
        <v>5908</v>
      </c>
      <c r="J464" s="2682">
        <v>180</v>
      </c>
      <c r="L464" s="2682">
        <v>97180</v>
      </c>
    </row>
    <row r="465" spans="1:12">
      <c r="A465" s="2683" t="s">
        <v>146</v>
      </c>
      <c r="B465" s="2683">
        <v>351084</v>
      </c>
      <c r="C465" s="2683">
        <v>420</v>
      </c>
      <c r="D465" s="2683">
        <v>620</v>
      </c>
      <c r="E465" s="2683">
        <v>206</v>
      </c>
      <c r="F465" s="2683" t="s">
        <v>5908</v>
      </c>
      <c r="G465" s="2683" t="s">
        <v>5908</v>
      </c>
      <c r="H465" s="2683" t="s">
        <v>5908</v>
      </c>
      <c r="I465" s="2683" t="s">
        <v>5908</v>
      </c>
      <c r="J465" s="2683">
        <v>187</v>
      </c>
      <c r="K465" s="2684"/>
      <c r="L465" s="2683">
        <v>97184</v>
      </c>
    </row>
    <row r="466" spans="1:12">
      <c r="A466" s="2682" t="s">
        <v>146</v>
      </c>
      <c r="B466" s="2682">
        <v>351088</v>
      </c>
      <c r="C466" s="2682">
        <v>440</v>
      </c>
      <c r="D466" s="2682">
        <v>650</v>
      </c>
      <c r="E466" s="2682">
        <v>212</v>
      </c>
      <c r="F466" s="2682" t="s">
        <v>5908</v>
      </c>
      <c r="G466" s="2682" t="s">
        <v>5908</v>
      </c>
      <c r="H466" s="2682" t="s">
        <v>5908</v>
      </c>
      <c r="I466" s="2682" t="s">
        <v>5908</v>
      </c>
      <c r="J466" s="2682">
        <v>213</v>
      </c>
      <c r="L466" s="2682">
        <v>97188</v>
      </c>
    </row>
    <row r="467" spans="1:12">
      <c r="A467" s="2683" t="s">
        <v>146</v>
      </c>
      <c r="B467" s="2683">
        <v>351092</v>
      </c>
      <c r="C467" s="2683">
        <v>460</v>
      </c>
      <c r="D467" s="2683">
        <v>680</v>
      </c>
      <c r="E467" s="2683">
        <v>230</v>
      </c>
      <c r="F467" s="2683" t="s">
        <v>5908</v>
      </c>
      <c r="G467" s="2683" t="s">
        <v>5908</v>
      </c>
      <c r="H467" s="2683" t="s">
        <v>5908</v>
      </c>
      <c r="I467" s="2683" t="s">
        <v>5908</v>
      </c>
      <c r="J467" s="2683">
        <v>267</v>
      </c>
      <c r="K467" s="2684"/>
      <c r="L467" s="2683" t="s">
        <v>6361</v>
      </c>
    </row>
    <row r="468" spans="1:12">
      <c r="A468" s="2682" t="s">
        <v>146</v>
      </c>
      <c r="B468" s="2682">
        <v>351096</v>
      </c>
      <c r="C468" s="2682">
        <v>480</v>
      </c>
      <c r="D468" s="2682">
        <v>700</v>
      </c>
      <c r="E468" s="2682">
        <v>240</v>
      </c>
      <c r="F468" s="2682" t="s">
        <v>5908</v>
      </c>
      <c r="G468" s="2682" t="s">
        <v>5908</v>
      </c>
      <c r="H468" s="2682" t="s">
        <v>5908</v>
      </c>
      <c r="I468" s="2682" t="s">
        <v>5908</v>
      </c>
      <c r="J468" s="2682">
        <v>281</v>
      </c>
      <c r="L468" s="2682">
        <v>97196</v>
      </c>
    </row>
    <row r="469" spans="1:12">
      <c r="A469" s="2683" t="s">
        <v>146</v>
      </c>
      <c r="B469" s="2683" t="s">
        <v>6362</v>
      </c>
      <c r="C469" s="2683">
        <v>500</v>
      </c>
      <c r="D469" s="2683">
        <v>720</v>
      </c>
      <c r="E469" s="2683">
        <v>236</v>
      </c>
      <c r="F469" s="2683" t="s">
        <v>5908</v>
      </c>
      <c r="G469" s="2683" t="s">
        <v>5908</v>
      </c>
      <c r="H469" s="2683" t="s">
        <v>5908</v>
      </c>
      <c r="I469" s="2683" t="s">
        <v>5908</v>
      </c>
      <c r="J469" s="2683">
        <v>289</v>
      </c>
      <c r="K469" s="2684"/>
      <c r="L469" s="2683" t="s">
        <v>5922</v>
      </c>
    </row>
    <row r="470" spans="1:12">
      <c r="A470" s="2682" t="s">
        <v>146</v>
      </c>
      <c r="B470" s="2682" t="s">
        <v>6363</v>
      </c>
      <c r="C470" s="2682">
        <v>560</v>
      </c>
      <c r="D470" s="2682">
        <v>820</v>
      </c>
      <c r="E470" s="2682">
        <v>260</v>
      </c>
      <c r="F470" s="2682" t="s">
        <v>5908</v>
      </c>
      <c r="G470" s="2682" t="s">
        <v>5908</v>
      </c>
      <c r="H470" s="2682" t="s">
        <v>5908</v>
      </c>
      <c r="I470" s="2682" t="s">
        <v>5908</v>
      </c>
      <c r="J470" s="2682">
        <v>409</v>
      </c>
      <c r="L470" s="2682" t="s">
        <v>5922</v>
      </c>
    </row>
    <row r="471" spans="1:12">
      <c r="A471" s="2683" t="s">
        <v>146</v>
      </c>
      <c r="B471" s="2683" t="s">
        <v>6364</v>
      </c>
      <c r="C471" s="2683">
        <v>600</v>
      </c>
      <c r="D471" s="2683">
        <v>870</v>
      </c>
      <c r="E471" s="2683">
        <v>270</v>
      </c>
      <c r="F471" s="2683" t="s">
        <v>5908</v>
      </c>
      <c r="G471" s="2683" t="s">
        <v>5908</v>
      </c>
      <c r="H471" s="2683" t="s">
        <v>5908</v>
      </c>
      <c r="I471" s="2683" t="s">
        <v>5908</v>
      </c>
      <c r="J471" s="2683">
        <v>500</v>
      </c>
      <c r="K471" s="2684"/>
      <c r="L471" s="2683" t="s">
        <v>5922</v>
      </c>
    </row>
    <row r="472" spans="1:12">
      <c r="A472" s="2682" t="s">
        <v>146</v>
      </c>
      <c r="B472" s="2682" t="s">
        <v>6365</v>
      </c>
      <c r="C472" s="2682">
        <v>50</v>
      </c>
      <c r="D472" s="2682">
        <v>90</v>
      </c>
      <c r="E472" s="2682">
        <v>49</v>
      </c>
      <c r="F472" s="2682" t="s">
        <v>5908</v>
      </c>
      <c r="G472" s="2682" t="s">
        <v>5908</v>
      </c>
      <c r="H472" s="2682" t="s">
        <v>5908</v>
      </c>
      <c r="I472" s="2682" t="s">
        <v>5908</v>
      </c>
      <c r="J472" s="2682">
        <v>1.21</v>
      </c>
      <c r="L472" s="2682" t="s">
        <v>6366</v>
      </c>
    </row>
    <row r="473" spans="1:12">
      <c r="A473" s="2683" t="s">
        <v>146</v>
      </c>
      <c r="B473" s="2683" t="s">
        <v>6367</v>
      </c>
      <c r="C473" s="2683">
        <v>110</v>
      </c>
      <c r="D473" s="2683">
        <v>200</v>
      </c>
      <c r="E473" s="2683">
        <v>92</v>
      </c>
      <c r="F473" s="2683" t="s">
        <v>5908</v>
      </c>
      <c r="G473" s="2683" t="s">
        <v>5908</v>
      </c>
      <c r="H473" s="2683" t="s">
        <v>5908</v>
      </c>
      <c r="I473" s="2683" t="s">
        <v>5908</v>
      </c>
      <c r="J473" s="2683">
        <v>11.465</v>
      </c>
      <c r="K473" s="2684"/>
      <c r="L473" s="2683" t="s">
        <v>6368</v>
      </c>
    </row>
    <row r="474" spans="1:12">
      <c r="A474" s="2682" t="s">
        <v>146</v>
      </c>
      <c r="B474" s="2682">
        <v>352208</v>
      </c>
      <c r="C474" s="2682">
        <v>40</v>
      </c>
      <c r="D474" s="2682">
        <v>80</v>
      </c>
      <c r="E474" s="2682">
        <v>55</v>
      </c>
      <c r="F474" s="2682" t="s">
        <v>5908</v>
      </c>
      <c r="G474" s="2682" t="s">
        <v>5908</v>
      </c>
      <c r="H474" s="2682" t="s">
        <v>5908</v>
      </c>
      <c r="I474" s="2682" t="s">
        <v>5908</v>
      </c>
      <c r="J474" s="2682">
        <v>1.21</v>
      </c>
      <c r="L474" s="2682">
        <v>97508</v>
      </c>
    </row>
    <row r="475" spans="1:12">
      <c r="A475" s="2683" t="s">
        <v>146</v>
      </c>
      <c r="B475" s="2683">
        <v>352210</v>
      </c>
      <c r="C475" s="2683">
        <v>50</v>
      </c>
      <c r="D475" s="2683">
        <v>90</v>
      </c>
      <c r="E475" s="2683">
        <v>55</v>
      </c>
      <c r="F475" s="2683">
        <v>292</v>
      </c>
      <c r="G475" s="2683">
        <v>220</v>
      </c>
      <c r="H475" s="2683">
        <v>3400</v>
      </c>
      <c r="I475" s="2683">
        <v>4500</v>
      </c>
      <c r="J475" s="2683">
        <v>1.34</v>
      </c>
      <c r="K475" s="2684"/>
      <c r="L475" s="2683">
        <v>97510</v>
      </c>
    </row>
    <row r="476" spans="1:12">
      <c r="A476" s="2682" t="s">
        <v>146</v>
      </c>
      <c r="B476" s="2682">
        <v>352212</v>
      </c>
      <c r="C476" s="2682">
        <v>60</v>
      </c>
      <c r="D476" s="2682">
        <v>120</v>
      </c>
      <c r="E476" s="2682">
        <v>75</v>
      </c>
      <c r="F476" s="2682" t="s">
        <v>5908</v>
      </c>
      <c r="G476" s="2682" t="s">
        <v>5908</v>
      </c>
      <c r="H476" s="2682" t="s">
        <v>5908</v>
      </c>
      <c r="I476" s="2682" t="s">
        <v>5908</v>
      </c>
      <c r="J476" s="2682">
        <v>1.34</v>
      </c>
      <c r="L476" s="2682" t="s">
        <v>6369</v>
      </c>
    </row>
    <row r="477" spans="1:12">
      <c r="A477" s="2683" t="s">
        <v>146</v>
      </c>
      <c r="B477" s="2683">
        <v>352213</v>
      </c>
      <c r="C477" s="2683">
        <v>65</v>
      </c>
      <c r="D477" s="2683">
        <v>120</v>
      </c>
      <c r="E477" s="2683">
        <v>75</v>
      </c>
      <c r="F477" s="2683" t="s">
        <v>5908</v>
      </c>
      <c r="G477" s="2683" t="s">
        <v>5908</v>
      </c>
      <c r="H477" s="2683" t="s">
        <v>5908</v>
      </c>
      <c r="I477" s="2683" t="s">
        <v>5908</v>
      </c>
      <c r="J477" s="2683">
        <v>3.39</v>
      </c>
      <c r="K477" s="2684"/>
      <c r="L477" s="2683" t="s">
        <v>6370</v>
      </c>
    </row>
    <row r="478" spans="1:12">
      <c r="A478" s="2682" t="s">
        <v>146</v>
      </c>
      <c r="B478" s="2682">
        <v>352214</v>
      </c>
      <c r="C478" s="2682">
        <v>70</v>
      </c>
      <c r="D478" s="2682">
        <v>125</v>
      </c>
      <c r="E478" s="2682">
        <v>75</v>
      </c>
      <c r="F478" s="2682" t="s">
        <v>5908</v>
      </c>
      <c r="G478" s="2682" t="s">
        <v>5908</v>
      </c>
      <c r="H478" s="2682" t="s">
        <v>5908</v>
      </c>
      <c r="I478" s="2682" t="s">
        <v>5908</v>
      </c>
      <c r="J478" s="2682">
        <v>3.51</v>
      </c>
      <c r="L478" s="2682" t="s">
        <v>6371</v>
      </c>
    </row>
    <row r="479" spans="1:12">
      <c r="A479" s="2683" t="s">
        <v>146</v>
      </c>
      <c r="B479" s="2683">
        <v>352215</v>
      </c>
      <c r="C479" s="2683">
        <v>75</v>
      </c>
      <c r="D479" s="2683">
        <v>130</v>
      </c>
      <c r="E479" s="2683">
        <v>75</v>
      </c>
      <c r="F479" s="2683" t="s">
        <v>5908</v>
      </c>
      <c r="G479" s="2683" t="s">
        <v>5908</v>
      </c>
      <c r="H479" s="2683" t="s">
        <v>5908</v>
      </c>
      <c r="I479" s="2683" t="s">
        <v>5908</v>
      </c>
      <c r="J479" s="2683">
        <v>3.64</v>
      </c>
      <c r="K479" s="2684"/>
      <c r="L479" s="2683" t="s">
        <v>6372</v>
      </c>
    </row>
    <row r="480" spans="1:12">
      <c r="A480" s="2682" t="s">
        <v>146</v>
      </c>
      <c r="B480" s="2682">
        <v>352216</v>
      </c>
      <c r="C480" s="2682">
        <v>80</v>
      </c>
      <c r="D480" s="2682">
        <v>140</v>
      </c>
      <c r="E480" s="2682">
        <v>80</v>
      </c>
      <c r="F480" s="2682" t="s">
        <v>5908</v>
      </c>
      <c r="G480" s="2682" t="s">
        <v>5908</v>
      </c>
      <c r="H480" s="2682" t="s">
        <v>5908</v>
      </c>
      <c r="I480" s="2682" t="s">
        <v>5908</v>
      </c>
      <c r="J480" s="2682">
        <v>4.97</v>
      </c>
      <c r="L480" s="2682" t="s">
        <v>6373</v>
      </c>
    </row>
    <row r="481" spans="1:12">
      <c r="A481" s="2683" t="s">
        <v>146</v>
      </c>
      <c r="B481" s="2683">
        <v>352217</v>
      </c>
      <c r="C481" s="2683">
        <v>85</v>
      </c>
      <c r="D481" s="2683">
        <v>150</v>
      </c>
      <c r="E481" s="2683">
        <v>85</v>
      </c>
      <c r="F481" s="2683" t="s">
        <v>5908</v>
      </c>
      <c r="G481" s="2683" t="s">
        <v>5908</v>
      </c>
      <c r="H481" s="2683" t="s">
        <v>5908</v>
      </c>
      <c r="I481" s="2683" t="s">
        <v>5908</v>
      </c>
      <c r="J481" s="2683">
        <v>5.67</v>
      </c>
      <c r="K481" s="2684"/>
      <c r="L481" s="2683" t="s">
        <v>6374</v>
      </c>
    </row>
    <row r="482" spans="1:12">
      <c r="A482" s="2682" t="s">
        <v>146</v>
      </c>
      <c r="B482" s="2682">
        <v>352218</v>
      </c>
      <c r="C482" s="2682">
        <v>90</v>
      </c>
      <c r="D482" s="2682">
        <v>160</v>
      </c>
      <c r="E482" s="2682">
        <v>95</v>
      </c>
      <c r="F482" s="2682" t="s">
        <v>5908</v>
      </c>
      <c r="G482" s="2682" t="s">
        <v>5908</v>
      </c>
      <c r="H482" s="2682" t="s">
        <v>5908</v>
      </c>
      <c r="I482" s="2682" t="s">
        <v>5908</v>
      </c>
      <c r="J482" s="2682">
        <v>7.46</v>
      </c>
      <c r="L482" s="2682" t="s">
        <v>6375</v>
      </c>
    </row>
    <row r="483" spans="1:12">
      <c r="A483" s="2683" t="s">
        <v>146</v>
      </c>
      <c r="B483" s="2683">
        <v>352220</v>
      </c>
      <c r="C483" s="2683">
        <v>100</v>
      </c>
      <c r="D483" s="2683">
        <v>180</v>
      </c>
      <c r="E483" s="2683">
        <v>112</v>
      </c>
      <c r="F483" s="2683" t="s">
        <v>5908</v>
      </c>
      <c r="G483" s="2683" t="s">
        <v>5908</v>
      </c>
      <c r="H483" s="2683" t="s">
        <v>5908</v>
      </c>
      <c r="I483" s="2683" t="s">
        <v>5908</v>
      </c>
      <c r="J483" s="2683">
        <v>10.7</v>
      </c>
      <c r="K483" s="2684"/>
      <c r="L483" s="2683" t="s">
        <v>6376</v>
      </c>
    </row>
    <row r="484" spans="1:12">
      <c r="A484" s="2682" t="s">
        <v>146</v>
      </c>
      <c r="B484" s="2682" t="s">
        <v>6377</v>
      </c>
      <c r="C484" s="2682">
        <v>100</v>
      </c>
      <c r="D484" s="2682">
        <v>180</v>
      </c>
      <c r="E484" s="2682">
        <v>112</v>
      </c>
      <c r="F484" s="2682" t="s">
        <v>5908</v>
      </c>
      <c r="G484" s="2682" t="s">
        <v>5908</v>
      </c>
      <c r="H484" s="2682" t="s">
        <v>5908</v>
      </c>
      <c r="I484" s="2682" t="s">
        <v>5908</v>
      </c>
      <c r="J484" s="2682">
        <v>10.7</v>
      </c>
      <c r="L484" s="2682" t="s">
        <v>5922</v>
      </c>
    </row>
    <row r="485" spans="1:12">
      <c r="A485" s="2683" t="s">
        <v>146</v>
      </c>
      <c r="B485" s="2683" t="s">
        <v>6378</v>
      </c>
      <c r="C485" s="2683">
        <v>105</v>
      </c>
      <c r="D485" s="2683">
        <v>190</v>
      </c>
      <c r="E485" s="2683">
        <v>118</v>
      </c>
      <c r="F485" s="2683" t="s">
        <v>5908</v>
      </c>
      <c r="G485" s="2683" t="s">
        <v>5908</v>
      </c>
      <c r="H485" s="2683" t="s">
        <v>5908</v>
      </c>
      <c r="I485" s="2683" t="s">
        <v>5908</v>
      </c>
      <c r="J485" s="2683">
        <v>13</v>
      </c>
      <c r="K485" s="2684"/>
      <c r="L485" s="2683" t="s">
        <v>5922</v>
      </c>
    </row>
    <row r="486" spans="1:12">
      <c r="A486" s="2682" t="s">
        <v>146</v>
      </c>
      <c r="B486" s="2682">
        <v>352222</v>
      </c>
      <c r="C486" s="2682">
        <v>110</v>
      </c>
      <c r="D486" s="2682">
        <v>200</v>
      </c>
      <c r="E486" s="2682">
        <v>125</v>
      </c>
      <c r="F486" s="2682" t="s">
        <v>5908</v>
      </c>
      <c r="G486" s="2682" t="s">
        <v>5908</v>
      </c>
      <c r="H486" s="2682" t="s">
        <v>5908</v>
      </c>
      <c r="I486" s="2682" t="s">
        <v>5908</v>
      </c>
      <c r="J486" s="2682">
        <v>16.399999999999999</v>
      </c>
      <c r="L486" s="2682">
        <v>97522</v>
      </c>
    </row>
    <row r="487" spans="1:12">
      <c r="A487" s="2683" t="s">
        <v>146</v>
      </c>
      <c r="B487" s="2683">
        <v>352224</v>
      </c>
      <c r="C487" s="2683">
        <v>120</v>
      </c>
      <c r="D487" s="2683">
        <v>211</v>
      </c>
      <c r="E487" s="2683">
        <v>132</v>
      </c>
      <c r="F487" s="2683" t="s">
        <v>5908</v>
      </c>
      <c r="G487" s="2683" t="s">
        <v>5908</v>
      </c>
      <c r="H487" s="2683" t="s">
        <v>5908</v>
      </c>
      <c r="I487" s="2683" t="s">
        <v>5908</v>
      </c>
      <c r="J487" s="2683">
        <v>19.100000000000001</v>
      </c>
      <c r="K487" s="2684"/>
      <c r="L487" s="2683" t="s">
        <v>6379</v>
      </c>
    </row>
    <row r="488" spans="1:12">
      <c r="A488" s="2682" t="s">
        <v>146</v>
      </c>
      <c r="B488" s="2682">
        <v>352226</v>
      </c>
      <c r="C488" s="2682">
        <v>130</v>
      </c>
      <c r="D488" s="2682">
        <v>230</v>
      </c>
      <c r="E488" s="2682">
        <v>150</v>
      </c>
      <c r="F488" s="2682" t="s">
        <v>5908</v>
      </c>
      <c r="G488" s="2682" t="s">
        <v>5908</v>
      </c>
      <c r="H488" s="2682" t="s">
        <v>5908</v>
      </c>
      <c r="I488" s="2682" t="s">
        <v>5908</v>
      </c>
      <c r="J488" s="2682">
        <v>26.5</v>
      </c>
      <c r="L488" s="2682" t="s">
        <v>6380</v>
      </c>
    </row>
    <row r="489" spans="1:12">
      <c r="A489" s="2683" t="s">
        <v>146</v>
      </c>
      <c r="B489" s="2683">
        <v>352228</v>
      </c>
      <c r="C489" s="2683">
        <v>140</v>
      </c>
      <c r="D489" s="2683">
        <v>250</v>
      </c>
      <c r="E489" s="2683">
        <v>158</v>
      </c>
      <c r="F489" s="2683" t="s">
        <v>5908</v>
      </c>
      <c r="G489" s="2683" t="s">
        <v>5908</v>
      </c>
      <c r="H489" s="2683" t="s">
        <v>5908</v>
      </c>
      <c r="I489" s="2683" t="s">
        <v>5908</v>
      </c>
      <c r="J489" s="2683">
        <v>30.6</v>
      </c>
      <c r="K489" s="2684"/>
      <c r="L489" s="2683" t="s">
        <v>6381</v>
      </c>
    </row>
    <row r="490" spans="1:12">
      <c r="A490" s="2682" t="s">
        <v>146</v>
      </c>
      <c r="B490" s="2682">
        <v>352230</v>
      </c>
      <c r="C490" s="2682">
        <v>150</v>
      </c>
      <c r="D490" s="2682">
        <v>270</v>
      </c>
      <c r="E490" s="2682">
        <v>170</v>
      </c>
      <c r="F490" s="2682" t="s">
        <v>5908</v>
      </c>
      <c r="G490" s="2682" t="s">
        <v>5908</v>
      </c>
      <c r="H490" s="2682" t="s">
        <v>5908</v>
      </c>
      <c r="I490" s="2682" t="s">
        <v>5908</v>
      </c>
      <c r="J490" s="2682">
        <v>40.4</v>
      </c>
      <c r="L490" s="2682" t="s">
        <v>6382</v>
      </c>
    </row>
    <row r="491" spans="1:12">
      <c r="A491" s="2683" t="s">
        <v>146</v>
      </c>
      <c r="B491" s="2683">
        <v>352232</v>
      </c>
      <c r="C491" s="2683">
        <v>160</v>
      </c>
      <c r="D491" s="2683">
        <v>290</v>
      </c>
      <c r="E491" s="2683">
        <v>180</v>
      </c>
      <c r="F491" s="2683" t="s">
        <v>5908</v>
      </c>
      <c r="G491" s="2683" t="s">
        <v>5908</v>
      </c>
      <c r="H491" s="2683" t="s">
        <v>5908</v>
      </c>
      <c r="I491" s="2683" t="s">
        <v>5908</v>
      </c>
      <c r="J491" s="2683">
        <v>46.2</v>
      </c>
      <c r="K491" s="2684"/>
      <c r="L491" s="2683" t="s">
        <v>6383</v>
      </c>
    </row>
    <row r="492" spans="1:12">
      <c r="A492" s="2682" t="s">
        <v>146</v>
      </c>
      <c r="B492" s="2682">
        <v>352236</v>
      </c>
      <c r="C492" s="2682">
        <v>180</v>
      </c>
      <c r="D492" s="2682">
        <v>320</v>
      </c>
      <c r="E492" s="2682">
        <v>190</v>
      </c>
      <c r="F492" s="2682" t="s">
        <v>5908</v>
      </c>
      <c r="G492" s="2682" t="s">
        <v>5908</v>
      </c>
      <c r="H492" s="2682" t="s">
        <v>5908</v>
      </c>
      <c r="I492" s="2682" t="s">
        <v>5908</v>
      </c>
      <c r="J492" s="2682">
        <v>62.7</v>
      </c>
      <c r="L492" s="2682" t="s">
        <v>6384</v>
      </c>
    </row>
    <row r="493" spans="1:12">
      <c r="A493" s="2683" t="s">
        <v>146</v>
      </c>
      <c r="B493" s="2683">
        <v>352240</v>
      </c>
      <c r="C493" s="2683">
        <v>200</v>
      </c>
      <c r="D493" s="2683">
        <v>360</v>
      </c>
      <c r="E493" s="2683">
        <v>218</v>
      </c>
      <c r="F493" s="2683" t="s">
        <v>5908</v>
      </c>
      <c r="G493" s="2683" t="s">
        <v>5908</v>
      </c>
      <c r="H493" s="2683" t="s">
        <v>5908</v>
      </c>
      <c r="I493" s="2683" t="s">
        <v>5908</v>
      </c>
      <c r="J493" s="2683">
        <v>93.3</v>
      </c>
      <c r="K493" s="2684"/>
      <c r="L493" s="2683" t="s">
        <v>6385</v>
      </c>
    </row>
    <row r="494" spans="1:12">
      <c r="A494" s="2682" t="s">
        <v>146</v>
      </c>
      <c r="B494" s="2682">
        <v>350620</v>
      </c>
      <c r="C494" s="2682">
        <v>100</v>
      </c>
      <c r="D494" s="2682">
        <v>182</v>
      </c>
      <c r="E494" s="2682">
        <v>112</v>
      </c>
      <c r="F494" s="2682" t="s">
        <v>5908</v>
      </c>
      <c r="G494" s="2682" t="s">
        <v>5908</v>
      </c>
      <c r="H494" s="2682" t="s">
        <v>5908</v>
      </c>
      <c r="I494" s="2682" t="s">
        <v>5908</v>
      </c>
      <c r="J494" s="2682">
        <v>13.2</v>
      </c>
      <c r="L494" s="2682">
        <v>37720</v>
      </c>
    </row>
    <row r="495" spans="1:12">
      <c r="A495" s="2683" t="s">
        <v>146</v>
      </c>
      <c r="B495" s="2683" t="s">
        <v>6386</v>
      </c>
      <c r="C495" s="2683">
        <v>150</v>
      </c>
      <c r="D495" s="2683">
        <v>270</v>
      </c>
      <c r="E495" s="2683">
        <v>277</v>
      </c>
      <c r="F495" s="2683" t="s">
        <v>5908</v>
      </c>
      <c r="G495" s="2683" t="s">
        <v>5908</v>
      </c>
      <c r="H495" s="2683" t="s">
        <v>5908</v>
      </c>
      <c r="I495" s="2683" t="s">
        <v>5908</v>
      </c>
      <c r="J495" s="2683">
        <v>37.200000000000003</v>
      </c>
      <c r="K495" s="2684"/>
      <c r="L495" s="2683" t="s">
        <v>5922</v>
      </c>
    </row>
    <row r="496" spans="1:12">
      <c r="A496" s="2682" t="s">
        <v>146</v>
      </c>
      <c r="B496" s="2682">
        <v>350636</v>
      </c>
      <c r="C496" s="2682">
        <v>180</v>
      </c>
      <c r="D496" s="2682">
        <v>340</v>
      </c>
      <c r="E496" s="2682">
        <v>140</v>
      </c>
      <c r="F496" s="2682" t="s">
        <v>5908</v>
      </c>
      <c r="G496" s="2682" t="s">
        <v>5908</v>
      </c>
      <c r="H496" s="2682" t="s">
        <v>5908</v>
      </c>
      <c r="I496" s="2682" t="s">
        <v>5908</v>
      </c>
      <c r="J496" s="2682">
        <v>37.200000000000003</v>
      </c>
      <c r="L496" s="2682">
        <v>97736</v>
      </c>
    </row>
    <row r="497" spans="1:12">
      <c r="A497" s="2683" t="s">
        <v>146</v>
      </c>
      <c r="B497" s="2683" t="s">
        <v>6387</v>
      </c>
      <c r="C497" s="2683">
        <v>300</v>
      </c>
      <c r="D497" s="2683">
        <v>420</v>
      </c>
      <c r="E497" s="2683">
        <v>175</v>
      </c>
      <c r="F497" s="2683" t="s">
        <v>5908</v>
      </c>
      <c r="G497" s="2683" t="s">
        <v>5908</v>
      </c>
      <c r="H497" s="2683" t="s">
        <v>5908</v>
      </c>
      <c r="I497" s="2683" t="s">
        <v>5908</v>
      </c>
      <c r="J497" s="2683">
        <v>65.5</v>
      </c>
      <c r="K497" s="2684"/>
      <c r="L497" s="2683" t="s">
        <v>5922</v>
      </c>
    </row>
    <row r="498" spans="1:12">
      <c r="A498" s="2682" t="s">
        <v>146</v>
      </c>
      <c r="B498" s="2682">
        <v>350670</v>
      </c>
      <c r="C498" s="2682">
        <v>350</v>
      </c>
      <c r="D498" s="2682">
        <v>590</v>
      </c>
      <c r="E498" s="2682">
        <v>200</v>
      </c>
      <c r="F498" s="2682" t="s">
        <v>5908</v>
      </c>
      <c r="G498" s="2682" t="s">
        <v>5908</v>
      </c>
      <c r="H498" s="2682" t="s">
        <v>5908</v>
      </c>
      <c r="I498" s="2682" t="s">
        <v>5908</v>
      </c>
      <c r="J498" s="2682">
        <v>212</v>
      </c>
      <c r="L498" s="2682">
        <v>97770</v>
      </c>
    </row>
    <row r="499" spans="1:12">
      <c r="A499" s="2683" t="s">
        <v>146</v>
      </c>
      <c r="B499" s="2683">
        <v>350672</v>
      </c>
      <c r="C499" s="2683">
        <v>360</v>
      </c>
      <c r="D499" s="2683">
        <v>530</v>
      </c>
      <c r="E499" s="2683">
        <v>155</v>
      </c>
      <c r="F499" s="2683" t="s">
        <v>5908</v>
      </c>
      <c r="G499" s="2683" t="s">
        <v>5908</v>
      </c>
      <c r="H499" s="2683" t="s">
        <v>5908</v>
      </c>
      <c r="I499" s="2683" t="s">
        <v>5908</v>
      </c>
      <c r="J499" s="2683">
        <v>107</v>
      </c>
      <c r="K499" s="2684"/>
      <c r="L499" s="2683">
        <v>97772</v>
      </c>
    </row>
    <row r="500" spans="1:12">
      <c r="A500" s="2682" t="s">
        <v>146</v>
      </c>
      <c r="B500" s="2682">
        <v>350698</v>
      </c>
      <c r="C500" s="2682">
        <v>490</v>
      </c>
      <c r="D500" s="2682">
        <v>740</v>
      </c>
      <c r="E500" s="2682">
        <v>95</v>
      </c>
      <c r="F500" s="2682" t="s">
        <v>5908</v>
      </c>
      <c r="G500" s="2682" t="s">
        <v>5908</v>
      </c>
      <c r="H500" s="2682" t="s">
        <v>5908</v>
      </c>
      <c r="I500" s="2682" t="s">
        <v>5908</v>
      </c>
      <c r="J500" s="2682">
        <v>140</v>
      </c>
      <c r="L500" s="2682">
        <v>97798</v>
      </c>
    </row>
    <row r="501" spans="1:12">
      <c r="A501" s="2683" t="s">
        <v>146</v>
      </c>
      <c r="B501" s="2683" t="s">
        <v>6388</v>
      </c>
      <c r="C501" s="2683">
        <v>520</v>
      </c>
      <c r="D501" s="2683">
        <v>740</v>
      </c>
      <c r="E501" s="2683">
        <v>190</v>
      </c>
      <c r="F501" s="2683" t="s">
        <v>5908</v>
      </c>
      <c r="G501" s="2683" t="s">
        <v>5908</v>
      </c>
      <c r="H501" s="2683" t="s">
        <v>5908</v>
      </c>
      <c r="I501" s="2683" t="s">
        <v>5908</v>
      </c>
      <c r="J501" s="2683">
        <v>237</v>
      </c>
      <c r="K501" s="2684"/>
      <c r="L501" s="2683" t="s">
        <v>6389</v>
      </c>
    </row>
    <row r="502" spans="1:12">
      <c r="A502" s="2682" t="s">
        <v>146</v>
      </c>
      <c r="B502" s="2682" t="s">
        <v>6390</v>
      </c>
      <c r="C502" s="2682">
        <v>710</v>
      </c>
      <c r="D502" s="2682">
        <v>1030</v>
      </c>
      <c r="E502" s="2682">
        <v>236</v>
      </c>
      <c r="F502" s="2682" t="s">
        <v>5908</v>
      </c>
      <c r="G502" s="2682" t="s">
        <v>5908</v>
      </c>
      <c r="H502" s="2682" t="s">
        <v>5908</v>
      </c>
      <c r="I502" s="2682" t="s">
        <v>5908</v>
      </c>
      <c r="J502" s="2682">
        <v>651</v>
      </c>
      <c r="L502" s="2682" t="s">
        <v>6391</v>
      </c>
    </row>
    <row r="503" spans="1:12">
      <c r="A503" s="2683" t="s">
        <v>146</v>
      </c>
      <c r="B503" s="2683" t="s">
        <v>6392</v>
      </c>
      <c r="C503" s="2683">
        <v>720</v>
      </c>
      <c r="D503" s="2683">
        <v>915</v>
      </c>
      <c r="E503" s="2683">
        <v>190</v>
      </c>
      <c r="F503" s="2683" t="s">
        <v>5908</v>
      </c>
      <c r="G503" s="2683" t="s">
        <v>5908</v>
      </c>
      <c r="H503" s="2683" t="s">
        <v>5908</v>
      </c>
      <c r="I503" s="2683" t="s">
        <v>5908</v>
      </c>
      <c r="J503" s="2683">
        <v>277</v>
      </c>
      <c r="K503" s="2684"/>
      <c r="L503" s="2683" t="s">
        <v>5922</v>
      </c>
    </row>
    <row r="504" spans="1:12">
      <c r="A504" s="2682" t="s">
        <v>146</v>
      </c>
      <c r="B504" s="2682" t="s">
        <v>6393</v>
      </c>
      <c r="C504" s="2682">
        <v>70</v>
      </c>
      <c r="D504" s="2682">
        <v>110</v>
      </c>
      <c r="E504" s="2682">
        <v>38</v>
      </c>
      <c r="F504" s="2682" t="s">
        <v>5908</v>
      </c>
      <c r="G504" s="2682" t="s">
        <v>5908</v>
      </c>
      <c r="H504" s="2682" t="s">
        <v>5908</v>
      </c>
      <c r="I504" s="2682" t="s">
        <v>5908</v>
      </c>
      <c r="J504" s="2682">
        <v>1.06</v>
      </c>
      <c r="L504" s="2682" t="s">
        <v>5922</v>
      </c>
    </row>
    <row r="505" spans="1:12">
      <c r="A505" s="2683" t="s">
        <v>146</v>
      </c>
      <c r="B505" s="2683" t="s">
        <v>6394</v>
      </c>
      <c r="C505" s="2683">
        <v>100</v>
      </c>
      <c r="D505" s="2683">
        <v>180</v>
      </c>
      <c r="E505" s="2683">
        <v>67.3</v>
      </c>
      <c r="F505" s="2683" t="s">
        <v>5908</v>
      </c>
      <c r="G505" s="2683" t="s">
        <v>5908</v>
      </c>
      <c r="H505" s="2683" t="s">
        <v>5908</v>
      </c>
      <c r="I505" s="2683" t="s">
        <v>5908</v>
      </c>
      <c r="J505" s="2683">
        <v>6.51</v>
      </c>
      <c r="K505" s="2684"/>
      <c r="L505" s="2683" t="s">
        <v>5922</v>
      </c>
    </row>
    <row r="506" spans="1:12">
      <c r="A506" s="2682" t="s">
        <v>146</v>
      </c>
      <c r="B506" s="2682" t="s">
        <v>6395</v>
      </c>
      <c r="C506" s="2682">
        <v>110</v>
      </c>
      <c r="D506" s="2682">
        <v>200</v>
      </c>
      <c r="E506" s="2682">
        <v>92</v>
      </c>
      <c r="F506" s="2682" t="s">
        <v>5908</v>
      </c>
      <c r="G506" s="2682" t="s">
        <v>5908</v>
      </c>
      <c r="H506" s="2682" t="s">
        <v>5908</v>
      </c>
      <c r="I506" s="2682" t="s">
        <v>5908</v>
      </c>
      <c r="J506" s="2682">
        <v>11.5</v>
      </c>
      <c r="L506" s="2682" t="s">
        <v>6396</v>
      </c>
    </row>
    <row r="507" spans="1:12">
      <c r="A507" s="2683" t="s">
        <v>146</v>
      </c>
      <c r="B507" s="2683" t="s">
        <v>6397</v>
      </c>
      <c r="C507" s="2683">
        <v>130</v>
      </c>
      <c r="D507" s="2683">
        <v>214</v>
      </c>
      <c r="E507" s="2683">
        <v>115.6</v>
      </c>
      <c r="F507" s="2683" t="s">
        <v>5908</v>
      </c>
      <c r="G507" s="2683" t="s">
        <v>5908</v>
      </c>
      <c r="H507" s="2683" t="s">
        <v>5908</v>
      </c>
      <c r="I507" s="2683" t="s">
        <v>5908</v>
      </c>
      <c r="J507" s="2683">
        <v>11.5</v>
      </c>
      <c r="K507" s="2684"/>
      <c r="L507" s="2683" t="s">
        <v>6398</v>
      </c>
    </row>
    <row r="508" spans="1:12">
      <c r="A508" s="2682" t="s">
        <v>146</v>
      </c>
      <c r="B508" s="2682">
        <v>350633</v>
      </c>
      <c r="C508" s="2682">
        <v>165</v>
      </c>
      <c r="D508" s="2682">
        <v>290</v>
      </c>
      <c r="E508" s="2682">
        <v>150</v>
      </c>
      <c r="F508" s="2682" t="s">
        <v>5908</v>
      </c>
      <c r="G508" s="2682" t="s">
        <v>5908</v>
      </c>
      <c r="H508" s="2682" t="s">
        <v>5908</v>
      </c>
      <c r="I508" s="2682" t="s">
        <v>5908</v>
      </c>
      <c r="J508" s="2682">
        <v>11.5</v>
      </c>
      <c r="L508" s="2682" t="s">
        <v>5922</v>
      </c>
    </row>
    <row r="509" spans="1:12">
      <c r="A509" s="2683" t="s">
        <v>146</v>
      </c>
      <c r="B509" s="2683" t="s">
        <v>6399</v>
      </c>
      <c r="C509" s="2683">
        <v>360</v>
      </c>
      <c r="D509" s="2683">
        <v>540</v>
      </c>
      <c r="E509" s="2683">
        <v>134</v>
      </c>
      <c r="F509" s="2683" t="s">
        <v>5908</v>
      </c>
      <c r="G509" s="2683" t="s">
        <v>5908</v>
      </c>
      <c r="H509" s="2683" t="s">
        <v>5908</v>
      </c>
      <c r="I509" s="2683" t="s">
        <v>5908</v>
      </c>
      <c r="J509" s="2683">
        <v>122</v>
      </c>
      <c r="K509" s="2684"/>
      <c r="L509" s="2683">
        <v>97872</v>
      </c>
    </row>
    <row r="510" spans="1:12">
      <c r="A510" s="2682" t="s">
        <v>146</v>
      </c>
      <c r="B510" s="2682" t="s">
        <v>6400</v>
      </c>
      <c r="C510" s="2682">
        <v>400</v>
      </c>
      <c r="D510" s="2682">
        <v>600</v>
      </c>
      <c r="E510" s="2682">
        <v>230</v>
      </c>
      <c r="F510" s="2682" t="s">
        <v>5908</v>
      </c>
      <c r="G510" s="2682" t="s">
        <v>5908</v>
      </c>
      <c r="H510" s="2682" t="s">
        <v>5908</v>
      </c>
      <c r="I510" s="2682" t="s">
        <v>5908</v>
      </c>
      <c r="J510" s="2682">
        <v>206</v>
      </c>
      <c r="L510" s="2682" t="s">
        <v>5922</v>
      </c>
    </row>
    <row r="511" spans="1:12">
      <c r="A511" s="2683" t="s">
        <v>146</v>
      </c>
      <c r="B511" s="2683" t="s">
        <v>6401</v>
      </c>
      <c r="C511" s="2683">
        <v>1600</v>
      </c>
      <c r="D511" s="2683">
        <v>2060</v>
      </c>
      <c r="E511" s="2683">
        <v>560</v>
      </c>
      <c r="F511" s="2683" t="s">
        <v>5908</v>
      </c>
      <c r="G511" s="2683" t="s">
        <v>5908</v>
      </c>
      <c r="H511" s="2683" t="s">
        <v>5908</v>
      </c>
      <c r="I511" s="2683" t="s">
        <v>5908</v>
      </c>
      <c r="J511" s="2683">
        <v>420</v>
      </c>
      <c r="K511" s="2684"/>
      <c r="L511" s="2683" t="s">
        <v>5922</v>
      </c>
    </row>
    <row r="512" spans="1:12">
      <c r="A512" s="2682" t="s">
        <v>146</v>
      </c>
      <c r="B512" s="2682" t="s">
        <v>6402</v>
      </c>
      <c r="C512" s="2682">
        <v>300.03800000000001</v>
      </c>
      <c r="D512" s="2682">
        <v>422.27499999999998</v>
      </c>
      <c r="E512" s="2682">
        <v>174.625</v>
      </c>
      <c r="F512" s="2682" t="s">
        <v>5908</v>
      </c>
      <c r="G512" s="2682" t="s">
        <v>5908</v>
      </c>
      <c r="H512" s="2682" t="s">
        <v>5908</v>
      </c>
      <c r="I512" s="2682" t="s">
        <v>5908</v>
      </c>
      <c r="J512" s="2682">
        <v>65.599999999999994</v>
      </c>
      <c r="L512" s="2682" t="s">
        <v>5922</v>
      </c>
    </row>
    <row r="513" spans="1:12">
      <c r="A513" s="2683" t="s">
        <v>146</v>
      </c>
      <c r="B513" s="2683" t="s">
        <v>6403</v>
      </c>
      <c r="C513" s="2683">
        <v>368.3</v>
      </c>
      <c r="D513" s="2683">
        <v>596.9</v>
      </c>
      <c r="E513" s="2683">
        <v>2003.2</v>
      </c>
      <c r="F513" s="2683" t="s">
        <v>5908</v>
      </c>
      <c r="G513" s="2683" t="s">
        <v>5908</v>
      </c>
      <c r="H513" s="2683" t="s">
        <v>5908</v>
      </c>
      <c r="I513" s="2683" t="s">
        <v>5908</v>
      </c>
      <c r="J513" s="2683">
        <v>184</v>
      </c>
      <c r="K513" s="2684"/>
      <c r="L513" s="2683" t="s">
        <v>5922</v>
      </c>
    </row>
    <row r="514" spans="1:12">
      <c r="A514" s="2682" t="s">
        <v>146</v>
      </c>
      <c r="B514" s="2682" t="s">
        <v>6404</v>
      </c>
      <c r="C514" s="2682">
        <v>381</v>
      </c>
      <c r="D514" s="2682">
        <v>590.54999999999995</v>
      </c>
      <c r="E514" s="2682">
        <v>244.47499999999999</v>
      </c>
      <c r="F514" s="2682" t="s">
        <v>5908</v>
      </c>
      <c r="G514" s="2682" t="s">
        <v>5908</v>
      </c>
      <c r="H514" s="2682" t="s">
        <v>5908</v>
      </c>
      <c r="I514" s="2682" t="s">
        <v>5908</v>
      </c>
      <c r="J514" s="2682">
        <v>245</v>
      </c>
      <c r="L514" s="2682" t="s">
        <v>5922</v>
      </c>
    </row>
    <row r="515" spans="1:12">
      <c r="A515" s="2683" t="s">
        <v>146</v>
      </c>
      <c r="B515" s="2683" t="s">
        <v>6405</v>
      </c>
      <c r="C515" s="2683">
        <v>305</v>
      </c>
      <c r="D515" s="2683">
        <v>500</v>
      </c>
      <c r="E515" s="2683">
        <v>200</v>
      </c>
      <c r="F515" s="2683" t="s">
        <v>5908</v>
      </c>
      <c r="G515" s="2683" t="s">
        <v>5908</v>
      </c>
      <c r="H515" s="2683" t="s">
        <v>5908</v>
      </c>
      <c r="I515" s="2683" t="s">
        <v>5908</v>
      </c>
      <c r="J515" s="2683">
        <v>141</v>
      </c>
      <c r="K515" s="2684"/>
      <c r="L515" s="2683" t="s">
        <v>6406</v>
      </c>
    </row>
    <row r="516" spans="1:12">
      <c r="A516" s="2682" t="s">
        <v>146</v>
      </c>
      <c r="B516" s="2682" t="s">
        <v>6407</v>
      </c>
      <c r="C516" s="2682">
        <v>400</v>
      </c>
      <c r="D516" s="2682">
        <v>650</v>
      </c>
      <c r="E516" s="2682">
        <v>200</v>
      </c>
      <c r="F516" s="2682" t="s">
        <v>5908</v>
      </c>
      <c r="G516" s="2682" t="s">
        <v>5908</v>
      </c>
      <c r="H516" s="2682" t="s">
        <v>5908</v>
      </c>
      <c r="I516" s="2682" t="s">
        <v>5908</v>
      </c>
      <c r="J516" s="2682">
        <v>268</v>
      </c>
      <c r="L516" s="2682" t="s">
        <v>6408</v>
      </c>
    </row>
    <row r="517" spans="1:12">
      <c r="A517" s="2683" t="s">
        <v>146</v>
      </c>
      <c r="B517" s="2683" t="s">
        <v>6409</v>
      </c>
      <c r="C517" s="2683">
        <v>100</v>
      </c>
      <c r="D517" s="2683">
        <v>182</v>
      </c>
      <c r="E517" s="2683">
        <v>112</v>
      </c>
      <c r="F517" s="2683" t="s">
        <v>5908</v>
      </c>
      <c r="G517" s="2683" t="s">
        <v>5908</v>
      </c>
      <c r="H517" s="2683" t="s">
        <v>5908</v>
      </c>
      <c r="I517" s="2683" t="s">
        <v>5908</v>
      </c>
      <c r="J517" s="2683">
        <v>15.9</v>
      </c>
      <c r="K517" s="2684"/>
      <c r="L517" s="2683" t="s">
        <v>5922</v>
      </c>
    </row>
    <row r="518" spans="1:12">
      <c r="A518" s="2682" t="s">
        <v>146</v>
      </c>
      <c r="B518" s="2682" t="s">
        <v>6410</v>
      </c>
      <c r="C518" s="2682">
        <v>130</v>
      </c>
      <c r="D518" s="2682">
        <v>230</v>
      </c>
      <c r="E518" s="2682">
        <v>222</v>
      </c>
      <c r="F518" s="2682" t="s">
        <v>5908</v>
      </c>
      <c r="G518" s="2682" t="s">
        <v>5908</v>
      </c>
      <c r="H518" s="2682" t="s">
        <v>5908</v>
      </c>
      <c r="I518" s="2682" t="s">
        <v>5908</v>
      </c>
      <c r="J518" s="2682">
        <v>30.4</v>
      </c>
      <c r="L518" s="2682" t="s">
        <v>5922</v>
      </c>
    </row>
    <row r="519" spans="1:12">
      <c r="A519" s="2683" t="s">
        <v>146</v>
      </c>
      <c r="B519" s="2683" t="s">
        <v>6411</v>
      </c>
      <c r="C519" s="2683">
        <v>80</v>
      </c>
      <c r="D519" s="2683">
        <v>140</v>
      </c>
      <c r="E519" s="2683">
        <v>80</v>
      </c>
      <c r="F519" s="2683" t="s">
        <v>5908</v>
      </c>
      <c r="G519" s="2683" t="s">
        <v>5908</v>
      </c>
      <c r="H519" s="2683" t="s">
        <v>5908</v>
      </c>
      <c r="I519" s="2683" t="s">
        <v>5908</v>
      </c>
      <c r="J519" s="2683">
        <v>4.7300000000000004</v>
      </c>
      <c r="K519" s="2684"/>
      <c r="L519" s="2683" t="s">
        <v>5922</v>
      </c>
    </row>
    <row r="520" spans="1:12">
      <c r="A520" s="2682" t="s">
        <v>146</v>
      </c>
      <c r="B520" s="2682" t="s">
        <v>6412</v>
      </c>
      <c r="C520" s="2682">
        <v>20</v>
      </c>
      <c r="D520" s="2682">
        <v>52</v>
      </c>
      <c r="E520" s="2682">
        <v>21</v>
      </c>
      <c r="F520" s="2682" t="s">
        <v>5908</v>
      </c>
      <c r="G520" s="2682" t="s">
        <v>5908</v>
      </c>
      <c r="H520" s="2682" t="s">
        <v>5908</v>
      </c>
      <c r="I520" s="2682" t="s">
        <v>5908</v>
      </c>
      <c r="J520" s="2682">
        <v>0.13</v>
      </c>
      <c r="L520" s="2682">
        <v>877604</v>
      </c>
    </row>
    <row r="521" spans="1:12">
      <c r="A521" s="2683" t="s">
        <v>146</v>
      </c>
      <c r="B521" s="2683" t="s">
        <v>6413</v>
      </c>
      <c r="C521" s="2683">
        <v>33</v>
      </c>
      <c r="D521" s="2683">
        <v>49</v>
      </c>
      <c r="E521" s="2683">
        <v>11</v>
      </c>
      <c r="F521" s="2683" t="s">
        <v>5908</v>
      </c>
      <c r="G521" s="2683" t="s">
        <v>5908</v>
      </c>
      <c r="H521" s="2683" t="s">
        <v>5908</v>
      </c>
      <c r="I521" s="2683" t="s">
        <v>5908</v>
      </c>
      <c r="J521" s="2683">
        <v>0.08</v>
      </c>
      <c r="K521" s="2684"/>
      <c r="L521" s="2683">
        <v>977907</v>
      </c>
    </row>
    <row r="522" spans="1:12">
      <c r="A522" s="2682" t="s">
        <v>146</v>
      </c>
      <c r="B522" s="2682" t="s">
        <v>6414</v>
      </c>
      <c r="C522" s="2682">
        <v>40</v>
      </c>
      <c r="D522" s="2682">
        <v>66</v>
      </c>
      <c r="E522" s="2682">
        <v>12</v>
      </c>
      <c r="F522" s="2682" t="s">
        <v>5908</v>
      </c>
      <c r="G522" s="2682" t="s">
        <v>5908</v>
      </c>
      <c r="H522" s="2682" t="s">
        <v>5908</v>
      </c>
      <c r="I522" s="2682" t="s">
        <v>5908</v>
      </c>
      <c r="J522" s="2682">
        <v>0.17</v>
      </c>
      <c r="L522" s="2682">
        <v>977908</v>
      </c>
    </row>
    <row r="523" spans="1:12">
      <c r="A523" s="2683" t="s">
        <v>146</v>
      </c>
      <c r="B523" s="2683" t="s">
        <v>6415</v>
      </c>
      <c r="C523" s="2683">
        <v>46.673000000000002</v>
      </c>
      <c r="D523" s="2683">
        <v>72</v>
      </c>
      <c r="E523" s="2683">
        <v>14</v>
      </c>
      <c r="F523" s="2683" t="s">
        <v>5908</v>
      </c>
      <c r="G523" s="2683" t="s">
        <v>5908</v>
      </c>
      <c r="H523" s="2683" t="s">
        <v>5908</v>
      </c>
      <c r="I523" s="2683" t="s">
        <v>5908</v>
      </c>
      <c r="J523" s="2683">
        <v>0.24</v>
      </c>
      <c r="K523" s="2684"/>
      <c r="L523" s="2683">
        <v>977909</v>
      </c>
    </row>
    <row r="524" spans="1:12">
      <c r="A524" s="2682" t="s">
        <v>146</v>
      </c>
      <c r="B524" s="2682" t="s">
        <v>6416</v>
      </c>
      <c r="C524" s="2682">
        <v>300</v>
      </c>
      <c r="D524" s="2682">
        <v>500</v>
      </c>
      <c r="E524" s="2682">
        <v>95</v>
      </c>
      <c r="F524" s="2682" t="s">
        <v>5908</v>
      </c>
      <c r="G524" s="2682" t="s">
        <v>5908</v>
      </c>
      <c r="H524" s="2682" t="s">
        <v>5908</v>
      </c>
      <c r="I524" s="2682" t="s">
        <v>5908</v>
      </c>
      <c r="J524" s="2682">
        <v>67.7</v>
      </c>
      <c r="L524" s="2682">
        <v>1007760</v>
      </c>
    </row>
    <row r="525" spans="1:12">
      <c r="A525" s="2683" t="s">
        <v>146</v>
      </c>
      <c r="B525" s="2683" t="s">
        <v>6417</v>
      </c>
      <c r="C525" s="2683">
        <v>280</v>
      </c>
      <c r="D525" s="2683">
        <v>350</v>
      </c>
      <c r="E525" s="2683">
        <v>36</v>
      </c>
      <c r="F525" s="2683" t="s">
        <v>5908</v>
      </c>
      <c r="G525" s="2683" t="s">
        <v>5908</v>
      </c>
      <c r="H525" s="2683" t="s">
        <v>5908</v>
      </c>
      <c r="I525" s="2683" t="s">
        <v>5908</v>
      </c>
      <c r="J525" s="2683">
        <v>6.33</v>
      </c>
      <c r="K525" s="2684"/>
      <c r="L525" s="2683" t="s">
        <v>5922</v>
      </c>
    </row>
    <row r="526" spans="1:12">
      <c r="A526" s="2682" t="s">
        <v>146</v>
      </c>
      <c r="B526" s="2682" t="s">
        <v>6418</v>
      </c>
      <c r="C526" s="2682">
        <v>380</v>
      </c>
      <c r="D526" s="2682">
        <v>520</v>
      </c>
      <c r="E526" s="2682">
        <v>66.5</v>
      </c>
      <c r="F526" s="2682" t="s">
        <v>5908</v>
      </c>
      <c r="G526" s="2682" t="s">
        <v>5908</v>
      </c>
      <c r="H526" s="2682" t="s">
        <v>5908</v>
      </c>
      <c r="I526" s="2682" t="s">
        <v>5908</v>
      </c>
      <c r="J526" s="2682">
        <v>37.549999999999997</v>
      </c>
      <c r="L526" s="2682">
        <v>1007976</v>
      </c>
    </row>
    <row r="527" spans="1:12">
      <c r="A527" s="2683" t="s">
        <v>146</v>
      </c>
      <c r="B527" s="2683" t="s">
        <v>6419</v>
      </c>
      <c r="C527" s="2683">
        <v>420</v>
      </c>
      <c r="D527" s="2683">
        <v>560</v>
      </c>
      <c r="E527" s="2683">
        <v>70</v>
      </c>
      <c r="F527" s="2683" t="s">
        <v>5908</v>
      </c>
      <c r="G527" s="2683" t="s">
        <v>5908</v>
      </c>
      <c r="H527" s="2683" t="s">
        <v>5908</v>
      </c>
      <c r="I527" s="2683" t="s">
        <v>5908</v>
      </c>
      <c r="J527" s="2683">
        <v>42.4</v>
      </c>
      <c r="K527" s="2684"/>
      <c r="L527" s="2683">
        <v>1007984</v>
      </c>
    </row>
    <row r="528" spans="1:12">
      <c r="A528" s="2682" t="s">
        <v>146</v>
      </c>
      <c r="B528" s="2682" t="s">
        <v>6420</v>
      </c>
      <c r="C528" s="2682">
        <v>460</v>
      </c>
      <c r="D528" s="2682">
        <v>620</v>
      </c>
      <c r="E528" s="2682">
        <v>80</v>
      </c>
      <c r="F528" s="2682" t="s">
        <v>5908</v>
      </c>
      <c r="G528" s="2682" t="s">
        <v>5908</v>
      </c>
      <c r="H528" s="2682" t="s">
        <v>5908</v>
      </c>
      <c r="I528" s="2682" t="s">
        <v>5908</v>
      </c>
      <c r="J528" s="2682">
        <v>59.8</v>
      </c>
      <c r="L528" s="2682">
        <v>1007992</v>
      </c>
    </row>
    <row r="529" spans="1:12">
      <c r="A529" s="2683" t="s">
        <v>146</v>
      </c>
      <c r="B529" s="2683" t="s">
        <v>6421</v>
      </c>
      <c r="C529" s="2683">
        <v>480</v>
      </c>
      <c r="D529" s="2683">
        <v>650</v>
      </c>
      <c r="E529" s="2683">
        <v>842</v>
      </c>
      <c r="F529" s="2683" t="s">
        <v>5908</v>
      </c>
      <c r="G529" s="2683" t="s">
        <v>5908</v>
      </c>
      <c r="H529" s="2683" t="s">
        <v>5908</v>
      </c>
      <c r="I529" s="2683" t="s">
        <v>5908</v>
      </c>
      <c r="J529" s="2683">
        <v>7</v>
      </c>
      <c r="K529" s="2684"/>
      <c r="L529" s="2683">
        <v>1007996</v>
      </c>
    </row>
    <row r="530" spans="1:12">
      <c r="A530" s="2682" t="s">
        <v>146</v>
      </c>
      <c r="B530" s="2682" t="s">
        <v>6422</v>
      </c>
      <c r="C530" s="2682">
        <v>530</v>
      </c>
      <c r="D530" s="2682">
        <v>710</v>
      </c>
      <c r="E530" s="2682">
        <v>88</v>
      </c>
      <c r="F530" s="2682" t="s">
        <v>5908</v>
      </c>
      <c r="G530" s="2682" t="s">
        <v>5908</v>
      </c>
      <c r="H530" s="2682" t="s">
        <v>5908</v>
      </c>
      <c r="I530" s="2682" t="s">
        <v>5908</v>
      </c>
      <c r="J530" s="2682">
        <v>94.8</v>
      </c>
      <c r="L530" s="2682" t="s">
        <v>6423</v>
      </c>
    </row>
    <row r="531" spans="1:12">
      <c r="A531" s="2683" t="s">
        <v>146</v>
      </c>
      <c r="B531" s="2683" t="s">
        <v>6424</v>
      </c>
      <c r="C531" s="2683">
        <v>710</v>
      </c>
      <c r="D531" s="2683">
        <v>950</v>
      </c>
      <c r="E531" s="2683">
        <v>114</v>
      </c>
      <c r="F531" s="2683" t="s">
        <v>5908</v>
      </c>
      <c r="G531" s="2683" t="s">
        <v>5908</v>
      </c>
      <c r="H531" s="2683" t="s">
        <v>5908</v>
      </c>
      <c r="I531" s="2683" t="s">
        <v>5908</v>
      </c>
      <c r="J531" s="2683">
        <v>240.24</v>
      </c>
      <c r="K531" s="2684"/>
      <c r="L531" s="2683" t="s">
        <v>6425</v>
      </c>
    </row>
    <row r="532" spans="1:12">
      <c r="A532" s="2682" t="s">
        <v>146</v>
      </c>
      <c r="B532" s="2682" t="s">
        <v>6426</v>
      </c>
      <c r="C532" s="2682">
        <v>800</v>
      </c>
      <c r="D532" s="2682">
        <v>1060</v>
      </c>
      <c r="E532" s="2682">
        <v>122</v>
      </c>
      <c r="F532" s="2682" t="s">
        <v>5908</v>
      </c>
      <c r="G532" s="2682" t="s">
        <v>5908</v>
      </c>
      <c r="H532" s="2682" t="s">
        <v>5908</v>
      </c>
      <c r="I532" s="2682" t="s">
        <v>5908</v>
      </c>
      <c r="J532" s="2682">
        <v>275</v>
      </c>
      <c r="L532" s="2682" t="s">
        <v>6427</v>
      </c>
    </row>
    <row r="533" spans="1:12">
      <c r="A533" s="2683" t="s">
        <v>146</v>
      </c>
      <c r="B533" s="2683" t="s">
        <v>6428</v>
      </c>
      <c r="C533" s="2683">
        <v>900</v>
      </c>
      <c r="D533" s="2683">
        <v>1180</v>
      </c>
      <c r="E533" s="2683">
        <v>124</v>
      </c>
      <c r="F533" s="2683" t="s">
        <v>5908</v>
      </c>
      <c r="G533" s="2683" t="s">
        <v>5908</v>
      </c>
      <c r="H533" s="2683" t="s">
        <v>5908</v>
      </c>
      <c r="I533" s="2683" t="s">
        <v>5908</v>
      </c>
      <c r="J533" s="2683">
        <v>330</v>
      </c>
      <c r="K533" s="2684"/>
      <c r="L533" s="2683" t="s">
        <v>6429</v>
      </c>
    </row>
    <row r="534" spans="1:12">
      <c r="A534" s="2682" t="s">
        <v>146</v>
      </c>
      <c r="B534" s="2682" t="s">
        <v>6430</v>
      </c>
      <c r="C534" s="2682">
        <v>950</v>
      </c>
      <c r="D534" s="2682">
        <v>1250</v>
      </c>
      <c r="E534" s="2682">
        <v>140</v>
      </c>
      <c r="F534" s="2682" t="s">
        <v>5908</v>
      </c>
      <c r="G534" s="2682" t="s">
        <v>5908</v>
      </c>
      <c r="H534" s="2682" t="s">
        <v>5908</v>
      </c>
      <c r="I534" s="2682" t="s">
        <v>5908</v>
      </c>
      <c r="J534" s="2682">
        <v>428</v>
      </c>
      <c r="L534" s="2682" t="s">
        <v>6431</v>
      </c>
    </row>
    <row r="535" spans="1:12">
      <c r="A535" s="2683" t="s">
        <v>146</v>
      </c>
      <c r="B535" s="2683">
        <v>381156</v>
      </c>
      <c r="C535" s="2683">
        <v>280</v>
      </c>
      <c r="D535" s="2683">
        <v>460</v>
      </c>
      <c r="E535" s="2683">
        <v>324</v>
      </c>
      <c r="F535" s="2683" t="s">
        <v>5908</v>
      </c>
      <c r="G535" s="2683" t="s">
        <v>5908</v>
      </c>
      <c r="H535" s="2683" t="s">
        <v>5908</v>
      </c>
      <c r="I535" s="2683" t="s">
        <v>5908</v>
      </c>
      <c r="J535" s="2683">
        <v>200</v>
      </c>
      <c r="K535" s="2684"/>
      <c r="L535" s="2683">
        <v>1077756</v>
      </c>
    </row>
    <row r="536" spans="1:12">
      <c r="A536" s="2682" t="s">
        <v>146</v>
      </c>
      <c r="B536" s="2682" t="s">
        <v>6432</v>
      </c>
      <c r="C536" s="2682">
        <v>300</v>
      </c>
      <c r="D536" s="2682">
        <v>500</v>
      </c>
      <c r="E536" s="2682">
        <v>370</v>
      </c>
      <c r="F536" s="2682" t="s">
        <v>5908</v>
      </c>
      <c r="G536" s="2682" t="s">
        <v>5908</v>
      </c>
      <c r="H536" s="2682" t="s">
        <v>5908</v>
      </c>
      <c r="I536" s="2682" t="s">
        <v>5908</v>
      </c>
      <c r="J536" s="2682">
        <v>285</v>
      </c>
      <c r="L536" s="2682" t="s">
        <v>6433</v>
      </c>
    </row>
    <row r="537" spans="1:12">
      <c r="A537" s="2683" t="s">
        <v>146</v>
      </c>
      <c r="B537" s="2683" t="s">
        <v>6434</v>
      </c>
      <c r="C537" s="2683">
        <v>340</v>
      </c>
      <c r="D537" s="2683">
        <v>580</v>
      </c>
      <c r="E537" s="2683">
        <v>425</v>
      </c>
      <c r="F537" s="2683" t="s">
        <v>5908</v>
      </c>
      <c r="G537" s="2683" t="s">
        <v>5908</v>
      </c>
      <c r="H537" s="2683" t="s">
        <v>5908</v>
      </c>
      <c r="I537" s="2683" t="s">
        <v>5908</v>
      </c>
      <c r="J537" s="2683">
        <v>441</v>
      </c>
      <c r="K537" s="2684"/>
      <c r="L537" s="2683" t="s">
        <v>6435</v>
      </c>
    </row>
    <row r="538" spans="1:12">
      <c r="A538" s="2682" t="s">
        <v>146</v>
      </c>
      <c r="B538" s="2682">
        <v>381172</v>
      </c>
      <c r="C538" s="2682">
        <v>360</v>
      </c>
      <c r="D538" s="2682">
        <v>600</v>
      </c>
      <c r="E538" s="2682">
        <v>420</v>
      </c>
      <c r="F538" s="2682" t="s">
        <v>5908</v>
      </c>
      <c r="G538" s="2682" t="s">
        <v>5908</v>
      </c>
      <c r="H538" s="2682" t="s">
        <v>5908</v>
      </c>
      <c r="I538" s="2682" t="s">
        <v>5908</v>
      </c>
      <c r="J538" s="2682">
        <v>441</v>
      </c>
      <c r="L538" s="2682">
        <v>1077772</v>
      </c>
    </row>
    <row r="539" spans="1:12">
      <c r="A539" s="2683" t="s">
        <v>146</v>
      </c>
      <c r="B539" s="2683">
        <v>381176</v>
      </c>
      <c r="C539" s="2683">
        <v>380</v>
      </c>
      <c r="D539" s="2683">
        <v>620</v>
      </c>
      <c r="E539" s="2683">
        <v>420</v>
      </c>
      <c r="F539" s="2683" t="s">
        <v>5908</v>
      </c>
      <c r="G539" s="2683" t="s">
        <v>5908</v>
      </c>
      <c r="H539" s="2683" t="s">
        <v>5908</v>
      </c>
      <c r="I539" s="2683" t="s">
        <v>5908</v>
      </c>
      <c r="J539" s="2683">
        <v>519</v>
      </c>
      <c r="K539" s="2684"/>
      <c r="L539" s="2683">
        <v>1077776</v>
      </c>
    </row>
    <row r="540" spans="1:12">
      <c r="A540" s="2682" t="s">
        <v>146</v>
      </c>
      <c r="B540" s="2682">
        <v>381184</v>
      </c>
      <c r="C540" s="2682">
        <v>420</v>
      </c>
      <c r="D540" s="2682">
        <v>700</v>
      </c>
      <c r="E540" s="2682">
        <v>480</v>
      </c>
      <c r="F540" s="2682" t="s">
        <v>5908</v>
      </c>
      <c r="G540" s="2682" t="s">
        <v>5908</v>
      </c>
      <c r="H540" s="2682" t="s">
        <v>5908</v>
      </c>
      <c r="I540" s="2682" t="s">
        <v>5908</v>
      </c>
      <c r="J540" s="2682">
        <v>760</v>
      </c>
      <c r="L540" s="2682">
        <v>1077784</v>
      </c>
    </row>
    <row r="541" spans="1:12">
      <c r="A541" s="2683" t="s">
        <v>146</v>
      </c>
      <c r="B541" s="2683" t="s">
        <v>6436</v>
      </c>
      <c r="C541" s="2683">
        <v>530</v>
      </c>
      <c r="D541" s="2683">
        <v>870</v>
      </c>
      <c r="E541" s="2683">
        <v>590</v>
      </c>
      <c r="F541" s="2683" t="s">
        <v>5908</v>
      </c>
      <c r="G541" s="2683" t="s">
        <v>5908</v>
      </c>
      <c r="H541" s="2683" t="s">
        <v>5908</v>
      </c>
      <c r="I541" s="2683" t="s">
        <v>5908</v>
      </c>
      <c r="J541" s="2683">
        <v>1422</v>
      </c>
      <c r="K541" s="2684"/>
      <c r="L541" s="2683" t="s">
        <v>6437</v>
      </c>
    </row>
    <row r="542" spans="1:12">
      <c r="A542" s="2682" t="s">
        <v>146</v>
      </c>
      <c r="B542" s="2682" t="s">
        <v>6438</v>
      </c>
      <c r="C542" s="2682">
        <v>600</v>
      </c>
      <c r="D542" s="2682">
        <v>980</v>
      </c>
      <c r="E542" s="2682">
        <v>650</v>
      </c>
      <c r="F542" s="2682" t="s">
        <v>5908</v>
      </c>
      <c r="G542" s="2682" t="s">
        <v>5908</v>
      </c>
      <c r="H542" s="2682" t="s">
        <v>5908</v>
      </c>
      <c r="I542" s="2682" t="s">
        <v>5908</v>
      </c>
      <c r="J542" s="2682">
        <v>1970</v>
      </c>
      <c r="L542" s="2682" t="s">
        <v>6439</v>
      </c>
    </row>
    <row r="543" spans="1:12">
      <c r="A543" s="2683" t="s">
        <v>146</v>
      </c>
      <c r="B543" s="2683" t="s">
        <v>6440</v>
      </c>
      <c r="C543" s="2683">
        <v>630</v>
      </c>
      <c r="D543" s="2683">
        <v>1030</v>
      </c>
      <c r="E543" s="2683">
        <v>670</v>
      </c>
      <c r="F543" s="2683" t="s">
        <v>5908</v>
      </c>
      <c r="G543" s="2683" t="s">
        <v>5908</v>
      </c>
      <c r="H543" s="2683" t="s">
        <v>5908</v>
      </c>
      <c r="I543" s="2683" t="s">
        <v>5908</v>
      </c>
      <c r="J543" s="2683">
        <v>2170</v>
      </c>
      <c r="K543" s="2684"/>
      <c r="L543" s="2683" t="s">
        <v>6441</v>
      </c>
    </row>
    <row r="544" spans="1:12">
      <c r="A544" s="2682" t="s">
        <v>146</v>
      </c>
      <c r="B544" s="2682" t="s">
        <v>6442</v>
      </c>
      <c r="C544" s="2682">
        <v>710</v>
      </c>
      <c r="D544" s="2682">
        <v>1150</v>
      </c>
      <c r="E544" s="2682">
        <v>750</v>
      </c>
      <c r="F544" s="2682" t="s">
        <v>5908</v>
      </c>
      <c r="G544" s="2682" t="s">
        <v>5908</v>
      </c>
      <c r="H544" s="2682" t="s">
        <v>5908</v>
      </c>
      <c r="I544" s="2682" t="s">
        <v>5908</v>
      </c>
      <c r="J544" s="2682">
        <v>3227</v>
      </c>
      <c r="L544" s="2682" t="s">
        <v>6443</v>
      </c>
    </row>
    <row r="545" spans="1:12">
      <c r="A545" s="2683" t="s">
        <v>146</v>
      </c>
      <c r="B545" s="2683" t="s">
        <v>6444</v>
      </c>
      <c r="C545" s="2683">
        <v>750</v>
      </c>
      <c r="D545" s="2683">
        <v>1220</v>
      </c>
      <c r="E545" s="2683">
        <v>840</v>
      </c>
      <c r="F545" s="2683" t="s">
        <v>5908</v>
      </c>
      <c r="G545" s="2683" t="s">
        <v>5908</v>
      </c>
      <c r="H545" s="2683" t="s">
        <v>5908</v>
      </c>
      <c r="I545" s="2683" t="s">
        <v>5908</v>
      </c>
      <c r="J545" s="2683">
        <v>3990</v>
      </c>
      <c r="K545" s="2684"/>
      <c r="L545" s="2683" t="s">
        <v>6445</v>
      </c>
    </row>
    <row r="546" spans="1:12">
      <c r="A546" s="2682" t="s">
        <v>146</v>
      </c>
      <c r="B546" s="2682" t="s">
        <v>6446</v>
      </c>
      <c r="C546" s="2682">
        <v>560</v>
      </c>
      <c r="D546" s="2682">
        <v>750</v>
      </c>
      <c r="E546" s="2682">
        <v>368</v>
      </c>
      <c r="F546" s="2682" t="s">
        <v>5908</v>
      </c>
      <c r="G546" s="2682" t="s">
        <v>5908</v>
      </c>
      <c r="H546" s="2682" t="s">
        <v>5908</v>
      </c>
      <c r="I546" s="2682" t="s">
        <v>5908</v>
      </c>
      <c r="J546" s="2682">
        <v>456</v>
      </c>
      <c r="L546" s="2682" t="s">
        <v>6447</v>
      </c>
    </row>
    <row r="547" spans="1:12">
      <c r="A547" s="2683" t="s">
        <v>146</v>
      </c>
      <c r="B547" s="2683" t="s">
        <v>6448</v>
      </c>
      <c r="C547" s="2683">
        <v>600</v>
      </c>
      <c r="D547" s="2683">
        <v>800</v>
      </c>
      <c r="E547" s="2683">
        <v>380</v>
      </c>
      <c r="F547" s="2683" t="s">
        <v>5908</v>
      </c>
      <c r="G547" s="2683" t="s">
        <v>5908</v>
      </c>
      <c r="H547" s="2683" t="s">
        <v>5908</v>
      </c>
      <c r="I547" s="2683" t="s">
        <v>5908</v>
      </c>
      <c r="J547" s="2683">
        <v>536</v>
      </c>
      <c r="K547" s="2684"/>
      <c r="L547" s="2683" t="s">
        <v>6449</v>
      </c>
    </row>
    <row r="548" spans="1:12">
      <c r="A548" s="2682" t="s">
        <v>146</v>
      </c>
      <c r="B548" s="2682" t="s">
        <v>6450</v>
      </c>
      <c r="C548" s="2682">
        <v>630</v>
      </c>
      <c r="D548" s="2682">
        <v>850</v>
      </c>
      <c r="E548" s="2682">
        <v>418</v>
      </c>
      <c r="F548" s="2682" t="s">
        <v>5908</v>
      </c>
      <c r="G548" s="2682" t="s">
        <v>5908</v>
      </c>
      <c r="H548" s="2682" t="s">
        <v>5908</v>
      </c>
      <c r="I548" s="2682" t="s">
        <v>5908</v>
      </c>
      <c r="J548" s="2682">
        <v>720</v>
      </c>
      <c r="L548" s="2682" t="s">
        <v>6451</v>
      </c>
    </row>
    <row r="549" spans="1:12">
      <c r="A549" s="2683" t="s">
        <v>146</v>
      </c>
      <c r="B549" s="2683" t="s">
        <v>6452</v>
      </c>
      <c r="C549" s="2683">
        <v>670</v>
      </c>
      <c r="D549" s="2683">
        <v>900</v>
      </c>
      <c r="E549" s="2683">
        <v>412</v>
      </c>
      <c r="F549" s="2683" t="s">
        <v>5908</v>
      </c>
      <c r="G549" s="2683" t="s">
        <v>5908</v>
      </c>
      <c r="H549" s="2683" t="s">
        <v>5908</v>
      </c>
      <c r="I549" s="2683" t="s">
        <v>5908</v>
      </c>
      <c r="J549" s="2683">
        <v>959</v>
      </c>
      <c r="K549" s="2684"/>
      <c r="L549" s="2683" t="s">
        <v>6453</v>
      </c>
    </row>
    <row r="550" spans="1:12">
      <c r="A550" s="2682" t="s">
        <v>146</v>
      </c>
      <c r="B550" s="2682">
        <v>351160</v>
      </c>
      <c r="C550" s="2682">
        <v>300</v>
      </c>
      <c r="D550" s="2682">
        <v>500</v>
      </c>
      <c r="E550" s="2682">
        <v>200</v>
      </c>
      <c r="F550" s="2682" t="s">
        <v>5908</v>
      </c>
      <c r="G550" s="2682" t="s">
        <v>5908</v>
      </c>
      <c r="H550" s="2682" t="s">
        <v>5908</v>
      </c>
      <c r="I550" s="2682" t="s">
        <v>5908</v>
      </c>
      <c r="J550" s="2682">
        <v>141</v>
      </c>
      <c r="L550" s="2682">
        <v>1097760</v>
      </c>
    </row>
    <row r="551" spans="1:12">
      <c r="A551" s="2683" t="s">
        <v>146</v>
      </c>
      <c r="B551" s="2683">
        <v>351168</v>
      </c>
      <c r="C551" s="2683">
        <v>340</v>
      </c>
      <c r="D551" s="2683">
        <v>580</v>
      </c>
      <c r="E551" s="2683">
        <v>424</v>
      </c>
      <c r="F551" s="2683" t="s">
        <v>5908</v>
      </c>
      <c r="G551" s="2683" t="s">
        <v>5908</v>
      </c>
      <c r="H551" s="2683" t="s">
        <v>5908</v>
      </c>
      <c r="I551" s="2683" t="s">
        <v>5908</v>
      </c>
      <c r="J551" s="2683">
        <v>214</v>
      </c>
      <c r="K551" s="2684"/>
      <c r="L551" s="2683">
        <v>1097768</v>
      </c>
    </row>
    <row r="552" spans="1:12">
      <c r="A552" s="2682" t="s">
        <v>146</v>
      </c>
      <c r="B552" s="2682">
        <v>351176</v>
      </c>
      <c r="C552" s="2682">
        <v>380</v>
      </c>
      <c r="D552" s="2682">
        <v>620</v>
      </c>
      <c r="E552" s="2682">
        <v>242</v>
      </c>
      <c r="F552" s="2682" t="s">
        <v>5908</v>
      </c>
      <c r="G552" s="2682" t="s">
        <v>5908</v>
      </c>
      <c r="H552" s="2682" t="s">
        <v>5908</v>
      </c>
      <c r="I552" s="2682" t="s">
        <v>5908</v>
      </c>
      <c r="J552" s="2682">
        <v>243</v>
      </c>
      <c r="L552" s="2682">
        <v>1097776</v>
      </c>
    </row>
    <row r="553" spans="1:12">
      <c r="A553" s="2683" t="s">
        <v>146</v>
      </c>
      <c r="B553" s="2683">
        <v>351184</v>
      </c>
      <c r="C553" s="2683">
        <v>420</v>
      </c>
      <c r="D553" s="2683">
        <v>700</v>
      </c>
      <c r="E553" s="2683">
        <v>275</v>
      </c>
      <c r="F553" s="2683" t="s">
        <v>5908</v>
      </c>
      <c r="G553" s="2683" t="s">
        <v>5908</v>
      </c>
      <c r="H553" s="2683" t="s">
        <v>5908</v>
      </c>
      <c r="I553" s="2683" t="s">
        <v>5908</v>
      </c>
      <c r="J553" s="2683">
        <v>392</v>
      </c>
      <c r="K553" s="2684"/>
      <c r="L553" s="2683">
        <v>1097784</v>
      </c>
    </row>
    <row r="554" spans="1:12">
      <c r="A554" s="2682" t="s">
        <v>146</v>
      </c>
      <c r="B554" s="2682">
        <v>351988</v>
      </c>
      <c r="C554" s="2682">
        <v>440</v>
      </c>
      <c r="D554" s="2682">
        <v>600</v>
      </c>
      <c r="E554" s="2682">
        <v>170</v>
      </c>
      <c r="F554" s="2682" t="s">
        <v>5908</v>
      </c>
      <c r="G554" s="2682" t="s">
        <v>5908</v>
      </c>
      <c r="H554" s="2682" t="s">
        <v>5908</v>
      </c>
      <c r="I554" s="2682" t="s">
        <v>5908</v>
      </c>
      <c r="J554" s="2682">
        <v>114</v>
      </c>
      <c r="L554" s="2682">
        <v>1097988</v>
      </c>
    </row>
    <row r="555" spans="1:12">
      <c r="A555" s="2683" t="s">
        <v>146</v>
      </c>
      <c r="B555" s="2683">
        <v>351992</v>
      </c>
      <c r="C555" s="2683">
        <v>460</v>
      </c>
      <c r="D555" s="2683">
        <v>620</v>
      </c>
      <c r="E555" s="2683">
        <v>174</v>
      </c>
      <c r="F555" s="2683" t="s">
        <v>5908</v>
      </c>
      <c r="G555" s="2683" t="s">
        <v>5908</v>
      </c>
      <c r="H555" s="2683" t="s">
        <v>5908</v>
      </c>
      <c r="I555" s="2683" t="s">
        <v>5908</v>
      </c>
      <c r="J555" s="2683">
        <v>130</v>
      </c>
      <c r="K555" s="2684"/>
      <c r="L555" s="2683">
        <v>1097992</v>
      </c>
    </row>
    <row r="556" spans="1:12">
      <c r="A556" s="2682" t="s">
        <v>146</v>
      </c>
      <c r="B556" s="2682">
        <v>351996</v>
      </c>
      <c r="C556" s="2682">
        <v>480</v>
      </c>
      <c r="D556" s="2682">
        <v>650</v>
      </c>
      <c r="E556" s="2682">
        <v>180</v>
      </c>
      <c r="F556" s="2682" t="s">
        <v>5908</v>
      </c>
      <c r="G556" s="2682" t="s">
        <v>5908</v>
      </c>
      <c r="H556" s="2682" t="s">
        <v>5908</v>
      </c>
      <c r="I556" s="2682" t="s">
        <v>5908</v>
      </c>
      <c r="J556" s="2682">
        <v>151</v>
      </c>
      <c r="L556" s="2682">
        <v>1097996</v>
      </c>
    </row>
    <row r="557" spans="1:12">
      <c r="A557" s="2683" t="s">
        <v>146</v>
      </c>
      <c r="B557" s="2683" t="s">
        <v>6454</v>
      </c>
      <c r="C557" s="2683">
        <v>500</v>
      </c>
      <c r="D557" s="2683">
        <v>670</v>
      </c>
      <c r="E557" s="2683">
        <v>180</v>
      </c>
      <c r="F557" s="2683" t="s">
        <v>5908</v>
      </c>
      <c r="G557" s="2683" t="s">
        <v>5908</v>
      </c>
      <c r="H557" s="2683" t="s">
        <v>5908</v>
      </c>
      <c r="I557" s="2683" t="s">
        <v>5908</v>
      </c>
      <c r="J557" s="2683">
        <v>159</v>
      </c>
      <c r="K557" s="2684"/>
      <c r="L557" s="2683" t="s">
        <v>6455</v>
      </c>
    </row>
    <row r="558" spans="1:12">
      <c r="A558" s="2682" t="s">
        <v>146</v>
      </c>
      <c r="B558" s="2682" t="s">
        <v>6456</v>
      </c>
      <c r="C558" s="2682">
        <v>530</v>
      </c>
      <c r="D558" s="2682">
        <v>710</v>
      </c>
      <c r="E558" s="2682">
        <v>190</v>
      </c>
      <c r="F558" s="2682" t="s">
        <v>5908</v>
      </c>
      <c r="G558" s="2682" t="s">
        <v>5908</v>
      </c>
      <c r="H558" s="2682" t="s">
        <v>5908</v>
      </c>
      <c r="I558" s="2682" t="s">
        <v>5908</v>
      </c>
      <c r="J558" s="2682">
        <v>190</v>
      </c>
      <c r="L558" s="2682" t="s">
        <v>6457</v>
      </c>
    </row>
    <row r="559" spans="1:12">
      <c r="A559" s="2683" t="s">
        <v>146</v>
      </c>
      <c r="B559" s="2683" t="s">
        <v>6458</v>
      </c>
      <c r="C559" s="2683">
        <v>560</v>
      </c>
      <c r="D559" s="2683">
        <v>750</v>
      </c>
      <c r="E559" s="2683">
        <v>213</v>
      </c>
      <c r="F559" s="2683" t="s">
        <v>5908</v>
      </c>
      <c r="G559" s="2683" t="s">
        <v>5908</v>
      </c>
      <c r="H559" s="2683" t="s">
        <v>5908</v>
      </c>
      <c r="I559" s="2683" t="s">
        <v>5908</v>
      </c>
      <c r="J559" s="2683">
        <v>235</v>
      </c>
      <c r="K559" s="2684"/>
      <c r="L559" s="2683" t="s">
        <v>6459</v>
      </c>
    </row>
    <row r="560" spans="1:12">
      <c r="A560" s="2682" t="s">
        <v>146</v>
      </c>
      <c r="B560" s="2682" t="s">
        <v>6460</v>
      </c>
      <c r="C560" s="2682">
        <v>600</v>
      </c>
      <c r="D560" s="2682">
        <v>800</v>
      </c>
      <c r="E560" s="2682">
        <v>205</v>
      </c>
      <c r="F560" s="2682" t="s">
        <v>5908</v>
      </c>
      <c r="G560" s="2682" t="s">
        <v>5908</v>
      </c>
      <c r="H560" s="2682" t="s">
        <v>5908</v>
      </c>
      <c r="I560" s="2682" t="s">
        <v>5908</v>
      </c>
      <c r="J560" s="2682">
        <v>266</v>
      </c>
      <c r="L560" s="2682" t="s">
        <v>6461</v>
      </c>
    </row>
    <row r="561" spans="1:12">
      <c r="A561" s="2683" t="s">
        <v>146</v>
      </c>
      <c r="B561" s="2683" t="s">
        <v>6462</v>
      </c>
      <c r="C561" s="2683">
        <v>630</v>
      </c>
      <c r="D561" s="2683">
        <v>850</v>
      </c>
      <c r="E561" s="2683">
        <v>242</v>
      </c>
      <c r="F561" s="2683" t="s">
        <v>5908</v>
      </c>
      <c r="G561" s="2683" t="s">
        <v>5908</v>
      </c>
      <c r="H561" s="2683" t="s">
        <v>5908</v>
      </c>
      <c r="I561" s="2683" t="s">
        <v>5908</v>
      </c>
      <c r="J561" s="2683">
        <v>368</v>
      </c>
      <c r="K561" s="2684"/>
      <c r="L561" s="2683" t="s">
        <v>6463</v>
      </c>
    </row>
    <row r="562" spans="1:12">
      <c r="A562" s="2682" t="s">
        <v>146</v>
      </c>
      <c r="B562" s="2682" t="s">
        <v>6464</v>
      </c>
      <c r="C562" s="2682">
        <v>670</v>
      </c>
      <c r="D562" s="2682">
        <v>900</v>
      </c>
      <c r="E562" s="2682">
        <v>240</v>
      </c>
      <c r="F562" s="2682" t="s">
        <v>5908</v>
      </c>
      <c r="G562" s="2682" t="s">
        <v>5908</v>
      </c>
      <c r="H562" s="2682" t="s">
        <v>5908</v>
      </c>
      <c r="I562" s="2682" t="s">
        <v>5908</v>
      </c>
      <c r="J562" s="2682">
        <v>416</v>
      </c>
      <c r="L562" s="2682" t="s">
        <v>6465</v>
      </c>
    </row>
    <row r="563" spans="1:12">
      <c r="A563" s="2683" t="s">
        <v>146</v>
      </c>
      <c r="B563" s="2683" t="s">
        <v>6466</v>
      </c>
      <c r="C563" s="2683">
        <v>710</v>
      </c>
      <c r="D563" s="2683">
        <v>950</v>
      </c>
      <c r="E563" s="2683">
        <v>240</v>
      </c>
      <c r="F563" s="2683" t="s">
        <v>5908</v>
      </c>
      <c r="G563" s="2683" t="s">
        <v>5908</v>
      </c>
      <c r="H563" s="2683" t="s">
        <v>5908</v>
      </c>
      <c r="I563" s="2683" t="s">
        <v>5908</v>
      </c>
      <c r="J563" s="2683">
        <v>444</v>
      </c>
      <c r="K563" s="2684"/>
      <c r="L563" s="2683" t="s">
        <v>6467</v>
      </c>
    </row>
    <row r="564" spans="1:12">
      <c r="A564" s="2682" t="s">
        <v>146</v>
      </c>
      <c r="B564" s="2682" t="s">
        <v>6468</v>
      </c>
      <c r="C564" s="2682">
        <v>750</v>
      </c>
      <c r="D564" s="2682">
        <v>1000</v>
      </c>
      <c r="E564" s="2682">
        <v>264</v>
      </c>
      <c r="F564" s="2682" t="s">
        <v>5908</v>
      </c>
      <c r="G564" s="2682" t="s">
        <v>5908</v>
      </c>
      <c r="H564" s="2682" t="s">
        <v>5908</v>
      </c>
      <c r="I564" s="2682" t="s">
        <v>5908</v>
      </c>
      <c r="J564" s="2682">
        <v>499</v>
      </c>
      <c r="L564" s="2682" t="s">
        <v>6469</v>
      </c>
    </row>
    <row r="565" spans="1:12">
      <c r="A565" s="2683" t="s">
        <v>146</v>
      </c>
      <c r="B565" s="2683" t="s">
        <v>6470</v>
      </c>
      <c r="C565" s="2683">
        <v>800</v>
      </c>
      <c r="D565" s="2683">
        <v>1060</v>
      </c>
      <c r="E565" s="2683">
        <v>270</v>
      </c>
      <c r="F565" s="2683" t="s">
        <v>5908</v>
      </c>
      <c r="G565" s="2683" t="s">
        <v>5908</v>
      </c>
      <c r="H565" s="2683" t="s">
        <v>5908</v>
      </c>
      <c r="I565" s="2683" t="s">
        <v>5908</v>
      </c>
      <c r="J565" s="2683">
        <v>604</v>
      </c>
      <c r="K565" s="2684"/>
      <c r="L565" s="2683" t="s">
        <v>6471</v>
      </c>
    </row>
    <row r="566" spans="1:12">
      <c r="A566" s="2682" t="s">
        <v>146</v>
      </c>
      <c r="B566" s="2682" t="s">
        <v>6472</v>
      </c>
      <c r="C566" s="2682">
        <v>850</v>
      </c>
      <c r="D566" s="2682">
        <v>1120</v>
      </c>
      <c r="E566" s="2682">
        <v>268</v>
      </c>
      <c r="F566" s="2682" t="s">
        <v>5908</v>
      </c>
      <c r="G566" s="2682" t="s">
        <v>5908</v>
      </c>
      <c r="H566" s="2682" t="s">
        <v>5908</v>
      </c>
      <c r="I566" s="2682" t="s">
        <v>5908</v>
      </c>
      <c r="J566" s="2682">
        <v>636</v>
      </c>
      <c r="L566" s="2682" t="s">
        <v>6473</v>
      </c>
    </row>
    <row r="567" spans="1:12">
      <c r="A567" s="2683" t="s">
        <v>146</v>
      </c>
      <c r="B567" s="2683" t="s">
        <v>6474</v>
      </c>
      <c r="C567" s="2683">
        <v>900</v>
      </c>
      <c r="D567" s="2683">
        <v>1180</v>
      </c>
      <c r="E567" s="2683">
        <v>275</v>
      </c>
      <c r="F567" s="2683" t="s">
        <v>5908</v>
      </c>
      <c r="G567" s="2683" t="s">
        <v>5908</v>
      </c>
      <c r="H567" s="2683" t="s">
        <v>5908</v>
      </c>
      <c r="I567" s="2683" t="s">
        <v>5908</v>
      </c>
      <c r="J567" s="2683">
        <v>728</v>
      </c>
      <c r="K567" s="2684"/>
      <c r="L567" s="2683" t="s">
        <v>6475</v>
      </c>
    </row>
    <row r="568" spans="1:12">
      <c r="A568" s="2682" t="s">
        <v>146</v>
      </c>
      <c r="B568" s="2682" t="s">
        <v>6476</v>
      </c>
      <c r="C568" s="2682">
        <v>950</v>
      </c>
      <c r="D568" s="2682">
        <v>1250</v>
      </c>
      <c r="E568" s="2682">
        <v>300</v>
      </c>
      <c r="F568" s="2682" t="s">
        <v>5908</v>
      </c>
      <c r="G568" s="2682" t="s">
        <v>5908</v>
      </c>
      <c r="H568" s="2682" t="s">
        <v>5908</v>
      </c>
      <c r="I568" s="2682" t="s">
        <v>5908</v>
      </c>
      <c r="J568" s="2682">
        <v>909</v>
      </c>
      <c r="L568" s="2682" t="s">
        <v>6477</v>
      </c>
    </row>
    <row r="569" spans="1:12">
      <c r="A569" s="2683" t="s">
        <v>146</v>
      </c>
      <c r="B569" s="2683" t="s">
        <v>6478</v>
      </c>
      <c r="C569" s="2683">
        <v>1120</v>
      </c>
      <c r="D569" s="2683">
        <v>1460</v>
      </c>
      <c r="E569" s="2683">
        <v>335</v>
      </c>
      <c r="F569" s="2683" t="s">
        <v>5908</v>
      </c>
      <c r="G569" s="2683" t="s">
        <v>5908</v>
      </c>
      <c r="H569" s="2683" t="s">
        <v>5908</v>
      </c>
      <c r="I569" s="2683" t="s">
        <v>5908</v>
      </c>
      <c r="J569" s="2683">
        <v>1344</v>
      </c>
      <c r="K569" s="2684"/>
      <c r="L569" s="2683" t="s">
        <v>6479</v>
      </c>
    </row>
    <row r="570" spans="1:12">
      <c r="A570" s="2682" t="s">
        <v>146</v>
      </c>
      <c r="B570" s="2682">
        <v>32019</v>
      </c>
      <c r="C570" s="2682">
        <v>95</v>
      </c>
      <c r="D570" s="2682">
        <v>145</v>
      </c>
      <c r="E570" s="2682">
        <v>32</v>
      </c>
      <c r="F570" s="2682" t="s">
        <v>5908</v>
      </c>
      <c r="G570" s="2682" t="s">
        <v>5908</v>
      </c>
      <c r="H570" s="2682" t="s">
        <v>5908</v>
      </c>
      <c r="I570" s="2682" t="s">
        <v>5908</v>
      </c>
      <c r="J570" s="2682">
        <v>1.84</v>
      </c>
      <c r="L570" s="2682" t="s">
        <v>6480</v>
      </c>
    </row>
    <row r="571" spans="1:12">
      <c r="A571" s="2683" t="s">
        <v>146</v>
      </c>
      <c r="B571" s="2683" t="s">
        <v>6481</v>
      </c>
      <c r="C571" s="2683">
        <v>100</v>
      </c>
      <c r="D571" s="2683">
        <v>150</v>
      </c>
      <c r="E571" s="2683">
        <v>32</v>
      </c>
      <c r="F571" s="2683" t="s">
        <v>5908</v>
      </c>
      <c r="G571" s="2683" t="s">
        <v>5908</v>
      </c>
      <c r="H571" s="2683" t="s">
        <v>5908</v>
      </c>
      <c r="I571" s="2683" t="s">
        <v>5908</v>
      </c>
      <c r="J571" s="2683">
        <v>3.95</v>
      </c>
      <c r="K571" s="2684"/>
      <c r="L571" s="2683">
        <v>2047120</v>
      </c>
    </row>
    <row r="572" spans="1:12">
      <c r="A572" s="2682" t="s">
        <v>146</v>
      </c>
      <c r="B572" s="2682" t="s">
        <v>6482</v>
      </c>
      <c r="C572" s="2682">
        <v>110</v>
      </c>
      <c r="D572" s="2682">
        <v>170</v>
      </c>
      <c r="E572" s="2682">
        <v>38</v>
      </c>
      <c r="F572" s="2682" t="s">
        <v>5908</v>
      </c>
      <c r="G572" s="2682" t="s">
        <v>5908</v>
      </c>
      <c r="H572" s="2682" t="s">
        <v>5908</v>
      </c>
      <c r="I572" s="2682" t="s">
        <v>5908</v>
      </c>
      <c r="J572" s="2682">
        <v>6.17</v>
      </c>
      <c r="L572" s="2682">
        <v>2047122</v>
      </c>
    </row>
    <row r="573" spans="1:12">
      <c r="A573" s="2683" t="s">
        <v>146</v>
      </c>
      <c r="B573" s="2683" t="s">
        <v>6483</v>
      </c>
      <c r="C573" s="2683">
        <v>150</v>
      </c>
      <c r="D573" s="2683">
        <v>210</v>
      </c>
      <c r="E573" s="2683">
        <v>80</v>
      </c>
      <c r="F573" s="2683" t="s">
        <v>5908</v>
      </c>
      <c r="G573" s="2683" t="s">
        <v>5908</v>
      </c>
      <c r="H573" s="2683" t="s">
        <v>5908</v>
      </c>
      <c r="I573" s="2683" t="s">
        <v>5908</v>
      </c>
      <c r="J573" s="2683">
        <v>6.17</v>
      </c>
      <c r="K573" s="2684"/>
      <c r="L573" s="2683" t="s">
        <v>5922</v>
      </c>
    </row>
    <row r="574" spans="1:12">
      <c r="A574" s="2682" t="s">
        <v>146</v>
      </c>
      <c r="B574" s="2682">
        <v>382028</v>
      </c>
      <c r="C574" s="2682">
        <v>140</v>
      </c>
      <c r="D574" s="2682">
        <v>210</v>
      </c>
      <c r="E574" s="2682">
        <v>185</v>
      </c>
      <c r="F574" s="2682" t="s">
        <v>5908</v>
      </c>
      <c r="G574" s="2682" t="s">
        <v>5908</v>
      </c>
      <c r="H574" s="2682" t="s">
        <v>5908</v>
      </c>
      <c r="I574" s="2682" t="s">
        <v>5908</v>
      </c>
      <c r="J574" s="2682">
        <v>24.1</v>
      </c>
      <c r="L574" s="2682">
        <v>2077128</v>
      </c>
    </row>
    <row r="575" spans="1:12">
      <c r="A575" s="2683" t="s">
        <v>146</v>
      </c>
      <c r="B575" s="2683" t="s">
        <v>6484</v>
      </c>
      <c r="C575" s="2683">
        <v>170</v>
      </c>
      <c r="D575" s="2683">
        <v>260</v>
      </c>
      <c r="E575" s="2683">
        <v>230</v>
      </c>
      <c r="F575" s="2683" t="s">
        <v>5908</v>
      </c>
      <c r="G575" s="2683" t="s">
        <v>5908</v>
      </c>
      <c r="H575" s="2683" t="s">
        <v>5908</v>
      </c>
      <c r="I575" s="2683" t="s">
        <v>5908</v>
      </c>
      <c r="J575" s="2683">
        <v>39.5</v>
      </c>
      <c r="K575" s="2684"/>
      <c r="L575" s="2683" t="s">
        <v>6485</v>
      </c>
    </row>
    <row r="576" spans="1:12">
      <c r="A576" s="2682" t="s">
        <v>146</v>
      </c>
      <c r="B576" s="2682">
        <v>382044</v>
      </c>
      <c r="C576" s="2682">
        <v>220</v>
      </c>
      <c r="D576" s="2682">
        <v>340</v>
      </c>
      <c r="E576" s="2682">
        <v>305</v>
      </c>
      <c r="F576" s="2682" t="s">
        <v>5908</v>
      </c>
      <c r="G576" s="2682" t="s">
        <v>5908</v>
      </c>
      <c r="H576" s="2682" t="s">
        <v>5908</v>
      </c>
      <c r="I576" s="2682" t="s">
        <v>5908</v>
      </c>
      <c r="J576" s="2682">
        <v>97.9</v>
      </c>
      <c r="L576" s="2682">
        <v>2077144</v>
      </c>
    </row>
    <row r="577" spans="1:12">
      <c r="A577" s="2683" t="s">
        <v>146</v>
      </c>
      <c r="B577" s="2683">
        <v>382048</v>
      </c>
      <c r="C577" s="2683">
        <v>240</v>
      </c>
      <c r="D577" s="2683">
        <v>360</v>
      </c>
      <c r="E577" s="2683">
        <v>310</v>
      </c>
      <c r="F577" s="2683">
        <v>3300</v>
      </c>
      <c r="G577" s="2683">
        <v>2210</v>
      </c>
      <c r="H577" s="2683" t="s">
        <v>5908</v>
      </c>
      <c r="I577" s="2683" t="s">
        <v>5908</v>
      </c>
      <c r="J577" s="2683">
        <v>110</v>
      </c>
      <c r="K577" s="2684"/>
      <c r="L577" s="2683" t="s">
        <v>6486</v>
      </c>
    </row>
    <row r="578" spans="1:12">
      <c r="A578" s="2682" t="s">
        <v>146</v>
      </c>
      <c r="B578" s="2682">
        <v>382052</v>
      </c>
      <c r="C578" s="2682">
        <v>260</v>
      </c>
      <c r="D578" s="2682">
        <v>400</v>
      </c>
      <c r="E578" s="2682">
        <v>345</v>
      </c>
      <c r="F578" s="2682" t="s">
        <v>5908</v>
      </c>
      <c r="G578" s="2682" t="s">
        <v>5908</v>
      </c>
      <c r="H578" s="2682" t="s">
        <v>5908</v>
      </c>
      <c r="I578" s="2682" t="s">
        <v>5908</v>
      </c>
      <c r="J578" s="2682">
        <v>153</v>
      </c>
      <c r="L578" s="2682">
        <v>2077152</v>
      </c>
    </row>
    <row r="579" spans="1:12">
      <c r="A579" s="2683" t="s">
        <v>146</v>
      </c>
      <c r="B579" s="2683">
        <v>382060</v>
      </c>
      <c r="C579" s="2683">
        <v>300</v>
      </c>
      <c r="D579" s="2683">
        <v>460</v>
      </c>
      <c r="E579" s="2683">
        <v>210</v>
      </c>
      <c r="F579" s="2683" t="s">
        <v>5908</v>
      </c>
      <c r="G579" s="2683" t="s">
        <v>5908</v>
      </c>
      <c r="H579" s="2683" t="s">
        <v>5908</v>
      </c>
      <c r="I579" s="2683" t="s">
        <v>5908</v>
      </c>
      <c r="J579" s="2683">
        <v>117</v>
      </c>
      <c r="K579" s="2684"/>
      <c r="L579" s="2683" t="s">
        <v>6487</v>
      </c>
    </row>
    <row r="580" spans="1:12">
      <c r="A580" s="2682" t="s">
        <v>146</v>
      </c>
      <c r="B580" s="2682">
        <v>382064</v>
      </c>
      <c r="C580" s="2682">
        <v>320</v>
      </c>
      <c r="D580" s="2682">
        <v>480</v>
      </c>
      <c r="E580" s="2682">
        <v>380</v>
      </c>
      <c r="F580" s="2682" t="s">
        <v>5908</v>
      </c>
      <c r="G580" s="2682" t="s">
        <v>5908</v>
      </c>
      <c r="H580" s="2682" t="s">
        <v>5908</v>
      </c>
      <c r="I580" s="2682" t="s">
        <v>5908</v>
      </c>
      <c r="J580" s="2682">
        <v>234</v>
      </c>
      <c r="L580" s="2682" t="s">
        <v>6488</v>
      </c>
    </row>
    <row r="581" spans="1:12">
      <c r="A581" s="2683" t="s">
        <v>146</v>
      </c>
      <c r="B581" s="2683" t="s">
        <v>6489</v>
      </c>
      <c r="C581" s="2683">
        <v>950</v>
      </c>
      <c r="D581" s="2683">
        <v>1360</v>
      </c>
      <c r="E581" s="2683">
        <v>880</v>
      </c>
      <c r="F581" s="2683" t="s">
        <v>5908</v>
      </c>
      <c r="G581" s="2683" t="s">
        <v>5908</v>
      </c>
      <c r="H581" s="2683" t="s">
        <v>5908</v>
      </c>
      <c r="I581" s="2683" t="s">
        <v>5908</v>
      </c>
      <c r="J581" s="2683">
        <v>5698</v>
      </c>
      <c r="K581" s="2684"/>
      <c r="L581" s="2683" t="s">
        <v>6490</v>
      </c>
    </row>
    <row r="582" spans="1:12">
      <c r="A582" s="2682" t="s">
        <v>146</v>
      </c>
      <c r="B582" s="2682" t="s">
        <v>6491</v>
      </c>
      <c r="C582" s="2682">
        <v>1060</v>
      </c>
      <c r="D582" s="2682">
        <v>1500</v>
      </c>
      <c r="E582" s="2682">
        <v>1000</v>
      </c>
      <c r="F582" s="2682" t="s">
        <v>5908</v>
      </c>
      <c r="G582" s="2682" t="s">
        <v>5908</v>
      </c>
      <c r="H582" s="2682" t="s">
        <v>5908</v>
      </c>
      <c r="I582" s="2682" t="s">
        <v>5908</v>
      </c>
      <c r="J582" s="2682">
        <v>5698</v>
      </c>
      <c r="L582" s="2682" t="s">
        <v>6492</v>
      </c>
    </row>
    <row r="583" spans="1:12">
      <c r="A583" s="2683" t="s">
        <v>146</v>
      </c>
      <c r="B583" s="2683">
        <v>382930</v>
      </c>
      <c r="C583" s="2683">
        <v>150</v>
      </c>
      <c r="D583" s="2683">
        <v>210</v>
      </c>
      <c r="E583" s="2683">
        <v>165</v>
      </c>
      <c r="F583" s="2683" t="s">
        <v>5908</v>
      </c>
      <c r="G583" s="2683" t="s">
        <v>5908</v>
      </c>
      <c r="H583" s="2683" t="s">
        <v>5908</v>
      </c>
      <c r="I583" s="2683" t="s">
        <v>5908</v>
      </c>
      <c r="J583" s="2683">
        <v>5698</v>
      </c>
      <c r="K583" s="2684"/>
      <c r="L583" s="2683">
        <v>2077930</v>
      </c>
    </row>
    <row r="584" spans="1:12">
      <c r="A584" s="2682" t="s">
        <v>146</v>
      </c>
      <c r="B584" s="2682">
        <v>382952</v>
      </c>
      <c r="C584" s="2682">
        <v>260</v>
      </c>
      <c r="D584" s="2682">
        <v>360</v>
      </c>
      <c r="E584" s="2682">
        <v>265</v>
      </c>
      <c r="F584" s="2682" t="s">
        <v>5908</v>
      </c>
      <c r="G584" s="2682" t="s">
        <v>5908</v>
      </c>
      <c r="H584" s="2682" t="s">
        <v>5908</v>
      </c>
      <c r="I584" s="2682" t="s">
        <v>5908</v>
      </c>
      <c r="J584" s="2682">
        <v>76.3</v>
      </c>
      <c r="L584" s="2682">
        <v>2077952</v>
      </c>
    </row>
    <row r="585" spans="1:12">
      <c r="A585" s="2683" t="s">
        <v>146</v>
      </c>
      <c r="B585" s="2683">
        <v>382968</v>
      </c>
      <c r="C585" s="2683">
        <v>340</v>
      </c>
      <c r="D585" s="2683">
        <v>460</v>
      </c>
      <c r="E585" s="2683">
        <v>310</v>
      </c>
      <c r="F585" s="2683" t="s">
        <v>5908</v>
      </c>
      <c r="G585" s="2683" t="s">
        <v>5908</v>
      </c>
      <c r="H585" s="2683" t="s">
        <v>5908</v>
      </c>
      <c r="I585" s="2683" t="s">
        <v>5908</v>
      </c>
      <c r="J585" s="2683">
        <v>145</v>
      </c>
      <c r="K585" s="2684"/>
      <c r="L585" s="2683">
        <v>2077968</v>
      </c>
    </row>
    <row r="586" spans="1:12">
      <c r="A586" s="2682" t="s">
        <v>146</v>
      </c>
      <c r="B586" s="2682">
        <v>352026</v>
      </c>
      <c r="C586" s="2682">
        <v>130</v>
      </c>
      <c r="D586" s="2682">
        <v>200</v>
      </c>
      <c r="E586" s="2682">
        <v>95</v>
      </c>
      <c r="F586" s="2682" t="s">
        <v>5908</v>
      </c>
      <c r="G586" s="2682" t="s">
        <v>5908</v>
      </c>
      <c r="H586" s="2682" t="s">
        <v>5908</v>
      </c>
      <c r="I586" s="2682" t="s">
        <v>5908</v>
      </c>
      <c r="J586" s="2682">
        <v>9.7200000000000006</v>
      </c>
      <c r="L586" s="2682" t="s">
        <v>6493</v>
      </c>
    </row>
    <row r="587" spans="1:12">
      <c r="A587" s="2683" t="s">
        <v>146</v>
      </c>
      <c r="B587" s="2683">
        <v>352028</v>
      </c>
      <c r="C587" s="2683">
        <v>140</v>
      </c>
      <c r="D587" s="2683">
        <v>210</v>
      </c>
      <c r="E587" s="2683">
        <v>95</v>
      </c>
      <c r="F587" s="2683" t="s">
        <v>5908</v>
      </c>
      <c r="G587" s="2683" t="s">
        <v>5908</v>
      </c>
      <c r="H587" s="2683" t="s">
        <v>5908</v>
      </c>
      <c r="I587" s="2683" t="s">
        <v>5908</v>
      </c>
      <c r="J587" s="2683">
        <v>10.9</v>
      </c>
      <c r="K587" s="2684"/>
      <c r="L587" s="2683" t="s">
        <v>6494</v>
      </c>
    </row>
    <row r="588" spans="1:12">
      <c r="A588" s="2682" t="s">
        <v>146</v>
      </c>
      <c r="B588" s="2682">
        <v>352032</v>
      </c>
      <c r="C588" s="2682">
        <v>160</v>
      </c>
      <c r="D588" s="2682">
        <v>240</v>
      </c>
      <c r="E588" s="2682">
        <v>115</v>
      </c>
      <c r="F588" s="2682" t="s">
        <v>5908</v>
      </c>
      <c r="G588" s="2682" t="s">
        <v>5908</v>
      </c>
      <c r="H588" s="2682" t="s">
        <v>5908</v>
      </c>
      <c r="I588" s="2682" t="s">
        <v>5908</v>
      </c>
      <c r="J588" s="2682">
        <v>10.9</v>
      </c>
      <c r="L588" s="2682" t="s">
        <v>6495</v>
      </c>
    </row>
    <row r="589" spans="1:12">
      <c r="A589" s="2683" t="s">
        <v>146</v>
      </c>
      <c r="B589" s="2683">
        <v>352034</v>
      </c>
      <c r="C589" s="2683">
        <v>170</v>
      </c>
      <c r="D589" s="2683">
        <v>260</v>
      </c>
      <c r="E589" s="2683">
        <v>128</v>
      </c>
      <c r="F589" s="2683" t="s">
        <v>5908</v>
      </c>
      <c r="G589" s="2683" t="s">
        <v>5908</v>
      </c>
      <c r="H589" s="2683" t="s">
        <v>5908</v>
      </c>
      <c r="I589" s="2683" t="s">
        <v>5908</v>
      </c>
      <c r="J589" s="2683">
        <v>21</v>
      </c>
      <c r="K589" s="2684"/>
      <c r="L589" s="2683" t="s">
        <v>6496</v>
      </c>
    </row>
    <row r="590" spans="1:12">
      <c r="A590" s="2682" t="s">
        <v>146</v>
      </c>
      <c r="B590" s="2682">
        <v>352036</v>
      </c>
      <c r="C590" s="2682">
        <v>180</v>
      </c>
      <c r="D590" s="2682">
        <v>280</v>
      </c>
      <c r="E590" s="2682">
        <v>134</v>
      </c>
      <c r="F590" s="2682" t="s">
        <v>5908</v>
      </c>
      <c r="G590" s="2682" t="s">
        <v>5908</v>
      </c>
      <c r="H590" s="2682" t="s">
        <v>5908</v>
      </c>
      <c r="I590" s="2682" t="s">
        <v>5908</v>
      </c>
      <c r="J590" s="2682">
        <v>21</v>
      </c>
      <c r="L590" s="2682" t="s">
        <v>6497</v>
      </c>
    </row>
    <row r="591" spans="1:12">
      <c r="A591" s="2683" t="s">
        <v>146</v>
      </c>
      <c r="B591" s="2683">
        <v>352038</v>
      </c>
      <c r="C591" s="2683">
        <v>190</v>
      </c>
      <c r="D591" s="2683">
        <v>290</v>
      </c>
      <c r="E591" s="2683">
        <v>134</v>
      </c>
      <c r="F591" s="2683" t="s">
        <v>5908</v>
      </c>
      <c r="G591" s="2683" t="s">
        <v>5908</v>
      </c>
      <c r="H591" s="2683" t="s">
        <v>5908</v>
      </c>
      <c r="I591" s="2683" t="s">
        <v>5908</v>
      </c>
      <c r="J591" s="2683">
        <v>21</v>
      </c>
      <c r="K591" s="2684"/>
      <c r="L591" s="2683" t="s">
        <v>6498</v>
      </c>
    </row>
    <row r="592" spans="1:12">
      <c r="A592" s="2682" t="s">
        <v>146</v>
      </c>
      <c r="B592" s="2682">
        <v>352040</v>
      </c>
      <c r="C592" s="2682">
        <v>200</v>
      </c>
      <c r="D592" s="2682">
        <v>310</v>
      </c>
      <c r="E592" s="2682">
        <v>152</v>
      </c>
      <c r="F592" s="2682" t="s">
        <v>5908</v>
      </c>
      <c r="G592" s="2682" t="s">
        <v>5908</v>
      </c>
      <c r="H592" s="2682" t="s">
        <v>5908</v>
      </c>
      <c r="I592" s="2682" t="s">
        <v>5908</v>
      </c>
      <c r="J592" s="2682">
        <v>39</v>
      </c>
      <c r="L592" s="2682" t="s">
        <v>6499</v>
      </c>
    </row>
    <row r="593" spans="1:12">
      <c r="A593" s="2683" t="s">
        <v>146</v>
      </c>
      <c r="B593" s="2683">
        <v>352044</v>
      </c>
      <c r="C593" s="2683">
        <v>220</v>
      </c>
      <c r="D593" s="2683">
        <v>340</v>
      </c>
      <c r="E593" s="2683">
        <v>165</v>
      </c>
      <c r="F593" s="2683" t="s">
        <v>5908</v>
      </c>
      <c r="G593" s="2683" t="s">
        <v>5908</v>
      </c>
      <c r="H593" s="2683" t="s">
        <v>5908</v>
      </c>
      <c r="I593" s="2683" t="s">
        <v>5908</v>
      </c>
      <c r="J593" s="2683">
        <v>39</v>
      </c>
      <c r="K593" s="2684"/>
      <c r="L593" s="2683" t="s">
        <v>6500</v>
      </c>
    </row>
    <row r="594" spans="1:12">
      <c r="A594" s="2682" t="s">
        <v>146</v>
      </c>
      <c r="B594" s="2682">
        <v>352048</v>
      </c>
      <c r="C594" s="2682">
        <v>240</v>
      </c>
      <c r="D594" s="2682">
        <v>360</v>
      </c>
      <c r="E594" s="2682">
        <v>165</v>
      </c>
      <c r="F594" s="2682" t="s">
        <v>5908</v>
      </c>
      <c r="G594" s="2682" t="s">
        <v>5908</v>
      </c>
      <c r="H594" s="2682" t="s">
        <v>5908</v>
      </c>
      <c r="I594" s="2682" t="s">
        <v>5908</v>
      </c>
      <c r="J594" s="2682">
        <v>52.8</v>
      </c>
      <c r="L594" s="2682" t="s">
        <v>6501</v>
      </c>
    </row>
    <row r="595" spans="1:12">
      <c r="A595" s="2683" t="s">
        <v>146</v>
      </c>
      <c r="B595" s="2683">
        <v>352052</v>
      </c>
      <c r="C595" s="2683">
        <v>260</v>
      </c>
      <c r="D595" s="2683">
        <v>400</v>
      </c>
      <c r="E595" s="2683">
        <v>185</v>
      </c>
      <c r="F595" s="2683" t="s">
        <v>5908</v>
      </c>
      <c r="G595" s="2683" t="s">
        <v>5908</v>
      </c>
      <c r="H595" s="2683" t="s">
        <v>5908</v>
      </c>
      <c r="I595" s="2683" t="s">
        <v>5908</v>
      </c>
      <c r="J595" s="2683">
        <v>76.8</v>
      </c>
      <c r="K595" s="2684"/>
      <c r="L595" s="2683">
        <v>37852</v>
      </c>
    </row>
    <row r="596" spans="1:12">
      <c r="A596" s="2682" t="s">
        <v>146</v>
      </c>
      <c r="B596" s="2682">
        <v>352056</v>
      </c>
      <c r="C596" s="2682">
        <v>280</v>
      </c>
      <c r="D596" s="2682">
        <v>420</v>
      </c>
      <c r="E596" s="2682">
        <v>186</v>
      </c>
      <c r="F596" s="2682" t="s">
        <v>5908</v>
      </c>
      <c r="G596" s="2682" t="s">
        <v>5908</v>
      </c>
      <c r="H596" s="2682" t="s">
        <v>5908</v>
      </c>
      <c r="I596" s="2682" t="s">
        <v>5908</v>
      </c>
      <c r="J596" s="2682">
        <v>81.3</v>
      </c>
      <c r="L596" s="2682" t="s">
        <v>6502</v>
      </c>
    </row>
    <row r="597" spans="1:12">
      <c r="A597" s="2683" t="s">
        <v>146</v>
      </c>
      <c r="B597" s="2683">
        <v>352060</v>
      </c>
      <c r="C597" s="2683">
        <v>300</v>
      </c>
      <c r="D597" s="2683">
        <v>460</v>
      </c>
      <c r="E597" s="2683">
        <v>210</v>
      </c>
      <c r="F597" s="2683" t="s">
        <v>5908</v>
      </c>
      <c r="G597" s="2683" t="s">
        <v>5908</v>
      </c>
      <c r="H597" s="2683" t="s">
        <v>5908</v>
      </c>
      <c r="I597" s="2683" t="s">
        <v>5908</v>
      </c>
      <c r="J597" s="2683">
        <v>117</v>
      </c>
      <c r="K597" s="2684"/>
      <c r="L597" s="2683" t="s">
        <v>6503</v>
      </c>
    </row>
    <row r="598" spans="1:12">
      <c r="A598" s="2682" t="s">
        <v>146</v>
      </c>
      <c r="B598" s="2682">
        <v>352064</v>
      </c>
      <c r="C598" s="2682">
        <v>320</v>
      </c>
      <c r="D598" s="2682">
        <v>480</v>
      </c>
      <c r="E598" s="2682">
        <v>210</v>
      </c>
      <c r="F598" s="2682" t="s">
        <v>5908</v>
      </c>
      <c r="G598" s="2682" t="s">
        <v>5908</v>
      </c>
      <c r="H598" s="2682" t="s">
        <v>5908</v>
      </c>
      <c r="I598" s="2682" t="s">
        <v>5908</v>
      </c>
      <c r="J598" s="2682">
        <v>122</v>
      </c>
      <c r="L598" s="2682" t="s">
        <v>6504</v>
      </c>
    </row>
    <row r="599" spans="1:12">
      <c r="A599" s="2683" t="s">
        <v>146</v>
      </c>
      <c r="B599" s="2683">
        <v>352072</v>
      </c>
      <c r="C599" s="2683">
        <v>360</v>
      </c>
      <c r="D599" s="2683">
        <v>540</v>
      </c>
      <c r="E599" s="2683">
        <v>95</v>
      </c>
      <c r="F599" s="2683" t="s">
        <v>5908</v>
      </c>
      <c r="G599" s="2683" t="s">
        <v>5908</v>
      </c>
      <c r="H599" s="2683" t="s">
        <v>5908</v>
      </c>
      <c r="I599" s="2683" t="s">
        <v>5908</v>
      </c>
      <c r="J599" s="2683">
        <v>162</v>
      </c>
      <c r="K599" s="2684"/>
      <c r="L599" s="2683" t="s">
        <v>5922</v>
      </c>
    </row>
    <row r="600" spans="1:12">
      <c r="A600" s="2682" t="s">
        <v>146</v>
      </c>
      <c r="B600" s="2682">
        <v>352122</v>
      </c>
      <c r="C600" s="2682">
        <v>110</v>
      </c>
      <c r="D600" s="2682">
        <v>180</v>
      </c>
      <c r="E600" s="2682">
        <v>95</v>
      </c>
      <c r="F600" s="2682" t="s">
        <v>5908</v>
      </c>
      <c r="G600" s="2682" t="s">
        <v>5908</v>
      </c>
      <c r="H600" s="2682" t="s">
        <v>5908</v>
      </c>
      <c r="I600" s="2682" t="s">
        <v>5908</v>
      </c>
      <c r="J600" s="2682">
        <v>10</v>
      </c>
      <c r="L600" s="2682">
        <v>2097722</v>
      </c>
    </row>
    <row r="601" spans="1:12">
      <c r="A601" s="2683" t="s">
        <v>146</v>
      </c>
      <c r="B601" s="2683">
        <v>352124</v>
      </c>
      <c r="C601" s="2683">
        <v>120</v>
      </c>
      <c r="D601" s="2683">
        <v>200</v>
      </c>
      <c r="E601" s="2683">
        <v>110</v>
      </c>
      <c r="F601" s="2683" t="s">
        <v>5908</v>
      </c>
      <c r="G601" s="2683" t="s">
        <v>5908</v>
      </c>
      <c r="H601" s="2683" t="s">
        <v>5908</v>
      </c>
      <c r="I601" s="2683" t="s">
        <v>5908</v>
      </c>
      <c r="J601" s="2683">
        <v>12</v>
      </c>
      <c r="K601" s="2684"/>
      <c r="L601" s="2683">
        <v>2097724</v>
      </c>
    </row>
    <row r="602" spans="1:12">
      <c r="A602" s="2682" t="s">
        <v>146</v>
      </c>
      <c r="B602" s="2682">
        <v>352126</v>
      </c>
      <c r="C602" s="2682">
        <v>130</v>
      </c>
      <c r="D602" s="2682">
        <v>210</v>
      </c>
      <c r="E602" s="2682">
        <v>110</v>
      </c>
      <c r="F602" s="2682" t="s">
        <v>5908</v>
      </c>
      <c r="G602" s="2682" t="s">
        <v>5908</v>
      </c>
      <c r="H602" s="2682" t="s">
        <v>5908</v>
      </c>
      <c r="I602" s="2682" t="s">
        <v>5908</v>
      </c>
      <c r="J602" s="2682">
        <v>13.9</v>
      </c>
      <c r="L602" s="2682">
        <v>2097726</v>
      </c>
    </row>
    <row r="603" spans="1:12">
      <c r="A603" s="2683" t="s">
        <v>146</v>
      </c>
      <c r="B603" s="2683">
        <v>352128</v>
      </c>
      <c r="C603" s="2683">
        <v>140</v>
      </c>
      <c r="D603" s="2683">
        <v>225</v>
      </c>
      <c r="E603" s="2683">
        <v>115</v>
      </c>
      <c r="F603" s="2683" t="s">
        <v>5908</v>
      </c>
      <c r="G603" s="2683" t="s">
        <v>5908</v>
      </c>
      <c r="H603" s="2683" t="s">
        <v>5908</v>
      </c>
      <c r="I603" s="2683" t="s">
        <v>5908</v>
      </c>
      <c r="J603" s="2683">
        <v>13.9</v>
      </c>
      <c r="K603" s="2684"/>
      <c r="L603" s="2683">
        <v>2097728</v>
      </c>
    </row>
    <row r="604" spans="1:12">
      <c r="A604" s="2682" t="s">
        <v>146</v>
      </c>
      <c r="B604" s="2682">
        <v>352130</v>
      </c>
      <c r="C604" s="2682">
        <v>150</v>
      </c>
      <c r="D604" s="2682">
        <v>250</v>
      </c>
      <c r="E604" s="2682">
        <v>138</v>
      </c>
      <c r="F604" s="2682" t="s">
        <v>5908</v>
      </c>
      <c r="G604" s="2682" t="s">
        <v>5908</v>
      </c>
      <c r="H604" s="2682" t="s">
        <v>5908</v>
      </c>
      <c r="I604" s="2682" t="s">
        <v>5908</v>
      </c>
      <c r="J604" s="2682">
        <v>24.3</v>
      </c>
      <c r="L604" s="2682">
        <v>2097730</v>
      </c>
    </row>
    <row r="605" spans="1:12">
      <c r="A605" s="2683" t="s">
        <v>146</v>
      </c>
      <c r="B605" s="2683">
        <v>352132</v>
      </c>
      <c r="C605" s="2683">
        <v>160</v>
      </c>
      <c r="D605" s="2683">
        <v>270</v>
      </c>
      <c r="E605" s="2683">
        <v>150</v>
      </c>
      <c r="F605" s="2683" t="s">
        <v>5908</v>
      </c>
      <c r="G605" s="2683" t="s">
        <v>5908</v>
      </c>
      <c r="H605" s="2683" t="s">
        <v>5908</v>
      </c>
      <c r="I605" s="2683" t="s">
        <v>5908</v>
      </c>
      <c r="J605" s="2683">
        <v>28.2</v>
      </c>
      <c r="K605" s="2684"/>
      <c r="L605" s="2683">
        <v>2097732</v>
      </c>
    </row>
    <row r="606" spans="1:12">
      <c r="A606" s="2682" t="s">
        <v>146</v>
      </c>
      <c r="B606" s="2682">
        <v>52134</v>
      </c>
      <c r="C606" s="2682">
        <v>170</v>
      </c>
      <c r="D606" s="2682">
        <v>280</v>
      </c>
      <c r="E606" s="2682">
        <v>150</v>
      </c>
      <c r="F606" s="2682" t="s">
        <v>5908</v>
      </c>
      <c r="G606" s="2682" t="s">
        <v>5908</v>
      </c>
      <c r="H606" s="2682" t="s">
        <v>5908</v>
      </c>
      <c r="I606" s="2682" t="s">
        <v>5908</v>
      </c>
      <c r="J606" s="2682">
        <v>35.6</v>
      </c>
      <c r="L606" s="2682" t="s">
        <v>5922</v>
      </c>
    </row>
    <row r="607" spans="1:12">
      <c r="A607" s="2683" t="s">
        <v>146</v>
      </c>
      <c r="B607" s="2683">
        <v>52136</v>
      </c>
      <c r="C607" s="2683">
        <v>180</v>
      </c>
      <c r="D607" s="2683">
        <v>300</v>
      </c>
      <c r="E607" s="2683">
        <v>160</v>
      </c>
      <c r="F607" s="2683" t="s">
        <v>5908</v>
      </c>
      <c r="G607" s="2683" t="s">
        <v>5908</v>
      </c>
      <c r="H607" s="2683" t="s">
        <v>5908</v>
      </c>
      <c r="I607" s="2683" t="s">
        <v>5908</v>
      </c>
      <c r="J607" s="2683">
        <v>35.6</v>
      </c>
      <c r="K607" s="2684"/>
      <c r="L607" s="2683" t="s">
        <v>5922</v>
      </c>
    </row>
    <row r="608" spans="1:12">
      <c r="A608" s="2682" t="s">
        <v>146</v>
      </c>
      <c r="B608" s="2682">
        <v>52138</v>
      </c>
      <c r="C608" s="2682">
        <v>190</v>
      </c>
      <c r="D608" s="2682">
        <v>320</v>
      </c>
      <c r="E608" s="2682">
        <v>170</v>
      </c>
      <c r="F608" s="2682" t="s">
        <v>5908</v>
      </c>
      <c r="G608" s="2682" t="s">
        <v>5908</v>
      </c>
      <c r="H608" s="2682" t="s">
        <v>5908</v>
      </c>
      <c r="I608" s="2682" t="s">
        <v>5908</v>
      </c>
      <c r="J608" s="2682">
        <v>52</v>
      </c>
      <c r="L608" s="2682" t="s">
        <v>5922</v>
      </c>
    </row>
    <row r="609" spans="1:12">
      <c r="A609" s="2683" t="s">
        <v>146</v>
      </c>
      <c r="B609" s="2683">
        <v>52140</v>
      </c>
      <c r="C609" s="2683">
        <v>200</v>
      </c>
      <c r="D609" s="2683">
        <v>340</v>
      </c>
      <c r="E609" s="2683">
        <v>184</v>
      </c>
      <c r="F609" s="2683" t="s">
        <v>5908</v>
      </c>
      <c r="G609" s="2683" t="s">
        <v>5908</v>
      </c>
      <c r="H609" s="2683" t="s">
        <v>5908</v>
      </c>
      <c r="I609" s="2683" t="s">
        <v>5908</v>
      </c>
      <c r="J609" s="2683">
        <v>63.8</v>
      </c>
      <c r="K609" s="2684"/>
      <c r="L609" s="2683" t="s">
        <v>5922</v>
      </c>
    </row>
    <row r="610" spans="1:12">
      <c r="A610" s="2682" t="s">
        <v>146</v>
      </c>
      <c r="B610" s="2682">
        <v>52144</v>
      </c>
      <c r="C610" s="2682">
        <v>220</v>
      </c>
      <c r="D610" s="2682">
        <v>370</v>
      </c>
      <c r="E610" s="2682">
        <v>195</v>
      </c>
      <c r="F610" s="2682" t="s">
        <v>5908</v>
      </c>
      <c r="G610" s="2682" t="s">
        <v>5908</v>
      </c>
      <c r="H610" s="2682" t="s">
        <v>5908</v>
      </c>
      <c r="I610" s="2682" t="s">
        <v>5908</v>
      </c>
      <c r="J610" s="2682">
        <v>76.3</v>
      </c>
      <c r="L610" s="2682" t="s">
        <v>5922</v>
      </c>
    </row>
    <row r="611" spans="1:12">
      <c r="A611" s="2683" t="s">
        <v>146</v>
      </c>
      <c r="B611" s="2683">
        <v>52148</v>
      </c>
      <c r="C611" s="2683">
        <v>240</v>
      </c>
      <c r="D611" s="2683">
        <v>400</v>
      </c>
      <c r="E611" s="2683">
        <v>210</v>
      </c>
      <c r="F611" s="2683" t="s">
        <v>5908</v>
      </c>
      <c r="G611" s="2683" t="s">
        <v>5908</v>
      </c>
      <c r="H611" s="2683" t="s">
        <v>5908</v>
      </c>
      <c r="I611" s="2683" t="s">
        <v>5908</v>
      </c>
      <c r="J611" s="2683">
        <v>98.1</v>
      </c>
      <c r="K611" s="2684"/>
      <c r="L611" s="2683" t="s">
        <v>5922</v>
      </c>
    </row>
    <row r="612" spans="1:12">
      <c r="A612" s="2682" t="s">
        <v>146</v>
      </c>
      <c r="B612" s="2682">
        <v>52152</v>
      </c>
      <c r="C612" s="2682">
        <v>260</v>
      </c>
      <c r="D612" s="2682">
        <v>440</v>
      </c>
      <c r="E612" s="2682">
        <v>225</v>
      </c>
      <c r="F612" s="2682" t="s">
        <v>5908</v>
      </c>
      <c r="G612" s="2682" t="s">
        <v>5908</v>
      </c>
      <c r="H612" s="2682" t="s">
        <v>5908</v>
      </c>
      <c r="I612" s="2682" t="s">
        <v>5908</v>
      </c>
      <c r="J612" s="2682">
        <v>124</v>
      </c>
      <c r="L612" s="2682" t="s">
        <v>5922</v>
      </c>
    </row>
    <row r="613" spans="1:12">
      <c r="A613" s="2683" t="s">
        <v>146</v>
      </c>
      <c r="B613" s="2683">
        <v>52926</v>
      </c>
      <c r="C613" s="2683">
        <v>130</v>
      </c>
      <c r="D613" s="2683">
        <v>180</v>
      </c>
      <c r="E613" s="2683">
        <v>70</v>
      </c>
      <c r="F613" s="2683" t="s">
        <v>5908</v>
      </c>
      <c r="G613" s="2683" t="s">
        <v>5908</v>
      </c>
      <c r="H613" s="2683" t="s">
        <v>5908</v>
      </c>
      <c r="I613" s="2683" t="s">
        <v>5908</v>
      </c>
      <c r="J613" s="2683">
        <v>4.9000000000000004</v>
      </c>
      <c r="K613" s="2684"/>
      <c r="L613" s="2683" t="s">
        <v>5922</v>
      </c>
    </row>
    <row r="614" spans="1:12">
      <c r="A614" s="2682" t="s">
        <v>146</v>
      </c>
      <c r="B614" s="2682">
        <v>52930</v>
      </c>
      <c r="C614" s="2682">
        <v>150</v>
      </c>
      <c r="D614" s="2682">
        <v>210</v>
      </c>
      <c r="E614" s="2682">
        <v>80</v>
      </c>
      <c r="F614" s="2682" t="s">
        <v>5908</v>
      </c>
      <c r="G614" s="2682" t="s">
        <v>5908</v>
      </c>
      <c r="H614" s="2682" t="s">
        <v>5908</v>
      </c>
      <c r="I614" s="2682" t="s">
        <v>5908</v>
      </c>
      <c r="J614" s="2682">
        <v>9.32</v>
      </c>
      <c r="L614" s="2682" t="s">
        <v>5922</v>
      </c>
    </row>
    <row r="615" spans="1:12">
      <c r="A615" s="2683" t="s">
        <v>146</v>
      </c>
      <c r="B615" s="2683">
        <v>52932</v>
      </c>
      <c r="C615" s="2683">
        <v>160</v>
      </c>
      <c r="D615" s="2683">
        <v>220</v>
      </c>
      <c r="E615" s="2683">
        <v>82</v>
      </c>
      <c r="F615" s="2683" t="s">
        <v>5908</v>
      </c>
      <c r="G615" s="2683" t="s">
        <v>5908</v>
      </c>
      <c r="H615" s="2683" t="s">
        <v>5908</v>
      </c>
      <c r="I615" s="2683" t="s">
        <v>5908</v>
      </c>
      <c r="J615" s="2683">
        <v>8.15</v>
      </c>
      <c r="K615" s="2684"/>
      <c r="L615" s="2683" t="s">
        <v>5922</v>
      </c>
    </row>
    <row r="616" spans="1:12">
      <c r="A616" s="2682" t="s">
        <v>146</v>
      </c>
      <c r="B616" s="2682">
        <v>52934</v>
      </c>
      <c r="C616" s="2682">
        <v>170</v>
      </c>
      <c r="D616" s="2682">
        <v>230</v>
      </c>
      <c r="E616" s="2682">
        <v>80</v>
      </c>
      <c r="F616" s="2682" t="s">
        <v>5908</v>
      </c>
      <c r="G616" s="2682" t="s">
        <v>5908</v>
      </c>
      <c r="H616" s="2682" t="s">
        <v>5908</v>
      </c>
      <c r="I616" s="2682" t="s">
        <v>5908</v>
      </c>
      <c r="J616" s="2682">
        <v>8.17</v>
      </c>
      <c r="L616" s="2682" t="s">
        <v>5922</v>
      </c>
    </row>
    <row r="617" spans="1:12">
      <c r="A617" s="2683" t="s">
        <v>146</v>
      </c>
      <c r="B617" s="2683">
        <v>52938</v>
      </c>
      <c r="C617" s="2683">
        <v>190</v>
      </c>
      <c r="D617" s="2683">
        <v>260</v>
      </c>
      <c r="E617" s="2683">
        <v>95</v>
      </c>
      <c r="F617" s="2683" t="s">
        <v>5908</v>
      </c>
      <c r="G617" s="2683" t="s">
        <v>5908</v>
      </c>
      <c r="H617" s="2683" t="s">
        <v>5908</v>
      </c>
      <c r="I617" s="2683" t="s">
        <v>5908</v>
      </c>
      <c r="J617" s="2683">
        <v>13.3</v>
      </c>
      <c r="K617" s="2684"/>
      <c r="L617" s="2683" t="s">
        <v>5922</v>
      </c>
    </row>
    <row r="618" spans="1:12">
      <c r="A618" s="2682" t="s">
        <v>146</v>
      </c>
      <c r="B618" s="2682">
        <v>52940</v>
      </c>
      <c r="C618" s="2682">
        <v>200</v>
      </c>
      <c r="D618" s="2682">
        <v>280</v>
      </c>
      <c r="E618" s="2682">
        <v>105</v>
      </c>
      <c r="F618" s="2682" t="s">
        <v>5908</v>
      </c>
      <c r="G618" s="2682" t="s">
        <v>5908</v>
      </c>
      <c r="H618" s="2682" t="s">
        <v>5908</v>
      </c>
      <c r="I618" s="2682" t="s">
        <v>5908</v>
      </c>
      <c r="J618" s="2682">
        <v>18.8</v>
      </c>
      <c r="L618" s="2682" t="s">
        <v>5922</v>
      </c>
    </row>
    <row r="619" spans="1:12">
      <c r="A619" s="2683" t="s">
        <v>146</v>
      </c>
      <c r="B619" s="2683">
        <v>52944</v>
      </c>
      <c r="C619" s="2683">
        <v>220</v>
      </c>
      <c r="D619" s="2683">
        <v>300</v>
      </c>
      <c r="E619" s="2683">
        <v>110</v>
      </c>
      <c r="F619" s="2683" t="s">
        <v>5908</v>
      </c>
      <c r="G619" s="2683" t="s">
        <v>5908</v>
      </c>
      <c r="H619" s="2683" t="s">
        <v>5908</v>
      </c>
      <c r="I619" s="2683" t="s">
        <v>5908</v>
      </c>
      <c r="J619" s="2683">
        <v>21.7</v>
      </c>
      <c r="K619" s="2684"/>
      <c r="L619" s="2683" t="s">
        <v>5922</v>
      </c>
    </row>
    <row r="620" spans="1:12">
      <c r="A620" s="2682" t="s">
        <v>146</v>
      </c>
      <c r="B620" s="2682">
        <v>52948</v>
      </c>
      <c r="C620" s="2682">
        <v>240</v>
      </c>
      <c r="D620" s="2682">
        <v>320</v>
      </c>
      <c r="E620" s="2682">
        <v>110</v>
      </c>
      <c r="F620" s="2682" t="s">
        <v>5908</v>
      </c>
      <c r="G620" s="2682" t="s">
        <v>5908</v>
      </c>
      <c r="H620" s="2682" t="s">
        <v>5908</v>
      </c>
      <c r="I620" s="2682" t="s">
        <v>5908</v>
      </c>
      <c r="J620" s="2682">
        <v>22.2</v>
      </c>
      <c r="L620" s="2682" t="s">
        <v>5922</v>
      </c>
    </row>
    <row r="621" spans="1:12">
      <c r="A621" s="2683" t="s">
        <v>146</v>
      </c>
      <c r="B621" s="2683">
        <v>52952</v>
      </c>
      <c r="C621" s="2683">
        <v>260</v>
      </c>
      <c r="D621" s="2683">
        <v>360</v>
      </c>
      <c r="E621" s="2683">
        <v>134</v>
      </c>
      <c r="F621" s="2683" t="s">
        <v>5908</v>
      </c>
      <c r="G621" s="2683" t="s">
        <v>5908</v>
      </c>
      <c r="H621" s="2683" t="s">
        <v>5908</v>
      </c>
      <c r="I621" s="2683" t="s">
        <v>5908</v>
      </c>
      <c r="J621" s="2683">
        <v>36.799999999999997</v>
      </c>
      <c r="K621" s="2684"/>
      <c r="L621" s="2683" t="s">
        <v>5922</v>
      </c>
    </row>
    <row r="622" spans="1:12">
      <c r="A622" s="2682" t="s">
        <v>146</v>
      </c>
      <c r="B622" s="2682" t="s">
        <v>6505</v>
      </c>
      <c r="C622" s="2682">
        <v>260</v>
      </c>
      <c r="D622" s="2682">
        <v>360</v>
      </c>
      <c r="E622" s="2682">
        <v>134</v>
      </c>
      <c r="F622" s="2682" t="s">
        <v>5908</v>
      </c>
      <c r="G622" s="2682" t="s">
        <v>5908</v>
      </c>
      <c r="H622" s="2682" t="s">
        <v>5908</v>
      </c>
      <c r="I622" s="2682" t="s">
        <v>5908</v>
      </c>
      <c r="J622" s="2682">
        <v>36.799999999999997</v>
      </c>
      <c r="L622" s="2682" t="s">
        <v>5922</v>
      </c>
    </row>
    <row r="623" spans="1:12">
      <c r="A623" s="2683" t="s">
        <v>146</v>
      </c>
      <c r="B623" s="2683">
        <v>52956</v>
      </c>
      <c r="C623" s="2683">
        <v>280</v>
      </c>
      <c r="D623" s="2683">
        <v>380</v>
      </c>
      <c r="E623" s="2683">
        <v>134</v>
      </c>
      <c r="F623" s="2683" t="s">
        <v>5908</v>
      </c>
      <c r="G623" s="2683" t="s">
        <v>5908</v>
      </c>
      <c r="H623" s="2683" t="s">
        <v>5908</v>
      </c>
      <c r="I623" s="2683" t="s">
        <v>5908</v>
      </c>
      <c r="J623" s="2683">
        <v>41.3</v>
      </c>
      <c r="K623" s="2684"/>
      <c r="L623" s="2683" t="s">
        <v>5922</v>
      </c>
    </row>
    <row r="624" spans="1:12">
      <c r="A624" s="2682" t="s">
        <v>146</v>
      </c>
      <c r="B624" s="2682">
        <v>52960</v>
      </c>
      <c r="C624" s="2682">
        <v>300</v>
      </c>
      <c r="D624" s="2682">
        <v>420</v>
      </c>
      <c r="E624" s="2682">
        <v>160</v>
      </c>
      <c r="F624" s="2682" t="s">
        <v>5908</v>
      </c>
      <c r="G624" s="2682" t="s">
        <v>5908</v>
      </c>
      <c r="H624" s="2682" t="s">
        <v>5908</v>
      </c>
      <c r="I624" s="2682" t="s">
        <v>5908</v>
      </c>
      <c r="J624" s="2682">
        <v>63</v>
      </c>
      <c r="L624" s="2682" t="s">
        <v>5922</v>
      </c>
    </row>
    <row r="625" spans="1:12">
      <c r="A625" s="2683" t="s">
        <v>146</v>
      </c>
      <c r="B625" s="2683">
        <v>352964</v>
      </c>
      <c r="C625" s="2683">
        <v>320</v>
      </c>
      <c r="D625" s="2683">
        <v>440</v>
      </c>
      <c r="E625" s="2683">
        <v>160</v>
      </c>
      <c r="F625" s="2683" t="s">
        <v>5908</v>
      </c>
      <c r="G625" s="2683" t="s">
        <v>5908</v>
      </c>
      <c r="H625" s="2683" t="s">
        <v>5908</v>
      </c>
      <c r="I625" s="2683" t="s">
        <v>5908</v>
      </c>
      <c r="J625" s="2683">
        <v>67</v>
      </c>
      <c r="K625" s="2684"/>
      <c r="L625" s="2683" t="s">
        <v>6506</v>
      </c>
    </row>
    <row r="626" spans="1:12">
      <c r="A626" s="2682" t="s">
        <v>146</v>
      </c>
      <c r="B626" s="2682">
        <v>352968</v>
      </c>
      <c r="C626" s="2682">
        <v>340</v>
      </c>
      <c r="D626" s="2682">
        <v>460</v>
      </c>
      <c r="E626" s="2682">
        <v>160</v>
      </c>
      <c r="F626" s="2682" t="s">
        <v>5908</v>
      </c>
      <c r="G626" s="2682" t="s">
        <v>5908</v>
      </c>
      <c r="H626" s="2682" t="s">
        <v>5908</v>
      </c>
      <c r="I626" s="2682" t="s">
        <v>5908</v>
      </c>
      <c r="J626" s="2682">
        <v>71</v>
      </c>
      <c r="L626" s="2682" t="s">
        <v>6507</v>
      </c>
    </row>
    <row r="627" spans="1:12">
      <c r="A627" s="2683" t="s">
        <v>146</v>
      </c>
      <c r="B627" s="2683">
        <v>352972</v>
      </c>
      <c r="C627" s="2683">
        <v>360</v>
      </c>
      <c r="D627" s="2683">
        <v>480</v>
      </c>
      <c r="E627" s="2683">
        <v>160</v>
      </c>
      <c r="F627" s="2683" t="s">
        <v>5908</v>
      </c>
      <c r="G627" s="2683" t="s">
        <v>5908</v>
      </c>
      <c r="H627" s="2683" t="s">
        <v>5908</v>
      </c>
      <c r="I627" s="2683" t="s">
        <v>5908</v>
      </c>
      <c r="J627" s="2683">
        <v>74.3</v>
      </c>
      <c r="K627" s="2684"/>
      <c r="L627" s="2683" t="s">
        <v>6508</v>
      </c>
    </row>
    <row r="628" spans="1:12">
      <c r="A628" s="2682" t="s">
        <v>146</v>
      </c>
      <c r="B628" s="2682">
        <v>33217</v>
      </c>
      <c r="C628" s="2682">
        <v>85</v>
      </c>
      <c r="D628" s="2682">
        <v>150</v>
      </c>
      <c r="E628" s="2682">
        <v>49</v>
      </c>
      <c r="F628" s="2682" t="s">
        <v>5908</v>
      </c>
      <c r="G628" s="2682" t="s">
        <v>5908</v>
      </c>
      <c r="H628" s="2682" t="s">
        <v>5908</v>
      </c>
      <c r="I628" s="2682" t="s">
        <v>5908</v>
      </c>
      <c r="J628" s="2682">
        <v>3.56</v>
      </c>
      <c r="L628" s="2682" t="s">
        <v>6509</v>
      </c>
    </row>
    <row r="629" spans="1:12">
      <c r="A629" s="2683" t="s">
        <v>146</v>
      </c>
      <c r="B629" s="2683" t="s">
        <v>6510</v>
      </c>
      <c r="C629" s="2683">
        <v>28.574999999999999</v>
      </c>
      <c r="D629" s="2683">
        <v>68.260000000000005</v>
      </c>
      <c r="E629" s="2683">
        <v>22.225000000000001</v>
      </c>
      <c r="F629" s="2683" t="s">
        <v>5922</v>
      </c>
      <c r="G629" s="2683" t="s">
        <v>5922</v>
      </c>
      <c r="H629" s="2683" t="s">
        <v>5922</v>
      </c>
      <c r="I629" s="2683" t="s">
        <v>5922</v>
      </c>
      <c r="J629" s="2683">
        <v>0.40500000000000003</v>
      </c>
      <c r="K629" s="2684"/>
      <c r="L629" s="2683" t="s">
        <v>6510</v>
      </c>
    </row>
    <row r="630" spans="1:12">
      <c r="A630" s="2682" t="s">
        <v>146</v>
      </c>
      <c r="B630" s="2682" t="s">
        <v>6511</v>
      </c>
      <c r="C630" s="2682">
        <v>71.438000000000002</v>
      </c>
      <c r="D630" s="2682">
        <v>117.41500000000001</v>
      </c>
      <c r="E630" s="2682">
        <v>30.161999999999999</v>
      </c>
      <c r="F630" s="2682" t="s">
        <v>5922</v>
      </c>
      <c r="G630" s="2682" t="s">
        <v>5922</v>
      </c>
      <c r="H630" s="2682" t="s">
        <v>5922</v>
      </c>
      <c r="I630" s="2682" t="s">
        <v>5922</v>
      </c>
      <c r="J630" s="2682">
        <v>1.2090000000000001</v>
      </c>
      <c r="L630" s="2682" t="s">
        <v>5922</v>
      </c>
    </row>
    <row r="631" spans="1:12">
      <c r="A631" s="2683" t="s">
        <v>146</v>
      </c>
      <c r="B631" s="2683" t="s">
        <v>6512</v>
      </c>
      <c r="C631" s="2683">
        <v>69.850999999999999</v>
      </c>
      <c r="D631" s="2683">
        <v>117.47499999999999</v>
      </c>
      <c r="E631" s="2683">
        <v>30.161999999999999</v>
      </c>
      <c r="F631" s="2683" t="s">
        <v>5922</v>
      </c>
      <c r="G631" s="2683" t="s">
        <v>5922</v>
      </c>
      <c r="H631" s="2683" t="s">
        <v>5922</v>
      </c>
      <c r="I631" s="2683" t="s">
        <v>5922</v>
      </c>
      <c r="J631" s="2683">
        <v>0</v>
      </c>
      <c r="K631" s="2684"/>
      <c r="L631" s="2683" t="s">
        <v>5922</v>
      </c>
    </row>
    <row r="632" spans="1:12">
      <c r="A632" s="2682" t="s">
        <v>146</v>
      </c>
      <c r="B632" s="2682" t="s">
        <v>6513</v>
      </c>
      <c r="C632" s="2682">
        <v>66.674999999999997</v>
      </c>
      <c r="D632" s="2682">
        <v>117.47499999999999</v>
      </c>
      <c r="E632" s="2682">
        <v>30.161999999999999</v>
      </c>
      <c r="F632" s="2682" t="s">
        <v>5922</v>
      </c>
      <c r="G632" s="2682" t="s">
        <v>5922</v>
      </c>
      <c r="H632" s="2682" t="s">
        <v>5922</v>
      </c>
      <c r="I632" s="2682" t="s">
        <v>5922</v>
      </c>
      <c r="J632" s="2682">
        <v>0</v>
      </c>
      <c r="L632" s="2682" t="s">
        <v>5922</v>
      </c>
    </row>
    <row r="633" spans="1:12">
      <c r="A633" s="2683" t="s">
        <v>146</v>
      </c>
      <c r="B633" s="2683" t="s">
        <v>6514</v>
      </c>
      <c r="C633" s="2683">
        <v>90</v>
      </c>
      <c r="D633" s="2683">
        <v>160</v>
      </c>
      <c r="E633" s="2683">
        <v>50</v>
      </c>
      <c r="F633" s="2683" t="s">
        <v>5922</v>
      </c>
      <c r="G633" s="2683" t="s">
        <v>5922</v>
      </c>
      <c r="H633" s="2683" t="s">
        <v>5922</v>
      </c>
      <c r="I633" s="2683" t="s">
        <v>5922</v>
      </c>
      <c r="J633" s="2683">
        <v>3.867</v>
      </c>
      <c r="K633" s="2684"/>
      <c r="L633" s="2683">
        <v>7818</v>
      </c>
    </row>
    <row r="634" spans="1:12">
      <c r="A634" s="2682" t="s">
        <v>146</v>
      </c>
      <c r="B634" s="2682" t="s">
        <v>6515</v>
      </c>
      <c r="C634" s="2682">
        <v>75</v>
      </c>
      <c r="D634" s="2682">
        <v>130</v>
      </c>
      <c r="E634" s="2682">
        <v>44.5</v>
      </c>
      <c r="F634" s="2682" t="s">
        <v>5922</v>
      </c>
      <c r="G634" s="2682" t="s">
        <v>5922</v>
      </c>
      <c r="H634" s="2682" t="s">
        <v>5922</v>
      </c>
      <c r="I634" s="2682" t="s">
        <v>5922</v>
      </c>
      <c r="J634" s="2682">
        <v>2.57</v>
      </c>
      <c r="L634" s="2682" t="s">
        <v>6516</v>
      </c>
    </row>
    <row r="635" spans="1:12">
      <c r="A635" s="2683" t="s">
        <v>146</v>
      </c>
      <c r="B635" s="2683" t="s">
        <v>6517</v>
      </c>
      <c r="C635" s="2683">
        <v>65</v>
      </c>
      <c r="D635" s="2683">
        <v>120</v>
      </c>
      <c r="E635" s="2683">
        <v>41</v>
      </c>
      <c r="F635" s="2683" t="s">
        <v>5922</v>
      </c>
      <c r="G635" s="2683" t="s">
        <v>5922</v>
      </c>
      <c r="H635" s="2683" t="s">
        <v>5922</v>
      </c>
      <c r="I635" s="2683" t="s">
        <v>5922</v>
      </c>
      <c r="J635" s="2683">
        <v>2.02</v>
      </c>
      <c r="K635" s="2684"/>
      <c r="L635" s="2683" t="s">
        <v>5922</v>
      </c>
    </row>
    <row r="636" spans="1:12">
      <c r="A636" s="2682" t="s">
        <v>146</v>
      </c>
      <c r="B636" s="2682" t="s">
        <v>6518</v>
      </c>
      <c r="C636" s="2682">
        <v>90</v>
      </c>
      <c r="D636" s="2682">
        <v>150</v>
      </c>
      <c r="E636" s="2682">
        <v>48</v>
      </c>
      <c r="F636" s="2682" t="s">
        <v>5922</v>
      </c>
      <c r="G636" s="2682" t="s">
        <v>5922</v>
      </c>
      <c r="H636" s="2682" t="s">
        <v>5922</v>
      </c>
      <c r="I636" s="2682" t="s">
        <v>5922</v>
      </c>
      <c r="J636" s="2682">
        <v>3.22</v>
      </c>
      <c r="L636" s="2682">
        <v>3007718</v>
      </c>
    </row>
    <row r="637" spans="1:12">
      <c r="A637" s="2683" t="s">
        <v>146</v>
      </c>
      <c r="B637" s="2683" t="s">
        <v>6519</v>
      </c>
      <c r="C637" s="2683">
        <v>90</v>
      </c>
      <c r="D637" s="2683">
        <v>150</v>
      </c>
      <c r="E637" s="2683">
        <v>90</v>
      </c>
      <c r="F637" s="2683" t="s">
        <v>5922</v>
      </c>
      <c r="G637" s="2683" t="s">
        <v>5922</v>
      </c>
      <c r="H637" s="2683" t="s">
        <v>5922</v>
      </c>
      <c r="I637" s="2683" t="s">
        <v>5922</v>
      </c>
      <c r="J637" s="2683">
        <v>6.43</v>
      </c>
      <c r="K637" s="2684"/>
      <c r="L637" s="2683">
        <v>3047718</v>
      </c>
    </row>
    <row r="638" spans="1:12">
      <c r="A638" s="2682" t="s">
        <v>146</v>
      </c>
      <c r="B638" s="2682" t="s">
        <v>6520</v>
      </c>
      <c r="C638" s="2682">
        <v>80</v>
      </c>
      <c r="D638" s="2682">
        <v>130</v>
      </c>
      <c r="E638" s="2682">
        <v>32</v>
      </c>
      <c r="F638" s="2682" t="s">
        <v>5922</v>
      </c>
      <c r="G638" s="2682" t="s">
        <v>5922</v>
      </c>
      <c r="H638" s="2682" t="s">
        <v>5922</v>
      </c>
      <c r="I638" s="2682" t="s">
        <v>5922</v>
      </c>
      <c r="J638" s="2682">
        <v>0</v>
      </c>
      <c r="L638" s="2682" t="s">
        <v>6521</v>
      </c>
    </row>
    <row r="639" spans="1:12">
      <c r="A639" s="2683" t="s">
        <v>146</v>
      </c>
      <c r="B639" s="2683" t="s">
        <v>6522</v>
      </c>
      <c r="C639" s="2683">
        <v>80</v>
      </c>
      <c r="D639" s="2683">
        <v>130</v>
      </c>
      <c r="E639" s="2683">
        <v>32</v>
      </c>
      <c r="F639" s="2683" t="s">
        <v>5922</v>
      </c>
      <c r="G639" s="2683" t="s">
        <v>5922</v>
      </c>
      <c r="H639" s="2683" t="s">
        <v>5922</v>
      </c>
      <c r="I639" s="2683" t="s">
        <v>5922</v>
      </c>
      <c r="J639" s="2683">
        <v>1.6</v>
      </c>
      <c r="K639" s="2684"/>
      <c r="L639" s="2683" t="s">
        <v>6523</v>
      </c>
    </row>
    <row r="640" spans="1:12">
      <c r="A640" s="2682" t="s">
        <v>146</v>
      </c>
      <c r="B640" s="2682" t="s">
        <v>6524</v>
      </c>
      <c r="C640" s="2682">
        <v>70</v>
      </c>
      <c r="D640" s="2682">
        <v>120</v>
      </c>
      <c r="E640" s="2682">
        <v>45</v>
      </c>
      <c r="F640" s="2682" t="s">
        <v>5922</v>
      </c>
      <c r="G640" s="2682" t="s">
        <v>5922</v>
      </c>
      <c r="H640" s="2682" t="s">
        <v>5922</v>
      </c>
      <c r="I640" s="2682" t="s">
        <v>5922</v>
      </c>
      <c r="J640" s="2682">
        <v>1.89</v>
      </c>
      <c r="L640" s="2682">
        <v>7714</v>
      </c>
    </row>
    <row r="641" spans="1:12">
      <c r="A641" s="2683" t="s">
        <v>146</v>
      </c>
      <c r="B641" s="2683" t="s">
        <v>6525</v>
      </c>
      <c r="C641" s="2683">
        <v>65</v>
      </c>
      <c r="D641" s="2683">
        <v>110</v>
      </c>
      <c r="E641" s="2683">
        <v>30.3</v>
      </c>
      <c r="F641" s="2683" t="s">
        <v>5922</v>
      </c>
      <c r="G641" s="2683" t="s">
        <v>5922</v>
      </c>
      <c r="H641" s="2683" t="s">
        <v>5922</v>
      </c>
      <c r="I641" s="2683" t="s">
        <v>5922</v>
      </c>
      <c r="J641" s="2683">
        <v>1.1000000000000001</v>
      </c>
      <c r="K641" s="2684"/>
      <c r="L641" s="2683" t="s">
        <v>6526</v>
      </c>
    </row>
    <row r="642" spans="1:12">
      <c r="A642" s="2682" t="s">
        <v>146</v>
      </c>
      <c r="B642" s="2682" t="s">
        <v>6527</v>
      </c>
      <c r="C642" s="2682">
        <v>65</v>
      </c>
      <c r="D642" s="2682">
        <v>110</v>
      </c>
      <c r="E642" s="2682">
        <v>30.5</v>
      </c>
      <c r="F642" s="2682" t="s">
        <v>5922</v>
      </c>
      <c r="G642" s="2682" t="s">
        <v>5922</v>
      </c>
      <c r="H642" s="2682" t="s">
        <v>5922</v>
      </c>
      <c r="I642" s="2682" t="s">
        <v>5922</v>
      </c>
      <c r="J642" s="2682">
        <v>1.1000000000000001</v>
      </c>
      <c r="L642" s="2682" t="s">
        <v>6528</v>
      </c>
    </row>
    <row r="643" spans="1:12">
      <c r="A643" s="2683" t="s">
        <v>146</v>
      </c>
      <c r="B643" s="2683" t="s">
        <v>6529</v>
      </c>
      <c r="C643" s="2683">
        <v>90</v>
      </c>
      <c r="D643" s="2683">
        <v>140</v>
      </c>
      <c r="E643" s="2683">
        <v>78</v>
      </c>
      <c r="F643" s="2683" t="s">
        <v>5922</v>
      </c>
      <c r="G643" s="2683" t="s">
        <v>5922</v>
      </c>
      <c r="H643" s="2683" t="s">
        <v>5922</v>
      </c>
      <c r="I643" s="2683" t="s">
        <v>5922</v>
      </c>
      <c r="J643" s="2683">
        <v>4.37</v>
      </c>
      <c r="K643" s="2684"/>
      <c r="L643" s="2683">
        <v>3047118</v>
      </c>
    </row>
    <row r="644" spans="1:12">
      <c r="A644" s="2682" t="s">
        <v>146</v>
      </c>
      <c r="B644" s="2682" t="s">
        <v>6530</v>
      </c>
      <c r="C644" s="2682">
        <v>280</v>
      </c>
      <c r="D644" s="2682">
        <v>380</v>
      </c>
      <c r="E644" s="2682">
        <v>64.5</v>
      </c>
      <c r="F644" s="2682" t="s">
        <v>5922</v>
      </c>
      <c r="G644" s="2682" t="s">
        <v>5922</v>
      </c>
      <c r="H644" s="2682" t="s">
        <v>5922</v>
      </c>
      <c r="I644" s="2682" t="s">
        <v>5922</v>
      </c>
      <c r="J644" s="2682">
        <v>19.8</v>
      </c>
      <c r="L644" s="2682" t="s">
        <v>6531</v>
      </c>
    </row>
    <row r="645" spans="1:12">
      <c r="A645" s="2683" t="s">
        <v>146</v>
      </c>
      <c r="B645" s="2683" t="s">
        <v>6532</v>
      </c>
      <c r="C645" s="2683">
        <v>280</v>
      </c>
      <c r="D645" s="2683">
        <v>380</v>
      </c>
      <c r="E645" s="2683">
        <v>64.5</v>
      </c>
      <c r="F645" s="2683" t="s">
        <v>5922</v>
      </c>
      <c r="G645" s="2683" t="s">
        <v>5922</v>
      </c>
      <c r="H645" s="2683" t="s">
        <v>5922</v>
      </c>
      <c r="I645" s="2683" t="s">
        <v>5922</v>
      </c>
      <c r="J645" s="2683">
        <v>21.3</v>
      </c>
      <c r="K645" s="2684"/>
      <c r="L645" s="2683">
        <v>2007956</v>
      </c>
    </row>
    <row r="646" spans="1:12">
      <c r="A646" s="2682" t="s">
        <v>146</v>
      </c>
      <c r="B646" s="2682" t="s">
        <v>6533</v>
      </c>
      <c r="C646" s="2682">
        <v>260</v>
      </c>
      <c r="D646" s="2682">
        <v>360</v>
      </c>
      <c r="E646" s="2682">
        <v>64.5</v>
      </c>
      <c r="F646" s="2682" t="s">
        <v>5922</v>
      </c>
      <c r="G646" s="2682" t="s">
        <v>5922</v>
      </c>
      <c r="H646" s="2682" t="s">
        <v>5922</v>
      </c>
      <c r="I646" s="2682" t="s">
        <v>5922</v>
      </c>
      <c r="J646" s="2682">
        <v>18.7</v>
      </c>
      <c r="L646" s="2682">
        <v>2007952</v>
      </c>
    </row>
    <row r="647" spans="1:12">
      <c r="A647" s="2683" t="s">
        <v>146</v>
      </c>
      <c r="B647" s="2683" t="s">
        <v>6534</v>
      </c>
      <c r="C647" s="2683">
        <v>240</v>
      </c>
      <c r="D647" s="2683">
        <v>320</v>
      </c>
      <c r="E647" s="2683">
        <v>51</v>
      </c>
      <c r="F647" s="2683" t="s">
        <v>5922</v>
      </c>
      <c r="G647" s="2683" t="s">
        <v>5922</v>
      </c>
      <c r="H647" s="2683" t="s">
        <v>5922</v>
      </c>
      <c r="I647" s="2683" t="s">
        <v>5922</v>
      </c>
      <c r="J647" s="2683">
        <v>22</v>
      </c>
      <c r="K647" s="2684"/>
      <c r="L647" s="2683">
        <v>2007948</v>
      </c>
    </row>
    <row r="648" spans="1:12">
      <c r="A648" s="2682" t="s">
        <v>146</v>
      </c>
      <c r="B648" s="2682" t="s">
        <v>6535</v>
      </c>
      <c r="C648" s="2682">
        <v>200</v>
      </c>
      <c r="D648" s="2682">
        <v>280</v>
      </c>
      <c r="E648" s="2682">
        <v>52</v>
      </c>
      <c r="F648" s="2682" t="s">
        <v>5922</v>
      </c>
      <c r="G648" s="2682" t="s">
        <v>5922</v>
      </c>
      <c r="H648" s="2682" t="s">
        <v>5922</v>
      </c>
      <c r="I648" s="2682" t="s">
        <v>5922</v>
      </c>
      <c r="J648" s="2682">
        <v>8.6999999999999993</v>
      </c>
      <c r="L648" s="2682" t="s">
        <v>6536</v>
      </c>
    </row>
    <row r="649" spans="1:12">
      <c r="A649" s="2683" t="s">
        <v>146</v>
      </c>
      <c r="B649" s="2683" t="s">
        <v>6537</v>
      </c>
      <c r="C649" s="2683">
        <v>500</v>
      </c>
      <c r="D649" s="2683">
        <v>640</v>
      </c>
      <c r="E649" s="2683">
        <v>87</v>
      </c>
      <c r="F649" s="2683" t="s">
        <v>5922</v>
      </c>
      <c r="G649" s="2683" t="s">
        <v>5922</v>
      </c>
      <c r="H649" s="2683" t="s">
        <v>5922</v>
      </c>
      <c r="I649" s="2683" t="s">
        <v>5922</v>
      </c>
      <c r="J649" s="2683">
        <v>66.239999999999995</v>
      </c>
      <c r="K649" s="2684"/>
      <c r="L649" s="2683" t="s">
        <v>6538</v>
      </c>
    </row>
    <row r="650" spans="1:12">
      <c r="A650" s="2682" t="s">
        <v>146</v>
      </c>
      <c r="B650" s="2682">
        <v>32256</v>
      </c>
      <c r="C650" s="2682">
        <v>280</v>
      </c>
      <c r="D650" s="2682">
        <v>500</v>
      </c>
      <c r="E650" s="2682">
        <v>130</v>
      </c>
      <c r="F650" s="2682">
        <v>1860</v>
      </c>
      <c r="G650" s="2682">
        <v>3150</v>
      </c>
      <c r="H650" s="2682">
        <v>610</v>
      </c>
      <c r="I650" s="2682">
        <v>810</v>
      </c>
      <c r="J650" s="2682">
        <v>108</v>
      </c>
      <c r="L650" s="2682" t="s">
        <v>6539</v>
      </c>
    </row>
    <row r="651" spans="1:12">
      <c r="A651" s="2683" t="s">
        <v>146</v>
      </c>
      <c r="B651" s="2683">
        <v>32252</v>
      </c>
      <c r="C651" s="2683">
        <v>260</v>
      </c>
      <c r="D651" s="2683">
        <v>480</v>
      </c>
      <c r="E651" s="2683">
        <v>130</v>
      </c>
      <c r="F651" s="2683">
        <v>1760</v>
      </c>
      <c r="G651" s="2683">
        <v>2870</v>
      </c>
      <c r="H651" s="2683">
        <v>660</v>
      </c>
      <c r="I651" s="2683">
        <v>880</v>
      </c>
      <c r="J651" s="2683">
        <v>102</v>
      </c>
      <c r="K651" s="2684"/>
      <c r="L651" s="2683">
        <v>7552</v>
      </c>
    </row>
    <row r="652" spans="1:12">
      <c r="A652" s="2682" t="s">
        <v>146</v>
      </c>
      <c r="B652" s="2682" t="s">
        <v>6540</v>
      </c>
      <c r="C652" s="2682">
        <v>220</v>
      </c>
      <c r="D652" s="2682">
        <v>400</v>
      </c>
      <c r="E652" s="2682">
        <v>115</v>
      </c>
      <c r="F652" s="2682" t="s">
        <v>5922</v>
      </c>
      <c r="G652" s="2682" t="s">
        <v>5922</v>
      </c>
      <c r="H652" s="2682" t="s">
        <v>5922</v>
      </c>
      <c r="I652" s="2682" t="s">
        <v>5922</v>
      </c>
      <c r="J652" s="2682">
        <v>48.1</v>
      </c>
      <c r="L652" s="2682">
        <v>7544</v>
      </c>
    </row>
    <row r="653" spans="1:12">
      <c r="A653" s="2683" t="s">
        <v>146</v>
      </c>
      <c r="B653" s="2683" t="s">
        <v>6541</v>
      </c>
      <c r="C653" s="2683">
        <v>71.438000000000002</v>
      </c>
      <c r="D653" s="2683">
        <v>120</v>
      </c>
      <c r="E653" s="2683">
        <v>29.8</v>
      </c>
      <c r="F653" s="2683" t="s">
        <v>5922</v>
      </c>
      <c r="G653" s="2683" t="s">
        <v>5922</v>
      </c>
      <c r="H653" s="2683" t="s">
        <v>5922</v>
      </c>
      <c r="I653" s="2683" t="s">
        <v>5922</v>
      </c>
      <c r="J653" s="2683">
        <v>1.33</v>
      </c>
      <c r="K653" s="2684"/>
      <c r="L653" s="2683" t="s">
        <v>5922</v>
      </c>
    </row>
    <row r="654" spans="1:12">
      <c r="A654" s="2682" t="s">
        <v>146</v>
      </c>
      <c r="B654" s="2682" t="s">
        <v>6542</v>
      </c>
      <c r="C654" s="2682">
        <v>130</v>
      </c>
      <c r="D654" s="2682">
        <v>230</v>
      </c>
      <c r="E654" s="2682">
        <v>68.5</v>
      </c>
      <c r="F654" s="2682" t="s">
        <v>5922</v>
      </c>
      <c r="G654" s="2682" t="s">
        <v>5922</v>
      </c>
      <c r="H654" s="2682" t="s">
        <v>5922</v>
      </c>
      <c r="I654" s="2682" t="s">
        <v>5922</v>
      </c>
      <c r="J654" s="2682">
        <v>11.1</v>
      </c>
      <c r="L654" s="2682">
        <v>7526</v>
      </c>
    </row>
    <row r="655" spans="1:12">
      <c r="A655" s="2683" t="s">
        <v>146</v>
      </c>
      <c r="B655" s="2683" t="s">
        <v>6543</v>
      </c>
      <c r="C655" s="2683">
        <v>100</v>
      </c>
      <c r="D655" s="2683">
        <v>180</v>
      </c>
      <c r="E655" s="2683">
        <v>49.5</v>
      </c>
      <c r="F655" s="2683" t="s">
        <v>5922</v>
      </c>
      <c r="G655" s="2683" t="s">
        <v>5922</v>
      </c>
      <c r="H655" s="2683" t="s">
        <v>5922</v>
      </c>
      <c r="I655" s="2683" t="s">
        <v>5922</v>
      </c>
      <c r="J655" s="2683">
        <v>4.9400000000000004</v>
      </c>
      <c r="K655" s="2684"/>
      <c r="L655" s="2683">
        <v>7520</v>
      </c>
    </row>
    <row r="656" spans="1:12">
      <c r="A656" s="2682" t="s">
        <v>146</v>
      </c>
      <c r="B656" s="2682" t="s">
        <v>6544</v>
      </c>
      <c r="C656" s="2682">
        <v>90</v>
      </c>
      <c r="D656" s="2682">
        <v>160</v>
      </c>
      <c r="E656" s="2682">
        <v>43</v>
      </c>
      <c r="F656" s="2682" t="s">
        <v>5922</v>
      </c>
      <c r="G656" s="2682" t="s">
        <v>5922</v>
      </c>
      <c r="H656" s="2682" t="s">
        <v>5922</v>
      </c>
      <c r="I656" s="2682" t="s">
        <v>5922</v>
      </c>
      <c r="J656" s="2682">
        <v>3.36</v>
      </c>
      <c r="L656" s="2682">
        <v>7518</v>
      </c>
    </row>
    <row r="657" spans="1:12">
      <c r="A657" s="2683" t="s">
        <v>146</v>
      </c>
      <c r="B657" s="2683" t="s">
        <v>6545</v>
      </c>
      <c r="C657" s="2683">
        <v>90</v>
      </c>
      <c r="D657" s="2683">
        <v>160</v>
      </c>
      <c r="E657" s="2683">
        <v>42.5</v>
      </c>
      <c r="F657" s="2683" t="s">
        <v>5922</v>
      </c>
      <c r="G657" s="2683" t="s">
        <v>5922</v>
      </c>
      <c r="H657" s="2683" t="s">
        <v>5922</v>
      </c>
      <c r="I657" s="2683" t="s">
        <v>5922</v>
      </c>
      <c r="J657" s="2683">
        <v>3.33</v>
      </c>
      <c r="K657" s="2684"/>
      <c r="L657" s="2683" t="s">
        <v>6546</v>
      </c>
    </row>
    <row r="658" spans="1:12">
      <c r="A658" s="2682" t="s">
        <v>146</v>
      </c>
      <c r="B658" s="2682" t="s">
        <v>6547</v>
      </c>
      <c r="C658" s="2682">
        <v>80</v>
      </c>
      <c r="D658" s="2682">
        <v>140</v>
      </c>
      <c r="E658" s="2682">
        <v>36</v>
      </c>
      <c r="F658" s="2682" t="s">
        <v>5922</v>
      </c>
      <c r="G658" s="2682" t="s">
        <v>5922</v>
      </c>
      <c r="H658" s="2682" t="s">
        <v>5922</v>
      </c>
      <c r="I658" s="2682" t="s">
        <v>5922</v>
      </c>
      <c r="J658" s="2682">
        <v>2.13</v>
      </c>
      <c r="L658" s="2682" t="s">
        <v>6548</v>
      </c>
    </row>
    <row r="659" spans="1:12">
      <c r="A659" s="2683" t="s">
        <v>146</v>
      </c>
      <c r="B659" s="2683" t="s">
        <v>6549</v>
      </c>
      <c r="C659" s="2683">
        <v>80</v>
      </c>
      <c r="D659" s="2683">
        <v>140</v>
      </c>
      <c r="E659" s="2683">
        <v>36</v>
      </c>
      <c r="F659" s="2683" t="s">
        <v>5922</v>
      </c>
      <c r="G659" s="2683" t="s">
        <v>5922</v>
      </c>
      <c r="H659" s="2683" t="s">
        <v>5922</v>
      </c>
      <c r="I659" s="2683" t="s">
        <v>5922</v>
      </c>
      <c r="J659" s="2683">
        <v>2.13</v>
      </c>
      <c r="K659" s="2684"/>
      <c r="L659" s="2683">
        <v>7516</v>
      </c>
    </row>
    <row r="660" spans="1:12">
      <c r="A660" s="2682" t="s">
        <v>146</v>
      </c>
      <c r="B660" s="2682" t="s">
        <v>6550</v>
      </c>
      <c r="C660" s="2682">
        <v>75</v>
      </c>
      <c r="D660" s="2682">
        <v>130</v>
      </c>
      <c r="E660" s="2682">
        <v>34</v>
      </c>
      <c r="F660" s="2682" t="s">
        <v>5922</v>
      </c>
      <c r="G660" s="2682" t="s">
        <v>5922</v>
      </c>
      <c r="H660" s="2682" t="s">
        <v>5922</v>
      </c>
      <c r="I660" s="2682" t="s">
        <v>5922</v>
      </c>
      <c r="J660" s="2682">
        <v>1.68</v>
      </c>
      <c r="L660" s="2682">
        <v>7515</v>
      </c>
    </row>
    <row r="661" spans="1:12">
      <c r="A661" s="2683" t="s">
        <v>146</v>
      </c>
      <c r="B661" s="2683" t="s">
        <v>6551</v>
      </c>
      <c r="C661" s="2683">
        <v>440</v>
      </c>
      <c r="D661" s="2683">
        <v>650</v>
      </c>
      <c r="E661" s="2683">
        <v>96.4</v>
      </c>
      <c r="F661" s="2683" t="s">
        <v>5922</v>
      </c>
      <c r="G661" s="2683" t="s">
        <v>5922</v>
      </c>
      <c r="H661" s="2683" t="s">
        <v>5922</v>
      </c>
      <c r="I661" s="2683" t="s">
        <v>5922</v>
      </c>
      <c r="J661" s="2683">
        <v>98.2</v>
      </c>
      <c r="K661" s="2684"/>
      <c r="L661" s="2683">
        <v>2007188</v>
      </c>
    </row>
    <row r="662" spans="1:12">
      <c r="A662" s="2682" t="s">
        <v>146</v>
      </c>
      <c r="B662" s="2682" t="s">
        <v>6552</v>
      </c>
      <c r="C662" s="2682">
        <v>440</v>
      </c>
      <c r="D662" s="2682">
        <v>650</v>
      </c>
      <c r="E662" s="2682">
        <v>96.4</v>
      </c>
      <c r="F662" s="2682" t="s">
        <v>5922</v>
      </c>
      <c r="G662" s="2682" t="s">
        <v>5922</v>
      </c>
      <c r="H662" s="2682" t="s">
        <v>5922</v>
      </c>
      <c r="I662" s="2682" t="s">
        <v>5922</v>
      </c>
      <c r="J662" s="2682">
        <v>99</v>
      </c>
      <c r="L662" s="2682">
        <v>2007188</v>
      </c>
    </row>
    <row r="663" spans="1:12">
      <c r="A663" s="2683" t="s">
        <v>146</v>
      </c>
      <c r="B663" s="2683" t="s">
        <v>6553</v>
      </c>
      <c r="C663" s="2683">
        <v>320</v>
      </c>
      <c r="D663" s="2683">
        <v>480</v>
      </c>
      <c r="E663" s="2683">
        <v>100</v>
      </c>
      <c r="F663" s="2683" t="s">
        <v>5922</v>
      </c>
      <c r="G663" s="2683" t="s">
        <v>5922</v>
      </c>
      <c r="H663" s="2683" t="s">
        <v>5922</v>
      </c>
      <c r="I663" s="2683" t="s">
        <v>5922</v>
      </c>
      <c r="J663" s="2683">
        <v>58.6</v>
      </c>
      <c r="K663" s="2684"/>
      <c r="L663" s="2683">
        <v>2007164</v>
      </c>
    </row>
    <row r="664" spans="1:12">
      <c r="A664" s="2682" t="s">
        <v>146</v>
      </c>
      <c r="B664" s="2682" t="s">
        <v>6554</v>
      </c>
      <c r="C664" s="2682">
        <v>300</v>
      </c>
      <c r="D664" s="2682">
        <v>460</v>
      </c>
      <c r="E664" s="2682">
        <v>100.7</v>
      </c>
      <c r="F664" s="2682" t="s">
        <v>5922</v>
      </c>
      <c r="G664" s="2682" t="s">
        <v>5922</v>
      </c>
      <c r="H664" s="2682" t="s">
        <v>5922</v>
      </c>
      <c r="I664" s="2682" t="s">
        <v>5922</v>
      </c>
      <c r="J664" s="2682">
        <v>55.9</v>
      </c>
      <c r="L664" s="2682" t="s">
        <v>6555</v>
      </c>
    </row>
    <row r="665" spans="1:12">
      <c r="A665" s="2683" t="s">
        <v>146</v>
      </c>
      <c r="B665" s="2683" t="s">
        <v>6556</v>
      </c>
      <c r="C665" s="2683">
        <v>240</v>
      </c>
      <c r="D665" s="2683">
        <v>360</v>
      </c>
      <c r="E665" s="2683">
        <v>76</v>
      </c>
      <c r="F665" s="2683" t="s">
        <v>5922</v>
      </c>
      <c r="G665" s="2683" t="s">
        <v>5922</v>
      </c>
      <c r="H665" s="2683" t="s">
        <v>5922</v>
      </c>
      <c r="I665" s="2683" t="s">
        <v>5922</v>
      </c>
      <c r="J665" s="2683">
        <v>25.5</v>
      </c>
      <c r="K665" s="2684"/>
      <c r="L665" s="2683">
        <v>2007148</v>
      </c>
    </row>
    <row r="666" spans="1:12">
      <c r="A666" s="2682" t="s">
        <v>146</v>
      </c>
      <c r="B666" s="2682" t="s">
        <v>6557</v>
      </c>
      <c r="C666" s="2682">
        <v>240</v>
      </c>
      <c r="D666" s="2682">
        <v>360</v>
      </c>
      <c r="E666" s="2682">
        <v>76</v>
      </c>
      <c r="F666" s="2682" t="s">
        <v>5922</v>
      </c>
      <c r="G666" s="2682" t="s">
        <v>5922</v>
      </c>
      <c r="H666" s="2682" t="s">
        <v>5922</v>
      </c>
      <c r="I666" s="2682" t="s">
        <v>5922</v>
      </c>
      <c r="J666" s="2682">
        <v>24.7</v>
      </c>
      <c r="L666" s="2682" t="s">
        <v>6558</v>
      </c>
    </row>
    <row r="667" spans="1:12">
      <c r="A667" s="2683" t="s">
        <v>146</v>
      </c>
      <c r="B667" s="2683" t="s">
        <v>6559</v>
      </c>
      <c r="C667" s="2683">
        <v>220</v>
      </c>
      <c r="D667" s="2683">
        <v>340</v>
      </c>
      <c r="E667" s="2683">
        <v>76.5</v>
      </c>
      <c r="F667" s="2683" t="s">
        <v>5922</v>
      </c>
      <c r="G667" s="2683" t="s">
        <v>5922</v>
      </c>
      <c r="H667" s="2683" t="s">
        <v>5922</v>
      </c>
      <c r="I667" s="2683" t="s">
        <v>5922</v>
      </c>
      <c r="J667" s="2683">
        <v>22.2</v>
      </c>
      <c r="K667" s="2684"/>
      <c r="L667" s="2683" t="s">
        <v>6560</v>
      </c>
    </row>
    <row r="668" spans="1:12">
      <c r="A668" s="2682" t="s">
        <v>146</v>
      </c>
      <c r="B668" s="2682" t="s">
        <v>6561</v>
      </c>
      <c r="C668" s="2682">
        <v>220</v>
      </c>
      <c r="D668" s="2682">
        <v>340</v>
      </c>
      <c r="E668" s="2682">
        <v>76</v>
      </c>
      <c r="F668" s="2682" t="s">
        <v>5922</v>
      </c>
      <c r="G668" s="2682" t="s">
        <v>5922</v>
      </c>
      <c r="H668" s="2682" t="s">
        <v>5922</v>
      </c>
      <c r="I668" s="2682" t="s">
        <v>5922</v>
      </c>
      <c r="J668" s="2682">
        <v>23.4</v>
      </c>
      <c r="L668" s="2682">
        <v>2007144</v>
      </c>
    </row>
    <row r="669" spans="1:12">
      <c r="A669" s="2683" t="s">
        <v>146</v>
      </c>
      <c r="B669" s="2683" t="s">
        <v>6562</v>
      </c>
      <c r="C669" s="2683">
        <v>200</v>
      </c>
      <c r="D669" s="2683">
        <v>310</v>
      </c>
      <c r="E669" s="2683">
        <v>70</v>
      </c>
      <c r="F669" s="2683" t="s">
        <v>5922</v>
      </c>
      <c r="G669" s="2683" t="s">
        <v>5922</v>
      </c>
      <c r="H669" s="2683" t="s">
        <v>5922</v>
      </c>
      <c r="I669" s="2683" t="s">
        <v>5922</v>
      </c>
      <c r="J669" s="2683">
        <v>18</v>
      </c>
      <c r="K669" s="2684"/>
      <c r="L669" s="2683">
        <v>2007140</v>
      </c>
    </row>
    <row r="670" spans="1:12">
      <c r="A670" s="2682" t="s">
        <v>146</v>
      </c>
      <c r="B670" s="2682" t="s">
        <v>6563</v>
      </c>
      <c r="C670" s="2682">
        <v>190</v>
      </c>
      <c r="D670" s="2682">
        <v>290</v>
      </c>
      <c r="E670" s="2682">
        <v>64.5</v>
      </c>
      <c r="F670" s="2682" t="s">
        <v>5922</v>
      </c>
      <c r="G670" s="2682" t="s">
        <v>5922</v>
      </c>
      <c r="H670" s="2682" t="s">
        <v>5922</v>
      </c>
      <c r="I670" s="2682" t="s">
        <v>5922</v>
      </c>
      <c r="J670" s="2682">
        <v>14.1</v>
      </c>
      <c r="L670" s="2682" t="s">
        <v>6564</v>
      </c>
    </row>
    <row r="671" spans="1:12">
      <c r="A671" s="2683" t="s">
        <v>146</v>
      </c>
      <c r="B671" s="2683" t="s">
        <v>6565</v>
      </c>
      <c r="C671" s="2683">
        <v>130</v>
      </c>
      <c r="D671" s="2683">
        <v>200</v>
      </c>
      <c r="E671" s="2683">
        <v>45</v>
      </c>
      <c r="F671" s="2683" t="s">
        <v>5922</v>
      </c>
      <c r="G671" s="2683" t="s">
        <v>5922</v>
      </c>
      <c r="H671" s="2683" t="s">
        <v>5922</v>
      </c>
      <c r="I671" s="2683" t="s">
        <v>5922</v>
      </c>
      <c r="J671" s="2683">
        <v>4.9400000000000004</v>
      </c>
      <c r="K671" s="2684"/>
      <c r="L671" s="2683" t="s">
        <v>6566</v>
      </c>
    </row>
    <row r="672" spans="1:12">
      <c r="A672" s="2682" t="s">
        <v>146</v>
      </c>
      <c r="B672" s="2682" t="s">
        <v>6567</v>
      </c>
      <c r="C672" s="2682">
        <v>50</v>
      </c>
      <c r="D672" s="2682">
        <v>90</v>
      </c>
      <c r="E672" s="2682">
        <v>25</v>
      </c>
      <c r="F672" s="2682" t="s">
        <v>5922</v>
      </c>
      <c r="G672" s="2682" t="s">
        <v>5922</v>
      </c>
      <c r="H672" s="2682" t="s">
        <v>5922</v>
      </c>
      <c r="I672" s="2682" t="s">
        <v>5922</v>
      </c>
      <c r="J672" s="2682">
        <v>0.61199999999999999</v>
      </c>
      <c r="L672" s="2682">
        <v>7510</v>
      </c>
    </row>
    <row r="673" spans="1:12">
      <c r="A673" s="2683" t="s">
        <v>146</v>
      </c>
      <c r="B673" s="2683" t="s">
        <v>6568</v>
      </c>
      <c r="C673" s="2683">
        <v>25</v>
      </c>
      <c r="D673" s="2683">
        <v>52</v>
      </c>
      <c r="E673" s="2683">
        <v>19.25</v>
      </c>
      <c r="F673" s="2683" t="s">
        <v>5922</v>
      </c>
      <c r="G673" s="2683" t="s">
        <v>5922</v>
      </c>
      <c r="H673" s="2683" t="s">
        <v>5922</v>
      </c>
      <c r="I673" s="2683" t="s">
        <v>5922</v>
      </c>
      <c r="J673" s="2683">
        <v>0.187</v>
      </c>
      <c r="K673" s="2684"/>
      <c r="L673" s="2683" t="s">
        <v>6569</v>
      </c>
    </row>
    <row r="674" spans="1:12">
      <c r="A674" s="2682" t="s">
        <v>146</v>
      </c>
      <c r="B674" s="2682" t="s">
        <v>6570</v>
      </c>
      <c r="C674" s="2682">
        <v>105</v>
      </c>
      <c r="D674" s="2682">
        <v>160</v>
      </c>
      <c r="E674" s="2682">
        <v>35</v>
      </c>
      <c r="F674" s="2682" t="s">
        <v>5922</v>
      </c>
      <c r="G674" s="2682" t="s">
        <v>5922</v>
      </c>
      <c r="H674" s="2682" t="s">
        <v>5922</v>
      </c>
      <c r="I674" s="2682" t="s">
        <v>5922</v>
      </c>
      <c r="J674" s="2682">
        <v>2.4</v>
      </c>
      <c r="L674" s="2682" t="s">
        <v>6571</v>
      </c>
    </row>
    <row r="675" spans="1:12">
      <c r="A675" s="2683" t="s">
        <v>146</v>
      </c>
      <c r="B675" s="2683" t="s">
        <v>6572</v>
      </c>
      <c r="C675" s="2683">
        <v>50</v>
      </c>
      <c r="D675" s="2683">
        <v>80</v>
      </c>
      <c r="E675" s="2683">
        <v>20</v>
      </c>
      <c r="F675" s="2683" t="s">
        <v>5922</v>
      </c>
      <c r="G675" s="2683" t="s">
        <v>5922</v>
      </c>
      <c r="H675" s="2683" t="s">
        <v>5922</v>
      </c>
      <c r="I675" s="2683" t="s">
        <v>5922</v>
      </c>
      <c r="J675" s="2683">
        <v>0.373</v>
      </c>
      <c r="K675" s="2684"/>
      <c r="L675" s="2683" t="s">
        <v>6573</v>
      </c>
    </row>
    <row r="676" spans="1:12">
      <c r="A676" s="2682" t="s">
        <v>146</v>
      </c>
      <c r="B676" s="2682" t="s">
        <v>6574</v>
      </c>
      <c r="C676" s="2682">
        <v>35</v>
      </c>
      <c r="D676" s="2682">
        <v>65</v>
      </c>
      <c r="E676" s="2682">
        <v>18</v>
      </c>
      <c r="F676" s="2682" t="s">
        <v>5922</v>
      </c>
      <c r="G676" s="2682" t="s">
        <v>5922</v>
      </c>
      <c r="H676" s="2682" t="s">
        <v>5922</v>
      </c>
      <c r="I676" s="2682" t="s">
        <v>5922</v>
      </c>
      <c r="J676" s="2682">
        <v>0.251</v>
      </c>
      <c r="L676" s="2682" t="s">
        <v>6575</v>
      </c>
    </row>
    <row r="677" spans="1:12">
      <c r="A677" s="2683" t="s">
        <v>146</v>
      </c>
      <c r="B677" s="2683" t="s">
        <v>6576</v>
      </c>
      <c r="C677" s="2683">
        <v>35</v>
      </c>
      <c r="D677" s="2683">
        <v>65</v>
      </c>
      <c r="E677" s="2683">
        <v>18</v>
      </c>
      <c r="F677" s="2683" t="s">
        <v>5922</v>
      </c>
      <c r="G677" s="2683" t="s">
        <v>5922</v>
      </c>
      <c r="H677" s="2683" t="s">
        <v>5922</v>
      </c>
      <c r="I677" s="2683" t="s">
        <v>5922</v>
      </c>
      <c r="J677" s="2683">
        <v>0.22900000000000001</v>
      </c>
      <c r="K677" s="2684"/>
      <c r="L677" s="2683" t="s">
        <v>6577</v>
      </c>
    </row>
    <row r="678" spans="1:12">
      <c r="A678" s="2682" t="s">
        <v>146</v>
      </c>
      <c r="B678" s="2682" t="s">
        <v>6578</v>
      </c>
      <c r="C678" s="2682">
        <v>560</v>
      </c>
      <c r="D678" s="2682">
        <v>750</v>
      </c>
      <c r="E678" s="2682">
        <v>92.5</v>
      </c>
      <c r="F678" s="2682" t="s">
        <v>5922</v>
      </c>
      <c r="G678" s="2682" t="s">
        <v>5922</v>
      </c>
      <c r="H678" s="2682" t="s">
        <v>5922</v>
      </c>
      <c r="I678" s="2682" t="s">
        <v>5922</v>
      </c>
      <c r="J678" s="2682">
        <v>105</v>
      </c>
      <c r="L678" s="2682" t="s">
        <v>6579</v>
      </c>
    </row>
    <row r="679" spans="1:12">
      <c r="A679" s="2683" t="s">
        <v>146</v>
      </c>
      <c r="B679" s="2683" t="s">
        <v>6580</v>
      </c>
      <c r="C679" s="2683">
        <v>850</v>
      </c>
      <c r="D679" s="2683">
        <v>1030</v>
      </c>
      <c r="E679" s="2683">
        <v>90</v>
      </c>
      <c r="F679" s="2683" t="s">
        <v>5922</v>
      </c>
      <c r="G679" s="2683" t="s">
        <v>5922</v>
      </c>
      <c r="H679" s="2683" t="s">
        <v>5922</v>
      </c>
      <c r="I679" s="2683" t="s">
        <v>5922</v>
      </c>
      <c r="J679" s="2683">
        <v>142</v>
      </c>
      <c r="K679" s="2684"/>
      <c r="L679" s="2683" t="s">
        <v>6581</v>
      </c>
    </row>
    <row r="680" spans="1:12">
      <c r="A680" s="2682" t="s">
        <v>146</v>
      </c>
      <c r="B680" s="2682" t="s">
        <v>6582</v>
      </c>
      <c r="C680" s="2682">
        <v>35</v>
      </c>
      <c r="D680" s="2682">
        <v>80</v>
      </c>
      <c r="E680" s="2682">
        <v>22.75</v>
      </c>
      <c r="F680" s="2682" t="s">
        <v>5922</v>
      </c>
      <c r="G680" s="2682" t="s">
        <v>5922</v>
      </c>
      <c r="H680" s="2682" t="s">
        <v>5922</v>
      </c>
      <c r="I680" s="2682" t="s">
        <v>5922</v>
      </c>
      <c r="J680" s="2682">
        <v>0.42499999999999999</v>
      </c>
      <c r="L680" s="2682" t="s">
        <v>5922</v>
      </c>
    </row>
    <row r="681" spans="1:12">
      <c r="A681" s="2683" t="s">
        <v>146</v>
      </c>
      <c r="B681" s="2683" t="s">
        <v>6583</v>
      </c>
      <c r="C681" s="2683">
        <v>30</v>
      </c>
      <c r="D681" s="2683">
        <v>72</v>
      </c>
      <c r="E681" s="2683">
        <v>20.75</v>
      </c>
      <c r="F681" s="2683" t="s">
        <v>5922</v>
      </c>
      <c r="G681" s="2683" t="s">
        <v>5922</v>
      </c>
      <c r="H681" s="2683" t="s">
        <v>5922</v>
      </c>
      <c r="I681" s="2683" t="s">
        <v>5922</v>
      </c>
      <c r="J681" s="2683">
        <v>0.379</v>
      </c>
      <c r="K681" s="2684"/>
      <c r="L681" s="2683" t="s">
        <v>5922</v>
      </c>
    </row>
    <row r="682" spans="1:12">
      <c r="A682" s="2682" t="s">
        <v>146</v>
      </c>
      <c r="B682" s="2682">
        <v>30256</v>
      </c>
      <c r="C682" s="2682">
        <v>280</v>
      </c>
      <c r="D682" s="2682">
        <v>500</v>
      </c>
      <c r="E682" s="2682">
        <v>80</v>
      </c>
      <c r="F682" s="2682">
        <v>1260</v>
      </c>
      <c r="G682" s="2682">
        <v>1920</v>
      </c>
      <c r="H682" s="2682">
        <v>610</v>
      </c>
      <c r="I682" s="2682">
        <v>810</v>
      </c>
      <c r="J682" s="2682">
        <v>67.599999999999994</v>
      </c>
      <c r="L682" s="2682" t="s">
        <v>6584</v>
      </c>
    </row>
    <row r="683" spans="1:12">
      <c r="A683" s="2683" t="s">
        <v>146</v>
      </c>
      <c r="B683" s="2683">
        <v>30252</v>
      </c>
      <c r="C683" s="2683">
        <v>260</v>
      </c>
      <c r="D683" s="2683">
        <v>480</v>
      </c>
      <c r="E683" s="2683">
        <v>80</v>
      </c>
      <c r="F683" s="2683">
        <v>1210</v>
      </c>
      <c r="G683" s="2683">
        <v>1860</v>
      </c>
      <c r="H683" s="2683">
        <v>650</v>
      </c>
      <c r="I683" s="2683">
        <v>870</v>
      </c>
      <c r="J683" s="2683">
        <v>64.900000000000006</v>
      </c>
      <c r="K683" s="2684"/>
      <c r="L683" s="2683" t="s">
        <v>6585</v>
      </c>
    </row>
    <row r="684" spans="1:12">
      <c r="A684" s="2682" t="s">
        <v>146</v>
      </c>
      <c r="B684" s="2682">
        <v>30248</v>
      </c>
      <c r="C684" s="2682">
        <v>240</v>
      </c>
      <c r="D684" s="2682">
        <v>440</v>
      </c>
      <c r="E684" s="2682">
        <v>79</v>
      </c>
      <c r="F684" s="2682" t="s">
        <v>5922</v>
      </c>
      <c r="G684" s="2682" t="s">
        <v>5922</v>
      </c>
      <c r="H684" s="2682" t="s">
        <v>5922</v>
      </c>
      <c r="I684" s="2682" t="s">
        <v>5922</v>
      </c>
      <c r="J684" s="2682">
        <v>46.4</v>
      </c>
      <c r="L684" s="2682" t="s">
        <v>6586</v>
      </c>
    </row>
    <row r="685" spans="1:12">
      <c r="A685" s="2683" t="s">
        <v>146</v>
      </c>
      <c r="B685" s="2683" t="s">
        <v>6587</v>
      </c>
      <c r="C685" s="2683">
        <v>220</v>
      </c>
      <c r="D685" s="2683">
        <v>400</v>
      </c>
      <c r="E685" s="2683">
        <v>72</v>
      </c>
      <c r="F685" s="2683" t="s">
        <v>5922</v>
      </c>
      <c r="G685" s="2683" t="s">
        <v>5922</v>
      </c>
      <c r="H685" s="2683" t="s">
        <v>5922</v>
      </c>
      <c r="I685" s="2683" t="s">
        <v>5922</v>
      </c>
      <c r="J685" s="2683">
        <v>36.799999999999997</v>
      </c>
      <c r="K685" s="2684"/>
      <c r="L685" s="2683" t="s">
        <v>6588</v>
      </c>
    </row>
    <row r="686" spans="1:12">
      <c r="A686" s="2682" t="s">
        <v>146</v>
      </c>
      <c r="B686" s="2682" t="s">
        <v>6589</v>
      </c>
      <c r="C686" s="2682">
        <v>150</v>
      </c>
      <c r="D686" s="2682">
        <v>270</v>
      </c>
      <c r="E686" s="2682">
        <v>50</v>
      </c>
      <c r="F686" s="2682" t="s">
        <v>5922</v>
      </c>
      <c r="G686" s="2682" t="s">
        <v>5922</v>
      </c>
      <c r="H686" s="2682" t="s">
        <v>5922</v>
      </c>
      <c r="I686" s="2682" t="s">
        <v>5922</v>
      </c>
      <c r="J686" s="2682">
        <v>10</v>
      </c>
      <c r="L686" s="2682" t="s">
        <v>6590</v>
      </c>
    </row>
    <row r="687" spans="1:12">
      <c r="A687" s="2683" t="s">
        <v>146</v>
      </c>
      <c r="B687" s="2683" t="s">
        <v>6591</v>
      </c>
      <c r="C687" s="2683">
        <v>130</v>
      </c>
      <c r="D687" s="2683">
        <v>230</v>
      </c>
      <c r="E687" s="2683">
        <v>44.5</v>
      </c>
      <c r="F687" s="2683" t="s">
        <v>5922</v>
      </c>
      <c r="G687" s="2683" t="s">
        <v>5922</v>
      </c>
      <c r="H687" s="2683" t="s">
        <v>5922</v>
      </c>
      <c r="I687" s="2683" t="s">
        <v>5922</v>
      </c>
      <c r="J687" s="2683">
        <v>7.25</v>
      </c>
      <c r="K687" s="2684"/>
      <c r="L687" s="2683" t="s">
        <v>6152</v>
      </c>
    </row>
    <row r="688" spans="1:12">
      <c r="A688" s="2682" t="s">
        <v>146</v>
      </c>
      <c r="B688" s="2682" t="s">
        <v>6592</v>
      </c>
      <c r="C688" s="2682">
        <v>100</v>
      </c>
      <c r="D688" s="2682">
        <v>180</v>
      </c>
      <c r="E688" s="2682">
        <v>37.5</v>
      </c>
      <c r="F688" s="2682" t="s">
        <v>5922</v>
      </c>
      <c r="G688" s="2682" t="s">
        <v>5922</v>
      </c>
      <c r="H688" s="2682" t="s">
        <v>5922</v>
      </c>
      <c r="I688" s="2682" t="s">
        <v>5922</v>
      </c>
      <c r="J688" s="2682">
        <v>3.65</v>
      </c>
      <c r="L688" s="2682" t="s">
        <v>6593</v>
      </c>
    </row>
    <row r="689" spans="1:12">
      <c r="A689" s="2683" t="s">
        <v>146</v>
      </c>
      <c r="B689" s="2683" t="s">
        <v>6594</v>
      </c>
      <c r="C689" s="2683">
        <v>95</v>
      </c>
      <c r="D689" s="2683">
        <v>170</v>
      </c>
      <c r="E689" s="2683">
        <v>35</v>
      </c>
      <c r="F689" s="2683" t="s">
        <v>5922</v>
      </c>
      <c r="G689" s="2683" t="s">
        <v>5922</v>
      </c>
      <c r="H689" s="2683" t="s">
        <v>5922</v>
      </c>
      <c r="I689" s="2683" t="s">
        <v>5922</v>
      </c>
      <c r="J689" s="2683">
        <v>3.17</v>
      </c>
      <c r="K689" s="2684"/>
      <c r="L689" s="2683" t="s">
        <v>6595</v>
      </c>
    </row>
    <row r="690" spans="1:12">
      <c r="A690" s="2682" t="s">
        <v>146</v>
      </c>
      <c r="B690" s="2682" t="s">
        <v>6596</v>
      </c>
      <c r="C690" s="2682">
        <v>90</v>
      </c>
      <c r="D690" s="2682">
        <v>160</v>
      </c>
      <c r="E690" s="2682">
        <v>33</v>
      </c>
      <c r="F690" s="2682" t="s">
        <v>5922</v>
      </c>
      <c r="G690" s="2682" t="s">
        <v>5922</v>
      </c>
      <c r="H690" s="2682" t="s">
        <v>5922</v>
      </c>
      <c r="I690" s="2682" t="s">
        <v>5922</v>
      </c>
      <c r="J690" s="2682">
        <v>2.5299999999999998</v>
      </c>
      <c r="L690" s="2682">
        <v>7218</v>
      </c>
    </row>
    <row r="691" spans="1:12">
      <c r="A691" s="2683" t="s">
        <v>146</v>
      </c>
      <c r="B691" s="2683" t="s">
        <v>6597</v>
      </c>
      <c r="C691" s="2683">
        <v>75</v>
      </c>
      <c r="D691" s="2683">
        <v>130</v>
      </c>
      <c r="E691" s="2683">
        <v>27.25</v>
      </c>
      <c r="F691" s="2683" t="s">
        <v>5922</v>
      </c>
      <c r="G691" s="2683" t="s">
        <v>5922</v>
      </c>
      <c r="H691" s="2683" t="s">
        <v>5922</v>
      </c>
      <c r="I691" s="2683" t="s">
        <v>5922</v>
      </c>
      <c r="J691" s="2683">
        <v>1.4</v>
      </c>
      <c r="K691" s="2684"/>
      <c r="L691" s="2683" t="s">
        <v>6598</v>
      </c>
    </row>
    <row r="692" spans="1:12">
      <c r="A692" s="2682" t="s">
        <v>146</v>
      </c>
      <c r="B692" s="2682" t="s">
        <v>6599</v>
      </c>
      <c r="C692" s="2682">
        <v>70</v>
      </c>
      <c r="D692" s="2682">
        <v>125</v>
      </c>
      <c r="E692" s="2682">
        <v>26.5</v>
      </c>
      <c r="F692" s="2682" t="s">
        <v>5922</v>
      </c>
      <c r="G692" s="2682" t="s">
        <v>5922</v>
      </c>
      <c r="H692" s="2682" t="s">
        <v>5922</v>
      </c>
      <c r="I692" s="2682" t="s">
        <v>5922</v>
      </c>
      <c r="J692" s="2682">
        <v>1.1000000000000001</v>
      </c>
      <c r="L692" s="2682" t="s">
        <v>6600</v>
      </c>
    </row>
    <row r="693" spans="1:12">
      <c r="A693" s="2683" t="s">
        <v>146</v>
      </c>
      <c r="B693" s="2683" t="s">
        <v>6601</v>
      </c>
      <c r="C693" s="2683">
        <v>80</v>
      </c>
      <c r="D693" s="2683">
        <v>125</v>
      </c>
      <c r="E693" s="2683">
        <v>29</v>
      </c>
      <c r="F693" s="2683" t="s">
        <v>5922</v>
      </c>
      <c r="G693" s="2683" t="s">
        <v>5922</v>
      </c>
      <c r="H693" s="2683" t="s">
        <v>5922</v>
      </c>
      <c r="I693" s="2683" t="s">
        <v>5922</v>
      </c>
      <c r="J693" s="2683">
        <v>1.25</v>
      </c>
      <c r="K693" s="2684"/>
      <c r="L693" s="2683" t="s">
        <v>6602</v>
      </c>
    </row>
    <row r="694" spans="1:12">
      <c r="A694" s="2682" t="s">
        <v>146</v>
      </c>
      <c r="B694" s="2682" t="s">
        <v>6603</v>
      </c>
      <c r="C694" s="2682">
        <v>75</v>
      </c>
      <c r="D694" s="2682">
        <v>115</v>
      </c>
      <c r="E694" s="2682">
        <v>25.3</v>
      </c>
      <c r="F694" s="2682" t="s">
        <v>5922</v>
      </c>
      <c r="G694" s="2682" t="s">
        <v>5922</v>
      </c>
      <c r="H694" s="2682" t="s">
        <v>5922</v>
      </c>
      <c r="I694" s="2682" t="s">
        <v>5922</v>
      </c>
      <c r="J694" s="2682">
        <v>0.86699999999999999</v>
      </c>
      <c r="L694" s="2682" t="s">
        <v>6604</v>
      </c>
    </row>
    <row r="695" spans="1:12">
      <c r="A695" s="2683" t="s">
        <v>146</v>
      </c>
      <c r="B695" s="2683" t="s">
        <v>6605</v>
      </c>
      <c r="C695" s="2683">
        <v>60</v>
      </c>
      <c r="D695" s="2683">
        <v>95</v>
      </c>
      <c r="E695" s="2683">
        <v>23.3</v>
      </c>
      <c r="F695" s="2683" t="s">
        <v>5922</v>
      </c>
      <c r="G695" s="2683" t="s">
        <v>5922</v>
      </c>
      <c r="H695" s="2683" t="s">
        <v>5922</v>
      </c>
      <c r="I695" s="2683" t="s">
        <v>5922</v>
      </c>
      <c r="J695" s="2683">
        <v>0.94399999999999995</v>
      </c>
      <c r="K695" s="2684"/>
      <c r="L695" s="2683" t="s">
        <v>6606</v>
      </c>
    </row>
    <row r="696" spans="1:12">
      <c r="A696" s="2682" t="s">
        <v>146</v>
      </c>
      <c r="B696" s="2682" t="s">
        <v>6607</v>
      </c>
      <c r="C696" s="2682">
        <v>45</v>
      </c>
      <c r="D696" s="2682">
        <v>85</v>
      </c>
      <c r="E696" s="2682">
        <v>20.75</v>
      </c>
      <c r="F696" s="2682" t="s">
        <v>5922</v>
      </c>
      <c r="G696" s="2682" t="s">
        <v>5922</v>
      </c>
      <c r="H696" s="2682" t="s">
        <v>5922</v>
      </c>
      <c r="I696" s="2682" t="s">
        <v>5922</v>
      </c>
      <c r="J696" s="2682">
        <v>0.47499999999999998</v>
      </c>
      <c r="L696" s="2682" t="s">
        <v>6608</v>
      </c>
    </row>
    <row r="697" spans="1:12">
      <c r="A697" s="2683" t="s">
        <v>146</v>
      </c>
      <c r="B697" s="2683" t="s">
        <v>6609</v>
      </c>
      <c r="C697" s="2683">
        <v>35</v>
      </c>
      <c r="D697" s="2683">
        <v>72</v>
      </c>
      <c r="E697" s="2683">
        <v>18.25</v>
      </c>
      <c r="F697" s="2683" t="s">
        <v>5922</v>
      </c>
      <c r="G697" s="2683" t="s">
        <v>5922</v>
      </c>
      <c r="H697" s="2683" t="s">
        <v>5922</v>
      </c>
      <c r="I697" s="2683" t="s">
        <v>5922</v>
      </c>
      <c r="J697" s="2683">
        <v>0.33300000000000002</v>
      </c>
      <c r="K697" s="2684"/>
      <c r="L697" s="2683" t="s">
        <v>5922</v>
      </c>
    </row>
    <row r="698" spans="1:12">
      <c r="A698" s="2682" t="s">
        <v>146</v>
      </c>
      <c r="B698" s="2682" t="s">
        <v>6610</v>
      </c>
      <c r="C698" s="2682">
        <v>32</v>
      </c>
      <c r="D698" s="2682">
        <v>65</v>
      </c>
      <c r="E698" s="2682">
        <v>18.25</v>
      </c>
      <c r="F698" s="2682" t="s">
        <v>5922</v>
      </c>
      <c r="G698" s="2682" t="s">
        <v>5922</v>
      </c>
      <c r="H698" s="2682" t="s">
        <v>5922</v>
      </c>
      <c r="I698" s="2682" t="s">
        <v>5922</v>
      </c>
      <c r="J698" s="2682">
        <v>0.28000000000000003</v>
      </c>
      <c r="L698" s="2682" t="s">
        <v>6611</v>
      </c>
    </row>
    <row r="699" spans="1:12">
      <c r="A699" s="2683" t="s">
        <v>146</v>
      </c>
      <c r="B699" s="2683" t="s">
        <v>6612</v>
      </c>
      <c r="C699" s="2683">
        <v>49.988</v>
      </c>
      <c r="D699" s="2683">
        <v>123.825</v>
      </c>
      <c r="E699" s="2683">
        <v>36.512</v>
      </c>
      <c r="F699" s="2683" t="s">
        <v>5922</v>
      </c>
      <c r="G699" s="2683" t="s">
        <v>5922</v>
      </c>
      <c r="H699" s="2683" t="s">
        <v>5922</v>
      </c>
      <c r="I699" s="2683" t="s">
        <v>5922</v>
      </c>
      <c r="J699" s="2683">
        <v>2.13</v>
      </c>
      <c r="K699" s="2684"/>
      <c r="L699" s="2683" t="s">
        <v>5922</v>
      </c>
    </row>
    <row r="700" spans="1:12">
      <c r="A700" s="2682" t="s">
        <v>146</v>
      </c>
      <c r="B700" s="2682" t="s">
        <v>6613</v>
      </c>
      <c r="C700" s="2682">
        <v>66.674999999999997</v>
      </c>
      <c r="D700" s="2682">
        <v>107.95</v>
      </c>
      <c r="E700" s="2682">
        <v>25.4</v>
      </c>
      <c r="F700" s="2682" t="s">
        <v>5922</v>
      </c>
      <c r="G700" s="2682" t="s">
        <v>5922</v>
      </c>
      <c r="H700" s="2682" t="s">
        <v>5922</v>
      </c>
      <c r="I700" s="2682" t="s">
        <v>5922</v>
      </c>
      <c r="J700" s="2682">
        <v>0.85399999999999998</v>
      </c>
      <c r="L700" s="2682" t="s">
        <v>5922</v>
      </c>
    </row>
    <row r="701" spans="1:12">
      <c r="A701" s="2683" t="s">
        <v>146</v>
      </c>
      <c r="B701" s="2683" t="s">
        <v>6614</v>
      </c>
      <c r="C701" s="2683">
        <v>45.618000000000002</v>
      </c>
      <c r="D701" s="2683">
        <v>82.930999999999997</v>
      </c>
      <c r="E701" s="2683">
        <v>23.81</v>
      </c>
      <c r="F701" s="2683" t="s">
        <v>5922</v>
      </c>
      <c r="G701" s="2683" t="s">
        <v>5922</v>
      </c>
      <c r="H701" s="2683" t="s">
        <v>5922</v>
      </c>
      <c r="I701" s="2683" t="s">
        <v>5922</v>
      </c>
      <c r="J701" s="2683">
        <v>0.55400000000000005</v>
      </c>
      <c r="K701" s="2684"/>
      <c r="L701" s="2683" t="s">
        <v>5922</v>
      </c>
    </row>
    <row r="702" spans="1:12">
      <c r="A702" s="2682" t="s">
        <v>146</v>
      </c>
      <c r="B702" s="2682" t="s">
        <v>6615</v>
      </c>
      <c r="C702" s="2682">
        <v>44.45</v>
      </c>
      <c r="D702" s="2682">
        <v>82.930999999999997</v>
      </c>
      <c r="E702" s="2682">
        <v>23.81</v>
      </c>
      <c r="F702" s="2682" t="s">
        <v>5922</v>
      </c>
      <c r="G702" s="2682" t="s">
        <v>5922</v>
      </c>
      <c r="H702" s="2682" t="s">
        <v>5922</v>
      </c>
      <c r="I702" s="2682" t="s">
        <v>5922</v>
      </c>
      <c r="J702" s="2682">
        <v>0.56999999999999995</v>
      </c>
      <c r="L702" s="2682" t="s">
        <v>5922</v>
      </c>
    </row>
    <row r="703" spans="1:12">
      <c r="A703" s="2683" t="s">
        <v>146</v>
      </c>
      <c r="B703" s="2683" t="s">
        <v>6616</v>
      </c>
      <c r="C703" s="2683">
        <v>32</v>
      </c>
      <c r="D703" s="2683">
        <v>75</v>
      </c>
      <c r="E703" s="2683">
        <v>29.75</v>
      </c>
      <c r="F703" s="2683" t="s">
        <v>5922</v>
      </c>
      <c r="G703" s="2683" t="s">
        <v>5922</v>
      </c>
      <c r="H703" s="2683" t="s">
        <v>5922</v>
      </c>
      <c r="I703" s="2683" t="s">
        <v>5922</v>
      </c>
      <c r="J703" s="2683">
        <v>0.64700000000000002</v>
      </c>
      <c r="K703" s="2684"/>
      <c r="L703" s="2683" t="s">
        <v>6617</v>
      </c>
    </row>
    <row r="704" spans="1:12">
      <c r="A704" s="2682" t="s">
        <v>146</v>
      </c>
      <c r="B704" s="2682" t="s">
        <v>6618</v>
      </c>
      <c r="C704" s="2682">
        <v>32</v>
      </c>
      <c r="D704" s="2682">
        <v>75</v>
      </c>
      <c r="E704" s="2682">
        <v>29.75</v>
      </c>
      <c r="F704" s="2682" t="s">
        <v>5922</v>
      </c>
      <c r="G704" s="2682" t="s">
        <v>5922</v>
      </c>
      <c r="H704" s="2682" t="s">
        <v>5922</v>
      </c>
      <c r="I704" s="2682" t="s">
        <v>5922</v>
      </c>
      <c r="J704" s="2682">
        <v>0.64700000000000002</v>
      </c>
      <c r="L704" s="2682" t="s">
        <v>5922</v>
      </c>
    </row>
    <row r="705" spans="1:12">
      <c r="A705" s="2683" t="s">
        <v>146</v>
      </c>
      <c r="B705" s="2683" t="s">
        <v>6619</v>
      </c>
      <c r="C705" s="2683">
        <v>40</v>
      </c>
      <c r="D705" s="2683">
        <v>90</v>
      </c>
      <c r="E705" s="2683">
        <v>25.25</v>
      </c>
      <c r="F705" s="2683" t="s">
        <v>5922</v>
      </c>
      <c r="G705" s="2683" t="s">
        <v>5922</v>
      </c>
      <c r="H705" s="2683" t="s">
        <v>5922</v>
      </c>
      <c r="I705" s="2683" t="s">
        <v>5922</v>
      </c>
      <c r="J705" s="2683">
        <v>0.71899999999999997</v>
      </c>
      <c r="K705" s="2684"/>
      <c r="L705" s="2683" t="s">
        <v>6619</v>
      </c>
    </row>
    <row r="706" spans="1:12">
      <c r="A706" s="2682" t="s">
        <v>146</v>
      </c>
      <c r="B706" s="2682" t="s">
        <v>6620</v>
      </c>
      <c r="C706" s="2682">
        <v>30</v>
      </c>
      <c r="D706" s="2682">
        <v>72</v>
      </c>
      <c r="E706" s="2682">
        <v>20.75</v>
      </c>
      <c r="F706" s="2682" t="s">
        <v>5922</v>
      </c>
      <c r="G706" s="2682" t="s">
        <v>5922</v>
      </c>
      <c r="H706" s="2682" t="s">
        <v>5922</v>
      </c>
      <c r="I706" s="2682" t="s">
        <v>5922</v>
      </c>
      <c r="J706" s="2682">
        <v>0.38900000000000001</v>
      </c>
      <c r="L706" s="2682" t="s">
        <v>5922</v>
      </c>
    </row>
    <row r="707" spans="1:12">
      <c r="A707" s="2683" t="s">
        <v>146</v>
      </c>
      <c r="B707" s="2683" t="s">
        <v>6621</v>
      </c>
      <c r="C707" s="2683">
        <v>45</v>
      </c>
      <c r="D707" s="2683">
        <v>95</v>
      </c>
      <c r="E707" s="2683">
        <v>36</v>
      </c>
      <c r="F707" s="2683" t="s">
        <v>5922</v>
      </c>
      <c r="G707" s="2683" t="s">
        <v>5922</v>
      </c>
      <c r="H707" s="2683" t="s">
        <v>5922</v>
      </c>
      <c r="I707" s="2683" t="s">
        <v>5922</v>
      </c>
      <c r="J707" s="2683">
        <v>1.18</v>
      </c>
      <c r="K707" s="2684"/>
      <c r="L707" s="2683" t="s">
        <v>5922</v>
      </c>
    </row>
    <row r="708" spans="1:12">
      <c r="A708" s="2682" t="s">
        <v>146</v>
      </c>
      <c r="B708" s="2682" t="s">
        <v>6622</v>
      </c>
      <c r="C708" s="2682">
        <v>30</v>
      </c>
      <c r="D708" s="2682">
        <v>56.369</v>
      </c>
      <c r="E708" s="2682">
        <v>16</v>
      </c>
      <c r="F708" s="2682" t="s">
        <v>5922</v>
      </c>
      <c r="G708" s="2682" t="s">
        <v>5922</v>
      </c>
      <c r="H708" s="2682" t="s">
        <v>5922</v>
      </c>
      <c r="I708" s="2682" t="s">
        <v>5922</v>
      </c>
      <c r="J708" s="2682">
        <v>0.14799999999999999</v>
      </c>
      <c r="L708" s="2682" t="s">
        <v>6623</v>
      </c>
    </row>
    <row r="709" spans="1:12">
      <c r="A709" s="2683" t="s">
        <v>146</v>
      </c>
      <c r="B709" s="2683" t="s">
        <v>6624</v>
      </c>
      <c r="C709" s="2683">
        <v>20</v>
      </c>
      <c r="D709" s="2683">
        <v>42.588999999999999</v>
      </c>
      <c r="E709" s="2683">
        <v>14</v>
      </c>
      <c r="F709" s="2683" t="s">
        <v>5922</v>
      </c>
      <c r="G709" s="2683" t="s">
        <v>5922</v>
      </c>
      <c r="H709" s="2683" t="s">
        <v>5922</v>
      </c>
      <c r="I709" s="2683" t="s">
        <v>5922</v>
      </c>
      <c r="J709" s="2683">
        <v>8.3000000000000004E-2</v>
      </c>
      <c r="K709" s="2684"/>
      <c r="L709" s="2683" t="s">
        <v>6625</v>
      </c>
    </row>
    <row r="710" spans="1:12">
      <c r="A710" s="2682" t="s">
        <v>146</v>
      </c>
      <c r="B710" s="2682" t="s">
        <v>6626</v>
      </c>
      <c r="C710" s="2682">
        <v>127</v>
      </c>
      <c r="D710" s="2682">
        <v>234.95</v>
      </c>
      <c r="E710" s="2682">
        <v>142.875</v>
      </c>
      <c r="F710" s="2682" t="s">
        <v>5922</v>
      </c>
      <c r="G710" s="2682" t="s">
        <v>5922</v>
      </c>
      <c r="H710" s="2682" t="s">
        <v>5922</v>
      </c>
      <c r="I710" s="2682" t="s">
        <v>5922</v>
      </c>
      <c r="J710" s="2682">
        <v>25.4</v>
      </c>
      <c r="L710" s="2682" t="s">
        <v>6627</v>
      </c>
    </row>
    <row r="711" spans="1:12">
      <c r="A711" s="2683" t="s">
        <v>146</v>
      </c>
      <c r="B711" s="2683" t="s">
        <v>6628</v>
      </c>
      <c r="C711" s="2683">
        <v>147.875</v>
      </c>
      <c r="D711" s="2683">
        <v>200.02500000000001</v>
      </c>
      <c r="E711" s="2683">
        <v>43.664999999999999</v>
      </c>
      <c r="F711" s="2683" t="s">
        <v>5922</v>
      </c>
      <c r="G711" s="2683" t="s">
        <v>5922</v>
      </c>
      <c r="H711" s="2683" t="s">
        <v>5922</v>
      </c>
      <c r="I711" s="2683" t="s">
        <v>5922</v>
      </c>
      <c r="J711" s="2683">
        <v>8.82</v>
      </c>
      <c r="K711" s="2684"/>
      <c r="L711" s="2683" t="s">
        <v>5922</v>
      </c>
    </row>
    <row r="712" spans="1:12">
      <c r="A712" s="2682" t="s">
        <v>146</v>
      </c>
      <c r="B712" s="2682" t="s">
        <v>6629</v>
      </c>
      <c r="C712" s="2682">
        <v>304.8</v>
      </c>
      <c r="D712" s="2682">
        <v>438.048</v>
      </c>
      <c r="E712" s="2682">
        <v>161.92500000000001</v>
      </c>
      <c r="F712" s="2682" t="s">
        <v>5922</v>
      </c>
      <c r="G712" s="2682" t="s">
        <v>5922</v>
      </c>
      <c r="H712" s="2682" t="s">
        <v>5922</v>
      </c>
      <c r="I712" s="2682" t="s">
        <v>5922</v>
      </c>
      <c r="J712" s="2682">
        <v>65.400000000000006</v>
      </c>
      <c r="L712" s="2682" t="s">
        <v>6630</v>
      </c>
    </row>
    <row r="713" spans="1:12">
      <c r="A713" s="2683" t="s">
        <v>146</v>
      </c>
      <c r="B713" s="2683" t="s">
        <v>6631</v>
      </c>
      <c r="C713" s="2683">
        <v>33.338000000000001</v>
      </c>
      <c r="D713" s="2683">
        <v>68.262</v>
      </c>
      <c r="E713" s="2683">
        <v>22.225000000000001</v>
      </c>
      <c r="F713" s="2683" t="s">
        <v>5922</v>
      </c>
      <c r="G713" s="2683" t="s">
        <v>5922</v>
      </c>
      <c r="H713" s="2683" t="s">
        <v>5922</v>
      </c>
      <c r="I713" s="2683" t="s">
        <v>5922</v>
      </c>
      <c r="J713" s="2683">
        <v>0.375</v>
      </c>
      <c r="K713" s="2684"/>
      <c r="L713" s="2683" t="s">
        <v>5922</v>
      </c>
    </row>
    <row r="714" spans="1:12">
      <c r="A714" s="2682" t="s">
        <v>146</v>
      </c>
      <c r="B714" s="2682" t="s">
        <v>6632</v>
      </c>
      <c r="C714" s="2682">
        <v>30.163</v>
      </c>
      <c r="D714" s="2682">
        <v>64.292000000000002</v>
      </c>
      <c r="E714" s="2682">
        <v>21.5</v>
      </c>
      <c r="F714" s="2682" t="s">
        <v>5922</v>
      </c>
      <c r="G714" s="2682" t="s">
        <v>5922</v>
      </c>
      <c r="H714" s="2682" t="s">
        <v>5922</v>
      </c>
      <c r="I714" s="2682" t="s">
        <v>5922</v>
      </c>
      <c r="J714" s="2682">
        <v>0.33900000000000002</v>
      </c>
      <c r="L714" s="2682" t="s">
        <v>5922</v>
      </c>
    </row>
    <row r="715" spans="1:12">
      <c r="A715" s="2683" t="s">
        <v>146</v>
      </c>
      <c r="B715" s="2683" t="s">
        <v>6633</v>
      </c>
      <c r="C715" s="2683">
        <v>30.161999999999999</v>
      </c>
      <c r="D715" s="2683">
        <v>64.292000000000002</v>
      </c>
      <c r="E715" s="2683">
        <v>21.433</v>
      </c>
      <c r="F715" s="2683" t="s">
        <v>5922</v>
      </c>
      <c r="G715" s="2683" t="s">
        <v>5922</v>
      </c>
      <c r="H715" s="2683" t="s">
        <v>5922</v>
      </c>
      <c r="I715" s="2683" t="s">
        <v>5922</v>
      </c>
      <c r="J715" s="2683">
        <v>0.34100000000000003</v>
      </c>
      <c r="K715" s="2684"/>
      <c r="L715" s="2683" t="s">
        <v>5922</v>
      </c>
    </row>
    <row r="716" spans="1:12">
      <c r="A716" s="2682" t="s">
        <v>146</v>
      </c>
      <c r="B716" s="2682" t="s">
        <v>6634</v>
      </c>
      <c r="C716" s="2682">
        <v>30.954999999999998</v>
      </c>
      <c r="D716" s="2682">
        <v>64.292000000000002</v>
      </c>
      <c r="E716" s="2682">
        <v>21.433</v>
      </c>
      <c r="F716" s="2682" t="s">
        <v>5922</v>
      </c>
      <c r="G716" s="2682" t="s">
        <v>5922</v>
      </c>
      <c r="H716" s="2682" t="s">
        <v>5922</v>
      </c>
      <c r="I716" s="2682" t="s">
        <v>5922</v>
      </c>
      <c r="J716" s="2682">
        <v>0</v>
      </c>
      <c r="L716" s="2682" t="s">
        <v>5922</v>
      </c>
    </row>
    <row r="717" spans="1:12">
      <c r="A717" s="2683" t="s">
        <v>146</v>
      </c>
      <c r="B717" s="2683" t="s">
        <v>6635</v>
      </c>
      <c r="C717" s="2683">
        <v>28.574999999999999</v>
      </c>
      <c r="D717" s="2683">
        <v>64.292000000000002</v>
      </c>
      <c r="E717" s="2683">
        <v>21.433</v>
      </c>
      <c r="F717" s="2683" t="s">
        <v>5922</v>
      </c>
      <c r="G717" s="2683" t="s">
        <v>5922</v>
      </c>
      <c r="H717" s="2683" t="s">
        <v>5922</v>
      </c>
      <c r="I717" s="2683" t="s">
        <v>5922</v>
      </c>
      <c r="J717" s="2683">
        <v>0</v>
      </c>
      <c r="K717" s="2684"/>
      <c r="L717" s="2683" t="s">
        <v>5922</v>
      </c>
    </row>
    <row r="718" spans="1:12">
      <c r="A718" s="2682" t="s">
        <v>146</v>
      </c>
      <c r="B718" s="2682" t="s">
        <v>6636</v>
      </c>
      <c r="C718" s="2682">
        <v>25.4</v>
      </c>
      <c r="D718" s="2682">
        <v>64.292000000000002</v>
      </c>
      <c r="E718" s="2682">
        <v>21.433</v>
      </c>
      <c r="F718" s="2682" t="s">
        <v>5922</v>
      </c>
      <c r="G718" s="2682" t="s">
        <v>5922</v>
      </c>
      <c r="H718" s="2682" t="s">
        <v>5922</v>
      </c>
      <c r="I718" s="2682" t="s">
        <v>5922</v>
      </c>
      <c r="J718" s="2682">
        <v>0</v>
      </c>
      <c r="L718" s="2682" t="s">
        <v>5922</v>
      </c>
    </row>
    <row r="719" spans="1:12">
      <c r="A719" s="2683" t="s">
        <v>146</v>
      </c>
      <c r="B719" s="2683" t="s">
        <v>6637</v>
      </c>
      <c r="C719" s="2683">
        <v>25.4</v>
      </c>
      <c r="D719" s="2683">
        <v>59.53</v>
      </c>
      <c r="E719" s="2683">
        <v>23.367999999999999</v>
      </c>
      <c r="F719" s="2683" t="s">
        <v>5922</v>
      </c>
      <c r="G719" s="2683" t="s">
        <v>5922</v>
      </c>
      <c r="H719" s="2683" t="s">
        <v>5922</v>
      </c>
      <c r="I719" s="2683" t="s">
        <v>5922</v>
      </c>
      <c r="J719" s="2683">
        <v>0</v>
      </c>
      <c r="K719" s="2684"/>
      <c r="L719" s="2683" t="s">
        <v>5922</v>
      </c>
    </row>
    <row r="720" spans="1:12">
      <c r="A720" s="2682" t="s">
        <v>146</v>
      </c>
      <c r="B720" s="2682" t="s">
        <v>6638</v>
      </c>
      <c r="C720" s="2682">
        <v>41.274999999999999</v>
      </c>
      <c r="D720" s="2682">
        <v>82.55</v>
      </c>
      <c r="E720" s="2682">
        <v>26.452999999999999</v>
      </c>
      <c r="F720" s="2682" t="s">
        <v>5922</v>
      </c>
      <c r="G720" s="2682" t="s">
        <v>5922</v>
      </c>
      <c r="H720" s="2682" t="s">
        <v>5922</v>
      </c>
      <c r="I720" s="2682" t="s">
        <v>5922</v>
      </c>
      <c r="J720" s="2682" t="s">
        <v>5922</v>
      </c>
      <c r="L720" s="2682" t="s">
        <v>5922</v>
      </c>
    </row>
    <row r="721" spans="1:12">
      <c r="A721" s="2683" t="s">
        <v>146</v>
      </c>
      <c r="B721" s="2683" t="s">
        <v>6639</v>
      </c>
      <c r="C721" s="2683">
        <v>257.18</v>
      </c>
      <c r="D721" s="2683">
        <v>342.9</v>
      </c>
      <c r="E721" s="2683">
        <v>57.15</v>
      </c>
      <c r="F721" s="2683" t="s">
        <v>5922</v>
      </c>
      <c r="G721" s="2683" t="s">
        <v>5922</v>
      </c>
      <c r="H721" s="2683" t="s">
        <v>5922</v>
      </c>
      <c r="I721" s="2683" t="s">
        <v>5922</v>
      </c>
      <c r="J721" s="2683">
        <v>14</v>
      </c>
      <c r="K721" s="2684"/>
      <c r="L721" s="2683" t="s">
        <v>5922</v>
      </c>
    </row>
    <row r="722" spans="1:12">
      <c r="A722" s="2682" t="s">
        <v>146</v>
      </c>
      <c r="B722" s="2682" t="s">
        <v>6640</v>
      </c>
      <c r="C722" s="2682">
        <v>247.65</v>
      </c>
      <c r="D722" s="2682">
        <v>346.07499999999999</v>
      </c>
      <c r="E722" s="2682">
        <v>63.5</v>
      </c>
      <c r="F722" s="2682" t="s">
        <v>5922</v>
      </c>
      <c r="G722" s="2682" t="s">
        <v>5922</v>
      </c>
      <c r="H722" s="2682" t="s">
        <v>5922</v>
      </c>
      <c r="I722" s="2682" t="s">
        <v>5922</v>
      </c>
      <c r="J722" s="2682">
        <v>0</v>
      </c>
      <c r="L722" s="2682" t="s">
        <v>5922</v>
      </c>
    </row>
    <row r="723" spans="1:12">
      <c r="A723" s="2683" t="s">
        <v>146</v>
      </c>
      <c r="B723" s="2683" t="s">
        <v>6641</v>
      </c>
      <c r="C723" s="2683">
        <v>595.31200000000001</v>
      </c>
      <c r="D723" s="2683">
        <v>844.55</v>
      </c>
      <c r="E723" s="2683">
        <v>296.86200000000002</v>
      </c>
      <c r="F723" s="2683" t="s">
        <v>5922</v>
      </c>
      <c r="G723" s="2683" t="s">
        <v>5922</v>
      </c>
      <c r="H723" s="2683" t="s">
        <v>5922</v>
      </c>
      <c r="I723" s="2683" t="s">
        <v>5922</v>
      </c>
      <c r="J723" s="2683">
        <v>523</v>
      </c>
      <c r="K723" s="2684"/>
      <c r="L723" s="2683" t="s">
        <v>6642</v>
      </c>
    </row>
    <row r="724" spans="1:12">
      <c r="A724" s="2682" t="s">
        <v>146</v>
      </c>
      <c r="B724" s="2682" t="s">
        <v>6643</v>
      </c>
      <c r="C724" s="2682">
        <v>571.5</v>
      </c>
      <c r="D724" s="2682">
        <v>812.8</v>
      </c>
      <c r="E724" s="2682">
        <v>285.25</v>
      </c>
      <c r="F724" s="2682" t="s">
        <v>5922</v>
      </c>
      <c r="G724" s="2682" t="s">
        <v>5922</v>
      </c>
      <c r="H724" s="2682" t="s">
        <v>5922</v>
      </c>
      <c r="I724" s="2682" t="s">
        <v>5922</v>
      </c>
      <c r="J724" s="2682">
        <v>491</v>
      </c>
      <c r="L724" s="2682" t="s">
        <v>6644</v>
      </c>
    </row>
    <row r="725" spans="1:12">
      <c r="A725" s="2683" t="s">
        <v>146</v>
      </c>
      <c r="B725" s="2683" t="s">
        <v>6645</v>
      </c>
      <c r="C725" s="2683">
        <v>447.67500000000001</v>
      </c>
      <c r="D725" s="2683">
        <v>635</v>
      </c>
      <c r="E725" s="2683">
        <v>120.65</v>
      </c>
      <c r="F725" s="2683" t="s">
        <v>5922</v>
      </c>
      <c r="G725" s="2683" t="s">
        <v>5922</v>
      </c>
      <c r="H725" s="2683" t="s">
        <v>5922</v>
      </c>
      <c r="I725" s="2683" t="s">
        <v>5922</v>
      </c>
      <c r="J725" s="2683">
        <v>0</v>
      </c>
      <c r="K725" s="2684"/>
      <c r="L725" s="2683" t="s">
        <v>5922</v>
      </c>
    </row>
    <row r="726" spans="1:12">
      <c r="A726" s="2682" t="s">
        <v>146</v>
      </c>
      <c r="B726" s="2682" t="s">
        <v>6646</v>
      </c>
      <c r="C726" s="2682">
        <v>415.92500000000001</v>
      </c>
      <c r="D726" s="2682">
        <v>590.54999999999995</v>
      </c>
      <c r="E726" s="2682">
        <v>114.3</v>
      </c>
      <c r="F726" s="2682" t="s">
        <v>5922</v>
      </c>
      <c r="G726" s="2682" t="s">
        <v>5922</v>
      </c>
      <c r="H726" s="2682" t="s">
        <v>5922</v>
      </c>
      <c r="I726" s="2682" t="s">
        <v>5922</v>
      </c>
      <c r="J726" s="2682">
        <v>0</v>
      </c>
      <c r="L726" s="2682" t="s">
        <v>5922</v>
      </c>
    </row>
    <row r="727" spans="1:12">
      <c r="A727" s="2683" t="s">
        <v>146</v>
      </c>
      <c r="B727" s="2683" t="s">
        <v>6647</v>
      </c>
      <c r="C727" s="2683">
        <v>288.92500000000001</v>
      </c>
      <c r="D727" s="2683">
        <v>406.4</v>
      </c>
      <c r="E727" s="2683">
        <v>77.188000000000002</v>
      </c>
      <c r="F727" s="2683" t="s">
        <v>5922</v>
      </c>
      <c r="G727" s="2683" t="s">
        <v>5922</v>
      </c>
      <c r="H727" s="2683" t="s">
        <v>5922</v>
      </c>
      <c r="I727" s="2683" t="s">
        <v>5922</v>
      </c>
      <c r="J727" s="2683">
        <v>30.1</v>
      </c>
      <c r="K727" s="2684"/>
      <c r="L727" s="2683" t="s">
        <v>5922</v>
      </c>
    </row>
    <row r="728" spans="1:12">
      <c r="A728" s="2682" t="s">
        <v>146</v>
      </c>
      <c r="B728" s="2682" t="s">
        <v>6648</v>
      </c>
      <c r="C728" s="2682">
        <v>269.875</v>
      </c>
      <c r="D728" s="2682">
        <v>381</v>
      </c>
      <c r="E728" s="2682">
        <v>282.57499999999999</v>
      </c>
      <c r="F728" s="2682" t="s">
        <v>5922</v>
      </c>
      <c r="G728" s="2682" t="s">
        <v>5922</v>
      </c>
      <c r="H728" s="2682" t="s">
        <v>5922</v>
      </c>
      <c r="I728" s="2682" t="s">
        <v>5922</v>
      </c>
      <c r="J728" s="2682">
        <v>101</v>
      </c>
      <c r="L728" s="2682" t="s">
        <v>5922</v>
      </c>
    </row>
    <row r="729" spans="1:12">
      <c r="A729" s="2683" t="s">
        <v>146</v>
      </c>
      <c r="B729" s="2683" t="s">
        <v>6649</v>
      </c>
      <c r="C729" s="2683">
        <v>269.875</v>
      </c>
      <c r="D729" s="2683">
        <v>381</v>
      </c>
      <c r="E729" s="2683">
        <v>136.52500000000001</v>
      </c>
      <c r="F729" s="2683" t="s">
        <v>5922</v>
      </c>
      <c r="G729" s="2683" t="s">
        <v>5922</v>
      </c>
      <c r="H729" s="2683" t="s">
        <v>5922</v>
      </c>
      <c r="I729" s="2683" t="s">
        <v>5922</v>
      </c>
      <c r="J729" s="2683">
        <v>51.5</v>
      </c>
      <c r="K729" s="2684"/>
      <c r="L729" s="2683" t="s">
        <v>5922</v>
      </c>
    </row>
    <row r="730" spans="1:12">
      <c r="A730" s="2682" t="s">
        <v>146</v>
      </c>
      <c r="B730" s="2682" t="s">
        <v>6650</v>
      </c>
      <c r="C730" s="2682">
        <v>269.875</v>
      </c>
      <c r="D730" s="2682">
        <v>381</v>
      </c>
      <c r="E730" s="2682">
        <v>74.611999999999995</v>
      </c>
      <c r="F730" s="2682" t="s">
        <v>5922</v>
      </c>
      <c r="G730" s="2682" t="s">
        <v>5922</v>
      </c>
      <c r="H730" s="2682" t="s">
        <v>5922</v>
      </c>
      <c r="I730" s="2682" t="s">
        <v>5922</v>
      </c>
      <c r="J730" s="2682">
        <v>0</v>
      </c>
      <c r="L730" s="2682" t="s">
        <v>5922</v>
      </c>
    </row>
    <row r="731" spans="1:12">
      <c r="A731" s="2683" t="s">
        <v>146</v>
      </c>
      <c r="B731" s="2683" t="s">
        <v>6651</v>
      </c>
      <c r="C731" s="2683">
        <v>254</v>
      </c>
      <c r="D731" s="2683">
        <v>358.77499999999998</v>
      </c>
      <c r="E731" s="2683">
        <v>71.438000000000002</v>
      </c>
      <c r="F731" s="2683" t="s">
        <v>5922</v>
      </c>
      <c r="G731" s="2683" t="s">
        <v>5922</v>
      </c>
      <c r="H731" s="2683" t="s">
        <v>5922</v>
      </c>
      <c r="I731" s="2683" t="s">
        <v>5922</v>
      </c>
      <c r="J731" s="2683">
        <v>0</v>
      </c>
      <c r="K731" s="2684"/>
      <c r="L731" s="2683" t="s">
        <v>5922</v>
      </c>
    </row>
    <row r="732" spans="1:12">
      <c r="A732" s="2682" t="s">
        <v>146</v>
      </c>
      <c r="B732" s="2682" t="s">
        <v>6652</v>
      </c>
      <c r="C732" s="2682">
        <v>220.66200000000001</v>
      </c>
      <c r="D732" s="2682">
        <v>314.32499999999999</v>
      </c>
      <c r="E732" s="2682">
        <v>61.911999999999999</v>
      </c>
      <c r="F732" s="2682" t="s">
        <v>5922</v>
      </c>
      <c r="G732" s="2682" t="s">
        <v>5922</v>
      </c>
      <c r="H732" s="2682" t="s">
        <v>5922</v>
      </c>
      <c r="I732" s="2682" t="s">
        <v>5922</v>
      </c>
      <c r="J732" s="2682">
        <v>0</v>
      </c>
      <c r="L732" s="2682" t="s">
        <v>5922</v>
      </c>
    </row>
    <row r="733" spans="1:12">
      <c r="A733" s="2683" t="s">
        <v>146</v>
      </c>
      <c r="B733" s="2683" t="s">
        <v>6653</v>
      </c>
      <c r="C733" s="2683">
        <v>203.2</v>
      </c>
      <c r="D733" s="2683">
        <v>292.10000000000002</v>
      </c>
      <c r="E733" s="2683">
        <v>57.945</v>
      </c>
      <c r="F733" s="2683" t="s">
        <v>5922</v>
      </c>
      <c r="G733" s="2683" t="s">
        <v>5922</v>
      </c>
      <c r="H733" s="2683" t="s">
        <v>5922</v>
      </c>
      <c r="I733" s="2683" t="s">
        <v>5922</v>
      </c>
      <c r="J733" s="2683">
        <v>0</v>
      </c>
      <c r="K733" s="2684"/>
      <c r="L733" s="2683" t="s">
        <v>5922</v>
      </c>
    </row>
    <row r="734" spans="1:12">
      <c r="A734" s="2682" t="s">
        <v>146</v>
      </c>
      <c r="B734" s="2682" t="s">
        <v>6654</v>
      </c>
      <c r="C734" s="2682">
        <v>177.8</v>
      </c>
      <c r="D734" s="2682">
        <v>269.875</v>
      </c>
      <c r="E734" s="2682">
        <v>119.062</v>
      </c>
      <c r="F734" s="2682" t="s">
        <v>5922</v>
      </c>
      <c r="G734" s="2682" t="s">
        <v>5922</v>
      </c>
      <c r="H734" s="2682" t="s">
        <v>5922</v>
      </c>
      <c r="I734" s="2682" t="s">
        <v>5922</v>
      </c>
      <c r="J734" s="2682">
        <v>22</v>
      </c>
      <c r="L734" s="2682" t="s">
        <v>5922</v>
      </c>
    </row>
    <row r="735" spans="1:12">
      <c r="A735" s="2683" t="s">
        <v>146</v>
      </c>
      <c r="B735" s="2683" t="s">
        <v>6655</v>
      </c>
      <c r="C735" s="2683">
        <v>177.8</v>
      </c>
      <c r="D735" s="2683">
        <v>260.35000000000002</v>
      </c>
      <c r="E735" s="2683">
        <v>53.975000000000001</v>
      </c>
      <c r="F735" s="2683" t="s">
        <v>5922</v>
      </c>
      <c r="G735" s="2683" t="s">
        <v>5922</v>
      </c>
      <c r="H735" s="2683" t="s">
        <v>5922</v>
      </c>
      <c r="I735" s="2683" t="s">
        <v>5922</v>
      </c>
      <c r="J735" s="2683">
        <v>9.08</v>
      </c>
      <c r="K735" s="2684"/>
      <c r="L735" s="2683" t="s">
        <v>5922</v>
      </c>
    </row>
    <row r="736" spans="1:12">
      <c r="A736" s="2682" t="s">
        <v>146</v>
      </c>
      <c r="B736" s="2682" t="s">
        <v>6656</v>
      </c>
      <c r="C736" s="2682">
        <v>177.8</v>
      </c>
      <c r="D736" s="2682">
        <v>260.35000000000002</v>
      </c>
      <c r="E736" s="2682">
        <v>53.975000000000001</v>
      </c>
      <c r="F736" s="2682" t="s">
        <v>5922</v>
      </c>
      <c r="G736" s="2682" t="s">
        <v>5922</v>
      </c>
      <c r="H736" s="2682" t="s">
        <v>5922</v>
      </c>
      <c r="I736" s="2682" t="s">
        <v>5922</v>
      </c>
      <c r="J736" s="2682">
        <v>0</v>
      </c>
      <c r="L736" s="2682" t="s">
        <v>5922</v>
      </c>
    </row>
    <row r="737" spans="1:12">
      <c r="A737" s="2683" t="s">
        <v>146</v>
      </c>
      <c r="B737" s="2683" t="s">
        <v>6657</v>
      </c>
      <c r="C737" s="2683">
        <v>120.65</v>
      </c>
      <c r="D737" s="2683">
        <v>174.625</v>
      </c>
      <c r="E737" s="2683">
        <v>35.72</v>
      </c>
      <c r="F737" s="2683" t="s">
        <v>5922</v>
      </c>
      <c r="G737" s="2683" t="s">
        <v>5922</v>
      </c>
      <c r="H737" s="2683" t="s">
        <v>5922</v>
      </c>
      <c r="I737" s="2683" t="s">
        <v>5922</v>
      </c>
      <c r="J737" s="2683">
        <v>0</v>
      </c>
      <c r="K737" s="2684"/>
      <c r="L737" s="2683" t="s">
        <v>5922</v>
      </c>
    </row>
    <row r="738" spans="1:12">
      <c r="A738" s="2682" t="s">
        <v>146</v>
      </c>
      <c r="B738" s="2682" t="s">
        <v>6658</v>
      </c>
      <c r="C738" s="2682">
        <v>39.688000000000002</v>
      </c>
      <c r="D738" s="2682">
        <v>73.025000000000006</v>
      </c>
      <c r="E738" s="2682">
        <v>25.654</v>
      </c>
      <c r="F738" s="2682" t="s">
        <v>5922</v>
      </c>
      <c r="G738" s="2682" t="s">
        <v>5922</v>
      </c>
      <c r="H738" s="2682" t="s">
        <v>5922</v>
      </c>
      <c r="I738" s="2682" t="s">
        <v>5922</v>
      </c>
      <c r="J738" s="2682">
        <v>0</v>
      </c>
      <c r="L738" s="2682" t="s">
        <v>5922</v>
      </c>
    </row>
    <row r="739" spans="1:12">
      <c r="A739" s="2683" t="s">
        <v>146</v>
      </c>
      <c r="B739" s="2683" t="s">
        <v>6659</v>
      </c>
      <c r="C739" s="2683">
        <v>39.688000000000002</v>
      </c>
      <c r="D739" s="2683">
        <v>73.025000000000006</v>
      </c>
      <c r="E739" s="2683">
        <v>25.654</v>
      </c>
      <c r="F739" s="2683" t="s">
        <v>5922</v>
      </c>
      <c r="G739" s="2683" t="s">
        <v>5922</v>
      </c>
      <c r="H739" s="2683" t="s">
        <v>5922</v>
      </c>
      <c r="I739" s="2683" t="s">
        <v>5922</v>
      </c>
      <c r="J739" s="2683">
        <v>0.44400000000000001</v>
      </c>
      <c r="K739" s="2684"/>
      <c r="L739" s="2683" t="s">
        <v>5922</v>
      </c>
    </row>
    <row r="740" spans="1:12">
      <c r="A740" s="2682" t="s">
        <v>146</v>
      </c>
      <c r="B740" s="2682" t="s">
        <v>6660</v>
      </c>
      <c r="C740" s="2682">
        <v>21.43</v>
      </c>
      <c r="D740" s="2682">
        <v>50.005000000000003</v>
      </c>
      <c r="E740" s="2682">
        <v>17.526</v>
      </c>
      <c r="F740" s="2682" t="s">
        <v>5922</v>
      </c>
      <c r="G740" s="2682" t="s">
        <v>5922</v>
      </c>
      <c r="H740" s="2682" t="s">
        <v>5922</v>
      </c>
      <c r="I740" s="2682" t="s">
        <v>5922</v>
      </c>
      <c r="J740" s="2682">
        <v>0</v>
      </c>
      <c r="L740" s="2682" t="s">
        <v>5922</v>
      </c>
    </row>
    <row r="741" spans="1:12">
      <c r="A741" s="2683" t="s">
        <v>146</v>
      </c>
      <c r="B741" s="2683" t="s">
        <v>6661</v>
      </c>
      <c r="C741" s="2683">
        <v>22.225000000000001</v>
      </c>
      <c r="D741" s="2683">
        <v>50.005000000000003</v>
      </c>
      <c r="E741" s="2683">
        <v>17.526</v>
      </c>
      <c r="F741" s="2683" t="s">
        <v>5922</v>
      </c>
      <c r="G741" s="2683" t="s">
        <v>5922</v>
      </c>
      <c r="H741" s="2683" t="s">
        <v>5922</v>
      </c>
      <c r="I741" s="2683" t="s">
        <v>5922</v>
      </c>
      <c r="J741" s="2683">
        <v>0</v>
      </c>
      <c r="K741" s="2684"/>
      <c r="L741" s="2683" t="s">
        <v>5922</v>
      </c>
    </row>
    <row r="742" spans="1:12">
      <c r="A742" s="2682" t="s">
        <v>146</v>
      </c>
      <c r="B742" s="2682" t="s">
        <v>6662</v>
      </c>
      <c r="C742" s="2682">
        <v>50</v>
      </c>
      <c r="D742" s="2682">
        <v>90</v>
      </c>
      <c r="E742" s="2682">
        <v>35</v>
      </c>
      <c r="F742" s="2682" t="s">
        <v>5922</v>
      </c>
      <c r="G742" s="2682" t="s">
        <v>5922</v>
      </c>
      <c r="H742" s="2682" t="s">
        <v>5922</v>
      </c>
      <c r="I742" s="2682" t="s">
        <v>5922</v>
      </c>
      <c r="J742" s="2682">
        <v>0.82099999999999995</v>
      </c>
      <c r="L742" s="2682" t="s">
        <v>6663</v>
      </c>
    </row>
    <row r="743" spans="1:12">
      <c r="A743" s="2683" t="s">
        <v>146</v>
      </c>
      <c r="B743" s="2683" t="s">
        <v>6664</v>
      </c>
      <c r="C743" s="2683">
        <v>50</v>
      </c>
      <c r="D743" s="2683">
        <v>100</v>
      </c>
      <c r="E743" s="2683">
        <v>57</v>
      </c>
      <c r="F743" s="2683" t="s">
        <v>5922</v>
      </c>
      <c r="G743" s="2683" t="s">
        <v>5922</v>
      </c>
      <c r="H743" s="2683" t="s">
        <v>5922</v>
      </c>
      <c r="I743" s="2683" t="s">
        <v>5922</v>
      </c>
      <c r="J743" s="2683">
        <v>1.76</v>
      </c>
      <c r="K743" s="2684"/>
      <c r="L743" s="2683" t="s">
        <v>6665</v>
      </c>
    </row>
    <row r="744" spans="1:12">
      <c r="A744" s="2682" t="s">
        <v>146</v>
      </c>
      <c r="B744" s="2682" t="s">
        <v>6666</v>
      </c>
      <c r="C744" s="2682">
        <v>60</v>
      </c>
      <c r="D744" s="2682">
        <v>110</v>
      </c>
      <c r="E744" s="2682">
        <v>34.1</v>
      </c>
      <c r="F744" s="2682" t="s">
        <v>5922</v>
      </c>
      <c r="G744" s="2682" t="s">
        <v>5922</v>
      </c>
      <c r="H744" s="2682" t="s">
        <v>5922</v>
      </c>
      <c r="I744" s="2682" t="s">
        <v>5922</v>
      </c>
      <c r="J744" s="2682">
        <v>1.25</v>
      </c>
      <c r="L744" s="2682" t="s">
        <v>6667</v>
      </c>
    </row>
    <row r="745" spans="1:12">
      <c r="A745" s="2683" t="s">
        <v>146</v>
      </c>
      <c r="B745" s="2683" t="s">
        <v>6668</v>
      </c>
      <c r="C745" s="2683">
        <v>56.62</v>
      </c>
      <c r="D745" s="2683">
        <v>88</v>
      </c>
      <c r="E745" s="2683">
        <v>21</v>
      </c>
      <c r="F745" s="2683" t="s">
        <v>5922</v>
      </c>
      <c r="G745" s="2683" t="s">
        <v>5922</v>
      </c>
      <c r="H745" s="2683" t="s">
        <v>5922</v>
      </c>
      <c r="I745" s="2683" t="s">
        <v>5922</v>
      </c>
      <c r="J745" s="2683">
        <v>0</v>
      </c>
      <c r="K745" s="2684"/>
      <c r="L745" s="2683">
        <v>977910</v>
      </c>
    </row>
    <row r="746" spans="1:12">
      <c r="A746" s="2682" t="s">
        <v>146</v>
      </c>
      <c r="B746" s="2682" t="s">
        <v>6669</v>
      </c>
      <c r="C746" s="2682">
        <v>35</v>
      </c>
      <c r="D746" s="2682">
        <v>62</v>
      </c>
      <c r="E746" s="2682">
        <v>16.649999999999999</v>
      </c>
      <c r="F746" s="2682" t="s">
        <v>5922</v>
      </c>
      <c r="G746" s="2682" t="s">
        <v>5922</v>
      </c>
      <c r="H746" s="2682" t="s">
        <v>5922</v>
      </c>
      <c r="I746" s="2682" t="s">
        <v>5922</v>
      </c>
      <c r="J746" s="2682">
        <v>0.20799999999999999</v>
      </c>
      <c r="L746" s="2682" t="s">
        <v>5922</v>
      </c>
    </row>
    <row r="747" spans="1:12">
      <c r="A747" s="2683" t="s">
        <v>146</v>
      </c>
      <c r="B747" s="2683" t="s">
        <v>6670</v>
      </c>
      <c r="C747" s="2683">
        <v>34.988</v>
      </c>
      <c r="D747" s="2683">
        <v>61.972999999999999</v>
      </c>
      <c r="E747" s="2683">
        <v>17</v>
      </c>
      <c r="F747" s="2683" t="s">
        <v>5922</v>
      </c>
      <c r="G747" s="2683" t="s">
        <v>5922</v>
      </c>
      <c r="H747" s="2683" t="s">
        <v>5922</v>
      </c>
      <c r="I747" s="2683" t="s">
        <v>5922</v>
      </c>
      <c r="J747" s="2683">
        <v>0.20899999999999999</v>
      </c>
      <c r="K747" s="2684"/>
      <c r="L747" s="2683" t="s">
        <v>5922</v>
      </c>
    </row>
    <row r="748" spans="1:12">
      <c r="A748" s="2682" t="s">
        <v>146</v>
      </c>
      <c r="B748" s="2682" t="s">
        <v>6671</v>
      </c>
      <c r="C748" s="2682">
        <v>488.95</v>
      </c>
      <c r="D748" s="2682">
        <v>634.87300000000005</v>
      </c>
      <c r="E748" s="2682">
        <v>84.138000000000005</v>
      </c>
      <c r="F748" s="2682" t="s">
        <v>5922</v>
      </c>
      <c r="G748" s="2682" t="s">
        <v>5922</v>
      </c>
      <c r="H748" s="2682" t="s">
        <v>5922</v>
      </c>
      <c r="I748" s="2682" t="s">
        <v>5922</v>
      </c>
      <c r="J748" s="2682">
        <v>0</v>
      </c>
      <c r="L748" s="2682" t="s">
        <v>5922</v>
      </c>
    </row>
    <row r="749" spans="1:12">
      <c r="A749" s="2683" t="s">
        <v>146</v>
      </c>
      <c r="B749" s="2683" t="s">
        <v>6672</v>
      </c>
      <c r="C749" s="2683">
        <v>304.8</v>
      </c>
      <c r="D749" s="2683">
        <v>406.4</v>
      </c>
      <c r="E749" s="2683">
        <v>63.5</v>
      </c>
      <c r="F749" s="2683" t="s">
        <v>5922</v>
      </c>
      <c r="G749" s="2683" t="s">
        <v>5922</v>
      </c>
      <c r="H749" s="2683" t="s">
        <v>5922</v>
      </c>
      <c r="I749" s="2683" t="s">
        <v>5922</v>
      </c>
      <c r="J749" s="2683">
        <v>21.2</v>
      </c>
      <c r="K749" s="2684"/>
      <c r="L749" s="2683" t="s">
        <v>5922</v>
      </c>
    </row>
    <row r="750" spans="1:12">
      <c r="A750" s="2682" t="s">
        <v>146</v>
      </c>
      <c r="B750" s="2682" t="s">
        <v>6673</v>
      </c>
      <c r="C750" s="2682">
        <v>215.9</v>
      </c>
      <c r="D750" s="2682">
        <v>288.92500000000001</v>
      </c>
      <c r="E750" s="2682">
        <v>46.037999999999997</v>
      </c>
      <c r="F750" s="2682" t="s">
        <v>5922</v>
      </c>
      <c r="G750" s="2682" t="s">
        <v>5922</v>
      </c>
      <c r="H750" s="2682" t="s">
        <v>5922</v>
      </c>
      <c r="I750" s="2682" t="s">
        <v>5922</v>
      </c>
      <c r="J750" s="2682">
        <v>0</v>
      </c>
      <c r="L750" s="2682" t="s">
        <v>5922</v>
      </c>
    </row>
    <row r="751" spans="1:12">
      <c r="A751" s="2683" t="s">
        <v>146</v>
      </c>
      <c r="B751" s="2683" t="s">
        <v>6674</v>
      </c>
      <c r="C751" s="2683">
        <v>212.72499999999999</v>
      </c>
      <c r="D751" s="2683">
        <v>285.75</v>
      </c>
      <c r="E751" s="2683">
        <v>46.037999999999997</v>
      </c>
      <c r="F751" s="2683" t="s">
        <v>5922</v>
      </c>
      <c r="G751" s="2683" t="s">
        <v>5922</v>
      </c>
      <c r="H751" s="2683" t="s">
        <v>5922</v>
      </c>
      <c r="I751" s="2683" t="s">
        <v>5922</v>
      </c>
      <c r="J751" s="2683">
        <v>0</v>
      </c>
      <c r="K751" s="2684"/>
      <c r="L751" s="2683" t="s">
        <v>5922</v>
      </c>
    </row>
    <row r="752" spans="1:12">
      <c r="A752" s="2682" t="s">
        <v>146</v>
      </c>
      <c r="B752" s="2682" t="s">
        <v>6675</v>
      </c>
      <c r="C752" s="2682">
        <v>196.85</v>
      </c>
      <c r="D752" s="2682">
        <v>257.17500000000001</v>
      </c>
      <c r="E752" s="2682">
        <v>39.688000000000002</v>
      </c>
      <c r="F752" s="2682" t="s">
        <v>5922</v>
      </c>
      <c r="G752" s="2682" t="s">
        <v>5922</v>
      </c>
      <c r="H752" s="2682" t="s">
        <v>5922</v>
      </c>
      <c r="I752" s="2682" t="s">
        <v>5922</v>
      </c>
      <c r="J752" s="2682">
        <v>0</v>
      </c>
      <c r="L752" s="2682" t="s">
        <v>5922</v>
      </c>
    </row>
    <row r="753" spans="1:12">
      <c r="A753" s="2683" t="s">
        <v>146</v>
      </c>
      <c r="B753" s="2683" t="s">
        <v>6676</v>
      </c>
      <c r="C753" s="2683">
        <v>35.000999999999998</v>
      </c>
      <c r="D753" s="2683">
        <v>59.131</v>
      </c>
      <c r="E753" s="2683">
        <v>16.763999999999999</v>
      </c>
      <c r="F753" s="2683" t="s">
        <v>5922</v>
      </c>
      <c r="G753" s="2683" t="s">
        <v>5922</v>
      </c>
      <c r="H753" s="2683" t="s">
        <v>5922</v>
      </c>
      <c r="I753" s="2683" t="s">
        <v>5922</v>
      </c>
      <c r="J753" s="2683">
        <v>0.17899999999999999</v>
      </c>
      <c r="K753" s="2684"/>
      <c r="L753" s="2683" t="s">
        <v>5922</v>
      </c>
    </row>
    <row r="754" spans="1:12">
      <c r="A754" s="2682" t="s">
        <v>146</v>
      </c>
      <c r="B754" s="2682" t="s">
        <v>6677</v>
      </c>
      <c r="C754" s="2682">
        <v>35.000999999999998</v>
      </c>
      <c r="D754" s="2682">
        <v>59.131</v>
      </c>
      <c r="E754" s="2682">
        <v>16.763999999999999</v>
      </c>
      <c r="F754" s="2682" t="s">
        <v>5922</v>
      </c>
      <c r="G754" s="2682" t="s">
        <v>5922</v>
      </c>
      <c r="H754" s="2682" t="s">
        <v>5922</v>
      </c>
      <c r="I754" s="2682" t="s">
        <v>5922</v>
      </c>
      <c r="J754" s="2682">
        <v>0.17899999999999999</v>
      </c>
      <c r="L754" s="2682" t="s">
        <v>5922</v>
      </c>
    </row>
    <row r="755" spans="1:12">
      <c r="A755" s="2683" t="s">
        <v>146</v>
      </c>
      <c r="B755" s="2683" t="s">
        <v>6678</v>
      </c>
      <c r="C755" s="2683">
        <v>31.75</v>
      </c>
      <c r="D755" s="2683">
        <v>59.131</v>
      </c>
      <c r="E755" s="2683">
        <v>16.763999999999999</v>
      </c>
      <c r="F755" s="2683" t="s">
        <v>5922</v>
      </c>
      <c r="G755" s="2683" t="s">
        <v>5922</v>
      </c>
      <c r="H755" s="2683" t="s">
        <v>5922</v>
      </c>
      <c r="I755" s="2683" t="s">
        <v>5922</v>
      </c>
      <c r="J755" s="2683">
        <v>0.183</v>
      </c>
      <c r="K755" s="2684"/>
      <c r="L755" s="2683" t="s">
        <v>5922</v>
      </c>
    </row>
    <row r="756" spans="1:12">
      <c r="A756" s="2682" t="s">
        <v>146</v>
      </c>
      <c r="B756" s="2682" t="s">
        <v>6679</v>
      </c>
      <c r="C756" s="2682">
        <v>31.75</v>
      </c>
      <c r="D756" s="2682">
        <v>59.13</v>
      </c>
      <c r="E756" s="2682">
        <v>15.88</v>
      </c>
      <c r="F756" s="2682" t="s">
        <v>5922</v>
      </c>
      <c r="G756" s="2682" t="s">
        <v>5922</v>
      </c>
      <c r="H756" s="2682" t="s">
        <v>5922</v>
      </c>
      <c r="I756" s="2682" t="s">
        <v>5922</v>
      </c>
      <c r="J756" s="2682">
        <v>0.18</v>
      </c>
      <c r="L756" s="2682" t="s">
        <v>5922</v>
      </c>
    </row>
    <row r="757" spans="1:12">
      <c r="A757" s="2683" t="s">
        <v>146</v>
      </c>
      <c r="B757" s="2683" t="s">
        <v>6680</v>
      </c>
      <c r="C757" s="2683">
        <v>285.75</v>
      </c>
      <c r="D757" s="2683">
        <v>380.89800000000002</v>
      </c>
      <c r="E757" s="2683">
        <v>65.087999999999994</v>
      </c>
      <c r="F757" s="2683" t="s">
        <v>5922</v>
      </c>
      <c r="G757" s="2683" t="s">
        <v>5922</v>
      </c>
      <c r="H757" s="2683" t="s">
        <v>5922</v>
      </c>
      <c r="I757" s="2683" t="s">
        <v>5922</v>
      </c>
      <c r="J757" s="2683">
        <v>0</v>
      </c>
      <c r="K757" s="2684"/>
      <c r="L757" s="2683" t="s">
        <v>5922</v>
      </c>
    </row>
    <row r="758" spans="1:12">
      <c r="A758" s="2682" t="s">
        <v>146</v>
      </c>
      <c r="B758" s="2682" t="s">
        <v>6681</v>
      </c>
      <c r="C758" s="2682">
        <v>31.75</v>
      </c>
      <c r="D758" s="2682">
        <v>59.131</v>
      </c>
      <c r="E758" s="2682">
        <v>15.875</v>
      </c>
      <c r="F758" s="2682" t="s">
        <v>5922</v>
      </c>
      <c r="G758" s="2682" t="s">
        <v>5922</v>
      </c>
      <c r="H758" s="2682" t="s">
        <v>5922</v>
      </c>
      <c r="I758" s="2682" t="s">
        <v>5922</v>
      </c>
      <c r="J758" s="2682">
        <v>0.182</v>
      </c>
      <c r="L758" s="2682" t="s">
        <v>5922</v>
      </c>
    </row>
    <row r="759" spans="1:12">
      <c r="A759" s="2683" t="s">
        <v>146</v>
      </c>
      <c r="B759" s="2683" t="s">
        <v>6682</v>
      </c>
      <c r="C759" s="2683">
        <v>31.75</v>
      </c>
      <c r="D759" s="2683">
        <v>59.131</v>
      </c>
      <c r="E759" s="2683">
        <v>15.875</v>
      </c>
      <c r="F759" s="2683" t="s">
        <v>5922</v>
      </c>
      <c r="G759" s="2683" t="s">
        <v>5922</v>
      </c>
      <c r="H759" s="2683" t="s">
        <v>5922</v>
      </c>
      <c r="I759" s="2683" t="s">
        <v>5922</v>
      </c>
      <c r="J759" s="2683">
        <v>0.17899999999999999</v>
      </c>
      <c r="K759" s="2684"/>
      <c r="L759" s="2683" t="s">
        <v>5922</v>
      </c>
    </row>
    <row r="760" spans="1:12">
      <c r="A760" s="2682" t="s">
        <v>146</v>
      </c>
      <c r="B760" s="2682" t="s">
        <v>6683</v>
      </c>
      <c r="C760" s="2682">
        <v>31.75</v>
      </c>
      <c r="D760" s="2682">
        <v>59.131</v>
      </c>
      <c r="E760" s="2682">
        <v>15.875</v>
      </c>
      <c r="F760" s="2682" t="s">
        <v>5922</v>
      </c>
      <c r="G760" s="2682" t="s">
        <v>5922</v>
      </c>
      <c r="H760" s="2682" t="s">
        <v>5922</v>
      </c>
      <c r="I760" s="2682" t="s">
        <v>5922</v>
      </c>
      <c r="J760" s="2682">
        <v>0.187</v>
      </c>
      <c r="L760" s="2682" t="s">
        <v>5922</v>
      </c>
    </row>
    <row r="761" spans="1:12">
      <c r="A761" s="2683" t="s">
        <v>146</v>
      </c>
      <c r="B761" s="2683" t="s">
        <v>6684</v>
      </c>
      <c r="C761" s="2683">
        <v>45.241999999999997</v>
      </c>
      <c r="D761" s="2683">
        <v>79.974000000000004</v>
      </c>
      <c r="E761" s="2683">
        <v>19.841999999999999</v>
      </c>
      <c r="F761" s="2683" t="s">
        <v>5922</v>
      </c>
      <c r="G761" s="2683" t="s">
        <v>5922</v>
      </c>
      <c r="H761" s="2683" t="s">
        <v>5922</v>
      </c>
      <c r="I761" s="2683" t="s">
        <v>5922</v>
      </c>
      <c r="J761" s="2683">
        <v>0</v>
      </c>
      <c r="K761" s="2684"/>
      <c r="L761" s="2683" t="s">
        <v>5922</v>
      </c>
    </row>
    <row r="762" spans="1:12">
      <c r="A762" s="2682" t="s">
        <v>146</v>
      </c>
      <c r="B762" s="2682" t="s">
        <v>6685</v>
      </c>
      <c r="C762" s="2682">
        <v>45.2</v>
      </c>
      <c r="D762" s="2682">
        <v>77.790000000000006</v>
      </c>
      <c r="E762" s="2682">
        <v>19.8</v>
      </c>
      <c r="F762" s="2682" t="s">
        <v>5922</v>
      </c>
      <c r="G762" s="2682" t="s">
        <v>5922</v>
      </c>
      <c r="H762" s="2682" t="s">
        <v>5922</v>
      </c>
      <c r="I762" s="2682" t="s">
        <v>5922</v>
      </c>
      <c r="J762" s="2682">
        <v>0.377</v>
      </c>
      <c r="L762" s="2682" t="s">
        <v>5922</v>
      </c>
    </row>
    <row r="763" spans="1:12">
      <c r="A763" s="2683" t="s">
        <v>146</v>
      </c>
      <c r="B763" s="2683" t="s">
        <v>6686</v>
      </c>
      <c r="C763" s="2683">
        <v>45.241999999999997</v>
      </c>
      <c r="D763" s="2683">
        <v>77.787999999999997</v>
      </c>
      <c r="E763" s="2683">
        <v>19.841999999999999</v>
      </c>
      <c r="F763" s="2683" t="s">
        <v>5922</v>
      </c>
      <c r="G763" s="2683" t="s">
        <v>5922</v>
      </c>
      <c r="H763" s="2683" t="s">
        <v>5922</v>
      </c>
      <c r="I763" s="2683" t="s">
        <v>5922</v>
      </c>
      <c r="J763" s="2683">
        <v>0</v>
      </c>
      <c r="K763" s="2684"/>
      <c r="L763" s="2683" t="s">
        <v>5922</v>
      </c>
    </row>
    <row r="764" spans="1:12">
      <c r="A764" s="2682" t="s">
        <v>146</v>
      </c>
      <c r="B764" s="2682" t="s">
        <v>6687</v>
      </c>
      <c r="C764" s="2682">
        <v>234.95</v>
      </c>
      <c r="D764" s="2682">
        <v>314.32499999999999</v>
      </c>
      <c r="E764" s="2682">
        <v>49.212000000000003</v>
      </c>
      <c r="F764" s="2682" t="s">
        <v>5922</v>
      </c>
      <c r="G764" s="2682" t="s">
        <v>5922</v>
      </c>
      <c r="H764" s="2682" t="s">
        <v>5922</v>
      </c>
      <c r="I764" s="2682" t="s">
        <v>5922</v>
      </c>
      <c r="J764" s="2682">
        <v>0</v>
      </c>
      <c r="L764" s="2682" t="s">
        <v>5922</v>
      </c>
    </row>
    <row r="765" spans="1:12">
      <c r="A765" s="2683" t="s">
        <v>146</v>
      </c>
      <c r="B765" s="2683" t="s">
        <v>6688</v>
      </c>
      <c r="C765" s="2683">
        <v>107.95</v>
      </c>
      <c r="D765" s="2683">
        <v>159.98699999999999</v>
      </c>
      <c r="E765" s="2683">
        <v>34.924999999999997</v>
      </c>
      <c r="F765" s="2683" t="s">
        <v>5922</v>
      </c>
      <c r="G765" s="2683" t="s">
        <v>5922</v>
      </c>
      <c r="H765" s="2683" t="s">
        <v>5922</v>
      </c>
      <c r="I765" s="2683" t="s">
        <v>5922</v>
      </c>
      <c r="J765" s="2683">
        <v>0</v>
      </c>
      <c r="K765" s="2684"/>
      <c r="L765" s="2683" t="s">
        <v>5922</v>
      </c>
    </row>
    <row r="766" spans="1:12">
      <c r="A766" s="2682" t="s">
        <v>146</v>
      </c>
      <c r="B766" s="2682" t="s">
        <v>6689</v>
      </c>
      <c r="C766" s="2682">
        <v>41.274999999999999</v>
      </c>
      <c r="D766" s="2682">
        <v>73.430999999999997</v>
      </c>
      <c r="E766" s="2682">
        <v>21.43</v>
      </c>
      <c r="F766" s="2682" t="s">
        <v>5922</v>
      </c>
      <c r="G766" s="2682" t="s">
        <v>5922</v>
      </c>
      <c r="H766" s="2682" t="s">
        <v>5922</v>
      </c>
      <c r="I766" s="2682" t="s">
        <v>5922</v>
      </c>
      <c r="J766" s="2682">
        <v>0.35399999999999998</v>
      </c>
      <c r="L766" s="2682" t="s">
        <v>5922</v>
      </c>
    </row>
    <row r="767" spans="1:12">
      <c r="A767" s="2683" t="s">
        <v>146</v>
      </c>
      <c r="B767" s="2683" t="s">
        <v>6690</v>
      </c>
      <c r="C767" s="2683">
        <v>41.274999999999999</v>
      </c>
      <c r="D767" s="2683">
        <v>73.430999999999997</v>
      </c>
      <c r="E767" s="2683">
        <v>21.43</v>
      </c>
      <c r="F767" s="2683" t="s">
        <v>5922</v>
      </c>
      <c r="G767" s="2683" t="s">
        <v>5922</v>
      </c>
      <c r="H767" s="2683" t="s">
        <v>5922</v>
      </c>
      <c r="I767" s="2683" t="s">
        <v>5922</v>
      </c>
      <c r="J767" s="2683">
        <v>0</v>
      </c>
      <c r="K767" s="2684"/>
      <c r="L767" s="2683" t="s">
        <v>5922</v>
      </c>
    </row>
    <row r="768" spans="1:12">
      <c r="A768" s="2682" t="s">
        <v>146</v>
      </c>
      <c r="B768" s="2682" t="s">
        <v>6691</v>
      </c>
      <c r="C768" s="2682">
        <v>41.274999999999999</v>
      </c>
      <c r="D768" s="2682">
        <v>73.430999999999997</v>
      </c>
      <c r="E768" s="2682">
        <v>23.012</v>
      </c>
      <c r="F768" s="2682" t="s">
        <v>5922</v>
      </c>
      <c r="G768" s="2682" t="s">
        <v>5922</v>
      </c>
      <c r="H768" s="2682" t="s">
        <v>5922</v>
      </c>
      <c r="I768" s="2682" t="s">
        <v>5922</v>
      </c>
      <c r="J768" s="2682">
        <v>0</v>
      </c>
      <c r="L768" s="2682" t="s">
        <v>5922</v>
      </c>
    </row>
    <row r="769" spans="1:12">
      <c r="A769" s="2683" t="s">
        <v>146</v>
      </c>
      <c r="B769" s="2683" t="s">
        <v>6692</v>
      </c>
      <c r="C769" s="2683">
        <v>41.274999999999999</v>
      </c>
      <c r="D769" s="2683">
        <v>73.45</v>
      </c>
      <c r="E769" s="2683">
        <v>19.558</v>
      </c>
      <c r="F769" s="2683" t="s">
        <v>5922</v>
      </c>
      <c r="G769" s="2683" t="s">
        <v>5922</v>
      </c>
      <c r="H769" s="2683" t="s">
        <v>5922</v>
      </c>
      <c r="I769" s="2683" t="s">
        <v>5922</v>
      </c>
      <c r="J769" s="2683">
        <v>0.33400000000000002</v>
      </c>
      <c r="K769" s="2684"/>
      <c r="L769" s="2683" t="s">
        <v>5922</v>
      </c>
    </row>
    <row r="770" spans="1:12">
      <c r="A770" s="2682" t="s">
        <v>146</v>
      </c>
      <c r="B770" s="2682" t="s">
        <v>6693</v>
      </c>
      <c r="C770" s="2682">
        <v>34.924999999999997</v>
      </c>
      <c r="D770" s="2682">
        <v>65.087999999999994</v>
      </c>
      <c r="E770" s="2682">
        <v>18.288</v>
      </c>
      <c r="F770" s="2682" t="s">
        <v>5922</v>
      </c>
      <c r="G770" s="2682" t="s">
        <v>5922</v>
      </c>
      <c r="H770" s="2682" t="s">
        <v>5922</v>
      </c>
      <c r="I770" s="2682" t="s">
        <v>5922</v>
      </c>
      <c r="J770" s="2682">
        <v>0.251</v>
      </c>
      <c r="L770" s="2682" t="s">
        <v>5922</v>
      </c>
    </row>
    <row r="771" spans="1:12">
      <c r="A771" s="2683" t="s">
        <v>146</v>
      </c>
      <c r="B771" s="2683" t="s">
        <v>6694</v>
      </c>
      <c r="C771" s="2683">
        <v>34.924999999999997</v>
      </c>
      <c r="D771" s="2683">
        <v>58.088000000000001</v>
      </c>
      <c r="E771" s="2683">
        <v>18.033999999999999</v>
      </c>
      <c r="F771" s="2683" t="s">
        <v>5922</v>
      </c>
      <c r="G771" s="2683" t="s">
        <v>5922</v>
      </c>
      <c r="H771" s="2683" t="s">
        <v>5922</v>
      </c>
      <c r="I771" s="2683" t="s">
        <v>5922</v>
      </c>
      <c r="J771" s="2683">
        <v>0</v>
      </c>
      <c r="K771" s="2684"/>
      <c r="L771" s="2683" t="s">
        <v>5922</v>
      </c>
    </row>
    <row r="772" spans="1:12">
      <c r="A772" s="2682" t="s">
        <v>146</v>
      </c>
      <c r="B772" s="2682" t="s">
        <v>6695</v>
      </c>
      <c r="C772" s="2682">
        <v>34.924999999999997</v>
      </c>
      <c r="D772" s="2682">
        <v>65.087999999999994</v>
      </c>
      <c r="E772" s="2682">
        <v>21.082000000000001</v>
      </c>
      <c r="F772" s="2682" t="s">
        <v>5922</v>
      </c>
      <c r="G772" s="2682" t="s">
        <v>5922</v>
      </c>
      <c r="H772" s="2682" t="s">
        <v>5922</v>
      </c>
      <c r="I772" s="2682" t="s">
        <v>5922</v>
      </c>
      <c r="J772" s="2682">
        <v>0</v>
      </c>
      <c r="L772" s="2682" t="s">
        <v>5922</v>
      </c>
    </row>
    <row r="773" spans="1:12">
      <c r="A773" s="2683" t="s">
        <v>146</v>
      </c>
      <c r="B773" s="2683" t="s">
        <v>6696</v>
      </c>
      <c r="C773" s="2683">
        <v>34.924999999999997</v>
      </c>
      <c r="D773" s="2683">
        <v>65.087999999999994</v>
      </c>
      <c r="E773" s="2683">
        <v>18.033999999999999</v>
      </c>
      <c r="F773" s="2683" t="s">
        <v>5922</v>
      </c>
      <c r="G773" s="2683" t="s">
        <v>5922</v>
      </c>
      <c r="H773" s="2683" t="s">
        <v>5922</v>
      </c>
      <c r="I773" s="2683" t="s">
        <v>5922</v>
      </c>
      <c r="J773" s="2683">
        <v>0.26200000000000001</v>
      </c>
      <c r="K773" s="2684"/>
      <c r="L773" s="2683" t="s">
        <v>5922</v>
      </c>
    </row>
    <row r="774" spans="1:12">
      <c r="A774" s="2682" t="s">
        <v>146</v>
      </c>
      <c r="B774" s="2682" t="s">
        <v>6697</v>
      </c>
      <c r="C774" s="2682">
        <v>34.924999999999997</v>
      </c>
      <c r="D774" s="2682">
        <v>65.087999999999994</v>
      </c>
      <c r="E774" s="2682">
        <v>18.033999999999999</v>
      </c>
      <c r="F774" s="2682" t="s">
        <v>5922</v>
      </c>
      <c r="G774" s="2682" t="s">
        <v>5922</v>
      </c>
      <c r="H774" s="2682" t="s">
        <v>5922</v>
      </c>
      <c r="I774" s="2682" t="s">
        <v>5922</v>
      </c>
      <c r="J774" s="2682">
        <v>0.26</v>
      </c>
      <c r="L774" s="2682" t="s">
        <v>5922</v>
      </c>
    </row>
    <row r="775" spans="1:12">
      <c r="A775" s="2683" t="s">
        <v>146</v>
      </c>
      <c r="B775" s="2683" t="s">
        <v>6698</v>
      </c>
      <c r="C775" s="2683">
        <v>266.7</v>
      </c>
      <c r="D775" s="2683">
        <v>355.6</v>
      </c>
      <c r="E775" s="2683">
        <v>57.15</v>
      </c>
      <c r="F775" s="2683" t="s">
        <v>5922</v>
      </c>
      <c r="G775" s="2683" t="s">
        <v>5922</v>
      </c>
      <c r="H775" s="2683" t="s">
        <v>5922</v>
      </c>
      <c r="I775" s="2683" t="s">
        <v>5922</v>
      </c>
      <c r="J775" s="2683">
        <v>0</v>
      </c>
      <c r="K775" s="2684"/>
      <c r="L775" s="2683" t="s">
        <v>5922</v>
      </c>
    </row>
    <row r="776" spans="1:12">
      <c r="A776" s="2682" t="s">
        <v>146</v>
      </c>
      <c r="B776" s="2682" t="s">
        <v>6699</v>
      </c>
      <c r="C776" s="2682">
        <v>266.7</v>
      </c>
      <c r="D776" s="2682">
        <v>355.6</v>
      </c>
      <c r="E776" s="2682">
        <v>57.15</v>
      </c>
      <c r="F776" s="2682" t="s">
        <v>5922</v>
      </c>
      <c r="G776" s="2682" t="s">
        <v>5922</v>
      </c>
      <c r="H776" s="2682" t="s">
        <v>5922</v>
      </c>
      <c r="I776" s="2682" t="s">
        <v>5922</v>
      </c>
      <c r="J776" s="2682">
        <v>15.1</v>
      </c>
      <c r="L776" s="2682" t="s">
        <v>5922</v>
      </c>
    </row>
    <row r="777" spans="1:12">
      <c r="A777" s="2683" t="s">
        <v>146</v>
      </c>
      <c r="B777" s="2683" t="s">
        <v>6700</v>
      </c>
      <c r="C777" s="2683">
        <v>263.52499999999998</v>
      </c>
      <c r="D777" s="2683">
        <v>355.6</v>
      </c>
      <c r="E777" s="2683">
        <v>57.15</v>
      </c>
      <c r="F777" s="2683" t="s">
        <v>5922</v>
      </c>
      <c r="G777" s="2683" t="s">
        <v>5922</v>
      </c>
      <c r="H777" s="2683" t="s">
        <v>5922</v>
      </c>
      <c r="I777" s="2683" t="s">
        <v>5922</v>
      </c>
      <c r="J777" s="2683">
        <v>0</v>
      </c>
      <c r="K777" s="2684"/>
      <c r="L777" s="2683" t="s">
        <v>5922</v>
      </c>
    </row>
    <row r="778" spans="1:12">
      <c r="A778" s="2682" t="s">
        <v>146</v>
      </c>
      <c r="B778" s="2682" t="s">
        <v>6701</v>
      </c>
      <c r="C778" s="2682">
        <v>558.79999999999995</v>
      </c>
      <c r="D778" s="2682">
        <v>736.6</v>
      </c>
      <c r="E778" s="2682">
        <v>104.77500000000001</v>
      </c>
      <c r="F778" s="2682" t="s">
        <v>5922</v>
      </c>
      <c r="G778" s="2682" t="s">
        <v>5922</v>
      </c>
      <c r="H778" s="2682" t="s">
        <v>5922</v>
      </c>
      <c r="I778" s="2682" t="s">
        <v>5922</v>
      </c>
      <c r="J778" s="2682">
        <v>0</v>
      </c>
      <c r="L778" s="2682" t="s">
        <v>5922</v>
      </c>
    </row>
    <row r="779" spans="1:12">
      <c r="A779" s="2683" t="s">
        <v>146</v>
      </c>
      <c r="B779" s="2683" t="s">
        <v>6702</v>
      </c>
      <c r="C779" s="2683">
        <v>40.988</v>
      </c>
      <c r="D779" s="2683">
        <v>67.974999999999994</v>
      </c>
      <c r="E779" s="2683">
        <v>17.5</v>
      </c>
      <c r="F779" s="2683" t="s">
        <v>5922</v>
      </c>
      <c r="G779" s="2683" t="s">
        <v>5922</v>
      </c>
      <c r="H779" s="2683" t="s">
        <v>5922</v>
      </c>
      <c r="I779" s="2683" t="s">
        <v>5922</v>
      </c>
      <c r="J779" s="2683">
        <v>0</v>
      </c>
      <c r="K779" s="2684"/>
      <c r="L779" s="2683" t="s">
        <v>5922</v>
      </c>
    </row>
    <row r="780" spans="1:12">
      <c r="A780" s="2682" t="s">
        <v>146</v>
      </c>
      <c r="B780" s="2682" t="s">
        <v>6703</v>
      </c>
      <c r="C780" s="2682">
        <v>38.1</v>
      </c>
      <c r="D780" s="2682">
        <v>65.087999999999994</v>
      </c>
      <c r="E780" s="2682">
        <v>19.812000000000001</v>
      </c>
      <c r="F780" s="2682" t="s">
        <v>5922</v>
      </c>
      <c r="G780" s="2682" t="s">
        <v>5922</v>
      </c>
      <c r="H780" s="2682" t="s">
        <v>5922</v>
      </c>
      <c r="I780" s="2682" t="s">
        <v>5922</v>
      </c>
      <c r="J780" s="2682">
        <v>0</v>
      </c>
      <c r="L780" s="2682" t="s">
        <v>5922</v>
      </c>
    </row>
    <row r="781" spans="1:12">
      <c r="A781" s="2683" t="s">
        <v>146</v>
      </c>
      <c r="B781" s="2683" t="s">
        <v>6704</v>
      </c>
      <c r="C781" s="2683">
        <v>38.1</v>
      </c>
      <c r="D781" s="2683">
        <v>65.087999999999994</v>
      </c>
      <c r="E781" s="2683">
        <v>18.033999999999999</v>
      </c>
      <c r="F781" s="2683" t="s">
        <v>5922</v>
      </c>
      <c r="G781" s="2683" t="s">
        <v>5922</v>
      </c>
      <c r="H781" s="2683" t="s">
        <v>5922</v>
      </c>
      <c r="I781" s="2683" t="s">
        <v>5922</v>
      </c>
      <c r="J781" s="2683">
        <v>0.23300000000000001</v>
      </c>
      <c r="K781" s="2684"/>
      <c r="L781" s="2683" t="s">
        <v>5922</v>
      </c>
    </row>
    <row r="782" spans="1:12">
      <c r="A782" s="2682" t="s">
        <v>146</v>
      </c>
      <c r="B782" s="2682" t="s">
        <v>6705</v>
      </c>
      <c r="C782" s="2682">
        <v>38.1</v>
      </c>
      <c r="D782" s="2682">
        <v>65.087999999999994</v>
      </c>
      <c r="E782" s="2682">
        <v>18.033999999999999</v>
      </c>
      <c r="F782" s="2682" t="s">
        <v>5922</v>
      </c>
      <c r="G782" s="2682" t="s">
        <v>5922</v>
      </c>
      <c r="H782" s="2682" t="s">
        <v>5922</v>
      </c>
      <c r="I782" s="2682" t="s">
        <v>5922</v>
      </c>
      <c r="J782" s="2682">
        <v>0.23</v>
      </c>
      <c r="L782" s="2682" t="s">
        <v>5922</v>
      </c>
    </row>
    <row r="783" spans="1:12">
      <c r="A783" s="2683" t="s">
        <v>146</v>
      </c>
      <c r="B783" s="2683" t="s">
        <v>6706</v>
      </c>
      <c r="C783" s="2683">
        <v>38.1</v>
      </c>
      <c r="D783" s="2683">
        <v>65.087999999999994</v>
      </c>
      <c r="E783" s="2683">
        <v>18.033999999999999</v>
      </c>
      <c r="F783" s="2683" t="s">
        <v>5922</v>
      </c>
      <c r="G783" s="2683" t="s">
        <v>5922</v>
      </c>
      <c r="H783" s="2683" t="s">
        <v>5922</v>
      </c>
      <c r="I783" s="2683" t="s">
        <v>5922</v>
      </c>
      <c r="J783" s="2683">
        <v>0</v>
      </c>
      <c r="K783" s="2684"/>
      <c r="L783" s="2683" t="s">
        <v>5922</v>
      </c>
    </row>
    <row r="784" spans="1:12">
      <c r="A784" s="2682" t="s">
        <v>146</v>
      </c>
      <c r="B784" s="2682" t="s">
        <v>6707</v>
      </c>
      <c r="C784" s="2682">
        <v>482.6</v>
      </c>
      <c r="D784" s="2682">
        <v>615.95000000000005</v>
      </c>
      <c r="E784" s="2682">
        <v>85.724999999999994</v>
      </c>
      <c r="F784" s="2682" t="s">
        <v>5922</v>
      </c>
      <c r="G784" s="2682" t="s">
        <v>5922</v>
      </c>
      <c r="H784" s="2682" t="s">
        <v>5922</v>
      </c>
      <c r="I784" s="2682" t="s">
        <v>5922</v>
      </c>
      <c r="J784" s="2682">
        <v>0</v>
      </c>
      <c r="L784" s="2682" t="s">
        <v>5922</v>
      </c>
    </row>
    <row r="785" spans="1:12">
      <c r="A785" s="2683" t="s">
        <v>146</v>
      </c>
      <c r="B785" s="2683" t="s">
        <v>6708</v>
      </c>
      <c r="C785" s="2683">
        <v>549.27499999999998</v>
      </c>
      <c r="D785" s="2683">
        <v>692.15</v>
      </c>
      <c r="E785" s="2683">
        <v>80.962000000000003</v>
      </c>
      <c r="F785" s="2683" t="s">
        <v>5922</v>
      </c>
      <c r="G785" s="2683" t="s">
        <v>5922</v>
      </c>
      <c r="H785" s="2683" t="s">
        <v>5922</v>
      </c>
      <c r="I785" s="2683" t="s">
        <v>5922</v>
      </c>
      <c r="J785" s="2683">
        <v>0</v>
      </c>
      <c r="K785" s="2684"/>
      <c r="L785" s="2683" t="s">
        <v>5922</v>
      </c>
    </row>
    <row r="786" spans="1:12">
      <c r="A786" s="2682" t="s">
        <v>146</v>
      </c>
      <c r="B786" s="2682" t="s">
        <v>6709</v>
      </c>
      <c r="C786" s="2682">
        <v>406.4</v>
      </c>
      <c r="D786" s="2682">
        <v>508</v>
      </c>
      <c r="E786" s="2682">
        <v>61.911999999999999</v>
      </c>
      <c r="F786" s="2682" t="s">
        <v>5922</v>
      </c>
      <c r="G786" s="2682" t="s">
        <v>5922</v>
      </c>
      <c r="H786" s="2682" t="s">
        <v>5922</v>
      </c>
      <c r="I786" s="2682" t="s">
        <v>5922</v>
      </c>
      <c r="J786" s="2682">
        <v>0</v>
      </c>
      <c r="L786" s="2682" t="s">
        <v>5922</v>
      </c>
    </row>
    <row r="787" spans="1:12">
      <c r="A787" s="2683" t="s">
        <v>146</v>
      </c>
      <c r="B787" s="2683" t="s">
        <v>6710</v>
      </c>
      <c r="C787" s="2683">
        <v>29</v>
      </c>
      <c r="D787" s="2683">
        <v>50.292000000000002</v>
      </c>
      <c r="E787" s="2683">
        <v>14.224</v>
      </c>
      <c r="F787" s="2683" t="s">
        <v>5922</v>
      </c>
      <c r="G787" s="2683" t="s">
        <v>5922</v>
      </c>
      <c r="H787" s="2683" t="s">
        <v>5922</v>
      </c>
      <c r="I787" s="2683" t="s">
        <v>5922</v>
      </c>
      <c r="J787" s="2683">
        <v>0.11799999999999999</v>
      </c>
      <c r="K787" s="2684"/>
      <c r="L787" s="2683" t="s">
        <v>5922</v>
      </c>
    </row>
    <row r="788" spans="1:12">
      <c r="A788" s="2682" t="s">
        <v>146</v>
      </c>
      <c r="B788" s="2682" t="s">
        <v>6711</v>
      </c>
      <c r="C788" s="2682">
        <v>26.988</v>
      </c>
      <c r="D788" s="2682">
        <v>50.292000000000002</v>
      </c>
      <c r="E788" s="2682">
        <v>14.224</v>
      </c>
      <c r="F788" s="2682" t="s">
        <v>5922</v>
      </c>
      <c r="G788" s="2682" t="s">
        <v>5922</v>
      </c>
      <c r="H788" s="2682" t="s">
        <v>5922</v>
      </c>
      <c r="I788" s="2682" t="s">
        <v>5922</v>
      </c>
      <c r="J788" s="2682">
        <v>0.126</v>
      </c>
      <c r="L788" s="2682" t="s">
        <v>5922</v>
      </c>
    </row>
    <row r="789" spans="1:12">
      <c r="A789" s="2683" t="s">
        <v>146</v>
      </c>
      <c r="B789" s="2683" t="s">
        <v>6712</v>
      </c>
      <c r="C789" s="2683">
        <v>26.9</v>
      </c>
      <c r="D789" s="2683">
        <v>50.3</v>
      </c>
      <c r="E789" s="2683">
        <v>14.22</v>
      </c>
      <c r="F789" s="2683" t="s">
        <v>5922</v>
      </c>
      <c r="G789" s="2683" t="s">
        <v>5922</v>
      </c>
      <c r="H789" s="2683" t="s">
        <v>5922</v>
      </c>
      <c r="I789" s="2683" t="s">
        <v>5922</v>
      </c>
      <c r="J789" s="2683">
        <v>0.122</v>
      </c>
      <c r="K789" s="2684"/>
      <c r="L789" s="2683" t="s">
        <v>5922</v>
      </c>
    </row>
    <row r="790" spans="1:12">
      <c r="A790" s="2682" t="s">
        <v>146</v>
      </c>
      <c r="B790" s="2682" t="s">
        <v>6713</v>
      </c>
      <c r="C790" s="2682">
        <v>25.4</v>
      </c>
      <c r="D790" s="2682">
        <v>50.292000000000002</v>
      </c>
      <c r="E790" s="2682">
        <v>14.22</v>
      </c>
      <c r="F790" s="2682" t="s">
        <v>5922</v>
      </c>
      <c r="G790" s="2682" t="s">
        <v>5922</v>
      </c>
      <c r="H790" s="2682" t="s">
        <v>5922</v>
      </c>
      <c r="I790" s="2682" t="s">
        <v>5922</v>
      </c>
      <c r="J790" s="2682">
        <v>0.129</v>
      </c>
      <c r="L790" s="2682" t="s">
        <v>5922</v>
      </c>
    </row>
    <row r="791" spans="1:12">
      <c r="A791" s="2683" t="s">
        <v>146</v>
      </c>
      <c r="B791" s="2683" t="s">
        <v>6714</v>
      </c>
      <c r="C791" s="2683">
        <v>25.4</v>
      </c>
      <c r="D791" s="2683">
        <v>50.29</v>
      </c>
      <c r="E791" s="2683">
        <v>14.224</v>
      </c>
      <c r="F791" s="2683" t="s">
        <v>5922</v>
      </c>
      <c r="G791" s="2683" t="s">
        <v>5922</v>
      </c>
      <c r="H791" s="2683" t="s">
        <v>5922</v>
      </c>
      <c r="I791" s="2683" t="s">
        <v>5922</v>
      </c>
      <c r="J791" s="2683">
        <v>0.128</v>
      </c>
      <c r="K791" s="2684"/>
      <c r="L791" s="2683" t="s">
        <v>5922</v>
      </c>
    </row>
    <row r="792" spans="1:12">
      <c r="A792" s="2682" t="s">
        <v>146</v>
      </c>
      <c r="B792" s="2682" t="s">
        <v>6715</v>
      </c>
      <c r="C792" s="2682">
        <v>25.4</v>
      </c>
      <c r="D792" s="2682">
        <v>50.292000000000002</v>
      </c>
      <c r="E792" s="2682">
        <v>14.224</v>
      </c>
      <c r="F792" s="2682" t="s">
        <v>5922</v>
      </c>
      <c r="G792" s="2682" t="s">
        <v>5922</v>
      </c>
      <c r="H792" s="2682" t="s">
        <v>5922</v>
      </c>
      <c r="I792" s="2682" t="s">
        <v>5922</v>
      </c>
      <c r="J792" s="2682">
        <v>0</v>
      </c>
      <c r="L792" s="2682" t="s">
        <v>5922</v>
      </c>
    </row>
    <row r="793" spans="1:12">
      <c r="A793" s="2683" t="s">
        <v>146</v>
      </c>
      <c r="B793" s="2683" t="s">
        <v>6716</v>
      </c>
      <c r="C793" s="2683">
        <v>23.812000000000001</v>
      </c>
      <c r="D793" s="2683">
        <v>50.292000000000002</v>
      </c>
      <c r="E793" s="2683">
        <v>14.224</v>
      </c>
      <c r="F793" s="2683" t="s">
        <v>5922</v>
      </c>
      <c r="G793" s="2683" t="s">
        <v>5922</v>
      </c>
      <c r="H793" s="2683" t="s">
        <v>5922</v>
      </c>
      <c r="I793" s="2683" t="s">
        <v>5922</v>
      </c>
      <c r="J793" s="2683">
        <v>0</v>
      </c>
      <c r="K793" s="2684"/>
      <c r="L793" s="2683" t="s">
        <v>5922</v>
      </c>
    </row>
    <row r="794" spans="1:12">
      <c r="A794" s="2682" t="s">
        <v>146</v>
      </c>
      <c r="B794" s="2682" t="s">
        <v>6717</v>
      </c>
      <c r="C794" s="2682">
        <v>158.75</v>
      </c>
      <c r="D794" s="2682">
        <v>205.583</v>
      </c>
      <c r="E794" s="2682">
        <v>23.812000000000001</v>
      </c>
      <c r="F794" s="2682" t="s">
        <v>5922</v>
      </c>
      <c r="G794" s="2682" t="s">
        <v>5922</v>
      </c>
      <c r="H794" s="2682" t="s">
        <v>5922</v>
      </c>
      <c r="I794" s="2682" t="s">
        <v>5922</v>
      </c>
      <c r="J794" s="2682">
        <v>0</v>
      </c>
      <c r="L794" s="2682" t="s">
        <v>5922</v>
      </c>
    </row>
    <row r="795" spans="1:12">
      <c r="A795" s="2683" t="s">
        <v>146</v>
      </c>
      <c r="B795" s="2683" t="s">
        <v>6718</v>
      </c>
      <c r="C795" s="2683">
        <v>304.8</v>
      </c>
      <c r="D795" s="2683">
        <v>393.7</v>
      </c>
      <c r="E795" s="2683">
        <v>107.95</v>
      </c>
      <c r="F795" s="2683" t="s">
        <v>5922</v>
      </c>
      <c r="G795" s="2683" t="s">
        <v>5922</v>
      </c>
      <c r="H795" s="2683" t="s">
        <v>5922</v>
      </c>
      <c r="I795" s="2683" t="s">
        <v>5922</v>
      </c>
      <c r="J795" s="2683">
        <v>29.8</v>
      </c>
      <c r="K795" s="2684"/>
      <c r="L795" s="2683" t="s">
        <v>6719</v>
      </c>
    </row>
    <row r="796" spans="1:12">
      <c r="A796" s="2682" t="s">
        <v>146</v>
      </c>
      <c r="B796" s="2682" t="s">
        <v>6720</v>
      </c>
      <c r="C796" s="2682">
        <v>304.8</v>
      </c>
      <c r="D796" s="2682">
        <v>393.7</v>
      </c>
      <c r="E796" s="2682">
        <v>107.95</v>
      </c>
      <c r="F796" s="2682" t="s">
        <v>5922</v>
      </c>
      <c r="G796" s="2682" t="s">
        <v>5922</v>
      </c>
      <c r="H796" s="2682" t="s">
        <v>5922</v>
      </c>
      <c r="I796" s="2682" t="s">
        <v>5922</v>
      </c>
      <c r="J796" s="2682">
        <v>30.1</v>
      </c>
      <c r="L796" s="2682" t="s">
        <v>6721</v>
      </c>
    </row>
    <row r="797" spans="1:12">
      <c r="A797" s="2683" t="s">
        <v>146</v>
      </c>
      <c r="B797" s="2683" t="s">
        <v>6722</v>
      </c>
      <c r="C797" s="2683">
        <v>304.8</v>
      </c>
      <c r="D797" s="2683">
        <v>393.7</v>
      </c>
      <c r="E797" s="2683">
        <v>50.8</v>
      </c>
      <c r="F797" s="2683" t="s">
        <v>5922</v>
      </c>
      <c r="G797" s="2683" t="s">
        <v>5922</v>
      </c>
      <c r="H797" s="2683" t="s">
        <v>5922</v>
      </c>
      <c r="I797" s="2683" t="s">
        <v>5922</v>
      </c>
      <c r="J797" s="2683">
        <v>14.6</v>
      </c>
      <c r="K797" s="2684"/>
      <c r="L797" s="2683" t="s">
        <v>5922</v>
      </c>
    </row>
    <row r="798" spans="1:12">
      <c r="A798" s="2682" t="s">
        <v>146</v>
      </c>
      <c r="B798" s="2682" t="s">
        <v>6723</v>
      </c>
      <c r="C798" s="2682">
        <v>127</v>
      </c>
      <c r="D798" s="2682">
        <v>180.97499999999999</v>
      </c>
      <c r="E798" s="2682">
        <v>25.4</v>
      </c>
      <c r="F798" s="2682" t="s">
        <v>5922</v>
      </c>
      <c r="G798" s="2682" t="s">
        <v>5922</v>
      </c>
      <c r="H798" s="2682" t="s">
        <v>5922</v>
      </c>
      <c r="I798" s="2682" t="s">
        <v>5922</v>
      </c>
      <c r="J798" s="2682">
        <v>0</v>
      </c>
      <c r="L798" s="2682" t="s">
        <v>5922</v>
      </c>
    </row>
    <row r="799" spans="1:12">
      <c r="A799" s="2683" t="s">
        <v>146</v>
      </c>
      <c r="B799" s="2683" t="s">
        <v>6724</v>
      </c>
      <c r="C799" s="2683">
        <v>120.65</v>
      </c>
      <c r="D799" s="2683">
        <v>196.86199999999999</v>
      </c>
      <c r="E799" s="2683">
        <v>25.4</v>
      </c>
      <c r="F799" s="2683" t="s">
        <v>5922</v>
      </c>
      <c r="G799" s="2683" t="s">
        <v>5922</v>
      </c>
      <c r="H799" s="2683" t="s">
        <v>5922</v>
      </c>
      <c r="I799" s="2683" t="s">
        <v>5922</v>
      </c>
      <c r="J799" s="2683">
        <v>0</v>
      </c>
      <c r="K799" s="2684"/>
      <c r="L799" s="2683" t="s">
        <v>5922</v>
      </c>
    </row>
    <row r="800" spans="1:12">
      <c r="A800" s="2682" t="s">
        <v>146</v>
      </c>
      <c r="B800" s="2682" t="s">
        <v>6725</v>
      </c>
      <c r="C800" s="2682">
        <v>762</v>
      </c>
      <c r="D800" s="2682">
        <v>889</v>
      </c>
      <c r="E800" s="2682">
        <v>88.9</v>
      </c>
      <c r="F800" s="2682" t="s">
        <v>5922</v>
      </c>
      <c r="G800" s="2682" t="s">
        <v>5922</v>
      </c>
      <c r="H800" s="2682" t="s">
        <v>5922</v>
      </c>
      <c r="I800" s="2682" t="s">
        <v>5922</v>
      </c>
      <c r="J800" s="2682">
        <v>91.9</v>
      </c>
      <c r="L800" s="2682" t="s">
        <v>5922</v>
      </c>
    </row>
    <row r="801" spans="1:12">
      <c r="A801" s="2683" t="s">
        <v>146</v>
      </c>
      <c r="B801" s="2683" t="s">
        <v>6726</v>
      </c>
      <c r="C801" s="2683">
        <v>760</v>
      </c>
      <c r="D801" s="2683">
        <v>889</v>
      </c>
      <c r="E801" s="2683">
        <v>88.9</v>
      </c>
      <c r="F801" s="2683" t="s">
        <v>5922</v>
      </c>
      <c r="G801" s="2683" t="s">
        <v>5922</v>
      </c>
      <c r="H801" s="2683" t="s">
        <v>5922</v>
      </c>
      <c r="I801" s="2683" t="s">
        <v>5922</v>
      </c>
      <c r="J801" s="2683">
        <v>93.5</v>
      </c>
      <c r="K801" s="2684"/>
      <c r="L801" s="2683" t="s">
        <v>5922</v>
      </c>
    </row>
    <row r="802" spans="1:12">
      <c r="A802" s="2682" t="s">
        <v>146</v>
      </c>
      <c r="B802" s="2682" t="s">
        <v>6727</v>
      </c>
      <c r="C802" s="2682">
        <v>355.6</v>
      </c>
      <c r="D802" s="2682">
        <v>444.5</v>
      </c>
      <c r="E802" s="2682">
        <v>136.52500000000001</v>
      </c>
      <c r="F802" s="2682" t="s">
        <v>5922</v>
      </c>
      <c r="G802" s="2682" t="s">
        <v>5922</v>
      </c>
      <c r="H802" s="2682" t="s">
        <v>5922</v>
      </c>
      <c r="I802" s="2682" t="s">
        <v>5922</v>
      </c>
      <c r="J802" s="2682">
        <v>44.6</v>
      </c>
      <c r="L802" s="2682" t="s">
        <v>5922</v>
      </c>
    </row>
    <row r="803" spans="1:12">
      <c r="A803" s="2683" t="s">
        <v>146</v>
      </c>
      <c r="B803" s="2683" t="s">
        <v>6728</v>
      </c>
      <c r="C803" s="2683">
        <v>355.6</v>
      </c>
      <c r="D803" s="2683">
        <v>444.5</v>
      </c>
      <c r="E803" s="2683">
        <v>60.325000000000003</v>
      </c>
      <c r="F803" s="2683" t="s">
        <v>5922</v>
      </c>
      <c r="G803" s="2683" t="s">
        <v>5922</v>
      </c>
      <c r="H803" s="2683" t="s">
        <v>5922</v>
      </c>
      <c r="I803" s="2683" t="s">
        <v>5922</v>
      </c>
      <c r="J803" s="2683">
        <v>0</v>
      </c>
      <c r="K803" s="2684"/>
      <c r="L803" s="2683" t="s">
        <v>5922</v>
      </c>
    </row>
    <row r="804" spans="1:12">
      <c r="A804" s="2682" t="s">
        <v>146</v>
      </c>
      <c r="B804" s="2682" t="s">
        <v>6729</v>
      </c>
      <c r="C804" s="2682">
        <v>33.338000000000001</v>
      </c>
      <c r="D804" s="2682">
        <v>68.262</v>
      </c>
      <c r="E804" s="2682">
        <v>22.225000000000001</v>
      </c>
      <c r="F804" s="2682" t="s">
        <v>5922</v>
      </c>
      <c r="G804" s="2682" t="s">
        <v>5922</v>
      </c>
      <c r="H804" s="2682" t="s">
        <v>5922</v>
      </c>
      <c r="I804" s="2682" t="s">
        <v>5922</v>
      </c>
      <c r="J804" s="2682">
        <v>0.38200000000000001</v>
      </c>
      <c r="L804" s="2682" t="s">
        <v>5922</v>
      </c>
    </row>
    <row r="805" spans="1:12">
      <c r="A805" s="2683" t="s">
        <v>146</v>
      </c>
      <c r="B805" s="2683" t="s">
        <v>6730</v>
      </c>
      <c r="C805" s="2683">
        <v>41.274999999999999</v>
      </c>
      <c r="D805" s="2683">
        <v>82.55</v>
      </c>
      <c r="E805" s="2683">
        <v>26.542999999999999</v>
      </c>
      <c r="F805" s="2683" t="s">
        <v>5922</v>
      </c>
      <c r="G805" s="2683" t="s">
        <v>5922</v>
      </c>
      <c r="H805" s="2683" t="s">
        <v>5922</v>
      </c>
      <c r="I805" s="2683" t="s">
        <v>5922</v>
      </c>
      <c r="J805" s="2683">
        <v>0.623</v>
      </c>
      <c r="K805" s="2684"/>
      <c r="L805" s="2683" t="s">
        <v>5922</v>
      </c>
    </row>
    <row r="806" spans="1:12">
      <c r="A806" s="2682" t="s">
        <v>146</v>
      </c>
      <c r="B806" s="2682" t="s">
        <v>6731</v>
      </c>
      <c r="C806" s="2682">
        <v>257.18</v>
      </c>
      <c r="D806" s="2682">
        <v>342.4</v>
      </c>
      <c r="E806" s="2682">
        <v>57.15</v>
      </c>
      <c r="F806" s="2682" t="s">
        <v>5922</v>
      </c>
      <c r="G806" s="2682" t="s">
        <v>5922</v>
      </c>
      <c r="H806" s="2682" t="s">
        <v>5922</v>
      </c>
      <c r="I806" s="2682" t="s">
        <v>5922</v>
      </c>
      <c r="J806" s="2682">
        <v>14</v>
      </c>
      <c r="L806" s="2682" t="s">
        <v>5922</v>
      </c>
    </row>
    <row r="807" spans="1:12">
      <c r="A807" s="2683" t="s">
        <v>146</v>
      </c>
      <c r="B807" s="2683" t="s">
        <v>6732</v>
      </c>
      <c r="C807" s="2683">
        <v>247.65</v>
      </c>
      <c r="D807" s="2683">
        <v>346.07499999999999</v>
      </c>
      <c r="E807" s="2683">
        <v>63.5</v>
      </c>
      <c r="F807" s="2683" t="s">
        <v>5922</v>
      </c>
      <c r="G807" s="2683" t="s">
        <v>5922</v>
      </c>
      <c r="H807" s="2683" t="s">
        <v>5922</v>
      </c>
      <c r="I807" s="2683" t="s">
        <v>5922</v>
      </c>
      <c r="J807" s="2683">
        <v>17.399999999999999</v>
      </c>
      <c r="K807" s="2684"/>
      <c r="L807" s="2683" t="s">
        <v>5922</v>
      </c>
    </row>
    <row r="808" spans="1:12">
      <c r="A808" s="2682" t="s">
        <v>146</v>
      </c>
      <c r="B808" s="2682" t="s">
        <v>6733</v>
      </c>
      <c r="C808" s="2682">
        <v>257.17500000000001</v>
      </c>
      <c r="D808" s="2682">
        <v>358.77499999999998</v>
      </c>
      <c r="E808" s="2682">
        <v>71.438000000000002</v>
      </c>
      <c r="F808" s="2682" t="s">
        <v>5922</v>
      </c>
      <c r="G808" s="2682" t="s">
        <v>5922</v>
      </c>
      <c r="H808" s="2682" t="s">
        <v>5922</v>
      </c>
      <c r="I808" s="2682" t="s">
        <v>5922</v>
      </c>
      <c r="J808" s="2682">
        <v>21.7</v>
      </c>
      <c r="L808" s="2682" t="s">
        <v>5922</v>
      </c>
    </row>
    <row r="809" spans="1:12">
      <c r="A809" s="2683" t="s">
        <v>146</v>
      </c>
      <c r="B809" s="2683" t="s">
        <v>6734</v>
      </c>
      <c r="C809" s="2683">
        <v>41.274999999999999</v>
      </c>
      <c r="D809" s="2683">
        <v>73.430999999999997</v>
      </c>
      <c r="E809" s="2683">
        <v>21.43</v>
      </c>
      <c r="F809" s="2683" t="s">
        <v>5922</v>
      </c>
      <c r="G809" s="2683" t="s">
        <v>5922</v>
      </c>
      <c r="H809" s="2683" t="s">
        <v>5922</v>
      </c>
      <c r="I809" s="2683" t="s">
        <v>5922</v>
      </c>
      <c r="J809" s="2683">
        <v>0.36</v>
      </c>
      <c r="K809" s="2684"/>
      <c r="L809" s="2683" t="s">
        <v>5922</v>
      </c>
    </row>
    <row r="810" spans="1:12">
      <c r="A810" s="2682" t="s">
        <v>146</v>
      </c>
      <c r="B810" s="2682" t="s">
        <v>6735</v>
      </c>
      <c r="C810" s="2682">
        <v>34.924999999999997</v>
      </c>
      <c r="D810" s="2682">
        <v>65.087999999999994</v>
      </c>
      <c r="E810" s="2682">
        <v>18.033999999999999</v>
      </c>
      <c r="F810" s="2682" t="s">
        <v>5922</v>
      </c>
      <c r="G810" s="2682" t="s">
        <v>5922</v>
      </c>
      <c r="H810" s="2682" t="s">
        <v>5922</v>
      </c>
      <c r="I810" s="2682" t="s">
        <v>5922</v>
      </c>
      <c r="J810" s="2682">
        <v>0.26</v>
      </c>
      <c r="L810" s="2682" t="s">
        <v>5922</v>
      </c>
    </row>
    <row r="811" spans="1:12">
      <c r="A811" s="2683" t="s">
        <v>146</v>
      </c>
      <c r="B811" s="2683" t="s">
        <v>6736</v>
      </c>
      <c r="C811" s="2683">
        <v>41</v>
      </c>
      <c r="D811" s="2683">
        <v>68</v>
      </c>
      <c r="E811" s="2683">
        <v>17.600000000000001</v>
      </c>
      <c r="F811" s="2683" t="s">
        <v>5922</v>
      </c>
      <c r="G811" s="2683" t="s">
        <v>5922</v>
      </c>
      <c r="H811" s="2683" t="s">
        <v>5922</v>
      </c>
      <c r="I811" s="2683" t="s">
        <v>5922</v>
      </c>
      <c r="J811" s="2683">
        <v>0.247</v>
      </c>
      <c r="K811" s="2684"/>
      <c r="L811" s="2683" t="s">
        <v>5922</v>
      </c>
    </row>
    <row r="812" spans="1:12">
      <c r="A812" s="2682" t="s">
        <v>146</v>
      </c>
      <c r="B812" s="2682" t="s">
        <v>6737</v>
      </c>
      <c r="C812" s="2682">
        <v>40.988</v>
      </c>
      <c r="D812" s="2682">
        <v>67.974999999999994</v>
      </c>
      <c r="E812" s="2682">
        <v>18</v>
      </c>
      <c r="F812" s="2682" t="s">
        <v>5922</v>
      </c>
      <c r="G812" s="2682" t="s">
        <v>5922</v>
      </c>
      <c r="H812" s="2682" t="s">
        <v>5922</v>
      </c>
      <c r="I812" s="2682" t="s">
        <v>5922</v>
      </c>
      <c r="J812" s="2682">
        <v>0.23899999999999999</v>
      </c>
      <c r="L812" s="2682" t="s">
        <v>5922</v>
      </c>
    </row>
    <row r="813" spans="1:12">
      <c r="A813" s="2683" t="s">
        <v>146</v>
      </c>
      <c r="B813" s="2683" t="s">
        <v>6738</v>
      </c>
      <c r="C813" s="2683">
        <v>38.1</v>
      </c>
      <c r="D813" s="2683">
        <v>65.087999999999994</v>
      </c>
      <c r="E813" s="2683">
        <v>18.288</v>
      </c>
      <c r="F813" s="2683" t="s">
        <v>5922</v>
      </c>
      <c r="G813" s="2683" t="s">
        <v>5922</v>
      </c>
      <c r="H813" s="2683" t="s">
        <v>5922</v>
      </c>
      <c r="I813" s="2683" t="s">
        <v>5922</v>
      </c>
      <c r="J813" s="2683">
        <v>0.23499999999999999</v>
      </c>
      <c r="K813" s="2684"/>
      <c r="L813" s="2683" t="s">
        <v>5922</v>
      </c>
    </row>
    <row r="814" spans="1:12">
      <c r="A814" s="2682" t="s">
        <v>146</v>
      </c>
      <c r="B814" s="2682" t="s">
        <v>6739</v>
      </c>
      <c r="C814" s="2682">
        <v>53.975000000000001</v>
      </c>
      <c r="D814" s="2682">
        <v>130.17500000000001</v>
      </c>
      <c r="E814" s="2682">
        <v>36.512</v>
      </c>
      <c r="F814" s="2682" t="s">
        <v>5922</v>
      </c>
      <c r="G814" s="2682" t="s">
        <v>5922</v>
      </c>
      <c r="H814" s="2682" t="s">
        <v>5922</v>
      </c>
      <c r="I814" s="2682" t="s">
        <v>5922</v>
      </c>
      <c r="J814" s="2682">
        <v>2.2400000000000002</v>
      </c>
      <c r="L814" s="2682" t="s">
        <v>5922</v>
      </c>
    </row>
    <row r="815" spans="1:12">
      <c r="A815" s="2683" t="s">
        <v>146</v>
      </c>
      <c r="B815" s="2683" t="s">
        <v>6740</v>
      </c>
      <c r="C815" s="2683">
        <v>110</v>
      </c>
      <c r="D815" s="2683">
        <v>165</v>
      </c>
      <c r="E815" s="2683">
        <v>35</v>
      </c>
      <c r="F815" s="2683" t="s">
        <v>5922</v>
      </c>
      <c r="G815" s="2683" t="s">
        <v>5922</v>
      </c>
      <c r="H815" s="2683" t="s">
        <v>5922</v>
      </c>
      <c r="I815" s="2683" t="s">
        <v>5922</v>
      </c>
      <c r="J815" s="2683">
        <v>2.63</v>
      </c>
      <c r="K815" s="2684"/>
      <c r="L815" s="2683" t="s">
        <v>5922</v>
      </c>
    </row>
    <row r="816" spans="1:12">
      <c r="A816" s="2682" t="s">
        <v>146</v>
      </c>
      <c r="B816" s="2682" t="s">
        <v>6741</v>
      </c>
      <c r="C816" s="2682">
        <v>170</v>
      </c>
      <c r="D816" s="2682">
        <v>240</v>
      </c>
      <c r="E816" s="2682">
        <v>46</v>
      </c>
      <c r="F816" s="2682" t="s">
        <v>5922</v>
      </c>
      <c r="G816" s="2682" t="s">
        <v>5922</v>
      </c>
      <c r="H816" s="2682" t="s">
        <v>5922</v>
      </c>
      <c r="I816" s="2682" t="s">
        <v>5922</v>
      </c>
      <c r="J816" s="2682">
        <v>6.28</v>
      </c>
      <c r="L816" s="2682" t="s">
        <v>5922</v>
      </c>
    </row>
    <row r="817" spans="1:12">
      <c r="A817" s="2683" t="s">
        <v>146</v>
      </c>
      <c r="B817" s="2683" t="s">
        <v>6742</v>
      </c>
      <c r="C817" s="2683">
        <v>85</v>
      </c>
      <c r="D817" s="2683">
        <v>130</v>
      </c>
      <c r="E817" s="2683">
        <v>30</v>
      </c>
      <c r="F817" s="2683" t="s">
        <v>5922</v>
      </c>
      <c r="G817" s="2683" t="s">
        <v>5922</v>
      </c>
      <c r="H817" s="2683" t="s">
        <v>5922</v>
      </c>
      <c r="I817" s="2683" t="s">
        <v>5922</v>
      </c>
      <c r="J817" s="2683">
        <v>1.39</v>
      </c>
      <c r="K817" s="2684"/>
      <c r="L817" s="2683" t="s">
        <v>5922</v>
      </c>
    </row>
    <row r="818" spans="1:12">
      <c r="A818" s="2682" t="s">
        <v>146</v>
      </c>
      <c r="B818" s="2682" t="s">
        <v>6743</v>
      </c>
      <c r="C818" s="2682">
        <v>75</v>
      </c>
      <c r="D818" s="2682">
        <v>120</v>
      </c>
      <c r="E818" s="2682">
        <v>31</v>
      </c>
      <c r="F818" s="2682" t="s">
        <v>5922</v>
      </c>
      <c r="G818" s="2682" t="s">
        <v>5922</v>
      </c>
      <c r="H818" s="2682" t="s">
        <v>5922</v>
      </c>
      <c r="I818" s="2682" t="s">
        <v>5922</v>
      </c>
      <c r="J818" s="2682">
        <v>1.28</v>
      </c>
      <c r="L818" s="2682" t="s">
        <v>5922</v>
      </c>
    </row>
    <row r="819" spans="1:12">
      <c r="A819" s="2683" t="s">
        <v>146</v>
      </c>
      <c r="B819" s="2683" t="s">
        <v>6744</v>
      </c>
      <c r="C819" s="2683">
        <v>254</v>
      </c>
      <c r="D819" s="2683">
        <v>347.62200000000001</v>
      </c>
      <c r="E819" s="2683">
        <v>101.6</v>
      </c>
      <c r="F819" s="2683" t="s">
        <v>5922</v>
      </c>
      <c r="G819" s="2683" t="s">
        <v>5922</v>
      </c>
      <c r="H819" s="2683" t="s">
        <v>5922</v>
      </c>
      <c r="I819" s="2683" t="s">
        <v>5922</v>
      </c>
      <c r="J819" s="2683">
        <v>23.9</v>
      </c>
      <c r="K819" s="2684"/>
      <c r="L819" s="2683" t="s">
        <v>6745</v>
      </c>
    </row>
    <row r="820" spans="1:12">
      <c r="A820" s="2682" t="s">
        <v>146</v>
      </c>
      <c r="B820" s="2682" t="s">
        <v>6746</v>
      </c>
      <c r="C820" s="2682">
        <v>203.2</v>
      </c>
      <c r="D820" s="2682">
        <v>276.22500000000002</v>
      </c>
      <c r="E820" s="2682">
        <v>42.862000000000002</v>
      </c>
      <c r="F820" s="2682" t="s">
        <v>5922</v>
      </c>
      <c r="G820" s="2682" t="s">
        <v>5922</v>
      </c>
      <c r="H820" s="2682" t="s">
        <v>5922</v>
      </c>
      <c r="I820" s="2682" t="s">
        <v>5922</v>
      </c>
      <c r="J820" s="2682">
        <v>0</v>
      </c>
      <c r="L820" s="2682" t="s">
        <v>5922</v>
      </c>
    </row>
    <row r="821" spans="1:12">
      <c r="A821" s="2683" t="s">
        <v>146</v>
      </c>
      <c r="B821" s="2683" t="s">
        <v>6747</v>
      </c>
      <c r="C821" s="2683">
        <v>63.5</v>
      </c>
      <c r="D821" s="2683">
        <v>122.238</v>
      </c>
      <c r="E821" s="2683">
        <v>38.1</v>
      </c>
      <c r="F821" s="2683" t="s">
        <v>5922</v>
      </c>
      <c r="G821" s="2683" t="s">
        <v>5922</v>
      </c>
      <c r="H821" s="2683" t="s">
        <v>5922</v>
      </c>
      <c r="I821" s="2683" t="s">
        <v>5922</v>
      </c>
      <c r="J821" s="2683">
        <v>1.93</v>
      </c>
      <c r="K821" s="2684"/>
      <c r="L821" s="2683" t="s">
        <v>5922</v>
      </c>
    </row>
    <row r="822" spans="1:12">
      <c r="A822" s="2682" t="s">
        <v>146</v>
      </c>
      <c r="B822" s="2682" t="s">
        <v>6748</v>
      </c>
      <c r="C822" s="2682">
        <v>21.978999999999999</v>
      </c>
      <c r="D822" s="2682">
        <v>45.975000000000001</v>
      </c>
      <c r="E822" s="2682">
        <v>15.494</v>
      </c>
      <c r="F822" s="2682" t="s">
        <v>5922</v>
      </c>
      <c r="G822" s="2682" t="s">
        <v>5922</v>
      </c>
      <c r="H822" s="2682" t="s">
        <v>5922</v>
      </c>
      <c r="I822" s="2682" t="s">
        <v>5922</v>
      </c>
      <c r="J822" s="2682">
        <v>0.12</v>
      </c>
      <c r="L822" s="2682" t="s">
        <v>5922</v>
      </c>
    </row>
    <row r="823" spans="1:12">
      <c r="A823" s="2683" t="s">
        <v>146</v>
      </c>
      <c r="B823" s="2683" t="s">
        <v>6749</v>
      </c>
      <c r="C823" s="2683">
        <v>21.978999999999999</v>
      </c>
      <c r="D823" s="2683">
        <v>45.237000000000002</v>
      </c>
      <c r="E823" s="2683">
        <v>15.494</v>
      </c>
      <c r="F823" s="2683" t="s">
        <v>5922</v>
      </c>
      <c r="G823" s="2683" t="s">
        <v>5922</v>
      </c>
      <c r="H823" s="2683" t="s">
        <v>5922</v>
      </c>
      <c r="I823" s="2683" t="s">
        <v>5922</v>
      </c>
      <c r="J823" s="2683">
        <v>0.11600000000000001</v>
      </c>
      <c r="K823" s="2684"/>
      <c r="L823" s="2683" t="s">
        <v>5922</v>
      </c>
    </row>
    <row r="824" spans="1:12">
      <c r="A824" s="2682" t="s">
        <v>146</v>
      </c>
      <c r="B824" s="2682" t="s">
        <v>6750</v>
      </c>
      <c r="C824" s="2682">
        <v>21.43</v>
      </c>
      <c r="D824" s="2682">
        <v>45.237000000000002</v>
      </c>
      <c r="E824" s="2682">
        <v>15.494</v>
      </c>
      <c r="F824" s="2682" t="s">
        <v>5922</v>
      </c>
      <c r="G824" s="2682" t="s">
        <v>5922</v>
      </c>
      <c r="H824" s="2682" t="s">
        <v>5922</v>
      </c>
      <c r="I824" s="2682" t="s">
        <v>5922</v>
      </c>
      <c r="J824" s="2682">
        <v>0.11799999999999999</v>
      </c>
      <c r="L824" s="2682" t="s">
        <v>5922</v>
      </c>
    </row>
    <row r="825" spans="1:12">
      <c r="A825" s="2683" t="s">
        <v>146</v>
      </c>
      <c r="B825" s="2683" t="s">
        <v>6751</v>
      </c>
      <c r="C825" s="2683">
        <v>19.05</v>
      </c>
      <c r="D825" s="2683">
        <v>45.237000000000002</v>
      </c>
      <c r="E825" s="2683">
        <v>15.49</v>
      </c>
      <c r="F825" s="2683" t="s">
        <v>5922</v>
      </c>
      <c r="G825" s="2683" t="s">
        <v>5922</v>
      </c>
      <c r="H825" s="2683" t="s">
        <v>5922</v>
      </c>
      <c r="I825" s="2683" t="s">
        <v>5922</v>
      </c>
      <c r="J825" s="2683">
        <v>0.122</v>
      </c>
      <c r="K825" s="2684"/>
      <c r="L825" s="2683" t="s">
        <v>5922</v>
      </c>
    </row>
    <row r="826" spans="1:12">
      <c r="A826" s="2682" t="s">
        <v>146</v>
      </c>
      <c r="B826" s="2682" t="s">
        <v>6752</v>
      </c>
      <c r="C826" s="2682">
        <v>17.462</v>
      </c>
      <c r="D826" s="2682">
        <v>28.5</v>
      </c>
      <c r="E826" s="2682">
        <v>14.605</v>
      </c>
      <c r="F826" s="2682" t="s">
        <v>5922</v>
      </c>
      <c r="G826" s="2682" t="s">
        <v>5922</v>
      </c>
      <c r="H826" s="2682" t="s">
        <v>5922</v>
      </c>
      <c r="I826" s="2682" t="s">
        <v>5922</v>
      </c>
      <c r="J826" s="2682">
        <v>2.5999999999999999E-2</v>
      </c>
      <c r="L826" s="2682" t="s">
        <v>5922</v>
      </c>
    </row>
    <row r="827" spans="1:12">
      <c r="A827" s="2683" t="s">
        <v>146</v>
      </c>
      <c r="B827" s="2683" t="s">
        <v>6753</v>
      </c>
      <c r="C827" s="2683">
        <v>49.987000000000002</v>
      </c>
      <c r="D827" s="2683">
        <v>82.55</v>
      </c>
      <c r="E827" s="2683">
        <v>21.59</v>
      </c>
      <c r="F827" s="2683" t="s">
        <v>5922</v>
      </c>
      <c r="G827" s="2683" t="s">
        <v>5922</v>
      </c>
      <c r="H827" s="2683" t="s">
        <v>5922</v>
      </c>
      <c r="I827" s="2683" t="s">
        <v>5922</v>
      </c>
      <c r="J827" s="2683">
        <v>0</v>
      </c>
      <c r="K827" s="2684"/>
      <c r="L827" s="2683" t="s">
        <v>5922</v>
      </c>
    </row>
    <row r="828" spans="1:12">
      <c r="A828" s="2682" t="s">
        <v>146</v>
      </c>
      <c r="B828" s="2682" t="s">
        <v>6754</v>
      </c>
      <c r="C828" s="2682">
        <v>50.8</v>
      </c>
      <c r="D828" s="2682">
        <v>82.55</v>
      </c>
      <c r="E828" s="2682">
        <v>21.59</v>
      </c>
      <c r="F828" s="2682" t="s">
        <v>5922</v>
      </c>
      <c r="G828" s="2682" t="s">
        <v>5922</v>
      </c>
      <c r="H828" s="2682" t="s">
        <v>5922</v>
      </c>
      <c r="I828" s="2682" t="s">
        <v>5922</v>
      </c>
      <c r="J828" s="2682">
        <v>0.96699999999999997</v>
      </c>
      <c r="L828" s="2682" t="s">
        <v>5922</v>
      </c>
    </row>
    <row r="829" spans="1:12">
      <c r="A829" s="2683" t="s">
        <v>146</v>
      </c>
      <c r="B829" s="2683" t="s">
        <v>6755</v>
      </c>
      <c r="C829" s="2683">
        <v>50.8</v>
      </c>
      <c r="D829" s="2683">
        <v>82.930999999999997</v>
      </c>
      <c r="E829" s="2683">
        <v>21.59</v>
      </c>
      <c r="F829" s="2683" t="s">
        <v>5922</v>
      </c>
      <c r="G829" s="2683" t="s">
        <v>5922</v>
      </c>
      <c r="H829" s="2683" t="s">
        <v>5922</v>
      </c>
      <c r="I829" s="2683" t="s">
        <v>5922</v>
      </c>
      <c r="J829" s="2683">
        <v>0</v>
      </c>
      <c r="K829" s="2684"/>
      <c r="L829" s="2683" t="s">
        <v>5922</v>
      </c>
    </row>
    <row r="830" spans="1:12">
      <c r="A830" s="2682" t="s">
        <v>146</v>
      </c>
      <c r="B830" s="2682" t="s">
        <v>6756</v>
      </c>
      <c r="C830" s="2682">
        <v>50.8</v>
      </c>
      <c r="D830" s="2682">
        <v>82.55</v>
      </c>
      <c r="E830" s="2682">
        <v>25</v>
      </c>
      <c r="F830" s="2682" t="s">
        <v>5922</v>
      </c>
      <c r="G830" s="2682" t="s">
        <v>5922</v>
      </c>
      <c r="H830" s="2682" t="s">
        <v>5922</v>
      </c>
      <c r="I830" s="2682" t="s">
        <v>5922</v>
      </c>
      <c r="J830" s="2682">
        <v>0.442</v>
      </c>
      <c r="L830" s="2682" t="s">
        <v>5922</v>
      </c>
    </row>
    <row r="831" spans="1:12">
      <c r="A831" s="2683" t="s">
        <v>146</v>
      </c>
      <c r="B831" s="2683" t="s">
        <v>6757</v>
      </c>
      <c r="C831" s="2683">
        <v>50.8</v>
      </c>
      <c r="D831" s="2683">
        <v>82.55</v>
      </c>
      <c r="E831" s="2683">
        <v>21.59</v>
      </c>
      <c r="F831" s="2683" t="s">
        <v>5922</v>
      </c>
      <c r="G831" s="2683" t="s">
        <v>5922</v>
      </c>
      <c r="H831" s="2683" t="s">
        <v>5922</v>
      </c>
      <c r="I831" s="2683" t="s">
        <v>5922</v>
      </c>
      <c r="J831" s="2683">
        <v>0.42899999999999999</v>
      </c>
      <c r="K831" s="2684"/>
      <c r="L831" s="2683" t="s">
        <v>5922</v>
      </c>
    </row>
    <row r="832" spans="1:12">
      <c r="A832" s="2682" t="s">
        <v>146</v>
      </c>
      <c r="B832" s="2682" t="s">
        <v>6758</v>
      </c>
      <c r="C832" s="2682">
        <v>50.8</v>
      </c>
      <c r="D832" s="2682">
        <v>82.55</v>
      </c>
      <c r="E832" s="2682">
        <v>21.59</v>
      </c>
      <c r="F832" s="2682" t="s">
        <v>5922</v>
      </c>
      <c r="G832" s="2682" t="s">
        <v>5922</v>
      </c>
      <c r="H832" s="2682" t="s">
        <v>5922</v>
      </c>
      <c r="I832" s="2682" t="s">
        <v>5922</v>
      </c>
      <c r="J832" s="2682">
        <v>0.41799999999999998</v>
      </c>
      <c r="L832" s="2682" t="s">
        <v>5922</v>
      </c>
    </row>
    <row r="833" spans="1:12">
      <c r="A833" s="2683" t="s">
        <v>146</v>
      </c>
      <c r="B833" s="2683" t="s">
        <v>6759</v>
      </c>
      <c r="C833" s="2683">
        <v>50.8</v>
      </c>
      <c r="D833" s="2683">
        <v>82</v>
      </c>
      <c r="E833" s="2683">
        <v>21.975000000000001</v>
      </c>
      <c r="F833" s="2683" t="s">
        <v>5922</v>
      </c>
      <c r="G833" s="2683" t="s">
        <v>5922</v>
      </c>
      <c r="H833" s="2683" t="s">
        <v>5922</v>
      </c>
      <c r="I833" s="2683" t="s">
        <v>5922</v>
      </c>
      <c r="J833" s="2683">
        <v>0</v>
      </c>
      <c r="K833" s="2684"/>
      <c r="L833" s="2683" t="s">
        <v>5922</v>
      </c>
    </row>
    <row r="834" spans="1:12">
      <c r="A834" s="2682" t="s">
        <v>146</v>
      </c>
      <c r="B834" s="2682" t="s">
        <v>6760</v>
      </c>
      <c r="C834" s="2682">
        <v>45.241999999999997</v>
      </c>
      <c r="D834" s="2682">
        <v>82.55</v>
      </c>
      <c r="E834" s="2682">
        <v>21.59</v>
      </c>
      <c r="F834" s="2682" t="s">
        <v>5922</v>
      </c>
      <c r="G834" s="2682" t="s">
        <v>5922</v>
      </c>
      <c r="H834" s="2682" t="s">
        <v>5922</v>
      </c>
      <c r="I834" s="2682" t="s">
        <v>5922</v>
      </c>
      <c r="J834" s="2682">
        <v>0</v>
      </c>
      <c r="L834" s="2682" t="s">
        <v>5922</v>
      </c>
    </row>
    <row r="835" spans="1:12">
      <c r="A835" s="2683" t="s">
        <v>146</v>
      </c>
      <c r="B835" s="2683" t="s">
        <v>6761</v>
      </c>
      <c r="C835" s="2683">
        <v>45.241999999999997</v>
      </c>
      <c r="D835" s="2683">
        <v>73.430999999999997</v>
      </c>
      <c r="E835" s="2683">
        <v>19.558</v>
      </c>
      <c r="F835" s="2683" t="s">
        <v>5922</v>
      </c>
      <c r="G835" s="2683" t="s">
        <v>5922</v>
      </c>
      <c r="H835" s="2683" t="s">
        <v>5922</v>
      </c>
      <c r="I835" s="2683" t="s">
        <v>5922</v>
      </c>
      <c r="J835" s="2683">
        <v>0.318</v>
      </c>
      <c r="K835" s="2684"/>
      <c r="L835" s="2683" t="s">
        <v>5922</v>
      </c>
    </row>
    <row r="836" spans="1:12">
      <c r="A836" s="2682" t="s">
        <v>146</v>
      </c>
      <c r="B836" s="2682" t="s">
        <v>6762</v>
      </c>
      <c r="C836" s="2682">
        <v>584.20000000000005</v>
      </c>
      <c r="D836" s="2682">
        <v>685.8</v>
      </c>
      <c r="E836" s="2682">
        <v>49.212000000000003</v>
      </c>
      <c r="F836" s="2682" t="s">
        <v>5922</v>
      </c>
      <c r="G836" s="2682" t="s">
        <v>5922</v>
      </c>
      <c r="H836" s="2682" t="s">
        <v>5922</v>
      </c>
      <c r="I836" s="2682" t="s">
        <v>5922</v>
      </c>
      <c r="J836" s="2682">
        <v>28.5</v>
      </c>
      <c r="L836" s="2682" t="s">
        <v>5922</v>
      </c>
    </row>
    <row r="837" spans="1:12">
      <c r="A837" s="2683" t="s">
        <v>146</v>
      </c>
      <c r="B837" s="2683" t="s">
        <v>6763</v>
      </c>
      <c r="C837" s="2683">
        <v>977.9</v>
      </c>
      <c r="D837" s="2683">
        <v>1130.3</v>
      </c>
      <c r="E837" s="2683">
        <v>66.674999999999997</v>
      </c>
      <c r="F837" s="2683" t="s">
        <v>5922</v>
      </c>
      <c r="G837" s="2683" t="s">
        <v>5922</v>
      </c>
      <c r="H837" s="2683" t="s">
        <v>5922</v>
      </c>
      <c r="I837" s="2683" t="s">
        <v>5922</v>
      </c>
      <c r="J837" s="2683">
        <v>0</v>
      </c>
      <c r="K837" s="2684"/>
      <c r="L837" s="2683" t="s">
        <v>5922</v>
      </c>
    </row>
    <row r="838" spans="1:12">
      <c r="A838" s="2682" t="s">
        <v>146</v>
      </c>
      <c r="B838" s="2682" t="s">
        <v>6764</v>
      </c>
      <c r="C838" s="2682">
        <v>127</v>
      </c>
      <c r="D838" s="2682">
        <v>165.89500000000001</v>
      </c>
      <c r="E838" s="2682">
        <v>18.257999999999999</v>
      </c>
      <c r="F838" s="2682" t="s">
        <v>5922</v>
      </c>
      <c r="G838" s="2682" t="s">
        <v>5922</v>
      </c>
      <c r="H838" s="2682" t="s">
        <v>5922</v>
      </c>
      <c r="I838" s="2682" t="s">
        <v>5922</v>
      </c>
      <c r="J838" s="2682">
        <v>0.46600000000000003</v>
      </c>
      <c r="L838" s="2682" t="s">
        <v>5922</v>
      </c>
    </row>
    <row r="839" spans="1:12">
      <c r="A839" s="2683" t="s">
        <v>146</v>
      </c>
      <c r="B839" s="2683" t="s">
        <v>6765</v>
      </c>
      <c r="C839" s="2683">
        <v>88.9</v>
      </c>
      <c r="D839" s="2683">
        <v>121.44199999999999</v>
      </c>
      <c r="E839" s="2683">
        <v>15.038</v>
      </c>
      <c r="F839" s="2683" t="s">
        <v>5922</v>
      </c>
      <c r="G839" s="2683" t="s">
        <v>5922</v>
      </c>
      <c r="H839" s="2683" t="s">
        <v>5922</v>
      </c>
      <c r="I839" s="2683" t="s">
        <v>5922</v>
      </c>
      <c r="J839" s="2683">
        <v>0</v>
      </c>
      <c r="K839" s="2684"/>
      <c r="L839" s="2683" t="s">
        <v>5922</v>
      </c>
    </row>
    <row r="840" spans="1:12">
      <c r="A840" s="2682" t="s">
        <v>146</v>
      </c>
      <c r="B840" s="2682" t="s">
        <v>6766</v>
      </c>
      <c r="C840" s="2682">
        <v>381</v>
      </c>
      <c r="D840" s="2682">
        <v>479.42500000000001</v>
      </c>
      <c r="E840" s="2682">
        <v>49.212000000000003</v>
      </c>
      <c r="F840" s="2682" t="s">
        <v>5922</v>
      </c>
      <c r="G840" s="2682" t="s">
        <v>5922</v>
      </c>
      <c r="H840" s="2682" t="s">
        <v>5922</v>
      </c>
      <c r="I840" s="2682" t="s">
        <v>5922</v>
      </c>
      <c r="J840" s="2682">
        <v>0</v>
      </c>
      <c r="L840" s="2682" t="s">
        <v>5922</v>
      </c>
    </row>
    <row r="841" spans="1:12">
      <c r="A841" s="2683" t="s">
        <v>146</v>
      </c>
      <c r="B841" s="2683" t="s">
        <v>6767</v>
      </c>
      <c r="C841" s="2683">
        <v>330.2</v>
      </c>
      <c r="D841" s="2683">
        <v>415.92500000000001</v>
      </c>
      <c r="E841" s="2683">
        <v>47.625</v>
      </c>
      <c r="F841" s="2683" t="s">
        <v>5922</v>
      </c>
      <c r="G841" s="2683" t="s">
        <v>5922</v>
      </c>
      <c r="H841" s="2683" t="s">
        <v>5922</v>
      </c>
      <c r="I841" s="2683" t="s">
        <v>5922</v>
      </c>
      <c r="J841" s="2683">
        <v>0</v>
      </c>
      <c r="K841" s="2684"/>
      <c r="L841" s="2683" t="s">
        <v>5922</v>
      </c>
    </row>
    <row r="842" spans="1:12">
      <c r="A842" s="2682" t="s">
        <v>146</v>
      </c>
      <c r="B842" s="2682" t="s">
        <v>6768</v>
      </c>
      <c r="C842" s="2682">
        <v>276.22500000000002</v>
      </c>
      <c r="D842" s="2682">
        <v>352.512</v>
      </c>
      <c r="E842" s="2682">
        <v>36.512</v>
      </c>
      <c r="F842" s="2682" t="s">
        <v>5922</v>
      </c>
      <c r="G842" s="2682" t="s">
        <v>5922</v>
      </c>
      <c r="H842" s="2682" t="s">
        <v>5922</v>
      </c>
      <c r="I842" s="2682" t="s">
        <v>5922</v>
      </c>
      <c r="J842" s="2682">
        <v>0</v>
      </c>
      <c r="L842" s="2682" t="s">
        <v>5922</v>
      </c>
    </row>
    <row r="843" spans="1:12">
      <c r="A843" s="2683" t="s">
        <v>146</v>
      </c>
      <c r="B843" s="2683" t="s">
        <v>6769</v>
      </c>
      <c r="C843" s="2683">
        <v>34.988</v>
      </c>
      <c r="D843" s="2683">
        <v>59.975000000000001</v>
      </c>
      <c r="E843" s="2683">
        <v>15.875</v>
      </c>
      <c r="F843" s="2683" t="s">
        <v>5922</v>
      </c>
      <c r="G843" s="2683" t="s">
        <v>5922</v>
      </c>
      <c r="H843" s="2683" t="s">
        <v>5922</v>
      </c>
      <c r="I843" s="2683" t="s">
        <v>5922</v>
      </c>
      <c r="J843" s="2683">
        <v>0</v>
      </c>
      <c r="K843" s="2684"/>
      <c r="L843" s="2683" t="s">
        <v>5922</v>
      </c>
    </row>
    <row r="844" spans="1:12">
      <c r="A844" s="2682" t="s">
        <v>146</v>
      </c>
      <c r="B844" s="2682" t="s">
        <v>6770</v>
      </c>
      <c r="C844" s="2682">
        <v>34.981000000000002</v>
      </c>
      <c r="D844" s="2682">
        <v>59.131</v>
      </c>
      <c r="E844" s="2682">
        <v>15.875</v>
      </c>
      <c r="F844" s="2682" t="s">
        <v>5922</v>
      </c>
      <c r="G844" s="2682" t="s">
        <v>5922</v>
      </c>
      <c r="H844" s="2682" t="s">
        <v>5922</v>
      </c>
      <c r="I844" s="2682" t="s">
        <v>5922</v>
      </c>
      <c r="J844" s="2682">
        <v>0.16600000000000001</v>
      </c>
      <c r="L844" s="2682" t="s">
        <v>5922</v>
      </c>
    </row>
    <row r="845" spans="1:12">
      <c r="A845" s="2683" t="s">
        <v>146</v>
      </c>
      <c r="B845" s="2683" t="s">
        <v>6771</v>
      </c>
      <c r="C845" s="2683">
        <v>63.5</v>
      </c>
      <c r="D845" s="2683">
        <v>94.457999999999998</v>
      </c>
      <c r="E845" s="2683">
        <v>19.05</v>
      </c>
      <c r="F845" s="2683" t="s">
        <v>5922</v>
      </c>
      <c r="G845" s="2683" t="s">
        <v>5922</v>
      </c>
      <c r="H845" s="2683" t="s">
        <v>5922</v>
      </c>
      <c r="I845" s="2683" t="s">
        <v>5922</v>
      </c>
      <c r="J845" s="2683">
        <v>0.44900000000000001</v>
      </c>
      <c r="K845" s="2684"/>
      <c r="L845" s="2683" t="s">
        <v>5922</v>
      </c>
    </row>
    <row r="846" spans="1:12">
      <c r="A846" s="2682" t="s">
        <v>146</v>
      </c>
      <c r="B846" s="2682" t="s">
        <v>6772</v>
      </c>
      <c r="C846" s="2682">
        <v>63.5</v>
      </c>
      <c r="D846" s="2682">
        <v>94.457999999999998</v>
      </c>
      <c r="E846" s="2682">
        <v>19.05</v>
      </c>
      <c r="F846" s="2682" t="s">
        <v>5922</v>
      </c>
      <c r="G846" s="2682" t="s">
        <v>5922</v>
      </c>
      <c r="H846" s="2682" t="s">
        <v>5922</v>
      </c>
      <c r="I846" s="2682" t="s">
        <v>5922</v>
      </c>
      <c r="J846" s="2682">
        <v>0</v>
      </c>
      <c r="L846" s="2682" t="s">
        <v>5922</v>
      </c>
    </row>
    <row r="847" spans="1:12">
      <c r="A847" s="2683" t="s">
        <v>146</v>
      </c>
      <c r="B847" s="2683" t="s">
        <v>6773</v>
      </c>
      <c r="C847" s="2683">
        <v>107.95</v>
      </c>
      <c r="D847" s="2683">
        <v>146.05000000000001</v>
      </c>
      <c r="E847" s="2683">
        <v>21.433</v>
      </c>
      <c r="F847" s="2683" t="s">
        <v>5922</v>
      </c>
      <c r="G847" s="2683" t="s">
        <v>5922</v>
      </c>
      <c r="H847" s="2683" t="s">
        <v>5922</v>
      </c>
      <c r="I847" s="2683" t="s">
        <v>5922</v>
      </c>
      <c r="J847" s="2683">
        <v>0</v>
      </c>
      <c r="K847" s="2684"/>
      <c r="L847" s="2683" t="s">
        <v>5922</v>
      </c>
    </row>
    <row r="848" spans="1:12">
      <c r="A848" s="2682" t="s">
        <v>146</v>
      </c>
      <c r="B848" s="2682" t="s">
        <v>6774</v>
      </c>
      <c r="C848" s="2682">
        <v>75</v>
      </c>
      <c r="D848" s="2682">
        <v>120</v>
      </c>
      <c r="E848" s="2682">
        <v>31</v>
      </c>
      <c r="F848" s="2682" t="s">
        <v>5922</v>
      </c>
      <c r="G848" s="2682" t="s">
        <v>5922</v>
      </c>
      <c r="H848" s="2682" t="s">
        <v>5922</v>
      </c>
      <c r="I848" s="2682" t="s">
        <v>5922</v>
      </c>
      <c r="J848" s="2682">
        <v>1.28</v>
      </c>
      <c r="L848" s="2682" t="s">
        <v>5922</v>
      </c>
    </row>
    <row r="849" spans="1:12">
      <c r="A849" s="2683" t="s">
        <v>146</v>
      </c>
      <c r="B849" s="2683" t="s">
        <v>6775</v>
      </c>
      <c r="C849" s="2683">
        <v>65</v>
      </c>
      <c r="D849" s="2683">
        <v>110</v>
      </c>
      <c r="E849" s="2683">
        <v>28</v>
      </c>
      <c r="F849" s="2683" t="s">
        <v>5922</v>
      </c>
      <c r="G849" s="2683" t="s">
        <v>5922</v>
      </c>
      <c r="H849" s="2683" t="s">
        <v>5922</v>
      </c>
      <c r="I849" s="2683" t="s">
        <v>5922</v>
      </c>
      <c r="J849" s="2683">
        <v>1.06</v>
      </c>
      <c r="K849" s="2684"/>
      <c r="L849" s="2683" t="s">
        <v>5922</v>
      </c>
    </row>
    <row r="850" spans="1:12">
      <c r="A850" s="2682" t="s">
        <v>146</v>
      </c>
      <c r="B850" s="2682" t="s">
        <v>6776</v>
      </c>
      <c r="C850" s="2682">
        <v>50</v>
      </c>
      <c r="D850" s="2682">
        <v>82</v>
      </c>
      <c r="E850" s="2682">
        <v>21.975999999999999</v>
      </c>
      <c r="F850" s="2682" t="s">
        <v>5922</v>
      </c>
      <c r="G850" s="2682" t="s">
        <v>5922</v>
      </c>
      <c r="H850" s="2682" t="s">
        <v>5922</v>
      </c>
      <c r="I850" s="2682" t="s">
        <v>5922</v>
      </c>
      <c r="J850" s="2682">
        <v>0.42499999999999999</v>
      </c>
      <c r="L850" s="2682" t="s">
        <v>5922</v>
      </c>
    </row>
    <row r="851" spans="1:12">
      <c r="A851" s="2683" t="s">
        <v>146</v>
      </c>
      <c r="B851" s="2683" t="s">
        <v>6777</v>
      </c>
      <c r="C851" s="2683">
        <v>254</v>
      </c>
      <c r="D851" s="2683">
        <v>324.97500000000002</v>
      </c>
      <c r="E851" s="2683">
        <v>39</v>
      </c>
      <c r="F851" s="2683" t="s">
        <v>5922</v>
      </c>
      <c r="G851" s="2683" t="s">
        <v>5922</v>
      </c>
      <c r="H851" s="2683" t="s">
        <v>5922</v>
      </c>
      <c r="I851" s="2683" t="s">
        <v>5922</v>
      </c>
      <c r="J851" s="2683">
        <v>8.06</v>
      </c>
      <c r="K851" s="2684"/>
      <c r="L851" s="2683" t="s">
        <v>5922</v>
      </c>
    </row>
    <row r="852" spans="1:12">
      <c r="A852" s="2682" t="s">
        <v>146</v>
      </c>
      <c r="B852" s="2682" t="s">
        <v>6778</v>
      </c>
      <c r="C852" s="2682">
        <v>170</v>
      </c>
      <c r="D852" s="2682">
        <v>230</v>
      </c>
      <c r="E852" s="2682">
        <v>39</v>
      </c>
      <c r="F852" s="2682" t="s">
        <v>5922</v>
      </c>
      <c r="G852" s="2682" t="s">
        <v>5922</v>
      </c>
      <c r="H852" s="2682" t="s">
        <v>5922</v>
      </c>
      <c r="I852" s="2682" t="s">
        <v>5922</v>
      </c>
      <c r="J852" s="2682">
        <v>4.45</v>
      </c>
      <c r="L852" s="2682" t="s">
        <v>5922</v>
      </c>
    </row>
    <row r="853" spans="1:12">
      <c r="A853" s="2683" t="s">
        <v>146</v>
      </c>
      <c r="B853" s="2683" t="s">
        <v>6779</v>
      </c>
      <c r="C853" s="2683">
        <v>65</v>
      </c>
      <c r="D853" s="2683">
        <v>120</v>
      </c>
      <c r="E853" s="2683">
        <v>39</v>
      </c>
      <c r="F853" s="2683" t="s">
        <v>5922</v>
      </c>
      <c r="G853" s="2683" t="s">
        <v>5922</v>
      </c>
      <c r="H853" s="2683" t="s">
        <v>5922</v>
      </c>
      <c r="I853" s="2683" t="s">
        <v>5922</v>
      </c>
      <c r="J853" s="2683">
        <v>1.86</v>
      </c>
      <c r="K853" s="2684"/>
      <c r="L853" s="2683" t="s">
        <v>5922</v>
      </c>
    </row>
    <row r="854" spans="1:12">
      <c r="A854" s="2682" t="s">
        <v>146</v>
      </c>
      <c r="B854" s="2682" t="s">
        <v>6780</v>
      </c>
      <c r="C854" s="2682">
        <v>114.3</v>
      </c>
      <c r="D854" s="2682">
        <v>228.6</v>
      </c>
      <c r="E854" s="2682">
        <v>33.975000000000001</v>
      </c>
      <c r="F854" s="2682" t="s">
        <v>5922</v>
      </c>
      <c r="G854" s="2682" t="s">
        <v>5922</v>
      </c>
      <c r="H854" s="2682" t="s">
        <v>5922</v>
      </c>
      <c r="I854" s="2682" t="s">
        <v>5922</v>
      </c>
      <c r="J854" s="2682">
        <v>9.7799999999999994</v>
      </c>
      <c r="L854" s="2682" t="s">
        <v>5922</v>
      </c>
    </row>
    <row r="855" spans="1:12">
      <c r="A855" s="2683" t="s">
        <v>146</v>
      </c>
      <c r="B855" s="2683" t="s">
        <v>6781</v>
      </c>
      <c r="C855" s="2683">
        <v>53.975000000000001</v>
      </c>
      <c r="D855" s="2683">
        <v>130.17500000000001</v>
      </c>
      <c r="E855" s="2683">
        <v>36.512</v>
      </c>
      <c r="F855" s="2683" t="s">
        <v>5922</v>
      </c>
      <c r="G855" s="2683" t="s">
        <v>5922</v>
      </c>
      <c r="H855" s="2683" t="s">
        <v>5922</v>
      </c>
      <c r="I855" s="2683" t="s">
        <v>5922</v>
      </c>
      <c r="J855" s="2683">
        <v>2.2400000000000002</v>
      </c>
      <c r="K855" s="2684"/>
      <c r="L855" s="2683" t="s">
        <v>5922</v>
      </c>
    </row>
    <row r="856" spans="1:12">
      <c r="A856" s="2682" t="s">
        <v>146</v>
      </c>
      <c r="B856" s="2682" t="s">
        <v>6782</v>
      </c>
      <c r="C856" s="2682">
        <v>117.8</v>
      </c>
      <c r="D856" s="2682">
        <v>288.92500000000001</v>
      </c>
      <c r="E856" s="2682">
        <v>63.5</v>
      </c>
      <c r="F856" s="2682" t="s">
        <v>5922</v>
      </c>
      <c r="G856" s="2682" t="s">
        <v>5922</v>
      </c>
      <c r="H856" s="2682" t="s">
        <v>5922</v>
      </c>
      <c r="I856" s="2682" t="s">
        <v>5922</v>
      </c>
      <c r="J856" s="2682">
        <v>16.7</v>
      </c>
      <c r="L856" s="2682" t="s">
        <v>5922</v>
      </c>
    </row>
    <row r="857" spans="1:12">
      <c r="A857" s="2683" t="s">
        <v>146</v>
      </c>
      <c r="B857" s="2683" t="s">
        <v>6783</v>
      </c>
      <c r="C857" s="2683">
        <v>174.625</v>
      </c>
      <c r="D857" s="2683">
        <v>288.92500000000001</v>
      </c>
      <c r="E857" s="2683">
        <v>63.5</v>
      </c>
      <c r="F857" s="2683" t="s">
        <v>5922</v>
      </c>
      <c r="G857" s="2683" t="s">
        <v>5922</v>
      </c>
      <c r="H857" s="2683" t="s">
        <v>5922</v>
      </c>
      <c r="I857" s="2683" t="s">
        <v>5922</v>
      </c>
      <c r="J857" s="2683">
        <v>16.899999999999999</v>
      </c>
      <c r="K857" s="2684"/>
      <c r="L857" s="2683" t="s">
        <v>5922</v>
      </c>
    </row>
    <row r="858" spans="1:12">
      <c r="A858" s="2682" t="s">
        <v>146</v>
      </c>
      <c r="B858" s="2682" t="s">
        <v>6784</v>
      </c>
      <c r="C858" s="2682">
        <v>165.1</v>
      </c>
      <c r="D858" s="2682">
        <v>336.55</v>
      </c>
      <c r="E858" s="2682">
        <v>92.075000000000003</v>
      </c>
      <c r="F858" s="2682" t="s">
        <v>5922</v>
      </c>
      <c r="G858" s="2682" t="s">
        <v>5922</v>
      </c>
      <c r="H858" s="2682" t="s">
        <v>5922</v>
      </c>
      <c r="I858" s="2682" t="s">
        <v>5922</v>
      </c>
      <c r="J858" s="2682">
        <v>37.4</v>
      </c>
      <c r="L858" s="2682" t="s">
        <v>5922</v>
      </c>
    </row>
    <row r="859" spans="1:12">
      <c r="A859" s="2683" t="s">
        <v>146</v>
      </c>
      <c r="B859" s="2683" t="s">
        <v>6785</v>
      </c>
      <c r="C859" s="2683">
        <v>206.375</v>
      </c>
      <c r="D859" s="2683">
        <v>336.55</v>
      </c>
      <c r="E859" s="2683">
        <v>98.424999999999997</v>
      </c>
      <c r="F859" s="2683" t="s">
        <v>5922</v>
      </c>
      <c r="G859" s="2683" t="s">
        <v>5922</v>
      </c>
      <c r="H859" s="2683" t="s">
        <v>5922</v>
      </c>
      <c r="I859" s="2683" t="s">
        <v>5922</v>
      </c>
      <c r="J859" s="2683">
        <v>33</v>
      </c>
      <c r="K859" s="2684"/>
      <c r="L859" s="2683" t="s">
        <v>5922</v>
      </c>
    </row>
    <row r="860" spans="1:12">
      <c r="A860" s="2682" t="s">
        <v>146</v>
      </c>
      <c r="B860" s="2682" t="s">
        <v>6786</v>
      </c>
      <c r="C860" s="2682">
        <v>127</v>
      </c>
      <c r="D860" s="2682">
        <v>228.6</v>
      </c>
      <c r="E860" s="2682">
        <v>53.975000000000001</v>
      </c>
      <c r="F860" s="2682" t="s">
        <v>5922</v>
      </c>
      <c r="G860" s="2682" t="s">
        <v>5922</v>
      </c>
      <c r="H860" s="2682" t="s">
        <v>5922</v>
      </c>
      <c r="I860" s="2682" t="s">
        <v>5922</v>
      </c>
      <c r="J860" s="2682">
        <v>0</v>
      </c>
      <c r="L860" s="2682" t="s">
        <v>5922</v>
      </c>
    </row>
    <row r="861" spans="1:12">
      <c r="A861" s="2683" t="s">
        <v>146</v>
      </c>
      <c r="B861" s="2683" t="s">
        <v>6787</v>
      </c>
      <c r="C861" s="2683">
        <v>60.325000000000003</v>
      </c>
      <c r="D861" s="2683">
        <v>130.17500000000001</v>
      </c>
      <c r="E861" s="2683">
        <v>36.512</v>
      </c>
      <c r="F861" s="2683" t="s">
        <v>5922</v>
      </c>
      <c r="G861" s="2683" t="s">
        <v>5922</v>
      </c>
      <c r="H861" s="2683" t="s">
        <v>5922</v>
      </c>
      <c r="I861" s="2683" t="s">
        <v>5922</v>
      </c>
      <c r="J861" s="2683">
        <v>0</v>
      </c>
      <c r="K861" s="2684"/>
      <c r="L861" s="2683" t="s">
        <v>5922</v>
      </c>
    </row>
    <row r="862" spans="1:12">
      <c r="A862" s="2682" t="s">
        <v>146</v>
      </c>
      <c r="B862" s="2682" t="s">
        <v>6788</v>
      </c>
      <c r="C862" s="2682">
        <v>44.45</v>
      </c>
      <c r="D862" s="2682">
        <v>95.25</v>
      </c>
      <c r="E862" s="2682">
        <v>30.957999999999998</v>
      </c>
      <c r="F862" s="2682" t="s">
        <v>5922</v>
      </c>
      <c r="G862" s="2682" t="s">
        <v>5922</v>
      </c>
      <c r="H862" s="2682" t="s">
        <v>5922</v>
      </c>
      <c r="I862" s="2682" t="s">
        <v>5922</v>
      </c>
      <c r="J862" s="2682">
        <v>0</v>
      </c>
      <c r="L862" s="2682" t="s">
        <v>5922</v>
      </c>
    </row>
    <row r="863" spans="1:12">
      <c r="A863" s="2683" t="s">
        <v>146</v>
      </c>
      <c r="B863" s="2683" t="s">
        <v>6789</v>
      </c>
      <c r="C863" s="2683">
        <v>44.45</v>
      </c>
      <c r="D863" s="2683">
        <v>95.25</v>
      </c>
      <c r="E863" s="2683">
        <v>30.957999999999998</v>
      </c>
      <c r="F863" s="2683" t="s">
        <v>5922</v>
      </c>
      <c r="G863" s="2683" t="s">
        <v>5922</v>
      </c>
      <c r="H863" s="2683" t="s">
        <v>5922</v>
      </c>
      <c r="I863" s="2683" t="s">
        <v>5922</v>
      </c>
      <c r="J863" s="2683">
        <v>0.99</v>
      </c>
      <c r="K863" s="2684"/>
      <c r="L863" s="2683" t="s">
        <v>5922</v>
      </c>
    </row>
    <row r="864" spans="1:12">
      <c r="A864" s="2682" t="s">
        <v>146</v>
      </c>
      <c r="B864" s="2682" t="s">
        <v>6790</v>
      </c>
      <c r="C864" s="2682">
        <v>36.512</v>
      </c>
      <c r="D864" s="2682">
        <v>76.2</v>
      </c>
      <c r="E864" s="2682">
        <v>29.37</v>
      </c>
      <c r="F864" s="2682" t="s">
        <v>5922</v>
      </c>
      <c r="G864" s="2682" t="s">
        <v>5922</v>
      </c>
      <c r="H864" s="2682" t="s">
        <v>5922</v>
      </c>
      <c r="I864" s="2682" t="s">
        <v>5922</v>
      </c>
      <c r="J864" s="2682">
        <v>0</v>
      </c>
      <c r="L864" s="2682" t="s">
        <v>5922</v>
      </c>
    </row>
    <row r="865" spans="1:12">
      <c r="A865" s="2683" t="s">
        <v>146</v>
      </c>
      <c r="B865" s="2683" t="s">
        <v>6791</v>
      </c>
      <c r="C865" s="2683">
        <v>36.512999999999998</v>
      </c>
      <c r="D865" s="2683">
        <v>76.2</v>
      </c>
      <c r="E865" s="2683">
        <v>29.37</v>
      </c>
      <c r="F865" s="2683" t="s">
        <v>5922</v>
      </c>
      <c r="G865" s="2683" t="s">
        <v>5922</v>
      </c>
      <c r="H865" s="2683" t="s">
        <v>5922</v>
      </c>
      <c r="I865" s="2683" t="s">
        <v>5922</v>
      </c>
      <c r="J865" s="2683">
        <v>0.63200000000000001</v>
      </c>
      <c r="K865" s="2684"/>
      <c r="L865" s="2683" t="s">
        <v>5922</v>
      </c>
    </row>
    <row r="866" spans="1:12">
      <c r="A866" s="2682" t="s">
        <v>146</v>
      </c>
      <c r="B866" s="2682" t="s">
        <v>6792</v>
      </c>
      <c r="C866" s="2682">
        <v>34.924999999999997</v>
      </c>
      <c r="D866" s="2682">
        <v>76.2</v>
      </c>
      <c r="E866" s="2682">
        <v>29.37</v>
      </c>
      <c r="F866" s="2682" t="s">
        <v>5922</v>
      </c>
      <c r="G866" s="2682" t="s">
        <v>5922</v>
      </c>
      <c r="H866" s="2682" t="s">
        <v>5922</v>
      </c>
      <c r="I866" s="2682" t="s">
        <v>5922</v>
      </c>
      <c r="J866" s="2682">
        <v>0.64600000000000002</v>
      </c>
      <c r="L866" s="2682" t="s">
        <v>5922</v>
      </c>
    </row>
    <row r="867" spans="1:12">
      <c r="A867" s="2683" t="s">
        <v>146</v>
      </c>
      <c r="B867" s="2683" t="s">
        <v>6793</v>
      </c>
      <c r="C867" s="2683">
        <v>34.924999999999997</v>
      </c>
      <c r="D867" s="2683">
        <v>76.2</v>
      </c>
      <c r="E867" s="2683">
        <v>29.37</v>
      </c>
      <c r="F867" s="2683" t="s">
        <v>5922</v>
      </c>
      <c r="G867" s="2683" t="s">
        <v>5922</v>
      </c>
      <c r="H867" s="2683" t="s">
        <v>5922</v>
      </c>
      <c r="I867" s="2683" t="s">
        <v>5922</v>
      </c>
      <c r="J867" s="2683">
        <v>0.65700000000000003</v>
      </c>
      <c r="K867" s="2684"/>
      <c r="L867" s="2683" t="s">
        <v>5922</v>
      </c>
    </row>
    <row r="868" spans="1:12">
      <c r="A868" s="2682" t="s">
        <v>146</v>
      </c>
      <c r="B868" s="2682" t="s">
        <v>6794</v>
      </c>
      <c r="C868" s="2682">
        <v>33.338000000000001</v>
      </c>
      <c r="D868" s="2682">
        <v>76.2</v>
      </c>
      <c r="E868" s="2682">
        <v>29.37</v>
      </c>
      <c r="F868" s="2682" t="s">
        <v>5922</v>
      </c>
      <c r="G868" s="2682" t="s">
        <v>5922</v>
      </c>
      <c r="H868" s="2682" t="s">
        <v>5922</v>
      </c>
      <c r="I868" s="2682" t="s">
        <v>5922</v>
      </c>
      <c r="J868" s="2682">
        <v>0</v>
      </c>
      <c r="L868" s="2682" t="s">
        <v>5922</v>
      </c>
    </row>
    <row r="869" spans="1:12">
      <c r="A869" s="2683" t="s">
        <v>146</v>
      </c>
      <c r="B869" s="2683" t="s">
        <v>6795</v>
      </c>
      <c r="C869" s="2683">
        <v>33.338000000000001</v>
      </c>
      <c r="D869" s="2683">
        <v>76.2</v>
      </c>
      <c r="E869" s="2683">
        <v>29.37</v>
      </c>
      <c r="F869" s="2683" t="s">
        <v>5922</v>
      </c>
      <c r="G869" s="2683" t="s">
        <v>5922</v>
      </c>
      <c r="H869" s="2683" t="s">
        <v>5922</v>
      </c>
      <c r="I869" s="2683" t="s">
        <v>5922</v>
      </c>
      <c r="J869" s="2683">
        <v>0</v>
      </c>
      <c r="K869" s="2684"/>
      <c r="L869" s="2683" t="s">
        <v>5922</v>
      </c>
    </row>
    <row r="870" spans="1:12">
      <c r="A870" s="2682" t="s">
        <v>146</v>
      </c>
      <c r="B870" s="2682" t="s">
        <v>6796</v>
      </c>
      <c r="C870" s="2682">
        <v>31.75</v>
      </c>
      <c r="D870" s="2682">
        <v>76.2</v>
      </c>
      <c r="E870" s="2682">
        <v>29.37</v>
      </c>
      <c r="F870" s="2682" t="s">
        <v>5922</v>
      </c>
      <c r="G870" s="2682" t="s">
        <v>5922</v>
      </c>
      <c r="H870" s="2682" t="s">
        <v>5922</v>
      </c>
      <c r="I870" s="2682" t="s">
        <v>5922</v>
      </c>
      <c r="J870" s="2682">
        <v>0</v>
      </c>
      <c r="L870" s="2682" t="s">
        <v>5922</v>
      </c>
    </row>
    <row r="871" spans="1:12">
      <c r="A871" s="2683" t="s">
        <v>146</v>
      </c>
      <c r="B871" s="2683" t="s">
        <v>6797</v>
      </c>
      <c r="C871" s="2683">
        <v>34.924999999999997</v>
      </c>
      <c r="D871" s="2683">
        <v>72.233000000000004</v>
      </c>
      <c r="E871" s="2683">
        <v>25.4</v>
      </c>
      <c r="F871" s="2683" t="s">
        <v>5922</v>
      </c>
      <c r="G871" s="2683" t="s">
        <v>5922</v>
      </c>
      <c r="H871" s="2683" t="s">
        <v>5922</v>
      </c>
      <c r="I871" s="2683" t="s">
        <v>5922</v>
      </c>
      <c r="J871" s="2683">
        <v>0.48899999999999999</v>
      </c>
      <c r="K871" s="2684"/>
      <c r="L871" s="2683" t="s">
        <v>5922</v>
      </c>
    </row>
    <row r="872" spans="1:12">
      <c r="A872" s="2682" t="s">
        <v>146</v>
      </c>
      <c r="B872" s="2682" t="s">
        <v>6798</v>
      </c>
      <c r="C872" s="2682">
        <v>0</v>
      </c>
      <c r="D872" s="2682">
        <v>0</v>
      </c>
      <c r="E872" s="2682">
        <v>0</v>
      </c>
      <c r="F872" s="2682" t="s">
        <v>5922</v>
      </c>
      <c r="G872" s="2682" t="s">
        <v>5922</v>
      </c>
      <c r="H872" s="2682" t="s">
        <v>5922</v>
      </c>
      <c r="I872" s="2682" t="s">
        <v>5922</v>
      </c>
      <c r="J872" s="2682">
        <v>0</v>
      </c>
      <c r="L872" s="2682" t="s">
        <v>5922</v>
      </c>
    </row>
    <row r="873" spans="1:12">
      <c r="A873" s="2683" t="s">
        <v>146</v>
      </c>
      <c r="B873" s="2683" t="s">
        <v>6799</v>
      </c>
      <c r="C873" s="2683">
        <v>31.75</v>
      </c>
      <c r="D873" s="2683">
        <v>73.025000000000006</v>
      </c>
      <c r="E873" s="2683">
        <v>29.37</v>
      </c>
      <c r="F873" s="2683" t="s">
        <v>5922</v>
      </c>
      <c r="G873" s="2683" t="s">
        <v>5922</v>
      </c>
      <c r="H873" s="2683" t="s">
        <v>5922</v>
      </c>
      <c r="I873" s="2683" t="s">
        <v>5922</v>
      </c>
      <c r="J873" s="2683">
        <v>0.61799999999999999</v>
      </c>
      <c r="K873" s="2684"/>
      <c r="L873" s="2683" t="s">
        <v>5922</v>
      </c>
    </row>
    <row r="874" spans="1:12">
      <c r="A874" s="2682" t="s">
        <v>146</v>
      </c>
      <c r="B874" s="2682" t="s">
        <v>6800</v>
      </c>
      <c r="C874" s="2682">
        <v>71.438000000000002</v>
      </c>
      <c r="D874" s="2682">
        <v>127</v>
      </c>
      <c r="E874" s="2682">
        <v>36.512</v>
      </c>
      <c r="F874" s="2682" t="s">
        <v>5922</v>
      </c>
      <c r="G874" s="2682" t="s">
        <v>5922</v>
      </c>
      <c r="H874" s="2682" t="s">
        <v>5922</v>
      </c>
      <c r="I874" s="2682" t="s">
        <v>5922</v>
      </c>
      <c r="J874" s="2682">
        <v>0</v>
      </c>
      <c r="L874" s="2682" t="s">
        <v>5922</v>
      </c>
    </row>
    <row r="875" spans="1:12">
      <c r="A875" s="2683" t="s">
        <v>146</v>
      </c>
      <c r="B875" s="2683" t="s">
        <v>6801</v>
      </c>
      <c r="C875" s="2683">
        <v>69.849999999999994</v>
      </c>
      <c r="D875" s="2683">
        <v>127</v>
      </c>
      <c r="E875" s="2683">
        <v>36.512</v>
      </c>
      <c r="F875" s="2683" t="s">
        <v>5922</v>
      </c>
      <c r="G875" s="2683" t="s">
        <v>5922</v>
      </c>
      <c r="H875" s="2683" t="s">
        <v>5922</v>
      </c>
      <c r="I875" s="2683" t="s">
        <v>5922</v>
      </c>
      <c r="J875" s="2683">
        <v>0</v>
      </c>
      <c r="K875" s="2684"/>
      <c r="L875" s="2683" t="s">
        <v>5922</v>
      </c>
    </row>
    <row r="876" spans="1:12">
      <c r="A876" s="2682" t="s">
        <v>146</v>
      </c>
      <c r="B876" s="2682" t="s">
        <v>6802</v>
      </c>
      <c r="C876" s="2682">
        <v>61.911999999999999</v>
      </c>
      <c r="D876" s="2682">
        <v>127</v>
      </c>
      <c r="E876" s="2682">
        <v>36.512</v>
      </c>
      <c r="F876" s="2682" t="s">
        <v>5922</v>
      </c>
      <c r="G876" s="2682" t="s">
        <v>5922</v>
      </c>
      <c r="H876" s="2682" t="s">
        <v>5922</v>
      </c>
      <c r="I876" s="2682" t="s">
        <v>5922</v>
      </c>
      <c r="J876" s="2682">
        <v>0</v>
      </c>
      <c r="L876" s="2682" t="s">
        <v>5922</v>
      </c>
    </row>
    <row r="877" spans="1:12">
      <c r="A877" s="2683" t="s">
        <v>146</v>
      </c>
      <c r="B877" s="2683" t="s">
        <v>6803</v>
      </c>
      <c r="C877" s="2683">
        <v>63.5</v>
      </c>
      <c r="D877" s="2683">
        <v>127</v>
      </c>
      <c r="E877" s="2683">
        <v>36.512</v>
      </c>
      <c r="F877" s="2683" t="s">
        <v>5922</v>
      </c>
      <c r="G877" s="2683" t="s">
        <v>5922</v>
      </c>
      <c r="H877" s="2683" t="s">
        <v>5922</v>
      </c>
      <c r="I877" s="2683" t="s">
        <v>5922</v>
      </c>
      <c r="J877" s="2683">
        <v>0</v>
      </c>
      <c r="K877" s="2684"/>
      <c r="L877" s="2683" t="s">
        <v>5922</v>
      </c>
    </row>
    <row r="878" spans="1:12">
      <c r="A878" s="2682" t="s">
        <v>146</v>
      </c>
      <c r="B878" s="2682" t="s">
        <v>6804</v>
      </c>
      <c r="C878" s="2682">
        <v>60.325000000000003</v>
      </c>
      <c r="D878" s="2682">
        <v>127</v>
      </c>
      <c r="E878" s="2682">
        <v>36.512</v>
      </c>
      <c r="F878" s="2682" t="s">
        <v>5922</v>
      </c>
      <c r="G878" s="2682" t="s">
        <v>5922</v>
      </c>
      <c r="H878" s="2682" t="s">
        <v>5922</v>
      </c>
      <c r="I878" s="2682" t="s">
        <v>5922</v>
      </c>
      <c r="J878" s="2682">
        <v>0</v>
      </c>
      <c r="L878" s="2682" t="s">
        <v>5922</v>
      </c>
    </row>
    <row r="879" spans="1:12">
      <c r="A879" s="2683" t="s">
        <v>146</v>
      </c>
      <c r="B879" s="2683" t="s">
        <v>6805</v>
      </c>
      <c r="C879" s="2683">
        <v>50.8</v>
      </c>
      <c r="D879" s="2683">
        <v>104.77500000000001</v>
      </c>
      <c r="E879" s="2683">
        <v>36.512</v>
      </c>
      <c r="F879" s="2683" t="s">
        <v>5922</v>
      </c>
      <c r="G879" s="2683" t="s">
        <v>5922</v>
      </c>
      <c r="H879" s="2683" t="s">
        <v>5922</v>
      </c>
      <c r="I879" s="2683" t="s">
        <v>5922</v>
      </c>
      <c r="J879" s="2683">
        <v>1.49</v>
      </c>
      <c r="K879" s="2684"/>
      <c r="L879" s="2683" t="s">
        <v>5922</v>
      </c>
    </row>
    <row r="880" spans="1:12">
      <c r="A880" s="2682" t="s">
        <v>146</v>
      </c>
      <c r="B880" s="2682" t="s">
        <v>6806</v>
      </c>
      <c r="C880" s="2682">
        <v>44.45</v>
      </c>
      <c r="D880" s="2682">
        <v>104.175</v>
      </c>
      <c r="E880" s="2682">
        <v>36.512</v>
      </c>
      <c r="F880" s="2682" t="s">
        <v>5922</v>
      </c>
      <c r="G880" s="2682" t="s">
        <v>5922</v>
      </c>
      <c r="H880" s="2682" t="s">
        <v>5922</v>
      </c>
      <c r="I880" s="2682" t="s">
        <v>5922</v>
      </c>
      <c r="J880" s="2682">
        <v>1.62</v>
      </c>
      <c r="L880" s="2682" t="s">
        <v>5922</v>
      </c>
    </row>
    <row r="881" spans="1:12">
      <c r="A881" s="2683" t="s">
        <v>146</v>
      </c>
      <c r="B881" s="2683" t="s">
        <v>6807</v>
      </c>
      <c r="C881" s="2683">
        <v>44.45</v>
      </c>
      <c r="D881" s="2683">
        <v>92.075000000000003</v>
      </c>
      <c r="E881" s="2683">
        <v>30.161999999999999</v>
      </c>
      <c r="F881" s="2683" t="s">
        <v>5922</v>
      </c>
      <c r="G881" s="2683" t="s">
        <v>5922</v>
      </c>
      <c r="H881" s="2683" t="s">
        <v>5922</v>
      </c>
      <c r="I881" s="2683" t="s">
        <v>5922</v>
      </c>
      <c r="J881" s="2683">
        <v>0.95299999999999996</v>
      </c>
      <c r="K881" s="2684"/>
      <c r="L881" s="2683" t="s">
        <v>5922</v>
      </c>
    </row>
    <row r="882" spans="1:12">
      <c r="A882" s="2682" t="s">
        <v>146</v>
      </c>
      <c r="B882" s="2682" t="s">
        <v>6808</v>
      </c>
      <c r="C882" s="2682">
        <v>44.45</v>
      </c>
      <c r="D882" s="2682">
        <v>88.9</v>
      </c>
      <c r="E882" s="2682">
        <v>30.161999999999999</v>
      </c>
      <c r="F882" s="2682" t="s">
        <v>5922</v>
      </c>
      <c r="G882" s="2682" t="s">
        <v>5922</v>
      </c>
      <c r="H882" s="2682" t="s">
        <v>5922</v>
      </c>
      <c r="I882" s="2682" t="s">
        <v>5922</v>
      </c>
      <c r="J882" s="2682">
        <v>0.83499999999999996</v>
      </c>
      <c r="L882" s="2682" t="s">
        <v>5922</v>
      </c>
    </row>
    <row r="883" spans="1:12">
      <c r="A883" s="2683" t="s">
        <v>146</v>
      </c>
      <c r="B883" s="2683" t="s">
        <v>6809</v>
      </c>
      <c r="C883" s="2683">
        <v>44.45</v>
      </c>
      <c r="D883" s="2683">
        <v>88.9</v>
      </c>
      <c r="E883" s="2683">
        <v>30.161999999999999</v>
      </c>
      <c r="F883" s="2683" t="s">
        <v>5922</v>
      </c>
      <c r="G883" s="2683" t="s">
        <v>5922</v>
      </c>
      <c r="H883" s="2683" t="s">
        <v>5922</v>
      </c>
      <c r="I883" s="2683" t="s">
        <v>5922</v>
      </c>
      <c r="J883" s="2683">
        <v>0.83</v>
      </c>
      <c r="K883" s="2684"/>
      <c r="L883" s="2683" t="s">
        <v>5922</v>
      </c>
    </row>
    <row r="884" spans="1:12">
      <c r="A884" s="2682" t="s">
        <v>146</v>
      </c>
      <c r="B884" s="2682" t="s">
        <v>6810</v>
      </c>
      <c r="C884" s="2682">
        <v>41.274999999999999</v>
      </c>
      <c r="D884" s="2682">
        <v>88.9</v>
      </c>
      <c r="E884" s="2682">
        <v>30.161999999999999</v>
      </c>
      <c r="F884" s="2682" t="s">
        <v>5922</v>
      </c>
      <c r="G884" s="2682" t="s">
        <v>5922</v>
      </c>
      <c r="H884" s="2682" t="s">
        <v>5922</v>
      </c>
      <c r="I884" s="2682" t="s">
        <v>5922</v>
      </c>
      <c r="J884" s="2682">
        <v>0.91500000000000004</v>
      </c>
      <c r="L884" s="2682" t="s">
        <v>5922</v>
      </c>
    </row>
    <row r="885" spans="1:12">
      <c r="A885" s="2683" t="s">
        <v>146</v>
      </c>
      <c r="B885" s="2683" t="s">
        <v>6811</v>
      </c>
      <c r="C885" s="2683">
        <v>41.274999999999999</v>
      </c>
      <c r="D885" s="2683">
        <v>88.9</v>
      </c>
      <c r="E885" s="2683">
        <v>30.163</v>
      </c>
      <c r="F885" s="2683" t="s">
        <v>5922</v>
      </c>
      <c r="G885" s="2683" t="s">
        <v>5922</v>
      </c>
      <c r="H885" s="2683" t="s">
        <v>5922</v>
      </c>
      <c r="I885" s="2683" t="s">
        <v>5922</v>
      </c>
      <c r="J885" s="2683">
        <v>0.89200000000000002</v>
      </c>
      <c r="K885" s="2684"/>
      <c r="L885" s="2683" t="s">
        <v>5922</v>
      </c>
    </row>
    <row r="886" spans="1:12">
      <c r="A886" s="2682" t="s">
        <v>146</v>
      </c>
      <c r="B886" s="2682" t="s">
        <v>6812</v>
      </c>
      <c r="C886" s="2682">
        <v>38.1</v>
      </c>
      <c r="D886" s="2682">
        <v>82.55</v>
      </c>
      <c r="E886" s="2682">
        <v>29.37</v>
      </c>
      <c r="F886" s="2682" t="s">
        <v>5922</v>
      </c>
      <c r="G886" s="2682" t="s">
        <v>5922</v>
      </c>
      <c r="H886" s="2682" t="s">
        <v>5922</v>
      </c>
      <c r="I886" s="2682" t="s">
        <v>5922</v>
      </c>
      <c r="J886" s="2682">
        <v>0.11</v>
      </c>
      <c r="L886" s="2682" t="s">
        <v>5922</v>
      </c>
    </row>
    <row r="887" spans="1:12">
      <c r="A887" s="2683" t="s">
        <v>146</v>
      </c>
      <c r="B887" s="2683" t="s">
        <v>6813</v>
      </c>
      <c r="C887" s="2683">
        <v>85.724999999999994</v>
      </c>
      <c r="D887" s="2683">
        <v>142.13800000000001</v>
      </c>
      <c r="E887" s="2683">
        <v>42.862000000000002</v>
      </c>
      <c r="F887" s="2683" t="s">
        <v>5922</v>
      </c>
      <c r="G887" s="2683" t="s">
        <v>5922</v>
      </c>
      <c r="H887" s="2683" t="s">
        <v>5922</v>
      </c>
      <c r="I887" s="2683" t="s">
        <v>5922</v>
      </c>
      <c r="J887" s="2683">
        <v>0</v>
      </c>
      <c r="K887" s="2684"/>
      <c r="L887" s="2683" t="s">
        <v>5922</v>
      </c>
    </row>
    <row r="888" spans="1:12">
      <c r="A888" s="2682" t="s">
        <v>146</v>
      </c>
      <c r="B888" s="2682" t="s">
        <v>6814</v>
      </c>
      <c r="C888" s="2682">
        <v>45.241999999999997</v>
      </c>
      <c r="D888" s="2682">
        <v>77.787999999999997</v>
      </c>
      <c r="E888" s="2682">
        <v>19.841999999999999</v>
      </c>
      <c r="F888" s="2682" t="s">
        <v>5922</v>
      </c>
      <c r="G888" s="2682" t="s">
        <v>5922</v>
      </c>
      <c r="H888" s="2682" t="s">
        <v>5922</v>
      </c>
      <c r="I888" s="2682" t="s">
        <v>5922</v>
      </c>
      <c r="J888" s="2682">
        <v>0.39100000000000001</v>
      </c>
      <c r="L888" s="2682" t="s">
        <v>5922</v>
      </c>
    </row>
    <row r="889" spans="1:12">
      <c r="A889" s="2683" t="s">
        <v>146</v>
      </c>
      <c r="B889" s="2683" t="s">
        <v>6815</v>
      </c>
      <c r="C889" s="2683">
        <v>88.9</v>
      </c>
      <c r="D889" s="2683">
        <v>152</v>
      </c>
      <c r="E889" s="2683">
        <v>39.688000000000002</v>
      </c>
      <c r="F889" s="2683" t="s">
        <v>5922</v>
      </c>
      <c r="G889" s="2683" t="s">
        <v>5922</v>
      </c>
      <c r="H889" s="2683" t="s">
        <v>5922</v>
      </c>
      <c r="I889" s="2683" t="s">
        <v>5922</v>
      </c>
      <c r="J889" s="2683">
        <v>0</v>
      </c>
      <c r="K889" s="2684"/>
      <c r="L889" s="2683" t="s">
        <v>5922</v>
      </c>
    </row>
    <row r="890" spans="1:12">
      <c r="A890" s="2682" t="s">
        <v>146</v>
      </c>
      <c r="B890" s="2682" t="s">
        <v>6816</v>
      </c>
      <c r="C890" s="2682">
        <v>88.9</v>
      </c>
      <c r="D890" s="2682">
        <v>152.4</v>
      </c>
      <c r="E890" s="2682">
        <v>39.688000000000002</v>
      </c>
      <c r="F890" s="2682" t="s">
        <v>5922</v>
      </c>
      <c r="G890" s="2682" t="s">
        <v>5922</v>
      </c>
      <c r="H890" s="2682" t="s">
        <v>5922</v>
      </c>
      <c r="I890" s="2682" t="s">
        <v>5922</v>
      </c>
      <c r="J890" s="2682">
        <v>2.86</v>
      </c>
      <c r="L890" s="2682" t="s">
        <v>5922</v>
      </c>
    </row>
    <row r="891" spans="1:12">
      <c r="A891" s="2683" t="s">
        <v>146</v>
      </c>
      <c r="B891" s="2683" t="s">
        <v>6817</v>
      </c>
      <c r="C891" s="2683">
        <v>82.55</v>
      </c>
      <c r="D891" s="2683">
        <v>133.35</v>
      </c>
      <c r="E891" s="2683">
        <v>39.688000000000002</v>
      </c>
      <c r="F891" s="2683" t="s">
        <v>5922</v>
      </c>
      <c r="G891" s="2683" t="s">
        <v>5922</v>
      </c>
      <c r="H891" s="2683" t="s">
        <v>5922</v>
      </c>
      <c r="I891" s="2683" t="s">
        <v>5922</v>
      </c>
      <c r="J891" s="2683">
        <v>0</v>
      </c>
      <c r="K891" s="2684"/>
      <c r="L891" s="2683" t="s">
        <v>5922</v>
      </c>
    </row>
    <row r="892" spans="1:12">
      <c r="A892" s="2682" t="s">
        <v>146</v>
      </c>
      <c r="B892" s="2682" t="s">
        <v>6818</v>
      </c>
      <c r="C892" s="2682">
        <v>384.17500000000001</v>
      </c>
      <c r="D892" s="2682">
        <v>546.1</v>
      </c>
      <c r="E892" s="2682">
        <v>104.77500000000001</v>
      </c>
      <c r="F892" s="2682" t="s">
        <v>5922</v>
      </c>
      <c r="G892" s="2682" t="s">
        <v>5922</v>
      </c>
      <c r="H892" s="2682" t="s">
        <v>5922</v>
      </c>
      <c r="I892" s="2682" t="s">
        <v>5922</v>
      </c>
      <c r="J892" s="2682">
        <v>0</v>
      </c>
      <c r="L892" s="2682" t="s">
        <v>5922</v>
      </c>
    </row>
    <row r="893" spans="1:12">
      <c r="A893" s="2683" t="s">
        <v>146</v>
      </c>
      <c r="B893" s="2683" t="s">
        <v>6819</v>
      </c>
      <c r="C893" s="2683">
        <v>101.6</v>
      </c>
      <c r="D893" s="2683">
        <v>250.875</v>
      </c>
      <c r="E893" s="2683">
        <v>76.2</v>
      </c>
      <c r="F893" s="2683" t="s">
        <v>5922</v>
      </c>
      <c r="G893" s="2683" t="s">
        <v>5922</v>
      </c>
      <c r="H893" s="2683" t="s">
        <v>5922</v>
      </c>
      <c r="I893" s="2683" t="s">
        <v>5922</v>
      </c>
      <c r="J893" s="2683">
        <v>0</v>
      </c>
      <c r="K893" s="2684"/>
      <c r="L893" s="2683" t="s">
        <v>5922</v>
      </c>
    </row>
    <row r="894" spans="1:12">
      <c r="A894" s="2682" t="s">
        <v>146</v>
      </c>
      <c r="B894" s="2682" t="s">
        <v>6820</v>
      </c>
      <c r="C894" s="2682">
        <v>49.212000000000003</v>
      </c>
      <c r="D894" s="2682">
        <v>114.3</v>
      </c>
      <c r="E894" s="2682">
        <v>44.45</v>
      </c>
      <c r="F894" s="2682" t="s">
        <v>5922</v>
      </c>
      <c r="G894" s="2682" t="s">
        <v>5922</v>
      </c>
      <c r="H894" s="2682" t="s">
        <v>5922</v>
      </c>
      <c r="I894" s="2682" t="s">
        <v>5922</v>
      </c>
      <c r="J894" s="2682">
        <v>0</v>
      </c>
      <c r="L894" s="2682" t="s">
        <v>5922</v>
      </c>
    </row>
    <row r="895" spans="1:12">
      <c r="A895" s="2683" t="s">
        <v>146</v>
      </c>
      <c r="B895" s="2683" t="s">
        <v>6821</v>
      </c>
      <c r="C895" s="2683">
        <v>247.65</v>
      </c>
      <c r="D895" s="2683">
        <v>406.4</v>
      </c>
      <c r="E895" s="2683">
        <v>115.88800000000001</v>
      </c>
      <c r="F895" s="2683" t="s">
        <v>5922</v>
      </c>
      <c r="G895" s="2683" t="s">
        <v>5922</v>
      </c>
      <c r="H895" s="2683" t="s">
        <v>5922</v>
      </c>
      <c r="I895" s="2683" t="s">
        <v>5922</v>
      </c>
      <c r="J895" s="2683">
        <v>0</v>
      </c>
      <c r="K895" s="2684"/>
      <c r="L895" s="2683" t="s">
        <v>5922</v>
      </c>
    </row>
    <row r="896" spans="1:12">
      <c r="A896" s="2682" t="s">
        <v>146</v>
      </c>
      <c r="B896" s="2682" t="s">
        <v>6822</v>
      </c>
      <c r="C896" s="2682">
        <v>152.4</v>
      </c>
      <c r="D896" s="2682">
        <v>307.97500000000002</v>
      </c>
      <c r="E896" s="2682">
        <v>88.9</v>
      </c>
      <c r="F896" s="2682" t="s">
        <v>5922</v>
      </c>
      <c r="G896" s="2682" t="s">
        <v>5922</v>
      </c>
      <c r="H896" s="2682" t="s">
        <v>5922</v>
      </c>
      <c r="I896" s="2682" t="s">
        <v>5922</v>
      </c>
      <c r="J896" s="2682">
        <v>30.9</v>
      </c>
      <c r="L896" s="2682" t="s">
        <v>5922</v>
      </c>
    </row>
    <row r="897" spans="1:12">
      <c r="A897" s="2683" t="s">
        <v>146</v>
      </c>
      <c r="B897" s="2683" t="s">
        <v>6823</v>
      </c>
      <c r="C897" s="2683">
        <v>114.3</v>
      </c>
      <c r="D897" s="2683">
        <v>212.72499999999999</v>
      </c>
      <c r="E897" s="2683">
        <v>66.674999999999997</v>
      </c>
      <c r="F897" s="2683" t="s">
        <v>5922</v>
      </c>
      <c r="G897" s="2683" t="s">
        <v>5922</v>
      </c>
      <c r="H897" s="2683" t="s">
        <v>5922</v>
      </c>
      <c r="I897" s="2683" t="s">
        <v>5922</v>
      </c>
      <c r="J897" s="2683">
        <v>0</v>
      </c>
      <c r="K897" s="2684"/>
      <c r="L897" s="2683" t="s">
        <v>5922</v>
      </c>
    </row>
    <row r="898" spans="1:12">
      <c r="A898" s="2682" t="s">
        <v>146</v>
      </c>
      <c r="B898" s="2682" t="s">
        <v>6824</v>
      </c>
      <c r="C898" s="2682">
        <v>107.95</v>
      </c>
      <c r="D898" s="2682">
        <v>212.72499999999999</v>
      </c>
      <c r="E898" s="2682">
        <v>66.674999999999997</v>
      </c>
      <c r="F898" s="2682" t="s">
        <v>5922</v>
      </c>
      <c r="G898" s="2682" t="s">
        <v>5922</v>
      </c>
      <c r="H898" s="2682" t="s">
        <v>5922</v>
      </c>
      <c r="I898" s="2682" t="s">
        <v>5922</v>
      </c>
      <c r="J898" s="2682">
        <v>0</v>
      </c>
      <c r="L898" s="2682" t="s">
        <v>5922</v>
      </c>
    </row>
    <row r="899" spans="1:12">
      <c r="A899" s="2683" t="s">
        <v>146</v>
      </c>
      <c r="B899" s="2683" t="s">
        <v>6825</v>
      </c>
      <c r="C899" s="2683">
        <v>101.6</v>
      </c>
      <c r="D899" s="2683">
        <v>212.72499999999999</v>
      </c>
      <c r="E899" s="2683">
        <v>66.674999999999997</v>
      </c>
      <c r="F899" s="2683" t="s">
        <v>5922</v>
      </c>
      <c r="G899" s="2683" t="s">
        <v>5922</v>
      </c>
      <c r="H899" s="2683" t="s">
        <v>5922</v>
      </c>
      <c r="I899" s="2683" t="s">
        <v>5922</v>
      </c>
      <c r="J899" s="2683">
        <v>11.1</v>
      </c>
      <c r="K899" s="2684"/>
      <c r="L899" s="2683" t="s">
        <v>5922</v>
      </c>
    </row>
    <row r="900" spans="1:12">
      <c r="A900" s="2682" t="s">
        <v>146</v>
      </c>
      <c r="B900" s="2682" t="s">
        <v>6826</v>
      </c>
      <c r="C900" s="2682">
        <v>101.6</v>
      </c>
      <c r="D900" s="2682">
        <v>190.5</v>
      </c>
      <c r="E900" s="2682">
        <v>57.15</v>
      </c>
      <c r="F900" s="2682" t="s">
        <v>5922</v>
      </c>
      <c r="G900" s="2682" t="s">
        <v>5922</v>
      </c>
      <c r="H900" s="2682" t="s">
        <v>5922</v>
      </c>
      <c r="I900" s="2682" t="s">
        <v>5922</v>
      </c>
      <c r="J900" s="2682">
        <v>7.87</v>
      </c>
      <c r="L900" s="2682" t="s">
        <v>5922</v>
      </c>
    </row>
    <row r="901" spans="1:12">
      <c r="A901" s="2683" t="s">
        <v>146</v>
      </c>
      <c r="B901" s="2683" t="s">
        <v>6827</v>
      </c>
      <c r="C901" s="2683">
        <v>88.9</v>
      </c>
      <c r="D901" s="2683">
        <v>190.5</v>
      </c>
      <c r="E901" s="2683">
        <v>57.15</v>
      </c>
      <c r="F901" s="2683" t="s">
        <v>5922</v>
      </c>
      <c r="G901" s="2683" t="s">
        <v>5922</v>
      </c>
      <c r="H901" s="2683" t="s">
        <v>5922</v>
      </c>
      <c r="I901" s="2683" t="s">
        <v>5922</v>
      </c>
      <c r="J901" s="2683">
        <v>7.87</v>
      </c>
      <c r="K901" s="2684"/>
      <c r="L901" s="2683" t="s">
        <v>5922</v>
      </c>
    </row>
    <row r="902" spans="1:12">
      <c r="A902" s="2682" t="s">
        <v>146</v>
      </c>
      <c r="B902" s="2682" t="s">
        <v>6828</v>
      </c>
      <c r="C902" s="2682">
        <v>76.2</v>
      </c>
      <c r="D902" s="2682">
        <v>190.5</v>
      </c>
      <c r="E902" s="2682">
        <v>57.15</v>
      </c>
      <c r="F902" s="2682" t="s">
        <v>5922</v>
      </c>
      <c r="G902" s="2682" t="s">
        <v>5922</v>
      </c>
      <c r="H902" s="2682" t="s">
        <v>5922</v>
      </c>
      <c r="I902" s="2682" t="s">
        <v>5922</v>
      </c>
      <c r="J902" s="2682">
        <v>0</v>
      </c>
      <c r="L902" s="2682" t="s">
        <v>5922</v>
      </c>
    </row>
    <row r="903" spans="1:12">
      <c r="A903" s="2683" t="s">
        <v>146</v>
      </c>
      <c r="B903" s="2683" t="s">
        <v>6829</v>
      </c>
      <c r="C903" s="2683">
        <v>76.2</v>
      </c>
      <c r="D903" s="2683">
        <v>180.97499999999999</v>
      </c>
      <c r="E903" s="2683">
        <v>14.3</v>
      </c>
      <c r="F903" s="2683" t="s">
        <v>5922</v>
      </c>
      <c r="G903" s="2683" t="s">
        <v>5922</v>
      </c>
      <c r="H903" s="2683" t="s">
        <v>5922</v>
      </c>
      <c r="I903" s="2683" t="s">
        <v>5922</v>
      </c>
      <c r="J903" s="2683">
        <v>13.6</v>
      </c>
      <c r="K903" s="2684"/>
      <c r="L903" s="2683" t="s">
        <v>5922</v>
      </c>
    </row>
    <row r="904" spans="1:12">
      <c r="A904" s="2682" t="s">
        <v>146</v>
      </c>
      <c r="B904" s="2682" t="s">
        <v>6830</v>
      </c>
      <c r="C904" s="2682">
        <v>69.849999999999994</v>
      </c>
      <c r="D904" s="2682">
        <v>146.05000000000001</v>
      </c>
      <c r="E904" s="2682">
        <v>41.174999999999997</v>
      </c>
      <c r="F904" s="2682" t="s">
        <v>5922</v>
      </c>
      <c r="G904" s="2682" t="s">
        <v>5922</v>
      </c>
      <c r="H904" s="2682" t="s">
        <v>5922</v>
      </c>
      <c r="I904" s="2682" t="s">
        <v>5922</v>
      </c>
      <c r="J904" s="2682">
        <v>2.97</v>
      </c>
      <c r="L904" s="2682" t="s">
        <v>5922</v>
      </c>
    </row>
    <row r="905" spans="1:12">
      <c r="A905" s="2683" t="s">
        <v>146</v>
      </c>
      <c r="B905" s="2683" t="s">
        <v>6831</v>
      </c>
      <c r="C905" s="2683">
        <v>61.911999999999999</v>
      </c>
      <c r="D905" s="2683">
        <v>146.05000000000001</v>
      </c>
      <c r="E905" s="2683">
        <v>41.274999999999999</v>
      </c>
      <c r="F905" s="2683" t="s">
        <v>5922</v>
      </c>
      <c r="G905" s="2683" t="s">
        <v>5922</v>
      </c>
      <c r="H905" s="2683" t="s">
        <v>5922</v>
      </c>
      <c r="I905" s="2683" t="s">
        <v>5922</v>
      </c>
      <c r="J905" s="2683">
        <v>0</v>
      </c>
      <c r="K905" s="2684"/>
      <c r="L905" s="2683" t="s">
        <v>5922</v>
      </c>
    </row>
    <row r="906" spans="1:12">
      <c r="A906" s="2682" t="s">
        <v>146</v>
      </c>
      <c r="B906" s="2682" t="s">
        <v>6832</v>
      </c>
      <c r="C906" s="2682">
        <v>68.262</v>
      </c>
      <c r="D906" s="2682">
        <v>136.52500000000001</v>
      </c>
      <c r="E906" s="2682">
        <v>46.037999999999997</v>
      </c>
      <c r="F906" s="2682" t="s">
        <v>5922</v>
      </c>
      <c r="G906" s="2682" t="s">
        <v>5922</v>
      </c>
      <c r="H906" s="2682" t="s">
        <v>5922</v>
      </c>
      <c r="I906" s="2682" t="s">
        <v>5922</v>
      </c>
      <c r="J906" s="2682">
        <v>0</v>
      </c>
      <c r="L906" s="2682" t="s">
        <v>5922</v>
      </c>
    </row>
    <row r="907" spans="1:12">
      <c r="A907" s="2683" t="s">
        <v>146</v>
      </c>
      <c r="B907" s="2683" t="s">
        <v>6833</v>
      </c>
      <c r="C907" s="2683">
        <v>66.674999999999997</v>
      </c>
      <c r="D907" s="2683">
        <v>136.52500000000001</v>
      </c>
      <c r="E907" s="2683">
        <v>46.037999999999997</v>
      </c>
      <c r="F907" s="2683" t="s">
        <v>5922</v>
      </c>
      <c r="G907" s="2683" t="s">
        <v>5922</v>
      </c>
      <c r="H907" s="2683" t="s">
        <v>5922</v>
      </c>
      <c r="I907" s="2683" t="s">
        <v>5922</v>
      </c>
      <c r="J907" s="2683">
        <v>0</v>
      </c>
      <c r="K907" s="2684"/>
      <c r="L907" s="2683" t="s">
        <v>5922</v>
      </c>
    </row>
    <row r="908" spans="1:12">
      <c r="A908" s="2682" t="s">
        <v>146</v>
      </c>
      <c r="B908" s="2682" t="s">
        <v>6834</v>
      </c>
      <c r="C908" s="2682">
        <v>65.087999999999994</v>
      </c>
      <c r="D908" s="2682">
        <v>136.52500000000001</v>
      </c>
      <c r="E908" s="2682">
        <v>46.037999999999997</v>
      </c>
      <c r="F908" s="2682" t="s">
        <v>5922</v>
      </c>
      <c r="G908" s="2682" t="s">
        <v>5922</v>
      </c>
      <c r="H908" s="2682" t="s">
        <v>5922</v>
      </c>
      <c r="I908" s="2682" t="s">
        <v>5922</v>
      </c>
      <c r="J908" s="2682">
        <v>0</v>
      </c>
      <c r="L908" s="2682" t="s">
        <v>5922</v>
      </c>
    </row>
    <row r="909" spans="1:12">
      <c r="A909" s="2683" t="s">
        <v>146</v>
      </c>
      <c r="B909" s="2683" t="s">
        <v>6835</v>
      </c>
      <c r="C909" s="2683">
        <v>63.5</v>
      </c>
      <c r="D909" s="2683">
        <v>136.52500000000001</v>
      </c>
      <c r="E909" s="2683">
        <v>46.037999999999997</v>
      </c>
      <c r="F909" s="2683" t="s">
        <v>5922</v>
      </c>
      <c r="G909" s="2683" t="s">
        <v>5922</v>
      </c>
      <c r="H909" s="2683" t="s">
        <v>5922</v>
      </c>
      <c r="I909" s="2683" t="s">
        <v>5922</v>
      </c>
      <c r="J909" s="2683">
        <v>0</v>
      </c>
      <c r="K909" s="2684"/>
      <c r="L909" s="2683" t="s">
        <v>5922</v>
      </c>
    </row>
    <row r="910" spans="1:12">
      <c r="A910" s="2682" t="s">
        <v>146</v>
      </c>
      <c r="B910" s="2682" t="s">
        <v>6836</v>
      </c>
      <c r="C910" s="2682">
        <v>61.911999999999999</v>
      </c>
      <c r="D910" s="2682">
        <v>139.69999999999999</v>
      </c>
      <c r="E910" s="2682">
        <v>46.037999999999997</v>
      </c>
      <c r="F910" s="2682" t="s">
        <v>5922</v>
      </c>
      <c r="G910" s="2682" t="s">
        <v>5922</v>
      </c>
      <c r="H910" s="2682" t="s">
        <v>5922</v>
      </c>
      <c r="I910" s="2682" t="s">
        <v>5922</v>
      </c>
      <c r="J910" s="2682">
        <v>0</v>
      </c>
      <c r="L910" s="2682" t="s">
        <v>5922</v>
      </c>
    </row>
    <row r="911" spans="1:12">
      <c r="A911" s="2683" t="s">
        <v>146</v>
      </c>
      <c r="B911" s="2683" t="s">
        <v>6837</v>
      </c>
      <c r="C911" s="2683">
        <v>60.325000000000003</v>
      </c>
      <c r="D911" s="2683">
        <v>136.52500000000001</v>
      </c>
      <c r="E911" s="2683">
        <v>46.037999999999997</v>
      </c>
      <c r="F911" s="2683" t="s">
        <v>5922</v>
      </c>
      <c r="G911" s="2683" t="s">
        <v>5922</v>
      </c>
      <c r="H911" s="2683" t="s">
        <v>5922</v>
      </c>
      <c r="I911" s="2683" t="s">
        <v>5922</v>
      </c>
      <c r="J911" s="2683">
        <v>0</v>
      </c>
      <c r="K911" s="2684"/>
      <c r="L911" s="2683" t="s">
        <v>5922</v>
      </c>
    </row>
    <row r="912" spans="1:12">
      <c r="A912" s="2682" t="s">
        <v>146</v>
      </c>
      <c r="B912" s="2682" t="s">
        <v>6838</v>
      </c>
      <c r="C912" s="2682">
        <v>71.438000000000002</v>
      </c>
      <c r="D912" s="2682">
        <v>136.52500000000001</v>
      </c>
      <c r="E912" s="2682">
        <v>46.037999999999997</v>
      </c>
      <c r="F912" s="2682" t="s">
        <v>5922</v>
      </c>
      <c r="G912" s="2682" t="s">
        <v>5922</v>
      </c>
      <c r="H912" s="2682" t="s">
        <v>5922</v>
      </c>
      <c r="I912" s="2682" t="s">
        <v>5922</v>
      </c>
      <c r="J912" s="2682">
        <v>0</v>
      </c>
      <c r="L912" s="2682" t="s">
        <v>5922</v>
      </c>
    </row>
    <row r="913" spans="1:12">
      <c r="A913" s="2683" t="s">
        <v>146</v>
      </c>
      <c r="B913" s="2683" t="s">
        <v>6839</v>
      </c>
      <c r="C913" s="2683">
        <v>71.438000000000002</v>
      </c>
      <c r="D913" s="2683">
        <v>136.52500000000001</v>
      </c>
      <c r="E913" s="2683">
        <v>41.274999999999999</v>
      </c>
      <c r="F913" s="2683" t="s">
        <v>5922</v>
      </c>
      <c r="G913" s="2683" t="s">
        <v>5922</v>
      </c>
      <c r="H913" s="2683" t="s">
        <v>5922</v>
      </c>
      <c r="I913" s="2683" t="s">
        <v>5922</v>
      </c>
      <c r="J913" s="2683">
        <v>0</v>
      </c>
      <c r="K913" s="2684"/>
      <c r="L913" s="2683" t="s">
        <v>5922</v>
      </c>
    </row>
    <row r="914" spans="1:12">
      <c r="A914" s="2682" t="s">
        <v>146</v>
      </c>
      <c r="B914" s="2682" t="s">
        <v>6840</v>
      </c>
      <c r="C914" s="2682">
        <v>68.262</v>
      </c>
      <c r="D914" s="2682">
        <v>136.52500000000001</v>
      </c>
      <c r="E914" s="2682">
        <v>41.274999999999999</v>
      </c>
      <c r="F914" s="2682" t="s">
        <v>5922</v>
      </c>
      <c r="G914" s="2682" t="s">
        <v>5922</v>
      </c>
      <c r="H914" s="2682" t="s">
        <v>5922</v>
      </c>
      <c r="I914" s="2682" t="s">
        <v>5922</v>
      </c>
      <c r="J914" s="2682">
        <v>0</v>
      </c>
      <c r="L914" s="2682" t="s">
        <v>5922</v>
      </c>
    </row>
    <row r="915" spans="1:12">
      <c r="A915" s="2683" t="s">
        <v>146</v>
      </c>
      <c r="B915" s="2683" t="s">
        <v>6841</v>
      </c>
      <c r="C915" s="2683">
        <v>66.674999999999997</v>
      </c>
      <c r="D915" s="2683">
        <v>136.52500000000001</v>
      </c>
      <c r="E915" s="2683">
        <v>41.274999999999999</v>
      </c>
      <c r="F915" s="2683" t="s">
        <v>5922</v>
      </c>
      <c r="G915" s="2683" t="s">
        <v>5922</v>
      </c>
      <c r="H915" s="2683" t="s">
        <v>5922</v>
      </c>
      <c r="I915" s="2683" t="s">
        <v>5922</v>
      </c>
      <c r="J915" s="2683">
        <v>0</v>
      </c>
      <c r="K915" s="2684"/>
      <c r="L915" s="2683" t="s">
        <v>5922</v>
      </c>
    </row>
    <row r="916" spans="1:12">
      <c r="A916" s="2682" t="s">
        <v>146</v>
      </c>
      <c r="B916" s="2682" t="s">
        <v>6842</v>
      </c>
      <c r="C916" s="2682">
        <v>63.5</v>
      </c>
      <c r="D916" s="2682">
        <v>136.52500000000001</v>
      </c>
      <c r="E916" s="2682">
        <v>41.274999999999999</v>
      </c>
      <c r="F916" s="2682" t="s">
        <v>5922</v>
      </c>
      <c r="G916" s="2682" t="s">
        <v>5922</v>
      </c>
      <c r="H916" s="2682" t="s">
        <v>5922</v>
      </c>
      <c r="I916" s="2682" t="s">
        <v>5922</v>
      </c>
      <c r="J916" s="2682">
        <v>3.03</v>
      </c>
      <c r="L916" s="2682" t="s">
        <v>5922</v>
      </c>
    </row>
    <row r="917" spans="1:12">
      <c r="A917" s="2683" t="s">
        <v>146</v>
      </c>
      <c r="B917" s="2683" t="s">
        <v>6843</v>
      </c>
      <c r="C917" s="2683">
        <v>234.95</v>
      </c>
      <c r="D917" s="2683">
        <v>384.17500000000001</v>
      </c>
      <c r="E917" s="2683">
        <v>112.712</v>
      </c>
      <c r="F917" s="2683" t="s">
        <v>5922</v>
      </c>
      <c r="G917" s="2683" t="s">
        <v>5922</v>
      </c>
      <c r="H917" s="2683" t="s">
        <v>5922</v>
      </c>
      <c r="I917" s="2683" t="s">
        <v>5922</v>
      </c>
      <c r="J917" s="2683">
        <v>0</v>
      </c>
      <c r="K917" s="2684"/>
      <c r="L917" s="2683" t="s">
        <v>5922</v>
      </c>
    </row>
    <row r="918" spans="1:12">
      <c r="A918" s="2682" t="s">
        <v>146</v>
      </c>
      <c r="B918" s="2682" t="s">
        <v>6844</v>
      </c>
      <c r="C918" s="2682">
        <v>200.02500000000001</v>
      </c>
      <c r="D918" s="2682">
        <v>384.17500000000001</v>
      </c>
      <c r="E918" s="2682">
        <v>112.712</v>
      </c>
      <c r="F918" s="2682" t="s">
        <v>5922</v>
      </c>
      <c r="G918" s="2682" t="s">
        <v>5922</v>
      </c>
      <c r="H918" s="2682" t="s">
        <v>5922</v>
      </c>
      <c r="I918" s="2682" t="s">
        <v>5922</v>
      </c>
      <c r="J918" s="2682">
        <v>0</v>
      </c>
      <c r="L918" s="2682" t="s">
        <v>5922</v>
      </c>
    </row>
    <row r="919" spans="1:12">
      <c r="A919" s="2683" t="s">
        <v>146</v>
      </c>
      <c r="B919" s="2683" t="s">
        <v>6845</v>
      </c>
      <c r="C919" s="2683">
        <v>206.375</v>
      </c>
      <c r="D919" s="2683">
        <v>336.55</v>
      </c>
      <c r="E919" s="2683">
        <v>98.424999999999997</v>
      </c>
      <c r="F919" s="2683" t="s">
        <v>5922</v>
      </c>
      <c r="G919" s="2683" t="s">
        <v>5922</v>
      </c>
      <c r="H919" s="2683" t="s">
        <v>5922</v>
      </c>
      <c r="I919" s="2683" t="s">
        <v>5922</v>
      </c>
      <c r="J919" s="2683">
        <v>0</v>
      </c>
      <c r="K919" s="2684"/>
      <c r="L919" s="2683" t="s">
        <v>5922</v>
      </c>
    </row>
    <row r="920" spans="1:12">
      <c r="A920" s="2682" t="s">
        <v>146</v>
      </c>
      <c r="B920" s="2682" t="s">
        <v>6846</v>
      </c>
      <c r="C920" s="2682">
        <v>187.32499999999999</v>
      </c>
      <c r="D920" s="2682">
        <v>320.67500000000001</v>
      </c>
      <c r="E920" s="2682">
        <v>88.9</v>
      </c>
      <c r="F920" s="2682" t="s">
        <v>5922</v>
      </c>
      <c r="G920" s="2682" t="s">
        <v>5922</v>
      </c>
      <c r="H920" s="2682" t="s">
        <v>5922</v>
      </c>
      <c r="I920" s="2682" t="s">
        <v>5922</v>
      </c>
      <c r="J920" s="2682">
        <v>0</v>
      </c>
      <c r="L920" s="2682" t="s">
        <v>5922</v>
      </c>
    </row>
    <row r="921" spans="1:12">
      <c r="A921" s="2683" t="s">
        <v>146</v>
      </c>
      <c r="B921" s="2683" t="s">
        <v>6847</v>
      </c>
      <c r="C921" s="2683">
        <v>99.995000000000005</v>
      </c>
      <c r="D921" s="2683">
        <v>225</v>
      </c>
      <c r="E921" s="2683">
        <v>119.962</v>
      </c>
      <c r="F921" s="2683" t="s">
        <v>5922</v>
      </c>
      <c r="G921" s="2683" t="s">
        <v>5922</v>
      </c>
      <c r="H921" s="2683" t="s">
        <v>5922</v>
      </c>
      <c r="I921" s="2683" t="s">
        <v>5922</v>
      </c>
      <c r="J921" s="2683">
        <v>25.1</v>
      </c>
      <c r="K921" s="2684"/>
      <c r="L921" s="2683" t="s">
        <v>5922</v>
      </c>
    </row>
    <row r="922" spans="1:12">
      <c r="A922" s="2682" t="s">
        <v>146</v>
      </c>
      <c r="B922" s="2682" t="s">
        <v>6848</v>
      </c>
      <c r="C922" s="2682">
        <v>304.8</v>
      </c>
      <c r="D922" s="2682">
        <v>495.3</v>
      </c>
      <c r="E922" s="2682">
        <v>76.2</v>
      </c>
      <c r="F922" s="2682" t="s">
        <v>5922</v>
      </c>
      <c r="G922" s="2682" t="s">
        <v>5922</v>
      </c>
      <c r="H922" s="2682" t="s">
        <v>5922</v>
      </c>
      <c r="I922" s="2682" t="s">
        <v>5922</v>
      </c>
      <c r="J922" s="2682">
        <v>0</v>
      </c>
      <c r="L922" s="2682" t="s">
        <v>5922</v>
      </c>
    </row>
    <row r="923" spans="1:12">
      <c r="A923" s="2683" t="s">
        <v>146</v>
      </c>
      <c r="B923" s="2683" t="s">
        <v>6849</v>
      </c>
      <c r="C923" s="2683">
        <v>241.3</v>
      </c>
      <c r="D923" s="2683">
        <v>444.5</v>
      </c>
      <c r="E923" s="2683">
        <v>101.6</v>
      </c>
      <c r="F923" s="2683" t="s">
        <v>5922</v>
      </c>
      <c r="G923" s="2683" t="s">
        <v>5922</v>
      </c>
      <c r="H923" s="2683" t="s">
        <v>5922</v>
      </c>
      <c r="I923" s="2683" t="s">
        <v>5922</v>
      </c>
      <c r="J923" s="2683">
        <v>65.900000000000006</v>
      </c>
      <c r="K923" s="2684"/>
      <c r="L923" s="2683" t="s">
        <v>5922</v>
      </c>
    </row>
    <row r="924" spans="1:12">
      <c r="A924" s="2682" t="s">
        <v>146</v>
      </c>
      <c r="B924" s="2682" t="s">
        <v>6850</v>
      </c>
      <c r="C924" s="2682">
        <v>406.4</v>
      </c>
      <c r="D924" s="2682">
        <v>609.6</v>
      </c>
      <c r="E924" s="2682">
        <v>92.075000000000003</v>
      </c>
      <c r="F924" s="2682" t="s">
        <v>5922</v>
      </c>
      <c r="G924" s="2682" t="s">
        <v>5922</v>
      </c>
      <c r="H924" s="2682" t="s">
        <v>5922</v>
      </c>
      <c r="I924" s="2682" t="s">
        <v>5922</v>
      </c>
      <c r="J924" s="2682">
        <v>0</v>
      </c>
      <c r="L924" s="2682" t="s">
        <v>5922</v>
      </c>
    </row>
    <row r="925" spans="1:12">
      <c r="A925" s="2683" t="s">
        <v>146</v>
      </c>
      <c r="B925" s="2683" t="s">
        <v>6851</v>
      </c>
      <c r="C925" s="2683">
        <v>558.79999999999995</v>
      </c>
      <c r="D925" s="2683">
        <v>736.6</v>
      </c>
      <c r="E925" s="2683">
        <v>88.108000000000004</v>
      </c>
      <c r="F925" s="2683" t="s">
        <v>5922</v>
      </c>
      <c r="G925" s="2683" t="s">
        <v>5922</v>
      </c>
      <c r="H925" s="2683" t="s">
        <v>5922</v>
      </c>
      <c r="I925" s="2683" t="s">
        <v>5922</v>
      </c>
      <c r="J925" s="2683">
        <v>0</v>
      </c>
      <c r="K925" s="2684"/>
      <c r="L925" s="2683" t="s">
        <v>5922</v>
      </c>
    </row>
    <row r="926" spans="1:12">
      <c r="A926" s="2682" t="s">
        <v>146</v>
      </c>
      <c r="B926" s="2682" t="s">
        <v>6852</v>
      </c>
      <c r="C926" s="2682">
        <v>254</v>
      </c>
      <c r="D926" s="2682">
        <v>444.5</v>
      </c>
      <c r="E926" s="2682">
        <v>76.2</v>
      </c>
      <c r="F926" s="2682" t="s">
        <v>5922</v>
      </c>
      <c r="G926" s="2682" t="s">
        <v>5922</v>
      </c>
      <c r="H926" s="2682" t="s">
        <v>5922</v>
      </c>
      <c r="I926" s="2682" t="s">
        <v>5922</v>
      </c>
      <c r="J926" s="2682">
        <v>0</v>
      </c>
      <c r="L926" s="2682" t="s">
        <v>5922</v>
      </c>
    </row>
    <row r="927" spans="1:12">
      <c r="A927" s="2683" t="s">
        <v>146</v>
      </c>
      <c r="B927" s="2683" t="s">
        <v>6853</v>
      </c>
      <c r="C927" s="2683">
        <v>304.8</v>
      </c>
      <c r="D927" s="2683">
        <v>558.79999999999995</v>
      </c>
      <c r="E927" s="2683">
        <v>136.52500000000001</v>
      </c>
      <c r="F927" s="2683" t="s">
        <v>5922</v>
      </c>
      <c r="G927" s="2683" t="s">
        <v>5922</v>
      </c>
      <c r="H927" s="2683" t="s">
        <v>5922</v>
      </c>
      <c r="I927" s="2683" t="s">
        <v>5922</v>
      </c>
      <c r="J927" s="2683">
        <v>0</v>
      </c>
      <c r="K927" s="2684"/>
      <c r="L927" s="2683" t="s">
        <v>5922</v>
      </c>
    </row>
    <row r="928" spans="1:12">
      <c r="A928" s="2682" t="s">
        <v>146</v>
      </c>
      <c r="B928" s="2682" t="s">
        <v>6854</v>
      </c>
      <c r="C928" s="2682">
        <v>292.10000000000002</v>
      </c>
      <c r="D928" s="2682">
        <v>558.79999999999995</v>
      </c>
      <c r="E928" s="2682">
        <v>136.52500000000001</v>
      </c>
      <c r="F928" s="2682" t="s">
        <v>5922</v>
      </c>
      <c r="G928" s="2682" t="s">
        <v>5922</v>
      </c>
      <c r="H928" s="2682" t="s">
        <v>5922</v>
      </c>
      <c r="I928" s="2682" t="s">
        <v>5922</v>
      </c>
      <c r="J928" s="2682">
        <v>0</v>
      </c>
      <c r="L928" s="2682" t="s">
        <v>5922</v>
      </c>
    </row>
    <row r="929" spans="1:12">
      <c r="A929" s="2683" t="s">
        <v>146</v>
      </c>
      <c r="B929" s="2683" t="s">
        <v>6855</v>
      </c>
      <c r="C929" s="2683">
        <v>838.2</v>
      </c>
      <c r="D929" s="2683">
        <v>1041.4000000000001</v>
      </c>
      <c r="E929" s="2683">
        <v>93.662000000000006</v>
      </c>
      <c r="F929" s="2683" t="s">
        <v>5922</v>
      </c>
      <c r="G929" s="2683" t="s">
        <v>5922</v>
      </c>
      <c r="H929" s="2683" t="s">
        <v>5922</v>
      </c>
      <c r="I929" s="2683" t="s">
        <v>5922</v>
      </c>
      <c r="J929" s="2683">
        <v>168</v>
      </c>
      <c r="K929" s="2684"/>
      <c r="L929" s="2683" t="s">
        <v>5922</v>
      </c>
    </row>
    <row r="930" spans="1:12">
      <c r="A930" s="2682" t="s">
        <v>146</v>
      </c>
      <c r="B930" s="2682" t="s">
        <v>6856</v>
      </c>
      <c r="C930" s="2682">
        <v>723.9</v>
      </c>
      <c r="D930" s="2682">
        <v>914.4</v>
      </c>
      <c r="E930" s="2682">
        <v>84.138000000000005</v>
      </c>
      <c r="F930" s="2682" t="s">
        <v>5922</v>
      </c>
      <c r="G930" s="2682" t="s">
        <v>5922</v>
      </c>
      <c r="H930" s="2682" t="s">
        <v>5922</v>
      </c>
      <c r="I930" s="2682" t="s">
        <v>5922</v>
      </c>
      <c r="J930" s="2682">
        <v>0</v>
      </c>
      <c r="L930" s="2682" t="s">
        <v>5922</v>
      </c>
    </row>
    <row r="931" spans="1:12">
      <c r="A931" s="2683" t="s">
        <v>146</v>
      </c>
      <c r="B931" s="2683" t="s">
        <v>6857</v>
      </c>
      <c r="C931" s="2683">
        <v>711.2</v>
      </c>
      <c r="D931" s="2683">
        <v>914.4</v>
      </c>
      <c r="E931" s="2683">
        <v>85.724999999999994</v>
      </c>
      <c r="F931" s="2683" t="s">
        <v>5922</v>
      </c>
      <c r="G931" s="2683" t="s">
        <v>5922</v>
      </c>
      <c r="H931" s="2683" t="s">
        <v>5922</v>
      </c>
      <c r="I931" s="2683" t="s">
        <v>5922</v>
      </c>
      <c r="J931" s="2683">
        <v>0</v>
      </c>
      <c r="K931" s="2684"/>
      <c r="L931" s="2683" t="s">
        <v>5922</v>
      </c>
    </row>
    <row r="932" spans="1:12">
      <c r="A932" s="2682" t="s">
        <v>146</v>
      </c>
      <c r="B932" s="2682" t="s">
        <v>6858</v>
      </c>
      <c r="C932" s="2682">
        <v>762</v>
      </c>
      <c r="D932" s="2682">
        <v>965.2</v>
      </c>
      <c r="E932" s="2682">
        <v>93.662000000000006</v>
      </c>
      <c r="F932" s="2682" t="s">
        <v>5922</v>
      </c>
      <c r="G932" s="2682" t="s">
        <v>5922</v>
      </c>
      <c r="H932" s="2682" t="s">
        <v>5922</v>
      </c>
      <c r="I932" s="2682" t="s">
        <v>5922</v>
      </c>
      <c r="J932" s="2682">
        <v>0</v>
      </c>
      <c r="L932" s="2682" t="s">
        <v>5922</v>
      </c>
    </row>
    <row r="933" spans="1:12">
      <c r="A933" s="2683" t="s">
        <v>146</v>
      </c>
      <c r="B933" s="2683" t="s">
        <v>6859</v>
      </c>
      <c r="C933" s="2683">
        <v>304.8</v>
      </c>
      <c r="D933" s="2683">
        <v>495.3</v>
      </c>
      <c r="E933" s="2683">
        <v>95.25</v>
      </c>
      <c r="F933" s="2683" t="s">
        <v>5922</v>
      </c>
      <c r="G933" s="2683" t="s">
        <v>5922</v>
      </c>
      <c r="H933" s="2683" t="s">
        <v>5922</v>
      </c>
      <c r="I933" s="2683" t="s">
        <v>5922</v>
      </c>
      <c r="J933" s="2683">
        <v>0</v>
      </c>
      <c r="K933" s="2684"/>
      <c r="L933" s="2683" t="s">
        <v>5922</v>
      </c>
    </row>
    <row r="934" spans="1:12">
      <c r="A934" s="2682" t="s">
        <v>146</v>
      </c>
      <c r="B934" s="2682" t="s">
        <v>6860</v>
      </c>
      <c r="C934" s="2682">
        <v>279.39999999999998</v>
      </c>
      <c r="D934" s="2682">
        <v>469.9</v>
      </c>
      <c r="E934" s="2682">
        <v>95.25</v>
      </c>
      <c r="F934" s="2682" t="s">
        <v>5922</v>
      </c>
      <c r="G934" s="2682" t="s">
        <v>5922</v>
      </c>
      <c r="H934" s="2682" t="s">
        <v>5922</v>
      </c>
      <c r="I934" s="2682" t="s">
        <v>5922</v>
      </c>
      <c r="J934" s="2682">
        <v>0</v>
      </c>
      <c r="L934" s="2682" t="s">
        <v>5922</v>
      </c>
    </row>
    <row r="935" spans="1:12">
      <c r="A935" s="2683" t="s">
        <v>146</v>
      </c>
      <c r="B935" s="2683" t="s">
        <v>6861</v>
      </c>
      <c r="C935" s="2683">
        <v>685.8</v>
      </c>
      <c r="D935" s="2683">
        <v>876.3</v>
      </c>
      <c r="E935" s="2683">
        <v>93.662000000000006</v>
      </c>
      <c r="F935" s="2683" t="s">
        <v>5922</v>
      </c>
      <c r="G935" s="2683" t="s">
        <v>5922</v>
      </c>
      <c r="H935" s="2683" t="s">
        <v>5922</v>
      </c>
      <c r="I935" s="2683" t="s">
        <v>5922</v>
      </c>
      <c r="J935" s="2683">
        <v>0</v>
      </c>
      <c r="K935" s="2684"/>
      <c r="L935" s="2683" t="s">
        <v>5922</v>
      </c>
    </row>
    <row r="936" spans="1:12">
      <c r="A936" s="2682" t="s">
        <v>146</v>
      </c>
      <c r="B936" s="2682" t="s">
        <v>6862</v>
      </c>
      <c r="C936" s="2682">
        <v>609.6</v>
      </c>
      <c r="D936" s="2682">
        <v>787.4</v>
      </c>
      <c r="E936" s="2682">
        <v>93.662000000000006</v>
      </c>
      <c r="F936" s="2682" t="s">
        <v>5922</v>
      </c>
      <c r="G936" s="2682" t="s">
        <v>5922</v>
      </c>
      <c r="H936" s="2682" t="s">
        <v>5922</v>
      </c>
      <c r="I936" s="2682" t="s">
        <v>5922</v>
      </c>
      <c r="J936" s="2682">
        <v>110</v>
      </c>
      <c r="L936" s="2682" t="s">
        <v>5922</v>
      </c>
    </row>
    <row r="937" spans="1:12">
      <c r="A937" s="2683" t="s">
        <v>146</v>
      </c>
      <c r="B937" s="2683" t="s">
        <v>6863</v>
      </c>
      <c r="C937" s="2683">
        <v>609.6</v>
      </c>
      <c r="D937" s="2683">
        <v>787.4</v>
      </c>
      <c r="E937" s="2683">
        <v>93.662000000000006</v>
      </c>
      <c r="F937" s="2683" t="s">
        <v>5922</v>
      </c>
      <c r="G937" s="2683" t="s">
        <v>5922</v>
      </c>
      <c r="H937" s="2683" t="s">
        <v>5922</v>
      </c>
      <c r="I937" s="2683" t="s">
        <v>5922</v>
      </c>
      <c r="J937" s="2683">
        <v>108</v>
      </c>
      <c r="K937" s="2684"/>
      <c r="L937" s="2683" t="s">
        <v>5922</v>
      </c>
    </row>
    <row r="938" spans="1:12">
      <c r="A938" s="2682" t="s">
        <v>146</v>
      </c>
      <c r="B938" s="2682" t="s">
        <v>6864</v>
      </c>
      <c r="C938" s="2682">
        <v>488.95</v>
      </c>
      <c r="D938" s="2682">
        <v>660.4</v>
      </c>
      <c r="E938" s="2682">
        <v>93.662000000000006</v>
      </c>
      <c r="F938" s="2682" t="s">
        <v>5922</v>
      </c>
      <c r="G938" s="2682" t="s">
        <v>5922</v>
      </c>
      <c r="H938" s="2682" t="s">
        <v>5922</v>
      </c>
      <c r="I938" s="2682" t="s">
        <v>5922</v>
      </c>
      <c r="J938" s="2682">
        <v>0</v>
      </c>
      <c r="L938" s="2682" t="s">
        <v>5922</v>
      </c>
    </row>
    <row r="939" spans="1:12">
      <c r="A939" s="2683" t="s">
        <v>146</v>
      </c>
      <c r="B939" s="2683" t="s">
        <v>6865</v>
      </c>
      <c r="C939" s="2683">
        <v>330.2</v>
      </c>
      <c r="D939" s="2683">
        <v>482.6</v>
      </c>
      <c r="E939" s="2683">
        <v>85.724999999999994</v>
      </c>
      <c r="F939" s="2683" t="s">
        <v>5922</v>
      </c>
      <c r="G939" s="2683" t="s">
        <v>5922</v>
      </c>
      <c r="H939" s="2683" t="s">
        <v>5922</v>
      </c>
      <c r="I939" s="2683" t="s">
        <v>5922</v>
      </c>
      <c r="J939" s="2683">
        <v>0</v>
      </c>
      <c r="K939" s="2684"/>
      <c r="L939" s="2683" t="s">
        <v>5922</v>
      </c>
    </row>
    <row r="940" spans="1:12">
      <c r="A940" s="2682" t="s">
        <v>146</v>
      </c>
      <c r="B940" s="2682" t="s">
        <v>6866</v>
      </c>
      <c r="C940" s="2682">
        <v>228.6</v>
      </c>
      <c r="D940" s="2682">
        <v>400.05</v>
      </c>
      <c r="E940" s="2682">
        <v>88.9</v>
      </c>
      <c r="F940" s="2682" t="s">
        <v>5922</v>
      </c>
      <c r="G940" s="2682" t="s">
        <v>5922</v>
      </c>
      <c r="H940" s="2682" t="s">
        <v>5922</v>
      </c>
      <c r="I940" s="2682" t="s">
        <v>5922</v>
      </c>
      <c r="J940" s="2682">
        <v>0</v>
      </c>
      <c r="L940" s="2682" t="s">
        <v>5922</v>
      </c>
    </row>
    <row r="941" spans="1:12">
      <c r="A941" s="2683" t="s">
        <v>146</v>
      </c>
      <c r="B941" s="2683" t="s">
        <v>6867</v>
      </c>
      <c r="C941" s="2683">
        <v>225.42500000000001</v>
      </c>
      <c r="D941" s="2683">
        <v>400.05</v>
      </c>
      <c r="E941" s="2683">
        <v>88.6</v>
      </c>
      <c r="F941" s="2683" t="s">
        <v>5922</v>
      </c>
      <c r="G941" s="2683" t="s">
        <v>5922</v>
      </c>
      <c r="H941" s="2683" t="s">
        <v>5922</v>
      </c>
      <c r="I941" s="2683" t="s">
        <v>5922</v>
      </c>
      <c r="J941" s="2683">
        <v>0</v>
      </c>
      <c r="K941" s="2684"/>
      <c r="L941" s="2683" t="s">
        <v>5922</v>
      </c>
    </row>
    <row r="942" spans="1:12">
      <c r="A942" s="2682" t="s">
        <v>146</v>
      </c>
      <c r="B942" s="2682" t="s">
        <v>6868</v>
      </c>
      <c r="C942" s="2682">
        <v>190.5</v>
      </c>
      <c r="D942" s="2682">
        <v>365.04899999999998</v>
      </c>
      <c r="E942" s="2682">
        <v>92.075000000000003</v>
      </c>
      <c r="F942" s="2682" t="s">
        <v>5922</v>
      </c>
      <c r="G942" s="2682" t="s">
        <v>5922</v>
      </c>
      <c r="H942" s="2682" t="s">
        <v>5922</v>
      </c>
      <c r="I942" s="2682" t="s">
        <v>5922</v>
      </c>
      <c r="J942" s="2682">
        <v>38.5</v>
      </c>
      <c r="L942" s="2682" t="s">
        <v>5922</v>
      </c>
    </row>
    <row r="943" spans="1:12">
      <c r="A943" s="2683" t="s">
        <v>146</v>
      </c>
      <c r="B943" s="2683" t="s">
        <v>6869</v>
      </c>
      <c r="C943" s="2683">
        <v>241.3</v>
      </c>
      <c r="D943" s="2683">
        <v>508</v>
      </c>
      <c r="E943" s="2683">
        <v>117.47499999999999</v>
      </c>
      <c r="F943" s="2683" t="s">
        <v>5922</v>
      </c>
      <c r="G943" s="2683" t="s">
        <v>5922</v>
      </c>
      <c r="H943" s="2683" t="s">
        <v>5922</v>
      </c>
      <c r="I943" s="2683" t="s">
        <v>5922</v>
      </c>
      <c r="J943" s="2683">
        <v>96.4</v>
      </c>
      <c r="K943" s="2684"/>
      <c r="L943" s="2683" t="s">
        <v>5922</v>
      </c>
    </row>
    <row r="944" spans="1:12">
      <c r="A944" s="2682" t="s">
        <v>146</v>
      </c>
      <c r="B944" s="2682" t="s">
        <v>6870</v>
      </c>
      <c r="C944" s="2682">
        <v>190.5</v>
      </c>
      <c r="D944" s="2682">
        <v>428.625</v>
      </c>
      <c r="E944" s="2682">
        <v>106.36199999999999</v>
      </c>
      <c r="F944" s="2682" t="s">
        <v>5922</v>
      </c>
      <c r="G944" s="2682" t="s">
        <v>5922</v>
      </c>
      <c r="H944" s="2682" t="s">
        <v>5922</v>
      </c>
      <c r="I944" s="2682" t="s">
        <v>5922</v>
      </c>
      <c r="J944" s="2682">
        <v>70.56</v>
      </c>
      <c r="L944" s="2682" t="s">
        <v>5922</v>
      </c>
    </row>
    <row r="945" spans="1:12">
      <c r="A945" s="2683" t="s">
        <v>146</v>
      </c>
      <c r="B945" s="2683" t="s">
        <v>6871</v>
      </c>
      <c r="C945" s="2683">
        <v>355.6</v>
      </c>
      <c r="D945" s="2683">
        <v>501.65</v>
      </c>
      <c r="E945" s="2683">
        <v>90.488</v>
      </c>
      <c r="F945" s="2683" t="s">
        <v>5922</v>
      </c>
      <c r="G945" s="2683" t="s">
        <v>5922</v>
      </c>
      <c r="H945" s="2683" t="s">
        <v>5922</v>
      </c>
      <c r="I945" s="2683" t="s">
        <v>5922</v>
      </c>
      <c r="J945" s="2683">
        <v>0</v>
      </c>
      <c r="K945" s="2684"/>
      <c r="L945" s="2683" t="s">
        <v>5922</v>
      </c>
    </row>
    <row r="946" spans="1:12">
      <c r="A946" s="2682" t="s">
        <v>146</v>
      </c>
      <c r="B946" s="2682" t="s">
        <v>6872</v>
      </c>
      <c r="C946" s="2682">
        <v>349.25</v>
      </c>
      <c r="D946" s="2682">
        <v>501.65</v>
      </c>
      <c r="E946" s="2682">
        <v>90.488</v>
      </c>
      <c r="F946" s="2682" t="s">
        <v>5922</v>
      </c>
      <c r="G946" s="2682" t="s">
        <v>5922</v>
      </c>
      <c r="H946" s="2682" t="s">
        <v>5922</v>
      </c>
      <c r="I946" s="2682" t="s">
        <v>5922</v>
      </c>
      <c r="J946" s="2682">
        <v>0</v>
      </c>
      <c r="L946" s="2682" t="s">
        <v>5922</v>
      </c>
    </row>
    <row r="947" spans="1:12">
      <c r="A947" s="2683" t="s">
        <v>146</v>
      </c>
      <c r="B947" s="2683" t="s">
        <v>6873</v>
      </c>
      <c r="C947" s="2683">
        <v>425.45</v>
      </c>
      <c r="D947" s="2683">
        <v>685.69799999999998</v>
      </c>
      <c r="E947" s="2683">
        <v>142.875</v>
      </c>
      <c r="F947" s="2683" t="s">
        <v>5922</v>
      </c>
      <c r="G947" s="2683" t="s">
        <v>5922</v>
      </c>
      <c r="H947" s="2683" t="s">
        <v>5922</v>
      </c>
      <c r="I947" s="2683" t="s">
        <v>5922</v>
      </c>
      <c r="J947" s="2683">
        <v>0</v>
      </c>
      <c r="K947" s="2684"/>
      <c r="L947" s="2683" t="s">
        <v>5922</v>
      </c>
    </row>
    <row r="948" spans="1:12">
      <c r="A948" s="2682" t="s">
        <v>146</v>
      </c>
      <c r="B948" s="2682" t="s">
        <v>6874</v>
      </c>
      <c r="C948" s="2682">
        <v>241.3</v>
      </c>
      <c r="D948" s="2682">
        <v>488.95</v>
      </c>
      <c r="E948" s="2682">
        <v>120.65</v>
      </c>
      <c r="F948" s="2682" t="s">
        <v>5922</v>
      </c>
      <c r="G948" s="2682" t="s">
        <v>5922</v>
      </c>
      <c r="H948" s="2682" t="s">
        <v>5922</v>
      </c>
      <c r="I948" s="2682" t="s">
        <v>5922</v>
      </c>
      <c r="J948" s="2682">
        <v>0</v>
      </c>
      <c r="L948" s="2682" t="s">
        <v>5922</v>
      </c>
    </row>
    <row r="949" spans="1:12">
      <c r="A949" s="2683" t="s">
        <v>146</v>
      </c>
      <c r="B949" s="2683" t="s">
        <v>6875</v>
      </c>
      <c r="C949" s="2683">
        <v>279.39999999999998</v>
      </c>
      <c r="D949" s="2683">
        <v>488.95</v>
      </c>
      <c r="E949" s="2683">
        <v>120.65</v>
      </c>
      <c r="F949" s="2683" t="s">
        <v>5922</v>
      </c>
      <c r="G949" s="2683" t="s">
        <v>5922</v>
      </c>
      <c r="H949" s="2683" t="s">
        <v>5922</v>
      </c>
      <c r="I949" s="2683" t="s">
        <v>5922</v>
      </c>
      <c r="J949" s="2683">
        <v>0</v>
      </c>
      <c r="K949" s="2684"/>
      <c r="L949" s="2683" t="s">
        <v>5922</v>
      </c>
    </row>
    <row r="950" spans="1:12">
      <c r="A950" s="2682" t="s">
        <v>146</v>
      </c>
      <c r="B950" s="2682" t="s">
        <v>6876</v>
      </c>
      <c r="C950" s="2682">
        <v>260.35000000000002</v>
      </c>
      <c r="D950" s="2682">
        <v>488.95</v>
      </c>
      <c r="E950" s="2682">
        <v>120.65</v>
      </c>
      <c r="F950" s="2682" t="s">
        <v>5922</v>
      </c>
      <c r="G950" s="2682" t="s">
        <v>5922</v>
      </c>
      <c r="H950" s="2682" t="s">
        <v>5922</v>
      </c>
      <c r="I950" s="2682" t="s">
        <v>5922</v>
      </c>
      <c r="J950" s="2682">
        <v>0</v>
      </c>
      <c r="L950" s="2682" t="s">
        <v>5922</v>
      </c>
    </row>
    <row r="951" spans="1:12">
      <c r="A951" s="2683" t="s">
        <v>146</v>
      </c>
      <c r="B951" s="2683" t="s">
        <v>6877</v>
      </c>
      <c r="C951" s="2683">
        <v>317.5</v>
      </c>
      <c r="D951" s="2683">
        <v>444.5</v>
      </c>
      <c r="E951" s="2683">
        <v>63.5</v>
      </c>
      <c r="F951" s="2683" t="s">
        <v>5922</v>
      </c>
      <c r="G951" s="2683" t="s">
        <v>5922</v>
      </c>
      <c r="H951" s="2683" t="s">
        <v>5922</v>
      </c>
      <c r="I951" s="2683" t="s">
        <v>5922</v>
      </c>
      <c r="J951" s="2683">
        <v>0</v>
      </c>
      <c r="K951" s="2684"/>
      <c r="L951" s="2683" t="s">
        <v>5922</v>
      </c>
    </row>
    <row r="952" spans="1:12">
      <c r="A952" s="2682" t="s">
        <v>146</v>
      </c>
      <c r="B952" s="2682" t="s">
        <v>6878</v>
      </c>
      <c r="C952" s="2682">
        <v>304.8</v>
      </c>
      <c r="D952" s="2682">
        <v>444.5</v>
      </c>
      <c r="E952" s="2682">
        <v>63.5</v>
      </c>
      <c r="F952" s="2682" t="s">
        <v>5922</v>
      </c>
      <c r="G952" s="2682" t="s">
        <v>5922</v>
      </c>
      <c r="H952" s="2682" t="s">
        <v>5922</v>
      </c>
      <c r="I952" s="2682" t="s">
        <v>5922</v>
      </c>
      <c r="J952" s="2682">
        <v>25.1</v>
      </c>
      <c r="L952" s="2682" t="s">
        <v>6879</v>
      </c>
    </row>
    <row r="953" spans="1:12">
      <c r="A953" s="2683" t="s">
        <v>146</v>
      </c>
      <c r="B953" s="2683" t="s">
        <v>6880</v>
      </c>
      <c r="C953" s="2683">
        <v>1155.7</v>
      </c>
      <c r="D953" s="2683">
        <v>1435.1</v>
      </c>
      <c r="E953" s="2683">
        <v>120.65</v>
      </c>
      <c r="F953" s="2683" t="s">
        <v>5922</v>
      </c>
      <c r="G953" s="2683" t="s">
        <v>5922</v>
      </c>
      <c r="H953" s="2683" t="s">
        <v>5922</v>
      </c>
      <c r="I953" s="2683" t="s">
        <v>5922</v>
      </c>
      <c r="J953" s="2683">
        <v>0</v>
      </c>
      <c r="K953" s="2684"/>
      <c r="L953" s="2683" t="s">
        <v>5922</v>
      </c>
    </row>
    <row r="954" spans="1:12">
      <c r="A954" s="2682" t="s">
        <v>146</v>
      </c>
      <c r="B954" s="2682" t="s">
        <v>6881</v>
      </c>
      <c r="C954" s="2682">
        <v>273.05</v>
      </c>
      <c r="D954" s="2682">
        <v>393.7</v>
      </c>
      <c r="E954" s="2682">
        <v>73.816999999999993</v>
      </c>
      <c r="F954" s="2682" t="s">
        <v>5922</v>
      </c>
      <c r="G954" s="2682" t="s">
        <v>5922</v>
      </c>
      <c r="H954" s="2682" t="s">
        <v>5922</v>
      </c>
      <c r="I954" s="2682" t="s">
        <v>5922</v>
      </c>
      <c r="J954" s="2682">
        <v>0</v>
      </c>
      <c r="L954" s="2682" t="s">
        <v>5922</v>
      </c>
    </row>
    <row r="955" spans="1:12">
      <c r="A955" s="2683" t="s">
        <v>146</v>
      </c>
      <c r="B955" s="2683" t="s">
        <v>6882</v>
      </c>
      <c r="C955" s="2683">
        <v>266.7</v>
      </c>
      <c r="D955" s="2683">
        <v>393.7</v>
      </c>
      <c r="E955" s="2683">
        <v>73.816999999999993</v>
      </c>
      <c r="F955" s="2683" t="s">
        <v>5922</v>
      </c>
      <c r="G955" s="2683" t="s">
        <v>5922</v>
      </c>
      <c r="H955" s="2683" t="s">
        <v>5922</v>
      </c>
      <c r="I955" s="2683" t="s">
        <v>5922</v>
      </c>
      <c r="J955" s="2683">
        <v>0</v>
      </c>
      <c r="K955" s="2684"/>
      <c r="L955" s="2683" t="s">
        <v>5922</v>
      </c>
    </row>
    <row r="956" spans="1:12">
      <c r="A956" s="2682" t="s">
        <v>146</v>
      </c>
      <c r="B956" s="2682" t="s">
        <v>6883</v>
      </c>
      <c r="C956" s="2682">
        <v>254</v>
      </c>
      <c r="D956" s="2682">
        <v>393.7</v>
      </c>
      <c r="E956" s="2682">
        <v>73.816999999999993</v>
      </c>
      <c r="F956" s="2682" t="s">
        <v>5922</v>
      </c>
      <c r="G956" s="2682" t="s">
        <v>5922</v>
      </c>
      <c r="H956" s="2682" t="s">
        <v>5922</v>
      </c>
      <c r="I956" s="2682" t="s">
        <v>5922</v>
      </c>
      <c r="J956" s="2682">
        <v>0</v>
      </c>
      <c r="L956" s="2682" t="s">
        <v>5922</v>
      </c>
    </row>
    <row r="957" spans="1:12">
      <c r="A957" s="2683" t="s">
        <v>146</v>
      </c>
      <c r="B957" s="2683" t="s">
        <v>6884</v>
      </c>
      <c r="C957" s="2683">
        <v>241.3</v>
      </c>
      <c r="D957" s="2683">
        <v>393.7</v>
      </c>
      <c r="E957" s="2683">
        <v>73.816999999999993</v>
      </c>
      <c r="F957" s="2683" t="s">
        <v>5922</v>
      </c>
      <c r="G957" s="2683" t="s">
        <v>5922</v>
      </c>
      <c r="H957" s="2683" t="s">
        <v>5922</v>
      </c>
      <c r="I957" s="2683" t="s">
        <v>5922</v>
      </c>
      <c r="J957" s="2683">
        <v>0</v>
      </c>
      <c r="K957" s="2684"/>
      <c r="L957" s="2683" t="s">
        <v>5922</v>
      </c>
    </row>
    <row r="958" spans="1:12">
      <c r="A958" s="2682" t="s">
        <v>146</v>
      </c>
      <c r="B958" s="2682" t="s">
        <v>6885</v>
      </c>
      <c r="C958" s="2682">
        <v>457.2</v>
      </c>
      <c r="D958" s="2682">
        <v>596.9</v>
      </c>
      <c r="E958" s="2682">
        <v>76.2</v>
      </c>
      <c r="F958" s="2682" t="s">
        <v>5922</v>
      </c>
      <c r="G958" s="2682" t="s">
        <v>5922</v>
      </c>
      <c r="H958" s="2682" t="s">
        <v>5922</v>
      </c>
      <c r="I958" s="2682" t="s">
        <v>5922</v>
      </c>
      <c r="J958" s="2682">
        <v>0</v>
      </c>
      <c r="L958" s="2682" t="s">
        <v>5922</v>
      </c>
    </row>
    <row r="959" spans="1:12">
      <c r="A959" s="2683" t="s">
        <v>146</v>
      </c>
      <c r="B959" s="2683" t="s">
        <v>6886</v>
      </c>
      <c r="C959" s="2683">
        <v>498.47500000000002</v>
      </c>
      <c r="D959" s="2683">
        <v>634.87300000000005</v>
      </c>
      <c r="E959" s="2683">
        <v>80.962000000000003</v>
      </c>
      <c r="F959" s="2683" t="s">
        <v>5922</v>
      </c>
      <c r="G959" s="2683" t="s">
        <v>5922</v>
      </c>
      <c r="H959" s="2683" t="s">
        <v>5922</v>
      </c>
      <c r="I959" s="2683" t="s">
        <v>5922</v>
      </c>
      <c r="J959" s="2683">
        <v>62.33</v>
      </c>
      <c r="K959" s="2684"/>
      <c r="L959" s="2683" t="s">
        <v>5922</v>
      </c>
    </row>
    <row r="960" spans="1:12">
      <c r="A960" s="2682" t="s">
        <v>146</v>
      </c>
      <c r="B960" s="2682" t="s">
        <v>6887</v>
      </c>
      <c r="C960" s="2682">
        <v>489.02600000000001</v>
      </c>
      <c r="D960" s="2682">
        <v>634.87300000000005</v>
      </c>
      <c r="E960" s="2682">
        <v>80.962000000000003</v>
      </c>
      <c r="F960" s="2682" t="s">
        <v>5922</v>
      </c>
      <c r="G960" s="2682" t="s">
        <v>5922</v>
      </c>
      <c r="H960" s="2682" t="s">
        <v>5922</v>
      </c>
      <c r="I960" s="2682" t="s">
        <v>5922</v>
      </c>
      <c r="J960" s="2682">
        <v>0</v>
      </c>
      <c r="L960" s="2682" t="s">
        <v>5922</v>
      </c>
    </row>
    <row r="961" spans="1:12">
      <c r="A961" s="2683" t="s">
        <v>146</v>
      </c>
      <c r="B961" s="2683" t="s">
        <v>6888</v>
      </c>
      <c r="C961" s="2683">
        <v>482.6</v>
      </c>
      <c r="D961" s="2683">
        <v>634.87300000000005</v>
      </c>
      <c r="E961" s="2683">
        <v>80.962000000000003</v>
      </c>
      <c r="F961" s="2683" t="s">
        <v>5922</v>
      </c>
      <c r="G961" s="2683" t="s">
        <v>5922</v>
      </c>
      <c r="H961" s="2683" t="s">
        <v>5922</v>
      </c>
      <c r="I961" s="2683" t="s">
        <v>5922</v>
      </c>
      <c r="J961" s="2683">
        <v>0</v>
      </c>
      <c r="K961" s="2684"/>
      <c r="L961" s="2683" t="s">
        <v>5922</v>
      </c>
    </row>
    <row r="962" spans="1:12">
      <c r="A962" s="2682" t="s">
        <v>146</v>
      </c>
      <c r="B962" s="2682" t="s">
        <v>6889</v>
      </c>
      <c r="C962" s="2682">
        <v>431.8</v>
      </c>
      <c r="D962" s="2682">
        <v>603.25</v>
      </c>
      <c r="E962" s="2682">
        <v>76.2</v>
      </c>
      <c r="F962" s="2682" t="s">
        <v>5922</v>
      </c>
      <c r="G962" s="2682" t="s">
        <v>5922</v>
      </c>
      <c r="H962" s="2682" t="s">
        <v>5922</v>
      </c>
      <c r="I962" s="2682" t="s">
        <v>5922</v>
      </c>
      <c r="J962" s="2682">
        <v>0</v>
      </c>
      <c r="L962" s="2682" t="s">
        <v>5922</v>
      </c>
    </row>
    <row r="963" spans="1:12">
      <c r="A963" s="2683" t="s">
        <v>146</v>
      </c>
      <c r="B963" s="2683" t="s">
        <v>6890</v>
      </c>
      <c r="C963" s="2683">
        <v>406.4</v>
      </c>
      <c r="D963" s="2683">
        <v>558.79999999999995</v>
      </c>
      <c r="E963" s="2683">
        <v>65.087999999999994</v>
      </c>
      <c r="F963" s="2683" t="s">
        <v>5922</v>
      </c>
      <c r="G963" s="2683" t="s">
        <v>5922</v>
      </c>
      <c r="H963" s="2683" t="s">
        <v>5922</v>
      </c>
      <c r="I963" s="2683" t="s">
        <v>5922</v>
      </c>
      <c r="J963" s="2683">
        <v>0</v>
      </c>
      <c r="K963" s="2684"/>
      <c r="L963" s="2683" t="s">
        <v>5922</v>
      </c>
    </row>
    <row r="964" spans="1:12">
      <c r="A964" s="2682" t="s">
        <v>146</v>
      </c>
      <c r="B964" s="2682" t="s">
        <v>6891</v>
      </c>
      <c r="C964" s="2682">
        <v>396.875</v>
      </c>
      <c r="D964" s="2682">
        <v>546.1</v>
      </c>
      <c r="E964" s="2682">
        <v>76.2</v>
      </c>
      <c r="F964" s="2682" t="s">
        <v>5922</v>
      </c>
      <c r="G964" s="2682" t="s">
        <v>5922</v>
      </c>
      <c r="H964" s="2682" t="s">
        <v>5922</v>
      </c>
      <c r="I964" s="2682" t="s">
        <v>5922</v>
      </c>
      <c r="J964" s="2682">
        <v>0</v>
      </c>
      <c r="L964" s="2682" t="s">
        <v>5922</v>
      </c>
    </row>
    <row r="965" spans="1:12">
      <c r="A965" s="2683" t="s">
        <v>146</v>
      </c>
      <c r="B965" s="2683" t="s">
        <v>6892</v>
      </c>
      <c r="C965" s="2683">
        <v>371.47500000000002</v>
      </c>
      <c r="D965" s="2683">
        <v>514.35</v>
      </c>
      <c r="E965" s="2683">
        <v>74.611999999999995</v>
      </c>
      <c r="F965" s="2683" t="s">
        <v>5922</v>
      </c>
      <c r="G965" s="2683" t="s">
        <v>5922</v>
      </c>
      <c r="H965" s="2683" t="s">
        <v>5922</v>
      </c>
      <c r="I965" s="2683" t="s">
        <v>5922</v>
      </c>
      <c r="J965" s="2683">
        <v>0</v>
      </c>
      <c r="K965" s="2684"/>
      <c r="L965" s="2683" t="s">
        <v>5922</v>
      </c>
    </row>
    <row r="966" spans="1:12">
      <c r="A966" s="2682" t="s">
        <v>146</v>
      </c>
      <c r="B966" s="2682" t="s">
        <v>6893</v>
      </c>
      <c r="C966" s="2682">
        <v>260.35000000000002</v>
      </c>
      <c r="D966" s="2682">
        <v>400.05</v>
      </c>
      <c r="E966" s="2682">
        <v>69.849999999999994</v>
      </c>
      <c r="F966" s="2682" t="s">
        <v>5922</v>
      </c>
      <c r="G966" s="2682" t="s">
        <v>5922</v>
      </c>
      <c r="H966" s="2682" t="s">
        <v>5922</v>
      </c>
      <c r="I966" s="2682" t="s">
        <v>5922</v>
      </c>
      <c r="J966" s="2682">
        <v>0</v>
      </c>
      <c r="L966" s="2682" t="s">
        <v>5922</v>
      </c>
    </row>
    <row r="967" spans="1:12">
      <c r="A967" s="2683" t="s">
        <v>146</v>
      </c>
      <c r="B967" s="2683" t="s">
        <v>6894</v>
      </c>
      <c r="C967" s="2683">
        <v>346.07499999999999</v>
      </c>
      <c r="D967" s="2683">
        <v>482.6</v>
      </c>
      <c r="E967" s="2683">
        <v>66.674999999999997</v>
      </c>
      <c r="F967" s="2683" t="s">
        <v>5922</v>
      </c>
      <c r="G967" s="2683" t="s">
        <v>5922</v>
      </c>
      <c r="H967" s="2683" t="s">
        <v>5922</v>
      </c>
      <c r="I967" s="2683" t="s">
        <v>5922</v>
      </c>
      <c r="J967" s="2683">
        <v>0</v>
      </c>
      <c r="K967" s="2684"/>
      <c r="L967" s="2683" t="s">
        <v>5922</v>
      </c>
    </row>
    <row r="968" spans="1:12">
      <c r="A968" s="2682" t="s">
        <v>146</v>
      </c>
      <c r="B968" s="2682" t="s">
        <v>6895</v>
      </c>
      <c r="C968" s="2682">
        <v>247.65</v>
      </c>
      <c r="D968" s="2682">
        <v>368.3</v>
      </c>
      <c r="E968" s="2682">
        <v>50.8</v>
      </c>
      <c r="F968" s="2682" t="s">
        <v>5922</v>
      </c>
      <c r="G968" s="2682" t="s">
        <v>5922</v>
      </c>
      <c r="H968" s="2682" t="s">
        <v>5922</v>
      </c>
      <c r="I968" s="2682" t="s">
        <v>5922</v>
      </c>
      <c r="J968" s="2682">
        <v>0</v>
      </c>
      <c r="L968" s="2682" t="s">
        <v>5922</v>
      </c>
    </row>
    <row r="969" spans="1:12">
      <c r="A969" s="2683" t="s">
        <v>146</v>
      </c>
      <c r="B969" s="2683" t="s">
        <v>6896</v>
      </c>
      <c r="C969" s="2683">
        <v>241.3</v>
      </c>
      <c r="D969" s="2683">
        <v>365.04899999999998</v>
      </c>
      <c r="E969" s="2683">
        <v>50.8</v>
      </c>
      <c r="F969" s="2683" t="s">
        <v>5922</v>
      </c>
      <c r="G969" s="2683" t="s">
        <v>5922</v>
      </c>
      <c r="H969" s="2683" t="s">
        <v>5922</v>
      </c>
      <c r="I969" s="2683" t="s">
        <v>5922</v>
      </c>
      <c r="J969" s="2683">
        <v>0</v>
      </c>
      <c r="K969" s="2684"/>
      <c r="L969" s="2683" t="s">
        <v>5922</v>
      </c>
    </row>
    <row r="970" spans="1:12">
      <c r="A970" s="2682" t="s">
        <v>146</v>
      </c>
      <c r="B970" s="2682" t="s">
        <v>6897</v>
      </c>
      <c r="C970" s="2682">
        <v>1016</v>
      </c>
      <c r="D970" s="2682">
        <v>1270</v>
      </c>
      <c r="E970" s="2682">
        <v>101.6</v>
      </c>
      <c r="F970" s="2682" t="s">
        <v>5922</v>
      </c>
      <c r="G970" s="2682" t="s">
        <v>5922</v>
      </c>
      <c r="H970" s="2682" t="s">
        <v>5922</v>
      </c>
      <c r="I970" s="2682" t="s">
        <v>5922</v>
      </c>
      <c r="J970" s="2682">
        <v>269.39999999999998</v>
      </c>
      <c r="L970" s="2682" t="s">
        <v>6898</v>
      </c>
    </row>
    <row r="971" spans="1:12">
      <c r="A971" s="2683" t="s">
        <v>146</v>
      </c>
      <c r="B971" s="2683" t="s">
        <v>6899</v>
      </c>
      <c r="C971" s="2683">
        <v>1016</v>
      </c>
      <c r="D971" s="2683">
        <v>1270</v>
      </c>
      <c r="E971" s="2683">
        <v>101</v>
      </c>
      <c r="F971" s="2683" t="s">
        <v>5922</v>
      </c>
      <c r="G971" s="2683" t="s">
        <v>5922</v>
      </c>
      <c r="H971" s="2683" t="s">
        <v>5922</v>
      </c>
      <c r="I971" s="2683" t="s">
        <v>5922</v>
      </c>
      <c r="J971" s="2683">
        <v>0</v>
      </c>
      <c r="K971" s="2684"/>
      <c r="L971" s="2683" t="s">
        <v>5922</v>
      </c>
    </row>
    <row r="972" spans="1:12">
      <c r="A972" s="2682" t="s">
        <v>146</v>
      </c>
      <c r="B972" s="2682" t="s">
        <v>6900</v>
      </c>
      <c r="C972" s="2682">
        <v>355.6</v>
      </c>
      <c r="D972" s="2682">
        <v>469.9</v>
      </c>
      <c r="E972" s="2682">
        <v>60.325000000000003</v>
      </c>
      <c r="F972" s="2682" t="s">
        <v>5922</v>
      </c>
      <c r="G972" s="2682" t="s">
        <v>5922</v>
      </c>
      <c r="H972" s="2682" t="s">
        <v>5922</v>
      </c>
      <c r="I972" s="2682" t="s">
        <v>5922</v>
      </c>
      <c r="J972" s="2682">
        <v>0</v>
      </c>
      <c r="L972" s="2682" t="s">
        <v>5922</v>
      </c>
    </row>
    <row r="973" spans="1:12">
      <c r="A973" s="2683" t="s">
        <v>146</v>
      </c>
      <c r="B973" s="2683" t="s">
        <v>6901</v>
      </c>
      <c r="C973" s="2683">
        <v>346.07499999999999</v>
      </c>
      <c r="D973" s="2683">
        <v>482.6</v>
      </c>
      <c r="E973" s="2683">
        <v>60.325000000000003</v>
      </c>
      <c r="F973" s="2683" t="s">
        <v>5922</v>
      </c>
      <c r="G973" s="2683" t="s">
        <v>5922</v>
      </c>
      <c r="H973" s="2683" t="s">
        <v>5922</v>
      </c>
      <c r="I973" s="2683" t="s">
        <v>5922</v>
      </c>
      <c r="J973" s="2683">
        <v>0</v>
      </c>
      <c r="K973" s="2684"/>
      <c r="L973" s="2683" t="s">
        <v>5922</v>
      </c>
    </row>
    <row r="974" spans="1:12">
      <c r="A974" s="2682" t="s">
        <v>146</v>
      </c>
      <c r="B974" s="2682" t="s">
        <v>6902</v>
      </c>
      <c r="C974" s="2682">
        <v>330.2</v>
      </c>
      <c r="D974" s="2682">
        <v>496.9</v>
      </c>
      <c r="E974" s="2682">
        <v>60.325000000000003</v>
      </c>
      <c r="F974" s="2682" t="s">
        <v>5922</v>
      </c>
      <c r="G974" s="2682" t="s">
        <v>5922</v>
      </c>
      <c r="H974" s="2682" t="s">
        <v>5922</v>
      </c>
      <c r="I974" s="2682" t="s">
        <v>5922</v>
      </c>
      <c r="J974" s="2682">
        <v>0</v>
      </c>
      <c r="L974" s="2682" t="s">
        <v>5922</v>
      </c>
    </row>
    <row r="975" spans="1:12">
      <c r="A975" s="2683" t="s">
        <v>146</v>
      </c>
      <c r="B975" s="2683" t="s">
        <v>6903</v>
      </c>
      <c r="C975" s="2683">
        <v>260.35000000000002</v>
      </c>
      <c r="D975" s="2683">
        <v>365.125</v>
      </c>
      <c r="E975" s="2683">
        <v>58.738</v>
      </c>
      <c r="F975" s="2683" t="s">
        <v>5922</v>
      </c>
      <c r="G975" s="2683" t="s">
        <v>5922</v>
      </c>
      <c r="H975" s="2683" t="s">
        <v>5922</v>
      </c>
      <c r="I975" s="2683" t="s">
        <v>5922</v>
      </c>
      <c r="J975" s="2683">
        <v>0</v>
      </c>
      <c r="K975" s="2684"/>
      <c r="L975" s="2683" t="s">
        <v>5922</v>
      </c>
    </row>
    <row r="976" spans="1:12">
      <c r="A976" s="2682" t="s">
        <v>146</v>
      </c>
      <c r="B976" s="2682" t="s">
        <v>6904</v>
      </c>
      <c r="C976" s="2682">
        <v>206.375</v>
      </c>
      <c r="D976" s="2682">
        <v>317.5</v>
      </c>
      <c r="E976" s="2682">
        <v>53.975000000000001</v>
      </c>
      <c r="F976" s="2682" t="s">
        <v>5922</v>
      </c>
      <c r="G976" s="2682" t="s">
        <v>5922</v>
      </c>
      <c r="H976" s="2682" t="s">
        <v>5922</v>
      </c>
      <c r="I976" s="2682" t="s">
        <v>5922</v>
      </c>
      <c r="J976" s="2682">
        <v>0</v>
      </c>
      <c r="L976" s="2682" t="s">
        <v>5922</v>
      </c>
    </row>
    <row r="977" spans="1:12">
      <c r="A977" s="2683" t="s">
        <v>146</v>
      </c>
      <c r="B977" s="2683" t="s">
        <v>6905</v>
      </c>
      <c r="C977" s="2683">
        <v>228.6</v>
      </c>
      <c r="D977" s="2683">
        <v>355.6</v>
      </c>
      <c r="E977" s="2683">
        <v>69.849999999999994</v>
      </c>
      <c r="F977" s="2683" t="s">
        <v>5922</v>
      </c>
      <c r="G977" s="2683" t="s">
        <v>5922</v>
      </c>
      <c r="H977" s="2683" t="s">
        <v>5922</v>
      </c>
      <c r="I977" s="2683" t="s">
        <v>5922</v>
      </c>
      <c r="J977" s="2683">
        <v>0</v>
      </c>
      <c r="K977" s="2684"/>
      <c r="L977" s="2683" t="s">
        <v>5922</v>
      </c>
    </row>
    <row r="978" spans="1:12">
      <c r="A978" s="2682" t="s">
        <v>146</v>
      </c>
      <c r="B978" s="2682" t="s">
        <v>6906</v>
      </c>
      <c r="C978" s="2682">
        <v>225.42500000000001</v>
      </c>
      <c r="D978" s="2682">
        <v>355.6</v>
      </c>
      <c r="E978" s="2682">
        <v>69.849999999999994</v>
      </c>
      <c r="F978" s="2682" t="s">
        <v>5922</v>
      </c>
      <c r="G978" s="2682" t="s">
        <v>5922</v>
      </c>
      <c r="H978" s="2682" t="s">
        <v>5922</v>
      </c>
      <c r="I978" s="2682" t="s">
        <v>5922</v>
      </c>
      <c r="J978" s="2682">
        <v>0</v>
      </c>
      <c r="L978" s="2682" t="s">
        <v>5922</v>
      </c>
    </row>
    <row r="979" spans="1:12">
      <c r="A979" s="2683" t="s">
        <v>146</v>
      </c>
      <c r="B979" s="2683" t="s">
        <v>6907</v>
      </c>
      <c r="C979" s="2683">
        <v>215.9</v>
      </c>
      <c r="D979" s="2683">
        <v>355.6</v>
      </c>
      <c r="E979" s="2683">
        <v>69.849999999999994</v>
      </c>
      <c r="F979" s="2683" t="s">
        <v>5922</v>
      </c>
      <c r="G979" s="2683" t="s">
        <v>5922</v>
      </c>
      <c r="H979" s="2683" t="s">
        <v>5922</v>
      </c>
      <c r="I979" s="2683" t="s">
        <v>5922</v>
      </c>
      <c r="J979" s="2683">
        <v>0</v>
      </c>
      <c r="K979" s="2684"/>
      <c r="L979" s="2683" t="s">
        <v>5922</v>
      </c>
    </row>
    <row r="980" spans="1:12">
      <c r="A980" s="2682" t="s">
        <v>146</v>
      </c>
      <c r="B980" s="2682" t="s">
        <v>6908</v>
      </c>
      <c r="C980" s="2682">
        <v>280.19200000000001</v>
      </c>
      <c r="D980" s="2682">
        <v>406.4</v>
      </c>
      <c r="E980" s="2682">
        <v>69.849999999999994</v>
      </c>
      <c r="F980" s="2682" t="s">
        <v>5922</v>
      </c>
      <c r="G980" s="2682" t="s">
        <v>5922</v>
      </c>
      <c r="H980" s="2682" t="s">
        <v>5922</v>
      </c>
      <c r="I980" s="2682" t="s">
        <v>5922</v>
      </c>
      <c r="J980" s="2682">
        <v>0</v>
      </c>
      <c r="L980" s="2682" t="s">
        <v>5922</v>
      </c>
    </row>
    <row r="981" spans="1:12">
      <c r="A981" s="2683" t="s">
        <v>146</v>
      </c>
      <c r="B981" s="2683" t="s">
        <v>6909</v>
      </c>
      <c r="C981" s="2683">
        <v>152.4</v>
      </c>
      <c r="D981" s="2683">
        <v>168.28800000000001</v>
      </c>
      <c r="E981" s="2683">
        <v>74.611999999999995</v>
      </c>
      <c r="F981" s="2683" t="s">
        <v>5922</v>
      </c>
      <c r="G981" s="2683" t="s">
        <v>5922</v>
      </c>
      <c r="H981" s="2683" t="s">
        <v>5922</v>
      </c>
      <c r="I981" s="2683" t="s">
        <v>5922</v>
      </c>
      <c r="J981" s="2683">
        <v>0</v>
      </c>
      <c r="K981" s="2684"/>
      <c r="L981" s="2683" t="s">
        <v>5922</v>
      </c>
    </row>
    <row r="982" spans="1:12">
      <c r="A982" s="2682" t="s">
        <v>146</v>
      </c>
      <c r="B982" s="2682" t="s">
        <v>6910</v>
      </c>
      <c r="C982" s="2682">
        <v>228.6</v>
      </c>
      <c r="D982" s="2682">
        <v>320.67500000000001</v>
      </c>
      <c r="E982" s="2682">
        <v>50.8</v>
      </c>
      <c r="F982" s="2682" t="s">
        <v>5922</v>
      </c>
      <c r="G982" s="2682" t="s">
        <v>5922</v>
      </c>
      <c r="H982" s="2682" t="s">
        <v>5922</v>
      </c>
      <c r="I982" s="2682" t="s">
        <v>5922</v>
      </c>
      <c r="J982" s="2682">
        <v>0</v>
      </c>
      <c r="L982" s="2682" t="s">
        <v>5922</v>
      </c>
    </row>
    <row r="983" spans="1:12">
      <c r="A983" s="2683" t="s">
        <v>146</v>
      </c>
      <c r="B983" s="2683" t="s">
        <v>6911</v>
      </c>
      <c r="C983" s="2683">
        <v>190.5</v>
      </c>
      <c r="D983" s="2683">
        <v>282.57499999999999</v>
      </c>
      <c r="E983" s="2683">
        <v>50.8</v>
      </c>
      <c r="F983" s="2683" t="s">
        <v>5922</v>
      </c>
      <c r="G983" s="2683" t="s">
        <v>5922</v>
      </c>
      <c r="H983" s="2683" t="s">
        <v>5922</v>
      </c>
      <c r="I983" s="2683" t="s">
        <v>5922</v>
      </c>
      <c r="J983" s="2683">
        <v>0</v>
      </c>
      <c r="K983" s="2684"/>
      <c r="L983" s="2683" t="s">
        <v>5922</v>
      </c>
    </row>
    <row r="984" spans="1:12">
      <c r="A984" s="2682" t="s">
        <v>146</v>
      </c>
      <c r="B984" s="2682" t="s">
        <v>6912</v>
      </c>
      <c r="C984" s="2682">
        <v>137.32499999999999</v>
      </c>
      <c r="D984" s="2682">
        <v>282.57499999999999</v>
      </c>
      <c r="E984" s="2682">
        <v>50.3</v>
      </c>
      <c r="F984" s="2682" t="s">
        <v>5922</v>
      </c>
      <c r="G984" s="2682" t="s">
        <v>5922</v>
      </c>
      <c r="H984" s="2682" t="s">
        <v>5922</v>
      </c>
      <c r="I984" s="2682" t="s">
        <v>5922</v>
      </c>
      <c r="J984" s="2682">
        <v>0</v>
      </c>
      <c r="L984" s="2682" t="s">
        <v>5922</v>
      </c>
    </row>
    <row r="985" spans="1:12">
      <c r="A985" s="2683" t="s">
        <v>146</v>
      </c>
      <c r="B985" s="2683" t="s">
        <v>6913</v>
      </c>
      <c r="C985" s="2683">
        <v>87.311999999999998</v>
      </c>
      <c r="D985" s="2683">
        <v>190.5</v>
      </c>
      <c r="E985" s="2683">
        <v>57.15</v>
      </c>
      <c r="F985" s="2683" t="s">
        <v>5922</v>
      </c>
      <c r="G985" s="2683" t="s">
        <v>5922</v>
      </c>
      <c r="H985" s="2683" t="s">
        <v>5922</v>
      </c>
      <c r="I985" s="2683" t="s">
        <v>5922</v>
      </c>
      <c r="J985" s="2683">
        <v>0</v>
      </c>
      <c r="K985" s="2684"/>
      <c r="L985" s="2683" t="s">
        <v>5922</v>
      </c>
    </row>
    <row r="986" spans="1:12">
      <c r="A986" s="2682" t="s">
        <v>146</v>
      </c>
      <c r="B986" s="2682" t="s">
        <v>6914</v>
      </c>
      <c r="C986" s="2682">
        <v>165.1</v>
      </c>
      <c r="D986" s="2682">
        <v>254</v>
      </c>
      <c r="E986" s="2682">
        <v>46.037999999999997</v>
      </c>
      <c r="F986" s="2682" t="s">
        <v>5922</v>
      </c>
      <c r="G986" s="2682" t="s">
        <v>5922</v>
      </c>
      <c r="H986" s="2682" t="s">
        <v>5922</v>
      </c>
      <c r="I986" s="2682" t="s">
        <v>5922</v>
      </c>
      <c r="J986" s="2682">
        <v>0</v>
      </c>
      <c r="L986" s="2682" t="s">
        <v>5922</v>
      </c>
    </row>
    <row r="987" spans="1:12">
      <c r="A987" s="2683" t="s">
        <v>146</v>
      </c>
      <c r="B987" s="2683" t="s">
        <v>6915</v>
      </c>
      <c r="C987" s="2683">
        <v>98.424999999999997</v>
      </c>
      <c r="D987" s="2683">
        <v>190.5</v>
      </c>
      <c r="E987" s="2683">
        <v>57.15</v>
      </c>
      <c r="F987" s="2683" t="s">
        <v>5922</v>
      </c>
      <c r="G987" s="2683" t="s">
        <v>5922</v>
      </c>
      <c r="H987" s="2683" t="s">
        <v>5922</v>
      </c>
      <c r="I987" s="2683" t="s">
        <v>5922</v>
      </c>
      <c r="J987" s="2683">
        <v>0</v>
      </c>
      <c r="K987" s="2684"/>
      <c r="L987" s="2683" t="s">
        <v>5922</v>
      </c>
    </row>
    <row r="988" spans="1:12">
      <c r="A988" s="2682" t="s">
        <v>146</v>
      </c>
      <c r="B988" s="2682" t="s">
        <v>6916</v>
      </c>
      <c r="C988" s="2682">
        <v>95.25</v>
      </c>
      <c r="D988" s="2682">
        <v>190.5</v>
      </c>
      <c r="E988" s="2682">
        <v>57.15</v>
      </c>
      <c r="F988" s="2682" t="s">
        <v>5922</v>
      </c>
      <c r="G988" s="2682" t="s">
        <v>5922</v>
      </c>
      <c r="H988" s="2682" t="s">
        <v>5922</v>
      </c>
      <c r="I988" s="2682" t="s">
        <v>5922</v>
      </c>
      <c r="J988" s="2682">
        <v>7.12</v>
      </c>
      <c r="L988" s="2682" t="s">
        <v>5922</v>
      </c>
    </row>
    <row r="989" spans="1:12">
      <c r="A989" s="2683" t="s">
        <v>146</v>
      </c>
      <c r="B989" s="2683" t="s">
        <v>6917</v>
      </c>
      <c r="C989" s="2683">
        <v>101.6</v>
      </c>
      <c r="D989" s="2683">
        <v>190.5</v>
      </c>
      <c r="E989" s="2683">
        <v>127</v>
      </c>
      <c r="F989" s="2683" t="s">
        <v>5922</v>
      </c>
      <c r="G989" s="2683" t="s">
        <v>5922</v>
      </c>
      <c r="H989" s="2683" t="s">
        <v>5922</v>
      </c>
      <c r="I989" s="2683" t="s">
        <v>5922</v>
      </c>
      <c r="J989" s="2683">
        <v>15.59</v>
      </c>
      <c r="K989" s="2684"/>
      <c r="L989" s="2683" t="s">
        <v>5922</v>
      </c>
    </row>
    <row r="990" spans="1:12">
      <c r="A990" s="2682" t="s">
        <v>146</v>
      </c>
      <c r="B990" s="2682" t="s">
        <v>6918</v>
      </c>
      <c r="C990" s="2682">
        <v>101.6</v>
      </c>
      <c r="D990" s="2682">
        <v>190.5</v>
      </c>
      <c r="E990" s="2682">
        <v>57.15</v>
      </c>
      <c r="F990" s="2682" t="s">
        <v>5922</v>
      </c>
      <c r="G990" s="2682" t="s">
        <v>5922</v>
      </c>
      <c r="H990" s="2682" t="s">
        <v>5922</v>
      </c>
      <c r="I990" s="2682" t="s">
        <v>5922</v>
      </c>
      <c r="J990" s="2682">
        <v>0</v>
      </c>
      <c r="L990" s="2682" t="s">
        <v>5922</v>
      </c>
    </row>
    <row r="991" spans="1:12">
      <c r="A991" s="2683" t="s">
        <v>146</v>
      </c>
      <c r="B991" s="2683" t="s">
        <v>6919</v>
      </c>
      <c r="C991" s="2683">
        <v>241.3</v>
      </c>
      <c r="D991" s="2683">
        <v>327.02499999999998</v>
      </c>
      <c r="E991" s="2683">
        <v>114.3</v>
      </c>
      <c r="F991" s="2683" t="s">
        <v>5922</v>
      </c>
      <c r="G991" s="2683" t="s">
        <v>5922</v>
      </c>
      <c r="H991" s="2683" t="s">
        <v>5922</v>
      </c>
      <c r="I991" s="2683" t="s">
        <v>5922</v>
      </c>
      <c r="J991" s="2683">
        <v>25</v>
      </c>
      <c r="K991" s="2684"/>
      <c r="L991" s="2683" t="s">
        <v>5922</v>
      </c>
    </row>
    <row r="992" spans="1:12">
      <c r="A992" s="2682" t="s">
        <v>146</v>
      </c>
      <c r="B992" s="2682" t="s">
        <v>6920</v>
      </c>
      <c r="C992" s="2682">
        <v>241.3</v>
      </c>
      <c r="D992" s="2682">
        <v>327.02499999999998</v>
      </c>
      <c r="E992" s="2682">
        <v>52.387999999999998</v>
      </c>
      <c r="F992" s="2682" t="s">
        <v>5922</v>
      </c>
      <c r="G992" s="2682" t="s">
        <v>5922</v>
      </c>
      <c r="H992" s="2682" t="s">
        <v>5922</v>
      </c>
      <c r="I992" s="2682" t="s">
        <v>5922</v>
      </c>
      <c r="J992" s="2682">
        <v>0</v>
      </c>
      <c r="L992" s="2682" t="s">
        <v>5922</v>
      </c>
    </row>
    <row r="993" spans="1:12">
      <c r="A993" s="2683" t="s">
        <v>146</v>
      </c>
      <c r="B993" s="2683" t="s">
        <v>6921</v>
      </c>
      <c r="C993" s="2683">
        <v>234.95</v>
      </c>
      <c r="D993" s="2683">
        <v>327.02499999999998</v>
      </c>
      <c r="E993" s="2683">
        <v>52.387999999999998</v>
      </c>
      <c r="F993" s="2683" t="s">
        <v>5922</v>
      </c>
      <c r="G993" s="2683" t="s">
        <v>5922</v>
      </c>
      <c r="H993" s="2683" t="s">
        <v>5922</v>
      </c>
      <c r="I993" s="2683" t="s">
        <v>5922</v>
      </c>
      <c r="J993" s="2683">
        <v>0</v>
      </c>
      <c r="K993" s="2684"/>
      <c r="L993" s="2683" t="s">
        <v>5922</v>
      </c>
    </row>
    <row r="994" spans="1:12">
      <c r="A994" s="2682" t="s">
        <v>146</v>
      </c>
      <c r="B994" s="2682" t="s">
        <v>6922</v>
      </c>
      <c r="C994" s="2682">
        <v>228.6</v>
      </c>
      <c r="D994" s="2682">
        <v>327.02499999999998</v>
      </c>
      <c r="E994" s="2682">
        <v>52.387999999999998</v>
      </c>
      <c r="F994" s="2682" t="s">
        <v>5922</v>
      </c>
      <c r="G994" s="2682" t="s">
        <v>5922</v>
      </c>
      <c r="H994" s="2682" t="s">
        <v>5922</v>
      </c>
      <c r="I994" s="2682" t="s">
        <v>5922</v>
      </c>
      <c r="J994" s="2682">
        <v>0</v>
      </c>
      <c r="L994" s="2682" t="s">
        <v>5922</v>
      </c>
    </row>
    <row r="995" spans="1:12">
      <c r="A995" s="2683" t="s">
        <v>146</v>
      </c>
      <c r="B995" s="2683" t="s">
        <v>6923</v>
      </c>
      <c r="C995" s="2683">
        <v>92.075000000000003</v>
      </c>
      <c r="D995" s="2683">
        <v>190.5</v>
      </c>
      <c r="E995" s="2683">
        <v>57.15</v>
      </c>
      <c r="F995" s="2683" t="s">
        <v>5922</v>
      </c>
      <c r="G995" s="2683" t="s">
        <v>5922</v>
      </c>
      <c r="H995" s="2683" t="s">
        <v>5922</v>
      </c>
      <c r="I995" s="2683" t="s">
        <v>5922</v>
      </c>
      <c r="J995" s="2683">
        <v>0</v>
      </c>
      <c r="K995" s="2684"/>
      <c r="L995" s="2683" t="s">
        <v>5922</v>
      </c>
    </row>
    <row r="996" spans="1:12">
      <c r="A996" s="2682" t="s">
        <v>146</v>
      </c>
      <c r="B996" s="2682" t="s">
        <v>6924</v>
      </c>
      <c r="C996" s="2682">
        <v>88.9</v>
      </c>
      <c r="D996" s="2682">
        <v>190.5</v>
      </c>
      <c r="E996" s="2682">
        <v>57.5</v>
      </c>
      <c r="F996" s="2682" t="s">
        <v>5922</v>
      </c>
      <c r="G996" s="2682" t="s">
        <v>5922</v>
      </c>
      <c r="H996" s="2682" t="s">
        <v>5922</v>
      </c>
      <c r="I996" s="2682" t="s">
        <v>5922</v>
      </c>
      <c r="J996" s="2682">
        <v>7.71</v>
      </c>
      <c r="L996" s="2682" t="s">
        <v>5922</v>
      </c>
    </row>
    <row r="997" spans="1:12">
      <c r="A997" s="2683" t="s">
        <v>146</v>
      </c>
      <c r="B997" s="2683" t="s">
        <v>6925</v>
      </c>
      <c r="C997" s="2683">
        <v>88.9</v>
      </c>
      <c r="D997" s="2683">
        <v>190.5</v>
      </c>
      <c r="E997" s="2683">
        <v>57.15</v>
      </c>
      <c r="F997" s="2683" t="s">
        <v>5922</v>
      </c>
      <c r="G997" s="2683" t="s">
        <v>5922</v>
      </c>
      <c r="H997" s="2683" t="s">
        <v>5922</v>
      </c>
      <c r="I997" s="2683" t="s">
        <v>5922</v>
      </c>
      <c r="J997" s="2683">
        <v>0</v>
      </c>
      <c r="K997" s="2684"/>
      <c r="L997" s="2683" t="s">
        <v>5922</v>
      </c>
    </row>
    <row r="998" spans="1:12">
      <c r="A998" s="2682" t="s">
        <v>146</v>
      </c>
      <c r="B998" s="2682" t="s">
        <v>6926</v>
      </c>
      <c r="C998" s="2682">
        <v>88.9</v>
      </c>
      <c r="D998" s="2682">
        <v>168.27500000000001</v>
      </c>
      <c r="E998" s="2682">
        <v>53.975000000000001</v>
      </c>
      <c r="F998" s="2682" t="s">
        <v>5922</v>
      </c>
      <c r="G998" s="2682" t="s">
        <v>5922</v>
      </c>
      <c r="H998" s="2682" t="s">
        <v>5922</v>
      </c>
      <c r="I998" s="2682" t="s">
        <v>5922</v>
      </c>
      <c r="J998" s="2682">
        <v>0</v>
      </c>
      <c r="L998" s="2682" t="s">
        <v>5922</v>
      </c>
    </row>
    <row r="999" spans="1:12">
      <c r="A999" s="2683" t="s">
        <v>146</v>
      </c>
      <c r="B999" s="2683" t="s">
        <v>6927</v>
      </c>
      <c r="C999" s="2683">
        <v>82.55</v>
      </c>
      <c r="D999" s="2683">
        <v>168.27500000000001</v>
      </c>
      <c r="E999" s="2683">
        <v>53.975000000000001</v>
      </c>
      <c r="F999" s="2683" t="s">
        <v>5922</v>
      </c>
      <c r="G999" s="2683" t="s">
        <v>5922</v>
      </c>
      <c r="H999" s="2683" t="s">
        <v>5922</v>
      </c>
      <c r="I999" s="2683" t="s">
        <v>5922</v>
      </c>
      <c r="J999" s="2683">
        <v>0</v>
      </c>
      <c r="K999" s="2684"/>
      <c r="L999" s="2683" t="s">
        <v>5922</v>
      </c>
    </row>
    <row r="1000" spans="1:12">
      <c r="A1000" s="2682" t="s">
        <v>146</v>
      </c>
      <c r="B1000" s="2682" t="s">
        <v>6928</v>
      </c>
      <c r="C1000" s="2682">
        <v>85.724999999999994</v>
      </c>
      <c r="D1000" s="2682">
        <v>168.27500000000001</v>
      </c>
      <c r="E1000" s="2682">
        <v>53.975000000000001</v>
      </c>
      <c r="F1000" s="2682" t="s">
        <v>5922</v>
      </c>
      <c r="G1000" s="2682" t="s">
        <v>5922</v>
      </c>
      <c r="H1000" s="2682" t="s">
        <v>5922</v>
      </c>
      <c r="I1000" s="2682" t="s">
        <v>5922</v>
      </c>
      <c r="J1000" s="2682">
        <v>0</v>
      </c>
      <c r="L1000" s="2682" t="s">
        <v>5922</v>
      </c>
    </row>
    <row r="1001" spans="1:12">
      <c r="A1001" s="2683" t="s">
        <v>146</v>
      </c>
      <c r="B1001" s="2683" t="s">
        <v>6929</v>
      </c>
      <c r="C1001" s="2683">
        <v>80.962000000000003</v>
      </c>
      <c r="D1001" s="2683">
        <v>168.27500000000001</v>
      </c>
      <c r="E1001" s="2683">
        <v>53.975000000000001</v>
      </c>
      <c r="F1001" s="2683" t="s">
        <v>5922</v>
      </c>
      <c r="G1001" s="2683" t="s">
        <v>5922</v>
      </c>
      <c r="H1001" s="2683" t="s">
        <v>5922</v>
      </c>
      <c r="I1001" s="2683" t="s">
        <v>5922</v>
      </c>
      <c r="J1001" s="2683">
        <v>0</v>
      </c>
      <c r="K1001" s="2684"/>
      <c r="L1001" s="2683" t="s">
        <v>5922</v>
      </c>
    </row>
    <row r="1002" spans="1:12">
      <c r="A1002" s="2682" t="s">
        <v>146</v>
      </c>
      <c r="B1002" s="2682" t="s">
        <v>6930</v>
      </c>
      <c r="C1002" s="2682">
        <v>146.05000000000001</v>
      </c>
      <c r="D1002" s="2682">
        <v>241.3</v>
      </c>
      <c r="E1002" s="2682">
        <v>57.15</v>
      </c>
      <c r="F1002" s="2682" t="s">
        <v>5922</v>
      </c>
      <c r="G1002" s="2682" t="s">
        <v>5922</v>
      </c>
      <c r="H1002" s="2682" t="s">
        <v>5922</v>
      </c>
      <c r="I1002" s="2682" t="s">
        <v>5922</v>
      </c>
      <c r="J1002" s="2682">
        <v>0</v>
      </c>
      <c r="L1002" s="2682" t="s">
        <v>5922</v>
      </c>
    </row>
    <row r="1003" spans="1:12">
      <c r="A1003" s="2683" t="s">
        <v>146</v>
      </c>
      <c r="B1003" s="2683" t="s">
        <v>6931</v>
      </c>
      <c r="C1003" s="2683">
        <v>142.875</v>
      </c>
      <c r="D1003" s="2683">
        <v>236.53800000000001</v>
      </c>
      <c r="E1003" s="2683">
        <v>131.76300000000001</v>
      </c>
      <c r="F1003" s="2683" t="s">
        <v>5922</v>
      </c>
      <c r="G1003" s="2683" t="s">
        <v>5922</v>
      </c>
      <c r="H1003" s="2683" t="s">
        <v>5922</v>
      </c>
      <c r="I1003" s="2683" t="s">
        <v>5922</v>
      </c>
      <c r="J1003" s="2683">
        <v>23.3</v>
      </c>
      <c r="K1003" s="2684"/>
      <c r="L1003" s="2683" t="s">
        <v>5922</v>
      </c>
    </row>
    <row r="1004" spans="1:12">
      <c r="A1004" s="2682" t="s">
        <v>146</v>
      </c>
      <c r="B1004" s="2682" t="s">
        <v>6932</v>
      </c>
      <c r="C1004" s="2682">
        <v>139.702</v>
      </c>
      <c r="D1004" s="2682">
        <v>236.53800000000001</v>
      </c>
      <c r="E1004" s="2682">
        <v>131.76300000000001</v>
      </c>
      <c r="F1004" s="2682" t="s">
        <v>5922</v>
      </c>
      <c r="G1004" s="2682" t="s">
        <v>5922</v>
      </c>
      <c r="H1004" s="2682" t="s">
        <v>5922</v>
      </c>
      <c r="I1004" s="2682" t="s">
        <v>5922</v>
      </c>
      <c r="J1004" s="2682">
        <v>23.4</v>
      </c>
      <c r="L1004" s="2682" t="s">
        <v>5922</v>
      </c>
    </row>
    <row r="1005" spans="1:12">
      <c r="A1005" s="2683" t="s">
        <v>146</v>
      </c>
      <c r="B1005" s="2683" t="s">
        <v>6933</v>
      </c>
      <c r="C1005" s="2683">
        <v>139.69999999999999</v>
      </c>
      <c r="D1005" s="2683">
        <v>241.3</v>
      </c>
      <c r="E1005" s="2683">
        <v>57.15</v>
      </c>
      <c r="F1005" s="2683" t="s">
        <v>5922</v>
      </c>
      <c r="G1005" s="2683" t="s">
        <v>5922</v>
      </c>
      <c r="H1005" s="2683" t="s">
        <v>5922</v>
      </c>
      <c r="I1005" s="2683" t="s">
        <v>5922</v>
      </c>
      <c r="J1005" s="2683">
        <v>0</v>
      </c>
      <c r="K1005" s="2684"/>
      <c r="L1005" s="2683" t="s">
        <v>5922</v>
      </c>
    </row>
    <row r="1006" spans="1:12">
      <c r="A1006" s="2682" t="s">
        <v>146</v>
      </c>
      <c r="B1006" s="2682" t="s">
        <v>6934</v>
      </c>
      <c r="C1006" s="2682">
        <v>76.2</v>
      </c>
      <c r="D1006" s="2682">
        <v>168.27500000000001</v>
      </c>
      <c r="E1006" s="2682">
        <v>53.975000000000001</v>
      </c>
      <c r="F1006" s="2682" t="s">
        <v>5922</v>
      </c>
      <c r="G1006" s="2682" t="s">
        <v>5922</v>
      </c>
      <c r="H1006" s="2682" t="s">
        <v>5922</v>
      </c>
      <c r="I1006" s="2682" t="s">
        <v>5922</v>
      </c>
      <c r="J1006" s="2682">
        <v>0</v>
      </c>
      <c r="L1006" s="2682" t="s">
        <v>5922</v>
      </c>
    </row>
    <row r="1007" spans="1:12">
      <c r="A1007" s="2683" t="s">
        <v>146</v>
      </c>
      <c r="B1007" s="2683" t="s">
        <v>6935</v>
      </c>
      <c r="C1007" s="2683">
        <v>431.8</v>
      </c>
      <c r="D1007" s="2683">
        <v>533.4</v>
      </c>
      <c r="E1007" s="2683">
        <v>46.037999999999997</v>
      </c>
      <c r="F1007" s="2683" t="s">
        <v>5922</v>
      </c>
      <c r="G1007" s="2683" t="s">
        <v>5922</v>
      </c>
      <c r="H1007" s="2683" t="s">
        <v>5922</v>
      </c>
      <c r="I1007" s="2683" t="s">
        <v>5922</v>
      </c>
      <c r="J1007" s="2683">
        <v>0</v>
      </c>
      <c r="K1007" s="2684"/>
      <c r="L1007" s="2683" t="s">
        <v>5922</v>
      </c>
    </row>
    <row r="1008" spans="1:12">
      <c r="A1008" s="2682" t="s">
        <v>146</v>
      </c>
      <c r="B1008" s="2682" t="s">
        <v>6936</v>
      </c>
      <c r="C1008" s="2682">
        <v>41.274999999999999</v>
      </c>
      <c r="D1008" s="2682">
        <v>82.55</v>
      </c>
      <c r="E1008" s="2682">
        <v>26.542999999999999</v>
      </c>
      <c r="F1008" s="2682" t="s">
        <v>5922</v>
      </c>
      <c r="G1008" s="2682" t="s">
        <v>5922</v>
      </c>
      <c r="H1008" s="2682" t="s">
        <v>5922</v>
      </c>
      <c r="I1008" s="2682" t="s">
        <v>5922</v>
      </c>
      <c r="J1008" s="2682">
        <v>0.61699999999999999</v>
      </c>
      <c r="L1008" s="2682" t="s">
        <v>5922</v>
      </c>
    </row>
    <row r="1009" spans="1:12">
      <c r="A1009" s="2683" t="s">
        <v>146</v>
      </c>
      <c r="B1009" s="2683" t="s">
        <v>6937</v>
      </c>
      <c r="C1009" s="2683">
        <v>128.58799999999999</v>
      </c>
      <c r="D1009" s="2683">
        <v>206.375</v>
      </c>
      <c r="E1009" s="2683">
        <v>47.625</v>
      </c>
      <c r="F1009" s="2683" t="s">
        <v>5922</v>
      </c>
      <c r="G1009" s="2683" t="s">
        <v>5922</v>
      </c>
      <c r="H1009" s="2683" t="s">
        <v>5922</v>
      </c>
      <c r="I1009" s="2683" t="s">
        <v>5922</v>
      </c>
      <c r="J1009" s="2683">
        <v>0</v>
      </c>
      <c r="K1009" s="2684"/>
      <c r="L1009" s="2683" t="s">
        <v>5922</v>
      </c>
    </row>
    <row r="1010" spans="1:12">
      <c r="A1010" s="2682" t="s">
        <v>146</v>
      </c>
      <c r="B1010" s="2682" t="s">
        <v>6938</v>
      </c>
      <c r="C1010" s="2682">
        <v>120.65</v>
      </c>
      <c r="D1010" s="2682">
        <v>206.375</v>
      </c>
      <c r="E1010" s="2682">
        <v>47.625</v>
      </c>
      <c r="F1010" s="2682" t="s">
        <v>5922</v>
      </c>
      <c r="G1010" s="2682" t="s">
        <v>5922</v>
      </c>
      <c r="H1010" s="2682" t="s">
        <v>5922</v>
      </c>
      <c r="I1010" s="2682" t="s">
        <v>5922</v>
      </c>
      <c r="J1010" s="2682">
        <v>0</v>
      </c>
      <c r="L1010" s="2682" t="s">
        <v>5922</v>
      </c>
    </row>
    <row r="1011" spans="1:12">
      <c r="A1011" s="2683" t="s">
        <v>146</v>
      </c>
      <c r="B1011" s="2683" t="s">
        <v>6939</v>
      </c>
      <c r="C1011" s="2683">
        <v>104.77500000000001</v>
      </c>
      <c r="D1011" s="2683">
        <v>180.97499999999999</v>
      </c>
      <c r="E1011" s="2683">
        <v>47.625</v>
      </c>
      <c r="F1011" s="2683" t="s">
        <v>5922</v>
      </c>
      <c r="G1011" s="2683" t="s">
        <v>5922</v>
      </c>
      <c r="H1011" s="2683" t="s">
        <v>5922</v>
      </c>
      <c r="I1011" s="2683" t="s">
        <v>5922</v>
      </c>
      <c r="J1011" s="2683">
        <v>0</v>
      </c>
      <c r="K1011" s="2684"/>
      <c r="L1011" s="2683" t="s">
        <v>5922</v>
      </c>
    </row>
    <row r="1012" spans="1:12">
      <c r="A1012" s="2682" t="s">
        <v>146</v>
      </c>
      <c r="B1012" s="2682" t="s">
        <v>6940</v>
      </c>
      <c r="C1012" s="2682">
        <v>104.77500000000001</v>
      </c>
      <c r="D1012" s="2682">
        <v>180.97499999999999</v>
      </c>
      <c r="E1012" s="2682">
        <v>47.625</v>
      </c>
      <c r="F1012" s="2682" t="s">
        <v>5922</v>
      </c>
      <c r="G1012" s="2682" t="s">
        <v>5922</v>
      </c>
      <c r="H1012" s="2682" t="s">
        <v>5922</v>
      </c>
      <c r="I1012" s="2682" t="s">
        <v>5922</v>
      </c>
      <c r="J1012" s="2682">
        <v>0</v>
      </c>
      <c r="L1012" s="2682" t="s">
        <v>5922</v>
      </c>
    </row>
    <row r="1013" spans="1:12">
      <c r="A1013" s="2683" t="s">
        <v>146</v>
      </c>
      <c r="B1013" s="2683" t="s">
        <v>6941</v>
      </c>
      <c r="C1013" s="2683">
        <v>100</v>
      </c>
      <c r="D1013" s="2683">
        <v>180.97499999999999</v>
      </c>
      <c r="E1013" s="2683">
        <v>47.625</v>
      </c>
      <c r="F1013" s="2683" t="s">
        <v>5922</v>
      </c>
      <c r="G1013" s="2683" t="s">
        <v>5922</v>
      </c>
      <c r="H1013" s="2683" t="s">
        <v>5922</v>
      </c>
      <c r="I1013" s="2683" t="s">
        <v>5922</v>
      </c>
      <c r="J1013" s="2683">
        <v>0</v>
      </c>
      <c r="K1013" s="2684"/>
      <c r="L1013" s="2683" t="s">
        <v>5922</v>
      </c>
    </row>
    <row r="1014" spans="1:12">
      <c r="A1014" s="2682" t="s">
        <v>146</v>
      </c>
      <c r="B1014" s="2682" t="s">
        <v>6942</v>
      </c>
      <c r="C1014" s="2682">
        <v>63.5</v>
      </c>
      <c r="D1014" s="2682">
        <v>140.30000000000001</v>
      </c>
      <c r="E1014" s="2682">
        <v>36.512</v>
      </c>
      <c r="F1014" s="2682" t="s">
        <v>5922</v>
      </c>
      <c r="G1014" s="2682" t="s">
        <v>5922</v>
      </c>
      <c r="H1014" s="2682" t="s">
        <v>5922</v>
      </c>
      <c r="I1014" s="2682" t="s">
        <v>5922</v>
      </c>
      <c r="J1014" s="2682">
        <v>0</v>
      </c>
      <c r="L1014" s="2682" t="s">
        <v>5922</v>
      </c>
    </row>
    <row r="1015" spans="1:12">
      <c r="A1015" s="2683" t="s">
        <v>146</v>
      </c>
      <c r="B1015" s="2683" t="s">
        <v>6943</v>
      </c>
      <c r="C1015" s="2683">
        <v>104.77500000000001</v>
      </c>
      <c r="D1015" s="2683">
        <v>180.97499999999999</v>
      </c>
      <c r="E1015" s="2683">
        <v>47.625</v>
      </c>
      <c r="F1015" s="2683" t="s">
        <v>5922</v>
      </c>
      <c r="G1015" s="2683" t="s">
        <v>5922</v>
      </c>
      <c r="H1015" s="2683" t="s">
        <v>5922</v>
      </c>
      <c r="I1015" s="2683" t="s">
        <v>5922</v>
      </c>
      <c r="J1015" s="2683">
        <v>4.8630000000000004</v>
      </c>
      <c r="K1015" s="2684"/>
      <c r="L1015" s="2683" t="s">
        <v>5922</v>
      </c>
    </row>
    <row r="1016" spans="1:12">
      <c r="A1016" s="2682" t="s">
        <v>146</v>
      </c>
      <c r="B1016" s="2682" t="s">
        <v>6944</v>
      </c>
      <c r="C1016" s="2682">
        <v>101.6</v>
      </c>
      <c r="D1016" s="2682">
        <v>180.97499999999999</v>
      </c>
      <c r="E1016" s="2682">
        <v>47.625</v>
      </c>
      <c r="F1016" s="2682" t="s">
        <v>5922</v>
      </c>
      <c r="G1016" s="2682" t="s">
        <v>5922</v>
      </c>
      <c r="H1016" s="2682" t="s">
        <v>5922</v>
      </c>
      <c r="I1016" s="2682" t="s">
        <v>5922</v>
      </c>
      <c r="J1016" s="2682">
        <v>0</v>
      </c>
      <c r="L1016" s="2682" t="s">
        <v>5922</v>
      </c>
    </row>
    <row r="1017" spans="1:12">
      <c r="A1017" s="2683" t="s">
        <v>146</v>
      </c>
      <c r="B1017" s="2683" t="s">
        <v>6945</v>
      </c>
      <c r="C1017" s="2683">
        <v>101.6</v>
      </c>
      <c r="D1017" s="2683">
        <v>180.97499999999999</v>
      </c>
      <c r="E1017" s="2683">
        <v>47.625</v>
      </c>
      <c r="F1017" s="2683" t="s">
        <v>5922</v>
      </c>
      <c r="G1017" s="2683" t="s">
        <v>5922</v>
      </c>
      <c r="H1017" s="2683" t="s">
        <v>5922</v>
      </c>
      <c r="I1017" s="2683" t="s">
        <v>5922</v>
      </c>
      <c r="J1017" s="2683">
        <v>0</v>
      </c>
      <c r="K1017" s="2684"/>
      <c r="L1017" s="2683" t="s">
        <v>5922</v>
      </c>
    </row>
    <row r="1018" spans="1:12">
      <c r="A1018" s="2682" t="s">
        <v>146</v>
      </c>
      <c r="B1018" s="2682" t="s">
        <v>6946</v>
      </c>
      <c r="C1018" s="2682">
        <v>98.424999999999997</v>
      </c>
      <c r="D1018" s="2682">
        <v>180.97499999999999</v>
      </c>
      <c r="E1018" s="2682">
        <v>47.625</v>
      </c>
      <c r="F1018" s="2682" t="s">
        <v>5922</v>
      </c>
      <c r="G1018" s="2682" t="s">
        <v>5922</v>
      </c>
      <c r="H1018" s="2682" t="s">
        <v>5922</v>
      </c>
      <c r="I1018" s="2682" t="s">
        <v>5922</v>
      </c>
      <c r="J1018" s="2682">
        <v>0</v>
      </c>
      <c r="L1018" s="2682" t="s">
        <v>5922</v>
      </c>
    </row>
    <row r="1019" spans="1:12">
      <c r="A1019" s="2683" t="s">
        <v>146</v>
      </c>
      <c r="B1019" s="2683" t="s">
        <v>6947</v>
      </c>
      <c r="C1019" s="2683">
        <v>92.075000000000003</v>
      </c>
      <c r="D1019" s="2683">
        <v>180.97499999999999</v>
      </c>
      <c r="E1019" s="2683">
        <v>47.625</v>
      </c>
      <c r="F1019" s="2683" t="s">
        <v>5922</v>
      </c>
      <c r="G1019" s="2683" t="s">
        <v>5922</v>
      </c>
      <c r="H1019" s="2683" t="s">
        <v>5922</v>
      </c>
      <c r="I1019" s="2683" t="s">
        <v>5922</v>
      </c>
      <c r="J1019" s="2683">
        <v>0</v>
      </c>
      <c r="K1019" s="2684"/>
      <c r="L1019" s="2683" t="s">
        <v>5922</v>
      </c>
    </row>
    <row r="1020" spans="1:12">
      <c r="A1020" s="2682" t="s">
        <v>146</v>
      </c>
      <c r="B1020" s="2682" t="s">
        <v>6948</v>
      </c>
      <c r="C1020" s="2682">
        <v>95.25</v>
      </c>
      <c r="D1020" s="2682">
        <v>171.45</v>
      </c>
      <c r="E1020" s="2682">
        <v>47.625</v>
      </c>
      <c r="F1020" s="2682" t="s">
        <v>5922</v>
      </c>
      <c r="G1020" s="2682" t="s">
        <v>5922</v>
      </c>
      <c r="H1020" s="2682" t="s">
        <v>5922</v>
      </c>
      <c r="I1020" s="2682" t="s">
        <v>5922</v>
      </c>
      <c r="J1020" s="2682">
        <v>0</v>
      </c>
      <c r="L1020" s="2682" t="s">
        <v>5922</v>
      </c>
    </row>
    <row r="1021" spans="1:12">
      <c r="A1021" s="2683" t="s">
        <v>146</v>
      </c>
      <c r="B1021" s="2683" t="s">
        <v>6949</v>
      </c>
      <c r="C1021" s="2683">
        <v>88.9</v>
      </c>
      <c r="D1021" s="2683">
        <v>171.45</v>
      </c>
      <c r="E1021" s="2683">
        <v>47.625</v>
      </c>
      <c r="F1021" s="2683" t="s">
        <v>5922</v>
      </c>
      <c r="G1021" s="2683" t="s">
        <v>5922</v>
      </c>
      <c r="H1021" s="2683" t="s">
        <v>5922</v>
      </c>
      <c r="I1021" s="2683" t="s">
        <v>5922</v>
      </c>
      <c r="J1021" s="2683">
        <v>0</v>
      </c>
      <c r="K1021" s="2684"/>
      <c r="L1021" s="2683" t="s">
        <v>5922</v>
      </c>
    </row>
    <row r="1022" spans="1:12">
      <c r="A1022" s="2682" t="s">
        <v>146</v>
      </c>
      <c r="B1022" s="2682" t="s">
        <v>6950</v>
      </c>
      <c r="C1022" s="2682">
        <v>90.488</v>
      </c>
      <c r="D1022" s="2682">
        <v>161.92500000000001</v>
      </c>
      <c r="E1022" s="2682">
        <v>47.625</v>
      </c>
      <c r="F1022" s="2682" t="s">
        <v>5922</v>
      </c>
      <c r="G1022" s="2682" t="s">
        <v>5922</v>
      </c>
      <c r="H1022" s="2682" t="s">
        <v>5922</v>
      </c>
      <c r="I1022" s="2682" t="s">
        <v>5922</v>
      </c>
      <c r="J1022" s="2682">
        <v>0</v>
      </c>
      <c r="L1022" s="2682" t="s">
        <v>5922</v>
      </c>
    </row>
    <row r="1023" spans="1:12">
      <c r="A1023" s="2683" t="s">
        <v>146</v>
      </c>
      <c r="B1023" s="2683" t="s">
        <v>6951</v>
      </c>
      <c r="C1023" s="2683">
        <v>85.724999999999994</v>
      </c>
      <c r="D1023" s="2683">
        <v>161.92500000000001</v>
      </c>
      <c r="E1023" s="2683">
        <v>47.625</v>
      </c>
      <c r="F1023" s="2683" t="s">
        <v>5922</v>
      </c>
      <c r="G1023" s="2683" t="s">
        <v>5922</v>
      </c>
      <c r="H1023" s="2683" t="s">
        <v>5922</v>
      </c>
      <c r="I1023" s="2683" t="s">
        <v>5922</v>
      </c>
      <c r="J1023" s="2683">
        <v>0</v>
      </c>
      <c r="K1023" s="2684"/>
      <c r="L1023" s="2683" t="s">
        <v>5922</v>
      </c>
    </row>
    <row r="1024" spans="1:12">
      <c r="A1024" s="2682" t="s">
        <v>146</v>
      </c>
      <c r="B1024" s="2682" t="s">
        <v>6952</v>
      </c>
      <c r="C1024" s="2682">
        <v>82.55</v>
      </c>
      <c r="D1024" s="2682">
        <v>161.92500000000001</v>
      </c>
      <c r="E1024" s="2682">
        <v>47.625</v>
      </c>
      <c r="F1024" s="2682" t="s">
        <v>5922</v>
      </c>
      <c r="G1024" s="2682" t="s">
        <v>5922</v>
      </c>
      <c r="H1024" s="2682" t="s">
        <v>5922</v>
      </c>
      <c r="I1024" s="2682" t="s">
        <v>5922</v>
      </c>
      <c r="J1024" s="2682">
        <v>0</v>
      </c>
      <c r="L1024" s="2682" t="s">
        <v>5922</v>
      </c>
    </row>
    <row r="1025" spans="1:12">
      <c r="A1025" s="2683" t="s">
        <v>146</v>
      </c>
      <c r="B1025" s="2683" t="s">
        <v>6953</v>
      </c>
      <c r="C1025" s="2683">
        <v>79.375</v>
      </c>
      <c r="D1025" s="2683">
        <v>161.92500000000001</v>
      </c>
      <c r="E1025" s="2683">
        <v>47.625</v>
      </c>
      <c r="F1025" s="2683" t="s">
        <v>5922</v>
      </c>
      <c r="G1025" s="2683" t="s">
        <v>5922</v>
      </c>
      <c r="H1025" s="2683" t="s">
        <v>5922</v>
      </c>
      <c r="I1025" s="2683" t="s">
        <v>5922</v>
      </c>
      <c r="J1025" s="2683">
        <v>0</v>
      </c>
      <c r="K1025" s="2684"/>
      <c r="L1025" s="2683" t="s">
        <v>5922</v>
      </c>
    </row>
    <row r="1026" spans="1:12">
      <c r="A1026" s="2682" t="s">
        <v>146</v>
      </c>
      <c r="B1026" s="2682" t="s">
        <v>6954</v>
      </c>
      <c r="C1026" s="2682">
        <v>76.2</v>
      </c>
      <c r="D1026" s="2682">
        <v>161.92500000000001</v>
      </c>
      <c r="E1026" s="2682">
        <v>47.625</v>
      </c>
      <c r="F1026" s="2682" t="s">
        <v>5922</v>
      </c>
      <c r="G1026" s="2682" t="s">
        <v>5922</v>
      </c>
      <c r="H1026" s="2682" t="s">
        <v>5922</v>
      </c>
      <c r="I1026" s="2682" t="s">
        <v>5922</v>
      </c>
      <c r="J1026" s="2682">
        <v>0.86899999999999999</v>
      </c>
      <c r="L1026" s="2682" t="s">
        <v>5922</v>
      </c>
    </row>
    <row r="1027" spans="1:12">
      <c r="A1027" s="2683" t="s">
        <v>146</v>
      </c>
      <c r="B1027" s="2683" t="s">
        <v>6955</v>
      </c>
      <c r="C1027" s="2683">
        <v>79.375</v>
      </c>
      <c r="D1027" s="2683">
        <v>150.089</v>
      </c>
      <c r="E1027" s="2683">
        <v>44.45</v>
      </c>
      <c r="F1027" s="2683" t="s">
        <v>5922</v>
      </c>
      <c r="G1027" s="2683" t="s">
        <v>5922</v>
      </c>
      <c r="H1027" s="2683" t="s">
        <v>5922</v>
      </c>
      <c r="I1027" s="2683" t="s">
        <v>5922</v>
      </c>
      <c r="J1027" s="2683">
        <v>0</v>
      </c>
      <c r="K1027" s="2684"/>
      <c r="L1027" s="2683" t="s">
        <v>5922</v>
      </c>
    </row>
    <row r="1028" spans="1:12">
      <c r="A1028" s="2682" t="s">
        <v>146</v>
      </c>
      <c r="B1028" s="2682" t="s">
        <v>6956</v>
      </c>
      <c r="C1028" s="2682">
        <v>85.025999999999996</v>
      </c>
      <c r="D1028" s="2682">
        <v>150.089</v>
      </c>
      <c r="E1028" s="2682">
        <v>44.45</v>
      </c>
      <c r="F1028" s="2682" t="s">
        <v>5922</v>
      </c>
      <c r="G1028" s="2682" t="s">
        <v>5922</v>
      </c>
      <c r="H1028" s="2682" t="s">
        <v>5922</v>
      </c>
      <c r="I1028" s="2682" t="s">
        <v>5922</v>
      </c>
      <c r="J1028" s="2682">
        <v>3.22</v>
      </c>
      <c r="L1028" s="2682" t="s">
        <v>5922</v>
      </c>
    </row>
    <row r="1029" spans="1:12">
      <c r="A1029" s="2683" t="s">
        <v>146</v>
      </c>
      <c r="B1029" s="2683" t="s">
        <v>6957</v>
      </c>
      <c r="C1029" s="2683">
        <v>63.5</v>
      </c>
      <c r="D1029" s="2683">
        <v>150.88999999999999</v>
      </c>
      <c r="E1029" s="2683">
        <v>44.45</v>
      </c>
      <c r="F1029" s="2683" t="s">
        <v>5922</v>
      </c>
      <c r="G1029" s="2683" t="s">
        <v>5922</v>
      </c>
      <c r="H1029" s="2683" t="s">
        <v>5922</v>
      </c>
      <c r="I1029" s="2683" t="s">
        <v>5922</v>
      </c>
      <c r="J1029" s="2683">
        <v>0</v>
      </c>
      <c r="K1029" s="2684"/>
      <c r="L1029" s="2683" t="s">
        <v>5922</v>
      </c>
    </row>
    <row r="1030" spans="1:12">
      <c r="A1030" s="2682" t="s">
        <v>146</v>
      </c>
      <c r="B1030" s="2682" t="s">
        <v>6958</v>
      </c>
      <c r="C1030" s="2682">
        <v>69.849999999999994</v>
      </c>
      <c r="D1030" s="2682">
        <v>150.089</v>
      </c>
      <c r="E1030" s="2682">
        <v>44.45</v>
      </c>
      <c r="F1030" s="2682" t="s">
        <v>5922</v>
      </c>
      <c r="G1030" s="2682" t="s">
        <v>5922</v>
      </c>
      <c r="H1030" s="2682" t="s">
        <v>5922</v>
      </c>
      <c r="I1030" s="2682" t="s">
        <v>5922</v>
      </c>
      <c r="J1030" s="2682">
        <v>0</v>
      </c>
      <c r="L1030" s="2682" t="s">
        <v>5922</v>
      </c>
    </row>
    <row r="1031" spans="1:12">
      <c r="A1031" s="2683" t="s">
        <v>146</v>
      </c>
      <c r="B1031" s="2683" t="s">
        <v>6959</v>
      </c>
      <c r="C1031" s="2683">
        <v>139.69999999999999</v>
      </c>
      <c r="D1031" s="2683">
        <v>215.9</v>
      </c>
      <c r="E1031" s="2683">
        <v>47.625</v>
      </c>
      <c r="F1031" s="2683" t="s">
        <v>5922</v>
      </c>
      <c r="G1031" s="2683" t="s">
        <v>5922</v>
      </c>
      <c r="H1031" s="2683" t="s">
        <v>5922</v>
      </c>
      <c r="I1031" s="2683" t="s">
        <v>5922</v>
      </c>
      <c r="J1031" s="2683">
        <v>0</v>
      </c>
      <c r="K1031" s="2684"/>
      <c r="L1031" s="2683" t="s">
        <v>5922</v>
      </c>
    </row>
    <row r="1032" spans="1:12">
      <c r="A1032" s="2682" t="s">
        <v>146</v>
      </c>
      <c r="B1032" s="2682" t="s">
        <v>6960</v>
      </c>
      <c r="C1032" s="2682">
        <v>136.52500000000001</v>
      </c>
      <c r="D1032" s="2682">
        <v>215.9</v>
      </c>
      <c r="E1032" s="2682">
        <v>47.625</v>
      </c>
      <c r="F1032" s="2682" t="s">
        <v>5922</v>
      </c>
      <c r="G1032" s="2682" t="s">
        <v>5922</v>
      </c>
      <c r="H1032" s="2682" t="s">
        <v>5922</v>
      </c>
      <c r="I1032" s="2682" t="s">
        <v>5922</v>
      </c>
      <c r="J1032" s="2682">
        <v>0</v>
      </c>
      <c r="L1032" s="2682" t="s">
        <v>5922</v>
      </c>
    </row>
    <row r="1033" spans="1:12">
      <c r="A1033" s="2683" t="s">
        <v>146</v>
      </c>
      <c r="B1033" s="2683" t="s">
        <v>6961</v>
      </c>
      <c r="C1033" s="2683">
        <v>127</v>
      </c>
      <c r="D1033" s="2683">
        <v>215.9</v>
      </c>
      <c r="E1033" s="2683">
        <v>47.625</v>
      </c>
      <c r="F1033" s="2683" t="s">
        <v>5922</v>
      </c>
      <c r="G1033" s="2683" t="s">
        <v>5922</v>
      </c>
      <c r="H1033" s="2683" t="s">
        <v>5922</v>
      </c>
      <c r="I1033" s="2683" t="s">
        <v>5922</v>
      </c>
      <c r="J1033" s="2683">
        <v>0</v>
      </c>
      <c r="K1033" s="2684"/>
      <c r="L1033" s="2683" t="s">
        <v>5922</v>
      </c>
    </row>
    <row r="1034" spans="1:12">
      <c r="A1034" s="2682" t="s">
        <v>146</v>
      </c>
      <c r="B1034" s="2682" t="s">
        <v>6962</v>
      </c>
      <c r="C1034" s="2682">
        <v>73.025000000000006</v>
      </c>
      <c r="D1034" s="2682">
        <v>150.089</v>
      </c>
      <c r="E1034" s="2682">
        <v>44.45</v>
      </c>
      <c r="F1034" s="2682" t="s">
        <v>5922</v>
      </c>
      <c r="G1034" s="2682" t="s">
        <v>5922</v>
      </c>
      <c r="H1034" s="2682" t="s">
        <v>5922</v>
      </c>
      <c r="I1034" s="2682" t="s">
        <v>5922</v>
      </c>
      <c r="J1034" s="2682">
        <v>0</v>
      </c>
      <c r="L1034" s="2682" t="s">
        <v>5922</v>
      </c>
    </row>
    <row r="1035" spans="1:12">
      <c r="A1035" s="2683" t="s">
        <v>146</v>
      </c>
      <c r="B1035" s="2683" t="s">
        <v>6963</v>
      </c>
      <c r="C1035" s="2683">
        <v>80.962000000000003</v>
      </c>
      <c r="D1035" s="2683">
        <v>150.089</v>
      </c>
      <c r="E1035" s="2683">
        <v>44.45</v>
      </c>
      <c r="F1035" s="2683" t="s">
        <v>5922</v>
      </c>
      <c r="G1035" s="2683" t="s">
        <v>5922</v>
      </c>
      <c r="H1035" s="2683" t="s">
        <v>5922</v>
      </c>
      <c r="I1035" s="2683" t="s">
        <v>5922</v>
      </c>
      <c r="J1035" s="2683">
        <v>0</v>
      </c>
      <c r="K1035" s="2684"/>
      <c r="L1035" s="2683" t="s">
        <v>5922</v>
      </c>
    </row>
    <row r="1036" spans="1:12">
      <c r="A1036" s="2682" t="s">
        <v>146</v>
      </c>
      <c r="B1036" s="2682" t="s">
        <v>6964</v>
      </c>
      <c r="C1036" s="2682">
        <v>50.8</v>
      </c>
      <c r="D1036" s="2682">
        <v>123.825</v>
      </c>
      <c r="E1036" s="2682">
        <v>36.512</v>
      </c>
      <c r="F1036" s="2682" t="s">
        <v>5922</v>
      </c>
      <c r="G1036" s="2682" t="s">
        <v>5922</v>
      </c>
      <c r="H1036" s="2682" t="s">
        <v>5922</v>
      </c>
      <c r="I1036" s="2682" t="s">
        <v>5922</v>
      </c>
      <c r="J1036" s="2682">
        <v>0</v>
      </c>
      <c r="L1036" s="2682" t="s">
        <v>5922</v>
      </c>
    </row>
    <row r="1037" spans="1:12">
      <c r="A1037" s="2683" t="s">
        <v>146</v>
      </c>
      <c r="B1037" s="2683" t="s">
        <v>6965</v>
      </c>
      <c r="C1037" s="2683">
        <v>115.087</v>
      </c>
      <c r="D1037" s="2683">
        <v>190.5</v>
      </c>
      <c r="E1037" s="2683">
        <v>47.625</v>
      </c>
      <c r="F1037" s="2683" t="s">
        <v>5922</v>
      </c>
      <c r="G1037" s="2683" t="s">
        <v>5922</v>
      </c>
      <c r="H1037" s="2683" t="s">
        <v>5922</v>
      </c>
      <c r="I1037" s="2683" t="s">
        <v>5922</v>
      </c>
      <c r="J1037" s="2683">
        <v>4.952</v>
      </c>
      <c r="K1037" s="2684"/>
      <c r="L1037" s="2683" t="s">
        <v>5922</v>
      </c>
    </row>
    <row r="1038" spans="1:12">
      <c r="A1038" s="2682" t="s">
        <v>146</v>
      </c>
      <c r="B1038" s="2682" t="s">
        <v>6966</v>
      </c>
      <c r="C1038" s="2682">
        <v>115.087</v>
      </c>
      <c r="D1038" s="2682">
        <v>190.5</v>
      </c>
      <c r="E1038" s="2682">
        <v>47.625</v>
      </c>
      <c r="F1038" s="2682" t="s">
        <v>5922</v>
      </c>
      <c r="G1038" s="2682" t="s">
        <v>5922</v>
      </c>
      <c r="H1038" s="2682" t="s">
        <v>5922</v>
      </c>
      <c r="I1038" s="2682" t="s">
        <v>5922</v>
      </c>
      <c r="J1038" s="2682">
        <v>0</v>
      </c>
      <c r="L1038" s="2682" t="s">
        <v>5922</v>
      </c>
    </row>
    <row r="1039" spans="1:12">
      <c r="A1039" s="2683" t="s">
        <v>146</v>
      </c>
      <c r="B1039" s="2683" t="s">
        <v>6967</v>
      </c>
      <c r="C1039" s="2683">
        <v>114.3</v>
      </c>
      <c r="D1039" s="2683">
        <v>190.5</v>
      </c>
      <c r="E1039" s="2683">
        <v>47.625</v>
      </c>
      <c r="F1039" s="2683" t="s">
        <v>5922</v>
      </c>
      <c r="G1039" s="2683" t="s">
        <v>5922</v>
      </c>
      <c r="H1039" s="2683" t="s">
        <v>5922</v>
      </c>
      <c r="I1039" s="2683" t="s">
        <v>5922</v>
      </c>
      <c r="J1039" s="2683">
        <v>5.1100000000000003</v>
      </c>
      <c r="K1039" s="2684"/>
      <c r="L1039" s="2683" t="s">
        <v>5922</v>
      </c>
    </row>
    <row r="1040" spans="1:12">
      <c r="A1040" s="2682" t="s">
        <v>146</v>
      </c>
      <c r="B1040" s="2682" t="s">
        <v>6968</v>
      </c>
      <c r="C1040" s="2682">
        <v>107.95</v>
      </c>
      <c r="D1040" s="2682">
        <v>190.5</v>
      </c>
      <c r="E1040" s="2682">
        <v>47.625</v>
      </c>
      <c r="F1040" s="2682" t="s">
        <v>5922</v>
      </c>
      <c r="G1040" s="2682" t="s">
        <v>5922</v>
      </c>
      <c r="H1040" s="2682" t="s">
        <v>5922</v>
      </c>
      <c r="I1040" s="2682" t="s">
        <v>5922</v>
      </c>
      <c r="J1040" s="2682">
        <v>0</v>
      </c>
      <c r="L1040" s="2682" t="s">
        <v>5922</v>
      </c>
    </row>
    <row r="1041" spans="1:12">
      <c r="A1041" s="2683" t="s">
        <v>146</v>
      </c>
      <c r="B1041" s="2683" t="s">
        <v>6969</v>
      </c>
      <c r="C1041" s="2683">
        <v>104.77500000000001</v>
      </c>
      <c r="D1041" s="2683">
        <v>190.5</v>
      </c>
      <c r="E1041" s="2683">
        <v>47.625</v>
      </c>
      <c r="F1041" s="2683" t="s">
        <v>5922</v>
      </c>
      <c r="G1041" s="2683" t="s">
        <v>5922</v>
      </c>
      <c r="H1041" s="2683" t="s">
        <v>5922</v>
      </c>
      <c r="I1041" s="2683" t="s">
        <v>5922</v>
      </c>
      <c r="J1041" s="2683">
        <v>0</v>
      </c>
      <c r="K1041" s="2684"/>
      <c r="L1041" s="2683" t="s">
        <v>5922</v>
      </c>
    </row>
    <row r="1042" spans="1:12">
      <c r="A1042" s="2682" t="s">
        <v>146</v>
      </c>
      <c r="B1042" s="2682" t="s">
        <v>6970</v>
      </c>
      <c r="C1042" s="2682">
        <v>101.6</v>
      </c>
      <c r="D1042" s="2682">
        <v>168.27500000000001</v>
      </c>
      <c r="E1042" s="2682">
        <v>92.075000000000003</v>
      </c>
      <c r="F1042" s="2682" t="s">
        <v>5922</v>
      </c>
      <c r="G1042" s="2682" t="s">
        <v>5922</v>
      </c>
      <c r="H1042" s="2682" t="s">
        <v>5922</v>
      </c>
      <c r="I1042" s="2682" t="s">
        <v>5922</v>
      </c>
      <c r="J1042" s="2682">
        <v>8.18</v>
      </c>
      <c r="L1042" s="2682" t="s">
        <v>5922</v>
      </c>
    </row>
    <row r="1043" spans="1:12">
      <c r="A1043" s="2683" t="s">
        <v>146</v>
      </c>
      <c r="B1043" s="2683" t="s">
        <v>6971</v>
      </c>
      <c r="C1043" s="2683">
        <v>101.6</v>
      </c>
      <c r="D1043" s="2683">
        <v>168.27500000000001</v>
      </c>
      <c r="E1043" s="2683">
        <v>41.274999999999999</v>
      </c>
      <c r="F1043" s="2683" t="s">
        <v>5922</v>
      </c>
      <c r="G1043" s="2683" t="s">
        <v>5922</v>
      </c>
      <c r="H1043" s="2683" t="s">
        <v>5922</v>
      </c>
      <c r="I1043" s="2683" t="s">
        <v>5922</v>
      </c>
      <c r="J1043" s="2683">
        <v>0</v>
      </c>
      <c r="K1043" s="2684"/>
      <c r="L1043" s="2683" t="s">
        <v>5922</v>
      </c>
    </row>
    <row r="1044" spans="1:12">
      <c r="A1044" s="2682" t="s">
        <v>146</v>
      </c>
      <c r="B1044" s="2682" t="s">
        <v>6972</v>
      </c>
      <c r="C1044" s="2682">
        <v>98.424999999999997</v>
      </c>
      <c r="D1044" s="2682">
        <v>168.27500000000001</v>
      </c>
      <c r="E1044" s="2682">
        <v>41.274999999999999</v>
      </c>
      <c r="F1044" s="2682" t="s">
        <v>5922</v>
      </c>
      <c r="G1044" s="2682" t="s">
        <v>5922</v>
      </c>
      <c r="H1044" s="2682" t="s">
        <v>5922</v>
      </c>
      <c r="I1044" s="2682" t="s">
        <v>5922</v>
      </c>
      <c r="J1044" s="2682">
        <v>0</v>
      </c>
      <c r="L1044" s="2682" t="s">
        <v>5922</v>
      </c>
    </row>
    <row r="1045" spans="1:12">
      <c r="A1045" s="2683" t="s">
        <v>146</v>
      </c>
      <c r="B1045" s="2683" t="s">
        <v>6973</v>
      </c>
      <c r="C1045" s="2683">
        <v>114.3</v>
      </c>
      <c r="D1045" s="2683">
        <v>180.97499999999999</v>
      </c>
      <c r="E1045" s="2683">
        <v>34.924999999999997</v>
      </c>
      <c r="F1045" s="2683" t="s">
        <v>5922</v>
      </c>
      <c r="G1045" s="2683" t="s">
        <v>5922</v>
      </c>
      <c r="H1045" s="2683" t="s">
        <v>5922</v>
      </c>
      <c r="I1045" s="2683" t="s">
        <v>5922</v>
      </c>
      <c r="J1045" s="2683">
        <v>0</v>
      </c>
      <c r="K1045" s="2684"/>
      <c r="L1045" s="2683" t="s">
        <v>5922</v>
      </c>
    </row>
    <row r="1046" spans="1:12">
      <c r="A1046" s="2682" t="s">
        <v>146</v>
      </c>
      <c r="B1046" s="2682" t="s">
        <v>6974</v>
      </c>
      <c r="C1046" s="2682">
        <v>95.25</v>
      </c>
      <c r="D1046" s="2682">
        <v>168.27500000000001</v>
      </c>
      <c r="E1046" s="2682">
        <v>41.274999999999999</v>
      </c>
      <c r="F1046" s="2682" t="s">
        <v>5922</v>
      </c>
      <c r="G1046" s="2682" t="s">
        <v>5922</v>
      </c>
      <c r="H1046" s="2682" t="s">
        <v>5922</v>
      </c>
      <c r="I1046" s="2682" t="s">
        <v>5922</v>
      </c>
      <c r="J1046" s="2682">
        <v>0</v>
      </c>
      <c r="L1046" s="2682" t="s">
        <v>5922</v>
      </c>
    </row>
    <row r="1047" spans="1:12">
      <c r="A1047" s="2683" t="s">
        <v>146</v>
      </c>
      <c r="B1047" s="2683" t="s">
        <v>6975</v>
      </c>
      <c r="C1047" s="2683">
        <v>92.075000000000003</v>
      </c>
      <c r="D1047" s="2683">
        <v>168.27500000000001</v>
      </c>
      <c r="E1047" s="2683">
        <v>41.274999999999999</v>
      </c>
      <c r="F1047" s="2683" t="s">
        <v>5922</v>
      </c>
      <c r="G1047" s="2683" t="s">
        <v>5922</v>
      </c>
      <c r="H1047" s="2683" t="s">
        <v>5922</v>
      </c>
      <c r="I1047" s="2683" t="s">
        <v>5922</v>
      </c>
      <c r="J1047" s="2683">
        <v>0</v>
      </c>
      <c r="K1047" s="2684"/>
      <c r="L1047" s="2683" t="s">
        <v>5922</v>
      </c>
    </row>
    <row r="1048" spans="1:12">
      <c r="A1048" s="2682" t="s">
        <v>146</v>
      </c>
      <c r="B1048" s="2682" t="s">
        <v>6976</v>
      </c>
      <c r="C1048" s="2682">
        <v>209.5</v>
      </c>
      <c r="D1048" s="2682">
        <v>282.60000000000002</v>
      </c>
      <c r="E1048" s="2682">
        <v>46.04</v>
      </c>
      <c r="F1048" s="2682" t="s">
        <v>5922</v>
      </c>
      <c r="G1048" s="2682" t="s">
        <v>5922</v>
      </c>
      <c r="H1048" s="2682" t="s">
        <v>5922</v>
      </c>
      <c r="I1048" s="2682" t="s">
        <v>5922</v>
      </c>
      <c r="J1048" s="2682">
        <v>7.7210000000000001</v>
      </c>
      <c r="L1048" s="2682" t="s">
        <v>5922</v>
      </c>
    </row>
    <row r="1049" spans="1:12">
      <c r="A1049" s="2683" t="s">
        <v>146</v>
      </c>
      <c r="B1049" s="2683" t="s">
        <v>6977</v>
      </c>
      <c r="C1049" s="2683">
        <v>206.375</v>
      </c>
      <c r="D1049" s="2683">
        <v>282.57499999999999</v>
      </c>
      <c r="E1049" s="2683">
        <v>46.037999999999997</v>
      </c>
      <c r="F1049" s="2683" t="s">
        <v>5922</v>
      </c>
      <c r="G1049" s="2683" t="s">
        <v>5922</v>
      </c>
      <c r="H1049" s="2683" t="s">
        <v>5922</v>
      </c>
      <c r="I1049" s="2683" t="s">
        <v>5922</v>
      </c>
      <c r="J1049" s="2683">
        <v>0</v>
      </c>
      <c r="K1049" s="2684"/>
      <c r="L1049" s="2683" t="s">
        <v>5922</v>
      </c>
    </row>
    <row r="1050" spans="1:12">
      <c r="A1050" s="2682" t="s">
        <v>146</v>
      </c>
      <c r="B1050" s="2682" t="s">
        <v>6978</v>
      </c>
      <c r="C1050" s="2682">
        <v>203.2</v>
      </c>
      <c r="D1050" s="2682">
        <v>282.57499999999999</v>
      </c>
      <c r="E1050" s="2682">
        <v>46.037999999999997</v>
      </c>
      <c r="F1050" s="2682" t="s">
        <v>5922</v>
      </c>
      <c r="G1050" s="2682" t="s">
        <v>5922</v>
      </c>
      <c r="H1050" s="2682" t="s">
        <v>5922</v>
      </c>
      <c r="I1050" s="2682" t="s">
        <v>5922</v>
      </c>
      <c r="J1050" s="2682">
        <v>0</v>
      </c>
      <c r="L1050" s="2682" t="s">
        <v>5922</v>
      </c>
    </row>
    <row r="1051" spans="1:12">
      <c r="A1051" s="2683" t="s">
        <v>146</v>
      </c>
      <c r="B1051" s="2683" t="s">
        <v>6979</v>
      </c>
      <c r="C1051" s="2683">
        <v>88.9</v>
      </c>
      <c r="D1051" s="2683">
        <v>168.27500000000001</v>
      </c>
      <c r="E1051" s="2683">
        <v>41.274999999999999</v>
      </c>
      <c r="F1051" s="2683" t="s">
        <v>5922</v>
      </c>
      <c r="G1051" s="2683" t="s">
        <v>5922</v>
      </c>
      <c r="H1051" s="2683" t="s">
        <v>5922</v>
      </c>
      <c r="I1051" s="2683" t="s">
        <v>5922</v>
      </c>
      <c r="J1051" s="2683">
        <v>0</v>
      </c>
      <c r="K1051" s="2684"/>
      <c r="L1051" s="2683" t="s">
        <v>5922</v>
      </c>
    </row>
    <row r="1052" spans="1:12">
      <c r="A1052" s="2682" t="s">
        <v>146</v>
      </c>
      <c r="B1052" s="2682" t="s">
        <v>6980</v>
      </c>
      <c r="C1052" s="2682">
        <v>190.5</v>
      </c>
      <c r="D1052" s="2682">
        <v>266.7</v>
      </c>
      <c r="E1052" s="2682">
        <v>47.625</v>
      </c>
      <c r="F1052" s="2682" t="s">
        <v>5922</v>
      </c>
      <c r="G1052" s="2682" t="s">
        <v>5922</v>
      </c>
      <c r="H1052" s="2682" t="s">
        <v>5922</v>
      </c>
      <c r="I1052" s="2682" t="s">
        <v>5922</v>
      </c>
      <c r="J1052" s="2682">
        <v>0</v>
      </c>
      <c r="L1052" s="2682" t="s">
        <v>5922</v>
      </c>
    </row>
    <row r="1053" spans="1:12">
      <c r="A1053" s="2683" t="s">
        <v>146</v>
      </c>
      <c r="B1053" s="2683" t="s">
        <v>6981</v>
      </c>
      <c r="C1053" s="2683">
        <v>187.32499999999999</v>
      </c>
      <c r="D1053" s="2683">
        <v>266.7</v>
      </c>
      <c r="E1053" s="2683">
        <v>47.625</v>
      </c>
      <c r="F1053" s="2683" t="s">
        <v>5922</v>
      </c>
      <c r="G1053" s="2683" t="s">
        <v>5922</v>
      </c>
      <c r="H1053" s="2683" t="s">
        <v>5922</v>
      </c>
      <c r="I1053" s="2683" t="s">
        <v>5922</v>
      </c>
      <c r="J1053" s="2683">
        <v>0</v>
      </c>
      <c r="K1053" s="2684"/>
      <c r="L1053" s="2683" t="s">
        <v>5922</v>
      </c>
    </row>
    <row r="1054" spans="1:12">
      <c r="A1054" s="2682" t="s">
        <v>146</v>
      </c>
      <c r="B1054" s="2682" t="s">
        <v>6982</v>
      </c>
      <c r="C1054" s="2682">
        <v>184.15</v>
      </c>
      <c r="D1054" s="2682">
        <v>266.7</v>
      </c>
      <c r="E1054" s="2682">
        <v>47.625</v>
      </c>
      <c r="F1054" s="2682" t="s">
        <v>5922</v>
      </c>
      <c r="G1054" s="2682" t="s">
        <v>5922</v>
      </c>
      <c r="H1054" s="2682" t="s">
        <v>5922</v>
      </c>
      <c r="I1054" s="2682" t="s">
        <v>5922</v>
      </c>
      <c r="J1054" s="2682">
        <v>8.34</v>
      </c>
      <c r="L1054" s="2682" t="s">
        <v>5922</v>
      </c>
    </row>
    <row r="1055" spans="1:12">
      <c r="A1055" s="2683" t="s">
        <v>146</v>
      </c>
      <c r="B1055" s="2683" t="s">
        <v>6983</v>
      </c>
      <c r="C1055" s="2683">
        <v>177.8</v>
      </c>
      <c r="D1055" s="2683">
        <v>247.65</v>
      </c>
      <c r="E1055" s="2683">
        <v>47.625</v>
      </c>
      <c r="F1055" s="2683" t="s">
        <v>5922</v>
      </c>
      <c r="G1055" s="2683" t="s">
        <v>5922</v>
      </c>
      <c r="H1055" s="2683" t="s">
        <v>5922</v>
      </c>
      <c r="I1055" s="2683" t="s">
        <v>5922</v>
      </c>
      <c r="J1055" s="2683">
        <v>7.12</v>
      </c>
      <c r="K1055" s="2684"/>
      <c r="L1055" s="2683" t="s">
        <v>5922</v>
      </c>
    </row>
    <row r="1056" spans="1:12">
      <c r="A1056" s="2682" t="s">
        <v>146</v>
      </c>
      <c r="B1056" s="2682" t="s">
        <v>6984</v>
      </c>
      <c r="C1056" s="2682">
        <v>165.1</v>
      </c>
      <c r="D1056" s="2682">
        <v>247.65</v>
      </c>
      <c r="E1056" s="2682">
        <v>47.625</v>
      </c>
      <c r="F1056" s="2682" t="s">
        <v>5922</v>
      </c>
      <c r="G1056" s="2682" t="s">
        <v>5922</v>
      </c>
      <c r="H1056" s="2682" t="s">
        <v>5922</v>
      </c>
      <c r="I1056" s="2682" t="s">
        <v>5922</v>
      </c>
      <c r="J1056" s="2682">
        <v>0</v>
      </c>
      <c r="L1056" s="2682" t="s">
        <v>5922</v>
      </c>
    </row>
    <row r="1057" spans="1:12">
      <c r="A1057" s="2683" t="s">
        <v>146</v>
      </c>
      <c r="B1057" s="2683" t="s">
        <v>6985</v>
      </c>
      <c r="C1057" s="2683">
        <v>85.724999999999994</v>
      </c>
      <c r="D1057" s="2683">
        <v>168.27500000000001</v>
      </c>
      <c r="E1057" s="2683">
        <v>41.274999999999999</v>
      </c>
      <c r="F1057" s="2683" t="s">
        <v>5922</v>
      </c>
      <c r="G1057" s="2683" t="s">
        <v>5922</v>
      </c>
      <c r="H1057" s="2683" t="s">
        <v>5922</v>
      </c>
      <c r="I1057" s="2683" t="s">
        <v>5922</v>
      </c>
      <c r="J1057" s="2683">
        <v>4.1760000000000002</v>
      </c>
      <c r="K1057" s="2684"/>
      <c r="L1057" s="2683" t="s">
        <v>5922</v>
      </c>
    </row>
    <row r="1058" spans="1:12">
      <c r="A1058" s="2682" t="s">
        <v>146</v>
      </c>
      <c r="B1058" s="2682" t="s">
        <v>6986</v>
      </c>
      <c r="C1058" s="2682">
        <v>110</v>
      </c>
      <c r="D1058" s="2682">
        <v>165</v>
      </c>
      <c r="E1058" s="2682">
        <v>35</v>
      </c>
      <c r="F1058" s="2682" t="s">
        <v>5922</v>
      </c>
      <c r="G1058" s="2682" t="s">
        <v>5922</v>
      </c>
      <c r="H1058" s="2682" t="s">
        <v>5922</v>
      </c>
      <c r="I1058" s="2682" t="s">
        <v>5922</v>
      </c>
      <c r="J1058" s="2682">
        <v>2.4900000000000002</v>
      </c>
      <c r="L1058" s="2682" t="s">
        <v>5922</v>
      </c>
    </row>
    <row r="1059" spans="1:12">
      <c r="A1059" s="2683" t="s">
        <v>146</v>
      </c>
      <c r="B1059" s="2683" t="s">
        <v>6987</v>
      </c>
      <c r="C1059" s="2683">
        <v>170</v>
      </c>
      <c r="D1059" s="2683">
        <v>240</v>
      </c>
      <c r="E1059" s="2683">
        <v>46</v>
      </c>
      <c r="F1059" s="2683" t="s">
        <v>5922</v>
      </c>
      <c r="G1059" s="2683" t="s">
        <v>5922</v>
      </c>
      <c r="H1059" s="2683" t="s">
        <v>5922</v>
      </c>
      <c r="I1059" s="2683" t="s">
        <v>5922</v>
      </c>
      <c r="J1059" s="2683">
        <v>6.28</v>
      </c>
      <c r="K1059" s="2684"/>
      <c r="L1059" s="2683" t="s">
        <v>5922</v>
      </c>
    </row>
    <row r="1060" spans="1:12">
      <c r="A1060" s="2682" t="s">
        <v>146</v>
      </c>
      <c r="B1060" s="2682" t="s">
        <v>6988</v>
      </c>
      <c r="C1060" s="2682">
        <v>85</v>
      </c>
      <c r="D1060" s="2682">
        <v>130</v>
      </c>
      <c r="E1060" s="2682">
        <v>30</v>
      </c>
      <c r="F1060" s="2682" t="s">
        <v>5922</v>
      </c>
      <c r="G1060" s="2682" t="s">
        <v>5922</v>
      </c>
      <c r="H1060" s="2682" t="s">
        <v>5922</v>
      </c>
      <c r="I1060" s="2682" t="s">
        <v>5922</v>
      </c>
      <c r="J1060" s="2682">
        <v>1.38</v>
      </c>
      <c r="L1060" s="2682" t="s">
        <v>5922</v>
      </c>
    </row>
    <row r="1061" spans="1:12">
      <c r="A1061" s="2683" t="s">
        <v>146</v>
      </c>
      <c r="B1061" s="2683" t="s">
        <v>6989</v>
      </c>
      <c r="C1061" s="2683">
        <v>75</v>
      </c>
      <c r="D1061" s="2683">
        <v>120</v>
      </c>
      <c r="E1061" s="2683">
        <v>31</v>
      </c>
      <c r="F1061" s="2683" t="s">
        <v>5922</v>
      </c>
      <c r="G1061" s="2683" t="s">
        <v>5922</v>
      </c>
      <c r="H1061" s="2683" t="s">
        <v>5922</v>
      </c>
      <c r="I1061" s="2683" t="s">
        <v>5922</v>
      </c>
      <c r="J1061" s="2683">
        <v>1.27</v>
      </c>
      <c r="K1061" s="2684"/>
      <c r="L1061" s="2683" t="s">
        <v>5922</v>
      </c>
    </row>
    <row r="1062" spans="1:12">
      <c r="A1062" s="2682" t="s">
        <v>146</v>
      </c>
      <c r="B1062" s="2682" t="s">
        <v>6990</v>
      </c>
      <c r="C1062" s="2682">
        <v>80</v>
      </c>
      <c r="D1062" s="2682">
        <v>130</v>
      </c>
      <c r="E1062" s="2682">
        <v>35</v>
      </c>
      <c r="F1062" s="2682" t="s">
        <v>5922</v>
      </c>
      <c r="G1062" s="2682" t="s">
        <v>5922</v>
      </c>
      <c r="H1062" s="2682" t="s">
        <v>5922</v>
      </c>
      <c r="I1062" s="2682" t="s">
        <v>5922</v>
      </c>
      <c r="J1062" s="2682">
        <v>1.82</v>
      </c>
      <c r="L1062" s="2682" t="s">
        <v>5922</v>
      </c>
    </row>
    <row r="1063" spans="1:12">
      <c r="A1063" s="2683" t="s">
        <v>146</v>
      </c>
      <c r="B1063" s="2683" t="s">
        <v>6991</v>
      </c>
      <c r="C1063" s="2683">
        <v>65</v>
      </c>
      <c r="D1063" s="2683">
        <v>110</v>
      </c>
      <c r="E1063" s="2683">
        <v>28</v>
      </c>
      <c r="F1063" s="2683" t="s">
        <v>5922</v>
      </c>
      <c r="G1063" s="2683" t="s">
        <v>5922</v>
      </c>
      <c r="H1063" s="2683" t="s">
        <v>5922</v>
      </c>
      <c r="I1063" s="2683" t="s">
        <v>5922</v>
      </c>
      <c r="J1063" s="2683">
        <v>1.06</v>
      </c>
      <c r="K1063" s="2684"/>
      <c r="L1063" s="2683" t="s">
        <v>5922</v>
      </c>
    </row>
    <row r="1064" spans="1:12">
      <c r="A1064" s="2682" t="s">
        <v>146</v>
      </c>
      <c r="B1064" s="2682" t="s">
        <v>6992</v>
      </c>
      <c r="C1064" s="2682">
        <v>65</v>
      </c>
      <c r="D1064" s="2682">
        <v>110</v>
      </c>
      <c r="E1064" s="2682">
        <v>22.5</v>
      </c>
      <c r="F1064" s="2682" t="s">
        <v>5922</v>
      </c>
      <c r="G1064" s="2682" t="s">
        <v>5922</v>
      </c>
      <c r="H1064" s="2682" t="s">
        <v>5922</v>
      </c>
      <c r="I1064" s="2682" t="s">
        <v>5922</v>
      </c>
      <c r="J1064" s="2682">
        <v>1.06</v>
      </c>
      <c r="L1064" s="2682" t="s">
        <v>5922</v>
      </c>
    </row>
    <row r="1065" spans="1:12">
      <c r="A1065" s="2683" t="s">
        <v>146</v>
      </c>
      <c r="B1065" s="2683" t="s">
        <v>6993</v>
      </c>
      <c r="C1065" s="2683">
        <v>55</v>
      </c>
      <c r="D1065" s="2683">
        <v>95</v>
      </c>
      <c r="E1065" s="2683">
        <v>29</v>
      </c>
      <c r="F1065" s="2683" t="s">
        <v>5922</v>
      </c>
      <c r="G1065" s="2683" t="s">
        <v>5922</v>
      </c>
      <c r="H1065" s="2683" t="s">
        <v>5922</v>
      </c>
      <c r="I1065" s="2683" t="s">
        <v>5922</v>
      </c>
      <c r="J1065" s="2683">
        <v>0.8</v>
      </c>
      <c r="K1065" s="2684"/>
      <c r="L1065" s="2683" t="s">
        <v>5922</v>
      </c>
    </row>
    <row r="1066" spans="1:12">
      <c r="A1066" s="2682" t="s">
        <v>146</v>
      </c>
      <c r="B1066" s="2682" t="s">
        <v>6994</v>
      </c>
      <c r="C1066" s="2682">
        <v>50</v>
      </c>
      <c r="D1066" s="2682">
        <v>90</v>
      </c>
      <c r="E1066" s="2682">
        <v>28</v>
      </c>
      <c r="F1066" s="2682" t="s">
        <v>5922</v>
      </c>
      <c r="G1066" s="2682" t="s">
        <v>5922</v>
      </c>
      <c r="H1066" s="2682" t="s">
        <v>5922</v>
      </c>
      <c r="I1066" s="2682" t="s">
        <v>5922</v>
      </c>
      <c r="J1066" s="2682">
        <v>0.75800000000000001</v>
      </c>
      <c r="L1066" s="2682" t="s">
        <v>5922</v>
      </c>
    </row>
    <row r="1067" spans="1:12">
      <c r="A1067" s="2683" t="s">
        <v>146</v>
      </c>
      <c r="B1067" s="2683" t="s">
        <v>6995</v>
      </c>
      <c r="C1067" s="2683">
        <v>70</v>
      </c>
      <c r="D1067" s="2683">
        <v>110</v>
      </c>
      <c r="E1067" s="2683">
        <v>26</v>
      </c>
      <c r="F1067" s="2683" t="s">
        <v>5922</v>
      </c>
      <c r="G1067" s="2683" t="s">
        <v>5922</v>
      </c>
      <c r="H1067" s="2683" t="s">
        <v>5922</v>
      </c>
      <c r="I1067" s="2683" t="s">
        <v>5922</v>
      </c>
      <c r="J1067" s="2683">
        <v>0.88700000000000001</v>
      </c>
      <c r="K1067" s="2684"/>
      <c r="L1067" s="2683" t="s">
        <v>5922</v>
      </c>
    </row>
    <row r="1068" spans="1:12">
      <c r="A1068" s="2682" t="s">
        <v>146</v>
      </c>
      <c r="B1068" s="2682" t="s">
        <v>6996</v>
      </c>
      <c r="C1068" s="2682">
        <v>75</v>
      </c>
      <c r="D1068" s="2682">
        <v>120</v>
      </c>
      <c r="E1068" s="2682">
        <v>31</v>
      </c>
      <c r="F1068" s="2682" t="s">
        <v>5922</v>
      </c>
      <c r="G1068" s="2682" t="s">
        <v>5922</v>
      </c>
      <c r="H1068" s="2682" t="s">
        <v>5922</v>
      </c>
      <c r="I1068" s="2682" t="s">
        <v>5922</v>
      </c>
      <c r="J1068" s="2682">
        <v>1.2989999999999999</v>
      </c>
      <c r="L1068" s="2682" t="s">
        <v>5922</v>
      </c>
    </row>
    <row r="1069" spans="1:12">
      <c r="A1069" s="2683" t="s">
        <v>146</v>
      </c>
      <c r="B1069" s="2683" t="s">
        <v>6997</v>
      </c>
      <c r="C1069" s="2683">
        <v>75</v>
      </c>
      <c r="D1069" s="2683">
        <v>115.1</v>
      </c>
      <c r="E1069" s="2683">
        <v>25</v>
      </c>
      <c r="F1069" s="2683" t="s">
        <v>5922</v>
      </c>
      <c r="G1069" s="2683" t="s">
        <v>5922</v>
      </c>
      <c r="H1069" s="2683" t="s">
        <v>5922</v>
      </c>
      <c r="I1069" s="2683" t="s">
        <v>5922</v>
      </c>
      <c r="J1069" s="2683">
        <v>0.95</v>
      </c>
      <c r="K1069" s="2684"/>
      <c r="L1069" s="2683" t="s">
        <v>5922</v>
      </c>
    </row>
    <row r="1070" spans="1:12">
      <c r="A1070" s="2682" t="s">
        <v>146</v>
      </c>
      <c r="B1070" s="2682" t="s">
        <v>6998</v>
      </c>
      <c r="C1070" s="2682">
        <v>55</v>
      </c>
      <c r="D1070" s="2682">
        <v>90</v>
      </c>
      <c r="E1070" s="2682">
        <v>23</v>
      </c>
      <c r="F1070" s="2682" t="s">
        <v>5922</v>
      </c>
      <c r="G1070" s="2682" t="s">
        <v>5922</v>
      </c>
      <c r="H1070" s="2682" t="s">
        <v>5922</v>
      </c>
      <c r="I1070" s="2682" t="s">
        <v>5922</v>
      </c>
      <c r="J1070" s="2682">
        <v>0.55000000000000004</v>
      </c>
      <c r="L1070" s="2682" t="s">
        <v>5922</v>
      </c>
    </row>
    <row r="1071" spans="1:12">
      <c r="A1071" s="2683" t="s">
        <v>146</v>
      </c>
      <c r="B1071" s="2683" t="s">
        <v>6999</v>
      </c>
      <c r="C1071" s="2683">
        <v>55</v>
      </c>
      <c r="D1071" s="2683">
        <v>90</v>
      </c>
      <c r="E1071" s="2683">
        <v>23</v>
      </c>
      <c r="F1071" s="2683" t="s">
        <v>5922</v>
      </c>
      <c r="G1071" s="2683" t="s">
        <v>5922</v>
      </c>
      <c r="H1071" s="2683" t="s">
        <v>5922</v>
      </c>
      <c r="I1071" s="2683" t="s">
        <v>5922</v>
      </c>
      <c r="J1071" s="2683">
        <v>0.58599999999999997</v>
      </c>
      <c r="K1071" s="2684"/>
      <c r="L1071" s="2683" t="s">
        <v>5922</v>
      </c>
    </row>
    <row r="1072" spans="1:12">
      <c r="A1072" s="2682" t="s">
        <v>146</v>
      </c>
      <c r="B1072" s="2682" t="s">
        <v>7000</v>
      </c>
      <c r="C1072" s="2682">
        <v>39</v>
      </c>
      <c r="D1072" s="2682">
        <v>68</v>
      </c>
      <c r="E1072" s="2682">
        <v>37</v>
      </c>
      <c r="F1072" s="2682" t="s">
        <v>5922</v>
      </c>
      <c r="G1072" s="2682" t="s">
        <v>5922</v>
      </c>
      <c r="H1072" s="2682" t="s">
        <v>5922</v>
      </c>
      <c r="I1072" s="2682" t="s">
        <v>5922</v>
      </c>
      <c r="J1072" s="2682">
        <v>0.55100000000000005</v>
      </c>
      <c r="L1072" s="2682" t="s">
        <v>5922</v>
      </c>
    </row>
    <row r="1073" spans="1:12">
      <c r="A1073" s="2683" t="s">
        <v>146</v>
      </c>
      <c r="B1073" s="2683" t="s">
        <v>7001</v>
      </c>
      <c r="C1073" s="2683">
        <v>50</v>
      </c>
      <c r="D1073" s="2683">
        <v>82</v>
      </c>
      <c r="E1073" s="2683">
        <v>21.5</v>
      </c>
      <c r="F1073" s="2683" t="s">
        <v>5922</v>
      </c>
      <c r="G1073" s="2683" t="s">
        <v>5922</v>
      </c>
      <c r="H1073" s="2683" t="s">
        <v>5922</v>
      </c>
      <c r="I1073" s="2683" t="s">
        <v>5922</v>
      </c>
      <c r="J1073" s="2683">
        <v>0.42199999999999999</v>
      </c>
      <c r="K1073" s="2684"/>
      <c r="L1073" s="2683" t="s">
        <v>5922</v>
      </c>
    </row>
    <row r="1074" spans="1:12">
      <c r="A1074" s="2682" t="s">
        <v>146</v>
      </c>
      <c r="B1074" s="2682" t="s">
        <v>7002</v>
      </c>
      <c r="C1074" s="2682">
        <v>50</v>
      </c>
      <c r="D1074" s="2682">
        <v>82</v>
      </c>
      <c r="E1074" s="2682">
        <v>21.5</v>
      </c>
      <c r="F1074" s="2682" t="s">
        <v>5922</v>
      </c>
      <c r="G1074" s="2682" t="s">
        <v>5922</v>
      </c>
      <c r="H1074" s="2682" t="s">
        <v>5922</v>
      </c>
      <c r="I1074" s="2682" t="s">
        <v>5922</v>
      </c>
      <c r="J1074" s="2682">
        <v>0</v>
      </c>
      <c r="L1074" s="2682" t="s">
        <v>5922</v>
      </c>
    </row>
    <row r="1075" spans="1:12">
      <c r="A1075" s="2683" t="s">
        <v>146</v>
      </c>
      <c r="B1075" s="2683" t="s">
        <v>7003</v>
      </c>
      <c r="C1075" s="2683">
        <v>50</v>
      </c>
      <c r="D1075" s="2683">
        <v>82</v>
      </c>
      <c r="E1075" s="2683">
        <v>21.98</v>
      </c>
      <c r="F1075" s="2683" t="s">
        <v>5922</v>
      </c>
      <c r="G1075" s="2683" t="s">
        <v>5922</v>
      </c>
      <c r="H1075" s="2683" t="s">
        <v>5922</v>
      </c>
      <c r="I1075" s="2683" t="s">
        <v>5922</v>
      </c>
      <c r="J1075" s="2683">
        <v>0.42199999999999999</v>
      </c>
      <c r="K1075" s="2684"/>
      <c r="L1075" s="2683" t="s">
        <v>5922</v>
      </c>
    </row>
    <row r="1076" spans="1:12">
      <c r="A1076" s="2682" t="s">
        <v>146</v>
      </c>
      <c r="B1076" s="2682" t="s">
        <v>7004</v>
      </c>
      <c r="C1076" s="2682">
        <v>50</v>
      </c>
      <c r="D1076" s="2682">
        <v>82</v>
      </c>
      <c r="E1076" s="2682">
        <v>21.5</v>
      </c>
      <c r="F1076" s="2682" t="s">
        <v>5922</v>
      </c>
      <c r="G1076" s="2682" t="s">
        <v>5922</v>
      </c>
      <c r="H1076" s="2682" t="s">
        <v>5922</v>
      </c>
      <c r="I1076" s="2682" t="s">
        <v>5922</v>
      </c>
      <c r="J1076" s="2682">
        <v>0.42099999999999999</v>
      </c>
      <c r="L1076" s="2682" t="s">
        <v>5922</v>
      </c>
    </row>
    <row r="1077" spans="1:12">
      <c r="A1077" s="2683" t="s">
        <v>146</v>
      </c>
      <c r="B1077" s="2683" t="s">
        <v>7005</v>
      </c>
      <c r="C1077" s="2683">
        <v>95</v>
      </c>
      <c r="D1077" s="2683">
        <v>135</v>
      </c>
      <c r="E1077" s="2683">
        <v>20</v>
      </c>
      <c r="F1077" s="2683" t="s">
        <v>5922</v>
      </c>
      <c r="G1077" s="2683" t="s">
        <v>5922</v>
      </c>
      <c r="H1077" s="2683" t="s">
        <v>5922</v>
      </c>
      <c r="I1077" s="2683" t="s">
        <v>5922</v>
      </c>
      <c r="J1077" s="2683">
        <v>0.83699999999999997</v>
      </c>
      <c r="K1077" s="2684"/>
      <c r="L1077" s="2683" t="s">
        <v>5922</v>
      </c>
    </row>
    <row r="1078" spans="1:12">
      <c r="A1078" s="2682" t="s">
        <v>146</v>
      </c>
      <c r="B1078" s="2682" t="s">
        <v>7006</v>
      </c>
      <c r="C1078" s="2682">
        <v>38</v>
      </c>
      <c r="D1078" s="2682">
        <v>63</v>
      </c>
      <c r="E1078" s="2682">
        <v>17</v>
      </c>
      <c r="F1078" s="2682" t="s">
        <v>5922</v>
      </c>
      <c r="G1078" s="2682" t="s">
        <v>5922</v>
      </c>
      <c r="H1078" s="2682" t="s">
        <v>5922</v>
      </c>
      <c r="I1078" s="2682" t="s">
        <v>5922</v>
      </c>
      <c r="J1078" s="2682">
        <v>0.186</v>
      </c>
      <c r="L1078" s="2682" t="s">
        <v>5922</v>
      </c>
    </row>
    <row r="1079" spans="1:12">
      <c r="A1079" s="2683" t="s">
        <v>146</v>
      </c>
      <c r="B1079" s="2683" t="s">
        <v>7007</v>
      </c>
      <c r="C1079" s="2683">
        <v>35</v>
      </c>
      <c r="D1079" s="2683">
        <v>60</v>
      </c>
      <c r="E1079" s="2683">
        <v>16.763999999999999</v>
      </c>
      <c r="F1079" s="2683" t="s">
        <v>5922</v>
      </c>
      <c r="G1079" s="2683" t="s">
        <v>5922</v>
      </c>
      <c r="H1079" s="2683" t="s">
        <v>5922</v>
      </c>
      <c r="I1079" s="2683" t="s">
        <v>5922</v>
      </c>
      <c r="J1079" s="2683">
        <v>0.17899999999999999</v>
      </c>
      <c r="K1079" s="2684"/>
      <c r="L1079" s="2683" t="s">
        <v>5922</v>
      </c>
    </row>
    <row r="1080" spans="1:12">
      <c r="A1080" s="2682" t="s">
        <v>146</v>
      </c>
      <c r="B1080" s="2682" t="s">
        <v>7008</v>
      </c>
      <c r="C1080" s="2682">
        <v>35</v>
      </c>
      <c r="D1080" s="2682">
        <v>60</v>
      </c>
      <c r="E1080" s="2682">
        <v>15.875</v>
      </c>
      <c r="F1080" s="2682" t="s">
        <v>5922</v>
      </c>
      <c r="G1080" s="2682" t="s">
        <v>5922</v>
      </c>
      <c r="H1080" s="2682" t="s">
        <v>5922</v>
      </c>
      <c r="I1080" s="2682" t="s">
        <v>5922</v>
      </c>
      <c r="J1080" s="2682">
        <v>0.188</v>
      </c>
      <c r="L1080" s="2682" t="s">
        <v>5922</v>
      </c>
    </row>
    <row r="1081" spans="1:12">
      <c r="A1081" s="2683" t="s">
        <v>146</v>
      </c>
      <c r="B1081" s="2683" t="s">
        <v>7009</v>
      </c>
      <c r="C1081" s="2683">
        <v>200</v>
      </c>
      <c r="D1081" s="2683">
        <v>300</v>
      </c>
      <c r="E1081" s="2683">
        <v>65</v>
      </c>
      <c r="F1081" s="2683" t="s">
        <v>5922</v>
      </c>
      <c r="G1081" s="2683" t="s">
        <v>5922</v>
      </c>
      <c r="H1081" s="2683" t="s">
        <v>5922</v>
      </c>
      <c r="I1081" s="2683" t="s">
        <v>5922</v>
      </c>
      <c r="J1081" s="2683">
        <v>15.5</v>
      </c>
      <c r="K1081" s="2684"/>
      <c r="L1081" s="2683" t="s">
        <v>5922</v>
      </c>
    </row>
    <row r="1082" spans="1:12">
      <c r="A1082" s="2682" t="s">
        <v>146</v>
      </c>
      <c r="B1082" s="2682" t="s">
        <v>7010</v>
      </c>
      <c r="C1082" s="2682">
        <v>110</v>
      </c>
      <c r="D1082" s="2682">
        <v>180</v>
      </c>
      <c r="E1082" s="2682">
        <v>47</v>
      </c>
      <c r="F1082" s="2682" t="s">
        <v>5922</v>
      </c>
      <c r="G1082" s="2682" t="s">
        <v>5922</v>
      </c>
      <c r="H1082" s="2682" t="s">
        <v>5922</v>
      </c>
      <c r="I1082" s="2682" t="s">
        <v>5922</v>
      </c>
      <c r="J1082" s="2682">
        <v>4.5599999999999996</v>
      </c>
      <c r="L1082" s="2682" t="s">
        <v>5922</v>
      </c>
    </row>
    <row r="1083" spans="1:12">
      <c r="A1083" s="2683" t="s">
        <v>146</v>
      </c>
      <c r="B1083" s="2683" t="s">
        <v>7011</v>
      </c>
      <c r="C1083" s="2683">
        <v>90</v>
      </c>
      <c r="D1083" s="2683">
        <v>155</v>
      </c>
      <c r="E1083" s="2683">
        <v>88</v>
      </c>
      <c r="F1083" s="2683" t="s">
        <v>5922</v>
      </c>
      <c r="G1083" s="2683" t="s">
        <v>5922</v>
      </c>
      <c r="H1083" s="2683" t="s">
        <v>5922</v>
      </c>
      <c r="I1083" s="2683" t="s">
        <v>5922</v>
      </c>
      <c r="J1083" s="2683">
        <v>6.66</v>
      </c>
      <c r="K1083" s="2684"/>
      <c r="L1083" s="2683" t="s">
        <v>5922</v>
      </c>
    </row>
    <row r="1084" spans="1:12">
      <c r="A1084" s="2682" t="s">
        <v>146</v>
      </c>
      <c r="B1084" s="2682" t="s">
        <v>7012</v>
      </c>
      <c r="C1084" s="2682">
        <v>55</v>
      </c>
      <c r="D1084" s="2682">
        <v>110</v>
      </c>
      <c r="E1084" s="2682">
        <v>32</v>
      </c>
      <c r="F1084" s="2682" t="s">
        <v>5922</v>
      </c>
      <c r="G1084" s="2682" t="s">
        <v>5922</v>
      </c>
      <c r="H1084" s="2682" t="s">
        <v>5922</v>
      </c>
      <c r="I1084" s="2682" t="s">
        <v>5922</v>
      </c>
      <c r="J1084" s="2682">
        <v>1.7</v>
      </c>
      <c r="L1084" s="2682" t="s">
        <v>5922</v>
      </c>
    </row>
    <row r="1085" spans="1:12">
      <c r="A1085" s="2683" t="s">
        <v>146</v>
      </c>
      <c r="B1085" s="2683" t="s">
        <v>7013</v>
      </c>
      <c r="C1085" s="2683">
        <v>65</v>
      </c>
      <c r="D1085" s="2683">
        <v>120</v>
      </c>
      <c r="E1085" s="2683">
        <v>39</v>
      </c>
      <c r="F1085" s="2683" t="s">
        <v>5922</v>
      </c>
      <c r="G1085" s="2683" t="s">
        <v>5922</v>
      </c>
      <c r="H1085" s="2683" t="s">
        <v>5922</v>
      </c>
      <c r="I1085" s="2683" t="s">
        <v>5922</v>
      </c>
      <c r="J1085" s="2683">
        <v>1.86</v>
      </c>
      <c r="K1085" s="2684"/>
      <c r="L1085" s="2683" t="s">
        <v>5922</v>
      </c>
    </row>
    <row r="1086" spans="1:12">
      <c r="A1086" s="2682" t="s">
        <v>146</v>
      </c>
      <c r="B1086" s="2682" t="s">
        <v>7014</v>
      </c>
      <c r="C1086" s="2682">
        <v>305</v>
      </c>
      <c r="D1086" s="2682">
        <v>559.86699999999996</v>
      </c>
      <c r="E1086" s="2682">
        <v>170.434</v>
      </c>
      <c r="F1086" s="2682" t="s">
        <v>5922</v>
      </c>
      <c r="G1086" s="2682" t="s">
        <v>5922</v>
      </c>
      <c r="H1086" s="2682" t="s">
        <v>5922</v>
      </c>
      <c r="I1086" s="2682" t="s">
        <v>5922</v>
      </c>
      <c r="J1086" s="2682">
        <v>187</v>
      </c>
      <c r="L1086" s="2682" t="s">
        <v>7015</v>
      </c>
    </row>
    <row r="1087" spans="1:12">
      <c r="A1087" s="2683" t="s">
        <v>146</v>
      </c>
      <c r="B1087" s="2683" t="s">
        <v>7016</v>
      </c>
      <c r="C1087" s="2683">
        <v>146.05000000000001</v>
      </c>
      <c r="D1087" s="2683">
        <v>304.8</v>
      </c>
      <c r="E1087" s="2683">
        <v>88.9</v>
      </c>
      <c r="F1087" s="2683" t="s">
        <v>5922</v>
      </c>
      <c r="G1087" s="2683" t="s">
        <v>5922</v>
      </c>
      <c r="H1087" s="2683" t="s">
        <v>5922</v>
      </c>
      <c r="I1087" s="2683" t="s">
        <v>5922</v>
      </c>
      <c r="J1087" s="2683">
        <v>0</v>
      </c>
      <c r="K1087" s="2684"/>
      <c r="L1087" s="2683" t="s">
        <v>5922</v>
      </c>
    </row>
    <row r="1088" spans="1:12">
      <c r="A1088" s="2682" t="s">
        <v>146</v>
      </c>
      <c r="B1088" s="2682" t="s">
        <v>7017</v>
      </c>
      <c r="C1088" s="2682">
        <v>346.07499999999999</v>
      </c>
      <c r="D1088" s="2682">
        <v>488.95</v>
      </c>
      <c r="E1088" s="2682">
        <v>95.25</v>
      </c>
      <c r="F1088" s="2682" t="s">
        <v>5922</v>
      </c>
      <c r="G1088" s="2682" t="s">
        <v>5922</v>
      </c>
      <c r="H1088" s="2682" t="s">
        <v>5922</v>
      </c>
      <c r="I1088" s="2682" t="s">
        <v>5922</v>
      </c>
      <c r="J1088" s="2682">
        <v>0</v>
      </c>
      <c r="L1088" s="2682" t="s">
        <v>5922</v>
      </c>
    </row>
    <row r="1089" spans="1:12">
      <c r="A1089" s="2683" t="s">
        <v>146</v>
      </c>
      <c r="B1089" s="2683" t="s">
        <v>7018</v>
      </c>
      <c r="C1089" s="2683">
        <v>333.375</v>
      </c>
      <c r="D1089" s="2683">
        <v>469.9</v>
      </c>
      <c r="E1089" s="2683">
        <v>90.447999999999993</v>
      </c>
      <c r="F1089" s="2683" t="s">
        <v>5922</v>
      </c>
      <c r="G1089" s="2683" t="s">
        <v>5922</v>
      </c>
      <c r="H1089" s="2683" t="s">
        <v>5922</v>
      </c>
      <c r="I1089" s="2683" t="s">
        <v>5922</v>
      </c>
      <c r="J1089" s="2683">
        <v>0</v>
      </c>
      <c r="K1089" s="2684"/>
      <c r="L1089" s="2683" t="s">
        <v>5922</v>
      </c>
    </row>
    <row r="1090" spans="1:12">
      <c r="A1090" s="2682" t="s">
        <v>146</v>
      </c>
      <c r="B1090" s="2682" t="s">
        <v>7019</v>
      </c>
      <c r="C1090" s="2682">
        <v>317.5</v>
      </c>
      <c r="D1090" s="2682">
        <v>447.625</v>
      </c>
      <c r="E1090" s="2682">
        <v>85.724999999999994</v>
      </c>
      <c r="F1090" s="2682" t="s">
        <v>5922</v>
      </c>
      <c r="G1090" s="2682" t="s">
        <v>5922</v>
      </c>
      <c r="H1090" s="2682" t="s">
        <v>5922</v>
      </c>
      <c r="I1090" s="2682" t="s">
        <v>5922</v>
      </c>
      <c r="J1090" s="2682">
        <v>0</v>
      </c>
      <c r="L1090" s="2682" t="s">
        <v>5922</v>
      </c>
    </row>
    <row r="1091" spans="1:12">
      <c r="A1091" s="2683" t="s">
        <v>146</v>
      </c>
      <c r="B1091" s="2683" t="s">
        <v>7020</v>
      </c>
      <c r="C1091" s="2683">
        <v>300.03800000000001</v>
      </c>
      <c r="D1091" s="2683">
        <v>422.27499999999998</v>
      </c>
      <c r="E1091" s="2683">
        <v>82.55</v>
      </c>
      <c r="F1091" s="2683" t="s">
        <v>5922</v>
      </c>
      <c r="G1091" s="2683" t="s">
        <v>5922</v>
      </c>
      <c r="H1091" s="2683" t="s">
        <v>5922</v>
      </c>
      <c r="I1091" s="2683" t="s">
        <v>5922</v>
      </c>
      <c r="J1091" s="2683">
        <v>0</v>
      </c>
      <c r="K1091" s="2684"/>
      <c r="L1091" s="2683" t="s">
        <v>5922</v>
      </c>
    </row>
    <row r="1092" spans="1:12">
      <c r="A1092" s="2682" t="s">
        <v>146</v>
      </c>
      <c r="B1092" s="2682" t="s">
        <v>7021</v>
      </c>
      <c r="C1092" s="2682">
        <v>260.35000000000002</v>
      </c>
      <c r="D1092" s="2682">
        <v>422.27499999999998</v>
      </c>
      <c r="E1092" s="2682">
        <v>86.120999999999995</v>
      </c>
      <c r="F1092" s="2682" t="s">
        <v>5922</v>
      </c>
      <c r="G1092" s="2682" t="s">
        <v>5922</v>
      </c>
      <c r="H1092" s="2682" t="s">
        <v>5922</v>
      </c>
      <c r="I1092" s="2682" t="s">
        <v>5922</v>
      </c>
      <c r="J1092" s="2682">
        <v>42.8</v>
      </c>
      <c r="L1092" s="2682" t="s">
        <v>5922</v>
      </c>
    </row>
    <row r="1093" spans="1:12">
      <c r="A1093" s="2683" t="s">
        <v>146</v>
      </c>
      <c r="B1093" s="2683" t="s">
        <v>7022</v>
      </c>
      <c r="C1093" s="2683">
        <v>254</v>
      </c>
      <c r="D1093" s="2683">
        <v>422.27499999999998</v>
      </c>
      <c r="E1093" s="2683">
        <v>86.120999999999995</v>
      </c>
      <c r="F1093" s="2683" t="s">
        <v>5922</v>
      </c>
      <c r="G1093" s="2683" t="s">
        <v>5922</v>
      </c>
      <c r="H1093" s="2683" t="s">
        <v>5922</v>
      </c>
      <c r="I1093" s="2683" t="s">
        <v>5922</v>
      </c>
      <c r="J1093" s="2683">
        <v>0</v>
      </c>
      <c r="K1093" s="2684"/>
      <c r="L1093" s="2683" t="s">
        <v>5922</v>
      </c>
    </row>
    <row r="1094" spans="1:12">
      <c r="A1094" s="2682" t="s">
        <v>146</v>
      </c>
      <c r="B1094" s="2682" t="s">
        <v>7023</v>
      </c>
      <c r="C1094" s="2682">
        <v>177.8</v>
      </c>
      <c r="D1094" s="2682">
        <v>288.92500000000001</v>
      </c>
      <c r="E1094" s="2682">
        <v>63.5</v>
      </c>
      <c r="F1094" s="2682" t="s">
        <v>5922</v>
      </c>
      <c r="G1094" s="2682" t="s">
        <v>5922</v>
      </c>
      <c r="H1094" s="2682" t="s">
        <v>5922</v>
      </c>
      <c r="I1094" s="2682" t="s">
        <v>5922</v>
      </c>
      <c r="J1094" s="2682">
        <v>0</v>
      </c>
      <c r="L1094" s="2682" t="s">
        <v>5922</v>
      </c>
    </row>
    <row r="1095" spans="1:12">
      <c r="A1095" s="2683" t="s">
        <v>146</v>
      </c>
      <c r="B1095" s="2683" t="s">
        <v>7024</v>
      </c>
      <c r="C1095" s="2683">
        <v>174.625</v>
      </c>
      <c r="D1095" s="2683">
        <v>288.92500000000001</v>
      </c>
      <c r="E1095" s="2683">
        <v>63.5</v>
      </c>
      <c r="F1095" s="2683" t="s">
        <v>5922</v>
      </c>
      <c r="G1095" s="2683" t="s">
        <v>5922</v>
      </c>
      <c r="H1095" s="2683" t="s">
        <v>5922</v>
      </c>
      <c r="I1095" s="2683" t="s">
        <v>5922</v>
      </c>
      <c r="J1095" s="2683">
        <v>0</v>
      </c>
      <c r="K1095" s="2684"/>
      <c r="L1095" s="2683" t="s">
        <v>5922</v>
      </c>
    </row>
    <row r="1096" spans="1:12">
      <c r="A1096" s="2682" t="s">
        <v>146</v>
      </c>
      <c r="B1096" s="2682" t="s">
        <v>7025</v>
      </c>
      <c r="C1096" s="2682">
        <v>165.1</v>
      </c>
      <c r="D1096" s="2682">
        <v>288.92500000000001</v>
      </c>
      <c r="E1096" s="2682">
        <v>63.5</v>
      </c>
      <c r="F1096" s="2682" t="s">
        <v>5922</v>
      </c>
      <c r="G1096" s="2682" t="s">
        <v>5922</v>
      </c>
      <c r="H1096" s="2682" t="s">
        <v>5922</v>
      </c>
      <c r="I1096" s="2682" t="s">
        <v>5922</v>
      </c>
      <c r="J1096" s="2682">
        <v>0</v>
      </c>
      <c r="L1096" s="2682" t="s">
        <v>5922</v>
      </c>
    </row>
    <row r="1097" spans="1:12">
      <c r="A1097" s="2683" t="s">
        <v>146</v>
      </c>
      <c r="B1097" s="2683" t="s">
        <v>7026</v>
      </c>
      <c r="C1097" s="2683">
        <v>149.22499999999999</v>
      </c>
      <c r="D1097" s="2683">
        <v>236.53800000000001</v>
      </c>
      <c r="E1097" s="2683">
        <v>57.15</v>
      </c>
      <c r="F1097" s="2683" t="s">
        <v>5922</v>
      </c>
      <c r="G1097" s="2683" t="s">
        <v>5922</v>
      </c>
      <c r="H1097" s="2683" t="s">
        <v>5922</v>
      </c>
      <c r="I1097" s="2683" t="s">
        <v>5922</v>
      </c>
      <c r="J1097" s="2683">
        <v>0</v>
      </c>
      <c r="K1097" s="2684"/>
      <c r="L1097" s="2683" t="s">
        <v>5922</v>
      </c>
    </row>
    <row r="1098" spans="1:12">
      <c r="A1098" s="2682" t="s">
        <v>146</v>
      </c>
      <c r="B1098" s="2682" t="s">
        <v>7027</v>
      </c>
      <c r="C1098" s="2682">
        <v>101.6</v>
      </c>
      <c r="D1098" s="2682">
        <v>190.5</v>
      </c>
      <c r="E1098" s="2682">
        <v>57.15</v>
      </c>
      <c r="F1098" s="2682" t="s">
        <v>5922</v>
      </c>
      <c r="G1098" s="2682" t="s">
        <v>5922</v>
      </c>
      <c r="H1098" s="2682" t="s">
        <v>5922</v>
      </c>
      <c r="I1098" s="2682" t="s">
        <v>5922</v>
      </c>
      <c r="J1098" s="2682">
        <v>0</v>
      </c>
      <c r="L1098" s="2682" t="s">
        <v>5922</v>
      </c>
    </row>
    <row r="1099" spans="1:12">
      <c r="A1099" s="2683" t="s">
        <v>146</v>
      </c>
      <c r="B1099" s="2683" t="s">
        <v>7028</v>
      </c>
      <c r="C1099" s="2683">
        <v>99.974999999999994</v>
      </c>
      <c r="D1099" s="2683">
        <v>156.97499999999999</v>
      </c>
      <c r="E1099" s="2683">
        <v>42</v>
      </c>
      <c r="F1099" s="2683" t="s">
        <v>5922</v>
      </c>
      <c r="G1099" s="2683" t="s">
        <v>5922</v>
      </c>
      <c r="H1099" s="2683" t="s">
        <v>5922</v>
      </c>
      <c r="I1099" s="2683" t="s">
        <v>5922</v>
      </c>
      <c r="J1099" s="2683">
        <v>0</v>
      </c>
      <c r="K1099" s="2684"/>
      <c r="L1099" s="2683" t="s">
        <v>5922</v>
      </c>
    </row>
    <row r="1100" spans="1:12">
      <c r="A1100" s="2682" t="s">
        <v>146</v>
      </c>
      <c r="B1100" s="2682" t="s">
        <v>7029</v>
      </c>
      <c r="C1100" s="2682">
        <v>89.974000000000004</v>
      </c>
      <c r="D1100" s="2682">
        <v>146.97499999999999</v>
      </c>
      <c r="E1100" s="2682">
        <v>40</v>
      </c>
      <c r="F1100" s="2682" t="s">
        <v>5922</v>
      </c>
      <c r="G1100" s="2682" t="s">
        <v>5922</v>
      </c>
      <c r="H1100" s="2682" t="s">
        <v>5922</v>
      </c>
      <c r="I1100" s="2682" t="s">
        <v>5922</v>
      </c>
      <c r="J1100" s="2682">
        <v>2.5419999999999998</v>
      </c>
      <c r="L1100" s="2682" t="s">
        <v>5922</v>
      </c>
    </row>
    <row r="1101" spans="1:12">
      <c r="A1101" s="2683" t="s">
        <v>146</v>
      </c>
      <c r="B1101" s="2683" t="s">
        <v>7030</v>
      </c>
      <c r="C1101" s="2683">
        <v>89.974000000000004</v>
      </c>
      <c r="D1101" s="2683">
        <v>146.97499999999999</v>
      </c>
      <c r="E1101" s="2683">
        <v>40</v>
      </c>
      <c r="F1101" s="2683" t="s">
        <v>5922</v>
      </c>
      <c r="G1101" s="2683" t="s">
        <v>5922</v>
      </c>
      <c r="H1101" s="2683" t="s">
        <v>5922</v>
      </c>
      <c r="I1101" s="2683" t="s">
        <v>5922</v>
      </c>
      <c r="J1101" s="2683">
        <v>0</v>
      </c>
      <c r="K1101" s="2684"/>
      <c r="L1101" s="2683" t="s">
        <v>5922</v>
      </c>
    </row>
    <row r="1102" spans="1:12">
      <c r="A1102" s="2682" t="s">
        <v>146</v>
      </c>
      <c r="B1102" s="2682" t="s">
        <v>7031</v>
      </c>
      <c r="C1102" s="2682">
        <v>79.974000000000004</v>
      </c>
      <c r="D1102" s="2682">
        <v>146.97499999999999</v>
      </c>
      <c r="E1102" s="2682">
        <v>40</v>
      </c>
      <c r="F1102" s="2682" t="s">
        <v>5922</v>
      </c>
      <c r="G1102" s="2682" t="s">
        <v>5922</v>
      </c>
      <c r="H1102" s="2682" t="s">
        <v>5922</v>
      </c>
      <c r="I1102" s="2682" t="s">
        <v>5922</v>
      </c>
      <c r="J1102" s="2682">
        <v>0</v>
      </c>
      <c r="L1102" s="2682" t="s">
        <v>5922</v>
      </c>
    </row>
    <row r="1103" spans="1:12">
      <c r="A1103" s="2683" t="s">
        <v>146</v>
      </c>
      <c r="B1103" s="2683" t="s">
        <v>7032</v>
      </c>
      <c r="C1103" s="2683">
        <v>66.674999999999997</v>
      </c>
      <c r="D1103" s="2683">
        <v>122.238</v>
      </c>
      <c r="E1103" s="2683">
        <v>38.1</v>
      </c>
      <c r="F1103" s="2683" t="s">
        <v>5922</v>
      </c>
      <c r="G1103" s="2683" t="s">
        <v>5922</v>
      </c>
      <c r="H1103" s="2683" t="s">
        <v>5922</v>
      </c>
      <c r="I1103" s="2683" t="s">
        <v>5922</v>
      </c>
      <c r="J1103" s="2683">
        <v>0</v>
      </c>
      <c r="K1103" s="2684"/>
      <c r="L1103" s="2683" t="s">
        <v>5922</v>
      </c>
    </row>
    <row r="1104" spans="1:12">
      <c r="A1104" s="2682" t="s">
        <v>146</v>
      </c>
      <c r="B1104" s="2682" t="s">
        <v>7033</v>
      </c>
      <c r="C1104" s="2682">
        <v>66.680000000000007</v>
      </c>
      <c r="D1104" s="2682">
        <v>122.2</v>
      </c>
      <c r="E1104" s="2682">
        <v>38.1</v>
      </c>
      <c r="F1104" s="2682" t="s">
        <v>5922</v>
      </c>
      <c r="G1104" s="2682" t="s">
        <v>5922</v>
      </c>
      <c r="H1104" s="2682" t="s">
        <v>5922</v>
      </c>
      <c r="I1104" s="2682" t="s">
        <v>5922</v>
      </c>
      <c r="J1104" s="2682">
        <v>1.84</v>
      </c>
      <c r="L1104" s="2682" t="s">
        <v>5922</v>
      </c>
    </row>
    <row r="1105" spans="1:12">
      <c r="A1105" s="2683" t="s">
        <v>146</v>
      </c>
      <c r="B1105" s="2683" t="s">
        <v>7034</v>
      </c>
      <c r="C1105" s="2683">
        <v>66.680000000000007</v>
      </c>
      <c r="D1105" s="2683">
        <v>122.2</v>
      </c>
      <c r="E1105" s="2683">
        <v>38.1</v>
      </c>
      <c r="F1105" s="2683" t="s">
        <v>5922</v>
      </c>
      <c r="G1105" s="2683" t="s">
        <v>5922</v>
      </c>
      <c r="H1105" s="2683" t="s">
        <v>5922</v>
      </c>
      <c r="I1105" s="2683" t="s">
        <v>5922</v>
      </c>
      <c r="J1105" s="2683">
        <v>1.85</v>
      </c>
      <c r="K1105" s="2684"/>
      <c r="L1105" s="2683" t="s">
        <v>5922</v>
      </c>
    </row>
    <row r="1106" spans="1:12">
      <c r="A1106" s="2682" t="s">
        <v>146</v>
      </c>
      <c r="B1106" s="2682" t="s">
        <v>7035</v>
      </c>
      <c r="C1106" s="2682">
        <v>63.5</v>
      </c>
      <c r="D1106" s="2682">
        <v>122.238</v>
      </c>
      <c r="E1106" s="2682">
        <v>38.1</v>
      </c>
      <c r="F1106" s="2682" t="s">
        <v>5922</v>
      </c>
      <c r="G1106" s="2682" t="s">
        <v>5922</v>
      </c>
      <c r="H1106" s="2682" t="s">
        <v>5922</v>
      </c>
      <c r="I1106" s="2682" t="s">
        <v>5922</v>
      </c>
      <c r="J1106" s="2682">
        <v>1.9219999999999999</v>
      </c>
      <c r="L1106" s="2682" t="s">
        <v>5922</v>
      </c>
    </row>
    <row r="1107" spans="1:12">
      <c r="A1107" s="2683" t="s">
        <v>146</v>
      </c>
      <c r="B1107" s="2683" t="s">
        <v>7036</v>
      </c>
      <c r="C1107" s="2683">
        <v>63.5</v>
      </c>
      <c r="D1107" s="2683">
        <v>122.238</v>
      </c>
      <c r="E1107" s="2683">
        <v>38.1</v>
      </c>
      <c r="F1107" s="2683" t="s">
        <v>5922</v>
      </c>
      <c r="G1107" s="2683" t="s">
        <v>5922</v>
      </c>
      <c r="H1107" s="2683" t="s">
        <v>5922</v>
      </c>
      <c r="I1107" s="2683" t="s">
        <v>5922</v>
      </c>
      <c r="J1107" s="2683">
        <v>0</v>
      </c>
      <c r="K1107" s="2684"/>
      <c r="L1107" s="2683" t="s">
        <v>5922</v>
      </c>
    </row>
    <row r="1108" spans="1:12">
      <c r="A1108" s="2682" t="s">
        <v>146</v>
      </c>
      <c r="B1108" s="2682" t="s">
        <v>7037</v>
      </c>
      <c r="C1108" s="2682">
        <v>63</v>
      </c>
      <c r="D1108" s="2682">
        <v>122.238</v>
      </c>
      <c r="E1108" s="2682">
        <v>38.1</v>
      </c>
      <c r="F1108" s="2682" t="s">
        <v>5922</v>
      </c>
      <c r="G1108" s="2682" t="s">
        <v>5922</v>
      </c>
      <c r="H1108" s="2682" t="s">
        <v>5922</v>
      </c>
      <c r="I1108" s="2682" t="s">
        <v>5922</v>
      </c>
      <c r="J1108" s="2682">
        <v>0</v>
      </c>
      <c r="L1108" s="2682" t="s">
        <v>5922</v>
      </c>
    </row>
    <row r="1109" spans="1:12">
      <c r="A1109" s="2683" t="s">
        <v>146</v>
      </c>
      <c r="B1109" s="2683" t="s">
        <v>7038</v>
      </c>
      <c r="C1109" s="2683">
        <v>63.5</v>
      </c>
      <c r="D1109" s="2683">
        <v>122.238</v>
      </c>
      <c r="E1109" s="2683">
        <v>38.1</v>
      </c>
      <c r="F1109" s="2683" t="s">
        <v>5922</v>
      </c>
      <c r="G1109" s="2683" t="s">
        <v>5922</v>
      </c>
      <c r="H1109" s="2683" t="s">
        <v>5922</v>
      </c>
      <c r="I1109" s="2683" t="s">
        <v>5922</v>
      </c>
      <c r="J1109" s="2683">
        <v>0</v>
      </c>
      <c r="K1109" s="2684"/>
      <c r="L1109" s="2683" t="s">
        <v>5922</v>
      </c>
    </row>
    <row r="1110" spans="1:12">
      <c r="A1110" s="2682" t="s">
        <v>146</v>
      </c>
      <c r="B1110" s="2682" t="s">
        <v>7039</v>
      </c>
      <c r="C1110" s="2682">
        <v>60.325000000000003</v>
      </c>
      <c r="D1110" s="2682">
        <v>122.238</v>
      </c>
      <c r="E1110" s="2682">
        <v>38.1</v>
      </c>
      <c r="F1110" s="2682" t="s">
        <v>5922</v>
      </c>
      <c r="G1110" s="2682" t="s">
        <v>5922</v>
      </c>
      <c r="H1110" s="2682" t="s">
        <v>5922</v>
      </c>
      <c r="I1110" s="2682" t="s">
        <v>5922</v>
      </c>
      <c r="J1110" s="2682">
        <v>0</v>
      </c>
      <c r="L1110" s="2682" t="s">
        <v>5922</v>
      </c>
    </row>
    <row r="1111" spans="1:12">
      <c r="A1111" s="2683" t="s">
        <v>146</v>
      </c>
      <c r="B1111" s="2683" t="s">
        <v>7040</v>
      </c>
      <c r="C1111" s="2683">
        <v>60.325000000000003</v>
      </c>
      <c r="D1111" s="2683">
        <v>122.238</v>
      </c>
      <c r="E1111" s="2683">
        <v>38.1</v>
      </c>
      <c r="F1111" s="2683" t="s">
        <v>5922</v>
      </c>
      <c r="G1111" s="2683" t="s">
        <v>5922</v>
      </c>
      <c r="H1111" s="2683" t="s">
        <v>5922</v>
      </c>
      <c r="I1111" s="2683" t="s">
        <v>5922</v>
      </c>
      <c r="J1111" s="2683">
        <v>0</v>
      </c>
      <c r="K1111" s="2684"/>
      <c r="L1111" s="2683" t="s">
        <v>5922</v>
      </c>
    </row>
    <row r="1112" spans="1:12">
      <c r="A1112" s="2682" t="s">
        <v>146</v>
      </c>
      <c r="B1112" s="2682" t="s">
        <v>7041</v>
      </c>
      <c r="C1112" s="2682">
        <v>63.5</v>
      </c>
      <c r="D1112" s="2682">
        <v>122.238</v>
      </c>
      <c r="E1112" s="2682">
        <v>38.1</v>
      </c>
      <c r="F1112" s="2682" t="s">
        <v>5922</v>
      </c>
      <c r="G1112" s="2682" t="s">
        <v>5922</v>
      </c>
      <c r="H1112" s="2682" t="s">
        <v>5922</v>
      </c>
      <c r="I1112" s="2682" t="s">
        <v>5922</v>
      </c>
      <c r="J1112" s="2682">
        <v>0</v>
      </c>
      <c r="L1112" s="2682" t="s">
        <v>5922</v>
      </c>
    </row>
    <row r="1113" spans="1:12">
      <c r="A1113" s="2683" t="s">
        <v>146</v>
      </c>
      <c r="B1113" s="2683" t="s">
        <v>7042</v>
      </c>
      <c r="C1113" s="2683">
        <v>120.65</v>
      </c>
      <c r="D1113" s="2683">
        <v>273.05</v>
      </c>
      <c r="E1113" s="2683">
        <v>82.55</v>
      </c>
      <c r="F1113" s="2683" t="s">
        <v>5922</v>
      </c>
      <c r="G1113" s="2683" t="s">
        <v>5922</v>
      </c>
      <c r="H1113" s="2683" t="s">
        <v>5922</v>
      </c>
      <c r="I1113" s="2683" t="s">
        <v>5922</v>
      </c>
      <c r="J1113" s="2683">
        <v>22.1</v>
      </c>
      <c r="K1113" s="2684"/>
      <c r="L1113" s="2683" t="s">
        <v>5922</v>
      </c>
    </row>
    <row r="1114" spans="1:12">
      <c r="A1114" s="2682" t="s">
        <v>146</v>
      </c>
      <c r="B1114" s="2682" t="s">
        <v>7043</v>
      </c>
      <c r="C1114" s="2682">
        <v>146.05000000000001</v>
      </c>
      <c r="D1114" s="2682">
        <v>268.28800000000001</v>
      </c>
      <c r="E1114" s="2682">
        <v>74.611999999999995</v>
      </c>
      <c r="F1114" s="2682" t="s">
        <v>5922</v>
      </c>
      <c r="G1114" s="2682" t="s">
        <v>5922</v>
      </c>
      <c r="H1114" s="2682" t="s">
        <v>5922</v>
      </c>
      <c r="I1114" s="2682" t="s">
        <v>5922</v>
      </c>
      <c r="J1114" s="2682">
        <v>0</v>
      </c>
      <c r="L1114" s="2682" t="s">
        <v>5922</v>
      </c>
    </row>
    <row r="1115" spans="1:12">
      <c r="A1115" s="2683" t="s">
        <v>146</v>
      </c>
      <c r="B1115" s="2683" t="s">
        <v>7044</v>
      </c>
      <c r="C1115" s="2683">
        <v>419.22699999999998</v>
      </c>
      <c r="D1115" s="2683">
        <v>736.44799999999998</v>
      </c>
      <c r="E1115" s="2683">
        <v>406.4</v>
      </c>
      <c r="F1115" s="2683" t="s">
        <v>5922</v>
      </c>
      <c r="G1115" s="2683" t="s">
        <v>5922</v>
      </c>
      <c r="H1115" s="2683" t="s">
        <v>5922</v>
      </c>
      <c r="I1115" s="2683" t="s">
        <v>5922</v>
      </c>
      <c r="J1115" s="2683">
        <v>799</v>
      </c>
      <c r="K1115" s="2684"/>
      <c r="L1115" s="2683">
        <v>87984</v>
      </c>
    </row>
    <row r="1116" spans="1:12">
      <c r="A1116" s="2682" t="s">
        <v>146</v>
      </c>
      <c r="B1116" s="2682" t="s">
        <v>7045</v>
      </c>
      <c r="C1116" s="2682">
        <v>152.4</v>
      </c>
      <c r="D1116" s="2682">
        <v>254</v>
      </c>
      <c r="E1116" s="2682">
        <v>66.674999999999997</v>
      </c>
      <c r="F1116" s="2682" t="s">
        <v>5922</v>
      </c>
      <c r="G1116" s="2682" t="s">
        <v>5922</v>
      </c>
      <c r="H1116" s="2682" t="s">
        <v>5922</v>
      </c>
      <c r="I1116" s="2682" t="s">
        <v>5922</v>
      </c>
      <c r="J1116" s="2682">
        <v>12.36</v>
      </c>
      <c r="L1116" s="2682" t="s">
        <v>5922</v>
      </c>
    </row>
    <row r="1117" spans="1:12">
      <c r="A1117" s="2683" t="s">
        <v>146</v>
      </c>
      <c r="B1117" s="2683" t="s">
        <v>7046</v>
      </c>
      <c r="C1117" s="2683">
        <v>149.22499999999999</v>
      </c>
      <c r="D1117" s="2683">
        <v>254</v>
      </c>
      <c r="E1117" s="2683">
        <v>66.674999999999997</v>
      </c>
      <c r="F1117" s="2683" t="s">
        <v>5922</v>
      </c>
      <c r="G1117" s="2683" t="s">
        <v>5922</v>
      </c>
      <c r="H1117" s="2683" t="s">
        <v>5922</v>
      </c>
      <c r="I1117" s="2683" t="s">
        <v>5922</v>
      </c>
      <c r="J1117" s="2683">
        <v>0</v>
      </c>
      <c r="K1117" s="2684"/>
      <c r="L1117" s="2683" t="s">
        <v>5922</v>
      </c>
    </row>
    <row r="1118" spans="1:12">
      <c r="A1118" s="2682" t="s">
        <v>146</v>
      </c>
      <c r="B1118" s="2682" t="s">
        <v>7047</v>
      </c>
      <c r="C1118" s="2682">
        <v>146.05000000000001</v>
      </c>
      <c r="D1118" s="2682">
        <v>254</v>
      </c>
      <c r="E1118" s="2682">
        <v>149.22499999999999</v>
      </c>
      <c r="F1118" s="2682" t="s">
        <v>5922</v>
      </c>
      <c r="G1118" s="2682" t="s">
        <v>5922</v>
      </c>
      <c r="H1118" s="2682" t="s">
        <v>5922</v>
      </c>
      <c r="I1118" s="2682" t="s">
        <v>5922</v>
      </c>
      <c r="J1118" s="2682">
        <v>28</v>
      </c>
      <c r="L1118" s="2682" t="s">
        <v>5922</v>
      </c>
    </row>
    <row r="1119" spans="1:12">
      <c r="A1119" s="2683" t="s">
        <v>146</v>
      </c>
      <c r="B1119" s="2683" t="s">
        <v>7048</v>
      </c>
      <c r="C1119" s="2683">
        <v>146.05000000000001</v>
      </c>
      <c r="D1119" s="2683">
        <v>254</v>
      </c>
      <c r="E1119" s="2683">
        <v>66.674999999999997</v>
      </c>
      <c r="F1119" s="2683" t="s">
        <v>5922</v>
      </c>
      <c r="G1119" s="2683" t="s">
        <v>5922</v>
      </c>
      <c r="H1119" s="2683" t="s">
        <v>5922</v>
      </c>
      <c r="I1119" s="2683" t="s">
        <v>5922</v>
      </c>
      <c r="J1119" s="2683">
        <v>0</v>
      </c>
      <c r="K1119" s="2684"/>
      <c r="L1119" s="2683" t="s">
        <v>5922</v>
      </c>
    </row>
    <row r="1120" spans="1:12">
      <c r="A1120" s="2682" t="s">
        <v>146</v>
      </c>
      <c r="B1120" s="2682" t="s">
        <v>7049</v>
      </c>
      <c r="C1120" s="2682">
        <v>139.69999999999999</v>
      </c>
      <c r="D1120" s="2682">
        <v>254</v>
      </c>
      <c r="E1120" s="2682">
        <v>66.674999999999997</v>
      </c>
      <c r="F1120" s="2682" t="s">
        <v>5922</v>
      </c>
      <c r="G1120" s="2682" t="s">
        <v>5922</v>
      </c>
      <c r="H1120" s="2682" t="s">
        <v>5922</v>
      </c>
      <c r="I1120" s="2682" t="s">
        <v>5922</v>
      </c>
      <c r="J1120" s="2682">
        <v>14</v>
      </c>
      <c r="L1120" s="2682" t="s">
        <v>5922</v>
      </c>
    </row>
    <row r="1121" spans="1:12">
      <c r="A1121" s="2683" t="s">
        <v>146</v>
      </c>
      <c r="B1121" s="2683" t="s">
        <v>7050</v>
      </c>
      <c r="C1121" s="2683">
        <v>63.5</v>
      </c>
      <c r="D1121" s="2683">
        <v>110</v>
      </c>
      <c r="E1121" s="2683">
        <v>22</v>
      </c>
      <c r="F1121" s="2683" t="s">
        <v>5922</v>
      </c>
      <c r="G1121" s="2683" t="s">
        <v>5922</v>
      </c>
      <c r="H1121" s="2683" t="s">
        <v>5922</v>
      </c>
      <c r="I1121" s="2683" t="s">
        <v>5922</v>
      </c>
      <c r="J1121" s="2683">
        <v>0</v>
      </c>
      <c r="K1121" s="2684"/>
      <c r="L1121" s="2683" t="s">
        <v>5922</v>
      </c>
    </row>
    <row r="1122" spans="1:12">
      <c r="A1122" s="2682" t="s">
        <v>146</v>
      </c>
      <c r="B1122" s="2682" t="s">
        <v>7051</v>
      </c>
      <c r="C1122" s="2682">
        <v>101.6</v>
      </c>
      <c r="D1122" s="2682">
        <v>200</v>
      </c>
      <c r="E1122" s="2682">
        <v>52.761000000000003</v>
      </c>
      <c r="F1122" s="2682" t="s">
        <v>5922</v>
      </c>
      <c r="G1122" s="2682" t="s">
        <v>5922</v>
      </c>
      <c r="H1122" s="2682" t="s">
        <v>5922</v>
      </c>
      <c r="I1122" s="2682" t="s">
        <v>5922</v>
      </c>
      <c r="J1122" s="2682">
        <v>0</v>
      </c>
      <c r="L1122" s="2682" t="s">
        <v>5922</v>
      </c>
    </row>
    <row r="1123" spans="1:12">
      <c r="A1123" s="2683" t="s">
        <v>146</v>
      </c>
      <c r="B1123" s="2683" t="s">
        <v>7052</v>
      </c>
      <c r="C1123" s="2683">
        <v>88.9</v>
      </c>
      <c r="D1123" s="2683">
        <v>200</v>
      </c>
      <c r="E1123" s="2683">
        <v>52.761000000000003</v>
      </c>
      <c r="F1123" s="2683" t="s">
        <v>5922</v>
      </c>
      <c r="G1123" s="2683" t="s">
        <v>5922</v>
      </c>
      <c r="H1123" s="2683" t="s">
        <v>5922</v>
      </c>
      <c r="I1123" s="2683" t="s">
        <v>5922</v>
      </c>
      <c r="J1123" s="2683">
        <v>0</v>
      </c>
      <c r="K1123" s="2684"/>
      <c r="L1123" s="2683" t="s">
        <v>5922</v>
      </c>
    </row>
    <row r="1124" spans="1:12">
      <c r="A1124" s="2682" t="s">
        <v>146</v>
      </c>
      <c r="B1124" s="2682" t="s">
        <v>7053</v>
      </c>
      <c r="C1124" s="2682">
        <v>234.95</v>
      </c>
      <c r="D1124" s="2682">
        <v>355.6</v>
      </c>
      <c r="E1124" s="2682">
        <v>68.262</v>
      </c>
      <c r="F1124" s="2682" t="s">
        <v>5922</v>
      </c>
      <c r="G1124" s="2682" t="s">
        <v>5922</v>
      </c>
      <c r="H1124" s="2682" t="s">
        <v>5922</v>
      </c>
      <c r="I1124" s="2682" t="s">
        <v>5922</v>
      </c>
      <c r="J1124" s="2682">
        <v>0</v>
      </c>
      <c r="L1124" s="2682" t="s">
        <v>5922</v>
      </c>
    </row>
    <row r="1125" spans="1:12">
      <c r="A1125" s="2683" t="s">
        <v>146</v>
      </c>
      <c r="B1125" s="2683" t="s">
        <v>7054</v>
      </c>
      <c r="C1125" s="2683">
        <v>228.6</v>
      </c>
      <c r="D1125" s="2683">
        <v>335.5</v>
      </c>
      <c r="E1125" s="2683">
        <v>68.262</v>
      </c>
      <c r="F1125" s="2683" t="s">
        <v>5922</v>
      </c>
      <c r="G1125" s="2683" t="s">
        <v>5922</v>
      </c>
      <c r="H1125" s="2683" t="s">
        <v>5922</v>
      </c>
      <c r="I1125" s="2683" t="s">
        <v>5922</v>
      </c>
      <c r="J1125" s="2683">
        <v>0</v>
      </c>
      <c r="K1125" s="2684"/>
      <c r="L1125" s="2683" t="s">
        <v>5922</v>
      </c>
    </row>
    <row r="1126" spans="1:12">
      <c r="A1126" s="2682" t="s">
        <v>146</v>
      </c>
      <c r="B1126" s="2682" t="s">
        <v>7055</v>
      </c>
      <c r="C1126" s="2682">
        <v>209.55</v>
      </c>
      <c r="D1126" s="2682">
        <v>355.6</v>
      </c>
      <c r="E1126" s="2682">
        <v>68.262</v>
      </c>
      <c r="F1126" s="2682" t="s">
        <v>5922</v>
      </c>
      <c r="G1126" s="2682" t="s">
        <v>5922</v>
      </c>
      <c r="H1126" s="2682" t="s">
        <v>5922</v>
      </c>
      <c r="I1126" s="2682" t="s">
        <v>5922</v>
      </c>
      <c r="J1126" s="2682">
        <v>0</v>
      </c>
      <c r="L1126" s="2682" t="s">
        <v>5922</v>
      </c>
    </row>
    <row r="1127" spans="1:12">
      <c r="A1127" s="2683" t="s">
        <v>146</v>
      </c>
      <c r="B1127" s="2683" t="s">
        <v>7056</v>
      </c>
      <c r="C1127" s="2683">
        <v>133.35</v>
      </c>
      <c r="D1127" s="2683">
        <v>234.95</v>
      </c>
      <c r="E1127" s="2683">
        <v>63.5</v>
      </c>
      <c r="F1127" s="2683" t="s">
        <v>5922</v>
      </c>
      <c r="G1127" s="2683" t="s">
        <v>5922</v>
      </c>
      <c r="H1127" s="2683" t="s">
        <v>5922</v>
      </c>
      <c r="I1127" s="2683" t="s">
        <v>5922</v>
      </c>
      <c r="J1127" s="2683">
        <v>11.1</v>
      </c>
      <c r="K1127" s="2684"/>
      <c r="L1127" s="2683" t="s">
        <v>5922</v>
      </c>
    </row>
    <row r="1128" spans="1:12">
      <c r="A1128" s="2682" t="s">
        <v>146</v>
      </c>
      <c r="B1128" s="2682" t="s">
        <v>7057</v>
      </c>
      <c r="C1128" s="2682">
        <v>127</v>
      </c>
      <c r="D1128" s="2682">
        <v>231.95</v>
      </c>
      <c r="E1128" s="2682">
        <v>63.5</v>
      </c>
      <c r="F1128" s="2682" t="s">
        <v>5922</v>
      </c>
      <c r="G1128" s="2682" t="s">
        <v>5922</v>
      </c>
      <c r="H1128" s="2682" t="s">
        <v>5922</v>
      </c>
      <c r="I1128" s="2682" t="s">
        <v>5922</v>
      </c>
      <c r="J1128" s="2682">
        <v>0</v>
      </c>
      <c r="L1128" s="2682" t="s">
        <v>5922</v>
      </c>
    </row>
    <row r="1129" spans="1:12">
      <c r="A1129" s="2683" t="s">
        <v>146</v>
      </c>
      <c r="B1129" s="2683" t="s">
        <v>7058</v>
      </c>
      <c r="C1129" s="2683">
        <v>120.65</v>
      </c>
      <c r="D1129" s="2683">
        <v>234.95</v>
      </c>
      <c r="E1129" s="2683">
        <v>63.5</v>
      </c>
      <c r="F1129" s="2683" t="s">
        <v>5922</v>
      </c>
      <c r="G1129" s="2683" t="s">
        <v>5922</v>
      </c>
      <c r="H1129" s="2683" t="s">
        <v>5922</v>
      </c>
      <c r="I1129" s="2683" t="s">
        <v>5922</v>
      </c>
      <c r="J1129" s="2683">
        <v>0</v>
      </c>
      <c r="K1129" s="2684"/>
      <c r="L1129" s="2683" t="s">
        <v>5922</v>
      </c>
    </row>
    <row r="1130" spans="1:12">
      <c r="A1130" s="2682" t="s">
        <v>146</v>
      </c>
      <c r="B1130" s="2682" t="s">
        <v>7059</v>
      </c>
      <c r="C1130" s="2682">
        <v>21</v>
      </c>
      <c r="D1130" s="2682">
        <v>62</v>
      </c>
      <c r="E1130" s="2682">
        <v>18.5</v>
      </c>
      <c r="F1130" s="2682" t="s">
        <v>5922</v>
      </c>
      <c r="G1130" s="2682" t="s">
        <v>5922</v>
      </c>
      <c r="H1130" s="2682" t="s">
        <v>5922</v>
      </c>
      <c r="I1130" s="2682" t="s">
        <v>5922</v>
      </c>
      <c r="J1130" s="2682">
        <v>0.27300000000000002</v>
      </c>
      <c r="L1130" s="2682" t="s">
        <v>5922</v>
      </c>
    </row>
    <row r="1131" spans="1:12">
      <c r="A1131" s="2683" t="s">
        <v>146</v>
      </c>
      <c r="B1131" s="2683" t="s">
        <v>7060</v>
      </c>
      <c r="C1131" s="2683">
        <v>177.8</v>
      </c>
      <c r="D1131" s="2683">
        <v>288.92500000000001</v>
      </c>
      <c r="E1131" s="2683">
        <v>63.5</v>
      </c>
      <c r="F1131" s="2683" t="s">
        <v>5922</v>
      </c>
      <c r="G1131" s="2683" t="s">
        <v>5922</v>
      </c>
      <c r="H1131" s="2683" t="s">
        <v>5922</v>
      </c>
      <c r="I1131" s="2683" t="s">
        <v>5922</v>
      </c>
      <c r="J1131" s="2683">
        <v>0</v>
      </c>
      <c r="K1131" s="2684"/>
      <c r="L1131" s="2683" t="s">
        <v>5922</v>
      </c>
    </row>
    <row r="1132" spans="1:12">
      <c r="A1132" s="2682" t="s">
        <v>146</v>
      </c>
      <c r="B1132" s="2682" t="s">
        <v>7061</v>
      </c>
      <c r="C1132" s="2682">
        <v>165.1</v>
      </c>
      <c r="D1132" s="2682">
        <v>288.92500000000001</v>
      </c>
      <c r="E1132" s="2682">
        <v>63.5</v>
      </c>
      <c r="F1132" s="2682" t="s">
        <v>5922</v>
      </c>
      <c r="G1132" s="2682" t="s">
        <v>5922</v>
      </c>
      <c r="H1132" s="2682" t="s">
        <v>5922</v>
      </c>
      <c r="I1132" s="2682" t="s">
        <v>5922</v>
      </c>
      <c r="J1132" s="2682">
        <v>0</v>
      </c>
      <c r="L1132" s="2682" t="s">
        <v>5922</v>
      </c>
    </row>
    <row r="1133" spans="1:12">
      <c r="A1133" s="2683" t="s">
        <v>146</v>
      </c>
      <c r="B1133" s="2683" t="s">
        <v>7062</v>
      </c>
      <c r="C1133" s="2683">
        <v>174.625</v>
      </c>
      <c r="D1133" s="2683">
        <v>288.92500000000001</v>
      </c>
      <c r="E1133" s="2683">
        <v>63.5</v>
      </c>
      <c r="F1133" s="2683" t="s">
        <v>5922</v>
      </c>
      <c r="G1133" s="2683" t="s">
        <v>5922</v>
      </c>
      <c r="H1133" s="2683" t="s">
        <v>5922</v>
      </c>
      <c r="I1133" s="2683" t="s">
        <v>5922</v>
      </c>
      <c r="J1133" s="2683">
        <v>0</v>
      </c>
      <c r="K1133" s="2684"/>
      <c r="L1133" s="2683" t="s">
        <v>5922</v>
      </c>
    </row>
    <row r="1134" spans="1:12">
      <c r="A1134" s="2682" t="s">
        <v>146</v>
      </c>
      <c r="B1134" s="2682" t="s">
        <v>7063</v>
      </c>
      <c r="C1134" s="2682">
        <v>101.6</v>
      </c>
      <c r="D1134" s="2682">
        <v>212.72499999999999</v>
      </c>
      <c r="E1134" s="2682">
        <v>66.674999999999997</v>
      </c>
      <c r="F1134" s="2682" t="s">
        <v>5922</v>
      </c>
      <c r="G1134" s="2682" t="s">
        <v>5922</v>
      </c>
      <c r="H1134" s="2682" t="s">
        <v>5922</v>
      </c>
      <c r="I1134" s="2682" t="s">
        <v>5922</v>
      </c>
      <c r="J1134" s="2682">
        <v>0</v>
      </c>
      <c r="L1134" s="2682" t="s">
        <v>5922</v>
      </c>
    </row>
    <row r="1135" spans="1:12">
      <c r="A1135" s="2683" t="s">
        <v>146</v>
      </c>
      <c r="B1135" s="2683" t="s">
        <v>7064</v>
      </c>
      <c r="C1135" s="2683">
        <v>84.138000000000005</v>
      </c>
      <c r="D1135" s="2683">
        <v>171.45</v>
      </c>
      <c r="E1135" s="2683">
        <v>49.212000000000003</v>
      </c>
      <c r="F1135" s="2683" t="s">
        <v>5922</v>
      </c>
      <c r="G1135" s="2683" t="s">
        <v>5922</v>
      </c>
      <c r="H1135" s="2683" t="s">
        <v>5922</v>
      </c>
      <c r="I1135" s="2683" t="s">
        <v>5922</v>
      </c>
      <c r="J1135" s="2683">
        <v>0</v>
      </c>
      <c r="K1135" s="2684"/>
      <c r="L1135" s="2683" t="s">
        <v>5922</v>
      </c>
    </row>
    <row r="1136" spans="1:12">
      <c r="A1136" s="2682" t="s">
        <v>146</v>
      </c>
      <c r="B1136" s="2682" t="s">
        <v>7065</v>
      </c>
      <c r="C1136" s="2682">
        <v>209.55</v>
      </c>
      <c r="D1136" s="2682">
        <v>317.5</v>
      </c>
      <c r="E1136" s="2682">
        <v>63.5</v>
      </c>
      <c r="F1136" s="2682" t="s">
        <v>5922</v>
      </c>
      <c r="G1136" s="2682" t="s">
        <v>5922</v>
      </c>
      <c r="H1136" s="2682" t="s">
        <v>5922</v>
      </c>
      <c r="I1136" s="2682" t="s">
        <v>5922</v>
      </c>
      <c r="J1136" s="2682">
        <v>0</v>
      </c>
      <c r="L1136" s="2682" t="s">
        <v>5922</v>
      </c>
    </row>
    <row r="1137" spans="1:12">
      <c r="A1137" s="2683" t="s">
        <v>146</v>
      </c>
      <c r="B1137" s="2683" t="s">
        <v>7066</v>
      </c>
      <c r="C1137" s="2683">
        <v>206.375</v>
      </c>
      <c r="D1137" s="2683">
        <v>317.5</v>
      </c>
      <c r="E1137" s="2683">
        <v>63.5</v>
      </c>
      <c r="F1137" s="2683" t="s">
        <v>5922</v>
      </c>
      <c r="G1137" s="2683" t="s">
        <v>5922</v>
      </c>
      <c r="H1137" s="2683" t="s">
        <v>5922</v>
      </c>
      <c r="I1137" s="2683" t="s">
        <v>5922</v>
      </c>
      <c r="J1137" s="2683">
        <v>0</v>
      </c>
      <c r="K1137" s="2684"/>
      <c r="L1137" s="2683" t="s">
        <v>5922</v>
      </c>
    </row>
    <row r="1138" spans="1:12">
      <c r="A1138" s="2682" t="s">
        <v>146</v>
      </c>
      <c r="B1138" s="2682" t="s">
        <v>7067</v>
      </c>
      <c r="C1138" s="2682">
        <v>203.2</v>
      </c>
      <c r="D1138" s="2682">
        <v>317.5</v>
      </c>
      <c r="E1138" s="2682">
        <v>63.5</v>
      </c>
      <c r="F1138" s="2682" t="s">
        <v>5922</v>
      </c>
      <c r="G1138" s="2682" t="s">
        <v>5922</v>
      </c>
      <c r="H1138" s="2682" t="s">
        <v>5922</v>
      </c>
      <c r="I1138" s="2682" t="s">
        <v>5922</v>
      </c>
      <c r="J1138" s="2682">
        <v>0</v>
      </c>
      <c r="L1138" s="2682" t="s">
        <v>5922</v>
      </c>
    </row>
    <row r="1139" spans="1:12">
      <c r="A1139" s="2683" t="s">
        <v>146</v>
      </c>
      <c r="B1139" s="2683" t="s">
        <v>7068</v>
      </c>
      <c r="C1139" s="2683">
        <v>76.2</v>
      </c>
      <c r="D1139" s="2683">
        <v>171.45</v>
      </c>
      <c r="E1139" s="2683">
        <v>49.212000000000003</v>
      </c>
      <c r="F1139" s="2683" t="s">
        <v>5922</v>
      </c>
      <c r="G1139" s="2683" t="s">
        <v>5922</v>
      </c>
      <c r="H1139" s="2683" t="s">
        <v>5922</v>
      </c>
      <c r="I1139" s="2683" t="s">
        <v>5922</v>
      </c>
      <c r="J1139" s="2683">
        <v>0</v>
      </c>
      <c r="K1139" s="2684"/>
      <c r="L1139" s="2683" t="s">
        <v>5922</v>
      </c>
    </row>
    <row r="1140" spans="1:12">
      <c r="A1140" s="2682" t="s">
        <v>146</v>
      </c>
      <c r="B1140" s="2682" t="s">
        <v>7069</v>
      </c>
      <c r="C1140" s="2682">
        <v>114.3</v>
      </c>
      <c r="D1140" s="2682">
        <v>212.72499999999999</v>
      </c>
      <c r="E1140" s="2682">
        <v>66.674999999999997</v>
      </c>
      <c r="F1140" s="2682" t="s">
        <v>5922</v>
      </c>
      <c r="G1140" s="2682" t="s">
        <v>5922</v>
      </c>
      <c r="H1140" s="2682" t="s">
        <v>5922</v>
      </c>
      <c r="I1140" s="2682" t="s">
        <v>5922</v>
      </c>
      <c r="J1140" s="2682">
        <v>0</v>
      </c>
      <c r="L1140" s="2682" t="s">
        <v>5922</v>
      </c>
    </row>
    <row r="1141" spans="1:12">
      <c r="A1141" s="2683" t="s">
        <v>146</v>
      </c>
      <c r="B1141" s="2683" t="s">
        <v>7070</v>
      </c>
      <c r="C1141" s="2683">
        <v>200.02500000000001</v>
      </c>
      <c r="D1141" s="2683">
        <v>317.5</v>
      </c>
      <c r="E1141" s="2683">
        <v>63.5</v>
      </c>
      <c r="F1141" s="2683" t="s">
        <v>5922</v>
      </c>
      <c r="G1141" s="2683" t="s">
        <v>5922</v>
      </c>
      <c r="H1141" s="2683" t="s">
        <v>5922</v>
      </c>
      <c r="I1141" s="2683" t="s">
        <v>5922</v>
      </c>
      <c r="J1141" s="2683">
        <v>0</v>
      </c>
      <c r="K1141" s="2684"/>
      <c r="L1141" s="2683" t="s">
        <v>5922</v>
      </c>
    </row>
    <row r="1142" spans="1:12">
      <c r="A1142" s="2682" t="s">
        <v>146</v>
      </c>
      <c r="B1142" s="2682" t="s">
        <v>7071</v>
      </c>
      <c r="C1142" s="2682">
        <v>196.85</v>
      </c>
      <c r="D1142" s="2682">
        <v>317.5</v>
      </c>
      <c r="E1142" s="2682">
        <v>63.5</v>
      </c>
      <c r="F1142" s="2682" t="s">
        <v>5922</v>
      </c>
      <c r="G1142" s="2682" t="s">
        <v>5922</v>
      </c>
      <c r="H1142" s="2682" t="s">
        <v>5922</v>
      </c>
      <c r="I1142" s="2682" t="s">
        <v>5922</v>
      </c>
      <c r="J1142" s="2682">
        <v>0</v>
      </c>
      <c r="L1142" s="2682" t="s">
        <v>5922</v>
      </c>
    </row>
    <row r="1143" spans="1:12">
      <c r="A1143" s="2683" t="s">
        <v>146</v>
      </c>
      <c r="B1143" s="2683" t="s">
        <v>7072</v>
      </c>
      <c r="C1143" s="2683">
        <v>190.5</v>
      </c>
      <c r="D1143" s="2683">
        <v>317.5</v>
      </c>
      <c r="E1143" s="2683">
        <v>68.262</v>
      </c>
      <c r="F1143" s="2683" t="s">
        <v>5922</v>
      </c>
      <c r="G1143" s="2683" t="s">
        <v>5922</v>
      </c>
      <c r="H1143" s="2683" t="s">
        <v>5922</v>
      </c>
      <c r="I1143" s="2683" t="s">
        <v>5922</v>
      </c>
      <c r="J1143" s="2683">
        <v>0</v>
      </c>
      <c r="K1143" s="2684"/>
      <c r="L1143" s="2683" t="s">
        <v>5922</v>
      </c>
    </row>
    <row r="1144" spans="1:12">
      <c r="A1144" s="2682" t="s">
        <v>146</v>
      </c>
      <c r="B1144" s="2682" t="s">
        <v>7073</v>
      </c>
      <c r="C1144" s="2682">
        <v>107.95</v>
      </c>
      <c r="D1144" s="2682">
        <v>212.72499999999999</v>
      </c>
      <c r="E1144" s="2682">
        <v>66.674999999999997</v>
      </c>
      <c r="F1144" s="2682" t="s">
        <v>5922</v>
      </c>
      <c r="G1144" s="2682" t="s">
        <v>5922</v>
      </c>
      <c r="H1144" s="2682" t="s">
        <v>5922</v>
      </c>
      <c r="I1144" s="2682" t="s">
        <v>5922</v>
      </c>
      <c r="J1144" s="2682">
        <v>0</v>
      </c>
      <c r="L1144" s="2682" t="s">
        <v>5922</v>
      </c>
    </row>
    <row r="1145" spans="1:12">
      <c r="A1145" s="2683" t="s">
        <v>146</v>
      </c>
      <c r="B1145" s="2683" t="s">
        <v>7074</v>
      </c>
      <c r="C1145" s="2683">
        <v>76.2</v>
      </c>
      <c r="D1145" s="2683">
        <v>161.92500000000001</v>
      </c>
      <c r="E1145" s="2683">
        <v>49.212000000000003</v>
      </c>
      <c r="F1145" s="2683" t="s">
        <v>5922</v>
      </c>
      <c r="G1145" s="2683" t="s">
        <v>5922</v>
      </c>
      <c r="H1145" s="2683" t="s">
        <v>5922</v>
      </c>
      <c r="I1145" s="2683" t="s">
        <v>5922</v>
      </c>
      <c r="J1145" s="2683">
        <v>0</v>
      </c>
      <c r="K1145" s="2684"/>
      <c r="L1145" s="2683" t="s">
        <v>5922</v>
      </c>
    </row>
    <row r="1146" spans="1:12">
      <c r="A1146" s="2682" t="s">
        <v>146</v>
      </c>
      <c r="B1146" s="2682" t="s">
        <v>7075</v>
      </c>
      <c r="C1146" s="2682">
        <v>68.262</v>
      </c>
      <c r="D1146" s="2682">
        <v>152.4</v>
      </c>
      <c r="E1146" s="2682">
        <v>47.625</v>
      </c>
      <c r="F1146" s="2682" t="s">
        <v>5922</v>
      </c>
      <c r="G1146" s="2682" t="s">
        <v>5922</v>
      </c>
      <c r="H1146" s="2682" t="s">
        <v>5922</v>
      </c>
      <c r="I1146" s="2682" t="s">
        <v>5922</v>
      </c>
      <c r="J1146" s="2682">
        <v>0</v>
      </c>
      <c r="L1146" s="2682" t="s">
        <v>5922</v>
      </c>
    </row>
    <row r="1147" spans="1:12">
      <c r="A1147" s="2683" t="s">
        <v>146</v>
      </c>
      <c r="B1147" s="2683" t="s">
        <v>7076</v>
      </c>
      <c r="C1147" s="2683">
        <v>139.69999999999999</v>
      </c>
      <c r="D1147" s="2683">
        <v>228.6</v>
      </c>
      <c r="E1147" s="2683">
        <v>57.15</v>
      </c>
      <c r="F1147" s="2683" t="s">
        <v>5922</v>
      </c>
      <c r="G1147" s="2683" t="s">
        <v>5922</v>
      </c>
      <c r="H1147" s="2683" t="s">
        <v>5922</v>
      </c>
      <c r="I1147" s="2683" t="s">
        <v>5922</v>
      </c>
      <c r="J1147" s="2683">
        <v>0</v>
      </c>
      <c r="K1147" s="2684"/>
      <c r="L1147" s="2683" t="s">
        <v>5922</v>
      </c>
    </row>
    <row r="1148" spans="1:12">
      <c r="A1148" s="2682" t="s">
        <v>146</v>
      </c>
      <c r="B1148" s="2682" t="s">
        <v>7077</v>
      </c>
      <c r="C1148" s="2682">
        <v>136.52500000000001</v>
      </c>
      <c r="D1148" s="2682">
        <v>228.6</v>
      </c>
      <c r="E1148" s="2682">
        <v>123.825</v>
      </c>
      <c r="F1148" s="2682" t="s">
        <v>5922</v>
      </c>
      <c r="G1148" s="2682" t="s">
        <v>5922</v>
      </c>
      <c r="H1148" s="2682" t="s">
        <v>5922</v>
      </c>
      <c r="I1148" s="2682" t="s">
        <v>5922</v>
      </c>
      <c r="J1148" s="2682">
        <v>20.6</v>
      </c>
      <c r="L1148" s="2682" t="s">
        <v>7078</v>
      </c>
    </row>
    <row r="1149" spans="1:12">
      <c r="A1149" s="2683" t="s">
        <v>146</v>
      </c>
      <c r="B1149" s="2683" t="s">
        <v>7079</v>
      </c>
      <c r="C1149" s="2683">
        <v>136.52500000000001</v>
      </c>
      <c r="D1149" s="2683">
        <v>228.6</v>
      </c>
      <c r="E1149" s="2683">
        <v>57.15</v>
      </c>
      <c r="F1149" s="2683" t="s">
        <v>5922</v>
      </c>
      <c r="G1149" s="2683" t="s">
        <v>5922</v>
      </c>
      <c r="H1149" s="2683" t="s">
        <v>5922</v>
      </c>
      <c r="I1149" s="2683" t="s">
        <v>5922</v>
      </c>
      <c r="J1149" s="2683">
        <v>0</v>
      </c>
      <c r="K1149" s="2684"/>
      <c r="L1149" s="2683" t="s">
        <v>5922</v>
      </c>
    </row>
    <row r="1150" spans="1:12">
      <c r="A1150" s="2682" t="s">
        <v>146</v>
      </c>
      <c r="B1150" s="2682" t="s">
        <v>7080</v>
      </c>
      <c r="C1150" s="2682">
        <v>31.75</v>
      </c>
      <c r="D1150" s="2682">
        <v>76.2</v>
      </c>
      <c r="E1150" s="2682">
        <v>26.195</v>
      </c>
      <c r="F1150" s="2682" t="s">
        <v>5922</v>
      </c>
      <c r="G1150" s="2682" t="s">
        <v>5922</v>
      </c>
      <c r="H1150" s="2682" t="s">
        <v>5922</v>
      </c>
      <c r="I1150" s="2682" t="s">
        <v>5922</v>
      </c>
      <c r="J1150" s="2682">
        <v>0.112</v>
      </c>
      <c r="L1150" s="2682" t="s">
        <v>5922</v>
      </c>
    </row>
    <row r="1151" spans="1:12">
      <c r="A1151" s="2683" t="s">
        <v>146</v>
      </c>
      <c r="B1151" s="2683" t="s">
        <v>7081</v>
      </c>
      <c r="C1151" s="2683">
        <v>234.95</v>
      </c>
      <c r="D1151" s="2683">
        <v>327.02499999999998</v>
      </c>
      <c r="E1151" s="2683">
        <v>52.387999999999998</v>
      </c>
      <c r="F1151" s="2683" t="s">
        <v>5922</v>
      </c>
      <c r="G1151" s="2683" t="s">
        <v>5922</v>
      </c>
      <c r="H1151" s="2683" t="s">
        <v>5922</v>
      </c>
      <c r="I1151" s="2683" t="s">
        <v>5922</v>
      </c>
      <c r="J1151" s="2683">
        <v>0</v>
      </c>
      <c r="K1151" s="2684"/>
      <c r="L1151" s="2683" t="s">
        <v>5922</v>
      </c>
    </row>
    <row r="1152" spans="1:12">
      <c r="A1152" s="2682" t="s">
        <v>146</v>
      </c>
      <c r="B1152" s="2682" t="s">
        <v>7082</v>
      </c>
      <c r="C1152" s="2682">
        <v>133.35</v>
      </c>
      <c r="D1152" s="2682">
        <v>203.2</v>
      </c>
      <c r="E1152" s="2682">
        <v>46.037999999999997</v>
      </c>
      <c r="F1152" s="2682" t="s">
        <v>5922</v>
      </c>
      <c r="G1152" s="2682" t="s">
        <v>5922</v>
      </c>
      <c r="H1152" s="2682" t="s">
        <v>5922</v>
      </c>
      <c r="I1152" s="2682" t="s">
        <v>5922</v>
      </c>
      <c r="J1152" s="2682">
        <v>0</v>
      </c>
      <c r="L1152" s="2682" t="s">
        <v>5922</v>
      </c>
    </row>
    <row r="1153" spans="1:12">
      <c r="A1153" s="2683" t="s">
        <v>146</v>
      </c>
      <c r="B1153" s="2683" t="s">
        <v>7083</v>
      </c>
      <c r="C1153" s="2683">
        <v>133.35</v>
      </c>
      <c r="D1153" s="2683">
        <v>196.85</v>
      </c>
      <c r="E1153" s="2683">
        <v>46.037999999999997</v>
      </c>
      <c r="F1153" s="2683" t="s">
        <v>5922</v>
      </c>
      <c r="G1153" s="2683" t="s">
        <v>5922</v>
      </c>
      <c r="H1153" s="2683" t="s">
        <v>5922</v>
      </c>
      <c r="I1153" s="2683" t="s">
        <v>5922</v>
      </c>
      <c r="J1153" s="2683">
        <v>4.71</v>
      </c>
      <c r="K1153" s="2684"/>
      <c r="L1153" s="2683" t="s">
        <v>5922</v>
      </c>
    </row>
    <row r="1154" spans="1:12">
      <c r="A1154" s="2682" t="s">
        <v>146</v>
      </c>
      <c r="B1154" s="2682" t="s">
        <v>7084</v>
      </c>
      <c r="C1154" s="2682">
        <v>127</v>
      </c>
      <c r="D1154" s="2682">
        <v>196.85</v>
      </c>
      <c r="E1154" s="2682">
        <v>46.037999999999997</v>
      </c>
      <c r="F1154" s="2682" t="s">
        <v>5922</v>
      </c>
      <c r="G1154" s="2682" t="s">
        <v>5922</v>
      </c>
      <c r="H1154" s="2682" t="s">
        <v>5922</v>
      </c>
      <c r="I1154" s="2682" t="s">
        <v>5922</v>
      </c>
      <c r="J1154" s="2682">
        <v>0</v>
      </c>
      <c r="L1154" s="2682" t="s">
        <v>5922</v>
      </c>
    </row>
    <row r="1155" spans="1:12">
      <c r="A1155" s="2683" t="s">
        <v>146</v>
      </c>
      <c r="B1155" s="2683" t="s">
        <v>7085</v>
      </c>
      <c r="C1155" s="2683">
        <v>85.724999999999994</v>
      </c>
      <c r="D1155" s="2683">
        <v>140.05000000000001</v>
      </c>
      <c r="E1155" s="2683">
        <v>41.274999999999999</v>
      </c>
      <c r="F1155" s="2683" t="s">
        <v>5922</v>
      </c>
      <c r="G1155" s="2683" t="s">
        <v>5922</v>
      </c>
      <c r="H1155" s="2683" t="s">
        <v>5922</v>
      </c>
      <c r="I1155" s="2683" t="s">
        <v>5922</v>
      </c>
      <c r="J1155" s="2683">
        <v>0</v>
      </c>
      <c r="K1155" s="2684"/>
      <c r="L1155" s="2683" t="s">
        <v>5922</v>
      </c>
    </row>
    <row r="1156" spans="1:12">
      <c r="A1156" s="2682" t="s">
        <v>146</v>
      </c>
      <c r="B1156" s="2682" t="s">
        <v>7086</v>
      </c>
      <c r="C1156" s="2682">
        <v>85.724999999999994</v>
      </c>
      <c r="D1156" s="2682">
        <v>146.05000000000001</v>
      </c>
      <c r="E1156" s="2682">
        <v>41.274999999999999</v>
      </c>
      <c r="F1156" s="2682" t="s">
        <v>5922</v>
      </c>
      <c r="G1156" s="2682" t="s">
        <v>5922</v>
      </c>
      <c r="H1156" s="2682" t="s">
        <v>5922</v>
      </c>
      <c r="I1156" s="2682" t="s">
        <v>5922</v>
      </c>
      <c r="J1156" s="2682">
        <v>0</v>
      </c>
      <c r="L1156" s="2682" t="s">
        <v>5922</v>
      </c>
    </row>
    <row r="1157" spans="1:12">
      <c r="A1157" s="2683" t="s">
        <v>146</v>
      </c>
      <c r="B1157" s="2683" t="s">
        <v>7087</v>
      </c>
      <c r="C1157" s="2683">
        <v>82.55</v>
      </c>
      <c r="D1157" s="2683">
        <v>146</v>
      </c>
      <c r="E1157" s="2683">
        <v>41.274999999999999</v>
      </c>
      <c r="F1157" s="2683" t="s">
        <v>5922</v>
      </c>
      <c r="G1157" s="2683" t="s">
        <v>5922</v>
      </c>
      <c r="H1157" s="2683" t="s">
        <v>5922</v>
      </c>
      <c r="I1157" s="2683" t="s">
        <v>5922</v>
      </c>
      <c r="J1157" s="2683">
        <v>2.87</v>
      </c>
      <c r="K1157" s="2684"/>
      <c r="L1157" s="2683" t="s">
        <v>5922</v>
      </c>
    </row>
    <row r="1158" spans="1:12">
      <c r="A1158" s="2682" t="s">
        <v>146</v>
      </c>
      <c r="B1158" s="2682" t="s">
        <v>7088</v>
      </c>
      <c r="C1158" s="2682">
        <v>82.55</v>
      </c>
      <c r="D1158" s="2682">
        <v>152.4</v>
      </c>
      <c r="E1158" s="2682">
        <v>41.274999999999999</v>
      </c>
      <c r="F1158" s="2682" t="s">
        <v>5922</v>
      </c>
      <c r="G1158" s="2682" t="s">
        <v>5922</v>
      </c>
      <c r="H1158" s="2682" t="s">
        <v>5922</v>
      </c>
      <c r="I1158" s="2682" t="s">
        <v>5922</v>
      </c>
      <c r="J1158" s="2682">
        <v>0</v>
      </c>
      <c r="L1158" s="2682" t="s">
        <v>5922</v>
      </c>
    </row>
    <row r="1159" spans="1:12">
      <c r="A1159" s="2683" t="s">
        <v>146</v>
      </c>
      <c r="B1159" s="2683" t="s">
        <v>7089</v>
      </c>
      <c r="C1159" s="2683">
        <v>57.15</v>
      </c>
      <c r="D1159" s="2683">
        <v>117.47499999999999</v>
      </c>
      <c r="E1159" s="2683">
        <v>33.338000000000001</v>
      </c>
      <c r="F1159" s="2683" t="s">
        <v>5922</v>
      </c>
      <c r="G1159" s="2683" t="s">
        <v>5922</v>
      </c>
      <c r="H1159" s="2683" t="s">
        <v>5922</v>
      </c>
      <c r="I1159" s="2683" t="s">
        <v>5922</v>
      </c>
      <c r="J1159" s="2683">
        <v>0</v>
      </c>
      <c r="K1159" s="2684"/>
      <c r="L1159" s="2683" t="s">
        <v>5922</v>
      </c>
    </row>
    <row r="1160" spans="1:12">
      <c r="A1160" s="2682" t="s">
        <v>146</v>
      </c>
      <c r="B1160" s="2682" t="s">
        <v>7090</v>
      </c>
      <c r="C1160" s="2682">
        <v>79.375</v>
      </c>
      <c r="D1160" s="2682">
        <v>146.05000000000001</v>
      </c>
      <c r="E1160" s="2682">
        <v>41.274999999999999</v>
      </c>
      <c r="F1160" s="2682" t="s">
        <v>5922</v>
      </c>
      <c r="G1160" s="2682" t="s">
        <v>5922</v>
      </c>
      <c r="H1160" s="2682" t="s">
        <v>5922</v>
      </c>
      <c r="I1160" s="2682" t="s">
        <v>5922</v>
      </c>
      <c r="J1160" s="2682">
        <v>0</v>
      </c>
      <c r="L1160" s="2682" t="s">
        <v>5922</v>
      </c>
    </row>
    <row r="1161" spans="1:12">
      <c r="A1161" s="2683" t="s">
        <v>146</v>
      </c>
      <c r="B1161" s="2683" t="s">
        <v>7091</v>
      </c>
      <c r="C1161" s="2683">
        <v>79.375</v>
      </c>
      <c r="D1161" s="2683">
        <v>146.05000000000001</v>
      </c>
      <c r="E1161" s="2683">
        <v>41.274999999999999</v>
      </c>
      <c r="F1161" s="2683" t="s">
        <v>5922</v>
      </c>
      <c r="G1161" s="2683" t="s">
        <v>5922</v>
      </c>
      <c r="H1161" s="2683" t="s">
        <v>5922</v>
      </c>
      <c r="I1161" s="2683" t="s">
        <v>5922</v>
      </c>
      <c r="J1161" s="2683">
        <v>0</v>
      </c>
      <c r="K1161" s="2684"/>
      <c r="L1161" s="2683" t="s">
        <v>5922</v>
      </c>
    </row>
    <row r="1162" spans="1:12">
      <c r="A1162" s="2682" t="s">
        <v>146</v>
      </c>
      <c r="B1162" s="2682" t="s">
        <v>7092</v>
      </c>
      <c r="C1162" s="2682">
        <v>76.2</v>
      </c>
      <c r="D1162" s="2682">
        <v>146.05000000000001</v>
      </c>
      <c r="E1162" s="2682">
        <v>41.274999999999999</v>
      </c>
      <c r="F1162" s="2682" t="s">
        <v>5922</v>
      </c>
      <c r="G1162" s="2682" t="s">
        <v>5922</v>
      </c>
      <c r="H1162" s="2682" t="s">
        <v>5922</v>
      </c>
      <c r="I1162" s="2682" t="s">
        <v>5922</v>
      </c>
      <c r="J1162" s="2682">
        <v>0</v>
      </c>
      <c r="L1162" s="2682" t="s">
        <v>5922</v>
      </c>
    </row>
    <row r="1163" spans="1:12">
      <c r="A1163" s="2683" t="s">
        <v>146</v>
      </c>
      <c r="B1163" s="2683" t="s">
        <v>7093</v>
      </c>
      <c r="C1163" s="2683">
        <v>76.2</v>
      </c>
      <c r="D1163" s="2683">
        <v>152.4</v>
      </c>
      <c r="E1163" s="2683">
        <v>41.274999999999999</v>
      </c>
      <c r="F1163" s="2683" t="s">
        <v>5922</v>
      </c>
      <c r="G1163" s="2683" t="s">
        <v>5922</v>
      </c>
      <c r="H1163" s="2683" t="s">
        <v>5922</v>
      </c>
      <c r="I1163" s="2683" t="s">
        <v>5922</v>
      </c>
      <c r="J1163" s="2683">
        <v>0</v>
      </c>
      <c r="K1163" s="2684"/>
      <c r="L1163" s="2683" t="s">
        <v>5922</v>
      </c>
    </row>
    <row r="1164" spans="1:12">
      <c r="A1164" s="2682" t="s">
        <v>146</v>
      </c>
      <c r="B1164" s="2682" t="s">
        <v>7094</v>
      </c>
      <c r="C1164" s="2682">
        <v>88.9</v>
      </c>
      <c r="D1164" s="2682">
        <v>161.92500000000001</v>
      </c>
      <c r="E1164" s="2682">
        <v>53.975000000000001</v>
      </c>
      <c r="F1164" s="2682" t="s">
        <v>5922</v>
      </c>
      <c r="G1164" s="2682" t="s">
        <v>5922</v>
      </c>
      <c r="H1164" s="2682" t="s">
        <v>5922</v>
      </c>
      <c r="I1164" s="2682" t="s">
        <v>5922</v>
      </c>
      <c r="J1164" s="2682">
        <v>4.7949999999999999</v>
      </c>
      <c r="L1164" s="2682" t="s">
        <v>5922</v>
      </c>
    </row>
    <row r="1165" spans="1:12">
      <c r="A1165" s="2683" t="s">
        <v>146</v>
      </c>
      <c r="B1165" s="2683" t="s">
        <v>7095</v>
      </c>
      <c r="C1165" s="2683">
        <v>88.9</v>
      </c>
      <c r="D1165" s="2683">
        <v>161.92500000000001</v>
      </c>
      <c r="E1165" s="2683">
        <v>53.924999999999997</v>
      </c>
      <c r="F1165" s="2683" t="s">
        <v>5922</v>
      </c>
      <c r="G1165" s="2683" t="s">
        <v>5922</v>
      </c>
      <c r="H1165" s="2683" t="s">
        <v>5922</v>
      </c>
      <c r="I1165" s="2683" t="s">
        <v>5922</v>
      </c>
      <c r="J1165" s="2683">
        <v>4.7300000000000004</v>
      </c>
      <c r="K1165" s="2684"/>
      <c r="L1165" s="2683" t="s">
        <v>5922</v>
      </c>
    </row>
    <row r="1166" spans="1:12">
      <c r="A1166" s="2682" t="s">
        <v>146</v>
      </c>
      <c r="B1166" s="2682" t="s">
        <v>7096</v>
      </c>
      <c r="C1166" s="2682">
        <v>74.611999999999995</v>
      </c>
      <c r="D1166" s="2682">
        <v>150</v>
      </c>
      <c r="E1166" s="2682">
        <v>41.274999999999999</v>
      </c>
      <c r="F1166" s="2682" t="s">
        <v>5922</v>
      </c>
      <c r="G1166" s="2682" t="s">
        <v>5922</v>
      </c>
      <c r="H1166" s="2682" t="s">
        <v>5922</v>
      </c>
      <c r="I1166" s="2682" t="s">
        <v>5922</v>
      </c>
      <c r="J1166" s="2682">
        <v>0</v>
      </c>
      <c r="L1166" s="2682" t="s">
        <v>5922</v>
      </c>
    </row>
    <row r="1167" spans="1:12">
      <c r="A1167" s="2683" t="s">
        <v>146</v>
      </c>
      <c r="B1167" s="2683" t="s">
        <v>7097</v>
      </c>
      <c r="C1167" s="2683">
        <v>76.2</v>
      </c>
      <c r="D1167" s="2683">
        <v>161.92500000000001</v>
      </c>
      <c r="E1167" s="2683">
        <v>53.975000000000001</v>
      </c>
      <c r="F1167" s="2683" t="s">
        <v>5922</v>
      </c>
      <c r="G1167" s="2683" t="s">
        <v>5922</v>
      </c>
      <c r="H1167" s="2683" t="s">
        <v>5922</v>
      </c>
      <c r="I1167" s="2683" t="s">
        <v>5922</v>
      </c>
      <c r="J1167" s="2683">
        <v>5.4279999999999999</v>
      </c>
      <c r="K1167" s="2684"/>
      <c r="L1167" s="2683" t="s">
        <v>5922</v>
      </c>
    </row>
    <row r="1168" spans="1:12">
      <c r="A1168" s="2682" t="s">
        <v>146</v>
      </c>
      <c r="B1168" s="2682" t="s">
        <v>7098</v>
      </c>
      <c r="C1168" s="2682">
        <v>82.55</v>
      </c>
      <c r="D1168" s="2682">
        <v>161.92500000000001</v>
      </c>
      <c r="E1168" s="2682">
        <v>53.975000000000001</v>
      </c>
      <c r="F1168" s="2682" t="s">
        <v>5922</v>
      </c>
      <c r="G1168" s="2682" t="s">
        <v>5922</v>
      </c>
      <c r="H1168" s="2682" t="s">
        <v>5922</v>
      </c>
      <c r="I1168" s="2682" t="s">
        <v>5922</v>
      </c>
      <c r="J1168" s="2682">
        <v>0</v>
      </c>
      <c r="L1168" s="2682" t="s">
        <v>5922</v>
      </c>
    </row>
    <row r="1169" spans="1:12">
      <c r="A1169" s="2683" t="s">
        <v>146</v>
      </c>
      <c r="B1169" s="2683" t="s">
        <v>7099</v>
      </c>
      <c r="C1169" s="2683">
        <v>69.849999999999994</v>
      </c>
      <c r="D1169" s="2683">
        <v>140.05000000000001</v>
      </c>
      <c r="E1169" s="2683">
        <v>41.274999999999999</v>
      </c>
      <c r="F1169" s="2683" t="s">
        <v>5922</v>
      </c>
      <c r="G1169" s="2683" t="s">
        <v>5922</v>
      </c>
      <c r="H1169" s="2683" t="s">
        <v>5922</v>
      </c>
      <c r="I1169" s="2683" t="s">
        <v>5922</v>
      </c>
      <c r="J1169" s="2683">
        <v>0</v>
      </c>
      <c r="K1169" s="2684"/>
      <c r="L1169" s="2683" t="s">
        <v>5922</v>
      </c>
    </row>
    <row r="1170" spans="1:12">
      <c r="A1170" s="2682" t="s">
        <v>146</v>
      </c>
      <c r="B1170" s="2682" t="s">
        <v>7100</v>
      </c>
      <c r="C1170" s="2682">
        <v>58.738</v>
      </c>
      <c r="D1170" s="2682">
        <v>127</v>
      </c>
      <c r="E1170" s="2682">
        <v>44.45</v>
      </c>
      <c r="F1170" s="2682" t="s">
        <v>5922</v>
      </c>
      <c r="G1170" s="2682" t="s">
        <v>5922</v>
      </c>
      <c r="H1170" s="2682" t="s">
        <v>5922</v>
      </c>
      <c r="I1170" s="2682" t="s">
        <v>5922</v>
      </c>
      <c r="J1170" s="2682">
        <v>0</v>
      </c>
      <c r="L1170" s="2682" t="s">
        <v>5922</v>
      </c>
    </row>
    <row r="1171" spans="1:12">
      <c r="A1171" s="2683" t="s">
        <v>146</v>
      </c>
      <c r="B1171" s="2683" t="s">
        <v>7101</v>
      </c>
      <c r="C1171" s="2683">
        <v>57.15</v>
      </c>
      <c r="D1171" s="2683">
        <v>127</v>
      </c>
      <c r="E1171" s="2683">
        <v>44.45</v>
      </c>
      <c r="F1171" s="2683" t="s">
        <v>5922</v>
      </c>
      <c r="G1171" s="2683" t="s">
        <v>5922</v>
      </c>
      <c r="H1171" s="2683" t="s">
        <v>5922</v>
      </c>
      <c r="I1171" s="2683" t="s">
        <v>5922</v>
      </c>
      <c r="J1171" s="2683">
        <v>0</v>
      </c>
      <c r="K1171" s="2684"/>
      <c r="L1171" s="2683" t="s">
        <v>5922</v>
      </c>
    </row>
    <row r="1172" spans="1:12">
      <c r="A1172" s="2682" t="s">
        <v>146</v>
      </c>
      <c r="B1172" s="2682" t="s">
        <v>7102</v>
      </c>
      <c r="C1172" s="2682">
        <v>53.975000000000001</v>
      </c>
      <c r="D1172" s="2682">
        <v>127</v>
      </c>
      <c r="E1172" s="2682">
        <v>44.45</v>
      </c>
      <c r="F1172" s="2682" t="s">
        <v>5922</v>
      </c>
      <c r="G1172" s="2682" t="s">
        <v>5922</v>
      </c>
      <c r="H1172" s="2682" t="s">
        <v>5922</v>
      </c>
      <c r="I1172" s="2682" t="s">
        <v>5922</v>
      </c>
      <c r="J1172" s="2682">
        <v>0</v>
      </c>
      <c r="L1172" s="2682" t="s">
        <v>5922</v>
      </c>
    </row>
    <row r="1173" spans="1:12">
      <c r="A1173" s="2683" t="s">
        <v>146</v>
      </c>
      <c r="B1173" s="2683" t="s">
        <v>7103</v>
      </c>
      <c r="C1173" s="2683">
        <v>50.8</v>
      </c>
      <c r="D1173" s="2683">
        <v>127</v>
      </c>
      <c r="E1173" s="2683">
        <v>44.45</v>
      </c>
      <c r="F1173" s="2683" t="s">
        <v>5922</v>
      </c>
      <c r="G1173" s="2683" t="s">
        <v>5922</v>
      </c>
      <c r="H1173" s="2683" t="s">
        <v>5922</v>
      </c>
      <c r="I1173" s="2683" t="s">
        <v>5922</v>
      </c>
      <c r="J1173" s="2683">
        <v>0</v>
      </c>
      <c r="K1173" s="2684"/>
      <c r="L1173" s="2683" t="s">
        <v>5922</v>
      </c>
    </row>
    <row r="1174" spans="1:12">
      <c r="A1174" s="2682" t="s">
        <v>146</v>
      </c>
      <c r="B1174" s="2682" t="s">
        <v>7104</v>
      </c>
      <c r="C1174" s="2682">
        <v>73.025000000000006</v>
      </c>
      <c r="D1174" s="2682">
        <v>149.22499999999999</v>
      </c>
      <c r="E1174" s="2682">
        <v>53.975000000000001</v>
      </c>
      <c r="F1174" s="2682" t="s">
        <v>5922</v>
      </c>
      <c r="G1174" s="2682" t="s">
        <v>5922</v>
      </c>
      <c r="H1174" s="2682" t="s">
        <v>5922</v>
      </c>
      <c r="I1174" s="2682" t="s">
        <v>5922</v>
      </c>
      <c r="J1174" s="2682">
        <v>0</v>
      </c>
      <c r="L1174" s="2682" t="s">
        <v>5922</v>
      </c>
    </row>
    <row r="1175" spans="1:12">
      <c r="A1175" s="2683" t="s">
        <v>146</v>
      </c>
      <c r="B1175" s="2683" t="s">
        <v>7105</v>
      </c>
      <c r="C1175" s="2683">
        <v>69.849999999999994</v>
      </c>
      <c r="D1175" s="2683">
        <v>149.22499999999999</v>
      </c>
      <c r="E1175" s="2683">
        <v>53.975000000000001</v>
      </c>
      <c r="F1175" s="2683" t="s">
        <v>5922</v>
      </c>
      <c r="G1175" s="2683" t="s">
        <v>5922</v>
      </c>
      <c r="H1175" s="2683" t="s">
        <v>5922</v>
      </c>
      <c r="I1175" s="2683" t="s">
        <v>5922</v>
      </c>
      <c r="J1175" s="2683">
        <v>0</v>
      </c>
      <c r="K1175" s="2684"/>
      <c r="L1175" s="2683" t="s">
        <v>5922</v>
      </c>
    </row>
    <row r="1176" spans="1:12">
      <c r="A1176" s="2682" t="s">
        <v>146</v>
      </c>
      <c r="B1176" s="2682" t="s">
        <v>7106</v>
      </c>
      <c r="C1176" s="2682">
        <v>114.3</v>
      </c>
      <c r="D1176" s="2682">
        <v>177.8</v>
      </c>
      <c r="E1176" s="2682">
        <v>41.274999999999999</v>
      </c>
      <c r="F1176" s="2682" t="s">
        <v>5922</v>
      </c>
      <c r="G1176" s="2682" t="s">
        <v>5922</v>
      </c>
      <c r="H1176" s="2682" t="s">
        <v>5922</v>
      </c>
      <c r="I1176" s="2682" t="s">
        <v>5922</v>
      </c>
      <c r="J1176" s="2682">
        <v>0</v>
      </c>
      <c r="L1176" s="2682" t="s">
        <v>5922</v>
      </c>
    </row>
    <row r="1177" spans="1:12">
      <c r="A1177" s="2683" t="s">
        <v>146</v>
      </c>
      <c r="B1177" s="2683" t="s">
        <v>7107</v>
      </c>
      <c r="C1177" s="2683">
        <v>71.438000000000002</v>
      </c>
      <c r="D1177" s="2683">
        <v>130.17500000000001</v>
      </c>
      <c r="E1177" s="2683">
        <v>41.274999999999999</v>
      </c>
      <c r="F1177" s="2683" t="s">
        <v>5922</v>
      </c>
      <c r="G1177" s="2683" t="s">
        <v>5922</v>
      </c>
      <c r="H1177" s="2683" t="s">
        <v>5922</v>
      </c>
      <c r="I1177" s="2683" t="s">
        <v>5922</v>
      </c>
      <c r="J1177" s="2683">
        <v>0</v>
      </c>
      <c r="K1177" s="2684"/>
      <c r="L1177" s="2683" t="s">
        <v>5922</v>
      </c>
    </row>
    <row r="1178" spans="1:12">
      <c r="A1178" s="2682" t="s">
        <v>146</v>
      </c>
      <c r="B1178" s="2682" t="s">
        <v>7108</v>
      </c>
      <c r="C1178" s="2682">
        <v>66.674999999999997</v>
      </c>
      <c r="D1178" s="2682">
        <v>130.17500000000001</v>
      </c>
      <c r="E1178" s="2682">
        <v>41.274999999999999</v>
      </c>
      <c r="F1178" s="2682" t="s">
        <v>5922</v>
      </c>
      <c r="G1178" s="2682" t="s">
        <v>5922</v>
      </c>
      <c r="H1178" s="2682" t="s">
        <v>5922</v>
      </c>
      <c r="I1178" s="2682" t="s">
        <v>5922</v>
      </c>
      <c r="J1178" s="2682">
        <v>0</v>
      </c>
      <c r="L1178" s="2682" t="s">
        <v>5922</v>
      </c>
    </row>
    <row r="1179" spans="1:12">
      <c r="A1179" s="2683" t="s">
        <v>146</v>
      </c>
      <c r="B1179" s="2683" t="s">
        <v>7109</v>
      </c>
      <c r="C1179" s="2683">
        <v>63.5</v>
      </c>
      <c r="D1179" s="2683">
        <v>130.17500000000001</v>
      </c>
      <c r="E1179" s="2683">
        <v>41.274999999999999</v>
      </c>
      <c r="F1179" s="2683" t="s">
        <v>5922</v>
      </c>
      <c r="G1179" s="2683" t="s">
        <v>5922</v>
      </c>
      <c r="H1179" s="2683" t="s">
        <v>5922</v>
      </c>
      <c r="I1179" s="2683" t="s">
        <v>5922</v>
      </c>
      <c r="J1179" s="2683">
        <v>0</v>
      </c>
      <c r="K1179" s="2684"/>
      <c r="L1179" s="2683" t="s">
        <v>5922</v>
      </c>
    </row>
    <row r="1180" spans="1:12">
      <c r="A1180" s="2682" t="s">
        <v>146</v>
      </c>
      <c r="B1180" s="2682" t="s">
        <v>7110</v>
      </c>
      <c r="C1180" s="2682">
        <v>65.087999999999994</v>
      </c>
      <c r="D1180" s="2682">
        <v>135.755</v>
      </c>
      <c r="E1180" s="2682">
        <v>53.975000000000001</v>
      </c>
      <c r="F1180" s="2682" t="s">
        <v>5922</v>
      </c>
      <c r="G1180" s="2682" t="s">
        <v>5922</v>
      </c>
      <c r="H1180" s="2682" t="s">
        <v>5922</v>
      </c>
      <c r="I1180" s="2682" t="s">
        <v>5922</v>
      </c>
      <c r="J1180" s="2682">
        <v>0</v>
      </c>
      <c r="L1180" s="2682" t="s">
        <v>5922</v>
      </c>
    </row>
    <row r="1181" spans="1:12">
      <c r="A1181" s="2683" t="s">
        <v>146</v>
      </c>
      <c r="B1181" s="2683" t="s">
        <v>7111</v>
      </c>
      <c r="C1181" s="2683">
        <v>60.325000000000003</v>
      </c>
      <c r="D1181" s="2683">
        <v>135.755</v>
      </c>
      <c r="E1181" s="2683">
        <v>53.975000000000001</v>
      </c>
      <c r="F1181" s="2683" t="s">
        <v>5922</v>
      </c>
      <c r="G1181" s="2683" t="s">
        <v>5922</v>
      </c>
      <c r="H1181" s="2683" t="s">
        <v>5922</v>
      </c>
      <c r="I1181" s="2683" t="s">
        <v>5922</v>
      </c>
      <c r="J1181" s="2683">
        <v>0</v>
      </c>
      <c r="K1181" s="2684"/>
      <c r="L1181" s="2683" t="s">
        <v>5922</v>
      </c>
    </row>
    <row r="1182" spans="1:12">
      <c r="A1182" s="2682" t="s">
        <v>146</v>
      </c>
      <c r="B1182" s="2682" t="s">
        <v>7112</v>
      </c>
      <c r="C1182" s="2682">
        <v>60.325000000000003</v>
      </c>
      <c r="D1182" s="2682">
        <v>130.17500000000001</v>
      </c>
      <c r="E1182" s="2682">
        <v>41.274999999999999</v>
      </c>
      <c r="F1182" s="2682" t="s">
        <v>5922</v>
      </c>
      <c r="G1182" s="2682" t="s">
        <v>5922</v>
      </c>
      <c r="H1182" s="2682" t="s">
        <v>5922</v>
      </c>
      <c r="I1182" s="2682" t="s">
        <v>5922</v>
      </c>
      <c r="J1182" s="2682">
        <v>0</v>
      </c>
      <c r="L1182" s="2682" t="s">
        <v>5922</v>
      </c>
    </row>
    <row r="1183" spans="1:12">
      <c r="A1183" s="2683" t="s">
        <v>146</v>
      </c>
      <c r="B1183" s="2683" t="s">
        <v>7113</v>
      </c>
      <c r="C1183" s="2683">
        <v>57.15</v>
      </c>
      <c r="D1183" s="2683">
        <v>136.52500000000001</v>
      </c>
      <c r="E1183" s="2683">
        <v>41.274999999999999</v>
      </c>
      <c r="F1183" s="2683" t="s">
        <v>5922</v>
      </c>
      <c r="G1183" s="2683" t="s">
        <v>5922</v>
      </c>
      <c r="H1183" s="2683" t="s">
        <v>5922</v>
      </c>
      <c r="I1183" s="2683" t="s">
        <v>5922</v>
      </c>
      <c r="J1183" s="2683">
        <v>0</v>
      </c>
      <c r="K1183" s="2684"/>
      <c r="L1183" s="2683" t="s">
        <v>5922</v>
      </c>
    </row>
    <row r="1184" spans="1:12">
      <c r="A1184" s="2682" t="s">
        <v>146</v>
      </c>
      <c r="B1184" s="2682" t="s">
        <v>7114</v>
      </c>
      <c r="C1184" s="2682">
        <v>53.975000000000001</v>
      </c>
      <c r="D1184" s="2682">
        <v>127</v>
      </c>
      <c r="E1184" s="2682">
        <v>50.8</v>
      </c>
      <c r="F1184" s="2682" t="s">
        <v>5922</v>
      </c>
      <c r="G1184" s="2682" t="s">
        <v>5922</v>
      </c>
      <c r="H1184" s="2682" t="s">
        <v>5922</v>
      </c>
      <c r="I1184" s="2682" t="s">
        <v>5922</v>
      </c>
      <c r="J1184" s="2682">
        <v>0</v>
      </c>
      <c r="L1184" s="2682" t="s">
        <v>5922</v>
      </c>
    </row>
    <row r="1185" spans="1:12">
      <c r="A1185" s="2683" t="s">
        <v>146</v>
      </c>
      <c r="B1185" s="2683" t="s">
        <v>7115</v>
      </c>
      <c r="C1185" s="2683">
        <v>53.975000000000001</v>
      </c>
      <c r="D1185" s="2683">
        <v>120.65</v>
      </c>
      <c r="E1185" s="2683">
        <v>41.274999999999999</v>
      </c>
      <c r="F1185" s="2683" t="s">
        <v>5922</v>
      </c>
      <c r="G1185" s="2683" t="s">
        <v>5922</v>
      </c>
      <c r="H1185" s="2683" t="s">
        <v>5922</v>
      </c>
      <c r="I1185" s="2683" t="s">
        <v>5922</v>
      </c>
      <c r="J1185" s="2683">
        <v>0</v>
      </c>
      <c r="K1185" s="2684"/>
      <c r="L1185" s="2683" t="s">
        <v>5922</v>
      </c>
    </row>
    <row r="1186" spans="1:12">
      <c r="A1186" s="2682" t="s">
        <v>146</v>
      </c>
      <c r="B1186" s="2682" t="s">
        <v>7116</v>
      </c>
      <c r="C1186" s="2682">
        <v>57.15</v>
      </c>
      <c r="D1186" s="2682">
        <v>149.22499999999999</v>
      </c>
      <c r="E1186" s="2682">
        <v>53.975000000000001</v>
      </c>
      <c r="F1186" s="2682" t="s">
        <v>5922</v>
      </c>
      <c r="G1186" s="2682" t="s">
        <v>5922</v>
      </c>
      <c r="H1186" s="2682" t="s">
        <v>5922</v>
      </c>
      <c r="I1186" s="2682" t="s">
        <v>5922</v>
      </c>
      <c r="J1186" s="2682">
        <v>0</v>
      </c>
      <c r="L1186" s="2682" t="s">
        <v>5922</v>
      </c>
    </row>
    <row r="1187" spans="1:12">
      <c r="A1187" s="2683" t="s">
        <v>146</v>
      </c>
      <c r="B1187" s="2683" t="s">
        <v>7117</v>
      </c>
      <c r="C1187" s="2683">
        <v>85</v>
      </c>
      <c r="D1187" s="2683">
        <v>150</v>
      </c>
      <c r="E1187" s="2683">
        <v>35.991999999999997</v>
      </c>
      <c r="F1187" s="2683" t="s">
        <v>5922</v>
      </c>
      <c r="G1187" s="2683" t="s">
        <v>5922</v>
      </c>
      <c r="H1187" s="2683" t="s">
        <v>5922</v>
      </c>
      <c r="I1187" s="2683" t="s">
        <v>5922</v>
      </c>
      <c r="J1187" s="2683">
        <v>0</v>
      </c>
      <c r="K1187" s="2684"/>
      <c r="L1187" s="2683" t="s">
        <v>5922</v>
      </c>
    </row>
    <row r="1188" spans="1:12">
      <c r="A1188" s="2682" t="s">
        <v>146</v>
      </c>
      <c r="B1188" s="2682" t="s">
        <v>7118</v>
      </c>
      <c r="C1188" s="2682">
        <v>92.075000000000003</v>
      </c>
      <c r="D1188" s="2682">
        <v>150</v>
      </c>
      <c r="E1188" s="2682">
        <v>35.991999999999997</v>
      </c>
      <c r="F1188" s="2682" t="s">
        <v>5922</v>
      </c>
      <c r="G1188" s="2682" t="s">
        <v>5922</v>
      </c>
      <c r="H1188" s="2682" t="s">
        <v>5922</v>
      </c>
      <c r="I1188" s="2682" t="s">
        <v>5922</v>
      </c>
      <c r="J1188" s="2682">
        <v>2.37</v>
      </c>
      <c r="L1188" s="2682" t="s">
        <v>5922</v>
      </c>
    </row>
    <row r="1189" spans="1:12">
      <c r="A1189" s="2683" t="s">
        <v>146</v>
      </c>
      <c r="B1189" s="2683" t="s">
        <v>7119</v>
      </c>
      <c r="C1189" s="2683">
        <v>92.075000000000003</v>
      </c>
      <c r="D1189" s="2683">
        <v>152.4</v>
      </c>
      <c r="E1189" s="2683">
        <v>39.688000000000002</v>
      </c>
      <c r="F1189" s="2683" t="s">
        <v>5922</v>
      </c>
      <c r="G1189" s="2683" t="s">
        <v>5922</v>
      </c>
      <c r="H1189" s="2683" t="s">
        <v>5922</v>
      </c>
      <c r="I1189" s="2683" t="s">
        <v>5922</v>
      </c>
      <c r="J1189" s="2683">
        <v>2.67</v>
      </c>
      <c r="K1189" s="2684"/>
      <c r="L1189" s="2683" t="s">
        <v>5922</v>
      </c>
    </row>
    <row r="1190" spans="1:12">
      <c r="A1190" s="2682" t="s">
        <v>146</v>
      </c>
      <c r="B1190" s="2682" t="s">
        <v>7120</v>
      </c>
      <c r="C1190" s="2682">
        <v>92.075000000000003</v>
      </c>
      <c r="D1190" s="2682">
        <v>147.63800000000001</v>
      </c>
      <c r="E1190" s="2682">
        <v>35.716999999999999</v>
      </c>
      <c r="F1190" s="2682" t="s">
        <v>5922</v>
      </c>
      <c r="G1190" s="2682" t="s">
        <v>5922</v>
      </c>
      <c r="H1190" s="2682" t="s">
        <v>5922</v>
      </c>
      <c r="I1190" s="2682" t="s">
        <v>5922</v>
      </c>
      <c r="J1190" s="2682">
        <v>0</v>
      </c>
      <c r="L1190" s="2682" t="s">
        <v>5922</v>
      </c>
    </row>
    <row r="1191" spans="1:12">
      <c r="A1191" s="2683" t="s">
        <v>146</v>
      </c>
      <c r="B1191" s="2683" t="s">
        <v>7121</v>
      </c>
      <c r="C1191" s="2683">
        <v>92.075000000000003</v>
      </c>
      <c r="D1191" s="2683">
        <v>152.4</v>
      </c>
      <c r="E1191" s="2683">
        <v>82.55</v>
      </c>
      <c r="F1191" s="2683" t="s">
        <v>5922</v>
      </c>
      <c r="G1191" s="2683" t="s">
        <v>5922</v>
      </c>
      <c r="H1191" s="2683" t="s">
        <v>5922</v>
      </c>
      <c r="I1191" s="2683" t="s">
        <v>5922</v>
      </c>
      <c r="J1191" s="2683">
        <v>5.74</v>
      </c>
      <c r="K1191" s="2684"/>
      <c r="L1191" s="2683" t="s">
        <v>5922</v>
      </c>
    </row>
    <row r="1192" spans="1:12">
      <c r="A1192" s="2682" t="s">
        <v>146</v>
      </c>
      <c r="B1192" s="2682" t="s">
        <v>7122</v>
      </c>
      <c r="C1192" s="2682">
        <v>92.75</v>
      </c>
      <c r="D1192" s="2682">
        <v>152.4</v>
      </c>
      <c r="E1192" s="2682">
        <v>39.688000000000002</v>
      </c>
      <c r="F1192" s="2682" t="s">
        <v>5922</v>
      </c>
      <c r="G1192" s="2682" t="s">
        <v>5922</v>
      </c>
      <c r="H1192" s="2682" t="s">
        <v>5922</v>
      </c>
      <c r="I1192" s="2682" t="s">
        <v>5922</v>
      </c>
      <c r="J1192" s="2682">
        <v>0</v>
      </c>
      <c r="L1192" s="2682" t="s">
        <v>5922</v>
      </c>
    </row>
    <row r="1193" spans="1:12">
      <c r="A1193" s="2683" t="s">
        <v>146</v>
      </c>
      <c r="B1193" s="2683" t="s">
        <v>7123</v>
      </c>
      <c r="C1193" s="2683">
        <v>92.075000000000003</v>
      </c>
      <c r="D1193" s="2683">
        <v>152.4</v>
      </c>
      <c r="E1193" s="2683">
        <v>39.688000000000002</v>
      </c>
      <c r="F1193" s="2683" t="s">
        <v>5922</v>
      </c>
      <c r="G1193" s="2683" t="s">
        <v>5922</v>
      </c>
      <c r="H1193" s="2683" t="s">
        <v>5922</v>
      </c>
      <c r="I1193" s="2683" t="s">
        <v>5922</v>
      </c>
      <c r="J1193" s="2683">
        <v>0</v>
      </c>
      <c r="K1193" s="2684"/>
      <c r="L1193" s="2683" t="s">
        <v>5922</v>
      </c>
    </row>
    <row r="1194" spans="1:12">
      <c r="A1194" s="2682" t="s">
        <v>146</v>
      </c>
      <c r="B1194" s="2682" t="s">
        <v>7124</v>
      </c>
      <c r="C1194" s="2682">
        <v>85.724999999999994</v>
      </c>
      <c r="D1194" s="2682">
        <v>152.4</v>
      </c>
      <c r="E1194" s="2682">
        <v>39.688000000000002</v>
      </c>
      <c r="F1194" s="2682" t="s">
        <v>5922</v>
      </c>
      <c r="G1194" s="2682" t="s">
        <v>5922</v>
      </c>
      <c r="H1194" s="2682" t="s">
        <v>5922</v>
      </c>
      <c r="I1194" s="2682" t="s">
        <v>5922</v>
      </c>
      <c r="J1194" s="2682">
        <v>0</v>
      </c>
      <c r="L1194" s="2682" t="s">
        <v>5922</v>
      </c>
    </row>
    <row r="1195" spans="1:12">
      <c r="A1195" s="2683" t="s">
        <v>146</v>
      </c>
      <c r="B1195" s="2683" t="s">
        <v>7125</v>
      </c>
      <c r="C1195" s="2683">
        <v>82.55</v>
      </c>
      <c r="D1195" s="2683">
        <v>152.4</v>
      </c>
      <c r="E1195" s="2683">
        <v>39.688000000000002</v>
      </c>
      <c r="F1195" s="2683" t="s">
        <v>5922</v>
      </c>
      <c r="G1195" s="2683" t="s">
        <v>5922</v>
      </c>
      <c r="H1195" s="2683" t="s">
        <v>5922</v>
      </c>
      <c r="I1195" s="2683" t="s">
        <v>5922</v>
      </c>
      <c r="J1195" s="2683">
        <v>0</v>
      </c>
      <c r="K1195" s="2684"/>
      <c r="L1195" s="2683" t="s">
        <v>5922</v>
      </c>
    </row>
    <row r="1196" spans="1:12">
      <c r="A1196" s="2682" t="s">
        <v>146</v>
      </c>
      <c r="B1196" s="2682" t="s">
        <v>7126</v>
      </c>
      <c r="C1196" s="2682">
        <v>95.25</v>
      </c>
      <c r="D1196" s="2682">
        <v>147.63800000000001</v>
      </c>
      <c r="E1196" s="2682">
        <v>35.716999999999999</v>
      </c>
      <c r="F1196" s="2682" t="s">
        <v>5922</v>
      </c>
      <c r="G1196" s="2682" t="s">
        <v>5922</v>
      </c>
      <c r="H1196" s="2682" t="s">
        <v>5922</v>
      </c>
      <c r="I1196" s="2682" t="s">
        <v>5922</v>
      </c>
      <c r="J1196" s="2682">
        <v>0</v>
      </c>
      <c r="L1196" s="2682" t="s">
        <v>5922</v>
      </c>
    </row>
    <row r="1197" spans="1:12">
      <c r="A1197" s="2683" t="s">
        <v>146</v>
      </c>
      <c r="B1197" s="2683" t="s">
        <v>7127</v>
      </c>
      <c r="C1197" s="2683">
        <v>95.25</v>
      </c>
      <c r="D1197" s="2683">
        <v>152</v>
      </c>
      <c r="E1197" s="2683">
        <v>39.688000000000002</v>
      </c>
      <c r="F1197" s="2683" t="s">
        <v>5922</v>
      </c>
      <c r="G1197" s="2683" t="s">
        <v>5922</v>
      </c>
      <c r="H1197" s="2683" t="s">
        <v>5922</v>
      </c>
      <c r="I1197" s="2683" t="s">
        <v>5922</v>
      </c>
      <c r="J1197" s="2683">
        <v>2.54</v>
      </c>
      <c r="K1197" s="2684"/>
      <c r="L1197" s="2683" t="s">
        <v>5922</v>
      </c>
    </row>
    <row r="1198" spans="1:12">
      <c r="A1198" s="2682" t="s">
        <v>146</v>
      </c>
      <c r="B1198" s="2682" t="s">
        <v>7128</v>
      </c>
      <c r="C1198" s="2682">
        <v>95.25</v>
      </c>
      <c r="D1198" s="2682">
        <v>147.63800000000001</v>
      </c>
      <c r="E1198" s="2682">
        <v>35.716999999999999</v>
      </c>
      <c r="F1198" s="2682" t="s">
        <v>5922</v>
      </c>
      <c r="G1198" s="2682" t="s">
        <v>5922</v>
      </c>
      <c r="H1198" s="2682" t="s">
        <v>5922</v>
      </c>
      <c r="I1198" s="2682" t="s">
        <v>5922</v>
      </c>
      <c r="J1198" s="2682">
        <v>0</v>
      </c>
      <c r="L1198" s="2682" t="s">
        <v>5922</v>
      </c>
    </row>
    <row r="1199" spans="1:12">
      <c r="A1199" s="2683" t="s">
        <v>146</v>
      </c>
      <c r="B1199" s="2683" t="s">
        <v>7129</v>
      </c>
      <c r="C1199" s="2683">
        <v>95.25</v>
      </c>
      <c r="D1199" s="2683">
        <v>152.4</v>
      </c>
      <c r="E1199" s="2683">
        <v>39.688000000000002</v>
      </c>
      <c r="F1199" s="2683" t="s">
        <v>5922</v>
      </c>
      <c r="G1199" s="2683" t="s">
        <v>5922</v>
      </c>
      <c r="H1199" s="2683" t="s">
        <v>5922</v>
      </c>
      <c r="I1199" s="2683" t="s">
        <v>5922</v>
      </c>
      <c r="J1199" s="2683">
        <v>0</v>
      </c>
      <c r="K1199" s="2684"/>
      <c r="L1199" s="2683" t="s">
        <v>5922</v>
      </c>
    </row>
    <row r="1200" spans="1:12">
      <c r="A1200" s="2682" t="s">
        <v>146</v>
      </c>
      <c r="B1200" s="2682" t="s">
        <v>7130</v>
      </c>
      <c r="C1200" s="2682">
        <v>88.9</v>
      </c>
      <c r="D1200" s="2682">
        <v>152.4</v>
      </c>
      <c r="E1200" s="2682">
        <v>39.688000000000002</v>
      </c>
      <c r="F1200" s="2682" t="s">
        <v>5922</v>
      </c>
      <c r="G1200" s="2682" t="s">
        <v>5922</v>
      </c>
      <c r="H1200" s="2682" t="s">
        <v>5922</v>
      </c>
      <c r="I1200" s="2682" t="s">
        <v>5922</v>
      </c>
      <c r="J1200" s="2682">
        <v>0</v>
      </c>
      <c r="L1200" s="2682" t="s">
        <v>5922</v>
      </c>
    </row>
    <row r="1201" spans="1:12">
      <c r="A1201" s="2683" t="s">
        <v>146</v>
      </c>
      <c r="B1201" s="2683" t="s">
        <v>7131</v>
      </c>
      <c r="C1201" s="2683">
        <v>88.9</v>
      </c>
      <c r="D1201" s="2683">
        <v>147.63800000000001</v>
      </c>
      <c r="E1201" s="2683">
        <v>35.716999999999999</v>
      </c>
      <c r="F1201" s="2683" t="s">
        <v>5922</v>
      </c>
      <c r="G1201" s="2683" t="s">
        <v>5922</v>
      </c>
      <c r="H1201" s="2683" t="s">
        <v>5922</v>
      </c>
      <c r="I1201" s="2683" t="s">
        <v>5922</v>
      </c>
      <c r="J1201" s="2683">
        <v>0</v>
      </c>
      <c r="K1201" s="2684"/>
      <c r="L1201" s="2683" t="s">
        <v>5922</v>
      </c>
    </row>
    <row r="1202" spans="1:12">
      <c r="A1202" s="2682" t="s">
        <v>146</v>
      </c>
      <c r="B1202" s="2682" t="s">
        <v>7132</v>
      </c>
      <c r="C1202" s="2682">
        <v>88.9</v>
      </c>
      <c r="D1202" s="2682">
        <v>152.4</v>
      </c>
      <c r="E1202" s="2682">
        <v>39.688000000000002</v>
      </c>
      <c r="F1202" s="2682" t="s">
        <v>5922</v>
      </c>
      <c r="G1202" s="2682" t="s">
        <v>5922</v>
      </c>
      <c r="H1202" s="2682" t="s">
        <v>5922</v>
      </c>
      <c r="I1202" s="2682" t="s">
        <v>5922</v>
      </c>
      <c r="J1202" s="2682">
        <v>0</v>
      </c>
      <c r="L1202" s="2682" t="s">
        <v>5922</v>
      </c>
    </row>
    <row r="1203" spans="1:12">
      <c r="A1203" s="2683" t="s">
        <v>146</v>
      </c>
      <c r="B1203" s="2683" t="s">
        <v>7133</v>
      </c>
      <c r="C1203" s="2683">
        <v>76.2</v>
      </c>
      <c r="D1203" s="2683">
        <v>152.4</v>
      </c>
      <c r="E1203" s="2683">
        <v>39.688000000000002</v>
      </c>
      <c r="F1203" s="2683" t="s">
        <v>5922</v>
      </c>
      <c r="G1203" s="2683" t="s">
        <v>5922</v>
      </c>
      <c r="H1203" s="2683" t="s">
        <v>5922</v>
      </c>
      <c r="I1203" s="2683" t="s">
        <v>5922</v>
      </c>
      <c r="J1203" s="2683">
        <v>0</v>
      </c>
      <c r="K1203" s="2684"/>
      <c r="L1203" s="2683" t="s">
        <v>5922</v>
      </c>
    </row>
    <row r="1204" spans="1:12">
      <c r="A1204" s="2682" t="s">
        <v>146</v>
      </c>
      <c r="B1204" s="2682" t="s">
        <v>7134</v>
      </c>
      <c r="C1204" s="2682">
        <v>82.55</v>
      </c>
      <c r="D1204" s="2682">
        <v>139.99199999999999</v>
      </c>
      <c r="E1204" s="2682">
        <v>36.512</v>
      </c>
      <c r="F1204" s="2682" t="s">
        <v>5922</v>
      </c>
      <c r="G1204" s="2682" t="s">
        <v>5922</v>
      </c>
      <c r="H1204" s="2682" t="s">
        <v>5922</v>
      </c>
      <c r="I1204" s="2682" t="s">
        <v>5922</v>
      </c>
      <c r="J1204" s="2682">
        <v>0</v>
      </c>
      <c r="L1204" s="2682" t="s">
        <v>5922</v>
      </c>
    </row>
    <row r="1205" spans="1:12">
      <c r="A1205" s="2683" t="s">
        <v>146</v>
      </c>
      <c r="B1205" s="2683" t="s">
        <v>7135</v>
      </c>
      <c r="C1205" s="2683">
        <v>80.962000000000003</v>
      </c>
      <c r="D1205" s="2683">
        <v>139.69999999999999</v>
      </c>
      <c r="E1205" s="2683">
        <v>36.512</v>
      </c>
      <c r="F1205" s="2683" t="s">
        <v>5922</v>
      </c>
      <c r="G1205" s="2683" t="s">
        <v>5922</v>
      </c>
      <c r="H1205" s="2683" t="s">
        <v>5922</v>
      </c>
      <c r="I1205" s="2683" t="s">
        <v>5922</v>
      </c>
      <c r="J1205" s="2683">
        <v>0</v>
      </c>
      <c r="K1205" s="2684"/>
      <c r="L1205" s="2683" t="s">
        <v>5922</v>
      </c>
    </row>
    <row r="1206" spans="1:12">
      <c r="A1206" s="2682" t="s">
        <v>146</v>
      </c>
      <c r="B1206" s="2682" t="s">
        <v>7136</v>
      </c>
      <c r="C1206" s="2682">
        <v>80.962000000000003</v>
      </c>
      <c r="D1206" s="2682">
        <v>139.99199999999999</v>
      </c>
      <c r="E1206" s="2682">
        <v>36.512</v>
      </c>
      <c r="F1206" s="2682" t="s">
        <v>5922</v>
      </c>
      <c r="G1206" s="2682" t="s">
        <v>5922</v>
      </c>
      <c r="H1206" s="2682" t="s">
        <v>5922</v>
      </c>
      <c r="I1206" s="2682" t="s">
        <v>5922</v>
      </c>
      <c r="J1206" s="2682">
        <v>0</v>
      </c>
      <c r="L1206" s="2682" t="s">
        <v>5922</v>
      </c>
    </row>
    <row r="1207" spans="1:12">
      <c r="A1207" s="2683" t="s">
        <v>146</v>
      </c>
      <c r="B1207" s="2683" t="s">
        <v>7137</v>
      </c>
      <c r="C1207" s="2683">
        <v>82.55</v>
      </c>
      <c r="D1207" s="2683">
        <v>139.69999999999999</v>
      </c>
      <c r="E1207" s="2683">
        <v>36.512</v>
      </c>
      <c r="F1207" s="2683" t="s">
        <v>5922</v>
      </c>
      <c r="G1207" s="2683" t="s">
        <v>5922</v>
      </c>
      <c r="H1207" s="2683" t="s">
        <v>5922</v>
      </c>
      <c r="I1207" s="2683" t="s">
        <v>5922</v>
      </c>
      <c r="J1207" s="2683">
        <v>0</v>
      </c>
      <c r="K1207" s="2684"/>
      <c r="L1207" s="2683" t="s">
        <v>5922</v>
      </c>
    </row>
    <row r="1208" spans="1:12">
      <c r="A1208" s="2682" t="s">
        <v>146</v>
      </c>
      <c r="B1208" s="2682" t="s">
        <v>7138</v>
      </c>
      <c r="C1208" s="2682">
        <v>82.55</v>
      </c>
      <c r="D1208" s="2682">
        <v>139.99199999999999</v>
      </c>
      <c r="E1208" s="2682">
        <v>14.288</v>
      </c>
      <c r="F1208" s="2682" t="s">
        <v>5922</v>
      </c>
      <c r="G1208" s="2682" t="s">
        <v>5922</v>
      </c>
      <c r="H1208" s="2682" t="s">
        <v>5922</v>
      </c>
      <c r="I1208" s="2682" t="s">
        <v>5922</v>
      </c>
      <c r="J1208" s="2682">
        <v>0</v>
      </c>
      <c r="L1208" s="2682" t="s">
        <v>5922</v>
      </c>
    </row>
    <row r="1209" spans="1:12">
      <c r="A1209" s="2683" t="s">
        <v>146</v>
      </c>
      <c r="B1209" s="2683" t="s">
        <v>7139</v>
      </c>
      <c r="C1209" s="2683">
        <v>82.55</v>
      </c>
      <c r="D1209" s="2683">
        <v>139.99199999999999</v>
      </c>
      <c r="E1209" s="2683">
        <v>36.512</v>
      </c>
      <c r="F1209" s="2683" t="s">
        <v>5922</v>
      </c>
      <c r="G1209" s="2683" t="s">
        <v>5922</v>
      </c>
      <c r="H1209" s="2683" t="s">
        <v>5922</v>
      </c>
      <c r="I1209" s="2683" t="s">
        <v>5922</v>
      </c>
      <c r="J1209" s="2683">
        <v>0</v>
      </c>
      <c r="K1209" s="2684"/>
      <c r="L1209" s="2683" t="s">
        <v>5922</v>
      </c>
    </row>
    <row r="1210" spans="1:12">
      <c r="A1210" s="2682" t="s">
        <v>146</v>
      </c>
      <c r="B1210" s="2682" t="s">
        <v>7140</v>
      </c>
      <c r="C1210" s="2682">
        <v>77.787999999999997</v>
      </c>
      <c r="D1210" s="2682">
        <v>135.733</v>
      </c>
      <c r="E1210" s="2682">
        <v>44.45</v>
      </c>
      <c r="F1210" s="2682" t="s">
        <v>5922</v>
      </c>
      <c r="G1210" s="2682" t="s">
        <v>5922</v>
      </c>
      <c r="H1210" s="2682" t="s">
        <v>5922</v>
      </c>
      <c r="I1210" s="2682" t="s">
        <v>5922</v>
      </c>
      <c r="J1210" s="2682">
        <v>0</v>
      </c>
      <c r="L1210" s="2682" t="s">
        <v>5922</v>
      </c>
    </row>
    <row r="1211" spans="1:12">
      <c r="A1211" s="2683" t="s">
        <v>146</v>
      </c>
      <c r="B1211" s="2683" t="s">
        <v>7141</v>
      </c>
      <c r="C1211" s="2683">
        <v>74.611999999999995</v>
      </c>
      <c r="D1211" s="2683">
        <v>139.99199999999999</v>
      </c>
      <c r="E1211" s="2683">
        <v>36.512</v>
      </c>
      <c r="F1211" s="2683" t="s">
        <v>5922</v>
      </c>
      <c r="G1211" s="2683" t="s">
        <v>5922</v>
      </c>
      <c r="H1211" s="2683" t="s">
        <v>5922</v>
      </c>
      <c r="I1211" s="2683" t="s">
        <v>5922</v>
      </c>
      <c r="J1211" s="2683">
        <v>0</v>
      </c>
      <c r="K1211" s="2684"/>
      <c r="L1211" s="2683" t="s">
        <v>5922</v>
      </c>
    </row>
    <row r="1212" spans="1:12">
      <c r="A1212" s="2682" t="s">
        <v>146</v>
      </c>
      <c r="B1212" s="2682" t="s">
        <v>7142</v>
      </c>
      <c r="C1212" s="2682">
        <v>76.2</v>
      </c>
      <c r="D1212" s="2682">
        <v>135.733</v>
      </c>
      <c r="E1212" s="2682">
        <v>44.45</v>
      </c>
      <c r="F1212" s="2682" t="s">
        <v>5922</v>
      </c>
      <c r="G1212" s="2682" t="s">
        <v>5922</v>
      </c>
      <c r="H1212" s="2682" t="s">
        <v>5922</v>
      </c>
      <c r="I1212" s="2682" t="s">
        <v>5922</v>
      </c>
      <c r="J1212" s="2682">
        <v>0</v>
      </c>
      <c r="L1212" s="2682" t="s">
        <v>5922</v>
      </c>
    </row>
    <row r="1213" spans="1:12">
      <c r="A1213" s="2683" t="s">
        <v>146</v>
      </c>
      <c r="B1213" s="2683" t="s">
        <v>7143</v>
      </c>
      <c r="C1213" s="2683">
        <v>73.025000000000006</v>
      </c>
      <c r="D1213" s="2683">
        <v>139.69999999999999</v>
      </c>
      <c r="E1213" s="2683">
        <v>36.512</v>
      </c>
      <c r="F1213" s="2683" t="s">
        <v>5922</v>
      </c>
      <c r="G1213" s="2683" t="s">
        <v>5922</v>
      </c>
      <c r="H1213" s="2683" t="s">
        <v>5922</v>
      </c>
      <c r="I1213" s="2683" t="s">
        <v>5922</v>
      </c>
      <c r="J1213" s="2683">
        <v>0</v>
      </c>
      <c r="K1213" s="2684"/>
      <c r="L1213" s="2683" t="s">
        <v>5922</v>
      </c>
    </row>
    <row r="1214" spans="1:12">
      <c r="A1214" s="2682" t="s">
        <v>146</v>
      </c>
      <c r="B1214" s="2682" t="s">
        <v>7144</v>
      </c>
      <c r="C1214" s="2682">
        <v>76.2</v>
      </c>
      <c r="D1214" s="2682">
        <v>139.99199999999999</v>
      </c>
      <c r="E1214" s="2682">
        <v>36.512</v>
      </c>
      <c r="F1214" s="2682" t="s">
        <v>5922</v>
      </c>
      <c r="G1214" s="2682" t="s">
        <v>5922</v>
      </c>
      <c r="H1214" s="2682" t="s">
        <v>5922</v>
      </c>
      <c r="I1214" s="2682" t="s">
        <v>5922</v>
      </c>
      <c r="J1214" s="2682">
        <v>0</v>
      </c>
      <c r="L1214" s="2682" t="s">
        <v>5922</v>
      </c>
    </row>
    <row r="1215" spans="1:12">
      <c r="A1215" s="2683" t="s">
        <v>146</v>
      </c>
      <c r="B1215" s="2683" t="s">
        <v>7145</v>
      </c>
      <c r="C1215" s="2683">
        <v>76.2</v>
      </c>
      <c r="D1215" s="2683">
        <v>139.69999999999999</v>
      </c>
      <c r="E1215" s="2683">
        <v>36.512</v>
      </c>
      <c r="F1215" s="2683" t="s">
        <v>5922</v>
      </c>
      <c r="G1215" s="2683" t="s">
        <v>5922</v>
      </c>
      <c r="H1215" s="2683" t="s">
        <v>5922</v>
      </c>
      <c r="I1215" s="2683" t="s">
        <v>5922</v>
      </c>
      <c r="J1215" s="2683">
        <v>0</v>
      </c>
      <c r="K1215" s="2684"/>
      <c r="L1215" s="2683" t="s">
        <v>5922</v>
      </c>
    </row>
    <row r="1216" spans="1:12">
      <c r="A1216" s="2682" t="s">
        <v>146</v>
      </c>
      <c r="B1216" s="2682" t="s">
        <v>7146</v>
      </c>
      <c r="C1216" s="2682">
        <v>76.2</v>
      </c>
      <c r="D1216" s="2682">
        <v>139.99199999999999</v>
      </c>
      <c r="E1216" s="2682">
        <v>36.512</v>
      </c>
      <c r="F1216" s="2682" t="s">
        <v>5922</v>
      </c>
      <c r="G1216" s="2682" t="s">
        <v>5922</v>
      </c>
      <c r="H1216" s="2682" t="s">
        <v>5922</v>
      </c>
      <c r="I1216" s="2682" t="s">
        <v>5922</v>
      </c>
      <c r="J1216" s="2682">
        <v>0</v>
      </c>
      <c r="L1216" s="2682" t="s">
        <v>5922</v>
      </c>
    </row>
    <row r="1217" spans="1:12">
      <c r="A1217" s="2683" t="s">
        <v>146</v>
      </c>
      <c r="B1217" s="2683" t="s">
        <v>7147</v>
      </c>
      <c r="C1217" s="2683">
        <v>41</v>
      </c>
      <c r="D1217" s="2683">
        <v>68</v>
      </c>
      <c r="E1217" s="2683">
        <v>17.5</v>
      </c>
      <c r="F1217" s="2683" t="s">
        <v>5922</v>
      </c>
      <c r="G1217" s="2683" t="s">
        <v>5922</v>
      </c>
      <c r="H1217" s="2683" t="s">
        <v>5922</v>
      </c>
      <c r="I1217" s="2683" t="s">
        <v>5922</v>
      </c>
      <c r="J1217" s="2683">
        <v>0.24</v>
      </c>
      <c r="K1217" s="2684"/>
      <c r="L1217" s="2683" t="s">
        <v>5922</v>
      </c>
    </row>
    <row r="1218" spans="1:12">
      <c r="A1218" s="2682" t="s">
        <v>146</v>
      </c>
      <c r="B1218" s="2682" t="s">
        <v>7148</v>
      </c>
      <c r="C1218" s="2682">
        <v>68.262</v>
      </c>
      <c r="D1218" s="2682">
        <v>127</v>
      </c>
      <c r="E1218" s="2682">
        <v>36.512</v>
      </c>
      <c r="F1218" s="2682" t="s">
        <v>5922</v>
      </c>
      <c r="G1218" s="2682" t="s">
        <v>5922</v>
      </c>
      <c r="H1218" s="2682" t="s">
        <v>5922</v>
      </c>
      <c r="I1218" s="2682" t="s">
        <v>5922</v>
      </c>
      <c r="J1218" s="2682">
        <v>0</v>
      </c>
      <c r="L1218" s="2682" t="s">
        <v>5922</v>
      </c>
    </row>
    <row r="1219" spans="1:12">
      <c r="A1219" s="2683" t="s">
        <v>146</v>
      </c>
      <c r="B1219" s="2683" t="s">
        <v>7149</v>
      </c>
      <c r="C1219" s="2683">
        <v>64.962999999999994</v>
      </c>
      <c r="D1219" s="2683">
        <v>127</v>
      </c>
      <c r="E1219" s="2683">
        <v>36.512</v>
      </c>
      <c r="F1219" s="2683" t="s">
        <v>5922</v>
      </c>
      <c r="G1219" s="2683" t="s">
        <v>5922</v>
      </c>
      <c r="H1219" s="2683" t="s">
        <v>5922</v>
      </c>
      <c r="I1219" s="2683" t="s">
        <v>5922</v>
      </c>
      <c r="J1219" s="2683">
        <v>0</v>
      </c>
      <c r="K1219" s="2684"/>
      <c r="L1219" s="2683" t="s">
        <v>5922</v>
      </c>
    </row>
    <row r="1220" spans="1:12">
      <c r="A1220" s="2682" t="s">
        <v>146</v>
      </c>
      <c r="B1220" s="2682" t="s">
        <v>7150</v>
      </c>
      <c r="C1220" s="2682">
        <v>73.025000000000006</v>
      </c>
      <c r="D1220" s="2682">
        <v>127</v>
      </c>
      <c r="E1220" s="2682">
        <v>36.512</v>
      </c>
      <c r="F1220" s="2682" t="s">
        <v>5922</v>
      </c>
      <c r="G1220" s="2682" t="s">
        <v>5922</v>
      </c>
      <c r="H1220" s="2682" t="s">
        <v>5922</v>
      </c>
      <c r="I1220" s="2682" t="s">
        <v>5922</v>
      </c>
      <c r="J1220" s="2682">
        <v>0</v>
      </c>
      <c r="L1220" s="2682" t="s">
        <v>5922</v>
      </c>
    </row>
    <row r="1221" spans="1:12">
      <c r="A1221" s="2683" t="s">
        <v>146</v>
      </c>
      <c r="B1221" s="2683" t="s">
        <v>7151</v>
      </c>
      <c r="C1221" s="2683">
        <v>73.025000000000006</v>
      </c>
      <c r="D1221" s="2683">
        <v>127</v>
      </c>
      <c r="E1221" s="2683">
        <v>36.512999999999998</v>
      </c>
      <c r="F1221" s="2683" t="s">
        <v>5922</v>
      </c>
      <c r="G1221" s="2683" t="s">
        <v>5922</v>
      </c>
      <c r="H1221" s="2683" t="s">
        <v>5922</v>
      </c>
      <c r="I1221" s="2683" t="s">
        <v>5922</v>
      </c>
      <c r="J1221" s="2683">
        <v>1.81</v>
      </c>
      <c r="K1221" s="2684"/>
      <c r="L1221" s="2683" t="s">
        <v>5922</v>
      </c>
    </row>
    <row r="1222" spans="1:12">
      <c r="A1222" s="2682" t="s">
        <v>146</v>
      </c>
      <c r="B1222" s="2682" t="s">
        <v>7152</v>
      </c>
      <c r="C1222" s="2682">
        <v>63.5</v>
      </c>
      <c r="D1222" s="2682">
        <v>127</v>
      </c>
      <c r="E1222" s="2682">
        <v>36.512</v>
      </c>
      <c r="F1222" s="2682" t="s">
        <v>5922</v>
      </c>
      <c r="G1222" s="2682" t="s">
        <v>5922</v>
      </c>
      <c r="H1222" s="2682" t="s">
        <v>5922</v>
      </c>
      <c r="I1222" s="2682" t="s">
        <v>5922</v>
      </c>
      <c r="J1222" s="2682">
        <v>0</v>
      </c>
      <c r="L1222" s="2682" t="s">
        <v>5922</v>
      </c>
    </row>
    <row r="1223" spans="1:12">
      <c r="A1223" s="2683" t="s">
        <v>146</v>
      </c>
      <c r="B1223" s="2683" t="s">
        <v>7153</v>
      </c>
      <c r="C1223" s="2683">
        <v>107.95</v>
      </c>
      <c r="D1223" s="2683">
        <v>165.1</v>
      </c>
      <c r="E1223" s="2683">
        <v>36.512</v>
      </c>
      <c r="F1223" s="2683" t="s">
        <v>5922</v>
      </c>
      <c r="G1223" s="2683" t="s">
        <v>5922</v>
      </c>
      <c r="H1223" s="2683" t="s">
        <v>5922</v>
      </c>
      <c r="I1223" s="2683" t="s">
        <v>5922</v>
      </c>
      <c r="J1223" s="2683">
        <v>0</v>
      </c>
      <c r="K1223" s="2684"/>
      <c r="L1223" s="2683" t="s">
        <v>5922</v>
      </c>
    </row>
    <row r="1224" spans="1:12">
      <c r="A1224" s="2682" t="s">
        <v>146</v>
      </c>
      <c r="B1224" s="2682" t="s">
        <v>7154</v>
      </c>
      <c r="C1224" s="2682">
        <v>107.95</v>
      </c>
      <c r="D1224" s="2682">
        <v>168.27500000000001</v>
      </c>
      <c r="E1224" s="2682">
        <v>36.512</v>
      </c>
      <c r="F1224" s="2682" t="s">
        <v>5922</v>
      </c>
      <c r="G1224" s="2682" t="s">
        <v>5922</v>
      </c>
      <c r="H1224" s="2682" t="s">
        <v>5922</v>
      </c>
      <c r="I1224" s="2682" t="s">
        <v>5922</v>
      </c>
      <c r="J1224" s="2682">
        <v>0</v>
      </c>
      <c r="L1224" s="2682" t="s">
        <v>7155</v>
      </c>
    </row>
    <row r="1225" spans="1:12">
      <c r="A1225" s="2683" t="s">
        <v>146</v>
      </c>
      <c r="B1225" s="2683" t="s">
        <v>7156</v>
      </c>
      <c r="C1225" s="2683">
        <v>107.95</v>
      </c>
      <c r="D1225" s="2683">
        <v>165.1</v>
      </c>
      <c r="E1225" s="2683">
        <v>36.512</v>
      </c>
      <c r="F1225" s="2683" t="s">
        <v>5922</v>
      </c>
      <c r="G1225" s="2683" t="s">
        <v>5922</v>
      </c>
      <c r="H1225" s="2683" t="s">
        <v>5922</v>
      </c>
      <c r="I1225" s="2683" t="s">
        <v>5922</v>
      </c>
      <c r="J1225" s="2683">
        <v>0</v>
      </c>
      <c r="K1225" s="2684"/>
      <c r="L1225" s="2683" t="s">
        <v>5922</v>
      </c>
    </row>
    <row r="1226" spans="1:12">
      <c r="A1226" s="2682" t="s">
        <v>146</v>
      </c>
      <c r="B1226" s="2682" t="s">
        <v>7157</v>
      </c>
      <c r="C1226" s="2682">
        <v>106.36199999999999</v>
      </c>
      <c r="D1226" s="2682">
        <v>165.1</v>
      </c>
      <c r="E1226" s="2682">
        <v>36.512</v>
      </c>
      <c r="F1226" s="2682" t="s">
        <v>5922</v>
      </c>
      <c r="G1226" s="2682" t="s">
        <v>5922</v>
      </c>
      <c r="H1226" s="2682" t="s">
        <v>5922</v>
      </c>
      <c r="I1226" s="2682" t="s">
        <v>5922</v>
      </c>
      <c r="J1226" s="2682">
        <v>0</v>
      </c>
      <c r="L1226" s="2682" t="s">
        <v>5922</v>
      </c>
    </row>
    <row r="1227" spans="1:12">
      <c r="A1227" s="2683" t="s">
        <v>146</v>
      </c>
      <c r="B1227" s="2683" t="s">
        <v>7158</v>
      </c>
      <c r="C1227" s="2683">
        <v>68.262</v>
      </c>
      <c r="D1227" s="2683">
        <v>122.238</v>
      </c>
      <c r="E1227" s="2683">
        <v>38.1</v>
      </c>
      <c r="F1227" s="2683" t="s">
        <v>5922</v>
      </c>
      <c r="G1227" s="2683" t="s">
        <v>5922</v>
      </c>
      <c r="H1227" s="2683" t="s">
        <v>5922</v>
      </c>
      <c r="I1227" s="2683" t="s">
        <v>5922</v>
      </c>
      <c r="J1227" s="2683">
        <v>0</v>
      </c>
      <c r="K1227" s="2684"/>
      <c r="L1227" s="2683" t="s">
        <v>5922</v>
      </c>
    </row>
    <row r="1228" spans="1:12">
      <c r="A1228" s="2682" t="s">
        <v>146</v>
      </c>
      <c r="B1228" s="2682" t="s">
        <v>7159</v>
      </c>
      <c r="C1228" s="2682">
        <v>68.263000000000005</v>
      </c>
      <c r="D1228" s="2682">
        <v>123.825</v>
      </c>
      <c r="E1228" s="2682">
        <v>38.1</v>
      </c>
      <c r="F1228" s="2682" t="s">
        <v>5922</v>
      </c>
      <c r="G1228" s="2682" t="s">
        <v>5922</v>
      </c>
      <c r="H1228" s="2682" t="s">
        <v>5922</v>
      </c>
      <c r="I1228" s="2682" t="s">
        <v>5922</v>
      </c>
      <c r="J1228" s="2682">
        <v>1.8220000000000001</v>
      </c>
      <c r="L1228" s="2682" t="s">
        <v>5922</v>
      </c>
    </row>
    <row r="1229" spans="1:12">
      <c r="A1229" s="2683" t="s">
        <v>146</v>
      </c>
      <c r="B1229" s="2683" t="s">
        <v>7160</v>
      </c>
      <c r="C1229" s="2683">
        <v>50.8</v>
      </c>
      <c r="D1229" s="2683">
        <v>101.6</v>
      </c>
      <c r="E1229" s="2683">
        <v>31.75</v>
      </c>
      <c r="F1229" s="2683" t="s">
        <v>5922</v>
      </c>
      <c r="G1229" s="2683" t="s">
        <v>5922</v>
      </c>
      <c r="H1229" s="2683" t="s">
        <v>5922</v>
      </c>
      <c r="I1229" s="2683" t="s">
        <v>5922</v>
      </c>
      <c r="J1229" s="2683">
        <v>0</v>
      </c>
      <c r="K1229" s="2684"/>
      <c r="L1229" s="2683" t="s">
        <v>5922</v>
      </c>
    </row>
    <row r="1230" spans="1:12">
      <c r="A1230" s="2682" t="s">
        <v>146</v>
      </c>
      <c r="B1230" s="2682" t="s">
        <v>7161</v>
      </c>
      <c r="C1230" s="2682">
        <v>82.55</v>
      </c>
      <c r="D1230" s="2682">
        <v>133.35</v>
      </c>
      <c r="E1230" s="2682">
        <v>30.161999999999999</v>
      </c>
      <c r="F1230" s="2682" t="s">
        <v>5922</v>
      </c>
      <c r="G1230" s="2682" t="s">
        <v>5922</v>
      </c>
      <c r="H1230" s="2682" t="s">
        <v>5922</v>
      </c>
      <c r="I1230" s="2682" t="s">
        <v>5922</v>
      </c>
      <c r="J1230" s="2682">
        <v>0</v>
      </c>
      <c r="L1230" s="2682" t="s">
        <v>5922</v>
      </c>
    </row>
    <row r="1231" spans="1:12">
      <c r="A1231" s="2683" t="s">
        <v>146</v>
      </c>
      <c r="B1231" s="2683" t="s">
        <v>7162</v>
      </c>
      <c r="C1231" s="2683">
        <v>142.875</v>
      </c>
      <c r="D1231" s="2683">
        <v>200.02500000000001</v>
      </c>
      <c r="E1231" s="2683">
        <v>41.274999999999999</v>
      </c>
      <c r="F1231" s="2683" t="s">
        <v>5922</v>
      </c>
      <c r="G1231" s="2683" t="s">
        <v>5922</v>
      </c>
      <c r="H1231" s="2683" t="s">
        <v>5922</v>
      </c>
      <c r="I1231" s="2683" t="s">
        <v>5922</v>
      </c>
      <c r="J1231" s="2683">
        <v>0</v>
      </c>
      <c r="K1231" s="2684"/>
      <c r="L1231" s="2683" t="s">
        <v>5922</v>
      </c>
    </row>
    <row r="1232" spans="1:12">
      <c r="A1232" s="2682" t="s">
        <v>146</v>
      </c>
      <c r="B1232" s="2682" t="s">
        <v>7163</v>
      </c>
      <c r="C1232" s="2682">
        <v>128.58799999999999</v>
      </c>
      <c r="D1232" s="2682">
        <v>190.5</v>
      </c>
      <c r="E1232" s="2682">
        <v>34.924999999999997</v>
      </c>
      <c r="F1232" s="2682" t="s">
        <v>5922</v>
      </c>
      <c r="G1232" s="2682" t="s">
        <v>5922</v>
      </c>
      <c r="H1232" s="2682" t="s">
        <v>5922</v>
      </c>
      <c r="I1232" s="2682" t="s">
        <v>5922</v>
      </c>
      <c r="J1232" s="2682">
        <v>0</v>
      </c>
      <c r="L1232" s="2682" t="s">
        <v>6292</v>
      </c>
    </row>
    <row r="1233" spans="1:12">
      <c r="A1233" s="2683" t="s">
        <v>146</v>
      </c>
      <c r="B1233" s="2683" t="s">
        <v>7164</v>
      </c>
      <c r="C1233" s="2683">
        <v>70</v>
      </c>
      <c r="D1233" s="2683">
        <v>120</v>
      </c>
      <c r="E1233" s="2683">
        <v>29.193999999999999</v>
      </c>
      <c r="F1233" s="2683" t="s">
        <v>5922</v>
      </c>
      <c r="G1233" s="2683" t="s">
        <v>5922</v>
      </c>
      <c r="H1233" s="2683" t="s">
        <v>5922</v>
      </c>
      <c r="I1233" s="2683" t="s">
        <v>5922</v>
      </c>
      <c r="J1233" s="2683">
        <v>1.304</v>
      </c>
      <c r="K1233" s="2684"/>
      <c r="L1233" s="2683" t="s">
        <v>5922</v>
      </c>
    </row>
    <row r="1234" spans="1:12">
      <c r="A1234" s="2682" t="s">
        <v>146</v>
      </c>
      <c r="B1234" s="2682" t="s">
        <v>7165</v>
      </c>
      <c r="C1234" s="2682">
        <v>136.52500000000001</v>
      </c>
      <c r="D1234" s="2682">
        <v>190.5</v>
      </c>
      <c r="E1234" s="2682">
        <v>39.688000000000002</v>
      </c>
      <c r="F1234" s="2682" t="s">
        <v>5922</v>
      </c>
      <c r="G1234" s="2682" t="s">
        <v>5922</v>
      </c>
      <c r="H1234" s="2682" t="s">
        <v>5922</v>
      </c>
      <c r="I1234" s="2682" t="s">
        <v>5922</v>
      </c>
      <c r="J1234" s="2682">
        <v>3.3140000000000001</v>
      </c>
      <c r="L1234" s="2682" t="s">
        <v>5922</v>
      </c>
    </row>
    <row r="1235" spans="1:12">
      <c r="A1235" s="2683" t="s">
        <v>146</v>
      </c>
      <c r="B1235" s="2683" t="s">
        <v>7166</v>
      </c>
      <c r="C1235" s="2683">
        <v>133.35</v>
      </c>
      <c r="D1235" s="2683">
        <v>190.5</v>
      </c>
      <c r="E1235" s="2683">
        <v>39.688000000000002</v>
      </c>
      <c r="F1235" s="2683" t="s">
        <v>5922</v>
      </c>
      <c r="G1235" s="2683" t="s">
        <v>5922</v>
      </c>
      <c r="H1235" s="2683" t="s">
        <v>5922</v>
      </c>
      <c r="I1235" s="2683" t="s">
        <v>5922</v>
      </c>
      <c r="J1235" s="2683">
        <v>0</v>
      </c>
      <c r="K1235" s="2684"/>
      <c r="L1235" s="2683" t="s">
        <v>6292</v>
      </c>
    </row>
    <row r="1236" spans="1:12">
      <c r="A1236" s="2682" t="s">
        <v>146</v>
      </c>
      <c r="B1236" s="2682" t="s">
        <v>7167</v>
      </c>
      <c r="C1236" s="2682">
        <v>63.5</v>
      </c>
      <c r="D1236" s="2682">
        <v>120</v>
      </c>
      <c r="E1236" s="2682">
        <v>29.001999999999999</v>
      </c>
      <c r="F1236" s="2682" t="s">
        <v>5922</v>
      </c>
      <c r="G1236" s="2682" t="s">
        <v>5922</v>
      </c>
      <c r="H1236" s="2682" t="s">
        <v>5922</v>
      </c>
      <c r="I1236" s="2682" t="s">
        <v>5922</v>
      </c>
      <c r="J1236" s="2682">
        <v>0</v>
      </c>
      <c r="L1236" s="2682" t="s">
        <v>5922</v>
      </c>
    </row>
    <row r="1237" spans="1:12">
      <c r="A1237" s="2683" t="s">
        <v>146</v>
      </c>
      <c r="B1237" s="2683" t="s">
        <v>7168</v>
      </c>
      <c r="C1237" s="2683">
        <v>63.5</v>
      </c>
      <c r="D1237" s="2683">
        <v>120</v>
      </c>
      <c r="E1237" s="2683">
        <v>29.795000000000002</v>
      </c>
      <c r="F1237" s="2683" t="s">
        <v>5922</v>
      </c>
      <c r="G1237" s="2683" t="s">
        <v>5922</v>
      </c>
      <c r="H1237" s="2683" t="s">
        <v>5922</v>
      </c>
      <c r="I1237" s="2683" t="s">
        <v>5922</v>
      </c>
      <c r="J1237" s="2683">
        <v>0</v>
      </c>
      <c r="K1237" s="2684"/>
      <c r="L1237" s="2683" t="s">
        <v>5922</v>
      </c>
    </row>
    <row r="1238" spans="1:12">
      <c r="A1238" s="2682" t="s">
        <v>146</v>
      </c>
      <c r="B1238" s="2682" t="s">
        <v>7169</v>
      </c>
      <c r="C1238" s="2682">
        <v>123.825</v>
      </c>
      <c r="D1238" s="2682">
        <v>182.56200000000001</v>
      </c>
      <c r="E1238" s="2682">
        <v>39.688000000000002</v>
      </c>
      <c r="F1238" s="2682" t="s">
        <v>5922</v>
      </c>
      <c r="G1238" s="2682" t="s">
        <v>5922</v>
      </c>
      <c r="H1238" s="2682" t="s">
        <v>5922</v>
      </c>
      <c r="I1238" s="2682" t="s">
        <v>5922</v>
      </c>
      <c r="J1238" s="2682">
        <v>0</v>
      </c>
      <c r="L1238" s="2682" t="s">
        <v>5922</v>
      </c>
    </row>
    <row r="1239" spans="1:12">
      <c r="A1239" s="2683" t="s">
        <v>146</v>
      </c>
      <c r="B1239" s="2683" t="s">
        <v>7170</v>
      </c>
      <c r="C1239" s="2683">
        <v>123.825</v>
      </c>
      <c r="D1239" s="2683">
        <v>182.56200000000001</v>
      </c>
      <c r="E1239" s="2683">
        <v>39.688000000000002</v>
      </c>
      <c r="F1239" s="2683" t="s">
        <v>5922</v>
      </c>
      <c r="G1239" s="2683" t="s">
        <v>5922</v>
      </c>
      <c r="H1239" s="2683" t="s">
        <v>5922</v>
      </c>
      <c r="I1239" s="2683" t="s">
        <v>5922</v>
      </c>
      <c r="J1239" s="2683">
        <v>3.2389999999999999</v>
      </c>
      <c r="K1239" s="2684"/>
      <c r="L1239" s="2683" t="s">
        <v>5922</v>
      </c>
    </row>
    <row r="1240" spans="1:12">
      <c r="A1240" s="2682" t="s">
        <v>146</v>
      </c>
      <c r="B1240" s="2682" t="s">
        <v>7171</v>
      </c>
      <c r="C1240" s="2682">
        <v>69.849999999999994</v>
      </c>
      <c r="D1240" s="2682">
        <v>120</v>
      </c>
      <c r="E1240" s="2682">
        <v>29.001999999999999</v>
      </c>
      <c r="F1240" s="2682" t="s">
        <v>5922</v>
      </c>
      <c r="G1240" s="2682" t="s">
        <v>5922</v>
      </c>
      <c r="H1240" s="2682" t="s">
        <v>5922</v>
      </c>
      <c r="I1240" s="2682" t="s">
        <v>5922</v>
      </c>
      <c r="J1240" s="2682">
        <v>0</v>
      </c>
      <c r="L1240" s="2682" t="s">
        <v>5922</v>
      </c>
    </row>
    <row r="1241" spans="1:12">
      <c r="A1241" s="2683" t="s">
        <v>146</v>
      </c>
      <c r="B1241" s="2683" t="s">
        <v>7172</v>
      </c>
      <c r="C1241" s="2683">
        <v>69.849999999999994</v>
      </c>
      <c r="D1241" s="2683">
        <v>120</v>
      </c>
      <c r="E1241" s="2683">
        <v>29.795000000000002</v>
      </c>
      <c r="F1241" s="2683" t="s">
        <v>5922</v>
      </c>
      <c r="G1241" s="2683" t="s">
        <v>5922</v>
      </c>
      <c r="H1241" s="2683" t="s">
        <v>5922</v>
      </c>
      <c r="I1241" s="2683" t="s">
        <v>5922</v>
      </c>
      <c r="J1241" s="2683">
        <v>1.32</v>
      </c>
      <c r="K1241" s="2684"/>
      <c r="L1241" s="2683" t="s">
        <v>5922</v>
      </c>
    </row>
    <row r="1242" spans="1:12">
      <c r="A1242" s="2682" t="s">
        <v>146</v>
      </c>
      <c r="B1242" s="2682" t="s">
        <v>7173</v>
      </c>
      <c r="C1242" s="2682">
        <v>107.65</v>
      </c>
      <c r="D1242" s="2682">
        <v>161.92500000000001</v>
      </c>
      <c r="E1242" s="2682">
        <v>34.924999999999997</v>
      </c>
      <c r="F1242" s="2682" t="s">
        <v>5922</v>
      </c>
      <c r="G1242" s="2682" t="s">
        <v>5922</v>
      </c>
      <c r="H1242" s="2682" t="s">
        <v>5922</v>
      </c>
      <c r="I1242" s="2682" t="s">
        <v>5922</v>
      </c>
      <c r="J1242" s="2682">
        <v>0</v>
      </c>
      <c r="L1242" s="2682" t="s">
        <v>5922</v>
      </c>
    </row>
    <row r="1243" spans="1:12">
      <c r="A1243" s="2683" t="s">
        <v>146</v>
      </c>
      <c r="B1243" s="2683" t="s">
        <v>7174</v>
      </c>
      <c r="C1243" s="2683">
        <v>68.262</v>
      </c>
      <c r="D1243" s="2683">
        <v>120</v>
      </c>
      <c r="E1243" s="2683">
        <v>29.001999999999999</v>
      </c>
      <c r="F1243" s="2683" t="s">
        <v>5922</v>
      </c>
      <c r="G1243" s="2683" t="s">
        <v>5922</v>
      </c>
      <c r="H1243" s="2683" t="s">
        <v>5922</v>
      </c>
      <c r="I1243" s="2683" t="s">
        <v>5922</v>
      </c>
      <c r="J1243" s="2683">
        <v>0</v>
      </c>
      <c r="K1243" s="2684"/>
      <c r="L1243" s="2683" t="s">
        <v>5922</v>
      </c>
    </row>
    <row r="1244" spans="1:12">
      <c r="A1244" s="2682" t="s">
        <v>146</v>
      </c>
      <c r="B1244" s="2682" t="s">
        <v>7175</v>
      </c>
      <c r="C1244" s="2682">
        <v>68.262</v>
      </c>
      <c r="D1244" s="2682">
        <v>120</v>
      </c>
      <c r="E1244" s="2682">
        <v>29.974</v>
      </c>
      <c r="F1244" s="2682" t="s">
        <v>5922</v>
      </c>
      <c r="G1244" s="2682" t="s">
        <v>5922</v>
      </c>
      <c r="H1244" s="2682" t="s">
        <v>5922</v>
      </c>
      <c r="I1244" s="2682" t="s">
        <v>5922</v>
      </c>
      <c r="J1244" s="2682">
        <v>0</v>
      </c>
      <c r="L1244" s="2682" t="s">
        <v>5922</v>
      </c>
    </row>
    <row r="1245" spans="1:12">
      <c r="A1245" s="2683" t="s">
        <v>146</v>
      </c>
      <c r="B1245" s="2683" t="s">
        <v>7176</v>
      </c>
      <c r="C1245" s="2683">
        <v>95.25</v>
      </c>
      <c r="D1245" s="2683">
        <v>146.05000000000001</v>
      </c>
      <c r="E1245" s="2683">
        <v>33.338000000000001</v>
      </c>
      <c r="F1245" s="2683" t="s">
        <v>5922</v>
      </c>
      <c r="G1245" s="2683" t="s">
        <v>5922</v>
      </c>
      <c r="H1245" s="2683" t="s">
        <v>5922</v>
      </c>
      <c r="I1245" s="2683" t="s">
        <v>5922</v>
      </c>
      <c r="J1245" s="2683">
        <v>0</v>
      </c>
      <c r="K1245" s="2684"/>
      <c r="L1245" s="2683" t="s">
        <v>5922</v>
      </c>
    </row>
    <row r="1246" spans="1:12">
      <c r="A1246" s="2682" t="s">
        <v>146</v>
      </c>
      <c r="B1246" s="2682" t="s">
        <v>7177</v>
      </c>
      <c r="C1246" s="2682">
        <v>92.075000000000003</v>
      </c>
      <c r="D1246" s="2682">
        <v>146.05000000000001</v>
      </c>
      <c r="E1246" s="2682">
        <v>33.338000000000001</v>
      </c>
      <c r="F1246" s="2682" t="s">
        <v>5922</v>
      </c>
      <c r="G1246" s="2682" t="s">
        <v>5922</v>
      </c>
      <c r="H1246" s="2682" t="s">
        <v>5922</v>
      </c>
      <c r="I1246" s="2682" t="s">
        <v>5922</v>
      </c>
      <c r="J1246" s="2682">
        <v>0</v>
      </c>
      <c r="L1246" s="2682" t="s">
        <v>5922</v>
      </c>
    </row>
    <row r="1247" spans="1:12">
      <c r="A1247" s="2683" t="s">
        <v>146</v>
      </c>
      <c r="B1247" s="2683" t="s">
        <v>7178</v>
      </c>
      <c r="C1247" s="2683">
        <v>63.5</v>
      </c>
      <c r="D1247" s="2683">
        <v>120</v>
      </c>
      <c r="E1247" s="2683">
        <v>0</v>
      </c>
      <c r="F1247" s="2683" t="s">
        <v>5922</v>
      </c>
      <c r="G1247" s="2683" t="s">
        <v>5922</v>
      </c>
      <c r="H1247" s="2683" t="s">
        <v>5922</v>
      </c>
      <c r="I1247" s="2683" t="s">
        <v>5922</v>
      </c>
      <c r="J1247" s="2683">
        <v>0</v>
      </c>
      <c r="K1247" s="2684"/>
      <c r="L1247" s="2683" t="s">
        <v>5922</v>
      </c>
    </row>
    <row r="1248" spans="1:12">
      <c r="A1248" s="2682" t="s">
        <v>146</v>
      </c>
      <c r="B1248" s="2682" t="s">
        <v>7179</v>
      </c>
      <c r="C1248" s="2682">
        <v>82.55</v>
      </c>
      <c r="D1248" s="2682">
        <v>133.35</v>
      </c>
      <c r="E1248" s="2682">
        <v>33.338000000000001</v>
      </c>
      <c r="F1248" s="2682" t="s">
        <v>5922</v>
      </c>
      <c r="G1248" s="2682" t="s">
        <v>5922</v>
      </c>
      <c r="H1248" s="2682" t="s">
        <v>5922</v>
      </c>
      <c r="I1248" s="2682" t="s">
        <v>5922</v>
      </c>
      <c r="J1248" s="2682">
        <v>1.675</v>
      </c>
      <c r="L1248" s="2682" t="s">
        <v>5922</v>
      </c>
    </row>
    <row r="1249" spans="1:12">
      <c r="A1249" s="2683" t="s">
        <v>146</v>
      </c>
      <c r="B1249" s="2683" t="s">
        <v>7180</v>
      </c>
      <c r="C1249" s="2683">
        <v>82.55</v>
      </c>
      <c r="D1249" s="2683">
        <v>133.35</v>
      </c>
      <c r="E1249" s="2683">
        <v>33.338000000000001</v>
      </c>
      <c r="F1249" s="2683" t="s">
        <v>5922</v>
      </c>
      <c r="G1249" s="2683" t="s">
        <v>5922</v>
      </c>
      <c r="H1249" s="2683" t="s">
        <v>5922</v>
      </c>
      <c r="I1249" s="2683" t="s">
        <v>5922</v>
      </c>
      <c r="J1249" s="2683">
        <v>1.71</v>
      </c>
      <c r="K1249" s="2684"/>
      <c r="L1249" s="2683" t="s">
        <v>5922</v>
      </c>
    </row>
    <row r="1250" spans="1:12">
      <c r="A1250" s="2682" t="s">
        <v>146</v>
      </c>
      <c r="B1250" s="2682" t="s">
        <v>7181</v>
      </c>
      <c r="C1250" s="2682">
        <v>82.55</v>
      </c>
      <c r="D1250" s="2682">
        <v>133.35</v>
      </c>
      <c r="E1250" s="2682">
        <v>33.338000000000001</v>
      </c>
      <c r="F1250" s="2682" t="s">
        <v>5922</v>
      </c>
      <c r="G1250" s="2682" t="s">
        <v>5922</v>
      </c>
      <c r="H1250" s="2682" t="s">
        <v>5922</v>
      </c>
      <c r="I1250" s="2682" t="s">
        <v>5922</v>
      </c>
      <c r="J1250" s="2682">
        <v>1.696</v>
      </c>
      <c r="L1250" s="2682" t="s">
        <v>5922</v>
      </c>
    </row>
    <row r="1251" spans="1:12">
      <c r="A1251" s="2683" t="s">
        <v>146</v>
      </c>
      <c r="B1251" s="2683" t="s">
        <v>7182</v>
      </c>
      <c r="C1251" s="2683">
        <v>71.438000000000002</v>
      </c>
      <c r="D1251" s="2683">
        <v>133.35</v>
      </c>
      <c r="E1251" s="2683">
        <v>33.338000000000001</v>
      </c>
      <c r="F1251" s="2683" t="s">
        <v>5922</v>
      </c>
      <c r="G1251" s="2683" t="s">
        <v>5922</v>
      </c>
      <c r="H1251" s="2683" t="s">
        <v>5922</v>
      </c>
      <c r="I1251" s="2683" t="s">
        <v>5922</v>
      </c>
      <c r="J1251" s="2683">
        <v>0</v>
      </c>
      <c r="K1251" s="2684"/>
      <c r="L1251" s="2683" t="s">
        <v>5922</v>
      </c>
    </row>
    <row r="1252" spans="1:12">
      <c r="A1252" s="2682" t="s">
        <v>146</v>
      </c>
      <c r="B1252" s="2682" t="s">
        <v>7183</v>
      </c>
      <c r="C1252" s="2682">
        <v>60</v>
      </c>
      <c r="D1252" s="2682">
        <v>120</v>
      </c>
      <c r="E1252" s="2682">
        <v>0</v>
      </c>
      <c r="F1252" s="2682" t="s">
        <v>5922</v>
      </c>
      <c r="G1252" s="2682" t="s">
        <v>5922</v>
      </c>
      <c r="H1252" s="2682" t="s">
        <v>5922</v>
      </c>
      <c r="I1252" s="2682" t="s">
        <v>5922</v>
      </c>
      <c r="J1252" s="2682">
        <v>0</v>
      </c>
      <c r="L1252" s="2682" t="s">
        <v>5922</v>
      </c>
    </row>
    <row r="1253" spans="1:12">
      <c r="A1253" s="2683" t="s">
        <v>146</v>
      </c>
      <c r="B1253" s="2683" t="s">
        <v>7184</v>
      </c>
      <c r="C1253" s="2683">
        <v>55</v>
      </c>
      <c r="D1253" s="2683">
        <v>120</v>
      </c>
      <c r="E1253" s="2683">
        <v>0</v>
      </c>
      <c r="F1253" s="2683" t="s">
        <v>5922</v>
      </c>
      <c r="G1253" s="2683" t="s">
        <v>5922</v>
      </c>
      <c r="H1253" s="2683" t="s">
        <v>5922</v>
      </c>
      <c r="I1253" s="2683" t="s">
        <v>5922</v>
      </c>
      <c r="J1253" s="2683">
        <v>0</v>
      </c>
      <c r="K1253" s="2684"/>
      <c r="L1253" s="2683" t="s">
        <v>5922</v>
      </c>
    </row>
    <row r="1254" spans="1:12">
      <c r="A1254" s="2682" t="s">
        <v>146</v>
      </c>
      <c r="B1254" s="2682" t="s">
        <v>7185</v>
      </c>
      <c r="C1254" s="2682">
        <v>71.438000000000002</v>
      </c>
      <c r="D1254" s="2682">
        <v>120</v>
      </c>
      <c r="E1254" s="2682">
        <v>32.545000000000002</v>
      </c>
      <c r="F1254" s="2682" t="s">
        <v>5922</v>
      </c>
      <c r="G1254" s="2682" t="s">
        <v>5922</v>
      </c>
      <c r="H1254" s="2682" t="s">
        <v>5922</v>
      </c>
      <c r="I1254" s="2682" t="s">
        <v>5922</v>
      </c>
      <c r="J1254" s="2682">
        <v>0</v>
      </c>
      <c r="L1254" s="2682" t="s">
        <v>5922</v>
      </c>
    </row>
    <row r="1255" spans="1:12">
      <c r="A1255" s="2683" t="s">
        <v>146</v>
      </c>
      <c r="B1255" s="2683" t="s">
        <v>7186</v>
      </c>
      <c r="C1255" s="2683">
        <v>69.849999999999994</v>
      </c>
      <c r="D1255" s="2683">
        <v>120</v>
      </c>
      <c r="E1255" s="2683">
        <v>32.515000000000001</v>
      </c>
      <c r="F1255" s="2683" t="s">
        <v>5922</v>
      </c>
      <c r="G1255" s="2683" t="s">
        <v>5922</v>
      </c>
      <c r="H1255" s="2683" t="s">
        <v>5922</v>
      </c>
      <c r="I1255" s="2683" t="s">
        <v>5922</v>
      </c>
      <c r="J1255" s="2683">
        <v>0</v>
      </c>
      <c r="K1255" s="2684"/>
      <c r="L1255" s="2683" t="s">
        <v>5922</v>
      </c>
    </row>
    <row r="1256" spans="1:12">
      <c r="A1256" s="2682" t="s">
        <v>146</v>
      </c>
      <c r="B1256" s="2682" t="s">
        <v>7187</v>
      </c>
      <c r="C1256" s="2682">
        <v>57.15</v>
      </c>
      <c r="D1256" s="2682">
        <v>110</v>
      </c>
      <c r="E1256" s="2682">
        <v>27.795000000000002</v>
      </c>
      <c r="F1256" s="2682" t="s">
        <v>5922</v>
      </c>
      <c r="G1256" s="2682" t="s">
        <v>5922</v>
      </c>
      <c r="H1256" s="2682" t="s">
        <v>5922</v>
      </c>
      <c r="I1256" s="2682" t="s">
        <v>5922</v>
      </c>
      <c r="J1256" s="2682">
        <v>0</v>
      </c>
      <c r="L1256" s="2682" t="s">
        <v>5922</v>
      </c>
    </row>
    <row r="1257" spans="1:12">
      <c r="A1257" s="2683" t="s">
        <v>146</v>
      </c>
      <c r="B1257" s="2683" t="s">
        <v>7188</v>
      </c>
      <c r="C1257" s="2683">
        <v>57.15</v>
      </c>
      <c r="D1257" s="2683">
        <v>104.77500000000001</v>
      </c>
      <c r="E1257" s="2683">
        <v>30.161999999999999</v>
      </c>
      <c r="F1257" s="2683" t="s">
        <v>5922</v>
      </c>
      <c r="G1257" s="2683" t="s">
        <v>5922</v>
      </c>
      <c r="H1257" s="2683" t="s">
        <v>5922</v>
      </c>
      <c r="I1257" s="2683" t="s">
        <v>5922</v>
      </c>
      <c r="J1257" s="2683">
        <v>0</v>
      </c>
      <c r="K1257" s="2684"/>
      <c r="L1257" s="2683">
        <v>7911</v>
      </c>
    </row>
    <row r="1258" spans="1:12">
      <c r="A1258" s="2682" t="s">
        <v>146</v>
      </c>
      <c r="B1258" s="2682" t="s">
        <v>7189</v>
      </c>
      <c r="C1258" s="2682">
        <v>57.15</v>
      </c>
      <c r="D1258" s="2682">
        <v>107.95</v>
      </c>
      <c r="E1258" s="2682">
        <v>27.795000000000002</v>
      </c>
      <c r="F1258" s="2682" t="s">
        <v>5922</v>
      </c>
      <c r="G1258" s="2682" t="s">
        <v>5922</v>
      </c>
      <c r="H1258" s="2682" t="s">
        <v>5922</v>
      </c>
      <c r="I1258" s="2682" t="s">
        <v>5922</v>
      </c>
      <c r="J1258" s="2682">
        <v>0</v>
      </c>
      <c r="L1258" s="2682" t="s">
        <v>5922</v>
      </c>
    </row>
    <row r="1259" spans="1:12">
      <c r="A1259" s="2683" t="s">
        <v>146</v>
      </c>
      <c r="B1259" s="2683" t="s">
        <v>7190</v>
      </c>
      <c r="C1259" s="2683">
        <v>57.15</v>
      </c>
      <c r="D1259" s="2683">
        <v>101.77500000000001</v>
      </c>
      <c r="E1259" s="2683">
        <v>30.161999999999999</v>
      </c>
      <c r="F1259" s="2683" t="s">
        <v>5922</v>
      </c>
      <c r="G1259" s="2683" t="s">
        <v>5922</v>
      </c>
      <c r="H1259" s="2683" t="s">
        <v>5922</v>
      </c>
      <c r="I1259" s="2683" t="s">
        <v>5922</v>
      </c>
      <c r="J1259" s="2683">
        <v>0</v>
      </c>
      <c r="K1259" s="2684"/>
      <c r="L1259" s="2683" t="s">
        <v>5922</v>
      </c>
    </row>
    <row r="1260" spans="1:12">
      <c r="A1260" s="2682" t="s">
        <v>146</v>
      </c>
      <c r="B1260" s="2682" t="s">
        <v>7191</v>
      </c>
      <c r="C1260" s="2682">
        <v>52.387999999999998</v>
      </c>
      <c r="D1260" s="2682">
        <v>104.77500000000001</v>
      </c>
      <c r="E1260" s="2682">
        <v>30.161999999999999</v>
      </c>
      <c r="F1260" s="2682" t="s">
        <v>5922</v>
      </c>
      <c r="G1260" s="2682" t="s">
        <v>5922</v>
      </c>
      <c r="H1260" s="2682" t="s">
        <v>5922</v>
      </c>
      <c r="I1260" s="2682" t="s">
        <v>5922</v>
      </c>
      <c r="J1260" s="2682">
        <v>0</v>
      </c>
      <c r="L1260" s="2682" t="s">
        <v>5922</v>
      </c>
    </row>
    <row r="1261" spans="1:12">
      <c r="A1261" s="2683" t="s">
        <v>146</v>
      </c>
      <c r="B1261" s="2683" t="s">
        <v>7192</v>
      </c>
      <c r="C1261" s="2683">
        <v>165.1</v>
      </c>
      <c r="D1261" s="2683">
        <v>225.42500000000001</v>
      </c>
      <c r="E1261" s="2683">
        <v>41.274999999999999</v>
      </c>
      <c r="F1261" s="2683" t="s">
        <v>5922</v>
      </c>
      <c r="G1261" s="2683" t="s">
        <v>5922</v>
      </c>
      <c r="H1261" s="2683" t="s">
        <v>5922</v>
      </c>
      <c r="I1261" s="2683" t="s">
        <v>5922</v>
      </c>
      <c r="J1261" s="2683">
        <v>4.6900000000000004</v>
      </c>
      <c r="K1261" s="2684"/>
      <c r="L1261" s="2683" t="s">
        <v>5922</v>
      </c>
    </row>
    <row r="1262" spans="1:12">
      <c r="A1262" s="2682" t="s">
        <v>146</v>
      </c>
      <c r="B1262" s="2682" t="s">
        <v>7193</v>
      </c>
      <c r="C1262" s="2682">
        <v>158.75</v>
      </c>
      <c r="D1262" s="2682">
        <v>225.42500000000001</v>
      </c>
      <c r="E1262" s="2682">
        <v>41.274999999999999</v>
      </c>
      <c r="F1262" s="2682" t="s">
        <v>5922</v>
      </c>
      <c r="G1262" s="2682" t="s">
        <v>5922</v>
      </c>
      <c r="H1262" s="2682" t="s">
        <v>5922</v>
      </c>
      <c r="I1262" s="2682" t="s">
        <v>5922</v>
      </c>
      <c r="J1262" s="2682">
        <v>0</v>
      </c>
      <c r="L1262" s="2682" t="s">
        <v>5922</v>
      </c>
    </row>
    <row r="1263" spans="1:12">
      <c r="A1263" s="2683" t="s">
        <v>146</v>
      </c>
      <c r="B1263" s="2683" t="s">
        <v>7194</v>
      </c>
      <c r="C1263" s="2683">
        <v>158.75</v>
      </c>
      <c r="D1263" s="2683">
        <v>225.42500000000001</v>
      </c>
      <c r="E1263" s="2683">
        <v>41.274999999999999</v>
      </c>
      <c r="F1263" s="2683" t="s">
        <v>5922</v>
      </c>
      <c r="G1263" s="2683" t="s">
        <v>5922</v>
      </c>
      <c r="H1263" s="2683" t="s">
        <v>5922</v>
      </c>
      <c r="I1263" s="2683" t="s">
        <v>5922</v>
      </c>
      <c r="J1263" s="2683">
        <v>5.24</v>
      </c>
      <c r="K1263" s="2684"/>
      <c r="L1263" s="2683" t="s">
        <v>5922</v>
      </c>
    </row>
    <row r="1264" spans="1:12">
      <c r="A1264" s="2682" t="s">
        <v>146</v>
      </c>
      <c r="B1264" s="2682" t="s">
        <v>7195</v>
      </c>
      <c r="C1264" s="2682">
        <v>47.625</v>
      </c>
      <c r="D1264" s="2682">
        <v>104.77500000000001</v>
      </c>
      <c r="E1264" s="2682">
        <v>30.161999999999999</v>
      </c>
      <c r="F1264" s="2682" t="s">
        <v>5922</v>
      </c>
      <c r="G1264" s="2682" t="s">
        <v>5922</v>
      </c>
      <c r="H1264" s="2682" t="s">
        <v>5922</v>
      </c>
      <c r="I1264" s="2682" t="s">
        <v>5922</v>
      </c>
      <c r="J1264" s="2682">
        <v>0</v>
      </c>
      <c r="L1264" s="2682" t="s">
        <v>5922</v>
      </c>
    </row>
    <row r="1265" spans="1:12">
      <c r="A1265" s="2683" t="s">
        <v>146</v>
      </c>
      <c r="B1265" s="2683" t="s">
        <v>7196</v>
      </c>
      <c r="C1265" s="2683">
        <v>54.988</v>
      </c>
      <c r="D1265" s="2683">
        <v>104.77500000000001</v>
      </c>
      <c r="E1265" s="2683">
        <v>30.161999999999999</v>
      </c>
      <c r="F1265" s="2683" t="s">
        <v>5922</v>
      </c>
      <c r="G1265" s="2683" t="s">
        <v>5922</v>
      </c>
      <c r="H1265" s="2683" t="s">
        <v>5922</v>
      </c>
      <c r="I1265" s="2683" t="s">
        <v>5922</v>
      </c>
      <c r="J1265" s="2683">
        <v>0</v>
      </c>
      <c r="K1265" s="2684"/>
      <c r="L1265" s="2683" t="s">
        <v>5922</v>
      </c>
    </row>
    <row r="1266" spans="1:12">
      <c r="A1266" s="2682" t="s">
        <v>146</v>
      </c>
      <c r="B1266" s="2682" t="s">
        <v>7197</v>
      </c>
      <c r="C1266" s="2682">
        <v>47.625</v>
      </c>
      <c r="D1266" s="2682">
        <v>104.77500000000001</v>
      </c>
      <c r="E1266" s="2682">
        <v>30.161999999999999</v>
      </c>
      <c r="F1266" s="2682" t="s">
        <v>5922</v>
      </c>
      <c r="G1266" s="2682" t="s">
        <v>5922</v>
      </c>
      <c r="H1266" s="2682" t="s">
        <v>5922</v>
      </c>
      <c r="I1266" s="2682" t="s">
        <v>5922</v>
      </c>
      <c r="J1266" s="2682">
        <v>0</v>
      </c>
      <c r="L1266" s="2682" t="s">
        <v>5922</v>
      </c>
    </row>
    <row r="1267" spans="1:12">
      <c r="A1267" s="2683" t="s">
        <v>146</v>
      </c>
      <c r="B1267" s="2683" t="s">
        <v>7198</v>
      </c>
      <c r="C1267" s="2683">
        <v>57.15</v>
      </c>
      <c r="D1267" s="2683">
        <v>110</v>
      </c>
      <c r="E1267" s="2683">
        <v>27.795000000000002</v>
      </c>
      <c r="F1267" s="2683" t="s">
        <v>5922</v>
      </c>
      <c r="G1267" s="2683" t="s">
        <v>5922</v>
      </c>
      <c r="H1267" s="2683" t="s">
        <v>5922</v>
      </c>
      <c r="I1267" s="2683" t="s">
        <v>5922</v>
      </c>
      <c r="J1267" s="2683">
        <v>1.23</v>
      </c>
      <c r="K1267" s="2684"/>
      <c r="L1267" s="2683" t="s">
        <v>5922</v>
      </c>
    </row>
    <row r="1268" spans="1:12">
      <c r="A1268" s="2682" t="s">
        <v>146</v>
      </c>
      <c r="B1268" s="2682" t="s">
        <v>7199</v>
      </c>
      <c r="C1268" s="2682">
        <v>57.15</v>
      </c>
      <c r="D1268" s="2682">
        <v>104.7</v>
      </c>
      <c r="E1268" s="2682">
        <v>30.16</v>
      </c>
      <c r="F1268" s="2682" t="s">
        <v>5922</v>
      </c>
      <c r="G1268" s="2682" t="s">
        <v>5922</v>
      </c>
      <c r="H1268" s="2682" t="s">
        <v>5922</v>
      </c>
      <c r="I1268" s="2682" t="s">
        <v>5922</v>
      </c>
      <c r="J1268" s="2682">
        <v>1.0820000000000001</v>
      </c>
      <c r="L1268" s="2682" t="s">
        <v>5922</v>
      </c>
    </row>
    <row r="1269" spans="1:12">
      <c r="A1269" s="2683" t="s">
        <v>146</v>
      </c>
      <c r="B1269" s="2683" t="s">
        <v>7200</v>
      </c>
      <c r="C1269" s="2683">
        <v>36.512</v>
      </c>
      <c r="D1269" s="2683">
        <v>93.662000000000006</v>
      </c>
      <c r="E1269" s="2683">
        <v>31.75</v>
      </c>
      <c r="F1269" s="2683" t="s">
        <v>5922</v>
      </c>
      <c r="G1269" s="2683" t="s">
        <v>5922</v>
      </c>
      <c r="H1269" s="2683" t="s">
        <v>5922</v>
      </c>
      <c r="I1269" s="2683" t="s">
        <v>5922</v>
      </c>
      <c r="J1269" s="2683">
        <v>1.1779999999999999</v>
      </c>
      <c r="K1269" s="2684"/>
      <c r="L1269" s="2683" t="s">
        <v>5922</v>
      </c>
    </row>
    <row r="1270" spans="1:12">
      <c r="A1270" s="2682" t="s">
        <v>146</v>
      </c>
      <c r="B1270" s="2682" t="s">
        <v>7201</v>
      </c>
      <c r="C1270" s="2682">
        <v>44.45</v>
      </c>
      <c r="D1270" s="2682">
        <v>107.95</v>
      </c>
      <c r="E1270" s="2682">
        <v>27.783000000000001</v>
      </c>
      <c r="F1270" s="2682" t="s">
        <v>5922</v>
      </c>
      <c r="G1270" s="2682" t="s">
        <v>5922</v>
      </c>
      <c r="H1270" s="2682" t="s">
        <v>5922</v>
      </c>
      <c r="I1270" s="2682" t="s">
        <v>5922</v>
      </c>
      <c r="J1270" s="2682">
        <v>1.341</v>
      </c>
      <c r="L1270" s="2682" t="s">
        <v>5922</v>
      </c>
    </row>
    <row r="1271" spans="1:12">
      <c r="A1271" s="2683" t="s">
        <v>146</v>
      </c>
      <c r="B1271" s="2683" t="s">
        <v>7202</v>
      </c>
      <c r="C1271" s="2683">
        <v>44.45</v>
      </c>
      <c r="D1271" s="2683">
        <v>104.77500000000001</v>
      </c>
      <c r="E1271" s="2683">
        <v>30.161999999999999</v>
      </c>
      <c r="F1271" s="2683" t="s">
        <v>5922</v>
      </c>
      <c r="G1271" s="2683" t="s">
        <v>5922</v>
      </c>
      <c r="H1271" s="2683" t="s">
        <v>5922</v>
      </c>
      <c r="I1271" s="2683" t="s">
        <v>5922</v>
      </c>
      <c r="J1271" s="2683">
        <v>0</v>
      </c>
      <c r="K1271" s="2684"/>
      <c r="L1271" s="2683" t="s">
        <v>5922</v>
      </c>
    </row>
    <row r="1272" spans="1:12">
      <c r="A1272" s="2682" t="s">
        <v>146</v>
      </c>
      <c r="B1272" s="2682" t="s">
        <v>7203</v>
      </c>
      <c r="C1272" s="2682">
        <v>53.975000000000001</v>
      </c>
      <c r="D1272" s="2682">
        <v>104.77500000000001</v>
      </c>
      <c r="E1272" s="2682">
        <v>30.161999999999999</v>
      </c>
      <c r="F1272" s="2682" t="s">
        <v>5922</v>
      </c>
      <c r="G1272" s="2682" t="s">
        <v>5922</v>
      </c>
      <c r="H1272" s="2682" t="s">
        <v>5922</v>
      </c>
      <c r="I1272" s="2682" t="s">
        <v>5922</v>
      </c>
      <c r="J1272" s="2682">
        <v>0</v>
      </c>
      <c r="L1272" s="2682" t="s">
        <v>5922</v>
      </c>
    </row>
    <row r="1273" spans="1:12">
      <c r="A1273" s="2683" t="s">
        <v>146</v>
      </c>
      <c r="B1273" s="2683" t="s">
        <v>7204</v>
      </c>
      <c r="C1273" s="2683">
        <v>50.8</v>
      </c>
      <c r="D1273" s="2683">
        <v>104.77500000000001</v>
      </c>
      <c r="E1273" s="2683">
        <v>30.161999999999999</v>
      </c>
      <c r="F1273" s="2683" t="s">
        <v>5922</v>
      </c>
      <c r="G1273" s="2683" t="s">
        <v>5922</v>
      </c>
      <c r="H1273" s="2683" t="s">
        <v>5922</v>
      </c>
      <c r="I1273" s="2683" t="s">
        <v>5922</v>
      </c>
      <c r="J1273" s="2683">
        <v>0</v>
      </c>
      <c r="K1273" s="2684"/>
      <c r="L1273" s="2683" t="s">
        <v>5922</v>
      </c>
    </row>
    <row r="1274" spans="1:12">
      <c r="A1274" s="2682" t="s">
        <v>146</v>
      </c>
      <c r="B1274" s="2682" t="s">
        <v>7205</v>
      </c>
      <c r="C1274" s="2682">
        <v>50.8</v>
      </c>
      <c r="D1274" s="2682">
        <v>104.77500000000001</v>
      </c>
      <c r="E1274" s="2682">
        <v>30.161999999999999</v>
      </c>
      <c r="F1274" s="2682" t="s">
        <v>5922</v>
      </c>
      <c r="G1274" s="2682" t="s">
        <v>5922</v>
      </c>
      <c r="H1274" s="2682" t="s">
        <v>5922</v>
      </c>
      <c r="I1274" s="2682" t="s">
        <v>5922</v>
      </c>
      <c r="J1274" s="2682">
        <v>0</v>
      </c>
      <c r="L1274" s="2682" t="s">
        <v>5922</v>
      </c>
    </row>
    <row r="1275" spans="1:12">
      <c r="A1275" s="2683" t="s">
        <v>146</v>
      </c>
      <c r="B1275" s="2683" t="s">
        <v>7206</v>
      </c>
      <c r="C1275" s="2683">
        <v>50.8</v>
      </c>
      <c r="D1275" s="2683">
        <v>107.59</v>
      </c>
      <c r="E1275" s="2683">
        <v>27.783000000000001</v>
      </c>
      <c r="F1275" s="2683" t="s">
        <v>5922</v>
      </c>
      <c r="G1275" s="2683" t="s">
        <v>5922</v>
      </c>
      <c r="H1275" s="2683" t="s">
        <v>5922</v>
      </c>
      <c r="I1275" s="2683" t="s">
        <v>5922</v>
      </c>
      <c r="J1275" s="2683">
        <v>1.23</v>
      </c>
      <c r="K1275" s="2684"/>
      <c r="L1275" s="2683" t="s">
        <v>5922</v>
      </c>
    </row>
    <row r="1276" spans="1:12">
      <c r="A1276" s="2682" t="s">
        <v>146</v>
      </c>
      <c r="B1276" s="2682" t="s">
        <v>7207</v>
      </c>
      <c r="C1276" s="2682">
        <v>57.15</v>
      </c>
      <c r="D1276" s="2682">
        <v>104.77500000000001</v>
      </c>
      <c r="E1276" s="2682">
        <v>30.163</v>
      </c>
      <c r="F1276" s="2682" t="s">
        <v>5922</v>
      </c>
      <c r="G1276" s="2682" t="s">
        <v>5922</v>
      </c>
      <c r="H1276" s="2682" t="s">
        <v>5922</v>
      </c>
      <c r="I1276" s="2682" t="s">
        <v>5922</v>
      </c>
      <c r="J1276" s="2682">
        <v>0</v>
      </c>
      <c r="L1276" s="2682" t="s">
        <v>5922</v>
      </c>
    </row>
    <row r="1277" spans="1:12">
      <c r="A1277" s="2683" t="s">
        <v>146</v>
      </c>
      <c r="B1277" s="2683" t="s">
        <v>7208</v>
      </c>
      <c r="C1277" s="2683">
        <v>50.8</v>
      </c>
      <c r="D1277" s="2683">
        <v>104.77500000000001</v>
      </c>
      <c r="E1277" s="2683">
        <v>30.161999999999999</v>
      </c>
      <c r="F1277" s="2683" t="s">
        <v>5922</v>
      </c>
      <c r="G1277" s="2683" t="s">
        <v>5922</v>
      </c>
      <c r="H1277" s="2683" t="s">
        <v>5922</v>
      </c>
      <c r="I1277" s="2683" t="s">
        <v>5922</v>
      </c>
      <c r="J1277" s="2683">
        <v>1.22</v>
      </c>
      <c r="K1277" s="2684"/>
      <c r="L1277" s="2683" t="s">
        <v>5922</v>
      </c>
    </row>
    <row r="1278" spans="1:12">
      <c r="A1278" s="2682" t="s">
        <v>146</v>
      </c>
      <c r="B1278" s="2682" t="s">
        <v>7209</v>
      </c>
      <c r="C1278" s="2682">
        <v>50.8</v>
      </c>
      <c r="D1278" s="2682">
        <v>104.77500000000001</v>
      </c>
      <c r="E1278" s="2682">
        <v>30.161999999999999</v>
      </c>
      <c r="F1278" s="2682" t="s">
        <v>5922</v>
      </c>
      <c r="G1278" s="2682" t="s">
        <v>5922</v>
      </c>
      <c r="H1278" s="2682" t="s">
        <v>5922</v>
      </c>
      <c r="I1278" s="2682" t="s">
        <v>5922</v>
      </c>
      <c r="J1278" s="2682">
        <v>1.214</v>
      </c>
      <c r="L1278" s="2682" t="s">
        <v>5922</v>
      </c>
    </row>
    <row r="1279" spans="1:12">
      <c r="A1279" s="2683" t="s">
        <v>146</v>
      </c>
      <c r="B1279" s="2683" t="s">
        <v>7210</v>
      </c>
      <c r="C1279" s="2683">
        <v>50.8</v>
      </c>
      <c r="D1279" s="2683">
        <v>104.77500000000001</v>
      </c>
      <c r="E1279" s="2683">
        <v>30.161999999999999</v>
      </c>
      <c r="F1279" s="2683" t="s">
        <v>5922</v>
      </c>
      <c r="G1279" s="2683" t="s">
        <v>5922</v>
      </c>
      <c r="H1279" s="2683" t="s">
        <v>5922</v>
      </c>
      <c r="I1279" s="2683" t="s">
        <v>5922</v>
      </c>
      <c r="J1279" s="2683">
        <v>0</v>
      </c>
      <c r="K1279" s="2684"/>
      <c r="L1279" s="2683" t="s">
        <v>5922</v>
      </c>
    </row>
    <row r="1280" spans="1:12">
      <c r="A1280" s="2682" t="s">
        <v>146</v>
      </c>
      <c r="B1280" s="2682" t="s">
        <v>7211</v>
      </c>
      <c r="C1280" s="2682">
        <v>41.274999999999999</v>
      </c>
      <c r="D1280" s="2682">
        <v>90.488</v>
      </c>
      <c r="E1280" s="2682">
        <v>39.688000000000002</v>
      </c>
      <c r="F1280" s="2682" t="s">
        <v>5922</v>
      </c>
      <c r="G1280" s="2682" t="s">
        <v>5922</v>
      </c>
      <c r="H1280" s="2682" t="s">
        <v>5922</v>
      </c>
      <c r="I1280" s="2682" t="s">
        <v>5922</v>
      </c>
      <c r="J1280" s="2682">
        <v>1.218</v>
      </c>
      <c r="L1280" s="2682" t="s">
        <v>5922</v>
      </c>
    </row>
    <row r="1281" spans="1:12">
      <c r="A1281" s="2683" t="s">
        <v>146</v>
      </c>
      <c r="B1281" s="2683" t="s">
        <v>7212</v>
      </c>
      <c r="C1281" s="2683">
        <v>76.2</v>
      </c>
      <c r="D1281" s="2683">
        <v>127</v>
      </c>
      <c r="E1281" s="2683">
        <v>30.161999999999999</v>
      </c>
      <c r="F1281" s="2683" t="s">
        <v>5922</v>
      </c>
      <c r="G1281" s="2683" t="s">
        <v>5922</v>
      </c>
      <c r="H1281" s="2683" t="s">
        <v>5922</v>
      </c>
      <c r="I1281" s="2683" t="s">
        <v>5922</v>
      </c>
      <c r="J1281" s="2683">
        <v>1.44</v>
      </c>
      <c r="K1281" s="2684"/>
      <c r="L1281" s="2683" t="s">
        <v>5922</v>
      </c>
    </row>
    <row r="1282" spans="1:12">
      <c r="A1282" s="2682" t="s">
        <v>146</v>
      </c>
      <c r="B1282" s="2682" t="s">
        <v>7213</v>
      </c>
      <c r="C1282" s="2682">
        <v>76.2</v>
      </c>
      <c r="D1282" s="2682">
        <v>127</v>
      </c>
      <c r="E1282" s="2682">
        <v>30.161999999999999</v>
      </c>
      <c r="F1282" s="2682" t="s">
        <v>5922</v>
      </c>
      <c r="G1282" s="2682" t="s">
        <v>5922</v>
      </c>
      <c r="H1282" s="2682" t="s">
        <v>5922</v>
      </c>
      <c r="I1282" s="2682" t="s">
        <v>5922</v>
      </c>
      <c r="J1282" s="2682">
        <v>0</v>
      </c>
      <c r="L1282" s="2682" t="s">
        <v>5922</v>
      </c>
    </row>
    <row r="1283" spans="1:12">
      <c r="A1283" s="2683" t="s">
        <v>146</v>
      </c>
      <c r="B1283" s="2683" t="s">
        <v>7214</v>
      </c>
      <c r="C1283" s="2683">
        <v>73.025000000000006</v>
      </c>
      <c r="D1283" s="2683">
        <v>127</v>
      </c>
      <c r="E1283" s="2683">
        <v>30.161999999999999</v>
      </c>
      <c r="F1283" s="2683" t="s">
        <v>5922</v>
      </c>
      <c r="G1283" s="2683" t="s">
        <v>5922</v>
      </c>
      <c r="H1283" s="2683" t="s">
        <v>5922</v>
      </c>
      <c r="I1283" s="2683" t="s">
        <v>5922</v>
      </c>
      <c r="J1283" s="2683">
        <v>0</v>
      </c>
      <c r="K1283" s="2684"/>
      <c r="L1283" s="2683" t="s">
        <v>5922</v>
      </c>
    </row>
    <row r="1284" spans="1:12">
      <c r="A1284" s="2682" t="s">
        <v>146</v>
      </c>
      <c r="B1284" s="2682" t="s">
        <v>7215</v>
      </c>
      <c r="C1284" s="2682">
        <v>93.662000000000006</v>
      </c>
      <c r="D1284" s="2682">
        <v>148.43</v>
      </c>
      <c r="E1284" s="2682">
        <v>28.574999999999999</v>
      </c>
      <c r="F1284" s="2682" t="s">
        <v>5922</v>
      </c>
      <c r="G1284" s="2682" t="s">
        <v>5922</v>
      </c>
      <c r="H1284" s="2682" t="s">
        <v>5922</v>
      </c>
      <c r="I1284" s="2682" t="s">
        <v>5922</v>
      </c>
      <c r="J1284" s="2682">
        <v>0</v>
      </c>
      <c r="L1284" s="2682" t="s">
        <v>5922</v>
      </c>
    </row>
    <row r="1285" spans="1:12">
      <c r="A1285" s="2683" t="s">
        <v>146</v>
      </c>
      <c r="B1285" s="2683" t="s">
        <v>7216</v>
      </c>
      <c r="C1285" s="2683">
        <v>92.075000000000003</v>
      </c>
      <c r="D1285" s="2683">
        <v>148.43</v>
      </c>
      <c r="E1285" s="2683">
        <v>28.574999999999999</v>
      </c>
      <c r="F1285" s="2683" t="s">
        <v>5922</v>
      </c>
      <c r="G1285" s="2683" t="s">
        <v>5922</v>
      </c>
      <c r="H1285" s="2683" t="s">
        <v>5922</v>
      </c>
      <c r="I1285" s="2683" t="s">
        <v>5922</v>
      </c>
      <c r="J1285" s="2683">
        <v>0</v>
      </c>
      <c r="K1285" s="2684"/>
      <c r="L1285" s="2683" t="s">
        <v>5922</v>
      </c>
    </row>
    <row r="1286" spans="1:12">
      <c r="A1286" s="2682" t="s">
        <v>146</v>
      </c>
      <c r="B1286" s="2682" t="s">
        <v>7217</v>
      </c>
      <c r="C1286" s="2682">
        <v>88.9</v>
      </c>
      <c r="D1286" s="2682">
        <v>149.22499999999999</v>
      </c>
      <c r="E1286" s="2682">
        <v>31.75</v>
      </c>
      <c r="F1286" s="2682" t="s">
        <v>5922</v>
      </c>
      <c r="G1286" s="2682" t="s">
        <v>5922</v>
      </c>
      <c r="H1286" s="2682" t="s">
        <v>5922</v>
      </c>
      <c r="I1286" s="2682" t="s">
        <v>5922</v>
      </c>
      <c r="J1286" s="2682">
        <v>0</v>
      </c>
      <c r="L1286" s="2682" t="s">
        <v>5922</v>
      </c>
    </row>
    <row r="1287" spans="1:12">
      <c r="A1287" s="2683" t="s">
        <v>146</v>
      </c>
      <c r="B1287" s="2683" t="s">
        <v>7218</v>
      </c>
      <c r="C1287" s="2683">
        <v>40</v>
      </c>
      <c r="D1287" s="2683">
        <v>88.5</v>
      </c>
      <c r="E1287" s="2683">
        <v>26.988</v>
      </c>
      <c r="F1287" s="2683" t="s">
        <v>5922</v>
      </c>
      <c r="G1287" s="2683" t="s">
        <v>5922</v>
      </c>
      <c r="H1287" s="2683" t="s">
        <v>5922</v>
      </c>
      <c r="I1287" s="2683" t="s">
        <v>5922</v>
      </c>
      <c r="J1287" s="2683">
        <v>0</v>
      </c>
      <c r="K1287" s="2684"/>
      <c r="L1287" s="2683" t="s">
        <v>5922</v>
      </c>
    </row>
    <row r="1288" spans="1:12">
      <c r="A1288" s="2682" t="s">
        <v>146</v>
      </c>
      <c r="B1288" s="2682" t="s">
        <v>7219</v>
      </c>
      <c r="C1288" s="2682">
        <v>41.274999999999999</v>
      </c>
      <c r="D1288" s="2682">
        <v>88.5</v>
      </c>
      <c r="E1288" s="2682">
        <v>26.988</v>
      </c>
      <c r="F1288" s="2682" t="s">
        <v>5922</v>
      </c>
      <c r="G1288" s="2682" t="s">
        <v>5922</v>
      </c>
      <c r="H1288" s="2682" t="s">
        <v>5922</v>
      </c>
      <c r="I1288" s="2682" t="s">
        <v>5922</v>
      </c>
      <c r="J1288" s="2682">
        <v>0</v>
      </c>
      <c r="L1288" s="2682" t="s">
        <v>5922</v>
      </c>
    </row>
    <row r="1289" spans="1:12">
      <c r="A1289" s="2683" t="s">
        <v>146</v>
      </c>
      <c r="B1289" s="2683" t="s">
        <v>7220</v>
      </c>
      <c r="C1289" s="2683">
        <v>38.1</v>
      </c>
      <c r="D1289" s="2683">
        <v>88.5</v>
      </c>
      <c r="E1289" s="2683">
        <v>26.988</v>
      </c>
      <c r="F1289" s="2683" t="s">
        <v>5922</v>
      </c>
      <c r="G1289" s="2683" t="s">
        <v>5922</v>
      </c>
      <c r="H1289" s="2683" t="s">
        <v>5922</v>
      </c>
      <c r="I1289" s="2683" t="s">
        <v>5922</v>
      </c>
      <c r="J1289" s="2683">
        <v>0.32700000000000001</v>
      </c>
      <c r="K1289" s="2684"/>
      <c r="L1289" s="2683" t="s">
        <v>5922</v>
      </c>
    </row>
    <row r="1290" spans="1:12">
      <c r="A1290" s="2682" t="s">
        <v>146</v>
      </c>
      <c r="B1290" s="2682" t="s">
        <v>7221</v>
      </c>
      <c r="C1290" s="2682">
        <v>28.574999999999999</v>
      </c>
      <c r="D1290" s="2682">
        <v>76.676000000000002</v>
      </c>
      <c r="E1290" s="2682">
        <v>24.608000000000001</v>
      </c>
      <c r="F1290" s="2682" t="s">
        <v>5922</v>
      </c>
      <c r="G1290" s="2682" t="s">
        <v>5922</v>
      </c>
      <c r="H1290" s="2682" t="s">
        <v>5922</v>
      </c>
      <c r="I1290" s="2682" t="s">
        <v>5922</v>
      </c>
      <c r="J1290" s="2682">
        <v>0.46899999999999997</v>
      </c>
      <c r="L1290" s="2682" t="s">
        <v>5922</v>
      </c>
    </row>
    <row r="1291" spans="1:12">
      <c r="A1291" s="2683" t="s">
        <v>146</v>
      </c>
      <c r="B1291" s="2683" t="s">
        <v>7222</v>
      </c>
      <c r="C1291" s="2683">
        <v>68.262</v>
      </c>
      <c r="D1291" s="2683">
        <v>110</v>
      </c>
      <c r="E1291" s="2683">
        <v>22</v>
      </c>
      <c r="F1291" s="2683" t="s">
        <v>5922</v>
      </c>
      <c r="G1291" s="2683" t="s">
        <v>5922</v>
      </c>
      <c r="H1291" s="2683" t="s">
        <v>5922</v>
      </c>
      <c r="I1291" s="2683" t="s">
        <v>5922</v>
      </c>
      <c r="J1291" s="2683">
        <v>0.76</v>
      </c>
      <c r="K1291" s="2684"/>
      <c r="L1291" s="2683" t="s">
        <v>5922</v>
      </c>
    </row>
    <row r="1292" spans="1:12">
      <c r="A1292" s="2682" t="s">
        <v>146</v>
      </c>
      <c r="B1292" s="2682" t="s">
        <v>7223</v>
      </c>
      <c r="C1292" s="2682">
        <v>68.262</v>
      </c>
      <c r="D1292" s="2682">
        <v>110</v>
      </c>
      <c r="E1292" s="2682">
        <v>22</v>
      </c>
      <c r="F1292" s="2682" t="s">
        <v>5922</v>
      </c>
      <c r="G1292" s="2682" t="s">
        <v>5922</v>
      </c>
      <c r="H1292" s="2682" t="s">
        <v>5922</v>
      </c>
      <c r="I1292" s="2682" t="s">
        <v>5922</v>
      </c>
      <c r="J1292" s="2682">
        <v>0</v>
      </c>
      <c r="L1292" s="2682" t="s">
        <v>5922</v>
      </c>
    </row>
    <row r="1293" spans="1:12">
      <c r="A1293" s="2683" t="s">
        <v>146</v>
      </c>
      <c r="B1293" s="2683" t="s">
        <v>7224</v>
      </c>
      <c r="C1293" s="2683">
        <v>0</v>
      </c>
      <c r="D1293" s="2683">
        <v>0</v>
      </c>
      <c r="E1293" s="2683">
        <v>0</v>
      </c>
      <c r="F1293" s="2683" t="s">
        <v>5922</v>
      </c>
      <c r="G1293" s="2683" t="s">
        <v>5922</v>
      </c>
      <c r="H1293" s="2683" t="s">
        <v>5922</v>
      </c>
      <c r="I1293" s="2683" t="s">
        <v>5922</v>
      </c>
      <c r="J1293" s="2683">
        <v>0</v>
      </c>
      <c r="K1293" s="2684"/>
      <c r="L1293" s="2683" t="s">
        <v>5922</v>
      </c>
    </row>
    <row r="1294" spans="1:12">
      <c r="A1294" s="2682" t="s">
        <v>146</v>
      </c>
      <c r="B1294" s="2682" t="s">
        <v>7225</v>
      </c>
      <c r="C1294" s="2682">
        <v>63.5</v>
      </c>
      <c r="D1294" s="2682">
        <v>112.712</v>
      </c>
      <c r="E1294" s="2682">
        <v>30.161999999999999</v>
      </c>
      <c r="F1294" s="2682" t="s">
        <v>5922</v>
      </c>
      <c r="G1294" s="2682" t="s">
        <v>5922</v>
      </c>
      <c r="H1294" s="2682" t="s">
        <v>5922</v>
      </c>
      <c r="I1294" s="2682" t="s">
        <v>5922</v>
      </c>
      <c r="J1294" s="2682">
        <v>0</v>
      </c>
      <c r="L1294" s="2682" t="s">
        <v>5922</v>
      </c>
    </row>
    <row r="1295" spans="1:12">
      <c r="A1295" s="2683" t="s">
        <v>146</v>
      </c>
      <c r="B1295" s="2683" t="s">
        <v>7226</v>
      </c>
      <c r="C1295" s="2683">
        <v>63.5</v>
      </c>
      <c r="D1295" s="2683">
        <v>112.712</v>
      </c>
      <c r="E1295" s="2683">
        <v>30.161999999999999</v>
      </c>
      <c r="F1295" s="2683" t="s">
        <v>5922</v>
      </c>
      <c r="G1295" s="2683" t="s">
        <v>5922</v>
      </c>
      <c r="H1295" s="2683" t="s">
        <v>5922</v>
      </c>
      <c r="I1295" s="2683" t="s">
        <v>5922</v>
      </c>
      <c r="J1295" s="2683">
        <v>1.26</v>
      </c>
      <c r="K1295" s="2684"/>
      <c r="L1295" s="2683" t="s">
        <v>5922</v>
      </c>
    </row>
    <row r="1296" spans="1:12">
      <c r="A1296" s="2682" t="s">
        <v>146</v>
      </c>
      <c r="B1296" s="2682" t="s">
        <v>7227</v>
      </c>
      <c r="C1296" s="2682">
        <v>58.738</v>
      </c>
      <c r="D1296" s="2682">
        <v>112.712</v>
      </c>
      <c r="E1296" s="2682">
        <v>30.161999999999999</v>
      </c>
      <c r="F1296" s="2682" t="s">
        <v>5922</v>
      </c>
      <c r="G1296" s="2682" t="s">
        <v>5922</v>
      </c>
      <c r="H1296" s="2682" t="s">
        <v>5922</v>
      </c>
      <c r="I1296" s="2682" t="s">
        <v>5922</v>
      </c>
      <c r="J1296" s="2682">
        <v>0</v>
      </c>
      <c r="L1296" s="2682" t="s">
        <v>5922</v>
      </c>
    </row>
    <row r="1297" spans="1:12">
      <c r="A1297" s="2683" t="s">
        <v>146</v>
      </c>
      <c r="B1297" s="2683" t="s">
        <v>7228</v>
      </c>
      <c r="C1297" s="2683">
        <v>60.325000000000003</v>
      </c>
      <c r="D1297" s="2683">
        <v>112.712</v>
      </c>
      <c r="E1297" s="2683">
        <v>30.161999999999999</v>
      </c>
      <c r="F1297" s="2683" t="s">
        <v>5922</v>
      </c>
      <c r="G1297" s="2683" t="s">
        <v>5922</v>
      </c>
      <c r="H1297" s="2683" t="s">
        <v>5922</v>
      </c>
      <c r="I1297" s="2683" t="s">
        <v>5922</v>
      </c>
      <c r="J1297" s="2683">
        <v>0</v>
      </c>
      <c r="K1297" s="2684"/>
      <c r="L1297" s="2683" t="s">
        <v>5922</v>
      </c>
    </row>
    <row r="1298" spans="1:12">
      <c r="A1298" s="2682" t="s">
        <v>146</v>
      </c>
      <c r="B1298" s="2682" t="s">
        <v>7229</v>
      </c>
      <c r="C1298" s="2682">
        <v>57.15</v>
      </c>
      <c r="D1298" s="2682">
        <v>112.712</v>
      </c>
      <c r="E1298" s="2682">
        <v>30.161999999999999</v>
      </c>
      <c r="F1298" s="2682" t="s">
        <v>5922</v>
      </c>
      <c r="G1298" s="2682" t="s">
        <v>5922</v>
      </c>
      <c r="H1298" s="2682" t="s">
        <v>5922</v>
      </c>
      <c r="I1298" s="2682" t="s">
        <v>5922</v>
      </c>
      <c r="J1298" s="2682">
        <v>0</v>
      </c>
      <c r="L1298" s="2682" t="s">
        <v>5922</v>
      </c>
    </row>
    <row r="1299" spans="1:12">
      <c r="A1299" s="2683" t="s">
        <v>146</v>
      </c>
      <c r="B1299" s="2683" t="s">
        <v>7230</v>
      </c>
      <c r="C1299" s="2683">
        <v>60</v>
      </c>
      <c r="D1299" s="2683">
        <v>112.715</v>
      </c>
      <c r="E1299" s="2683">
        <v>30.161999999999999</v>
      </c>
      <c r="F1299" s="2683" t="s">
        <v>5922</v>
      </c>
      <c r="G1299" s="2683" t="s">
        <v>5922</v>
      </c>
      <c r="H1299" s="2683" t="s">
        <v>5922</v>
      </c>
      <c r="I1299" s="2683" t="s">
        <v>5922</v>
      </c>
      <c r="J1299" s="2683">
        <v>0</v>
      </c>
      <c r="K1299" s="2684"/>
      <c r="L1299" s="2683" t="s">
        <v>5922</v>
      </c>
    </row>
    <row r="1300" spans="1:12">
      <c r="A1300" s="2682" t="s">
        <v>146</v>
      </c>
      <c r="B1300" s="2682" t="s">
        <v>7231</v>
      </c>
      <c r="C1300" s="2682">
        <v>50.8</v>
      </c>
      <c r="D1300" s="2682">
        <v>112.712</v>
      </c>
      <c r="E1300" s="2682">
        <v>33.338000000000001</v>
      </c>
      <c r="F1300" s="2682" t="s">
        <v>5922</v>
      </c>
      <c r="G1300" s="2682" t="s">
        <v>5922</v>
      </c>
      <c r="H1300" s="2682" t="s">
        <v>5922</v>
      </c>
      <c r="I1300" s="2682" t="s">
        <v>5922</v>
      </c>
      <c r="J1300" s="2682">
        <v>1.59</v>
      </c>
      <c r="L1300" s="2682" t="s">
        <v>5922</v>
      </c>
    </row>
    <row r="1301" spans="1:12">
      <c r="A1301" s="2683" t="s">
        <v>146</v>
      </c>
      <c r="B1301" s="2683" t="s">
        <v>7232</v>
      </c>
      <c r="C1301" s="2683">
        <v>50.8</v>
      </c>
      <c r="D1301" s="2683">
        <v>112.712</v>
      </c>
      <c r="E1301" s="2683">
        <v>30.161999999999999</v>
      </c>
      <c r="F1301" s="2683" t="s">
        <v>5922</v>
      </c>
      <c r="G1301" s="2683" t="s">
        <v>5922</v>
      </c>
      <c r="H1301" s="2683" t="s">
        <v>5922</v>
      </c>
      <c r="I1301" s="2683" t="s">
        <v>5922</v>
      </c>
      <c r="J1301" s="2683">
        <v>0</v>
      </c>
      <c r="K1301" s="2684"/>
      <c r="L1301" s="2683" t="s">
        <v>5922</v>
      </c>
    </row>
    <row r="1302" spans="1:12">
      <c r="A1302" s="2682" t="s">
        <v>146</v>
      </c>
      <c r="B1302" s="2682" t="s">
        <v>7233</v>
      </c>
      <c r="C1302" s="2682">
        <v>65.674999999999997</v>
      </c>
      <c r="D1302" s="2682">
        <v>110</v>
      </c>
      <c r="E1302" s="2682">
        <v>22</v>
      </c>
      <c r="F1302" s="2682" t="s">
        <v>5922</v>
      </c>
      <c r="G1302" s="2682" t="s">
        <v>5922</v>
      </c>
      <c r="H1302" s="2682" t="s">
        <v>5922</v>
      </c>
      <c r="I1302" s="2682" t="s">
        <v>5922</v>
      </c>
      <c r="J1302" s="2682">
        <v>0</v>
      </c>
      <c r="L1302" s="2682" t="s">
        <v>5922</v>
      </c>
    </row>
    <row r="1303" spans="1:12">
      <c r="A1303" s="2683" t="s">
        <v>146</v>
      </c>
      <c r="B1303" s="2683" t="s">
        <v>7234</v>
      </c>
      <c r="C1303" s="2683">
        <v>66.674999999999997</v>
      </c>
      <c r="D1303" s="2683">
        <v>110</v>
      </c>
      <c r="E1303" s="2683">
        <v>22</v>
      </c>
      <c r="F1303" s="2683" t="s">
        <v>5922</v>
      </c>
      <c r="G1303" s="2683" t="s">
        <v>5922</v>
      </c>
      <c r="H1303" s="2683" t="s">
        <v>5922</v>
      </c>
      <c r="I1303" s="2683" t="s">
        <v>5922</v>
      </c>
      <c r="J1303" s="2683">
        <v>0.89100000000000001</v>
      </c>
      <c r="K1303" s="2684"/>
      <c r="L1303" s="2683" t="s">
        <v>5922</v>
      </c>
    </row>
    <row r="1304" spans="1:12">
      <c r="A1304" s="2682" t="s">
        <v>146</v>
      </c>
      <c r="B1304" s="2682" t="s">
        <v>7235</v>
      </c>
      <c r="C1304" s="2682">
        <v>52.387999999999998</v>
      </c>
      <c r="D1304" s="2682">
        <v>93.263999999999996</v>
      </c>
      <c r="E1304" s="2682">
        <v>30.161999999999999</v>
      </c>
      <c r="F1304" s="2682" t="s">
        <v>5922</v>
      </c>
      <c r="G1304" s="2682" t="s">
        <v>5922</v>
      </c>
      <c r="H1304" s="2682" t="s">
        <v>5922</v>
      </c>
      <c r="I1304" s="2682" t="s">
        <v>5922</v>
      </c>
      <c r="J1304" s="2682">
        <v>0</v>
      </c>
      <c r="L1304" s="2682" t="s">
        <v>5922</v>
      </c>
    </row>
    <row r="1305" spans="1:12">
      <c r="A1305" s="2683" t="s">
        <v>146</v>
      </c>
      <c r="B1305" s="2683" t="s">
        <v>7236</v>
      </c>
      <c r="C1305" s="2683">
        <v>107.95</v>
      </c>
      <c r="D1305" s="2683">
        <v>158.75</v>
      </c>
      <c r="E1305" s="2683">
        <v>23.02</v>
      </c>
      <c r="F1305" s="2683" t="s">
        <v>5922</v>
      </c>
      <c r="G1305" s="2683" t="s">
        <v>5922</v>
      </c>
      <c r="H1305" s="2683" t="s">
        <v>5922</v>
      </c>
      <c r="I1305" s="2683" t="s">
        <v>5922</v>
      </c>
      <c r="J1305" s="2683">
        <v>0</v>
      </c>
      <c r="K1305" s="2684"/>
      <c r="L1305" s="2683" t="s">
        <v>5922</v>
      </c>
    </row>
    <row r="1306" spans="1:12">
      <c r="A1306" s="2682" t="s">
        <v>146</v>
      </c>
      <c r="B1306" s="2682" t="s">
        <v>7237</v>
      </c>
      <c r="C1306" s="2682">
        <v>80</v>
      </c>
      <c r="D1306" s="2682">
        <v>140</v>
      </c>
      <c r="E1306" s="2682">
        <v>56.75</v>
      </c>
      <c r="F1306" s="2682" t="s">
        <v>5922</v>
      </c>
      <c r="G1306" s="2682" t="s">
        <v>5922</v>
      </c>
      <c r="H1306" s="2682" t="s">
        <v>5922</v>
      </c>
      <c r="I1306" s="2682" t="s">
        <v>5922</v>
      </c>
      <c r="J1306" s="2682">
        <v>3.28</v>
      </c>
      <c r="L1306" s="2682" t="s">
        <v>7238</v>
      </c>
    </row>
    <row r="1307" spans="1:12">
      <c r="A1307" s="2683" t="s">
        <v>146</v>
      </c>
      <c r="B1307" s="2683" t="s">
        <v>7239</v>
      </c>
      <c r="C1307" s="2683">
        <v>80</v>
      </c>
      <c r="D1307" s="2683">
        <v>140</v>
      </c>
      <c r="E1307" s="2683">
        <v>56.75</v>
      </c>
      <c r="F1307" s="2683" t="s">
        <v>5922</v>
      </c>
      <c r="G1307" s="2683" t="s">
        <v>5922</v>
      </c>
      <c r="H1307" s="2683" t="s">
        <v>5922</v>
      </c>
      <c r="I1307" s="2683" t="s">
        <v>5922</v>
      </c>
      <c r="J1307" s="2683">
        <v>3.28</v>
      </c>
      <c r="K1307" s="2684"/>
      <c r="L1307" s="2683" t="s">
        <v>7240</v>
      </c>
    </row>
    <row r="1308" spans="1:12">
      <c r="A1308" s="2682" t="s">
        <v>146</v>
      </c>
      <c r="B1308" s="2682" t="s">
        <v>7241</v>
      </c>
      <c r="C1308" s="2682">
        <v>80</v>
      </c>
      <c r="D1308" s="2682">
        <v>125</v>
      </c>
      <c r="E1308" s="2682">
        <v>58</v>
      </c>
      <c r="F1308" s="2682" t="s">
        <v>5922</v>
      </c>
      <c r="G1308" s="2682" t="s">
        <v>5922</v>
      </c>
      <c r="H1308" s="2682" t="s">
        <v>5922</v>
      </c>
      <c r="I1308" s="2682" t="s">
        <v>5922</v>
      </c>
      <c r="J1308" s="2682">
        <v>2.61</v>
      </c>
      <c r="L1308" s="2682" t="s">
        <v>7242</v>
      </c>
    </row>
    <row r="1309" spans="1:12">
      <c r="A1309" s="2683" t="s">
        <v>146</v>
      </c>
      <c r="B1309" s="2683" t="s">
        <v>7243</v>
      </c>
      <c r="C1309" s="2683">
        <v>55</v>
      </c>
      <c r="D1309" s="2683">
        <v>90</v>
      </c>
      <c r="E1309" s="2683">
        <v>54</v>
      </c>
      <c r="F1309" s="2683" t="s">
        <v>5922</v>
      </c>
      <c r="G1309" s="2683" t="s">
        <v>5922</v>
      </c>
      <c r="H1309" s="2683" t="s">
        <v>5922</v>
      </c>
      <c r="I1309" s="2683" t="s">
        <v>5922</v>
      </c>
      <c r="J1309" s="2683">
        <v>1.73</v>
      </c>
      <c r="K1309" s="2684"/>
      <c r="L1309" s="2683">
        <v>3187111</v>
      </c>
    </row>
    <row r="1310" spans="1:12">
      <c r="A1310" s="2682" t="s">
        <v>146</v>
      </c>
      <c r="B1310" s="2682" t="s">
        <v>7244</v>
      </c>
      <c r="C1310" s="2682">
        <v>400</v>
      </c>
      <c r="D1310" s="2682">
        <v>650</v>
      </c>
      <c r="E1310" s="2682">
        <v>240</v>
      </c>
      <c r="F1310" s="2682" t="s">
        <v>5922</v>
      </c>
      <c r="G1310" s="2682" t="s">
        <v>5922</v>
      </c>
      <c r="H1310" s="2682" t="s">
        <v>5922</v>
      </c>
      <c r="I1310" s="2682" t="s">
        <v>5922</v>
      </c>
      <c r="J1310" s="2682">
        <v>276</v>
      </c>
      <c r="L1310" s="2682" t="s">
        <v>7245</v>
      </c>
    </row>
    <row r="1311" spans="1:12">
      <c r="A1311" s="2683" t="s">
        <v>146</v>
      </c>
      <c r="B1311" s="2683">
        <v>370622</v>
      </c>
      <c r="C1311" s="2683">
        <v>110</v>
      </c>
      <c r="D1311" s="2683">
        <v>240</v>
      </c>
      <c r="E1311" s="2683">
        <v>118</v>
      </c>
      <c r="F1311" s="2683" t="s">
        <v>5922</v>
      </c>
      <c r="G1311" s="2683" t="s">
        <v>5922</v>
      </c>
      <c r="H1311" s="2683" t="s">
        <v>5922</v>
      </c>
      <c r="I1311" s="2683" t="s">
        <v>5922</v>
      </c>
      <c r="J1311" s="2683">
        <v>25.1</v>
      </c>
      <c r="K1311" s="2684"/>
      <c r="L1311" s="2683">
        <v>87722</v>
      </c>
    </row>
    <row r="1312" spans="1:12">
      <c r="A1312" s="2682" t="s">
        <v>146</v>
      </c>
      <c r="B1312" s="2682" t="s">
        <v>7246</v>
      </c>
      <c r="C1312" s="2682">
        <v>670</v>
      </c>
      <c r="D1312" s="2682">
        <v>980</v>
      </c>
      <c r="E1312" s="2682">
        <v>230</v>
      </c>
      <c r="F1312" s="2682" t="s">
        <v>5922</v>
      </c>
      <c r="G1312" s="2682" t="s">
        <v>5922</v>
      </c>
      <c r="H1312" s="2682" t="s">
        <v>5922</v>
      </c>
      <c r="I1312" s="2682" t="s">
        <v>5922</v>
      </c>
      <c r="J1312" s="2682">
        <v>553</v>
      </c>
      <c r="L1312" s="2682" t="s">
        <v>7247</v>
      </c>
    </row>
    <row r="1313" spans="1:12">
      <c r="A1313" s="2683" t="s">
        <v>146</v>
      </c>
      <c r="B1313" s="2683" t="s">
        <v>7248</v>
      </c>
      <c r="C1313" s="2683">
        <v>570</v>
      </c>
      <c r="D1313" s="2683">
        <v>750</v>
      </c>
      <c r="E1313" s="2683">
        <v>280</v>
      </c>
      <c r="F1313" s="2683" t="s">
        <v>5922</v>
      </c>
      <c r="G1313" s="2683" t="s">
        <v>5922</v>
      </c>
      <c r="H1313" s="2683" t="s">
        <v>5922</v>
      </c>
      <c r="I1313" s="2683" t="s">
        <v>5922</v>
      </c>
      <c r="J1313" s="2683">
        <v>287</v>
      </c>
      <c r="K1313" s="2684"/>
      <c r="L1313" s="2683" t="s">
        <v>7249</v>
      </c>
    </row>
    <row r="1314" spans="1:12">
      <c r="A1314" s="2682" t="s">
        <v>146</v>
      </c>
      <c r="B1314" s="2682" t="s">
        <v>7250</v>
      </c>
      <c r="C1314" s="2682">
        <v>550</v>
      </c>
      <c r="D1314" s="2682">
        <v>920</v>
      </c>
      <c r="E1314" s="2682">
        <v>330</v>
      </c>
      <c r="F1314" s="2682" t="s">
        <v>5922</v>
      </c>
      <c r="G1314" s="2682" t="s">
        <v>5922</v>
      </c>
      <c r="H1314" s="2682" t="s">
        <v>5922</v>
      </c>
      <c r="I1314" s="2682" t="s">
        <v>5922</v>
      </c>
      <c r="J1314" s="2682">
        <v>909</v>
      </c>
      <c r="L1314" s="2682" t="s">
        <v>7251</v>
      </c>
    </row>
    <row r="1315" spans="1:12">
      <c r="A1315" s="2683" t="s">
        <v>146</v>
      </c>
      <c r="B1315" s="2683" t="s">
        <v>7252</v>
      </c>
      <c r="C1315" s="2683">
        <v>501.625</v>
      </c>
      <c r="D1315" s="2683">
        <v>711.2</v>
      </c>
      <c r="E1315" s="2683">
        <v>250.82499999999999</v>
      </c>
      <c r="F1315" s="2683" t="s">
        <v>5922</v>
      </c>
      <c r="G1315" s="2683" t="s">
        <v>5922</v>
      </c>
      <c r="H1315" s="2683" t="s">
        <v>5922</v>
      </c>
      <c r="I1315" s="2683" t="s">
        <v>5922</v>
      </c>
      <c r="J1315" s="2683">
        <v>323</v>
      </c>
      <c r="K1315" s="2684"/>
      <c r="L1315" s="2683" t="s">
        <v>7253</v>
      </c>
    </row>
    <row r="1316" spans="1:12">
      <c r="A1316" s="2682" t="s">
        <v>146</v>
      </c>
      <c r="B1316" s="2682" t="s">
        <v>7254</v>
      </c>
      <c r="C1316" s="2682">
        <v>501.625</v>
      </c>
      <c r="D1316" s="2682">
        <v>711.2</v>
      </c>
      <c r="E1316" s="2682">
        <v>250.82499999999999</v>
      </c>
      <c r="F1316" s="2682" t="s">
        <v>5922</v>
      </c>
      <c r="G1316" s="2682" t="s">
        <v>5922</v>
      </c>
      <c r="H1316" s="2682" t="s">
        <v>5922</v>
      </c>
      <c r="I1316" s="2682" t="s">
        <v>5922</v>
      </c>
      <c r="J1316" s="2682">
        <v>323</v>
      </c>
      <c r="L1316" s="2682" t="s">
        <v>7255</v>
      </c>
    </row>
    <row r="1317" spans="1:12">
      <c r="A1317" s="2683" t="s">
        <v>146</v>
      </c>
      <c r="B1317" s="2683" t="s">
        <v>7256</v>
      </c>
      <c r="C1317" s="2683">
        <v>500</v>
      </c>
      <c r="D1317" s="2683">
        <v>730</v>
      </c>
      <c r="E1317" s="2683">
        <v>280</v>
      </c>
      <c r="F1317" s="2683" t="s">
        <v>5922</v>
      </c>
      <c r="G1317" s="2683" t="s">
        <v>5922</v>
      </c>
      <c r="H1317" s="2683" t="s">
        <v>5922</v>
      </c>
      <c r="I1317" s="2683" t="s">
        <v>5922</v>
      </c>
      <c r="J1317" s="2683">
        <v>420</v>
      </c>
      <c r="K1317" s="2684"/>
      <c r="L1317" s="2683" t="s">
        <v>7255</v>
      </c>
    </row>
    <row r="1318" spans="1:12">
      <c r="A1318" s="2682" t="s">
        <v>146</v>
      </c>
      <c r="B1318" s="2682" t="s">
        <v>7257</v>
      </c>
      <c r="C1318" s="2682">
        <v>305.07900000000001</v>
      </c>
      <c r="D1318" s="2682">
        <v>500</v>
      </c>
      <c r="E1318" s="2682">
        <v>200</v>
      </c>
      <c r="F1318" s="2682" t="s">
        <v>5922</v>
      </c>
      <c r="G1318" s="2682" t="s">
        <v>5922</v>
      </c>
      <c r="H1318" s="2682" t="s">
        <v>5922</v>
      </c>
      <c r="I1318" s="2682" t="s">
        <v>5922</v>
      </c>
      <c r="J1318" s="2682">
        <v>141</v>
      </c>
      <c r="L1318" s="2682">
        <v>187761</v>
      </c>
    </row>
    <row r="1319" spans="1:12">
      <c r="A1319" s="2683" t="s">
        <v>146</v>
      </c>
      <c r="B1319" s="2683" t="s">
        <v>7258</v>
      </c>
      <c r="C1319" s="2683">
        <v>305.07</v>
      </c>
      <c r="D1319" s="2683">
        <v>500</v>
      </c>
      <c r="E1319" s="2683">
        <v>200</v>
      </c>
      <c r="F1319" s="2683" t="s">
        <v>5922</v>
      </c>
      <c r="G1319" s="2683" t="s">
        <v>5922</v>
      </c>
      <c r="H1319" s="2683" t="s">
        <v>5922</v>
      </c>
      <c r="I1319" s="2683" t="s">
        <v>5922</v>
      </c>
      <c r="J1319" s="2683">
        <v>122</v>
      </c>
      <c r="K1319" s="2684"/>
      <c r="L1319" s="2683" t="s">
        <v>7259</v>
      </c>
    </row>
    <row r="1320" spans="1:12">
      <c r="A1320" s="2682" t="s">
        <v>146</v>
      </c>
      <c r="B1320" s="2682" t="s">
        <v>7260</v>
      </c>
      <c r="C1320" s="2682">
        <v>50.8</v>
      </c>
      <c r="D1320" s="2682">
        <v>88.9</v>
      </c>
      <c r="E1320" s="2682">
        <v>20.638000000000002</v>
      </c>
      <c r="F1320" s="2682" t="s">
        <v>5922</v>
      </c>
      <c r="G1320" s="2682" t="s">
        <v>5922</v>
      </c>
      <c r="H1320" s="2682" t="s">
        <v>5922</v>
      </c>
      <c r="I1320" s="2682" t="s">
        <v>5922</v>
      </c>
      <c r="J1320" s="2682">
        <v>0.52</v>
      </c>
      <c r="L1320" s="2682" t="s">
        <v>5922</v>
      </c>
    </row>
    <row r="1321" spans="1:12">
      <c r="A1321" s="2683" t="s">
        <v>146</v>
      </c>
      <c r="B1321" s="2683" t="s">
        <v>7261</v>
      </c>
      <c r="C1321" s="2683">
        <v>50.8</v>
      </c>
      <c r="D1321" s="2683">
        <v>88.9</v>
      </c>
      <c r="E1321" s="2683">
        <v>20.638000000000002</v>
      </c>
      <c r="F1321" s="2683" t="s">
        <v>5922</v>
      </c>
      <c r="G1321" s="2683" t="s">
        <v>5922</v>
      </c>
      <c r="H1321" s="2683" t="s">
        <v>5922</v>
      </c>
      <c r="I1321" s="2683" t="s">
        <v>5922</v>
      </c>
      <c r="J1321" s="2683">
        <v>0</v>
      </c>
      <c r="K1321" s="2684"/>
      <c r="L1321" s="2683" t="s">
        <v>5922</v>
      </c>
    </row>
    <row r="1322" spans="1:12">
      <c r="A1322" s="2682" t="s">
        <v>146</v>
      </c>
      <c r="B1322" s="2682" t="s">
        <v>7262</v>
      </c>
      <c r="C1322" s="2682">
        <v>66.674999999999997</v>
      </c>
      <c r="D1322" s="2682">
        <v>122.238</v>
      </c>
      <c r="E1322" s="2682">
        <v>38.1</v>
      </c>
      <c r="F1322" s="2682" t="s">
        <v>5922</v>
      </c>
      <c r="G1322" s="2682" t="s">
        <v>5922</v>
      </c>
      <c r="H1322" s="2682" t="s">
        <v>5922</v>
      </c>
      <c r="I1322" s="2682" t="s">
        <v>5922</v>
      </c>
      <c r="J1322" s="2682">
        <v>0</v>
      </c>
      <c r="L1322" s="2682" t="s">
        <v>5922</v>
      </c>
    </row>
    <row r="1323" spans="1:12">
      <c r="A1323" s="2683" t="s">
        <v>146</v>
      </c>
      <c r="B1323" s="2683" t="s">
        <v>7263</v>
      </c>
      <c r="C1323" s="2683">
        <v>63.5</v>
      </c>
      <c r="D1323" s="2683">
        <v>123.825</v>
      </c>
      <c r="E1323" s="2683">
        <v>38.1</v>
      </c>
      <c r="F1323" s="2683" t="s">
        <v>5922</v>
      </c>
      <c r="G1323" s="2683" t="s">
        <v>5922</v>
      </c>
      <c r="H1323" s="2683" t="s">
        <v>5922</v>
      </c>
      <c r="I1323" s="2683" t="s">
        <v>5922</v>
      </c>
      <c r="J1323" s="2683">
        <v>1.99</v>
      </c>
      <c r="K1323" s="2684"/>
      <c r="L1323" s="2683" t="s">
        <v>5922</v>
      </c>
    </row>
    <row r="1324" spans="1:12">
      <c r="A1324" s="2682" t="s">
        <v>146</v>
      </c>
      <c r="B1324" s="2682" t="s">
        <v>7264</v>
      </c>
      <c r="C1324" s="2682">
        <v>63.5</v>
      </c>
      <c r="D1324" s="2682">
        <v>123.825</v>
      </c>
      <c r="E1324" s="2682">
        <v>38.1</v>
      </c>
      <c r="F1324" s="2682" t="s">
        <v>5922</v>
      </c>
      <c r="G1324" s="2682" t="s">
        <v>5922</v>
      </c>
      <c r="H1324" s="2682" t="s">
        <v>5922</v>
      </c>
      <c r="I1324" s="2682" t="s">
        <v>5922</v>
      </c>
      <c r="J1324" s="2682">
        <v>2.0350000000000001</v>
      </c>
      <c r="L1324" s="2682" t="s">
        <v>5922</v>
      </c>
    </row>
    <row r="1325" spans="1:12">
      <c r="A1325" s="2683" t="s">
        <v>146</v>
      </c>
      <c r="B1325" s="2683" t="s">
        <v>7265</v>
      </c>
      <c r="C1325" s="2683">
        <v>53.975000000000001</v>
      </c>
      <c r="D1325" s="2683">
        <v>123.825</v>
      </c>
      <c r="E1325" s="2683">
        <v>38.1</v>
      </c>
      <c r="F1325" s="2683" t="s">
        <v>5922</v>
      </c>
      <c r="G1325" s="2683" t="s">
        <v>5922</v>
      </c>
      <c r="H1325" s="2683" t="s">
        <v>5922</v>
      </c>
      <c r="I1325" s="2683" t="s">
        <v>5922</v>
      </c>
      <c r="J1325" s="2683">
        <v>0</v>
      </c>
      <c r="K1325" s="2684"/>
      <c r="L1325" s="2683" t="s">
        <v>5922</v>
      </c>
    </row>
    <row r="1326" spans="1:12">
      <c r="A1326" s="2682" t="s">
        <v>146</v>
      </c>
      <c r="B1326" s="2682" t="s">
        <v>7266</v>
      </c>
      <c r="C1326" s="2682">
        <v>50.8</v>
      </c>
      <c r="D1326" s="2682">
        <v>107</v>
      </c>
      <c r="E1326" s="2682">
        <v>36.512</v>
      </c>
      <c r="F1326" s="2682" t="s">
        <v>5922</v>
      </c>
      <c r="G1326" s="2682" t="s">
        <v>5922</v>
      </c>
      <c r="H1326" s="2682" t="s">
        <v>5922</v>
      </c>
      <c r="I1326" s="2682" t="s">
        <v>5922</v>
      </c>
      <c r="J1326" s="2682">
        <v>0</v>
      </c>
      <c r="L1326" s="2682" t="s">
        <v>5922</v>
      </c>
    </row>
    <row r="1327" spans="1:12">
      <c r="A1327" s="2683" t="s">
        <v>146</v>
      </c>
      <c r="B1327" s="2683" t="s">
        <v>7267</v>
      </c>
      <c r="C1327" s="2683">
        <v>55.561999999999998</v>
      </c>
      <c r="D1327" s="2683">
        <v>122.238</v>
      </c>
      <c r="E1327" s="2683">
        <v>43.658000000000001</v>
      </c>
      <c r="F1327" s="2683" t="s">
        <v>5922</v>
      </c>
      <c r="G1327" s="2683" t="s">
        <v>5922</v>
      </c>
      <c r="H1327" s="2683" t="s">
        <v>5922</v>
      </c>
      <c r="I1327" s="2683" t="s">
        <v>5922</v>
      </c>
      <c r="J1327" s="2683">
        <v>0</v>
      </c>
      <c r="K1327" s="2684"/>
      <c r="L1327" s="2683" t="s">
        <v>5922</v>
      </c>
    </row>
    <row r="1328" spans="1:12">
      <c r="A1328" s="2682" t="s">
        <v>146</v>
      </c>
      <c r="B1328" s="2682" t="s">
        <v>7268</v>
      </c>
      <c r="C1328" s="2682">
        <v>50.8</v>
      </c>
      <c r="D1328" s="2682">
        <v>122.238</v>
      </c>
      <c r="E1328" s="2682">
        <v>43.08</v>
      </c>
      <c r="F1328" s="2682" t="s">
        <v>5922</v>
      </c>
      <c r="G1328" s="2682" t="s">
        <v>5922</v>
      </c>
      <c r="H1328" s="2682" t="s">
        <v>5922</v>
      </c>
      <c r="I1328" s="2682" t="s">
        <v>5922</v>
      </c>
      <c r="J1328" s="2682">
        <v>2.76</v>
      </c>
      <c r="L1328" s="2682" t="s">
        <v>5922</v>
      </c>
    </row>
    <row r="1329" spans="1:12">
      <c r="A1329" s="2683" t="s">
        <v>146</v>
      </c>
      <c r="B1329" s="2683" t="s">
        <v>7269</v>
      </c>
      <c r="C1329" s="2683">
        <v>57.15</v>
      </c>
      <c r="D1329" s="2683">
        <v>122.238</v>
      </c>
      <c r="E1329" s="2683">
        <v>38.1</v>
      </c>
      <c r="F1329" s="2683" t="s">
        <v>5922</v>
      </c>
      <c r="G1329" s="2683" t="s">
        <v>5922</v>
      </c>
      <c r="H1329" s="2683" t="s">
        <v>5922</v>
      </c>
      <c r="I1329" s="2683" t="s">
        <v>5922</v>
      </c>
      <c r="J1329" s="2683">
        <v>0</v>
      </c>
      <c r="K1329" s="2684"/>
      <c r="L1329" s="2683" t="s">
        <v>5922</v>
      </c>
    </row>
    <row r="1330" spans="1:12">
      <c r="A1330" s="2682" t="s">
        <v>146</v>
      </c>
      <c r="B1330" s="2682" t="s">
        <v>7270</v>
      </c>
      <c r="C1330" s="2682">
        <v>50.8</v>
      </c>
      <c r="D1330" s="2682">
        <v>122.238</v>
      </c>
      <c r="E1330" s="2682">
        <v>38.1</v>
      </c>
      <c r="F1330" s="2682" t="s">
        <v>5922</v>
      </c>
      <c r="G1330" s="2682" t="s">
        <v>5922</v>
      </c>
      <c r="H1330" s="2682" t="s">
        <v>5922</v>
      </c>
      <c r="I1330" s="2682" t="s">
        <v>5922</v>
      </c>
      <c r="J1330" s="2682">
        <v>0</v>
      </c>
      <c r="L1330" s="2682" t="s">
        <v>5922</v>
      </c>
    </row>
    <row r="1331" spans="1:12">
      <c r="A1331" s="2683" t="s">
        <v>146</v>
      </c>
      <c r="B1331" s="2683" t="s">
        <v>7271</v>
      </c>
      <c r="C1331" s="2683">
        <v>61.911999999999999</v>
      </c>
      <c r="D1331" s="2683">
        <v>122.238</v>
      </c>
      <c r="E1331" s="2683">
        <v>38.1</v>
      </c>
      <c r="F1331" s="2683" t="s">
        <v>5922</v>
      </c>
      <c r="G1331" s="2683" t="s">
        <v>5922</v>
      </c>
      <c r="H1331" s="2683" t="s">
        <v>5922</v>
      </c>
      <c r="I1331" s="2683" t="s">
        <v>5922</v>
      </c>
      <c r="J1331" s="2683">
        <v>0</v>
      </c>
      <c r="K1331" s="2684"/>
      <c r="L1331" s="2683" t="s">
        <v>5922</v>
      </c>
    </row>
    <row r="1332" spans="1:12">
      <c r="A1332" s="2682" t="s">
        <v>146</v>
      </c>
      <c r="B1332" s="2682" t="s">
        <v>7272</v>
      </c>
      <c r="C1332" s="2682">
        <v>50.8</v>
      </c>
      <c r="D1332" s="2682">
        <v>111.125</v>
      </c>
      <c r="E1332" s="2682">
        <v>30.161999999999999</v>
      </c>
      <c r="F1332" s="2682" t="s">
        <v>5922</v>
      </c>
      <c r="G1332" s="2682" t="s">
        <v>5922</v>
      </c>
      <c r="H1332" s="2682" t="s">
        <v>5922</v>
      </c>
      <c r="I1332" s="2682" t="s">
        <v>5922</v>
      </c>
      <c r="J1332" s="2682">
        <v>0</v>
      </c>
      <c r="L1332" s="2682" t="s">
        <v>5922</v>
      </c>
    </row>
    <row r="1333" spans="1:12">
      <c r="A1333" s="2683" t="s">
        <v>146</v>
      </c>
      <c r="B1333" s="2683" t="s">
        <v>7273</v>
      </c>
      <c r="C1333" s="2683">
        <v>47.625</v>
      </c>
      <c r="D1333" s="2683">
        <v>111.125</v>
      </c>
      <c r="E1333" s="2683">
        <v>30.161999999999999</v>
      </c>
      <c r="F1333" s="2683" t="s">
        <v>5922</v>
      </c>
      <c r="G1333" s="2683" t="s">
        <v>5922</v>
      </c>
      <c r="H1333" s="2683" t="s">
        <v>5922</v>
      </c>
      <c r="I1333" s="2683" t="s">
        <v>5922</v>
      </c>
      <c r="J1333" s="2683">
        <v>0</v>
      </c>
      <c r="K1333" s="2684"/>
      <c r="L1333" s="2683" t="s">
        <v>5922</v>
      </c>
    </row>
    <row r="1334" spans="1:12">
      <c r="A1334" s="2682" t="s">
        <v>146</v>
      </c>
      <c r="B1334" s="2682" t="s">
        <v>7274</v>
      </c>
      <c r="C1334" s="2682">
        <v>44.45</v>
      </c>
      <c r="D1334" s="2682">
        <v>112.712</v>
      </c>
      <c r="E1334" s="2682">
        <v>30.161999999999999</v>
      </c>
      <c r="F1334" s="2682" t="s">
        <v>5922</v>
      </c>
      <c r="G1334" s="2682" t="s">
        <v>5922</v>
      </c>
      <c r="H1334" s="2682" t="s">
        <v>5922</v>
      </c>
      <c r="I1334" s="2682" t="s">
        <v>5922</v>
      </c>
      <c r="J1334" s="2682">
        <v>0</v>
      </c>
      <c r="L1334" s="2682" t="s">
        <v>5922</v>
      </c>
    </row>
    <row r="1335" spans="1:12">
      <c r="A1335" s="2683" t="s">
        <v>146</v>
      </c>
      <c r="B1335" s="2683" t="s">
        <v>7275</v>
      </c>
      <c r="C1335" s="2683">
        <v>285.75</v>
      </c>
      <c r="D1335" s="2683">
        <v>354.012</v>
      </c>
      <c r="E1335" s="2683">
        <v>33.338000000000001</v>
      </c>
      <c r="F1335" s="2683" t="s">
        <v>5922</v>
      </c>
      <c r="G1335" s="2683" t="s">
        <v>5922</v>
      </c>
      <c r="H1335" s="2683" t="s">
        <v>5922</v>
      </c>
      <c r="I1335" s="2683" t="s">
        <v>5922</v>
      </c>
      <c r="J1335" s="2683">
        <v>0</v>
      </c>
      <c r="K1335" s="2684"/>
      <c r="L1335" s="2683" t="s">
        <v>5922</v>
      </c>
    </row>
    <row r="1336" spans="1:12">
      <c r="A1336" s="2682" t="s">
        <v>146</v>
      </c>
      <c r="B1336" s="2682" t="s">
        <v>7276</v>
      </c>
      <c r="C1336" s="2682">
        <v>231.77500000000001</v>
      </c>
      <c r="D1336" s="2682">
        <v>300.03800000000001</v>
      </c>
      <c r="E1336" s="2682">
        <v>33.338000000000001</v>
      </c>
      <c r="F1336" s="2682" t="s">
        <v>5922</v>
      </c>
      <c r="G1336" s="2682" t="s">
        <v>5922</v>
      </c>
      <c r="H1336" s="2682" t="s">
        <v>5922</v>
      </c>
      <c r="I1336" s="2682" t="s">
        <v>5922</v>
      </c>
      <c r="J1336" s="2682">
        <v>0</v>
      </c>
      <c r="L1336" s="2682" t="s">
        <v>5922</v>
      </c>
    </row>
    <row r="1337" spans="1:12">
      <c r="A1337" s="2683" t="s">
        <v>146</v>
      </c>
      <c r="B1337" s="2683" t="s">
        <v>7277</v>
      </c>
      <c r="C1337" s="2683">
        <v>228.6</v>
      </c>
      <c r="D1337" s="2683">
        <v>300.03800000000001</v>
      </c>
      <c r="E1337" s="2683">
        <v>33.338000000000001</v>
      </c>
      <c r="F1337" s="2683" t="s">
        <v>5922</v>
      </c>
      <c r="G1337" s="2683" t="s">
        <v>5922</v>
      </c>
      <c r="H1337" s="2683" t="s">
        <v>5922</v>
      </c>
      <c r="I1337" s="2683" t="s">
        <v>5922</v>
      </c>
      <c r="J1337" s="2683">
        <v>0</v>
      </c>
      <c r="K1337" s="2684"/>
      <c r="L1337" s="2683" t="s">
        <v>5922</v>
      </c>
    </row>
    <row r="1338" spans="1:12">
      <c r="A1338" s="2682" t="s">
        <v>146</v>
      </c>
      <c r="B1338" s="2682" t="s">
        <v>7278</v>
      </c>
      <c r="C1338" s="2682">
        <v>228.6</v>
      </c>
      <c r="D1338" s="2682">
        <v>295.27499999999998</v>
      </c>
      <c r="E1338" s="2682">
        <v>33.338000000000001</v>
      </c>
      <c r="F1338" s="2682" t="s">
        <v>5922</v>
      </c>
      <c r="G1338" s="2682" t="s">
        <v>5922</v>
      </c>
      <c r="H1338" s="2682" t="s">
        <v>5922</v>
      </c>
      <c r="I1338" s="2682" t="s">
        <v>5922</v>
      </c>
      <c r="J1338" s="2682">
        <v>0</v>
      </c>
      <c r="L1338" s="2682" t="s">
        <v>5922</v>
      </c>
    </row>
    <row r="1339" spans="1:12">
      <c r="A1339" s="2683" t="s">
        <v>146</v>
      </c>
      <c r="B1339" s="2683" t="s">
        <v>7279</v>
      </c>
      <c r="C1339" s="2683">
        <v>49.212000000000003</v>
      </c>
      <c r="D1339" s="2683">
        <v>103.188</v>
      </c>
      <c r="E1339" s="2683">
        <v>43.658000000000001</v>
      </c>
      <c r="F1339" s="2683" t="s">
        <v>5922</v>
      </c>
      <c r="G1339" s="2683" t="s">
        <v>5922</v>
      </c>
      <c r="H1339" s="2683" t="s">
        <v>5922</v>
      </c>
      <c r="I1339" s="2683" t="s">
        <v>5922</v>
      </c>
      <c r="J1339" s="2683">
        <v>0</v>
      </c>
      <c r="K1339" s="2684"/>
      <c r="L1339" s="2683" t="s">
        <v>5922</v>
      </c>
    </row>
    <row r="1340" spans="1:12">
      <c r="A1340" s="2682" t="s">
        <v>146</v>
      </c>
      <c r="B1340" s="2682" t="s">
        <v>7280</v>
      </c>
      <c r="C1340" s="2682">
        <v>44.45</v>
      </c>
      <c r="D1340" s="2682">
        <v>92</v>
      </c>
      <c r="E1340" s="2682">
        <v>26</v>
      </c>
      <c r="F1340" s="2682" t="s">
        <v>5922</v>
      </c>
      <c r="G1340" s="2682" t="s">
        <v>5922</v>
      </c>
      <c r="H1340" s="2682" t="s">
        <v>5922</v>
      </c>
      <c r="I1340" s="2682" t="s">
        <v>5922</v>
      </c>
      <c r="J1340" s="2682">
        <v>0.623</v>
      </c>
      <c r="L1340" s="2682" t="s">
        <v>5922</v>
      </c>
    </row>
    <row r="1341" spans="1:12">
      <c r="A1341" s="2683" t="s">
        <v>146</v>
      </c>
      <c r="B1341" s="2683" t="s">
        <v>7281</v>
      </c>
      <c r="C1341" s="2683">
        <v>44.45</v>
      </c>
      <c r="D1341" s="2683">
        <v>95.25</v>
      </c>
      <c r="E1341" s="2683">
        <v>30.957999999999998</v>
      </c>
      <c r="F1341" s="2683" t="s">
        <v>5922</v>
      </c>
      <c r="G1341" s="2683" t="s">
        <v>5922</v>
      </c>
      <c r="H1341" s="2683" t="s">
        <v>5922</v>
      </c>
      <c r="I1341" s="2683" t="s">
        <v>5922</v>
      </c>
      <c r="J1341" s="2683">
        <v>0.92700000000000005</v>
      </c>
      <c r="K1341" s="2684"/>
      <c r="L1341" s="2683" t="s">
        <v>5922</v>
      </c>
    </row>
    <row r="1342" spans="1:12">
      <c r="A1342" s="2682" t="s">
        <v>146</v>
      </c>
      <c r="B1342" s="2682" t="s">
        <v>7282</v>
      </c>
      <c r="C1342" s="2682">
        <v>101.6</v>
      </c>
      <c r="D1342" s="2682">
        <v>157.16200000000001</v>
      </c>
      <c r="E1342" s="2682">
        <v>36.512</v>
      </c>
      <c r="F1342" s="2682" t="s">
        <v>5922</v>
      </c>
      <c r="G1342" s="2682" t="s">
        <v>5922</v>
      </c>
      <c r="H1342" s="2682" t="s">
        <v>5922</v>
      </c>
      <c r="I1342" s="2682" t="s">
        <v>5922</v>
      </c>
      <c r="J1342" s="2682">
        <v>0</v>
      </c>
      <c r="L1342" s="2682" t="s">
        <v>5922</v>
      </c>
    </row>
    <row r="1343" spans="1:12">
      <c r="A1343" s="2683" t="s">
        <v>146</v>
      </c>
      <c r="B1343" s="2683" t="s">
        <v>7283</v>
      </c>
      <c r="C1343" s="2683">
        <v>100.012</v>
      </c>
      <c r="D1343" s="2683">
        <v>157.16200000000001</v>
      </c>
      <c r="E1343" s="2683">
        <v>36.512</v>
      </c>
      <c r="F1343" s="2683" t="s">
        <v>5922</v>
      </c>
      <c r="G1343" s="2683" t="s">
        <v>5922</v>
      </c>
      <c r="H1343" s="2683" t="s">
        <v>5922</v>
      </c>
      <c r="I1343" s="2683" t="s">
        <v>5922</v>
      </c>
      <c r="J1343" s="2683">
        <v>0</v>
      </c>
      <c r="K1343" s="2684"/>
      <c r="L1343" s="2683" t="s">
        <v>5922</v>
      </c>
    </row>
    <row r="1344" spans="1:12">
      <c r="A1344" s="2682" t="s">
        <v>146</v>
      </c>
      <c r="B1344" s="2682" t="s">
        <v>7284</v>
      </c>
      <c r="C1344" s="2682">
        <v>98.424999999999997</v>
      </c>
      <c r="D1344" s="2682">
        <v>161.92500000000001</v>
      </c>
      <c r="E1344" s="2682">
        <v>36.512</v>
      </c>
      <c r="F1344" s="2682" t="s">
        <v>5922</v>
      </c>
      <c r="G1344" s="2682" t="s">
        <v>5922</v>
      </c>
      <c r="H1344" s="2682" t="s">
        <v>5922</v>
      </c>
      <c r="I1344" s="2682" t="s">
        <v>5922</v>
      </c>
      <c r="J1344" s="2682">
        <v>0</v>
      </c>
      <c r="L1344" s="2682" t="s">
        <v>5922</v>
      </c>
    </row>
    <row r="1345" spans="1:12">
      <c r="A1345" s="2683" t="s">
        <v>146</v>
      </c>
      <c r="B1345" s="2683" t="s">
        <v>7285</v>
      </c>
      <c r="C1345" s="2683">
        <v>95.25</v>
      </c>
      <c r="D1345" s="2683">
        <v>157.16200000000001</v>
      </c>
      <c r="E1345" s="2683">
        <v>36.512</v>
      </c>
      <c r="F1345" s="2683" t="s">
        <v>5922</v>
      </c>
      <c r="G1345" s="2683" t="s">
        <v>5922</v>
      </c>
      <c r="H1345" s="2683" t="s">
        <v>5922</v>
      </c>
      <c r="I1345" s="2683" t="s">
        <v>5922</v>
      </c>
      <c r="J1345" s="2683">
        <v>0</v>
      </c>
      <c r="K1345" s="2684"/>
      <c r="L1345" s="2683" t="s">
        <v>5922</v>
      </c>
    </row>
    <row r="1346" spans="1:12">
      <c r="A1346" s="2682" t="s">
        <v>146</v>
      </c>
      <c r="B1346" s="2682" t="s">
        <v>7286</v>
      </c>
      <c r="C1346" s="2682">
        <v>84.138000000000005</v>
      </c>
      <c r="D1346" s="2682">
        <v>133.35</v>
      </c>
      <c r="E1346" s="2682">
        <v>30.161999999999999</v>
      </c>
      <c r="F1346" s="2682" t="s">
        <v>5922</v>
      </c>
      <c r="G1346" s="2682" t="s">
        <v>5922</v>
      </c>
      <c r="H1346" s="2682" t="s">
        <v>5922</v>
      </c>
      <c r="I1346" s="2682" t="s">
        <v>5922</v>
      </c>
      <c r="J1346" s="2682">
        <v>1.47</v>
      </c>
      <c r="L1346" s="2682" t="s">
        <v>5922</v>
      </c>
    </row>
    <row r="1347" spans="1:12">
      <c r="A1347" s="2683" t="s">
        <v>146</v>
      </c>
      <c r="B1347" s="2683" t="s">
        <v>7287</v>
      </c>
      <c r="C1347" s="2683">
        <v>84.138000000000005</v>
      </c>
      <c r="D1347" s="2683">
        <v>133.35</v>
      </c>
      <c r="E1347" s="2683">
        <v>30.161999999999999</v>
      </c>
      <c r="F1347" s="2683" t="s">
        <v>5922</v>
      </c>
      <c r="G1347" s="2683" t="s">
        <v>5922</v>
      </c>
      <c r="H1347" s="2683" t="s">
        <v>5922</v>
      </c>
      <c r="I1347" s="2683" t="s">
        <v>5922</v>
      </c>
      <c r="J1347" s="2683">
        <v>0</v>
      </c>
      <c r="K1347" s="2684"/>
      <c r="L1347" s="2683" t="s">
        <v>5922</v>
      </c>
    </row>
    <row r="1348" spans="1:12">
      <c r="A1348" s="2682" t="s">
        <v>146</v>
      </c>
      <c r="B1348" s="2682" t="s">
        <v>7288</v>
      </c>
      <c r="C1348" s="2682">
        <v>85.125</v>
      </c>
      <c r="D1348" s="2682">
        <v>136.52500000000001</v>
      </c>
      <c r="E1348" s="2682">
        <v>30.163</v>
      </c>
      <c r="F1348" s="2682" t="s">
        <v>5922</v>
      </c>
      <c r="G1348" s="2682" t="s">
        <v>5922</v>
      </c>
      <c r="H1348" s="2682" t="s">
        <v>5922</v>
      </c>
      <c r="I1348" s="2682" t="s">
        <v>5922</v>
      </c>
      <c r="J1348" s="2682">
        <v>1.6</v>
      </c>
      <c r="L1348" s="2682" t="s">
        <v>5922</v>
      </c>
    </row>
    <row r="1349" spans="1:12">
      <c r="A1349" s="2683" t="s">
        <v>146</v>
      </c>
      <c r="B1349" s="2683" t="s">
        <v>7289</v>
      </c>
      <c r="C1349" s="2683">
        <v>85.724999999999994</v>
      </c>
      <c r="D1349" s="2683">
        <v>133.35</v>
      </c>
      <c r="E1349" s="2683">
        <v>30.161999999999999</v>
      </c>
      <c r="F1349" s="2683" t="s">
        <v>5922</v>
      </c>
      <c r="G1349" s="2683" t="s">
        <v>5922</v>
      </c>
      <c r="H1349" s="2683" t="s">
        <v>5922</v>
      </c>
      <c r="I1349" s="2683" t="s">
        <v>5922</v>
      </c>
      <c r="J1349" s="2683">
        <v>1.4219999999999999</v>
      </c>
      <c r="K1349" s="2684"/>
      <c r="L1349" s="2683" t="s">
        <v>5922</v>
      </c>
    </row>
    <row r="1350" spans="1:12">
      <c r="A1350" s="2682" t="s">
        <v>146</v>
      </c>
      <c r="B1350" s="2682" t="s">
        <v>7290</v>
      </c>
      <c r="C1350" s="2682">
        <v>80.962000000000003</v>
      </c>
      <c r="D1350" s="2682">
        <v>133.35</v>
      </c>
      <c r="E1350" s="2682">
        <v>33.338000000000001</v>
      </c>
      <c r="F1350" s="2682" t="s">
        <v>5922</v>
      </c>
      <c r="G1350" s="2682" t="s">
        <v>5922</v>
      </c>
      <c r="H1350" s="2682" t="s">
        <v>5922</v>
      </c>
      <c r="I1350" s="2682" t="s">
        <v>5922</v>
      </c>
      <c r="J1350" s="2682">
        <v>0</v>
      </c>
      <c r="L1350" s="2682" t="s">
        <v>5922</v>
      </c>
    </row>
    <row r="1351" spans="1:12">
      <c r="A1351" s="2683" t="s">
        <v>146</v>
      </c>
      <c r="B1351" s="2683" t="s">
        <v>7291</v>
      </c>
      <c r="C1351" s="2683">
        <v>80.962000000000003</v>
      </c>
      <c r="D1351" s="2683">
        <v>136.52500000000001</v>
      </c>
      <c r="E1351" s="2683">
        <v>30.161999999999999</v>
      </c>
      <c r="F1351" s="2683" t="s">
        <v>5922</v>
      </c>
      <c r="G1351" s="2683" t="s">
        <v>5922</v>
      </c>
      <c r="H1351" s="2683" t="s">
        <v>5922</v>
      </c>
      <c r="I1351" s="2683" t="s">
        <v>5922</v>
      </c>
      <c r="J1351" s="2683">
        <v>1.75</v>
      </c>
      <c r="K1351" s="2684"/>
      <c r="L1351" s="2683" t="s">
        <v>5922</v>
      </c>
    </row>
    <row r="1352" spans="1:12">
      <c r="A1352" s="2682" t="s">
        <v>146</v>
      </c>
      <c r="B1352" s="2682" t="s">
        <v>7292</v>
      </c>
      <c r="C1352" s="2682">
        <v>80.962000000000003</v>
      </c>
      <c r="D1352" s="2682">
        <v>133.35</v>
      </c>
      <c r="E1352" s="2682">
        <v>30.161999999999999</v>
      </c>
      <c r="F1352" s="2682" t="s">
        <v>5922</v>
      </c>
      <c r="G1352" s="2682" t="s">
        <v>5922</v>
      </c>
      <c r="H1352" s="2682" t="s">
        <v>5922</v>
      </c>
      <c r="I1352" s="2682" t="s">
        <v>5922</v>
      </c>
      <c r="J1352" s="2682">
        <v>0</v>
      </c>
      <c r="L1352" s="2682" t="s">
        <v>5922</v>
      </c>
    </row>
    <row r="1353" spans="1:12">
      <c r="A1353" s="2683" t="s">
        <v>146</v>
      </c>
      <c r="B1353" s="2683" t="s">
        <v>7293</v>
      </c>
      <c r="C1353" s="2683">
        <v>76.2</v>
      </c>
      <c r="D1353" s="2683">
        <v>133.35</v>
      </c>
      <c r="E1353" s="2683">
        <v>30.161999999999999</v>
      </c>
      <c r="F1353" s="2683" t="s">
        <v>5922</v>
      </c>
      <c r="G1353" s="2683" t="s">
        <v>5922</v>
      </c>
      <c r="H1353" s="2683" t="s">
        <v>5922</v>
      </c>
      <c r="I1353" s="2683" t="s">
        <v>5922</v>
      </c>
      <c r="J1353" s="2683">
        <v>0</v>
      </c>
      <c r="K1353" s="2684"/>
      <c r="L1353" s="2683" t="s">
        <v>5922</v>
      </c>
    </row>
    <row r="1354" spans="1:12">
      <c r="A1354" s="2682" t="s">
        <v>146</v>
      </c>
      <c r="B1354" s="2682" t="s">
        <v>7294</v>
      </c>
      <c r="C1354" s="2682">
        <v>77.787999999999997</v>
      </c>
      <c r="D1354" s="2682">
        <v>133.35</v>
      </c>
      <c r="E1354" s="2682">
        <v>30.161999999999999</v>
      </c>
      <c r="F1354" s="2682" t="s">
        <v>5922</v>
      </c>
      <c r="G1354" s="2682" t="s">
        <v>5922</v>
      </c>
      <c r="H1354" s="2682" t="s">
        <v>5922</v>
      </c>
      <c r="I1354" s="2682" t="s">
        <v>5922</v>
      </c>
      <c r="J1354" s="2682">
        <v>0</v>
      </c>
      <c r="L1354" s="2682" t="s">
        <v>5922</v>
      </c>
    </row>
    <row r="1355" spans="1:12">
      <c r="A1355" s="2683" t="s">
        <v>146</v>
      </c>
      <c r="B1355" s="2683" t="s">
        <v>7295</v>
      </c>
      <c r="C1355" s="2683">
        <v>76.2</v>
      </c>
      <c r="D1355" s="2683">
        <v>136.52500000000001</v>
      </c>
      <c r="E1355" s="2683">
        <v>30.161999999999999</v>
      </c>
      <c r="F1355" s="2683" t="s">
        <v>5922</v>
      </c>
      <c r="G1355" s="2683" t="s">
        <v>5922</v>
      </c>
      <c r="H1355" s="2683" t="s">
        <v>5922</v>
      </c>
      <c r="I1355" s="2683" t="s">
        <v>5922</v>
      </c>
      <c r="J1355" s="2683">
        <v>1.82</v>
      </c>
      <c r="K1355" s="2684"/>
      <c r="L1355" s="2683" t="s">
        <v>5922</v>
      </c>
    </row>
    <row r="1356" spans="1:12">
      <c r="A1356" s="2682" t="s">
        <v>146</v>
      </c>
      <c r="B1356" s="2682" t="s">
        <v>7296</v>
      </c>
      <c r="C1356" s="2682">
        <v>66.674999999999997</v>
      </c>
      <c r="D1356" s="2682">
        <v>112.71299999999999</v>
      </c>
      <c r="E1356" s="2682">
        <v>30.163</v>
      </c>
      <c r="F1356" s="2682" t="s">
        <v>5922</v>
      </c>
      <c r="G1356" s="2682" t="s">
        <v>5922</v>
      </c>
      <c r="H1356" s="2682" t="s">
        <v>5922</v>
      </c>
      <c r="I1356" s="2682" t="s">
        <v>5922</v>
      </c>
      <c r="J1356" s="2682">
        <v>1.143</v>
      </c>
      <c r="L1356" s="2682">
        <v>7913</v>
      </c>
    </row>
    <row r="1357" spans="1:12">
      <c r="A1357" s="2683" t="s">
        <v>146</v>
      </c>
      <c r="B1357" s="2683" t="s">
        <v>7297</v>
      </c>
      <c r="C1357" s="2683">
        <v>63.5</v>
      </c>
      <c r="D1357" s="2683">
        <v>112.71299999999999</v>
      </c>
      <c r="E1357" s="2683">
        <v>30.161999999999999</v>
      </c>
      <c r="F1357" s="2683" t="s">
        <v>5922</v>
      </c>
      <c r="G1357" s="2683" t="s">
        <v>5922</v>
      </c>
      <c r="H1357" s="2683" t="s">
        <v>5922</v>
      </c>
      <c r="I1357" s="2683" t="s">
        <v>5922</v>
      </c>
      <c r="J1357" s="2683">
        <v>1.236</v>
      </c>
      <c r="K1357" s="2684"/>
      <c r="L1357" s="2683" t="s">
        <v>5922</v>
      </c>
    </row>
    <row r="1358" spans="1:12">
      <c r="A1358" s="2682" t="s">
        <v>146</v>
      </c>
      <c r="B1358" s="2682" t="s">
        <v>7298</v>
      </c>
      <c r="C1358" s="2682">
        <v>57.15</v>
      </c>
      <c r="D1358" s="2682">
        <v>112.712</v>
      </c>
      <c r="E1358" s="2682">
        <v>30.161999999999999</v>
      </c>
      <c r="F1358" s="2682" t="s">
        <v>5922</v>
      </c>
      <c r="G1358" s="2682" t="s">
        <v>5922</v>
      </c>
      <c r="H1358" s="2682" t="s">
        <v>5922</v>
      </c>
      <c r="I1358" s="2682" t="s">
        <v>5922</v>
      </c>
      <c r="J1358" s="2682">
        <v>1.42</v>
      </c>
      <c r="L1358" s="2682" t="s">
        <v>5922</v>
      </c>
    </row>
    <row r="1359" spans="1:12">
      <c r="A1359" s="2683" t="s">
        <v>146</v>
      </c>
      <c r="B1359" s="2683" t="s">
        <v>7299</v>
      </c>
      <c r="C1359" s="2683">
        <v>53.975000000000001</v>
      </c>
      <c r="D1359" s="2683">
        <v>112.712</v>
      </c>
      <c r="E1359" s="2683">
        <v>30.161999999999999</v>
      </c>
      <c r="F1359" s="2683" t="s">
        <v>5922</v>
      </c>
      <c r="G1359" s="2683" t="s">
        <v>5922</v>
      </c>
      <c r="H1359" s="2683" t="s">
        <v>5922</v>
      </c>
      <c r="I1359" s="2683" t="s">
        <v>5922</v>
      </c>
      <c r="J1359" s="2683">
        <v>0</v>
      </c>
      <c r="K1359" s="2684"/>
      <c r="L1359" s="2683" t="s">
        <v>5922</v>
      </c>
    </row>
    <row r="1360" spans="1:12">
      <c r="A1360" s="2682" t="s">
        <v>146</v>
      </c>
      <c r="B1360" s="2682" t="s">
        <v>7300</v>
      </c>
      <c r="C1360" s="2682">
        <v>63.5</v>
      </c>
      <c r="D1360" s="2682">
        <v>110</v>
      </c>
      <c r="E1360" s="2682">
        <v>22</v>
      </c>
      <c r="F1360" s="2682" t="s">
        <v>5922</v>
      </c>
      <c r="G1360" s="2682" t="s">
        <v>5922</v>
      </c>
      <c r="H1360" s="2682" t="s">
        <v>5922</v>
      </c>
      <c r="I1360" s="2682" t="s">
        <v>5922</v>
      </c>
      <c r="J1360" s="2682">
        <v>0.84299999999999997</v>
      </c>
      <c r="L1360" s="2682" t="s">
        <v>5922</v>
      </c>
    </row>
    <row r="1361" spans="1:12">
      <c r="A1361" s="2683" t="s">
        <v>146</v>
      </c>
      <c r="B1361" s="2683" t="s">
        <v>7301</v>
      </c>
      <c r="C1361" s="2683">
        <v>63.5</v>
      </c>
      <c r="D1361" s="2683">
        <v>110</v>
      </c>
      <c r="E1361" s="2683">
        <v>22</v>
      </c>
      <c r="F1361" s="2683" t="s">
        <v>5922</v>
      </c>
      <c r="G1361" s="2683" t="s">
        <v>5922</v>
      </c>
      <c r="H1361" s="2683" t="s">
        <v>5922</v>
      </c>
      <c r="I1361" s="2683" t="s">
        <v>5922</v>
      </c>
      <c r="J1361" s="2683">
        <v>0.85</v>
      </c>
      <c r="K1361" s="2684"/>
      <c r="L1361" s="2683" t="s">
        <v>5922</v>
      </c>
    </row>
    <row r="1362" spans="1:12">
      <c r="A1362" s="2682" t="s">
        <v>146</v>
      </c>
      <c r="B1362" s="2682" t="s">
        <v>7302</v>
      </c>
      <c r="C1362" s="2682">
        <v>53.975000000000001</v>
      </c>
      <c r="D1362" s="2682">
        <v>96.837999999999994</v>
      </c>
      <c r="E1362" s="2682">
        <v>21</v>
      </c>
      <c r="F1362" s="2682" t="s">
        <v>5922</v>
      </c>
      <c r="G1362" s="2682" t="s">
        <v>5922</v>
      </c>
      <c r="H1362" s="2682" t="s">
        <v>5922</v>
      </c>
      <c r="I1362" s="2682" t="s">
        <v>5922</v>
      </c>
      <c r="J1362" s="2682">
        <v>0</v>
      </c>
      <c r="L1362" s="2682" t="s">
        <v>5922</v>
      </c>
    </row>
    <row r="1363" spans="1:12">
      <c r="A1363" s="2683" t="s">
        <v>146</v>
      </c>
      <c r="B1363" s="2683" t="s">
        <v>7303</v>
      </c>
      <c r="C1363" s="2683">
        <v>53.975000000000001</v>
      </c>
      <c r="D1363" s="2683">
        <v>98.424999999999997</v>
      </c>
      <c r="E1363" s="2683">
        <v>21</v>
      </c>
      <c r="F1363" s="2683" t="s">
        <v>5922</v>
      </c>
      <c r="G1363" s="2683" t="s">
        <v>5922</v>
      </c>
      <c r="H1363" s="2683" t="s">
        <v>5922</v>
      </c>
      <c r="I1363" s="2683" t="s">
        <v>5922</v>
      </c>
      <c r="J1363" s="2683">
        <v>0</v>
      </c>
      <c r="K1363" s="2684"/>
      <c r="L1363" s="2683" t="s">
        <v>5922</v>
      </c>
    </row>
    <row r="1364" spans="1:12">
      <c r="A1364" s="2682" t="s">
        <v>146</v>
      </c>
      <c r="B1364" s="2682" t="s">
        <v>7304</v>
      </c>
      <c r="C1364" s="2682">
        <v>63.5</v>
      </c>
      <c r="D1364" s="2682">
        <v>112.712</v>
      </c>
      <c r="E1364" s="2682">
        <v>30.161999999999999</v>
      </c>
      <c r="F1364" s="2682" t="s">
        <v>5922</v>
      </c>
      <c r="G1364" s="2682" t="s">
        <v>5922</v>
      </c>
      <c r="H1364" s="2682" t="s">
        <v>5922</v>
      </c>
      <c r="I1364" s="2682" t="s">
        <v>5922</v>
      </c>
      <c r="J1364" s="2682">
        <v>0</v>
      </c>
      <c r="L1364" s="2682" t="s">
        <v>5922</v>
      </c>
    </row>
    <row r="1365" spans="1:12">
      <c r="A1365" s="2683" t="s">
        <v>146</v>
      </c>
      <c r="B1365" s="2683" t="s">
        <v>7305</v>
      </c>
      <c r="C1365" s="2683">
        <v>55.575000000000003</v>
      </c>
      <c r="D1365" s="2683">
        <v>96.837999999999994</v>
      </c>
      <c r="E1365" s="2683">
        <v>21</v>
      </c>
      <c r="F1365" s="2683" t="s">
        <v>5922</v>
      </c>
      <c r="G1365" s="2683" t="s">
        <v>5922</v>
      </c>
      <c r="H1365" s="2683" t="s">
        <v>5922</v>
      </c>
      <c r="I1365" s="2683" t="s">
        <v>5922</v>
      </c>
      <c r="J1365" s="2683">
        <v>0</v>
      </c>
      <c r="K1365" s="2684"/>
      <c r="L1365" s="2683" t="s">
        <v>5922</v>
      </c>
    </row>
    <row r="1366" spans="1:12">
      <c r="A1366" s="2682" t="s">
        <v>146</v>
      </c>
      <c r="B1366" s="2682" t="s">
        <v>7306</v>
      </c>
      <c r="C1366" s="2682">
        <v>60.325000000000003</v>
      </c>
      <c r="D1366" s="2682">
        <v>112.712</v>
      </c>
      <c r="E1366" s="2682">
        <v>30.161999999999999</v>
      </c>
      <c r="F1366" s="2682" t="s">
        <v>5922</v>
      </c>
      <c r="G1366" s="2682" t="s">
        <v>5922</v>
      </c>
      <c r="H1366" s="2682" t="s">
        <v>5922</v>
      </c>
      <c r="I1366" s="2682" t="s">
        <v>5922</v>
      </c>
      <c r="J1366" s="2682">
        <v>0</v>
      </c>
      <c r="L1366" s="2682" t="s">
        <v>5922</v>
      </c>
    </row>
    <row r="1367" spans="1:12">
      <c r="A1367" s="2683" t="s">
        <v>146</v>
      </c>
      <c r="B1367" s="2683" t="s">
        <v>7307</v>
      </c>
      <c r="C1367" s="2683">
        <v>57.15</v>
      </c>
      <c r="D1367" s="2683">
        <v>96.837999999999994</v>
      </c>
      <c r="E1367" s="2683">
        <v>21</v>
      </c>
      <c r="F1367" s="2683" t="s">
        <v>5922</v>
      </c>
      <c r="G1367" s="2683" t="s">
        <v>5922</v>
      </c>
      <c r="H1367" s="2683" t="s">
        <v>5922</v>
      </c>
      <c r="I1367" s="2683" t="s">
        <v>5922</v>
      </c>
      <c r="J1367" s="2683">
        <v>0</v>
      </c>
      <c r="K1367" s="2684"/>
      <c r="L1367" s="2683" t="s">
        <v>5922</v>
      </c>
    </row>
    <row r="1368" spans="1:12">
      <c r="A1368" s="2682" t="s">
        <v>146</v>
      </c>
      <c r="B1368" s="2682" t="s">
        <v>7308</v>
      </c>
      <c r="C1368" s="2682">
        <v>57.15</v>
      </c>
      <c r="D1368" s="2682">
        <v>100</v>
      </c>
      <c r="E1368" s="2682">
        <v>21</v>
      </c>
      <c r="F1368" s="2682" t="s">
        <v>5922</v>
      </c>
      <c r="G1368" s="2682" t="s">
        <v>5922</v>
      </c>
      <c r="H1368" s="2682" t="s">
        <v>5922</v>
      </c>
      <c r="I1368" s="2682" t="s">
        <v>5922</v>
      </c>
      <c r="J1368" s="2682">
        <v>0</v>
      </c>
      <c r="L1368" s="2682" t="s">
        <v>5922</v>
      </c>
    </row>
    <row r="1369" spans="1:12">
      <c r="A1369" s="2683" t="s">
        <v>146</v>
      </c>
      <c r="B1369" s="2683" t="s">
        <v>7309</v>
      </c>
      <c r="C1369" s="2683">
        <v>57.15</v>
      </c>
      <c r="D1369" s="2683">
        <v>96.837999999999994</v>
      </c>
      <c r="E1369" s="2683">
        <v>25.4</v>
      </c>
      <c r="F1369" s="2683" t="s">
        <v>5922</v>
      </c>
      <c r="G1369" s="2683" t="s">
        <v>5922</v>
      </c>
      <c r="H1369" s="2683" t="s">
        <v>5922</v>
      </c>
      <c r="I1369" s="2683" t="s">
        <v>5922</v>
      </c>
      <c r="J1369" s="2683">
        <v>0</v>
      </c>
      <c r="K1369" s="2684"/>
      <c r="L1369" s="2683" t="s">
        <v>5922</v>
      </c>
    </row>
    <row r="1370" spans="1:12">
      <c r="A1370" s="2682" t="s">
        <v>146</v>
      </c>
      <c r="B1370" s="2682" t="s">
        <v>7310</v>
      </c>
      <c r="C1370" s="2682">
        <v>57.15</v>
      </c>
      <c r="D1370" s="2682">
        <v>96.837999999999994</v>
      </c>
      <c r="E1370" s="2682">
        <v>21.001000000000001</v>
      </c>
      <c r="F1370" s="2682" t="s">
        <v>5922</v>
      </c>
      <c r="G1370" s="2682" t="s">
        <v>5922</v>
      </c>
      <c r="H1370" s="2682" t="s">
        <v>5922</v>
      </c>
      <c r="I1370" s="2682" t="s">
        <v>5922</v>
      </c>
      <c r="J1370" s="2682">
        <v>0.58299999999999996</v>
      </c>
      <c r="L1370" s="2682" t="s">
        <v>5922</v>
      </c>
    </row>
    <row r="1371" spans="1:12">
      <c r="A1371" s="2683" t="s">
        <v>146</v>
      </c>
      <c r="B1371" s="2683" t="s">
        <v>7311</v>
      </c>
      <c r="C1371" s="2683">
        <v>57.15</v>
      </c>
      <c r="D1371" s="2683">
        <v>98.424999999999997</v>
      </c>
      <c r="E1371" s="2683">
        <v>21</v>
      </c>
      <c r="F1371" s="2683" t="s">
        <v>5922</v>
      </c>
      <c r="G1371" s="2683" t="s">
        <v>5922</v>
      </c>
      <c r="H1371" s="2683" t="s">
        <v>5922</v>
      </c>
      <c r="I1371" s="2683" t="s">
        <v>5922</v>
      </c>
      <c r="J1371" s="2683">
        <v>0</v>
      </c>
      <c r="K1371" s="2684"/>
      <c r="L1371" s="2683" t="s">
        <v>5922</v>
      </c>
    </row>
    <row r="1372" spans="1:12">
      <c r="A1372" s="2682" t="s">
        <v>146</v>
      </c>
      <c r="B1372" s="2682" t="s">
        <v>7312</v>
      </c>
      <c r="C1372" s="2682">
        <v>36.512</v>
      </c>
      <c r="D1372" s="2682">
        <v>85.724999999999994</v>
      </c>
      <c r="E1372" s="2682">
        <v>30.161999999999999</v>
      </c>
      <c r="F1372" s="2682" t="s">
        <v>5922</v>
      </c>
      <c r="G1372" s="2682" t="s">
        <v>5922</v>
      </c>
      <c r="H1372" s="2682" t="s">
        <v>5922</v>
      </c>
      <c r="I1372" s="2682" t="s">
        <v>5922</v>
      </c>
      <c r="J1372" s="2682">
        <v>0</v>
      </c>
      <c r="L1372" s="2682" t="s">
        <v>5922</v>
      </c>
    </row>
    <row r="1373" spans="1:12">
      <c r="A1373" s="2683" t="s">
        <v>146</v>
      </c>
      <c r="B1373" s="2683" t="s">
        <v>7313</v>
      </c>
      <c r="C1373" s="2683">
        <v>34.9</v>
      </c>
      <c r="D1373" s="2683">
        <v>85.72</v>
      </c>
      <c r="E1373" s="2683">
        <v>30.16</v>
      </c>
      <c r="F1373" s="2683" t="s">
        <v>5922</v>
      </c>
      <c r="G1373" s="2683" t="s">
        <v>5922</v>
      </c>
      <c r="H1373" s="2683" t="s">
        <v>5922</v>
      </c>
      <c r="I1373" s="2683" t="s">
        <v>5922</v>
      </c>
      <c r="J1373" s="2683">
        <v>0.88</v>
      </c>
      <c r="K1373" s="2684"/>
      <c r="L1373" s="2683" t="s">
        <v>5922</v>
      </c>
    </row>
    <row r="1374" spans="1:12">
      <c r="A1374" s="2682" t="s">
        <v>146</v>
      </c>
      <c r="B1374" s="2682" t="s">
        <v>7314</v>
      </c>
      <c r="C1374" s="2682">
        <v>57.15</v>
      </c>
      <c r="D1374" s="2682">
        <v>100</v>
      </c>
      <c r="E1374" s="2682">
        <v>21</v>
      </c>
      <c r="F1374" s="2682" t="s">
        <v>5922</v>
      </c>
      <c r="G1374" s="2682" t="s">
        <v>5922</v>
      </c>
      <c r="H1374" s="2682" t="s">
        <v>5922</v>
      </c>
      <c r="I1374" s="2682" t="s">
        <v>5922</v>
      </c>
      <c r="J1374" s="2682">
        <v>0.6</v>
      </c>
      <c r="L1374" s="2682" t="s">
        <v>5922</v>
      </c>
    </row>
    <row r="1375" spans="1:12">
      <c r="A1375" s="2683" t="s">
        <v>146</v>
      </c>
      <c r="B1375" s="2683" t="s">
        <v>7315</v>
      </c>
      <c r="C1375" s="2683">
        <v>57.15</v>
      </c>
      <c r="D1375" s="2683">
        <v>96.837999999999994</v>
      </c>
      <c r="E1375" s="2683">
        <v>25.4</v>
      </c>
      <c r="F1375" s="2683" t="s">
        <v>5922</v>
      </c>
      <c r="G1375" s="2683" t="s">
        <v>5922</v>
      </c>
      <c r="H1375" s="2683" t="s">
        <v>5922</v>
      </c>
      <c r="I1375" s="2683" t="s">
        <v>5922</v>
      </c>
      <c r="J1375" s="2683">
        <v>0.65400000000000003</v>
      </c>
      <c r="K1375" s="2684"/>
      <c r="L1375" s="2683" t="s">
        <v>5922</v>
      </c>
    </row>
    <row r="1376" spans="1:12">
      <c r="A1376" s="2682" t="s">
        <v>146</v>
      </c>
      <c r="B1376" s="2682" t="s">
        <v>7316</v>
      </c>
      <c r="C1376" s="2682">
        <v>55.15</v>
      </c>
      <c r="D1376" s="2682">
        <v>96.837999999999994</v>
      </c>
      <c r="E1376" s="2682">
        <v>21</v>
      </c>
      <c r="F1376" s="2682" t="s">
        <v>5922</v>
      </c>
      <c r="G1376" s="2682" t="s">
        <v>5922</v>
      </c>
      <c r="H1376" s="2682" t="s">
        <v>5922</v>
      </c>
      <c r="I1376" s="2682" t="s">
        <v>5922</v>
      </c>
      <c r="J1376" s="2682">
        <v>0</v>
      </c>
      <c r="L1376" s="2682" t="s">
        <v>5922</v>
      </c>
    </row>
    <row r="1377" spans="1:12">
      <c r="A1377" s="2683" t="s">
        <v>146</v>
      </c>
      <c r="B1377" s="2683" t="s">
        <v>7317</v>
      </c>
      <c r="C1377" s="2683">
        <v>47.625</v>
      </c>
      <c r="D1377" s="2683">
        <v>96.837999999999994</v>
      </c>
      <c r="E1377" s="2683">
        <v>21</v>
      </c>
      <c r="F1377" s="2683" t="s">
        <v>5922</v>
      </c>
      <c r="G1377" s="2683" t="s">
        <v>5922</v>
      </c>
      <c r="H1377" s="2683" t="s">
        <v>5922</v>
      </c>
      <c r="I1377" s="2683" t="s">
        <v>5922</v>
      </c>
      <c r="J1377" s="2683">
        <v>0</v>
      </c>
      <c r="K1377" s="2684"/>
      <c r="L1377" s="2683" t="s">
        <v>5922</v>
      </c>
    </row>
    <row r="1378" spans="1:12">
      <c r="A1378" s="2682" t="s">
        <v>146</v>
      </c>
      <c r="B1378" s="2682" t="s">
        <v>7318</v>
      </c>
      <c r="C1378" s="2682">
        <v>55</v>
      </c>
      <c r="D1378" s="2682">
        <v>96.837999999999994</v>
      </c>
      <c r="E1378" s="2682">
        <v>21</v>
      </c>
      <c r="F1378" s="2682" t="s">
        <v>5922</v>
      </c>
      <c r="G1378" s="2682" t="s">
        <v>5922</v>
      </c>
      <c r="H1378" s="2682" t="s">
        <v>5922</v>
      </c>
      <c r="I1378" s="2682" t="s">
        <v>5922</v>
      </c>
      <c r="J1378" s="2682">
        <v>0</v>
      </c>
      <c r="L1378" s="2682" t="s">
        <v>5922</v>
      </c>
    </row>
    <row r="1379" spans="1:12">
      <c r="A1379" s="2683" t="s">
        <v>146</v>
      </c>
      <c r="B1379" s="2683" t="s">
        <v>7319</v>
      </c>
      <c r="C1379" s="2683">
        <v>55</v>
      </c>
      <c r="D1379" s="2683">
        <v>96.837999999999994</v>
      </c>
      <c r="E1379" s="2683">
        <v>21</v>
      </c>
      <c r="F1379" s="2683" t="s">
        <v>5922</v>
      </c>
      <c r="G1379" s="2683" t="s">
        <v>5922</v>
      </c>
      <c r="H1379" s="2683" t="s">
        <v>5922</v>
      </c>
      <c r="I1379" s="2683" t="s">
        <v>5922</v>
      </c>
      <c r="J1379" s="2683">
        <v>0</v>
      </c>
      <c r="K1379" s="2684"/>
      <c r="L1379" s="2683" t="s">
        <v>5922</v>
      </c>
    </row>
    <row r="1380" spans="1:12">
      <c r="A1380" s="2682" t="s">
        <v>146</v>
      </c>
      <c r="B1380" s="2682" t="s">
        <v>7320</v>
      </c>
      <c r="C1380" s="2682">
        <v>50.8</v>
      </c>
      <c r="D1380" s="2682">
        <v>93.263999999999996</v>
      </c>
      <c r="E1380" s="2682">
        <v>30.161999999999999</v>
      </c>
      <c r="F1380" s="2682" t="s">
        <v>5922</v>
      </c>
      <c r="G1380" s="2682" t="s">
        <v>5922</v>
      </c>
      <c r="H1380" s="2682" t="s">
        <v>5922</v>
      </c>
      <c r="I1380" s="2682" t="s">
        <v>5922</v>
      </c>
      <c r="J1380" s="2682">
        <v>0</v>
      </c>
      <c r="L1380" s="2682" t="s">
        <v>5922</v>
      </c>
    </row>
    <row r="1381" spans="1:12">
      <c r="A1381" s="2683" t="s">
        <v>146</v>
      </c>
      <c r="B1381" s="2683" t="s">
        <v>7321</v>
      </c>
      <c r="C1381" s="2683">
        <v>49.212000000000003</v>
      </c>
      <c r="D1381" s="2683">
        <v>93.263999999999996</v>
      </c>
      <c r="E1381" s="2683">
        <v>30.161999999999999</v>
      </c>
      <c r="F1381" s="2683" t="s">
        <v>5922</v>
      </c>
      <c r="G1381" s="2683" t="s">
        <v>5922</v>
      </c>
      <c r="H1381" s="2683" t="s">
        <v>5922</v>
      </c>
      <c r="I1381" s="2683" t="s">
        <v>5922</v>
      </c>
      <c r="J1381" s="2683">
        <v>0</v>
      </c>
      <c r="K1381" s="2684"/>
      <c r="L1381" s="2683" t="s">
        <v>5922</v>
      </c>
    </row>
    <row r="1382" spans="1:12">
      <c r="A1382" s="2682" t="s">
        <v>146</v>
      </c>
      <c r="B1382" s="2682" t="s">
        <v>7322</v>
      </c>
      <c r="C1382" s="2682">
        <v>49.212000000000003</v>
      </c>
      <c r="D1382" s="2682">
        <v>93.623999999999995</v>
      </c>
      <c r="E1382" s="2682">
        <v>30.161999999999999</v>
      </c>
      <c r="F1382" s="2682" t="s">
        <v>5922</v>
      </c>
      <c r="G1382" s="2682" t="s">
        <v>5922</v>
      </c>
      <c r="H1382" s="2682" t="s">
        <v>5922</v>
      </c>
      <c r="I1382" s="2682" t="s">
        <v>5922</v>
      </c>
      <c r="J1382" s="2682">
        <v>0</v>
      </c>
      <c r="L1382" s="2682" t="s">
        <v>5922</v>
      </c>
    </row>
    <row r="1383" spans="1:12">
      <c r="A1383" s="2683" t="s">
        <v>146</v>
      </c>
      <c r="B1383" s="2683" t="s">
        <v>7323</v>
      </c>
      <c r="C1383" s="2683">
        <v>50.8</v>
      </c>
      <c r="D1383" s="2683">
        <v>98.424999999999997</v>
      </c>
      <c r="E1383" s="2683">
        <v>30.161999999999999</v>
      </c>
      <c r="F1383" s="2683" t="s">
        <v>5922</v>
      </c>
      <c r="G1383" s="2683" t="s">
        <v>5922</v>
      </c>
      <c r="H1383" s="2683" t="s">
        <v>5922</v>
      </c>
      <c r="I1383" s="2683" t="s">
        <v>5922</v>
      </c>
      <c r="J1383" s="2683">
        <v>0</v>
      </c>
      <c r="K1383" s="2684"/>
      <c r="L1383" s="2683" t="s">
        <v>5922</v>
      </c>
    </row>
    <row r="1384" spans="1:12">
      <c r="A1384" s="2682" t="s">
        <v>146</v>
      </c>
      <c r="B1384" s="2682" t="s">
        <v>7324</v>
      </c>
      <c r="C1384" s="2682">
        <v>50.8</v>
      </c>
      <c r="D1384" s="2682">
        <v>93.263999999999996</v>
      </c>
      <c r="E1384" s="2682">
        <v>30.161999999999999</v>
      </c>
      <c r="F1384" s="2682" t="s">
        <v>5922</v>
      </c>
      <c r="G1384" s="2682" t="s">
        <v>5922</v>
      </c>
      <c r="H1384" s="2682" t="s">
        <v>5922</v>
      </c>
      <c r="I1384" s="2682" t="s">
        <v>5922</v>
      </c>
      <c r="J1384" s="2682">
        <v>0</v>
      </c>
      <c r="L1384" s="2682" t="s">
        <v>5922</v>
      </c>
    </row>
    <row r="1385" spans="1:12">
      <c r="A1385" s="2683" t="s">
        <v>146</v>
      </c>
      <c r="B1385" s="2683" t="s">
        <v>7325</v>
      </c>
      <c r="C1385" s="2683">
        <v>50.8</v>
      </c>
      <c r="D1385" s="2683">
        <v>95.25</v>
      </c>
      <c r="E1385" s="2683">
        <v>30.161999999999999</v>
      </c>
      <c r="F1385" s="2683" t="s">
        <v>5922</v>
      </c>
      <c r="G1385" s="2683" t="s">
        <v>5922</v>
      </c>
      <c r="H1385" s="2683" t="s">
        <v>5922</v>
      </c>
      <c r="I1385" s="2683" t="s">
        <v>5922</v>
      </c>
      <c r="J1385" s="2683">
        <v>0</v>
      </c>
      <c r="K1385" s="2684"/>
      <c r="L1385" s="2683" t="s">
        <v>5922</v>
      </c>
    </row>
    <row r="1386" spans="1:12">
      <c r="A1386" s="2682" t="s">
        <v>146</v>
      </c>
      <c r="B1386" s="2682" t="s">
        <v>7326</v>
      </c>
      <c r="C1386" s="2682">
        <v>50.8</v>
      </c>
      <c r="D1386" s="2682">
        <v>93.263999999999996</v>
      </c>
      <c r="E1386" s="2682">
        <v>30.161999999999999</v>
      </c>
      <c r="F1386" s="2682" t="s">
        <v>5922</v>
      </c>
      <c r="G1386" s="2682" t="s">
        <v>5922</v>
      </c>
      <c r="H1386" s="2682" t="s">
        <v>5922</v>
      </c>
      <c r="I1386" s="2682" t="s">
        <v>5922</v>
      </c>
      <c r="J1386" s="2682">
        <v>0.87</v>
      </c>
      <c r="L1386" s="2682" t="s">
        <v>5922</v>
      </c>
    </row>
    <row r="1387" spans="1:12">
      <c r="A1387" s="2683" t="s">
        <v>146</v>
      </c>
      <c r="B1387" s="2683" t="s">
        <v>7327</v>
      </c>
      <c r="C1387" s="2683">
        <v>47.625</v>
      </c>
      <c r="D1387" s="2683">
        <v>93.263999999999996</v>
      </c>
      <c r="E1387" s="2683">
        <v>30.161999999999999</v>
      </c>
      <c r="F1387" s="2683" t="s">
        <v>5922</v>
      </c>
      <c r="G1387" s="2683" t="s">
        <v>5922</v>
      </c>
      <c r="H1387" s="2683" t="s">
        <v>5922</v>
      </c>
      <c r="I1387" s="2683" t="s">
        <v>5922</v>
      </c>
      <c r="J1387" s="2683">
        <v>0</v>
      </c>
      <c r="K1387" s="2684"/>
      <c r="L1387" s="2683" t="s">
        <v>5922</v>
      </c>
    </row>
    <row r="1388" spans="1:12">
      <c r="A1388" s="2682" t="s">
        <v>146</v>
      </c>
      <c r="B1388" s="2682" t="s">
        <v>7328</v>
      </c>
      <c r="C1388" s="2682">
        <v>47.625</v>
      </c>
      <c r="D1388" s="2682">
        <v>93.263999999999996</v>
      </c>
      <c r="E1388" s="2682">
        <v>30.161999999999999</v>
      </c>
      <c r="F1388" s="2682" t="s">
        <v>5922</v>
      </c>
      <c r="G1388" s="2682" t="s">
        <v>5922</v>
      </c>
      <c r="H1388" s="2682" t="s">
        <v>5922</v>
      </c>
      <c r="I1388" s="2682" t="s">
        <v>5922</v>
      </c>
      <c r="J1388" s="2682">
        <v>0</v>
      </c>
      <c r="L1388" s="2682" t="s">
        <v>5922</v>
      </c>
    </row>
    <row r="1389" spans="1:12">
      <c r="A1389" s="2683" t="s">
        <v>146</v>
      </c>
      <c r="B1389" s="2683" t="s">
        <v>7329</v>
      </c>
      <c r="C1389" s="2683">
        <v>46.037999999999997</v>
      </c>
      <c r="D1389" s="2683">
        <v>93.263999999999996</v>
      </c>
      <c r="E1389" s="2683">
        <v>30.161999999999999</v>
      </c>
      <c r="F1389" s="2683" t="s">
        <v>5922</v>
      </c>
      <c r="G1389" s="2683" t="s">
        <v>5922</v>
      </c>
      <c r="H1389" s="2683" t="s">
        <v>5922</v>
      </c>
      <c r="I1389" s="2683" t="s">
        <v>5922</v>
      </c>
      <c r="J1389" s="2683">
        <v>0</v>
      </c>
      <c r="K1389" s="2684"/>
      <c r="L1389" s="2683" t="s">
        <v>5922</v>
      </c>
    </row>
    <row r="1390" spans="1:12">
      <c r="A1390" s="2682" t="s">
        <v>146</v>
      </c>
      <c r="B1390" s="2682" t="s">
        <v>7330</v>
      </c>
      <c r="C1390" s="2682">
        <v>44.982999999999997</v>
      </c>
      <c r="D1390" s="2682">
        <v>93.263999999999996</v>
      </c>
      <c r="E1390" s="2682">
        <v>30.161999999999999</v>
      </c>
      <c r="F1390" s="2682" t="s">
        <v>5922</v>
      </c>
      <c r="G1390" s="2682" t="s">
        <v>5922</v>
      </c>
      <c r="H1390" s="2682" t="s">
        <v>5922</v>
      </c>
      <c r="I1390" s="2682" t="s">
        <v>5922</v>
      </c>
      <c r="J1390" s="2682">
        <v>0</v>
      </c>
      <c r="L1390" s="2682" t="s">
        <v>5922</v>
      </c>
    </row>
    <row r="1391" spans="1:12">
      <c r="A1391" s="2683" t="s">
        <v>146</v>
      </c>
      <c r="B1391" s="2683" t="s">
        <v>7331</v>
      </c>
      <c r="C1391" s="2683">
        <v>50.8</v>
      </c>
      <c r="D1391" s="2683">
        <v>93.263999999999996</v>
      </c>
      <c r="E1391" s="2683">
        <v>30.161999999999999</v>
      </c>
      <c r="F1391" s="2683" t="s">
        <v>5922</v>
      </c>
      <c r="G1391" s="2683" t="s">
        <v>5922</v>
      </c>
      <c r="H1391" s="2683" t="s">
        <v>5922</v>
      </c>
      <c r="I1391" s="2683" t="s">
        <v>5922</v>
      </c>
      <c r="J1391" s="2683">
        <v>0.87</v>
      </c>
      <c r="K1391" s="2684"/>
      <c r="L1391" s="2683" t="s">
        <v>5922</v>
      </c>
    </row>
    <row r="1392" spans="1:12">
      <c r="A1392" s="2682" t="s">
        <v>146</v>
      </c>
      <c r="B1392" s="2682" t="s">
        <v>7332</v>
      </c>
      <c r="C1392" s="2682">
        <v>50.8</v>
      </c>
      <c r="D1392" s="2682">
        <v>93.263999999999996</v>
      </c>
      <c r="E1392" s="2682">
        <v>30.161999999999999</v>
      </c>
      <c r="F1392" s="2682" t="s">
        <v>5922</v>
      </c>
      <c r="G1392" s="2682" t="s">
        <v>5922</v>
      </c>
      <c r="H1392" s="2682" t="s">
        <v>5922</v>
      </c>
      <c r="I1392" s="2682" t="s">
        <v>5922</v>
      </c>
      <c r="J1392" s="2682">
        <v>0</v>
      </c>
      <c r="L1392" s="2682" t="s">
        <v>5922</v>
      </c>
    </row>
    <row r="1393" spans="1:12">
      <c r="A1393" s="2683" t="s">
        <v>146</v>
      </c>
      <c r="B1393" s="2683" t="s">
        <v>7333</v>
      </c>
      <c r="C1393" s="2683">
        <v>50.8</v>
      </c>
      <c r="D1393" s="2683">
        <v>88.9</v>
      </c>
      <c r="E1393" s="2683">
        <v>20.638000000000002</v>
      </c>
      <c r="F1393" s="2683" t="s">
        <v>5922</v>
      </c>
      <c r="G1393" s="2683" t="s">
        <v>5922</v>
      </c>
      <c r="H1393" s="2683" t="s">
        <v>5922</v>
      </c>
      <c r="I1393" s="2683" t="s">
        <v>5922</v>
      </c>
      <c r="J1393" s="2683">
        <v>0</v>
      </c>
      <c r="K1393" s="2684"/>
      <c r="L1393" s="2683" t="s">
        <v>5922</v>
      </c>
    </row>
    <row r="1394" spans="1:12">
      <c r="A1394" s="2682" t="s">
        <v>146</v>
      </c>
      <c r="B1394" s="2682" t="s">
        <v>7334</v>
      </c>
      <c r="C1394" s="2682">
        <v>146.05000000000001</v>
      </c>
      <c r="D1394" s="2682">
        <v>193.67500000000001</v>
      </c>
      <c r="E1394" s="2682">
        <v>28.574999999999999</v>
      </c>
      <c r="F1394" s="2682" t="s">
        <v>5922</v>
      </c>
      <c r="G1394" s="2682" t="s">
        <v>5922</v>
      </c>
      <c r="H1394" s="2682" t="s">
        <v>5922</v>
      </c>
      <c r="I1394" s="2682" t="s">
        <v>5922</v>
      </c>
      <c r="J1394" s="2682">
        <v>0</v>
      </c>
      <c r="L1394" s="2682" t="s">
        <v>5922</v>
      </c>
    </row>
    <row r="1395" spans="1:12">
      <c r="A1395" s="2683" t="s">
        <v>146</v>
      </c>
      <c r="B1395" s="2683" t="s">
        <v>7335</v>
      </c>
      <c r="C1395" s="2683">
        <v>146.05000000000001</v>
      </c>
      <c r="D1395" s="2683">
        <v>203.2</v>
      </c>
      <c r="E1395" s="2683">
        <v>28.574999999999999</v>
      </c>
      <c r="F1395" s="2683" t="s">
        <v>5922</v>
      </c>
      <c r="G1395" s="2683" t="s">
        <v>5922</v>
      </c>
      <c r="H1395" s="2683" t="s">
        <v>5922</v>
      </c>
      <c r="I1395" s="2683" t="s">
        <v>5922</v>
      </c>
      <c r="J1395" s="2683">
        <v>0</v>
      </c>
      <c r="K1395" s="2684"/>
      <c r="L1395" s="2683" t="s">
        <v>5922</v>
      </c>
    </row>
    <row r="1396" spans="1:12">
      <c r="A1396" s="2682" t="s">
        <v>146</v>
      </c>
      <c r="B1396" s="2682" t="s">
        <v>7336</v>
      </c>
      <c r="C1396" s="2682">
        <v>46.037999999999997</v>
      </c>
      <c r="D1396" s="2682">
        <v>85</v>
      </c>
      <c r="E1396" s="2682">
        <v>20.638000000000002</v>
      </c>
      <c r="F1396" s="2682" t="s">
        <v>5922</v>
      </c>
      <c r="G1396" s="2682" t="s">
        <v>5922</v>
      </c>
      <c r="H1396" s="2682" t="s">
        <v>5922</v>
      </c>
      <c r="I1396" s="2682" t="s">
        <v>5922</v>
      </c>
      <c r="J1396" s="2682">
        <v>0</v>
      </c>
      <c r="L1396" s="2682" t="s">
        <v>5922</v>
      </c>
    </row>
    <row r="1397" spans="1:12">
      <c r="A1397" s="2683" t="s">
        <v>146</v>
      </c>
      <c r="B1397" s="2683" t="s">
        <v>7337</v>
      </c>
      <c r="C1397" s="2683">
        <v>46.037999999999997</v>
      </c>
      <c r="D1397" s="2683">
        <v>90.119</v>
      </c>
      <c r="E1397" s="2683">
        <v>23</v>
      </c>
      <c r="F1397" s="2683" t="s">
        <v>5922</v>
      </c>
      <c r="G1397" s="2683" t="s">
        <v>5922</v>
      </c>
      <c r="H1397" s="2683" t="s">
        <v>5922</v>
      </c>
      <c r="I1397" s="2683" t="s">
        <v>5922</v>
      </c>
      <c r="J1397" s="2683">
        <v>0</v>
      </c>
      <c r="K1397" s="2684"/>
      <c r="L1397" s="2683" t="s">
        <v>5922</v>
      </c>
    </row>
    <row r="1398" spans="1:12">
      <c r="A1398" s="2682" t="s">
        <v>146</v>
      </c>
      <c r="B1398" s="2682" t="s">
        <v>7338</v>
      </c>
      <c r="C1398" s="2682">
        <v>46.037999999999997</v>
      </c>
      <c r="D1398" s="2682">
        <v>85</v>
      </c>
      <c r="E1398" s="2682">
        <v>20.638000000000002</v>
      </c>
      <c r="F1398" s="2682" t="s">
        <v>5922</v>
      </c>
      <c r="G1398" s="2682" t="s">
        <v>5922</v>
      </c>
      <c r="H1398" s="2682" t="s">
        <v>5922</v>
      </c>
      <c r="I1398" s="2682" t="s">
        <v>5922</v>
      </c>
      <c r="J1398" s="2682">
        <v>0</v>
      </c>
      <c r="L1398" s="2682" t="s">
        <v>5922</v>
      </c>
    </row>
    <row r="1399" spans="1:12">
      <c r="A1399" s="2683" t="s">
        <v>146</v>
      </c>
      <c r="B1399" s="2683" t="s">
        <v>7339</v>
      </c>
      <c r="C1399" s="2683">
        <v>41.274999999999999</v>
      </c>
      <c r="D1399" s="2683">
        <v>87.311999999999998</v>
      </c>
      <c r="E1399" s="2683">
        <v>30.161999999999999</v>
      </c>
      <c r="F1399" s="2683" t="s">
        <v>5922</v>
      </c>
      <c r="G1399" s="2683" t="s">
        <v>5922</v>
      </c>
      <c r="H1399" s="2683" t="s">
        <v>5922</v>
      </c>
      <c r="I1399" s="2683" t="s">
        <v>5922</v>
      </c>
      <c r="J1399" s="2683">
        <v>0.84499999999999997</v>
      </c>
      <c r="K1399" s="2684"/>
      <c r="L1399" s="2683" t="s">
        <v>5922</v>
      </c>
    </row>
    <row r="1400" spans="1:12">
      <c r="A1400" s="2682" t="s">
        <v>146</v>
      </c>
      <c r="B1400" s="2682" t="s">
        <v>7340</v>
      </c>
      <c r="C1400" s="2682">
        <v>45</v>
      </c>
      <c r="D1400" s="2682">
        <v>85</v>
      </c>
      <c r="E1400" s="2682">
        <v>20.638000000000002</v>
      </c>
      <c r="F1400" s="2682" t="s">
        <v>5922</v>
      </c>
      <c r="G1400" s="2682" t="s">
        <v>5922</v>
      </c>
      <c r="H1400" s="2682" t="s">
        <v>5922</v>
      </c>
      <c r="I1400" s="2682" t="s">
        <v>5922</v>
      </c>
      <c r="J1400" s="2682">
        <v>0</v>
      </c>
      <c r="L1400" s="2682" t="s">
        <v>5922</v>
      </c>
    </row>
    <row r="1401" spans="1:12">
      <c r="A1401" s="2683" t="s">
        <v>146</v>
      </c>
      <c r="B1401" s="2683" t="s">
        <v>7341</v>
      </c>
      <c r="C1401" s="2683">
        <v>42.78</v>
      </c>
      <c r="D1401" s="2683">
        <v>87.28</v>
      </c>
      <c r="E1401" s="2683">
        <v>30.161999999999999</v>
      </c>
      <c r="F1401" s="2683" t="s">
        <v>5922</v>
      </c>
      <c r="G1401" s="2683" t="s">
        <v>5922</v>
      </c>
      <c r="H1401" s="2683" t="s">
        <v>5922</v>
      </c>
      <c r="I1401" s="2683" t="s">
        <v>5922</v>
      </c>
      <c r="J1401" s="2683">
        <v>0</v>
      </c>
      <c r="K1401" s="2684"/>
      <c r="L1401" s="2683" t="s">
        <v>5922</v>
      </c>
    </row>
    <row r="1402" spans="1:12">
      <c r="A1402" s="2682" t="s">
        <v>146</v>
      </c>
      <c r="B1402" s="2682" t="s">
        <v>7342</v>
      </c>
      <c r="C1402" s="2682">
        <v>44.45</v>
      </c>
      <c r="D1402" s="2682">
        <v>87.311999999999998</v>
      </c>
      <c r="E1402" s="2682">
        <v>30.161999999999999</v>
      </c>
      <c r="F1402" s="2682" t="s">
        <v>5922</v>
      </c>
      <c r="G1402" s="2682" t="s">
        <v>5922</v>
      </c>
      <c r="H1402" s="2682" t="s">
        <v>5922</v>
      </c>
      <c r="I1402" s="2682" t="s">
        <v>5922</v>
      </c>
      <c r="J1402" s="2682">
        <v>0.78900000000000003</v>
      </c>
      <c r="L1402" s="2682" t="s">
        <v>5922</v>
      </c>
    </row>
    <row r="1403" spans="1:12">
      <c r="A1403" s="2683" t="s">
        <v>146</v>
      </c>
      <c r="B1403" s="2683" t="s">
        <v>7343</v>
      </c>
      <c r="C1403" s="2683">
        <v>44.45</v>
      </c>
      <c r="D1403" s="2683">
        <v>85</v>
      </c>
      <c r="E1403" s="2683">
        <v>20.638000000000002</v>
      </c>
      <c r="F1403" s="2683" t="s">
        <v>5922</v>
      </c>
      <c r="G1403" s="2683" t="s">
        <v>5922</v>
      </c>
      <c r="H1403" s="2683" t="s">
        <v>5922</v>
      </c>
      <c r="I1403" s="2683" t="s">
        <v>5922</v>
      </c>
      <c r="J1403" s="2683">
        <v>0</v>
      </c>
      <c r="K1403" s="2684"/>
      <c r="L1403" s="2683" t="s">
        <v>5922</v>
      </c>
    </row>
    <row r="1404" spans="1:12">
      <c r="A1404" s="2682" t="s">
        <v>146</v>
      </c>
      <c r="B1404" s="2682" t="s">
        <v>7344</v>
      </c>
      <c r="C1404" s="2682">
        <v>44.45</v>
      </c>
      <c r="D1404" s="2682">
        <v>85</v>
      </c>
      <c r="E1404" s="2682">
        <v>20.638000000000002</v>
      </c>
      <c r="F1404" s="2682" t="s">
        <v>5922</v>
      </c>
      <c r="G1404" s="2682" t="s">
        <v>5922</v>
      </c>
      <c r="H1404" s="2682" t="s">
        <v>5922</v>
      </c>
      <c r="I1404" s="2682" t="s">
        <v>5922</v>
      </c>
      <c r="J1404" s="2682">
        <v>0</v>
      </c>
      <c r="L1404" s="2682" t="s">
        <v>5922</v>
      </c>
    </row>
    <row r="1405" spans="1:12">
      <c r="A1405" s="2683" t="s">
        <v>146</v>
      </c>
      <c r="B1405" s="2683" t="s">
        <v>7345</v>
      </c>
      <c r="C1405" s="2683">
        <v>360</v>
      </c>
      <c r="D1405" s="2683">
        <v>480</v>
      </c>
      <c r="E1405" s="2683">
        <v>160</v>
      </c>
      <c r="F1405" s="2683" t="s">
        <v>5922</v>
      </c>
      <c r="G1405" s="2683" t="s">
        <v>5922</v>
      </c>
      <c r="H1405" s="2683" t="s">
        <v>5922</v>
      </c>
      <c r="I1405" s="2683" t="s">
        <v>5922</v>
      </c>
      <c r="J1405" s="2683">
        <v>74.7</v>
      </c>
      <c r="K1405" s="2684"/>
      <c r="L1405" s="2683">
        <v>2097972</v>
      </c>
    </row>
    <row r="1406" spans="1:12">
      <c r="A1406" s="2682" t="s">
        <v>146</v>
      </c>
      <c r="B1406" s="2682" t="s">
        <v>7346</v>
      </c>
      <c r="C1406" s="2682">
        <v>340</v>
      </c>
      <c r="D1406" s="2682">
        <v>460</v>
      </c>
      <c r="E1406" s="2682">
        <v>160</v>
      </c>
      <c r="F1406" s="2682" t="s">
        <v>5922</v>
      </c>
      <c r="G1406" s="2682" t="s">
        <v>5922</v>
      </c>
      <c r="H1406" s="2682" t="s">
        <v>5922</v>
      </c>
      <c r="I1406" s="2682" t="s">
        <v>5922</v>
      </c>
      <c r="J1406" s="2682">
        <v>71</v>
      </c>
      <c r="L1406" s="2682">
        <v>2097968</v>
      </c>
    </row>
    <row r="1407" spans="1:12">
      <c r="A1407" s="2683" t="s">
        <v>146</v>
      </c>
      <c r="B1407" s="2683" t="s">
        <v>7347</v>
      </c>
      <c r="C1407" s="2683">
        <v>320</v>
      </c>
      <c r="D1407" s="2683">
        <v>440</v>
      </c>
      <c r="E1407" s="2683">
        <v>160</v>
      </c>
      <c r="F1407" s="2683" t="s">
        <v>5922</v>
      </c>
      <c r="G1407" s="2683" t="s">
        <v>5922</v>
      </c>
      <c r="H1407" s="2683" t="s">
        <v>5922</v>
      </c>
      <c r="I1407" s="2683" t="s">
        <v>5922</v>
      </c>
      <c r="J1407" s="2683">
        <v>67</v>
      </c>
      <c r="K1407" s="2684"/>
      <c r="L1407" s="2683" t="s">
        <v>7348</v>
      </c>
    </row>
    <row r="1408" spans="1:12">
      <c r="A1408" s="2682" t="s">
        <v>146</v>
      </c>
      <c r="B1408" s="2682" t="s">
        <v>7349</v>
      </c>
      <c r="C1408" s="2682">
        <v>320</v>
      </c>
      <c r="D1408" s="2682">
        <v>440</v>
      </c>
      <c r="E1408" s="2682">
        <v>160</v>
      </c>
      <c r="F1408" s="2682" t="s">
        <v>5922</v>
      </c>
      <c r="G1408" s="2682" t="s">
        <v>5922</v>
      </c>
      <c r="H1408" s="2682" t="s">
        <v>5922</v>
      </c>
      <c r="I1408" s="2682" t="s">
        <v>5922</v>
      </c>
      <c r="J1408" s="2682">
        <v>67</v>
      </c>
      <c r="L1408" s="2682">
        <v>2097964</v>
      </c>
    </row>
    <row r="1409" spans="1:12">
      <c r="A1409" s="2683" t="s">
        <v>146</v>
      </c>
      <c r="B1409" s="2683" t="s">
        <v>7350</v>
      </c>
      <c r="C1409" s="2683">
        <v>300</v>
      </c>
      <c r="D1409" s="2683">
        <v>420</v>
      </c>
      <c r="E1409" s="2683">
        <v>160</v>
      </c>
      <c r="F1409" s="2683" t="s">
        <v>5922</v>
      </c>
      <c r="G1409" s="2683" t="s">
        <v>5922</v>
      </c>
      <c r="H1409" s="2683" t="s">
        <v>5922</v>
      </c>
      <c r="I1409" s="2683" t="s">
        <v>5922</v>
      </c>
      <c r="J1409" s="2683">
        <v>63</v>
      </c>
      <c r="K1409" s="2684"/>
      <c r="L1409" s="2683" t="s">
        <v>7351</v>
      </c>
    </row>
    <row r="1410" spans="1:12">
      <c r="A1410" s="2682" t="s">
        <v>146</v>
      </c>
      <c r="B1410" s="2682" t="s">
        <v>7352</v>
      </c>
      <c r="C1410" s="2682">
        <v>300</v>
      </c>
      <c r="D1410" s="2682">
        <v>420</v>
      </c>
      <c r="E1410" s="2682">
        <v>175</v>
      </c>
      <c r="F1410" s="2682" t="s">
        <v>5922</v>
      </c>
      <c r="G1410" s="2682" t="s">
        <v>5922</v>
      </c>
      <c r="H1410" s="2682" t="s">
        <v>5922</v>
      </c>
      <c r="I1410" s="2682" t="s">
        <v>5922</v>
      </c>
      <c r="J1410" s="2682">
        <v>70</v>
      </c>
      <c r="L1410" s="2682">
        <v>97860</v>
      </c>
    </row>
    <row r="1411" spans="1:12">
      <c r="A1411" s="2683" t="s">
        <v>146</v>
      </c>
      <c r="B1411" s="2683" t="s">
        <v>7353</v>
      </c>
      <c r="C1411" s="2683">
        <v>300</v>
      </c>
      <c r="D1411" s="2683">
        <v>420</v>
      </c>
      <c r="E1411" s="2683">
        <v>160</v>
      </c>
      <c r="F1411" s="2683" t="s">
        <v>5922</v>
      </c>
      <c r="G1411" s="2683" t="s">
        <v>5922</v>
      </c>
      <c r="H1411" s="2683" t="s">
        <v>5922</v>
      </c>
      <c r="I1411" s="2683" t="s">
        <v>5922</v>
      </c>
      <c r="J1411" s="2683">
        <v>60.8</v>
      </c>
      <c r="K1411" s="2684"/>
      <c r="L1411" s="2683">
        <v>2097960</v>
      </c>
    </row>
    <row r="1412" spans="1:12">
      <c r="A1412" s="2682" t="s">
        <v>146</v>
      </c>
      <c r="B1412" s="2682">
        <v>352960</v>
      </c>
      <c r="C1412" s="2682">
        <v>300</v>
      </c>
      <c r="D1412" s="2682">
        <v>420</v>
      </c>
      <c r="E1412" s="2682">
        <v>166</v>
      </c>
      <c r="F1412" s="2682" t="s">
        <v>5922</v>
      </c>
      <c r="G1412" s="2682" t="s">
        <v>5922</v>
      </c>
      <c r="H1412" s="2682" t="s">
        <v>5922</v>
      </c>
      <c r="I1412" s="2682" t="s">
        <v>5922</v>
      </c>
      <c r="J1412" s="2682">
        <v>60.8</v>
      </c>
      <c r="L1412" s="2682" t="s">
        <v>7354</v>
      </c>
    </row>
    <row r="1413" spans="1:12">
      <c r="A1413" s="2683" t="s">
        <v>146</v>
      </c>
      <c r="B1413" s="2683" t="s">
        <v>7355</v>
      </c>
      <c r="C1413" s="2683">
        <v>280</v>
      </c>
      <c r="D1413" s="2683">
        <v>380</v>
      </c>
      <c r="E1413" s="2683">
        <v>134</v>
      </c>
      <c r="F1413" s="2683" t="s">
        <v>5922</v>
      </c>
      <c r="G1413" s="2683" t="s">
        <v>5922</v>
      </c>
      <c r="H1413" s="2683" t="s">
        <v>5922</v>
      </c>
      <c r="I1413" s="2683" t="s">
        <v>5922</v>
      </c>
      <c r="J1413" s="2683">
        <v>41.3</v>
      </c>
      <c r="K1413" s="2684"/>
      <c r="L1413" s="2683" t="s">
        <v>7356</v>
      </c>
    </row>
    <row r="1414" spans="1:12">
      <c r="A1414" s="2682" t="s">
        <v>146</v>
      </c>
      <c r="B1414" s="2682" t="s">
        <v>7357</v>
      </c>
      <c r="C1414" s="2682">
        <v>280</v>
      </c>
      <c r="D1414" s="2682">
        <v>380</v>
      </c>
      <c r="E1414" s="2682">
        <v>134</v>
      </c>
      <c r="F1414" s="2682" t="s">
        <v>5922</v>
      </c>
      <c r="G1414" s="2682" t="s">
        <v>5922</v>
      </c>
      <c r="H1414" s="2682" t="s">
        <v>5922</v>
      </c>
      <c r="I1414" s="2682" t="s">
        <v>5922</v>
      </c>
      <c r="J1414" s="2682">
        <v>44</v>
      </c>
      <c r="L1414" s="2682">
        <v>2097956</v>
      </c>
    </row>
    <row r="1415" spans="1:12">
      <c r="A1415" s="2683" t="s">
        <v>146</v>
      </c>
      <c r="B1415" s="2683">
        <v>352956</v>
      </c>
      <c r="C1415" s="2683">
        <v>280</v>
      </c>
      <c r="D1415" s="2683">
        <v>380</v>
      </c>
      <c r="E1415" s="2683">
        <v>141</v>
      </c>
      <c r="F1415" s="2683" t="s">
        <v>5922</v>
      </c>
      <c r="G1415" s="2683" t="s">
        <v>5922</v>
      </c>
      <c r="H1415" s="2683" t="s">
        <v>5922</v>
      </c>
      <c r="I1415" s="2683" t="s">
        <v>5922</v>
      </c>
      <c r="J1415" s="2683">
        <v>41.3</v>
      </c>
      <c r="K1415" s="2684"/>
      <c r="L1415" s="2683" t="s">
        <v>7358</v>
      </c>
    </row>
    <row r="1416" spans="1:12">
      <c r="A1416" s="2682" t="s">
        <v>146</v>
      </c>
      <c r="B1416" s="2682">
        <v>352928</v>
      </c>
      <c r="C1416" s="2682">
        <v>140</v>
      </c>
      <c r="D1416" s="2682">
        <v>190</v>
      </c>
      <c r="E1416" s="2682">
        <v>73</v>
      </c>
      <c r="F1416" s="2682" t="s">
        <v>5922</v>
      </c>
      <c r="G1416" s="2682" t="s">
        <v>5922</v>
      </c>
      <c r="H1416" s="2682" t="s">
        <v>5922</v>
      </c>
      <c r="I1416" s="2682" t="s">
        <v>5922</v>
      </c>
      <c r="J1416" s="2682">
        <v>6.2</v>
      </c>
      <c r="L1416" s="2682" t="s">
        <v>7359</v>
      </c>
    </row>
    <row r="1417" spans="1:12">
      <c r="A1417" s="2683" t="s">
        <v>146</v>
      </c>
      <c r="B1417" s="2683" t="s">
        <v>7360</v>
      </c>
      <c r="C1417" s="2683">
        <v>130</v>
      </c>
      <c r="D1417" s="2683">
        <v>180</v>
      </c>
      <c r="E1417" s="2683">
        <v>70</v>
      </c>
      <c r="F1417" s="2683" t="s">
        <v>5922</v>
      </c>
      <c r="G1417" s="2683" t="s">
        <v>5922</v>
      </c>
      <c r="H1417" s="2683" t="s">
        <v>5922</v>
      </c>
      <c r="I1417" s="2683" t="s">
        <v>5922</v>
      </c>
      <c r="J1417" s="2683">
        <v>4.87</v>
      </c>
      <c r="K1417" s="2684"/>
      <c r="L1417" s="2683">
        <v>2097926</v>
      </c>
    </row>
    <row r="1418" spans="1:12">
      <c r="A1418" s="2682" t="s">
        <v>146</v>
      </c>
      <c r="B1418" s="2682">
        <v>352926</v>
      </c>
      <c r="C1418" s="2682">
        <v>130</v>
      </c>
      <c r="D1418" s="2682">
        <v>180</v>
      </c>
      <c r="E1418" s="2682">
        <v>73</v>
      </c>
      <c r="F1418" s="2682" t="s">
        <v>5922</v>
      </c>
      <c r="G1418" s="2682" t="s">
        <v>5922</v>
      </c>
      <c r="H1418" s="2682" t="s">
        <v>5922</v>
      </c>
      <c r="I1418" s="2682" t="s">
        <v>5922</v>
      </c>
      <c r="J1418" s="2682">
        <v>4.84</v>
      </c>
      <c r="L1418" s="2682" t="s">
        <v>7361</v>
      </c>
    </row>
    <row r="1419" spans="1:12">
      <c r="A1419" s="2683" t="s">
        <v>146</v>
      </c>
      <c r="B1419" s="2683">
        <v>352238</v>
      </c>
      <c r="C1419" s="2683">
        <v>190</v>
      </c>
      <c r="D1419" s="2683">
        <v>340</v>
      </c>
      <c r="E1419" s="2683">
        <v>204</v>
      </c>
      <c r="F1419" s="2683" t="s">
        <v>5922</v>
      </c>
      <c r="G1419" s="2683" t="s">
        <v>5922</v>
      </c>
      <c r="H1419" s="2683" t="s">
        <v>5922</v>
      </c>
      <c r="I1419" s="2683" t="s">
        <v>5922</v>
      </c>
      <c r="J1419" s="2683">
        <v>69.8</v>
      </c>
      <c r="K1419" s="2684"/>
      <c r="L1419" s="2683" t="s">
        <v>7362</v>
      </c>
    </row>
    <row r="1420" spans="1:12">
      <c r="A1420" s="2682" t="s">
        <v>146</v>
      </c>
      <c r="B1420" s="2682" t="s">
        <v>7363</v>
      </c>
      <c r="C1420" s="2682">
        <v>180</v>
      </c>
      <c r="D1420" s="2682">
        <v>320</v>
      </c>
      <c r="E1420" s="2682">
        <v>190</v>
      </c>
      <c r="F1420" s="2682" t="s">
        <v>5922</v>
      </c>
      <c r="G1420" s="2682" t="s">
        <v>5922</v>
      </c>
      <c r="H1420" s="2682" t="s">
        <v>5922</v>
      </c>
      <c r="I1420" s="2682" t="s">
        <v>5922</v>
      </c>
      <c r="J1420" s="2682">
        <v>62.7</v>
      </c>
      <c r="L1420" s="2682" t="s">
        <v>7364</v>
      </c>
    </row>
    <row r="1421" spans="1:12">
      <c r="A1421" s="2683" t="s">
        <v>146</v>
      </c>
      <c r="B1421" s="2683" t="s">
        <v>7365</v>
      </c>
      <c r="C1421" s="2683">
        <v>180</v>
      </c>
      <c r="D1421" s="2683">
        <v>320</v>
      </c>
      <c r="E1421" s="2683">
        <v>192</v>
      </c>
      <c r="F1421" s="2683" t="s">
        <v>5922</v>
      </c>
      <c r="G1421" s="2683" t="s">
        <v>5922</v>
      </c>
      <c r="H1421" s="2683" t="s">
        <v>5922</v>
      </c>
      <c r="I1421" s="2683" t="s">
        <v>5922</v>
      </c>
      <c r="J1421" s="2683">
        <v>60</v>
      </c>
      <c r="K1421" s="2684"/>
      <c r="L1421" s="2683" t="s">
        <v>7366</v>
      </c>
    </row>
    <row r="1422" spans="1:12">
      <c r="A1422" s="2682" t="s">
        <v>146</v>
      </c>
      <c r="B1422" s="2682">
        <v>352234</v>
      </c>
      <c r="C1422" s="2682">
        <v>170</v>
      </c>
      <c r="D1422" s="2682">
        <v>310</v>
      </c>
      <c r="E1422" s="2682">
        <v>192</v>
      </c>
      <c r="F1422" s="2682" t="s">
        <v>5922</v>
      </c>
      <c r="G1422" s="2682" t="s">
        <v>5922</v>
      </c>
      <c r="H1422" s="2682" t="s">
        <v>5922</v>
      </c>
      <c r="I1422" s="2682" t="s">
        <v>5922</v>
      </c>
      <c r="J1422" s="2682">
        <v>58.2</v>
      </c>
      <c r="L1422" s="2682" t="s">
        <v>7367</v>
      </c>
    </row>
    <row r="1423" spans="1:12">
      <c r="A1423" s="2683" t="s">
        <v>146</v>
      </c>
      <c r="B1423" s="2683" t="s">
        <v>7368</v>
      </c>
      <c r="C1423" s="2683">
        <v>160</v>
      </c>
      <c r="D1423" s="2683">
        <v>290</v>
      </c>
      <c r="E1423" s="2683">
        <v>180</v>
      </c>
      <c r="F1423" s="2683" t="s">
        <v>5922</v>
      </c>
      <c r="G1423" s="2683" t="s">
        <v>5922</v>
      </c>
      <c r="H1423" s="2683" t="s">
        <v>5922</v>
      </c>
      <c r="I1423" s="2683" t="s">
        <v>5922</v>
      </c>
      <c r="J1423" s="2683">
        <v>46.2</v>
      </c>
      <c r="K1423" s="2684"/>
      <c r="L1423" s="2683">
        <v>97532</v>
      </c>
    </row>
    <row r="1424" spans="1:12">
      <c r="A1424" s="2682" t="s">
        <v>146</v>
      </c>
      <c r="B1424" s="2682" t="s">
        <v>7369</v>
      </c>
      <c r="C1424" s="2682">
        <v>150</v>
      </c>
      <c r="D1424" s="2682">
        <v>270</v>
      </c>
      <c r="E1424" s="2682">
        <v>169</v>
      </c>
      <c r="F1424" s="2682" t="s">
        <v>5922</v>
      </c>
      <c r="G1424" s="2682" t="s">
        <v>5922</v>
      </c>
      <c r="H1424" s="2682" t="s">
        <v>5922</v>
      </c>
      <c r="I1424" s="2682" t="s">
        <v>5922</v>
      </c>
      <c r="J1424" s="2682">
        <v>39.4</v>
      </c>
      <c r="L1424" s="2682" t="s">
        <v>7370</v>
      </c>
    </row>
    <row r="1425" spans="1:12">
      <c r="A1425" s="2683" t="s">
        <v>146</v>
      </c>
      <c r="B1425" s="2683" t="s">
        <v>7371</v>
      </c>
      <c r="C1425" s="2683">
        <v>150</v>
      </c>
      <c r="D1425" s="2683">
        <v>270</v>
      </c>
      <c r="E1425" s="2683">
        <v>172</v>
      </c>
      <c r="F1425" s="2683" t="s">
        <v>5922</v>
      </c>
      <c r="G1425" s="2683" t="s">
        <v>5922</v>
      </c>
      <c r="H1425" s="2683" t="s">
        <v>5922</v>
      </c>
      <c r="I1425" s="2683" t="s">
        <v>5922</v>
      </c>
      <c r="J1425" s="2683">
        <v>40</v>
      </c>
      <c r="K1425" s="2684"/>
      <c r="L1425" s="2683">
        <v>97530</v>
      </c>
    </row>
    <row r="1426" spans="1:12">
      <c r="A1426" s="2682" t="s">
        <v>146</v>
      </c>
      <c r="B1426" s="2682" t="s">
        <v>7372</v>
      </c>
      <c r="C1426" s="2682">
        <v>150</v>
      </c>
      <c r="D1426" s="2682">
        <v>270</v>
      </c>
      <c r="E1426" s="2682">
        <v>228</v>
      </c>
      <c r="F1426" s="2682" t="s">
        <v>5922</v>
      </c>
      <c r="G1426" s="2682" t="s">
        <v>5922</v>
      </c>
      <c r="H1426" s="2682" t="s">
        <v>5922</v>
      </c>
      <c r="I1426" s="2682" t="s">
        <v>5922</v>
      </c>
      <c r="J1426" s="2682">
        <v>43.8</v>
      </c>
      <c r="L1426" s="2682">
        <v>197730</v>
      </c>
    </row>
    <row r="1427" spans="1:12">
      <c r="A1427" s="2683" t="s">
        <v>146</v>
      </c>
      <c r="B1427" s="2683" t="s">
        <v>7373</v>
      </c>
      <c r="C1427" s="2683">
        <v>140</v>
      </c>
      <c r="D1427" s="2683">
        <v>250</v>
      </c>
      <c r="E1427" s="2683">
        <v>157</v>
      </c>
      <c r="F1427" s="2683" t="s">
        <v>5922</v>
      </c>
      <c r="G1427" s="2683" t="s">
        <v>5922</v>
      </c>
      <c r="H1427" s="2683" t="s">
        <v>5922</v>
      </c>
      <c r="I1427" s="2683" t="s">
        <v>5922</v>
      </c>
      <c r="J1427" s="2683">
        <v>31.7</v>
      </c>
      <c r="K1427" s="2684"/>
      <c r="L1427" s="2683" t="s">
        <v>7374</v>
      </c>
    </row>
    <row r="1428" spans="1:12">
      <c r="A1428" s="2682" t="s">
        <v>146</v>
      </c>
      <c r="B1428" s="2682" t="s">
        <v>7375</v>
      </c>
      <c r="C1428" s="2682">
        <v>130</v>
      </c>
      <c r="D1428" s="2682">
        <v>250</v>
      </c>
      <c r="E1428" s="2682">
        <v>160</v>
      </c>
      <c r="F1428" s="2682" t="s">
        <v>5922</v>
      </c>
      <c r="G1428" s="2682" t="s">
        <v>5922</v>
      </c>
      <c r="H1428" s="2682" t="s">
        <v>5922</v>
      </c>
      <c r="I1428" s="2682" t="s">
        <v>5922</v>
      </c>
      <c r="J1428" s="2682">
        <v>39.299999999999997</v>
      </c>
      <c r="L1428" s="2682" t="s">
        <v>7376</v>
      </c>
    </row>
    <row r="1429" spans="1:12">
      <c r="A1429" s="2683" t="s">
        <v>146</v>
      </c>
      <c r="B1429" s="2683" t="s">
        <v>7377</v>
      </c>
      <c r="C1429" s="2683">
        <v>129</v>
      </c>
      <c r="D1429" s="2683">
        <v>230</v>
      </c>
      <c r="E1429" s="2683">
        <v>222</v>
      </c>
      <c r="F1429" s="2683" t="s">
        <v>5922</v>
      </c>
      <c r="G1429" s="2683" t="s">
        <v>5922</v>
      </c>
      <c r="H1429" s="2683" t="s">
        <v>5922</v>
      </c>
      <c r="I1429" s="2683" t="s">
        <v>5922</v>
      </c>
      <c r="J1429" s="2683">
        <v>30.1</v>
      </c>
      <c r="K1429" s="2684"/>
      <c r="L1429" s="2683" t="s">
        <v>7378</v>
      </c>
    </row>
    <row r="1430" spans="1:12">
      <c r="A1430" s="2682" t="s">
        <v>146</v>
      </c>
      <c r="B1430" s="2682" t="s">
        <v>7379</v>
      </c>
      <c r="C1430" s="2682">
        <v>130</v>
      </c>
      <c r="D1430" s="2682">
        <v>230</v>
      </c>
      <c r="E1430" s="2682">
        <v>222</v>
      </c>
      <c r="F1430" s="2682" t="s">
        <v>5922</v>
      </c>
      <c r="G1430" s="2682" t="s">
        <v>5922</v>
      </c>
      <c r="H1430" s="2682" t="s">
        <v>5922</v>
      </c>
      <c r="I1430" s="2682" t="s">
        <v>5922</v>
      </c>
      <c r="J1430" s="2682">
        <v>29.5</v>
      </c>
      <c r="L1430" s="2682">
        <v>197726</v>
      </c>
    </row>
    <row r="1431" spans="1:12">
      <c r="A1431" s="2683" t="s">
        <v>146</v>
      </c>
      <c r="B1431" s="2683" t="s">
        <v>7380</v>
      </c>
      <c r="C1431" s="2683">
        <v>130</v>
      </c>
      <c r="D1431" s="2683">
        <v>230</v>
      </c>
      <c r="E1431" s="2683">
        <v>149</v>
      </c>
      <c r="F1431" s="2683" t="s">
        <v>5922</v>
      </c>
      <c r="G1431" s="2683" t="s">
        <v>5922</v>
      </c>
      <c r="H1431" s="2683" t="s">
        <v>5922</v>
      </c>
      <c r="I1431" s="2683" t="s">
        <v>5922</v>
      </c>
      <c r="J1431" s="2683">
        <v>27.6</v>
      </c>
      <c r="K1431" s="2684"/>
      <c r="L1431" s="2683" t="s">
        <v>6380</v>
      </c>
    </row>
    <row r="1432" spans="1:12">
      <c r="A1432" s="2682" t="s">
        <v>146</v>
      </c>
      <c r="B1432" s="2682" t="s">
        <v>7381</v>
      </c>
      <c r="C1432" s="2682">
        <v>120</v>
      </c>
      <c r="D1432" s="2682">
        <v>215</v>
      </c>
      <c r="E1432" s="2682">
        <v>132</v>
      </c>
      <c r="F1432" s="2682" t="s">
        <v>5922</v>
      </c>
      <c r="G1432" s="2682" t="s">
        <v>5922</v>
      </c>
      <c r="H1432" s="2682" t="s">
        <v>5922</v>
      </c>
      <c r="I1432" s="2682" t="s">
        <v>5922</v>
      </c>
      <c r="J1432" s="2682">
        <v>19.600000000000001</v>
      </c>
      <c r="L1432" s="2682">
        <v>57524</v>
      </c>
    </row>
    <row r="1433" spans="1:12">
      <c r="A1433" s="2683" t="s">
        <v>146</v>
      </c>
      <c r="B1433" s="2683" t="s">
        <v>7382</v>
      </c>
      <c r="C1433" s="2683">
        <v>120</v>
      </c>
      <c r="D1433" s="2683">
        <v>215</v>
      </c>
      <c r="E1433" s="2683">
        <v>132</v>
      </c>
      <c r="F1433" s="2683" t="s">
        <v>5922</v>
      </c>
      <c r="G1433" s="2683" t="s">
        <v>5922</v>
      </c>
      <c r="H1433" s="2683" t="s">
        <v>5922</v>
      </c>
      <c r="I1433" s="2683" t="s">
        <v>5922</v>
      </c>
      <c r="J1433" s="2683">
        <v>19.2</v>
      </c>
      <c r="K1433" s="2684"/>
      <c r="L1433" s="2683" t="s">
        <v>7383</v>
      </c>
    </row>
    <row r="1434" spans="1:12">
      <c r="A1434" s="2682" t="s">
        <v>146</v>
      </c>
      <c r="B1434" s="2682" t="s">
        <v>7384</v>
      </c>
      <c r="C1434" s="2682">
        <v>110</v>
      </c>
      <c r="D1434" s="2682">
        <v>200</v>
      </c>
      <c r="E1434" s="2682">
        <v>92</v>
      </c>
      <c r="F1434" s="2682" t="s">
        <v>5922</v>
      </c>
      <c r="G1434" s="2682" t="s">
        <v>5922</v>
      </c>
      <c r="H1434" s="2682" t="s">
        <v>5922</v>
      </c>
      <c r="I1434" s="2682" t="s">
        <v>5922</v>
      </c>
      <c r="J1434" s="2682">
        <v>11.5</v>
      </c>
      <c r="L1434" s="2682" t="s">
        <v>7385</v>
      </c>
    </row>
    <row r="1435" spans="1:12">
      <c r="A1435" s="2683" t="s">
        <v>146</v>
      </c>
      <c r="B1435" s="2683" t="s">
        <v>7386</v>
      </c>
      <c r="C1435" s="2683">
        <v>105</v>
      </c>
      <c r="D1435" s="2683">
        <v>190</v>
      </c>
      <c r="E1435" s="2683">
        <v>117</v>
      </c>
      <c r="F1435" s="2683" t="s">
        <v>5922</v>
      </c>
      <c r="G1435" s="2683" t="s">
        <v>5922</v>
      </c>
      <c r="H1435" s="2683" t="s">
        <v>5922</v>
      </c>
      <c r="I1435" s="2683" t="s">
        <v>5922</v>
      </c>
      <c r="J1435" s="2683">
        <v>13.7</v>
      </c>
      <c r="K1435" s="2684"/>
      <c r="L1435" s="2683" t="s">
        <v>7387</v>
      </c>
    </row>
    <row r="1436" spans="1:12">
      <c r="A1436" s="2682" t="s">
        <v>146</v>
      </c>
      <c r="B1436" s="2682">
        <v>352221</v>
      </c>
      <c r="C1436" s="2682">
        <v>105</v>
      </c>
      <c r="D1436" s="2682">
        <v>190</v>
      </c>
      <c r="E1436" s="2682">
        <v>115</v>
      </c>
      <c r="F1436" s="2682" t="s">
        <v>5922</v>
      </c>
      <c r="G1436" s="2682" t="s">
        <v>5922</v>
      </c>
      <c r="H1436" s="2682" t="s">
        <v>5922</v>
      </c>
      <c r="I1436" s="2682" t="s">
        <v>5922</v>
      </c>
      <c r="J1436" s="2682">
        <v>0</v>
      </c>
      <c r="L1436" s="2682" t="s">
        <v>7388</v>
      </c>
    </row>
    <row r="1437" spans="1:12">
      <c r="A1437" s="2683" t="s">
        <v>146</v>
      </c>
      <c r="B1437" s="2683" t="s">
        <v>7389</v>
      </c>
      <c r="C1437" s="2683">
        <v>100</v>
      </c>
      <c r="D1437" s="2683">
        <v>182</v>
      </c>
      <c r="E1437" s="2683">
        <v>189</v>
      </c>
      <c r="F1437" s="2683" t="s">
        <v>5922</v>
      </c>
      <c r="G1437" s="2683" t="s">
        <v>5922</v>
      </c>
      <c r="H1437" s="2683" t="s">
        <v>5922</v>
      </c>
      <c r="I1437" s="2683" t="s">
        <v>5922</v>
      </c>
      <c r="J1437" s="2683">
        <v>15.9</v>
      </c>
      <c r="K1437" s="2684"/>
      <c r="L1437" s="2683">
        <v>197720</v>
      </c>
    </row>
    <row r="1438" spans="1:12">
      <c r="A1438" s="2682" t="s">
        <v>146</v>
      </c>
      <c r="B1438" s="2682" t="s">
        <v>7390</v>
      </c>
      <c r="C1438" s="2682">
        <v>100</v>
      </c>
      <c r="D1438" s="2682">
        <v>180</v>
      </c>
      <c r="E1438" s="2682">
        <v>83</v>
      </c>
      <c r="F1438" s="2682" t="s">
        <v>5922</v>
      </c>
      <c r="G1438" s="2682" t="s">
        <v>5922</v>
      </c>
      <c r="H1438" s="2682" t="s">
        <v>5922</v>
      </c>
      <c r="I1438" s="2682" t="s">
        <v>5922</v>
      </c>
      <c r="J1438" s="2682">
        <v>6.51</v>
      </c>
      <c r="L1438" s="2682">
        <v>97820</v>
      </c>
    </row>
    <row r="1439" spans="1:12">
      <c r="A1439" s="2683" t="s">
        <v>146</v>
      </c>
      <c r="B1439" s="2683">
        <v>352219</v>
      </c>
      <c r="C1439" s="2683">
        <v>95</v>
      </c>
      <c r="D1439" s="2683">
        <v>170</v>
      </c>
      <c r="E1439" s="2683">
        <v>100</v>
      </c>
      <c r="F1439" s="2683" t="s">
        <v>5922</v>
      </c>
      <c r="G1439" s="2683" t="s">
        <v>5922</v>
      </c>
      <c r="H1439" s="2683" t="s">
        <v>5922</v>
      </c>
      <c r="I1439" s="2683" t="s">
        <v>5922</v>
      </c>
      <c r="J1439" s="2683">
        <v>9.02</v>
      </c>
      <c r="K1439" s="2684"/>
      <c r="L1439" s="2683" t="s">
        <v>7391</v>
      </c>
    </row>
    <row r="1440" spans="1:12">
      <c r="A1440" s="2682" t="s">
        <v>146</v>
      </c>
      <c r="B1440" s="2682" t="s">
        <v>7392</v>
      </c>
      <c r="C1440" s="2682">
        <v>90</v>
      </c>
      <c r="D1440" s="2682">
        <v>160</v>
      </c>
      <c r="E1440" s="2682">
        <v>40</v>
      </c>
      <c r="F1440" s="2682">
        <v>400</v>
      </c>
      <c r="G1440" s="2682">
        <v>525</v>
      </c>
      <c r="H1440" s="2682">
        <v>1900</v>
      </c>
      <c r="I1440" s="2682">
        <v>2500</v>
      </c>
      <c r="J1440" s="2682">
        <v>7.8</v>
      </c>
      <c r="L1440" s="2682" t="s">
        <v>6375</v>
      </c>
    </row>
    <row r="1441" spans="1:12">
      <c r="A1441" s="2683" t="s">
        <v>146</v>
      </c>
      <c r="B1441" s="2683" t="s">
        <v>7393</v>
      </c>
      <c r="C1441" s="2683">
        <v>85</v>
      </c>
      <c r="D1441" s="2683">
        <v>150</v>
      </c>
      <c r="E1441" s="2683">
        <v>84</v>
      </c>
      <c r="F1441" s="2683" t="s">
        <v>5922</v>
      </c>
      <c r="G1441" s="2683" t="s">
        <v>5922</v>
      </c>
      <c r="H1441" s="2683" t="s">
        <v>5922</v>
      </c>
      <c r="I1441" s="2683" t="s">
        <v>5922</v>
      </c>
      <c r="J1441" s="2683">
        <v>5.59</v>
      </c>
      <c r="K1441" s="2684"/>
      <c r="L1441" s="2683" t="s">
        <v>7394</v>
      </c>
    </row>
    <row r="1442" spans="1:12">
      <c r="A1442" s="2682" t="s">
        <v>146</v>
      </c>
      <c r="B1442" s="2682" t="s">
        <v>7395</v>
      </c>
      <c r="C1442" s="2682">
        <v>80</v>
      </c>
      <c r="D1442" s="2682">
        <v>140</v>
      </c>
      <c r="E1442" s="2682">
        <v>80</v>
      </c>
      <c r="F1442" s="2682" t="s">
        <v>5922</v>
      </c>
      <c r="G1442" s="2682" t="s">
        <v>5922</v>
      </c>
      <c r="H1442" s="2682" t="s">
        <v>5922</v>
      </c>
      <c r="I1442" s="2682" t="s">
        <v>5922</v>
      </c>
      <c r="J1442" s="2682">
        <v>4.97</v>
      </c>
      <c r="L1442" s="2682">
        <v>97516</v>
      </c>
    </row>
    <row r="1443" spans="1:12">
      <c r="A1443" s="2683" t="s">
        <v>146</v>
      </c>
      <c r="B1443" s="2683" t="s">
        <v>7396</v>
      </c>
      <c r="C1443" s="2683">
        <v>70</v>
      </c>
      <c r="D1443" s="2683">
        <v>125</v>
      </c>
      <c r="E1443" s="2683">
        <v>75</v>
      </c>
      <c r="F1443" s="2683" t="s">
        <v>5922</v>
      </c>
      <c r="G1443" s="2683" t="s">
        <v>5922</v>
      </c>
      <c r="H1443" s="2683" t="s">
        <v>5922</v>
      </c>
      <c r="I1443" s="2683" t="s">
        <v>5922</v>
      </c>
      <c r="J1443" s="2683">
        <v>3.6059999999999999</v>
      </c>
      <c r="K1443" s="2684"/>
      <c r="L1443" s="2683" t="s">
        <v>7397</v>
      </c>
    </row>
    <row r="1444" spans="1:12">
      <c r="A1444" s="2682" t="s">
        <v>146</v>
      </c>
      <c r="B1444" s="2682">
        <v>352152</v>
      </c>
      <c r="C1444" s="2682">
        <v>260</v>
      </c>
      <c r="D1444" s="2682">
        <v>440</v>
      </c>
      <c r="E1444" s="2682">
        <v>225</v>
      </c>
      <c r="F1444" s="2682" t="s">
        <v>5922</v>
      </c>
      <c r="G1444" s="2682" t="s">
        <v>5922</v>
      </c>
      <c r="H1444" s="2682" t="s">
        <v>5922</v>
      </c>
      <c r="I1444" s="2682" t="s">
        <v>5922</v>
      </c>
      <c r="J1444" s="2682">
        <v>124</v>
      </c>
      <c r="L1444" s="2682">
        <v>2097752</v>
      </c>
    </row>
    <row r="1445" spans="1:12">
      <c r="A1445" s="2683" t="s">
        <v>146</v>
      </c>
      <c r="B1445" s="2683">
        <v>352148</v>
      </c>
      <c r="C1445" s="2683">
        <v>240</v>
      </c>
      <c r="D1445" s="2683">
        <v>400</v>
      </c>
      <c r="E1445" s="2683">
        <v>210</v>
      </c>
      <c r="F1445" s="2683" t="s">
        <v>5922</v>
      </c>
      <c r="G1445" s="2683" t="s">
        <v>5922</v>
      </c>
      <c r="H1445" s="2683" t="s">
        <v>5922</v>
      </c>
      <c r="I1445" s="2683" t="s">
        <v>5922</v>
      </c>
      <c r="J1445" s="2683">
        <v>98.1</v>
      </c>
      <c r="K1445" s="2684"/>
      <c r="L1445" s="2683">
        <v>2097748</v>
      </c>
    </row>
    <row r="1446" spans="1:12">
      <c r="A1446" s="2682" t="s">
        <v>146</v>
      </c>
      <c r="B1446" s="2682">
        <v>352144</v>
      </c>
      <c r="C1446" s="2682">
        <v>220</v>
      </c>
      <c r="D1446" s="2682">
        <v>370</v>
      </c>
      <c r="E1446" s="2682">
        <v>195</v>
      </c>
      <c r="F1446" s="2682" t="s">
        <v>5922</v>
      </c>
      <c r="G1446" s="2682" t="s">
        <v>5922</v>
      </c>
      <c r="H1446" s="2682" t="s">
        <v>5922</v>
      </c>
      <c r="I1446" s="2682" t="s">
        <v>5922</v>
      </c>
      <c r="J1446" s="2682">
        <v>76.3</v>
      </c>
      <c r="L1446" s="2682">
        <v>2097744</v>
      </c>
    </row>
    <row r="1447" spans="1:12">
      <c r="A1447" s="2683" t="s">
        <v>146</v>
      </c>
      <c r="B1447" s="2683" t="s">
        <v>7398</v>
      </c>
      <c r="C1447" s="2683">
        <v>200</v>
      </c>
      <c r="D1447" s="2683">
        <v>340</v>
      </c>
      <c r="E1447" s="2683">
        <v>184</v>
      </c>
      <c r="F1447" s="2683" t="s">
        <v>5922</v>
      </c>
      <c r="G1447" s="2683" t="s">
        <v>5922</v>
      </c>
      <c r="H1447" s="2683" t="s">
        <v>5922</v>
      </c>
      <c r="I1447" s="2683" t="s">
        <v>5922</v>
      </c>
      <c r="J1447" s="2683">
        <v>0</v>
      </c>
      <c r="K1447" s="2684"/>
      <c r="L1447" s="2683">
        <v>2097740</v>
      </c>
    </row>
    <row r="1448" spans="1:12">
      <c r="A1448" s="2682" t="s">
        <v>146</v>
      </c>
      <c r="B1448" s="2682">
        <v>352140</v>
      </c>
      <c r="C1448" s="2682">
        <v>200</v>
      </c>
      <c r="D1448" s="2682">
        <v>340</v>
      </c>
      <c r="E1448" s="2682">
        <v>184</v>
      </c>
      <c r="F1448" s="2682" t="s">
        <v>5922</v>
      </c>
      <c r="G1448" s="2682" t="s">
        <v>5922</v>
      </c>
      <c r="H1448" s="2682" t="s">
        <v>5922</v>
      </c>
      <c r="I1448" s="2682" t="s">
        <v>5922</v>
      </c>
      <c r="J1448" s="2682">
        <v>63.8</v>
      </c>
      <c r="L1448" s="2682">
        <v>2097740</v>
      </c>
    </row>
    <row r="1449" spans="1:12">
      <c r="A1449" s="2683" t="s">
        <v>146</v>
      </c>
      <c r="B1449" s="2683" t="s">
        <v>7399</v>
      </c>
      <c r="C1449" s="2683">
        <v>150</v>
      </c>
      <c r="D1449" s="2683">
        <v>250</v>
      </c>
      <c r="E1449" s="2683">
        <v>109</v>
      </c>
      <c r="F1449" s="2683" t="s">
        <v>5922</v>
      </c>
      <c r="G1449" s="2683" t="s">
        <v>5922</v>
      </c>
      <c r="H1449" s="2683" t="s">
        <v>5922</v>
      </c>
      <c r="I1449" s="2683" t="s">
        <v>5922</v>
      </c>
      <c r="J1449" s="2683">
        <v>24.5</v>
      </c>
      <c r="K1449" s="2684"/>
      <c r="L1449" s="2683" t="s">
        <v>7400</v>
      </c>
    </row>
    <row r="1450" spans="1:12">
      <c r="A1450" s="2682" t="s">
        <v>146</v>
      </c>
      <c r="B1450" s="2682">
        <v>352138</v>
      </c>
      <c r="C1450" s="2682">
        <v>190</v>
      </c>
      <c r="D1450" s="2682">
        <v>320</v>
      </c>
      <c r="E1450" s="2682">
        <v>170</v>
      </c>
      <c r="F1450" s="2682" t="s">
        <v>5922</v>
      </c>
      <c r="G1450" s="2682" t="s">
        <v>5922</v>
      </c>
      <c r="H1450" s="2682" t="s">
        <v>5922</v>
      </c>
      <c r="I1450" s="2682" t="s">
        <v>5922</v>
      </c>
      <c r="J1450" s="2682">
        <v>53.62</v>
      </c>
      <c r="L1450" s="2682" t="s">
        <v>7401</v>
      </c>
    </row>
    <row r="1451" spans="1:12">
      <c r="A1451" s="2683" t="s">
        <v>146</v>
      </c>
      <c r="B1451" s="2683">
        <v>352136</v>
      </c>
      <c r="C1451" s="2683">
        <v>180</v>
      </c>
      <c r="D1451" s="2683">
        <v>300</v>
      </c>
      <c r="E1451" s="2683">
        <v>164</v>
      </c>
      <c r="F1451" s="2683" t="s">
        <v>5922</v>
      </c>
      <c r="G1451" s="2683" t="s">
        <v>5922</v>
      </c>
      <c r="H1451" s="2683" t="s">
        <v>5922</v>
      </c>
      <c r="I1451" s="2683" t="s">
        <v>5922</v>
      </c>
      <c r="J1451" s="2683">
        <v>39.9</v>
      </c>
      <c r="K1451" s="2684"/>
      <c r="L1451" s="2683">
        <v>2097736</v>
      </c>
    </row>
    <row r="1452" spans="1:12">
      <c r="A1452" s="2682" t="s">
        <v>146</v>
      </c>
      <c r="B1452" s="2682" t="s">
        <v>7402</v>
      </c>
      <c r="C1452" s="2682">
        <v>170</v>
      </c>
      <c r="D1452" s="2682">
        <v>280</v>
      </c>
      <c r="E1452" s="2682">
        <v>150</v>
      </c>
      <c r="F1452" s="2682" t="s">
        <v>5922</v>
      </c>
      <c r="G1452" s="2682" t="s">
        <v>5922</v>
      </c>
      <c r="H1452" s="2682" t="s">
        <v>5922</v>
      </c>
      <c r="I1452" s="2682" t="s">
        <v>5922</v>
      </c>
      <c r="J1452" s="2682">
        <v>33.9</v>
      </c>
      <c r="L1452" s="2682" t="s">
        <v>7403</v>
      </c>
    </row>
    <row r="1453" spans="1:12">
      <c r="A1453" s="2683" t="s">
        <v>146</v>
      </c>
      <c r="B1453" s="2683">
        <v>352134</v>
      </c>
      <c r="C1453" s="2683">
        <v>170</v>
      </c>
      <c r="D1453" s="2683">
        <v>280</v>
      </c>
      <c r="E1453" s="2683">
        <v>150</v>
      </c>
      <c r="F1453" s="2683" t="s">
        <v>5922</v>
      </c>
      <c r="G1453" s="2683" t="s">
        <v>5922</v>
      </c>
      <c r="H1453" s="2683" t="s">
        <v>5922</v>
      </c>
      <c r="I1453" s="2683" t="s">
        <v>5922</v>
      </c>
      <c r="J1453" s="2683">
        <v>35.6</v>
      </c>
      <c r="K1453" s="2684"/>
      <c r="L1453" s="2683">
        <v>2097734</v>
      </c>
    </row>
    <row r="1454" spans="1:12">
      <c r="A1454" s="2682" t="s">
        <v>146</v>
      </c>
      <c r="B1454" s="2682" t="s">
        <v>7404</v>
      </c>
      <c r="C1454" s="2682">
        <v>160</v>
      </c>
      <c r="D1454" s="2682">
        <v>270</v>
      </c>
      <c r="E1454" s="2682">
        <v>150</v>
      </c>
      <c r="F1454" s="2682" t="s">
        <v>5922</v>
      </c>
      <c r="G1454" s="2682" t="s">
        <v>5922</v>
      </c>
      <c r="H1454" s="2682" t="s">
        <v>5922</v>
      </c>
      <c r="I1454" s="2682" t="s">
        <v>5922</v>
      </c>
      <c r="J1454" s="2682">
        <v>18.3</v>
      </c>
      <c r="L1454" s="2682" t="s">
        <v>7405</v>
      </c>
    </row>
    <row r="1455" spans="1:12">
      <c r="A1455" s="2683" t="s">
        <v>146</v>
      </c>
      <c r="B1455" s="2683" t="s">
        <v>7406</v>
      </c>
      <c r="C1455" s="2683">
        <v>160</v>
      </c>
      <c r="D1455" s="2683">
        <v>270</v>
      </c>
      <c r="E1455" s="2683">
        <v>150</v>
      </c>
      <c r="F1455" s="2683" t="s">
        <v>5922</v>
      </c>
      <c r="G1455" s="2683" t="s">
        <v>5922</v>
      </c>
      <c r="H1455" s="2683" t="s">
        <v>5922</v>
      </c>
      <c r="I1455" s="2683" t="s">
        <v>5922</v>
      </c>
      <c r="J1455" s="2683">
        <v>0</v>
      </c>
      <c r="K1455" s="2684"/>
      <c r="L1455" s="2683">
        <v>2097732</v>
      </c>
    </row>
    <row r="1456" spans="1:12">
      <c r="A1456" s="2682" t="s">
        <v>146</v>
      </c>
      <c r="B1456" s="2682" t="s">
        <v>7407</v>
      </c>
      <c r="C1456" s="2682">
        <v>150</v>
      </c>
      <c r="D1456" s="2682">
        <v>250</v>
      </c>
      <c r="E1456" s="2682">
        <v>109</v>
      </c>
      <c r="F1456" s="2682" t="s">
        <v>5922</v>
      </c>
      <c r="G1456" s="2682" t="s">
        <v>5922</v>
      </c>
      <c r="H1456" s="2682" t="s">
        <v>5922</v>
      </c>
      <c r="I1456" s="2682" t="s">
        <v>5922</v>
      </c>
      <c r="J1456" s="2682">
        <v>24.5</v>
      </c>
      <c r="L1456" s="2682">
        <v>97730</v>
      </c>
    </row>
    <row r="1457" spans="1:12">
      <c r="A1457" s="2683" t="s">
        <v>146</v>
      </c>
      <c r="B1457" s="2683" t="s">
        <v>7408</v>
      </c>
      <c r="C1457" s="2683">
        <v>400</v>
      </c>
      <c r="D1457" s="2683">
        <v>600</v>
      </c>
      <c r="E1457" s="2683">
        <v>230</v>
      </c>
      <c r="F1457" s="2683" t="s">
        <v>5922</v>
      </c>
      <c r="G1457" s="2683" t="s">
        <v>5922</v>
      </c>
      <c r="H1457" s="2683" t="s">
        <v>5922</v>
      </c>
      <c r="I1457" s="2683" t="s">
        <v>5922</v>
      </c>
      <c r="J1457" s="2683">
        <v>206</v>
      </c>
      <c r="K1457" s="2684"/>
      <c r="L1457" s="2683">
        <v>97880</v>
      </c>
    </row>
    <row r="1458" spans="1:12">
      <c r="A1458" s="2682" t="s">
        <v>146</v>
      </c>
      <c r="B1458" s="2682" t="s">
        <v>7409</v>
      </c>
      <c r="C1458" s="2682">
        <v>360</v>
      </c>
      <c r="D1458" s="2682">
        <v>540</v>
      </c>
      <c r="E1458" s="2682">
        <v>220</v>
      </c>
      <c r="F1458" s="2682" t="s">
        <v>5922</v>
      </c>
      <c r="G1458" s="2682" t="s">
        <v>5922</v>
      </c>
      <c r="H1458" s="2682" t="s">
        <v>5922</v>
      </c>
      <c r="I1458" s="2682" t="s">
        <v>5922</v>
      </c>
      <c r="J1458" s="2682">
        <v>162</v>
      </c>
      <c r="L1458" s="2682">
        <v>2097172</v>
      </c>
    </row>
    <row r="1459" spans="1:12">
      <c r="A1459" s="2683" t="s">
        <v>146</v>
      </c>
      <c r="B1459" s="2683" t="s">
        <v>7410</v>
      </c>
      <c r="C1459" s="2683">
        <v>360</v>
      </c>
      <c r="D1459" s="2683">
        <v>540</v>
      </c>
      <c r="E1459" s="2683">
        <v>220</v>
      </c>
      <c r="F1459" s="2683" t="s">
        <v>5922</v>
      </c>
      <c r="G1459" s="2683" t="s">
        <v>5922</v>
      </c>
      <c r="H1459" s="2683" t="s">
        <v>5922</v>
      </c>
      <c r="I1459" s="2683" t="s">
        <v>5922</v>
      </c>
      <c r="J1459" s="2683">
        <v>162</v>
      </c>
      <c r="K1459" s="2684"/>
      <c r="L1459" s="2683">
        <v>2097172</v>
      </c>
    </row>
    <row r="1460" spans="1:12">
      <c r="A1460" s="2682" t="s">
        <v>146</v>
      </c>
      <c r="B1460" s="2682" t="s">
        <v>7411</v>
      </c>
      <c r="C1460" s="2682">
        <v>320</v>
      </c>
      <c r="D1460" s="2682">
        <v>480</v>
      </c>
      <c r="E1460" s="2682">
        <v>210</v>
      </c>
      <c r="F1460" s="2682" t="s">
        <v>5922</v>
      </c>
      <c r="G1460" s="2682" t="s">
        <v>5922</v>
      </c>
      <c r="H1460" s="2682" t="s">
        <v>5922</v>
      </c>
      <c r="I1460" s="2682" t="s">
        <v>5922</v>
      </c>
      <c r="J1460" s="2682">
        <v>119.6</v>
      </c>
      <c r="L1460" s="2682" t="s">
        <v>7412</v>
      </c>
    </row>
    <row r="1461" spans="1:12">
      <c r="A1461" s="2683" t="s">
        <v>146</v>
      </c>
      <c r="B1461" s="2683" t="s">
        <v>7413</v>
      </c>
      <c r="C1461" s="2683">
        <v>320</v>
      </c>
      <c r="D1461" s="2683">
        <v>480</v>
      </c>
      <c r="E1461" s="2683">
        <v>210</v>
      </c>
      <c r="F1461" s="2683" t="s">
        <v>5922</v>
      </c>
      <c r="G1461" s="2683" t="s">
        <v>5922</v>
      </c>
      <c r="H1461" s="2683" t="s">
        <v>5922</v>
      </c>
      <c r="I1461" s="2683" t="s">
        <v>5922</v>
      </c>
      <c r="J1461" s="2683">
        <v>121</v>
      </c>
      <c r="K1461" s="2684"/>
      <c r="L1461" s="2683">
        <v>2097164</v>
      </c>
    </row>
    <row r="1462" spans="1:12">
      <c r="A1462" s="2682" t="s">
        <v>146</v>
      </c>
      <c r="B1462" s="2682" t="s">
        <v>7414</v>
      </c>
      <c r="C1462" s="2682">
        <v>320</v>
      </c>
      <c r="D1462" s="2682">
        <v>480</v>
      </c>
      <c r="E1462" s="2682">
        <v>210</v>
      </c>
      <c r="F1462" s="2682" t="s">
        <v>5922</v>
      </c>
      <c r="G1462" s="2682" t="s">
        <v>5922</v>
      </c>
      <c r="H1462" s="2682" t="s">
        <v>5922</v>
      </c>
      <c r="I1462" s="2682" t="s">
        <v>5922</v>
      </c>
      <c r="J1462" s="2682">
        <v>122</v>
      </c>
      <c r="L1462" s="2682" t="s">
        <v>7415</v>
      </c>
    </row>
    <row r="1463" spans="1:12">
      <c r="A1463" s="2683" t="s">
        <v>146</v>
      </c>
      <c r="B1463" s="2683" t="s">
        <v>7416</v>
      </c>
      <c r="C1463" s="2683">
        <v>320</v>
      </c>
      <c r="D1463" s="2683">
        <v>480</v>
      </c>
      <c r="E1463" s="2683">
        <v>210</v>
      </c>
      <c r="F1463" s="2683" t="s">
        <v>5922</v>
      </c>
      <c r="G1463" s="2683" t="s">
        <v>5922</v>
      </c>
      <c r="H1463" s="2683" t="s">
        <v>5922</v>
      </c>
      <c r="I1463" s="2683" t="s">
        <v>5922</v>
      </c>
      <c r="J1463" s="2683">
        <v>122</v>
      </c>
      <c r="K1463" s="2684"/>
      <c r="L1463" s="2683" t="s">
        <v>7417</v>
      </c>
    </row>
    <row r="1464" spans="1:12">
      <c r="A1464" s="2682" t="s">
        <v>146</v>
      </c>
      <c r="B1464" s="2682" t="s">
        <v>7418</v>
      </c>
      <c r="C1464" s="2682">
        <v>320</v>
      </c>
      <c r="D1464" s="2682">
        <v>480</v>
      </c>
      <c r="E1464" s="2682">
        <v>151</v>
      </c>
      <c r="F1464" s="2682" t="s">
        <v>5922</v>
      </c>
      <c r="G1464" s="2682" t="s">
        <v>5922</v>
      </c>
      <c r="H1464" s="2682" t="s">
        <v>5922</v>
      </c>
      <c r="I1464" s="2682" t="s">
        <v>5922</v>
      </c>
      <c r="J1464" s="2682">
        <v>88.9</v>
      </c>
      <c r="L1464" s="2682">
        <v>97764</v>
      </c>
    </row>
    <row r="1465" spans="1:12">
      <c r="A1465" s="2683" t="s">
        <v>146</v>
      </c>
      <c r="B1465" s="2683" t="s">
        <v>7419</v>
      </c>
      <c r="C1465" s="2683">
        <v>300</v>
      </c>
      <c r="D1465" s="2683">
        <v>460</v>
      </c>
      <c r="E1465" s="2683">
        <v>210</v>
      </c>
      <c r="F1465" s="2683" t="s">
        <v>5922</v>
      </c>
      <c r="G1465" s="2683" t="s">
        <v>5922</v>
      </c>
      <c r="H1465" s="2683" t="s">
        <v>5922</v>
      </c>
      <c r="I1465" s="2683" t="s">
        <v>5922</v>
      </c>
      <c r="J1465" s="2683">
        <v>117</v>
      </c>
      <c r="K1465" s="2684"/>
      <c r="L1465" s="2683" t="s">
        <v>7420</v>
      </c>
    </row>
    <row r="1466" spans="1:12">
      <c r="A1466" s="2682" t="s">
        <v>146</v>
      </c>
      <c r="B1466" s="2682" t="s">
        <v>7421</v>
      </c>
      <c r="C1466" s="2682">
        <v>300</v>
      </c>
      <c r="D1466" s="2682">
        <v>460</v>
      </c>
      <c r="E1466" s="2682">
        <v>210</v>
      </c>
      <c r="F1466" s="2682" t="s">
        <v>5922</v>
      </c>
      <c r="G1466" s="2682" t="s">
        <v>5922</v>
      </c>
      <c r="H1466" s="2682" t="s">
        <v>5922</v>
      </c>
      <c r="I1466" s="2682" t="s">
        <v>5922</v>
      </c>
      <c r="J1466" s="2682">
        <v>118</v>
      </c>
      <c r="L1466" s="2682">
        <v>2097160</v>
      </c>
    </row>
    <row r="1467" spans="1:12">
      <c r="A1467" s="2683" t="s">
        <v>146</v>
      </c>
      <c r="B1467" s="2683" t="s">
        <v>7422</v>
      </c>
      <c r="C1467" s="2683">
        <v>280</v>
      </c>
      <c r="D1467" s="2683">
        <v>420</v>
      </c>
      <c r="E1467" s="2683">
        <v>186</v>
      </c>
      <c r="F1467" s="2683" t="s">
        <v>5922</v>
      </c>
      <c r="G1467" s="2683" t="s">
        <v>5922</v>
      </c>
      <c r="H1467" s="2683" t="s">
        <v>5922</v>
      </c>
      <c r="I1467" s="2683" t="s">
        <v>5922</v>
      </c>
      <c r="J1467" s="2683">
        <v>82.7</v>
      </c>
      <c r="K1467" s="2684"/>
      <c r="L1467" s="2683">
        <v>2097156</v>
      </c>
    </row>
    <row r="1468" spans="1:12">
      <c r="A1468" s="2682" t="s">
        <v>146</v>
      </c>
      <c r="B1468" s="2682" t="s">
        <v>7423</v>
      </c>
      <c r="C1468" s="2682">
        <v>280</v>
      </c>
      <c r="D1468" s="2682">
        <v>420</v>
      </c>
      <c r="E1468" s="2682">
        <v>186</v>
      </c>
      <c r="F1468" s="2682" t="s">
        <v>5922</v>
      </c>
      <c r="G1468" s="2682" t="s">
        <v>5922</v>
      </c>
      <c r="H1468" s="2682" t="s">
        <v>5922</v>
      </c>
      <c r="I1468" s="2682" t="s">
        <v>5922</v>
      </c>
      <c r="J1468" s="2682">
        <v>81.5</v>
      </c>
      <c r="L1468" s="2682">
        <v>2097156</v>
      </c>
    </row>
    <row r="1469" spans="1:12">
      <c r="A1469" s="2683" t="s">
        <v>146</v>
      </c>
      <c r="B1469" s="2683" t="s">
        <v>7424</v>
      </c>
      <c r="C1469" s="2683">
        <v>260</v>
      </c>
      <c r="D1469" s="2683">
        <v>400</v>
      </c>
      <c r="E1469" s="2683">
        <v>186</v>
      </c>
      <c r="F1469" s="2683" t="s">
        <v>5922</v>
      </c>
      <c r="G1469" s="2683" t="s">
        <v>5922</v>
      </c>
      <c r="H1469" s="2683" t="s">
        <v>5922</v>
      </c>
      <c r="I1469" s="2683" t="s">
        <v>5922</v>
      </c>
      <c r="J1469" s="2683">
        <v>79.7</v>
      </c>
      <c r="K1469" s="2684"/>
      <c r="L1469" s="2683">
        <v>2097152</v>
      </c>
    </row>
    <row r="1470" spans="1:12">
      <c r="A1470" s="2682" t="s">
        <v>146</v>
      </c>
      <c r="B1470" s="2682" t="s">
        <v>7425</v>
      </c>
      <c r="C1470" s="2682">
        <v>420</v>
      </c>
      <c r="D1470" s="2682">
        <v>560</v>
      </c>
      <c r="E1470" s="2682">
        <v>145</v>
      </c>
      <c r="F1470" s="2682" t="s">
        <v>5922</v>
      </c>
      <c r="G1470" s="2682" t="s">
        <v>5922</v>
      </c>
      <c r="H1470" s="2682" t="s">
        <v>5922</v>
      </c>
      <c r="I1470" s="2682" t="s">
        <v>5922</v>
      </c>
      <c r="J1470" s="2682">
        <v>88.7</v>
      </c>
      <c r="L1470" s="2682" t="s">
        <v>7426</v>
      </c>
    </row>
    <row r="1471" spans="1:12">
      <c r="A1471" s="2683" t="s">
        <v>146</v>
      </c>
      <c r="B1471" s="2683">
        <v>351984</v>
      </c>
      <c r="C1471" s="2683">
        <v>420</v>
      </c>
      <c r="D1471" s="2683">
        <v>560</v>
      </c>
      <c r="E1471" s="2683">
        <v>145</v>
      </c>
      <c r="F1471" s="2683" t="s">
        <v>5922</v>
      </c>
      <c r="G1471" s="2683" t="s">
        <v>5922</v>
      </c>
      <c r="H1471" s="2683" t="s">
        <v>5922</v>
      </c>
      <c r="I1471" s="2683" t="s">
        <v>5922</v>
      </c>
      <c r="J1471" s="2683">
        <v>88.7</v>
      </c>
      <c r="K1471" s="2684"/>
      <c r="L1471" s="2683">
        <v>1097984</v>
      </c>
    </row>
    <row r="1472" spans="1:12">
      <c r="A1472" s="2682" t="s">
        <v>146</v>
      </c>
      <c r="B1472" s="2682" t="s">
        <v>7427</v>
      </c>
      <c r="C1472" s="2682">
        <v>400</v>
      </c>
      <c r="D1472" s="2682">
        <v>540</v>
      </c>
      <c r="E1472" s="2682">
        <v>70</v>
      </c>
      <c r="F1472" s="2682" t="s">
        <v>5922</v>
      </c>
      <c r="G1472" s="2682" t="s">
        <v>5922</v>
      </c>
      <c r="H1472" s="2682" t="s">
        <v>5922</v>
      </c>
      <c r="I1472" s="2682" t="s">
        <v>5922</v>
      </c>
      <c r="J1472" s="2682">
        <v>0</v>
      </c>
      <c r="L1472" s="2682">
        <v>1007980</v>
      </c>
    </row>
    <row r="1473" spans="1:12">
      <c r="A1473" s="2683" t="s">
        <v>146</v>
      </c>
      <c r="B1473" s="2683">
        <v>351980</v>
      </c>
      <c r="C1473" s="2683">
        <v>400</v>
      </c>
      <c r="D1473" s="2683">
        <v>540</v>
      </c>
      <c r="E1473" s="2683">
        <v>65</v>
      </c>
      <c r="F1473" s="2683" t="s">
        <v>5922</v>
      </c>
      <c r="G1473" s="2683" t="s">
        <v>5922</v>
      </c>
      <c r="H1473" s="2683" t="s">
        <v>5922</v>
      </c>
      <c r="I1473" s="2683" t="s">
        <v>5922</v>
      </c>
      <c r="J1473" s="2683">
        <v>86.9</v>
      </c>
      <c r="K1473" s="2684"/>
      <c r="L1473" s="2683">
        <v>1097980</v>
      </c>
    </row>
    <row r="1474" spans="1:12">
      <c r="A1474" s="2682" t="s">
        <v>146</v>
      </c>
      <c r="B1474" s="2682">
        <v>351976</v>
      </c>
      <c r="C1474" s="2682">
        <v>380</v>
      </c>
      <c r="D1474" s="2682">
        <v>520</v>
      </c>
      <c r="E1474" s="2682">
        <v>145</v>
      </c>
      <c r="F1474" s="2682" t="s">
        <v>5922</v>
      </c>
      <c r="G1474" s="2682" t="s">
        <v>5922</v>
      </c>
      <c r="H1474" s="2682" t="s">
        <v>5922</v>
      </c>
      <c r="I1474" s="2682" t="s">
        <v>5922</v>
      </c>
      <c r="J1474" s="2682">
        <v>78.8</v>
      </c>
      <c r="L1474" s="2682">
        <v>1097976</v>
      </c>
    </row>
    <row r="1475" spans="1:12">
      <c r="A1475" s="2683" t="s">
        <v>146</v>
      </c>
      <c r="B1475" s="2683" t="s">
        <v>7428</v>
      </c>
      <c r="C1475" s="2683">
        <v>950</v>
      </c>
      <c r="D1475" s="2683">
        <v>1250</v>
      </c>
      <c r="E1475" s="2683">
        <v>220</v>
      </c>
      <c r="F1475" s="2683" t="s">
        <v>5922</v>
      </c>
      <c r="G1475" s="2683" t="s">
        <v>5922</v>
      </c>
      <c r="H1475" s="2683" t="s">
        <v>5922</v>
      </c>
      <c r="I1475" s="2683" t="s">
        <v>5922</v>
      </c>
      <c r="J1475" s="2683">
        <v>911</v>
      </c>
      <c r="K1475" s="2684"/>
      <c r="L1475" s="2683" t="s">
        <v>7429</v>
      </c>
    </row>
    <row r="1476" spans="1:12">
      <c r="A1476" s="2682" t="s">
        <v>146</v>
      </c>
      <c r="B1476" s="2682" t="s">
        <v>7430</v>
      </c>
      <c r="C1476" s="2682">
        <v>800</v>
      </c>
      <c r="D1476" s="2682">
        <v>1060</v>
      </c>
      <c r="E1476" s="2682">
        <v>270</v>
      </c>
      <c r="F1476" s="2682" t="s">
        <v>5922</v>
      </c>
      <c r="G1476" s="2682" t="s">
        <v>5922</v>
      </c>
      <c r="H1476" s="2682" t="s">
        <v>5922</v>
      </c>
      <c r="I1476" s="2682" t="s">
        <v>5922</v>
      </c>
      <c r="J1476" s="2682">
        <v>604</v>
      </c>
      <c r="L1476" s="2682" t="s">
        <v>7431</v>
      </c>
    </row>
    <row r="1477" spans="1:12">
      <c r="A1477" s="2683" t="s">
        <v>146</v>
      </c>
      <c r="B1477" s="2683" t="s">
        <v>7432</v>
      </c>
      <c r="C1477" s="2683">
        <v>630</v>
      </c>
      <c r="D1477" s="2683">
        <v>850</v>
      </c>
      <c r="E1477" s="2683">
        <v>242</v>
      </c>
      <c r="F1477" s="2683" t="s">
        <v>5922</v>
      </c>
      <c r="G1477" s="2683" t="s">
        <v>5922</v>
      </c>
      <c r="H1477" s="2683" t="s">
        <v>5922</v>
      </c>
      <c r="I1477" s="2683" t="s">
        <v>5922</v>
      </c>
      <c r="J1477" s="2683">
        <v>368</v>
      </c>
      <c r="K1477" s="2684"/>
      <c r="L1477" s="2683" t="s">
        <v>7433</v>
      </c>
    </row>
    <row r="1478" spans="1:12">
      <c r="A1478" s="2682" t="s">
        <v>146</v>
      </c>
      <c r="B1478" s="2682" t="s">
        <v>7434</v>
      </c>
      <c r="C1478" s="2682">
        <v>530</v>
      </c>
      <c r="D1478" s="2682">
        <v>710</v>
      </c>
      <c r="E1478" s="2682">
        <v>190</v>
      </c>
      <c r="F1478" s="2682" t="s">
        <v>5922</v>
      </c>
      <c r="G1478" s="2682" t="s">
        <v>5922</v>
      </c>
      <c r="H1478" s="2682" t="s">
        <v>5922</v>
      </c>
      <c r="I1478" s="2682" t="s">
        <v>5922</v>
      </c>
      <c r="J1478" s="2682">
        <v>176</v>
      </c>
      <c r="L1478" s="2682" t="s">
        <v>6457</v>
      </c>
    </row>
    <row r="1479" spans="1:12">
      <c r="A1479" s="2683" t="s">
        <v>146</v>
      </c>
      <c r="B1479" s="2683" t="s">
        <v>7435</v>
      </c>
      <c r="C1479" s="2683">
        <v>500</v>
      </c>
      <c r="D1479" s="2683">
        <v>670</v>
      </c>
      <c r="E1479" s="2683">
        <v>180</v>
      </c>
      <c r="F1479" s="2683" t="s">
        <v>5922</v>
      </c>
      <c r="G1479" s="2683" t="s">
        <v>5922</v>
      </c>
      <c r="H1479" s="2683" t="s">
        <v>5922</v>
      </c>
      <c r="I1479" s="2683" t="s">
        <v>5922</v>
      </c>
      <c r="J1479" s="2683">
        <v>160</v>
      </c>
      <c r="K1479" s="2684"/>
      <c r="L1479" s="2683" t="s">
        <v>7436</v>
      </c>
    </row>
    <row r="1480" spans="1:12">
      <c r="A1480" s="2682" t="s">
        <v>146</v>
      </c>
      <c r="B1480" s="2682">
        <v>351180</v>
      </c>
      <c r="C1480" s="2682">
        <v>400</v>
      </c>
      <c r="D1480" s="2682">
        <v>650</v>
      </c>
      <c r="E1480" s="2682">
        <v>255</v>
      </c>
      <c r="F1480" s="2682" t="s">
        <v>5922</v>
      </c>
      <c r="G1480" s="2682" t="s">
        <v>5922</v>
      </c>
      <c r="H1480" s="2682" t="s">
        <v>5922</v>
      </c>
      <c r="I1480" s="2682" t="s">
        <v>5922</v>
      </c>
      <c r="J1480" s="2682">
        <v>279</v>
      </c>
      <c r="L1480" s="2682">
        <v>1097780</v>
      </c>
    </row>
    <row r="1481" spans="1:12">
      <c r="A1481" s="2683" t="s">
        <v>146</v>
      </c>
      <c r="B1481" s="2683">
        <v>351172</v>
      </c>
      <c r="C1481" s="2683">
        <v>360</v>
      </c>
      <c r="D1481" s="2683">
        <v>600</v>
      </c>
      <c r="E1481" s="2683">
        <v>242</v>
      </c>
      <c r="F1481" s="2683" t="s">
        <v>5922</v>
      </c>
      <c r="G1481" s="2683" t="s">
        <v>5922</v>
      </c>
      <c r="H1481" s="2683" t="s">
        <v>5922</v>
      </c>
      <c r="I1481" s="2683" t="s">
        <v>5922</v>
      </c>
      <c r="J1481" s="2683">
        <v>221</v>
      </c>
      <c r="K1481" s="2684"/>
      <c r="L1481" s="2683">
        <v>1097772</v>
      </c>
    </row>
    <row r="1482" spans="1:12">
      <c r="A1482" s="2682" t="s">
        <v>146</v>
      </c>
      <c r="B1482" s="2682" t="s">
        <v>7437</v>
      </c>
      <c r="C1482" s="2682">
        <v>300</v>
      </c>
      <c r="D1482" s="2682">
        <v>500</v>
      </c>
      <c r="E1482" s="2682">
        <v>200</v>
      </c>
      <c r="F1482" s="2682" t="s">
        <v>5922</v>
      </c>
      <c r="G1482" s="2682" t="s">
        <v>5922</v>
      </c>
      <c r="H1482" s="2682" t="s">
        <v>5922</v>
      </c>
      <c r="I1482" s="2682" t="s">
        <v>5922</v>
      </c>
      <c r="J1482" s="2682">
        <v>142</v>
      </c>
      <c r="L1482" s="2682">
        <v>97860</v>
      </c>
    </row>
    <row r="1483" spans="1:12">
      <c r="A1483" s="2683" t="s">
        <v>146</v>
      </c>
      <c r="B1483" s="2683" t="s">
        <v>7438</v>
      </c>
      <c r="C1483" s="2683">
        <v>420</v>
      </c>
      <c r="D1483" s="2683">
        <v>620</v>
      </c>
      <c r="E1483" s="2683">
        <v>190</v>
      </c>
      <c r="F1483" s="2683" t="s">
        <v>5922</v>
      </c>
      <c r="G1483" s="2683" t="s">
        <v>5922</v>
      </c>
      <c r="H1483" s="2683" t="s">
        <v>5922</v>
      </c>
      <c r="I1483" s="2683" t="s">
        <v>5922</v>
      </c>
      <c r="J1483" s="2683">
        <v>170.98</v>
      </c>
      <c r="K1483" s="2684"/>
      <c r="L1483" s="2683">
        <v>37784</v>
      </c>
    </row>
    <row r="1484" spans="1:12">
      <c r="A1484" s="2682" t="s">
        <v>146</v>
      </c>
      <c r="B1484" s="2682" t="s">
        <v>7439</v>
      </c>
      <c r="C1484" s="2682">
        <v>380</v>
      </c>
      <c r="D1484" s="2682">
        <v>560</v>
      </c>
      <c r="E1484" s="2682">
        <v>171</v>
      </c>
      <c r="F1484" s="2682" t="s">
        <v>5922</v>
      </c>
      <c r="G1484" s="2682" t="s">
        <v>5922</v>
      </c>
      <c r="H1484" s="2682" t="s">
        <v>5922</v>
      </c>
      <c r="I1484" s="2682" t="s">
        <v>5922</v>
      </c>
      <c r="J1484" s="2682">
        <v>136</v>
      </c>
      <c r="L1484" s="2682">
        <v>97876</v>
      </c>
    </row>
    <row r="1485" spans="1:12">
      <c r="A1485" s="2683" t="s">
        <v>146</v>
      </c>
      <c r="B1485" s="2683" t="s">
        <v>7440</v>
      </c>
      <c r="C1485" s="2683">
        <v>360</v>
      </c>
      <c r="D1485" s="2683">
        <v>540</v>
      </c>
      <c r="E1485" s="2683">
        <v>185</v>
      </c>
      <c r="F1485" s="2683" t="s">
        <v>5922</v>
      </c>
      <c r="G1485" s="2683" t="s">
        <v>5922</v>
      </c>
      <c r="H1485" s="2683" t="s">
        <v>5922</v>
      </c>
      <c r="I1485" s="2683" t="s">
        <v>5922</v>
      </c>
      <c r="J1485" s="2683">
        <v>128</v>
      </c>
      <c r="K1485" s="2684"/>
      <c r="L1485" s="2683" t="s">
        <v>7441</v>
      </c>
    </row>
    <row r="1486" spans="1:12">
      <c r="A1486" s="2682" t="s">
        <v>146</v>
      </c>
      <c r="B1486" s="2682" t="s">
        <v>7442</v>
      </c>
      <c r="C1486" s="2682">
        <v>710</v>
      </c>
      <c r="D1486" s="2682">
        <v>1030</v>
      </c>
      <c r="E1486" s="2682">
        <v>315</v>
      </c>
      <c r="F1486" s="2682" t="s">
        <v>5922</v>
      </c>
      <c r="G1486" s="2682" t="s">
        <v>5922</v>
      </c>
      <c r="H1486" s="2682" t="s">
        <v>5922</v>
      </c>
      <c r="I1486" s="2682" t="s">
        <v>5922</v>
      </c>
      <c r="J1486" s="2682">
        <v>810</v>
      </c>
      <c r="L1486" s="2682" t="s">
        <v>7443</v>
      </c>
    </row>
    <row r="1487" spans="1:12">
      <c r="A1487" s="2683" t="s">
        <v>146</v>
      </c>
      <c r="B1487" s="2683" t="s">
        <v>7444</v>
      </c>
      <c r="C1487" s="2683">
        <v>660</v>
      </c>
      <c r="D1487" s="2683">
        <v>980</v>
      </c>
      <c r="E1487" s="2683">
        <v>310</v>
      </c>
      <c r="F1487" s="2683" t="s">
        <v>5922</v>
      </c>
      <c r="G1487" s="2683" t="s">
        <v>5922</v>
      </c>
      <c r="H1487" s="2683" t="s">
        <v>5922</v>
      </c>
      <c r="I1487" s="2683" t="s">
        <v>5922</v>
      </c>
      <c r="J1487" s="2683">
        <v>710</v>
      </c>
      <c r="K1487" s="2684"/>
      <c r="L1487" s="2683" t="s">
        <v>7445</v>
      </c>
    </row>
    <row r="1488" spans="1:12">
      <c r="A1488" s="2682" t="s">
        <v>146</v>
      </c>
      <c r="B1488" s="2682" t="s">
        <v>7446</v>
      </c>
      <c r="C1488" s="2682">
        <v>630</v>
      </c>
      <c r="D1488" s="2682">
        <v>920</v>
      </c>
      <c r="E1488" s="2682">
        <v>295</v>
      </c>
      <c r="F1488" s="2682" t="s">
        <v>5922</v>
      </c>
      <c r="G1488" s="2682" t="s">
        <v>5922</v>
      </c>
      <c r="H1488" s="2682" t="s">
        <v>5922</v>
      </c>
      <c r="I1488" s="2682" t="s">
        <v>5922</v>
      </c>
      <c r="J1488" s="2682">
        <v>560</v>
      </c>
      <c r="L1488" s="2682" t="s">
        <v>7447</v>
      </c>
    </row>
    <row r="1489" spans="1:12">
      <c r="A1489" s="2683" t="s">
        <v>146</v>
      </c>
      <c r="B1489" s="2683" t="s">
        <v>7448</v>
      </c>
      <c r="C1489" s="2683">
        <v>600</v>
      </c>
      <c r="D1489" s="2683">
        <v>870</v>
      </c>
      <c r="E1489" s="2683">
        <v>270</v>
      </c>
      <c r="F1489" s="2683" t="s">
        <v>5922</v>
      </c>
      <c r="G1489" s="2683" t="s">
        <v>5922</v>
      </c>
      <c r="H1489" s="2683" t="s">
        <v>5922</v>
      </c>
      <c r="I1489" s="2683" t="s">
        <v>5922</v>
      </c>
      <c r="J1489" s="2683">
        <v>500</v>
      </c>
      <c r="K1489" s="2684"/>
      <c r="L1489" s="2683" t="s">
        <v>7449</v>
      </c>
    </row>
    <row r="1490" spans="1:12">
      <c r="A1490" s="2682" t="s">
        <v>146</v>
      </c>
      <c r="B1490" s="2682" t="s">
        <v>7450</v>
      </c>
      <c r="C1490" s="2682">
        <v>560</v>
      </c>
      <c r="D1490" s="2682">
        <v>820</v>
      </c>
      <c r="E1490" s="2682">
        <v>260</v>
      </c>
      <c r="F1490" s="2682" t="s">
        <v>5922</v>
      </c>
      <c r="G1490" s="2682" t="s">
        <v>5922</v>
      </c>
      <c r="H1490" s="2682" t="s">
        <v>5922</v>
      </c>
      <c r="I1490" s="2682" t="s">
        <v>5922</v>
      </c>
      <c r="J1490" s="2682">
        <v>409</v>
      </c>
      <c r="L1490" s="2682" t="s">
        <v>7451</v>
      </c>
    </row>
    <row r="1491" spans="1:12">
      <c r="A1491" s="2683" t="s">
        <v>146</v>
      </c>
      <c r="B1491" s="2683" t="s">
        <v>7452</v>
      </c>
      <c r="C1491" s="2683">
        <v>530</v>
      </c>
      <c r="D1491" s="2683">
        <v>780</v>
      </c>
      <c r="E1491" s="2683">
        <v>255</v>
      </c>
      <c r="F1491" s="2683" t="s">
        <v>5922</v>
      </c>
      <c r="G1491" s="2683" t="s">
        <v>5922</v>
      </c>
      <c r="H1491" s="2683" t="s">
        <v>5922</v>
      </c>
      <c r="I1491" s="2683" t="s">
        <v>5922</v>
      </c>
      <c r="J1491" s="2683">
        <v>410</v>
      </c>
      <c r="K1491" s="2684"/>
      <c r="L1491" s="2683" t="s">
        <v>7453</v>
      </c>
    </row>
    <row r="1492" spans="1:12">
      <c r="A1492" s="2682" t="s">
        <v>146</v>
      </c>
      <c r="B1492" s="2682" t="s">
        <v>7454</v>
      </c>
      <c r="C1492" s="2682">
        <v>500</v>
      </c>
      <c r="D1492" s="2682">
        <v>720</v>
      </c>
      <c r="E1492" s="2682">
        <v>236</v>
      </c>
      <c r="F1492" s="2682" t="s">
        <v>5922</v>
      </c>
      <c r="G1492" s="2682" t="s">
        <v>5922</v>
      </c>
      <c r="H1492" s="2682" t="s">
        <v>5922</v>
      </c>
      <c r="I1492" s="2682" t="s">
        <v>5922</v>
      </c>
      <c r="J1492" s="2682">
        <v>276</v>
      </c>
      <c r="L1492" s="2682" t="s">
        <v>7455</v>
      </c>
    </row>
    <row r="1493" spans="1:12">
      <c r="A1493" s="2683" t="s">
        <v>146</v>
      </c>
      <c r="B1493" s="2683" t="s">
        <v>7456</v>
      </c>
      <c r="C1493" s="2683">
        <v>500</v>
      </c>
      <c r="D1493" s="2683">
        <v>720</v>
      </c>
      <c r="E1493" s="2683">
        <v>236</v>
      </c>
      <c r="F1493" s="2683" t="s">
        <v>5922</v>
      </c>
      <c r="G1493" s="2683" t="s">
        <v>5922</v>
      </c>
      <c r="H1493" s="2683" t="s">
        <v>5922</v>
      </c>
      <c r="I1493" s="2683" t="s">
        <v>5922</v>
      </c>
      <c r="J1493" s="2683">
        <v>289</v>
      </c>
      <c r="K1493" s="2684"/>
      <c r="L1493" s="2683" t="s">
        <v>7455</v>
      </c>
    </row>
    <row r="1494" spans="1:12">
      <c r="A1494" s="2682" t="s">
        <v>146</v>
      </c>
      <c r="B1494" s="2682">
        <v>350688</v>
      </c>
      <c r="C1494" s="2682">
        <v>440</v>
      </c>
      <c r="D1494" s="2682">
        <v>650</v>
      </c>
      <c r="E1494" s="2682">
        <v>196</v>
      </c>
      <c r="F1494" s="2682" t="s">
        <v>5922</v>
      </c>
      <c r="G1494" s="2682" t="s">
        <v>5922</v>
      </c>
      <c r="H1494" s="2682" t="s">
        <v>5922</v>
      </c>
      <c r="I1494" s="2682" t="s">
        <v>5922</v>
      </c>
      <c r="J1494" s="2682">
        <v>208</v>
      </c>
      <c r="L1494" s="2682">
        <v>97788</v>
      </c>
    </row>
    <row r="1495" spans="1:12">
      <c r="A1495" s="2683" t="s">
        <v>146</v>
      </c>
      <c r="B1495" s="2683">
        <v>350666</v>
      </c>
      <c r="C1495" s="2683">
        <v>330</v>
      </c>
      <c r="D1495" s="2683">
        <v>420</v>
      </c>
      <c r="E1495" s="2683">
        <v>100</v>
      </c>
      <c r="F1495" s="2683" t="s">
        <v>5922</v>
      </c>
      <c r="G1495" s="2683" t="s">
        <v>5922</v>
      </c>
      <c r="H1495" s="2683" t="s">
        <v>5922</v>
      </c>
      <c r="I1495" s="2683" t="s">
        <v>5922</v>
      </c>
      <c r="J1495" s="2683">
        <v>28.9</v>
      </c>
      <c r="K1495" s="2684"/>
      <c r="L1495" s="2683">
        <v>97966</v>
      </c>
    </row>
    <row r="1496" spans="1:12">
      <c r="A1496" s="2682" t="s">
        <v>146</v>
      </c>
      <c r="B1496" s="2682">
        <v>350660</v>
      </c>
      <c r="C1496" s="2682">
        <v>300</v>
      </c>
      <c r="D1496" s="2682">
        <v>420</v>
      </c>
      <c r="E1496" s="2682">
        <v>175</v>
      </c>
      <c r="F1496" s="2682" t="s">
        <v>5922</v>
      </c>
      <c r="G1496" s="2682" t="s">
        <v>5922</v>
      </c>
      <c r="H1496" s="2682" t="s">
        <v>5922</v>
      </c>
      <c r="I1496" s="2682" t="s">
        <v>5922</v>
      </c>
      <c r="J1496" s="2682">
        <v>65.599999999999994</v>
      </c>
      <c r="L1496" s="2682">
        <v>97760</v>
      </c>
    </row>
    <row r="1497" spans="1:12">
      <c r="A1497" s="2683" t="s">
        <v>146</v>
      </c>
      <c r="B1497" s="2683">
        <v>350652</v>
      </c>
      <c r="C1497" s="2683">
        <v>260</v>
      </c>
      <c r="D1497" s="2683">
        <v>430</v>
      </c>
      <c r="E1497" s="2683">
        <v>180</v>
      </c>
      <c r="F1497" s="2683" t="s">
        <v>5922</v>
      </c>
      <c r="G1497" s="2683" t="s">
        <v>5922</v>
      </c>
      <c r="H1497" s="2683" t="s">
        <v>5922</v>
      </c>
      <c r="I1497" s="2683" t="s">
        <v>5922</v>
      </c>
      <c r="J1497" s="2683">
        <v>93.4</v>
      </c>
      <c r="K1497" s="2684"/>
      <c r="L1497" s="2683">
        <v>97752</v>
      </c>
    </row>
    <row r="1498" spans="1:12">
      <c r="A1498" s="2682" t="s">
        <v>146</v>
      </c>
      <c r="B1498" s="2682" t="s">
        <v>7457</v>
      </c>
      <c r="C1498" s="2682">
        <v>180</v>
      </c>
      <c r="D1498" s="2682">
        <v>340</v>
      </c>
      <c r="E1498" s="2682">
        <v>180</v>
      </c>
      <c r="F1498" s="2682" t="s">
        <v>5922</v>
      </c>
      <c r="G1498" s="2682" t="s">
        <v>5922</v>
      </c>
      <c r="H1498" s="2682" t="s">
        <v>5922</v>
      </c>
      <c r="I1498" s="2682" t="s">
        <v>5922</v>
      </c>
      <c r="J1498" s="2682">
        <v>71.900000000000006</v>
      </c>
      <c r="L1498" s="2682" t="s">
        <v>7458</v>
      </c>
    </row>
    <row r="1499" spans="1:12">
      <c r="A1499" s="2683" t="s">
        <v>146</v>
      </c>
      <c r="B1499" s="2683" t="s">
        <v>7459</v>
      </c>
      <c r="C1499" s="2683">
        <v>165</v>
      </c>
      <c r="D1499" s="2683">
        <v>290</v>
      </c>
      <c r="E1499" s="2683">
        <v>150</v>
      </c>
      <c r="F1499" s="2683" t="s">
        <v>5922</v>
      </c>
      <c r="G1499" s="2683" t="s">
        <v>5922</v>
      </c>
      <c r="H1499" s="2683" t="s">
        <v>5922</v>
      </c>
      <c r="I1499" s="2683" t="s">
        <v>5922</v>
      </c>
      <c r="J1499" s="2683">
        <v>41.1</v>
      </c>
      <c r="K1499" s="2684"/>
      <c r="L1499" s="2683" t="s">
        <v>7460</v>
      </c>
    </row>
    <row r="1500" spans="1:12">
      <c r="A1500" s="2682" t="s">
        <v>146</v>
      </c>
      <c r="B1500" s="2682" t="s">
        <v>7461</v>
      </c>
      <c r="C1500" s="2682">
        <v>150</v>
      </c>
      <c r="D1500" s="2682">
        <v>255</v>
      </c>
      <c r="E1500" s="2682">
        <v>145</v>
      </c>
      <c r="F1500" s="2682" t="s">
        <v>5922</v>
      </c>
      <c r="G1500" s="2682" t="s">
        <v>5922</v>
      </c>
      <c r="H1500" s="2682" t="s">
        <v>5922</v>
      </c>
      <c r="I1500" s="2682" t="s">
        <v>5922</v>
      </c>
      <c r="J1500" s="2682">
        <v>26.5</v>
      </c>
      <c r="L1500" s="2682">
        <v>37730</v>
      </c>
    </row>
    <row r="1501" spans="1:12">
      <c r="A1501" s="2683" t="s">
        <v>146</v>
      </c>
      <c r="B1501" s="2683" t="s">
        <v>7462</v>
      </c>
      <c r="C1501" s="2683">
        <v>129.5</v>
      </c>
      <c r="D1501" s="2683">
        <v>230</v>
      </c>
      <c r="E1501" s="2683">
        <v>222</v>
      </c>
      <c r="F1501" s="2683" t="s">
        <v>5922</v>
      </c>
      <c r="G1501" s="2683" t="s">
        <v>5922</v>
      </c>
      <c r="H1501" s="2683" t="s">
        <v>5922</v>
      </c>
      <c r="I1501" s="2683" t="s">
        <v>5922</v>
      </c>
      <c r="J1501" s="2683">
        <v>30.5</v>
      </c>
      <c r="K1501" s="2684"/>
      <c r="L1501" s="2683" t="s">
        <v>7463</v>
      </c>
    </row>
    <row r="1502" spans="1:12">
      <c r="A1502" s="2682" t="s">
        <v>146</v>
      </c>
      <c r="B1502" s="2682">
        <v>350615</v>
      </c>
      <c r="C1502" s="2682">
        <v>74</v>
      </c>
      <c r="D1502" s="2682">
        <v>132</v>
      </c>
      <c r="E1502" s="2682">
        <v>71</v>
      </c>
      <c r="F1502" s="2682" t="s">
        <v>5922</v>
      </c>
      <c r="G1502" s="2682" t="s">
        <v>5922</v>
      </c>
      <c r="H1502" s="2682" t="s">
        <v>5922</v>
      </c>
      <c r="I1502" s="2682" t="s">
        <v>5922</v>
      </c>
      <c r="J1502" s="2682">
        <v>3.28</v>
      </c>
      <c r="L1502" s="2682">
        <v>797915</v>
      </c>
    </row>
    <row r="1503" spans="1:12">
      <c r="A1503" s="2683" t="s">
        <v>146</v>
      </c>
      <c r="B1503" s="2683">
        <v>350614</v>
      </c>
      <c r="C1503" s="2683">
        <v>68</v>
      </c>
      <c r="D1503" s="2683">
        <v>115</v>
      </c>
      <c r="E1503" s="2683">
        <v>79.7</v>
      </c>
      <c r="F1503" s="2683" t="s">
        <v>5922</v>
      </c>
      <c r="G1503" s="2683" t="s">
        <v>5922</v>
      </c>
      <c r="H1503" s="2683" t="s">
        <v>5922</v>
      </c>
      <c r="I1503" s="2683" t="s">
        <v>5922</v>
      </c>
      <c r="J1503" s="2683">
        <v>2.85</v>
      </c>
      <c r="K1503" s="2684"/>
      <c r="L1503" s="2683">
        <v>797914</v>
      </c>
    </row>
    <row r="1504" spans="1:12">
      <c r="A1504" s="2682" t="s">
        <v>146</v>
      </c>
      <c r="B1504" s="2682" t="s">
        <v>7464</v>
      </c>
      <c r="C1504" s="2682">
        <v>99.5</v>
      </c>
      <c r="D1504" s="2682">
        <v>182</v>
      </c>
      <c r="E1504" s="2682">
        <v>160</v>
      </c>
      <c r="F1504" s="2682" t="s">
        <v>5922</v>
      </c>
      <c r="G1504" s="2682" t="s">
        <v>5922</v>
      </c>
      <c r="H1504" s="2682" t="s">
        <v>5922</v>
      </c>
      <c r="I1504" s="2682" t="s">
        <v>5922</v>
      </c>
      <c r="J1504" s="2682">
        <v>12.9</v>
      </c>
      <c r="L1504" s="2682" t="s">
        <v>7465</v>
      </c>
    </row>
    <row r="1505" spans="1:12">
      <c r="A1505" s="2683" t="s">
        <v>146</v>
      </c>
      <c r="B1505" s="2683" t="s">
        <v>7466</v>
      </c>
      <c r="C1505" s="2683">
        <v>99.5</v>
      </c>
      <c r="D1505" s="2683">
        <v>182</v>
      </c>
      <c r="E1505" s="2683">
        <v>160</v>
      </c>
      <c r="F1505" s="2683" t="s">
        <v>5922</v>
      </c>
      <c r="G1505" s="2683" t="s">
        <v>5922</v>
      </c>
      <c r="H1505" s="2683" t="s">
        <v>5922</v>
      </c>
      <c r="I1505" s="2683" t="s">
        <v>5922</v>
      </c>
      <c r="J1505" s="2683">
        <v>12.9</v>
      </c>
      <c r="K1505" s="2684"/>
      <c r="L1505" s="2683" t="s">
        <v>7467</v>
      </c>
    </row>
    <row r="1506" spans="1:12">
      <c r="A1506" s="2682" t="s">
        <v>146</v>
      </c>
      <c r="B1506" s="2682" t="s">
        <v>7468</v>
      </c>
      <c r="C1506" s="2682">
        <v>720</v>
      </c>
      <c r="D1506" s="2682">
        <v>915</v>
      </c>
      <c r="E1506" s="2682">
        <v>190</v>
      </c>
      <c r="F1506" s="2682" t="s">
        <v>5922</v>
      </c>
      <c r="G1506" s="2682" t="s">
        <v>5922</v>
      </c>
      <c r="H1506" s="2682" t="s">
        <v>5922</v>
      </c>
      <c r="I1506" s="2682" t="s">
        <v>5922</v>
      </c>
      <c r="J1506" s="2682">
        <v>277</v>
      </c>
      <c r="L1506" s="2682" t="s">
        <v>7469</v>
      </c>
    </row>
    <row r="1507" spans="1:12">
      <c r="A1507" s="2683" t="s">
        <v>146</v>
      </c>
      <c r="B1507" s="2683" t="s">
        <v>7470</v>
      </c>
      <c r="C1507" s="2683">
        <v>710</v>
      </c>
      <c r="D1507" s="2683">
        <v>1030</v>
      </c>
      <c r="E1507" s="2683">
        <v>236</v>
      </c>
      <c r="F1507" s="2683" t="s">
        <v>5922</v>
      </c>
      <c r="G1507" s="2683" t="s">
        <v>5922</v>
      </c>
      <c r="H1507" s="2683" t="s">
        <v>5922</v>
      </c>
      <c r="I1507" s="2683" t="s">
        <v>5922</v>
      </c>
      <c r="J1507" s="2683">
        <v>651</v>
      </c>
      <c r="K1507" s="2684"/>
      <c r="L1507" s="2683" t="s">
        <v>7471</v>
      </c>
    </row>
    <row r="1508" spans="1:12">
      <c r="A1508" s="2682" t="s">
        <v>146</v>
      </c>
      <c r="B1508" s="2682" t="s">
        <v>7472</v>
      </c>
      <c r="C1508" s="2682">
        <v>254</v>
      </c>
      <c r="D1508" s="2682">
        <v>431.72399999999999</v>
      </c>
      <c r="E1508" s="2682">
        <v>180</v>
      </c>
      <c r="F1508" s="2682" t="s">
        <v>5922</v>
      </c>
      <c r="G1508" s="2682" t="s">
        <v>5922</v>
      </c>
      <c r="H1508" s="2682" t="s">
        <v>5922</v>
      </c>
      <c r="I1508" s="2682" t="s">
        <v>5922</v>
      </c>
      <c r="J1508" s="2682">
        <v>88</v>
      </c>
      <c r="L1508" s="2682">
        <v>37952</v>
      </c>
    </row>
    <row r="1509" spans="1:12">
      <c r="A1509" s="2683" t="s">
        <v>146</v>
      </c>
      <c r="B1509" s="2683" t="s">
        <v>7473</v>
      </c>
      <c r="C1509" s="2683">
        <v>203.2</v>
      </c>
      <c r="D1509" s="2683">
        <v>276.22500000000002</v>
      </c>
      <c r="E1509" s="2683">
        <v>95.25</v>
      </c>
      <c r="F1509" s="2683" t="s">
        <v>5922</v>
      </c>
      <c r="G1509" s="2683" t="s">
        <v>5922</v>
      </c>
      <c r="H1509" s="2683" t="s">
        <v>5922</v>
      </c>
      <c r="I1509" s="2683" t="s">
        <v>5922</v>
      </c>
      <c r="J1509" s="2683">
        <v>14.8</v>
      </c>
      <c r="K1509" s="2684"/>
      <c r="L1509" s="2683" t="s">
        <v>7474</v>
      </c>
    </row>
    <row r="1510" spans="1:12">
      <c r="A1510" s="2682" t="s">
        <v>146</v>
      </c>
      <c r="B1510" s="2682" t="s">
        <v>7475</v>
      </c>
      <c r="C1510" s="2682">
        <v>1600</v>
      </c>
      <c r="D1510" s="2682">
        <v>2060</v>
      </c>
      <c r="E1510" s="2682">
        <v>560</v>
      </c>
      <c r="F1510" s="2682" t="s">
        <v>5922</v>
      </c>
      <c r="G1510" s="2682" t="s">
        <v>5922</v>
      </c>
      <c r="H1510" s="2682" t="s">
        <v>5922</v>
      </c>
      <c r="I1510" s="2682" t="s">
        <v>5922</v>
      </c>
      <c r="J1510" s="2682">
        <v>4210</v>
      </c>
      <c r="L1510" s="2682" t="s">
        <v>7476</v>
      </c>
    </row>
    <row r="1511" spans="1:12">
      <c r="A1511" s="2683" t="s">
        <v>146</v>
      </c>
      <c r="B1511" s="2683" t="s">
        <v>7477</v>
      </c>
      <c r="C1511" s="2683">
        <v>144.46299999999999</v>
      </c>
      <c r="D1511" s="2683">
        <v>220.79</v>
      </c>
      <c r="E1511" s="2683">
        <v>163.37299999999999</v>
      </c>
      <c r="F1511" s="2683" t="s">
        <v>5922</v>
      </c>
      <c r="G1511" s="2683" t="s">
        <v>5922</v>
      </c>
      <c r="H1511" s="2683" t="s">
        <v>5922</v>
      </c>
      <c r="I1511" s="2683" t="s">
        <v>5922</v>
      </c>
      <c r="J1511" s="2683">
        <v>21.6</v>
      </c>
      <c r="K1511" s="2684"/>
      <c r="L1511" s="2683">
        <v>197729</v>
      </c>
    </row>
    <row r="1512" spans="1:12">
      <c r="A1512" s="2682" t="s">
        <v>146</v>
      </c>
      <c r="B1512" s="2682" t="s">
        <v>7478</v>
      </c>
      <c r="C1512" s="2682">
        <v>40</v>
      </c>
      <c r="D1512" s="2682">
        <v>80</v>
      </c>
      <c r="E1512" s="2682">
        <v>21</v>
      </c>
      <c r="F1512" s="2682" t="s">
        <v>5922</v>
      </c>
      <c r="G1512" s="2682" t="s">
        <v>5922</v>
      </c>
      <c r="H1512" s="2682" t="s">
        <v>5922</v>
      </c>
      <c r="I1512" s="2682" t="s">
        <v>5922</v>
      </c>
      <c r="J1512" s="2682">
        <v>0.47199999999999998</v>
      </c>
      <c r="L1512" s="2682" t="s">
        <v>5922</v>
      </c>
    </row>
    <row r="1513" spans="1:12">
      <c r="A1513" s="2683" t="s">
        <v>146</v>
      </c>
      <c r="B1513" s="2683" t="s">
        <v>7479</v>
      </c>
      <c r="C1513" s="2683">
        <v>53.975000000000001</v>
      </c>
      <c r="D1513" s="2683">
        <v>95.25</v>
      </c>
      <c r="E1513" s="2683">
        <v>27.738</v>
      </c>
      <c r="F1513" s="2683" t="s">
        <v>5922</v>
      </c>
      <c r="G1513" s="2683" t="s">
        <v>5922</v>
      </c>
      <c r="H1513" s="2683" t="s">
        <v>5922</v>
      </c>
      <c r="I1513" s="2683" t="s">
        <v>5922</v>
      </c>
      <c r="J1513" s="2683">
        <v>0.81899999999999995</v>
      </c>
      <c r="K1513" s="2684"/>
      <c r="L1513" s="2683" t="s">
        <v>5922</v>
      </c>
    </row>
    <row r="1514" spans="1:12">
      <c r="A1514" s="2682" t="s">
        <v>146</v>
      </c>
      <c r="B1514" s="2682" t="s">
        <v>7480</v>
      </c>
      <c r="C1514" s="2682">
        <v>39.688000000000002</v>
      </c>
      <c r="D1514" s="2682">
        <v>80.167000000000002</v>
      </c>
      <c r="E1514" s="2682">
        <v>29.37</v>
      </c>
      <c r="F1514" s="2682" t="s">
        <v>5922</v>
      </c>
      <c r="G1514" s="2682" t="s">
        <v>5922</v>
      </c>
      <c r="H1514" s="2682" t="s">
        <v>5922</v>
      </c>
      <c r="I1514" s="2682" t="s">
        <v>5922</v>
      </c>
      <c r="J1514" s="2682">
        <v>0</v>
      </c>
      <c r="L1514" s="2682" t="s">
        <v>5922</v>
      </c>
    </row>
    <row r="1515" spans="1:12">
      <c r="A1515" s="2683" t="s">
        <v>146</v>
      </c>
      <c r="B1515" s="2683" t="s">
        <v>7481</v>
      </c>
      <c r="C1515" s="2683">
        <v>41.274999999999999</v>
      </c>
      <c r="D1515" s="2683">
        <v>80.167000000000002</v>
      </c>
      <c r="E1515" s="2683">
        <v>29.37</v>
      </c>
      <c r="F1515" s="2683" t="s">
        <v>5922</v>
      </c>
      <c r="G1515" s="2683" t="s">
        <v>5922</v>
      </c>
      <c r="H1515" s="2683" t="s">
        <v>5922</v>
      </c>
      <c r="I1515" s="2683" t="s">
        <v>5922</v>
      </c>
      <c r="J1515" s="2683">
        <v>0.627</v>
      </c>
      <c r="K1515" s="2684"/>
      <c r="L1515" s="2683" t="s">
        <v>5922</v>
      </c>
    </row>
    <row r="1516" spans="1:12">
      <c r="A1516" s="2682" t="s">
        <v>146</v>
      </c>
      <c r="B1516" s="2682" t="s">
        <v>7482</v>
      </c>
      <c r="C1516" s="2682">
        <v>39.688000000000002</v>
      </c>
      <c r="D1516" s="2682">
        <v>80.167000000000002</v>
      </c>
      <c r="E1516" s="2682">
        <v>29.3</v>
      </c>
      <c r="F1516" s="2682" t="s">
        <v>5922</v>
      </c>
      <c r="G1516" s="2682" t="s">
        <v>5922</v>
      </c>
      <c r="H1516" s="2682" t="s">
        <v>5922</v>
      </c>
      <c r="I1516" s="2682" t="s">
        <v>5922</v>
      </c>
      <c r="J1516" s="2682">
        <v>0</v>
      </c>
      <c r="L1516" s="2682" t="s">
        <v>5922</v>
      </c>
    </row>
    <row r="1517" spans="1:12">
      <c r="A1517" s="2683" t="s">
        <v>146</v>
      </c>
      <c r="B1517" s="2683" t="s">
        <v>7483</v>
      </c>
      <c r="C1517" s="2683">
        <v>39.688000000000002</v>
      </c>
      <c r="D1517" s="2683">
        <v>80.167000000000002</v>
      </c>
      <c r="E1517" s="2683">
        <v>29.37</v>
      </c>
      <c r="F1517" s="2683" t="s">
        <v>5922</v>
      </c>
      <c r="G1517" s="2683" t="s">
        <v>5922</v>
      </c>
      <c r="H1517" s="2683" t="s">
        <v>5922</v>
      </c>
      <c r="I1517" s="2683" t="s">
        <v>5922</v>
      </c>
      <c r="J1517" s="2683">
        <v>0</v>
      </c>
      <c r="K1517" s="2684"/>
      <c r="L1517" s="2683" t="s">
        <v>5922</v>
      </c>
    </row>
    <row r="1518" spans="1:12">
      <c r="A1518" s="2682" t="s">
        <v>146</v>
      </c>
      <c r="B1518" s="2682" t="s">
        <v>7484</v>
      </c>
      <c r="C1518" s="2682">
        <v>39.688000000000002</v>
      </c>
      <c r="D1518" s="2682">
        <v>84.138000000000005</v>
      </c>
      <c r="E1518" s="2682">
        <v>29.37</v>
      </c>
      <c r="F1518" s="2682" t="s">
        <v>5922</v>
      </c>
      <c r="G1518" s="2682" t="s">
        <v>5922</v>
      </c>
      <c r="H1518" s="2682" t="s">
        <v>5922</v>
      </c>
      <c r="I1518" s="2682" t="s">
        <v>5922</v>
      </c>
      <c r="J1518" s="2682">
        <v>0</v>
      </c>
      <c r="L1518" s="2682" t="s">
        <v>5922</v>
      </c>
    </row>
    <row r="1519" spans="1:12">
      <c r="A1519" s="2683" t="s">
        <v>146</v>
      </c>
      <c r="B1519" s="2683" t="s">
        <v>7485</v>
      </c>
      <c r="C1519" s="2683">
        <v>39.688000000000002</v>
      </c>
      <c r="D1519" s="2683">
        <v>77.534000000000006</v>
      </c>
      <c r="E1519" s="2683">
        <v>29.37</v>
      </c>
      <c r="F1519" s="2683" t="s">
        <v>5922</v>
      </c>
      <c r="G1519" s="2683" t="s">
        <v>5922</v>
      </c>
      <c r="H1519" s="2683" t="s">
        <v>5922</v>
      </c>
      <c r="I1519" s="2683" t="s">
        <v>5922</v>
      </c>
      <c r="J1519" s="2683">
        <v>0</v>
      </c>
      <c r="K1519" s="2684"/>
      <c r="L1519" s="2683" t="s">
        <v>5922</v>
      </c>
    </row>
    <row r="1520" spans="1:12">
      <c r="A1520" s="2682" t="s">
        <v>146</v>
      </c>
      <c r="B1520" s="2682" t="s">
        <v>7486</v>
      </c>
      <c r="C1520" s="2682">
        <v>39.688000000000002</v>
      </c>
      <c r="D1520" s="2682">
        <v>80.167000000000002</v>
      </c>
      <c r="E1520" s="2682">
        <v>29.37</v>
      </c>
      <c r="F1520" s="2682" t="s">
        <v>5922</v>
      </c>
      <c r="G1520" s="2682" t="s">
        <v>5922</v>
      </c>
      <c r="H1520" s="2682" t="s">
        <v>5922</v>
      </c>
      <c r="I1520" s="2682" t="s">
        <v>5922</v>
      </c>
      <c r="J1520" s="2682">
        <v>0</v>
      </c>
      <c r="L1520" s="2682" t="s">
        <v>5922</v>
      </c>
    </row>
    <row r="1521" spans="1:12">
      <c r="A1521" s="2683" t="s">
        <v>146</v>
      </c>
      <c r="B1521" s="2683" t="s">
        <v>7487</v>
      </c>
      <c r="C1521" s="2683">
        <v>38.1</v>
      </c>
      <c r="D1521" s="2683">
        <v>80.167000000000002</v>
      </c>
      <c r="E1521" s="2683">
        <v>29.37</v>
      </c>
      <c r="F1521" s="2683" t="s">
        <v>5922</v>
      </c>
      <c r="G1521" s="2683" t="s">
        <v>5922</v>
      </c>
      <c r="H1521" s="2683" t="s">
        <v>5922</v>
      </c>
      <c r="I1521" s="2683" t="s">
        <v>5922</v>
      </c>
      <c r="J1521" s="2683">
        <v>0</v>
      </c>
      <c r="K1521" s="2684"/>
      <c r="L1521" s="2683" t="s">
        <v>5922</v>
      </c>
    </row>
    <row r="1522" spans="1:12">
      <c r="A1522" s="2682" t="s">
        <v>146</v>
      </c>
      <c r="B1522" s="2682" t="s">
        <v>7488</v>
      </c>
      <c r="C1522" s="2682">
        <v>39.688000000000002</v>
      </c>
      <c r="D1522" s="2682">
        <v>80.167000000000002</v>
      </c>
      <c r="E1522" s="2682">
        <v>29.37</v>
      </c>
      <c r="F1522" s="2682" t="s">
        <v>5922</v>
      </c>
      <c r="G1522" s="2682" t="s">
        <v>5922</v>
      </c>
      <c r="H1522" s="2682" t="s">
        <v>5922</v>
      </c>
      <c r="I1522" s="2682" t="s">
        <v>5922</v>
      </c>
      <c r="J1522" s="2682">
        <v>0</v>
      </c>
      <c r="L1522" s="2682" t="s">
        <v>5922</v>
      </c>
    </row>
    <row r="1523" spans="1:12">
      <c r="A1523" s="2683" t="s">
        <v>146</v>
      </c>
      <c r="B1523" s="2683">
        <v>32356</v>
      </c>
      <c r="C1523" s="2683">
        <v>280</v>
      </c>
      <c r="D1523" s="2683">
        <v>580</v>
      </c>
      <c r="E1523" s="2683">
        <v>187</v>
      </c>
      <c r="F1523" s="2683" t="s">
        <v>5922</v>
      </c>
      <c r="G1523" s="2683" t="s">
        <v>5922</v>
      </c>
      <c r="H1523" s="2683" t="s">
        <v>5922</v>
      </c>
      <c r="I1523" s="2683" t="s">
        <v>5922</v>
      </c>
      <c r="J1523" s="2683">
        <v>208</v>
      </c>
      <c r="K1523" s="2684"/>
      <c r="L1523" s="2683" t="s">
        <v>7489</v>
      </c>
    </row>
    <row r="1524" spans="1:12">
      <c r="A1524" s="2682" t="s">
        <v>146</v>
      </c>
      <c r="B1524" s="2682">
        <v>32352</v>
      </c>
      <c r="C1524" s="2682">
        <v>260</v>
      </c>
      <c r="D1524" s="2682">
        <v>540</v>
      </c>
      <c r="E1524" s="2682">
        <v>176</v>
      </c>
      <c r="F1524" s="2682" t="s">
        <v>5922</v>
      </c>
      <c r="G1524" s="2682" t="s">
        <v>5922</v>
      </c>
      <c r="H1524" s="2682" t="s">
        <v>5922</v>
      </c>
      <c r="I1524" s="2682" t="s">
        <v>5922</v>
      </c>
      <c r="J1524" s="2682">
        <v>187</v>
      </c>
      <c r="L1524" s="2682" t="s">
        <v>7490</v>
      </c>
    </row>
    <row r="1525" spans="1:12">
      <c r="A1525" s="2683" t="s">
        <v>146</v>
      </c>
      <c r="B1525" s="2683">
        <v>32348</v>
      </c>
      <c r="C1525" s="2683">
        <v>240</v>
      </c>
      <c r="D1525" s="2683">
        <v>500</v>
      </c>
      <c r="E1525" s="2683">
        <v>165</v>
      </c>
      <c r="F1525" s="2683" t="s">
        <v>5922</v>
      </c>
      <c r="G1525" s="2683" t="s">
        <v>5922</v>
      </c>
      <c r="H1525" s="2683" t="s">
        <v>5922</v>
      </c>
      <c r="I1525" s="2683" t="s">
        <v>5922</v>
      </c>
      <c r="J1525" s="2683">
        <v>137</v>
      </c>
      <c r="K1525" s="2684"/>
      <c r="L1525" s="2683" t="s">
        <v>7491</v>
      </c>
    </row>
    <row r="1526" spans="1:12">
      <c r="A1526" s="2682" t="s">
        <v>146</v>
      </c>
      <c r="B1526" s="2682">
        <v>32344</v>
      </c>
      <c r="C1526" s="2682">
        <v>220</v>
      </c>
      <c r="D1526" s="2682">
        <v>460</v>
      </c>
      <c r="E1526" s="2682">
        <v>154</v>
      </c>
      <c r="F1526" s="2682" t="s">
        <v>5922</v>
      </c>
      <c r="G1526" s="2682" t="s">
        <v>5922</v>
      </c>
      <c r="H1526" s="2682" t="s">
        <v>5922</v>
      </c>
      <c r="I1526" s="2682" t="s">
        <v>5922</v>
      </c>
      <c r="J1526" s="2682">
        <v>108</v>
      </c>
      <c r="L1526" s="2682" t="s">
        <v>7492</v>
      </c>
    </row>
    <row r="1527" spans="1:12">
      <c r="A1527" s="2683" t="s">
        <v>146</v>
      </c>
      <c r="B1527" s="2683">
        <v>32340</v>
      </c>
      <c r="C1527" s="2683">
        <v>200</v>
      </c>
      <c r="D1527" s="2683">
        <v>420</v>
      </c>
      <c r="E1527" s="2683">
        <v>138</v>
      </c>
      <c r="F1527" s="2683">
        <v>1790</v>
      </c>
      <c r="G1527" s="2683">
        <v>2580</v>
      </c>
      <c r="H1527" s="2683">
        <v>830</v>
      </c>
      <c r="I1527" s="2683">
        <v>1100</v>
      </c>
      <c r="J1527" s="2683">
        <v>91</v>
      </c>
      <c r="K1527" s="2684"/>
      <c r="L1527" s="2683" t="s">
        <v>7493</v>
      </c>
    </row>
    <row r="1528" spans="1:12">
      <c r="A1528" s="2682" t="s">
        <v>146</v>
      </c>
      <c r="B1528" s="2682">
        <v>32338</v>
      </c>
      <c r="C1528" s="2682">
        <v>190</v>
      </c>
      <c r="D1528" s="2682">
        <v>400</v>
      </c>
      <c r="E1528" s="2682">
        <v>132</v>
      </c>
      <c r="F1528" s="2682">
        <v>1550</v>
      </c>
      <c r="G1528" s="2682">
        <v>2190</v>
      </c>
      <c r="H1528" s="2682">
        <v>890</v>
      </c>
      <c r="I1528" s="2682">
        <v>1200</v>
      </c>
      <c r="J1528" s="2682">
        <v>76.599999999999994</v>
      </c>
      <c r="L1528" s="2682" t="s">
        <v>7494</v>
      </c>
    </row>
    <row r="1529" spans="1:12">
      <c r="A1529" s="2683" t="s">
        <v>146</v>
      </c>
      <c r="B1529" s="2683">
        <v>32336</v>
      </c>
      <c r="C1529" s="2683">
        <v>180</v>
      </c>
      <c r="D1529" s="2683">
        <v>380</v>
      </c>
      <c r="E1529" s="2683">
        <v>126</v>
      </c>
      <c r="F1529" s="2683">
        <v>1410</v>
      </c>
      <c r="G1529" s="2683">
        <v>1980</v>
      </c>
      <c r="H1529" s="2683">
        <v>960</v>
      </c>
      <c r="I1529" s="2683">
        <v>1300</v>
      </c>
      <c r="J1529" s="2683">
        <v>67</v>
      </c>
      <c r="K1529" s="2684"/>
      <c r="L1529" s="2683" t="s">
        <v>7495</v>
      </c>
    </row>
    <row r="1530" spans="1:12">
      <c r="A1530" s="2682" t="s">
        <v>146</v>
      </c>
      <c r="B1530" s="2682" t="s">
        <v>7496</v>
      </c>
      <c r="C1530" s="2682">
        <v>170</v>
      </c>
      <c r="D1530" s="2682">
        <v>360</v>
      </c>
      <c r="E1530" s="2682">
        <v>128</v>
      </c>
      <c r="F1530" s="2682" t="s">
        <v>5922</v>
      </c>
      <c r="G1530" s="2682" t="s">
        <v>5922</v>
      </c>
      <c r="H1530" s="2682" t="s">
        <v>5922</v>
      </c>
      <c r="I1530" s="2682" t="s">
        <v>5922</v>
      </c>
      <c r="J1530" s="2682">
        <v>63.5</v>
      </c>
      <c r="L1530" s="2682">
        <v>7634</v>
      </c>
    </row>
    <row r="1531" spans="1:12">
      <c r="A1531" s="2683" t="s">
        <v>146</v>
      </c>
      <c r="B1531" s="2683" t="s">
        <v>7497</v>
      </c>
      <c r="C1531" s="2683">
        <v>130</v>
      </c>
      <c r="D1531" s="2683">
        <v>280</v>
      </c>
      <c r="E1531" s="2683">
        <v>99.5</v>
      </c>
      <c r="F1531" s="2683" t="s">
        <v>5922</v>
      </c>
      <c r="G1531" s="2683" t="s">
        <v>5922</v>
      </c>
      <c r="H1531" s="2683" t="s">
        <v>5922</v>
      </c>
      <c r="I1531" s="2683" t="s">
        <v>5922</v>
      </c>
      <c r="J1531" s="2683">
        <v>26.4</v>
      </c>
      <c r="K1531" s="2684"/>
      <c r="L1531" s="2683" t="s">
        <v>6259</v>
      </c>
    </row>
    <row r="1532" spans="1:12">
      <c r="A1532" s="2682" t="s">
        <v>146</v>
      </c>
      <c r="B1532" s="2682" t="s">
        <v>7498</v>
      </c>
      <c r="C1532" s="2682">
        <v>260</v>
      </c>
      <c r="D1532" s="2682">
        <v>360</v>
      </c>
      <c r="E1532" s="2682">
        <v>108</v>
      </c>
      <c r="F1532" s="2682" t="s">
        <v>5922</v>
      </c>
      <c r="G1532" s="2682" t="s">
        <v>5922</v>
      </c>
      <c r="H1532" s="2682" t="s">
        <v>5922</v>
      </c>
      <c r="I1532" s="2682" t="s">
        <v>5922</v>
      </c>
      <c r="J1532" s="2682">
        <v>39.1</v>
      </c>
      <c r="L1532" s="2682">
        <v>2097952</v>
      </c>
    </row>
    <row r="1533" spans="1:12">
      <c r="A1533" s="2683" t="s">
        <v>146</v>
      </c>
      <c r="B1533" s="2683" t="s">
        <v>7499</v>
      </c>
      <c r="C1533" s="2683">
        <v>260</v>
      </c>
      <c r="D1533" s="2683">
        <v>360</v>
      </c>
      <c r="E1533" s="2683">
        <v>108</v>
      </c>
      <c r="F1533" s="2683" t="s">
        <v>5922</v>
      </c>
      <c r="G1533" s="2683" t="s">
        <v>5922</v>
      </c>
      <c r="H1533" s="2683" t="s">
        <v>5922</v>
      </c>
      <c r="I1533" s="2683" t="s">
        <v>5922</v>
      </c>
      <c r="J1533" s="2683">
        <v>38.9</v>
      </c>
      <c r="K1533" s="2684"/>
      <c r="L1533" s="2683" t="s">
        <v>7500</v>
      </c>
    </row>
    <row r="1534" spans="1:12">
      <c r="A1534" s="2682" t="s">
        <v>146</v>
      </c>
      <c r="B1534" s="2682" t="s">
        <v>7501</v>
      </c>
      <c r="C1534" s="2682">
        <v>260</v>
      </c>
      <c r="D1534" s="2682">
        <v>360</v>
      </c>
      <c r="E1534" s="2682">
        <v>134</v>
      </c>
      <c r="F1534" s="2682" t="s">
        <v>5922</v>
      </c>
      <c r="G1534" s="2682" t="s">
        <v>5922</v>
      </c>
      <c r="H1534" s="2682" t="s">
        <v>5922</v>
      </c>
      <c r="I1534" s="2682" t="s">
        <v>5922</v>
      </c>
      <c r="J1534" s="2682">
        <v>39.700000000000003</v>
      </c>
      <c r="L1534" s="2682" t="s">
        <v>7500</v>
      </c>
    </row>
    <row r="1535" spans="1:12">
      <c r="A1535" s="2683" t="s">
        <v>146</v>
      </c>
      <c r="B1535" s="2683" t="s">
        <v>7502</v>
      </c>
      <c r="C1535" s="2683">
        <v>260</v>
      </c>
      <c r="D1535" s="2683">
        <v>360</v>
      </c>
      <c r="E1535" s="2683">
        <v>134</v>
      </c>
      <c r="F1535" s="2683" t="s">
        <v>5922</v>
      </c>
      <c r="G1535" s="2683" t="s">
        <v>5922</v>
      </c>
      <c r="H1535" s="2683" t="s">
        <v>5922</v>
      </c>
      <c r="I1535" s="2683" t="s">
        <v>5922</v>
      </c>
      <c r="J1535" s="2683">
        <v>39.9</v>
      </c>
      <c r="K1535" s="2684"/>
      <c r="L1535" s="2683">
        <v>2097952</v>
      </c>
    </row>
    <row r="1536" spans="1:12">
      <c r="A1536" s="2682" t="s">
        <v>146</v>
      </c>
      <c r="B1536" s="2682">
        <v>352952</v>
      </c>
      <c r="C1536" s="2682">
        <v>260</v>
      </c>
      <c r="D1536" s="2682">
        <v>360</v>
      </c>
      <c r="E1536" s="2682">
        <v>141</v>
      </c>
      <c r="F1536" s="2682" t="s">
        <v>5922</v>
      </c>
      <c r="G1536" s="2682" t="s">
        <v>5922</v>
      </c>
      <c r="H1536" s="2682" t="s">
        <v>5922</v>
      </c>
      <c r="I1536" s="2682" t="s">
        <v>5922</v>
      </c>
      <c r="J1536" s="2682">
        <v>37</v>
      </c>
      <c r="L1536" s="2682" t="s">
        <v>7503</v>
      </c>
    </row>
    <row r="1537" spans="1:12">
      <c r="A1537" s="2683" t="s">
        <v>146</v>
      </c>
      <c r="B1537" s="2683" t="s">
        <v>7504</v>
      </c>
      <c r="C1537" s="2683">
        <v>240</v>
      </c>
      <c r="D1537" s="2683">
        <v>320</v>
      </c>
      <c r="E1537" s="2683">
        <v>105</v>
      </c>
      <c r="F1537" s="2683" t="s">
        <v>5922</v>
      </c>
      <c r="G1537" s="2683" t="s">
        <v>5922</v>
      </c>
      <c r="H1537" s="2683" t="s">
        <v>5922</v>
      </c>
      <c r="I1537" s="2683" t="s">
        <v>5922</v>
      </c>
      <c r="J1537" s="2683">
        <v>22</v>
      </c>
      <c r="K1537" s="2684"/>
      <c r="L1537" s="2683">
        <v>2097948</v>
      </c>
    </row>
    <row r="1538" spans="1:12">
      <c r="A1538" s="2682" t="s">
        <v>146</v>
      </c>
      <c r="B1538" s="2682" t="s">
        <v>7505</v>
      </c>
      <c r="C1538" s="2682">
        <v>240</v>
      </c>
      <c r="D1538" s="2682">
        <v>320</v>
      </c>
      <c r="E1538" s="2682">
        <v>110</v>
      </c>
      <c r="F1538" s="2682" t="s">
        <v>5922</v>
      </c>
      <c r="G1538" s="2682" t="s">
        <v>5922</v>
      </c>
      <c r="H1538" s="2682" t="s">
        <v>5922</v>
      </c>
      <c r="I1538" s="2682" t="s">
        <v>5922</v>
      </c>
      <c r="J1538" s="2682">
        <v>23</v>
      </c>
      <c r="L1538" s="2682" t="s">
        <v>7506</v>
      </c>
    </row>
    <row r="1539" spans="1:12">
      <c r="A1539" s="2683" t="s">
        <v>146</v>
      </c>
      <c r="B1539" s="2683" t="s">
        <v>7507</v>
      </c>
      <c r="C1539" s="2683">
        <v>240</v>
      </c>
      <c r="D1539" s="2683">
        <v>320</v>
      </c>
      <c r="E1539" s="2683">
        <v>110</v>
      </c>
      <c r="F1539" s="2683" t="s">
        <v>5922</v>
      </c>
      <c r="G1539" s="2683" t="s">
        <v>5922</v>
      </c>
      <c r="H1539" s="2683" t="s">
        <v>5922</v>
      </c>
      <c r="I1539" s="2683" t="s">
        <v>5922</v>
      </c>
      <c r="J1539" s="2683">
        <v>23.2</v>
      </c>
      <c r="K1539" s="2684"/>
      <c r="L1539" s="2683" t="s">
        <v>7508</v>
      </c>
    </row>
    <row r="1540" spans="1:12">
      <c r="A1540" s="2682" t="s">
        <v>146</v>
      </c>
      <c r="B1540" s="2682" t="s">
        <v>7509</v>
      </c>
      <c r="C1540" s="2682">
        <v>240</v>
      </c>
      <c r="D1540" s="2682">
        <v>320</v>
      </c>
      <c r="E1540" s="2682">
        <v>105</v>
      </c>
      <c r="F1540" s="2682" t="s">
        <v>5922</v>
      </c>
      <c r="G1540" s="2682" t="s">
        <v>5922</v>
      </c>
      <c r="H1540" s="2682" t="s">
        <v>5922</v>
      </c>
      <c r="I1540" s="2682" t="s">
        <v>5922</v>
      </c>
      <c r="J1540" s="2682">
        <v>22.3</v>
      </c>
      <c r="L1540" s="2682">
        <v>2097948</v>
      </c>
    </row>
    <row r="1541" spans="1:12">
      <c r="A1541" s="2683" t="s">
        <v>146</v>
      </c>
      <c r="B1541" s="2683">
        <v>352948</v>
      </c>
      <c r="C1541" s="2683">
        <v>240</v>
      </c>
      <c r="D1541" s="2683">
        <v>320</v>
      </c>
      <c r="E1541" s="2683">
        <v>116</v>
      </c>
      <c r="F1541" s="2683" t="s">
        <v>5922</v>
      </c>
      <c r="G1541" s="2683" t="s">
        <v>5922</v>
      </c>
      <c r="H1541" s="2683" t="s">
        <v>5922</v>
      </c>
      <c r="I1541" s="2683" t="s">
        <v>5922</v>
      </c>
      <c r="J1541" s="2683">
        <v>22.2</v>
      </c>
      <c r="K1541" s="2684"/>
      <c r="L1541" s="2683" t="s">
        <v>7510</v>
      </c>
    </row>
    <row r="1542" spans="1:12">
      <c r="A1542" s="2682" t="s">
        <v>146</v>
      </c>
      <c r="B1542" s="2682" t="s">
        <v>7511</v>
      </c>
      <c r="C1542" s="2682">
        <v>220</v>
      </c>
      <c r="D1542" s="2682">
        <v>300</v>
      </c>
      <c r="E1542" s="2682">
        <v>110</v>
      </c>
      <c r="F1542" s="2682" t="s">
        <v>5922</v>
      </c>
      <c r="G1542" s="2682" t="s">
        <v>5922</v>
      </c>
      <c r="H1542" s="2682" t="s">
        <v>5922</v>
      </c>
      <c r="I1542" s="2682" t="s">
        <v>5922</v>
      </c>
      <c r="J1542" s="2682">
        <v>21.2</v>
      </c>
      <c r="L1542" s="2682">
        <v>2097944</v>
      </c>
    </row>
    <row r="1543" spans="1:12">
      <c r="A1543" s="2683" t="s">
        <v>146</v>
      </c>
      <c r="B1543" s="2683">
        <v>352944</v>
      </c>
      <c r="C1543" s="2683">
        <v>220</v>
      </c>
      <c r="D1543" s="2683">
        <v>300</v>
      </c>
      <c r="E1543" s="2683">
        <v>116</v>
      </c>
      <c r="F1543" s="2683" t="s">
        <v>5922</v>
      </c>
      <c r="G1543" s="2683" t="s">
        <v>5922</v>
      </c>
      <c r="H1543" s="2683" t="s">
        <v>5922</v>
      </c>
      <c r="I1543" s="2683" t="s">
        <v>5922</v>
      </c>
      <c r="J1543" s="2683">
        <v>21.7</v>
      </c>
      <c r="K1543" s="2684"/>
      <c r="L1543" s="2683" t="s">
        <v>7512</v>
      </c>
    </row>
    <row r="1544" spans="1:12">
      <c r="A1544" s="2682" t="s">
        <v>146</v>
      </c>
      <c r="B1544" s="2682" t="s">
        <v>7513</v>
      </c>
      <c r="C1544" s="2682">
        <v>200</v>
      </c>
      <c r="D1544" s="2682">
        <v>280</v>
      </c>
      <c r="E1544" s="2682">
        <v>110</v>
      </c>
      <c r="F1544" s="2682" t="s">
        <v>5922</v>
      </c>
      <c r="G1544" s="2682" t="s">
        <v>5922</v>
      </c>
      <c r="H1544" s="2682" t="s">
        <v>5922</v>
      </c>
      <c r="I1544" s="2682" t="s">
        <v>5922</v>
      </c>
      <c r="J1544" s="2682">
        <v>19.7</v>
      </c>
      <c r="L1544" s="2682" t="s">
        <v>7514</v>
      </c>
    </row>
    <row r="1545" spans="1:12">
      <c r="A1545" s="2683" t="s">
        <v>146</v>
      </c>
      <c r="B1545" s="2683" t="s">
        <v>7515</v>
      </c>
      <c r="C1545" s="2683">
        <v>200</v>
      </c>
      <c r="D1545" s="2683">
        <v>280</v>
      </c>
      <c r="E1545" s="2683">
        <v>110</v>
      </c>
      <c r="F1545" s="2683" t="s">
        <v>5922</v>
      </c>
      <c r="G1545" s="2683" t="s">
        <v>5922</v>
      </c>
      <c r="H1545" s="2683" t="s">
        <v>5922</v>
      </c>
      <c r="I1545" s="2683" t="s">
        <v>5922</v>
      </c>
      <c r="J1545" s="2683">
        <v>18.100000000000001</v>
      </c>
      <c r="K1545" s="2684"/>
      <c r="L1545" s="2683">
        <v>2097940</v>
      </c>
    </row>
    <row r="1546" spans="1:12">
      <c r="A1546" s="2682" t="s">
        <v>146</v>
      </c>
      <c r="B1546" s="2682">
        <v>352940</v>
      </c>
      <c r="C1546" s="2682">
        <v>200</v>
      </c>
      <c r="D1546" s="2682">
        <v>280</v>
      </c>
      <c r="E1546" s="2682">
        <v>106</v>
      </c>
      <c r="F1546" s="2682" t="s">
        <v>5922</v>
      </c>
      <c r="G1546" s="2682" t="s">
        <v>5922</v>
      </c>
      <c r="H1546" s="2682" t="s">
        <v>5922</v>
      </c>
      <c r="I1546" s="2682" t="s">
        <v>5922</v>
      </c>
      <c r="J1546" s="2682">
        <v>18.100000000000001</v>
      </c>
      <c r="L1546" s="2682" t="s">
        <v>7516</v>
      </c>
    </row>
    <row r="1547" spans="1:12">
      <c r="A1547" s="2683" t="s">
        <v>146</v>
      </c>
      <c r="B1547" s="2683" t="s">
        <v>7517</v>
      </c>
      <c r="C1547" s="2683">
        <v>190</v>
      </c>
      <c r="D1547" s="2683">
        <v>260</v>
      </c>
      <c r="E1547" s="2683">
        <v>95</v>
      </c>
      <c r="F1547" s="2683" t="s">
        <v>5922</v>
      </c>
      <c r="G1547" s="2683" t="s">
        <v>5922</v>
      </c>
      <c r="H1547" s="2683" t="s">
        <v>5922</v>
      </c>
      <c r="I1547" s="2683" t="s">
        <v>5922</v>
      </c>
      <c r="J1547" s="2683">
        <v>13.3</v>
      </c>
      <c r="K1547" s="2684"/>
      <c r="L1547" s="2683">
        <v>2097938</v>
      </c>
    </row>
    <row r="1548" spans="1:12">
      <c r="A1548" s="2682" t="s">
        <v>146</v>
      </c>
      <c r="B1548" s="2682">
        <v>352938</v>
      </c>
      <c r="C1548" s="2682">
        <v>190</v>
      </c>
      <c r="D1548" s="2682">
        <v>260</v>
      </c>
      <c r="E1548" s="2682">
        <v>102</v>
      </c>
      <c r="F1548" s="2682" t="s">
        <v>5922</v>
      </c>
      <c r="G1548" s="2682" t="s">
        <v>5922</v>
      </c>
      <c r="H1548" s="2682" t="s">
        <v>5922</v>
      </c>
      <c r="I1548" s="2682" t="s">
        <v>5922</v>
      </c>
      <c r="J1548" s="2682">
        <v>14.4</v>
      </c>
      <c r="L1548" s="2682" t="s">
        <v>7518</v>
      </c>
    </row>
    <row r="1549" spans="1:12">
      <c r="A1549" s="2683" t="s">
        <v>146</v>
      </c>
      <c r="B1549" s="2683" t="s">
        <v>7519</v>
      </c>
      <c r="C1549" s="2683">
        <v>180</v>
      </c>
      <c r="D1549" s="2683">
        <v>250</v>
      </c>
      <c r="E1549" s="2683">
        <v>95</v>
      </c>
      <c r="F1549" s="2683" t="s">
        <v>5922</v>
      </c>
      <c r="G1549" s="2683" t="s">
        <v>5922</v>
      </c>
      <c r="H1549" s="2683" t="s">
        <v>5922</v>
      </c>
      <c r="I1549" s="2683" t="s">
        <v>5922</v>
      </c>
      <c r="J1549" s="2683">
        <v>13.8</v>
      </c>
      <c r="K1549" s="2684"/>
      <c r="L1549" s="2683" t="s">
        <v>7520</v>
      </c>
    </row>
    <row r="1550" spans="1:12">
      <c r="A1550" s="2682" t="s">
        <v>146</v>
      </c>
      <c r="B1550" s="2682" t="s">
        <v>7521</v>
      </c>
      <c r="C1550" s="2682">
        <v>180</v>
      </c>
      <c r="D1550" s="2682">
        <v>250</v>
      </c>
      <c r="E1550" s="2682">
        <v>95</v>
      </c>
      <c r="F1550" s="2682" t="s">
        <v>5922</v>
      </c>
      <c r="G1550" s="2682" t="s">
        <v>5922</v>
      </c>
      <c r="H1550" s="2682" t="s">
        <v>5922</v>
      </c>
      <c r="I1550" s="2682" t="s">
        <v>5922</v>
      </c>
      <c r="J1550" s="2682">
        <v>14.2</v>
      </c>
      <c r="L1550" s="2682" t="s">
        <v>7522</v>
      </c>
    </row>
    <row r="1551" spans="1:12">
      <c r="A1551" s="2683" t="s">
        <v>146</v>
      </c>
      <c r="B1551" s="2683" t="s">
        <v>7523</v>
      </c>
      <c r="C1551" s="2683">
        <v>180</v>
      </c>
      <c r="D1551" s="2683">
        <v>250</v>
      </c>
      <c r="E1551" s="2683">
        <v>95</v>
      </c>
      <c r="F1551" s="2683" t="s">
        <v>5922</v>
      </c>
      <c r="G1551" s="2683" t="s">
        <v>5922</v>
      </c>
      <c r="H1551" s="2683" t="s">
        <v>5922</v>
      </c>
      <c r="I1551" s="2683" t="s">
        <v>5922</v>
      </c>
      <c r="J1551" s="2683">
        <v>13</v>
      </c>
      <c r="K1551" s="2684"/>
      <c r="L1551" s="2683">
        <v>2097936</v>
      </c>
    </row>
    <row r="1552" spans="1:12">
      <c r="A1552" s="2682" t="s">
        <v>146</v>
      </c>
      <c r="B1552" s="2682">
        <v>352936</v>
      </c>
      <c r="C1552" s="2682">
        <v>180</v>
      </c>
      <c r="D1552" s="2682">
        <v>250</v>
      </c>
      <c r="E1552" s="2682">
        <v>102</v>
      </c>
      <c r="F1552" s="2682" t="s">
        <v>5922</v>
      </c>
      <c r="G1552" s="2682" t="s">
        <v>5922</v>
      </c>
      <c r="H1552" s="2682" t="s">
        <v>5922</v>
      </c>
      <c r="I1552" s="2682" t="s">
        <v>5922</v>
      </c>
      <c r="J1552" s="2682">
        <v>13</v>
      </c>
      <c r="L1552" s="2682" t="s">
        <v>7524</v>
      </c>
    </row>
    <row r="1553" spans="1:12">
      <c r="A1553" s="2683" t="s">
        <v>146</v>
      </c>
      <c r="B1553" s="2683" t="s">
        <v>7525</v>
      </c>
      <c r="C1553" s="2683">
        <v>170</v>
      </c>
      <c r="D1553" s="2683">
        <v>230</v>
      </c>
      <c r="E1553" s="2683">
        <v>65</v>
      </c>
      <c r="F1553" s="2683" t="s">
        <v>5922</v>
      </c>
      <c r="G1553" s="2683" t="s">
        <v>5922</v>
      </c>
      <c r="H1553" s="2683" t="s">
        <v>5922</v>
      </c>
      <c r="I1553" s="2683" t="s">
        <v>5922</v>
      </c>
      <c r="J1553" s="2683">
        <v>6.79</v>
      </c>
      <c r="K1553" s="2684"/>
      <c r="L1553" s="2683">
        <v>87834</v>
      </c>
    </row>
    <row r="1554" spans="1:12">
      <c r="A1554" s="2682" t="s">
        <v>146</v>
      </c>
      <c r="B1554" s="2682">
        <v>352934</v>
      </c>
      <c r="C1554" s="2682">
        <v>170</v>
      </c>
      <c r="D1554" s="2682">
        <v>230</v>
      </c>
      <c r="E1554" s="2682">
        <v>86</v>
      </c>
      <c r="F1554" s="2682" t="s">
        <v>5922</v>
      </c>
      <c r="G1554" s="2682" t="s">
        <v>5922</v>
      </c>
      <c r="H1554" s="2682" t="s">
        <v>5922</v>
      </c>
      <c r="I1554" s="2682" t="s">
        <v>5922</v>
      </c>
      <c r="J1554" s="2682">
        <v>12.2</v>
      </c>
      <c r="L1554" s="2682" t="s">
        <v>7526</v>
      </c>
    </row>
    <row r="1555" spans="1:12">
      <c r="A1555" s="2683" t="s">
        <v>146</v>
      </c>
      <c r="B1555" s="2683">
        <v>352932</v>
      </c>
      <c r="C1555" s="2683">
        <v>160</v>
      </c>
      <c r="D1555" s="2683">
        <v>220</v>
      </c>
      <c r="E1555" s="2683">
        <v>86</v>
      </c>
      <c r="F1555" s="2683" t="s">
        <v>5922</v>
      </c>
      <c r="G1555" s="2683" t="s">
        <v>5922</v>
      </c>
      <c r="H1555" s="2683" t="s">
        <v>5922</v>
      </c>
      <c r="I1555" s="2683" t="s">
        <v>5922</v>
      </c>
      <c r="J1555" s="2683">
        <v>10.4</v>
      </c>
      <c r="K1555" s="2684"/>
      <c r="L1555" s="2683" t="s">
        <v>7527</v>
      </c>
    </row>
    <row r="1556" spans="1:12">
      <c r="A1556" s="2682" t="s">
        <v>146</v>
      </c>
      <c r="B1556" s="2682">
        <v>352930</v>
      </c>
      <c r="C1556" s="2682">
        <v>150</v>
      </c>
      <c r="D1556" s="2682">
        <v>210</v>
      </c>
      <c r="E1556" s="2682">
        <v>86</v>
      </c>
      <c r="F1556" s="2682" t="s">
        <v>5922</v>
      </c>
      <c r="G1556" s="2682" t="s">
        <v>5922</v>
      </c>
      <c r="H1556" s="2682" t="s">
        <v>5922</v>
      </c>
      <c r="I1556" s="2682" t="s">
        <v>5922</v>
      </c>
      <c r="J1556" s="2682">
        <v>9.32</v>
      </c>
      <c r="L1556" s="2682">
        <v>2097930</v>
      </c>
    </row>
    <row r="1557" spans="1:12">
      <c r="A1557" s="2683" t="s">
        <v>146</v>
      </c>
      <c r="B1557" s="2683" t="s">
        <v>7528</v>
      </c>
      <c r="C1557" s="2683">
        <v>260</v>
      </c>
      <c r="D1557" s="2683">
        <v>400</v>
      </c>
      <c r="E1557" s="2683">
        <v>186</v>
      </c>
      <c r="F1557" s="2683" t="s">
        <v>5922</v>
      </c>
      <c r="G1557" s="2683" t="s">
        <v>5922</v>
      </c>
      <c r="H1557" s="2683" t="s">
        <v>5922</v>
      </c>
      <c r="I1557" s="2683" t="s">
        <v>5922</v>
      </c>
      <c r="J1557" s="2683">
        <v>79.3</v>
      </c>
      <c r="K1557" s="2684"/>
      <c r="L1557" s="2683">
        <v>2097152</v>
      </c>
    </row>
    <row r="1558" spans="1:12">
      <c r="A1558" s="2682" t="s">
        <v>146</v>
      </c>
      <c r="B1558" s="2682" t="s">
        <v>7529</v>
      </c>
      <c r="C1558" s="2682">
        <v>240</v>
      </c>
      <c r="D1558" s="2682">
        <v>360</v>
      </c>
      <c r="E1558" s="2682">
        <v>165</v>
      </c>
      <c r="F1558" s="2682" t="s">
        <v>5922</v>
      </c>
      <c r="G1558" s="2682" t="s">
        <v>5922</v>
      </c>
      <c r="H1558" s="2682" t="s">
        <v>5922</v>
      </c>
      <c r="I1558" s="2682" t="s">
        <v>5922</v>
      </c>
      <c r="J1558" s="2682">
        <v>53.9</v>
      </c>
      <c r="L1558" s="2682">
        <v>2097148</v>
      </c>
    </row>
    <row r="1559" spans="1:12">
      <c r="A1559" s="2683" t="s">
        <v>146</v>
      </c>
      <c r="B1559" s="2683" t="s">
        <v>7530</v>
      </c>
      <c r="C1559" s="2683">
        <v>240</v>
      </c>
      <c r="D1559" s="2683">
        <v>360</v>
      </c>
      <c r="E1559" s="2683">
        <v>165</v>
      </c>
      <c r="F1559" s="2683" t="s">
        <v>5922</v>
      </c>
      <c r="G1559" s="2683" t="s">
        <v>5922</v>
      </c>
      <c r="H1559" s="2683" t="s">
        <v>5922</v>
      </c>
      <c r="I1559" s="2683" t="s">
        <v>5922</v>
      </c>
      <c r="J1559" s="2683">
        <v>52.8</v>
      </c>
      <c r="K1559" s="2684"/>
      <c r="L1559" s="2683">
        <v>2097148</v>
      </c>
    </row>
    <row r="1560" spans="1:12">
      <c r="A1560" s="2682" t="s">
        <v>146</v>
      </c>
      <c r="B1560" s="2682" t="s">
        <v>7531</v>
      </c>
      <c r="C1560" s="2682">
        <v>220</v>
      </c>
      <c r="D1560" s="2682">
        <v>340</v>
      </c>
      <c r="E1560" s="2682">
        <v>165</v>
      </c>
      <c r="F1560" s="2682" t="s">
        <v>5922</v>
      </c>
      <c r="G1560" s="2682" t="s">
        <v>5922</v>
      </c>
      <c r="H1560" s="2682" t="s">
        <v>5922</v>
      </c>
      <c r="I1560" s="2682" t="s">
        <v>5922</v>
      </c>
      <c r="J1560" s="2682">
        <v>49.6</v>
      </c>
      <c r="L1560" s="2682">
        <v>2097144</v>
      </c>
    </row>
    <row r="1561" spans="1:12">
      <c r="A1561" s="2683" t="s">
        <v>146</v>
      </c>
      <c r="B1561" s="2683" t="s">
        <v>7532</v>
      </c>
      <c r="C1561" s="2683">
        <v>220</v>
      </c>
      <c r="D1561" s="2683">
        <v>340</v>
      </c>
      <c r="E1561" s="2683">
        <v>165</v>
      </c>
      <c r="F1561" s="2683" t="s">
        <v>5922</v>
      </c>
      <c r="G1561" s="2683" t="s">
        <v>5922</v>
      </c>
      <c r="H1561" s="2683" t="s">
        <v>5922</v>
      </c>
      <c r="I1561" s="2683" t="s">
        <v>5922</v>
      </c>
      <c r="J1561" s="2683">
        <v>47.7</v>
      </c>
      <c r="K1561" s="2684"/>
      <c r="L1561" s="2683">
        <v>2097144</v>
      </c>
    </row>
    <row r="1562" spans="1:12">
      <c r="A1562" s="2682" t="s">
        <v>146</v>
      </c>
      <c r="B1562" s="2682" t="s">
        <v>7533</v>
      </c>
      <c r="C1562" s="2682">
        <v>200</v>
      </c>
      <c r="D1562" s="2682">
        <v>310</v>
      </c>
      <c r="E1562" s="2682">
        <v>152</v>
      </c>
      <c r="F1562" s="2682" t="s">
        <v>5922</v>
      </c>
      <c r="G1562" s="2682" t="s">
        <v>5922</v>
      </c>
      <c r="H1562" s="2682" t="s">
        <v>5922</v>
      </c>
      <c r="I1562" s="2682" t="s">
        <v>5922</v>
      </c>
      <c r="J1562" s="2682">
        <v>38.5</v>
      </c>
      <c r="L1562" s="2682">
        <v>2097140</v>
      </c>
    </row>
    <row r="1563" spans="1:12">
      <c r="A1563" s="2683" t="s">
        <v>146</v>
      </c>
      <c r="B1563" s="2683" t="s">
        <v>7534</v>
      </c>
      <c r="C1563" s="2683">
        <v>200</v>
      </c>
      <c r="D1563" s="2683">
        <v>310</v>
      </c>
      <c r="E1563" s="2683">
        <v>152</v>
      </c>
      <c r="F1563" s="2683" t="s">
        <v>5922</v>
      </c>
      <c r="G1563" s="2683" t="s">
        <v>5922</v>
      </c>
      <c r="H1563" s="2683" t="s">
        <v>5922</v>
      </c>
      <c r="I1563" s="2683" t="s">
        <v>5922</v>
      </c>
      <c r="J1563" s="2683">
        <v>39.04</v>
      </c>
      <c r="K1563" s="2684"/>
      <c r="L1563" s="2683">
        <v>2097140</v>
      </c>
    </row>
    <row r="1564" spans="1:12">
      <c r="A1564" s="2682" t="s">
        <v>146</v>
      </c>
      <c r="B1564" s="2682" t="s">
        <v>7535</v>
      </c>
      <c r="C1564" s="2682">
        <v>180</v>
      </c>
      <c r="D1564" s="2682">
        <v>280</v>
      </c>
      <c r="E1564" s="2682">
        <v>134</v>
      </c>
      <c r="F1564" s="2682" t="s">
        <v>5922</v>
      </c>
      <c r="G1564" s="2682" t="s">
        <v>5922</v>
      </c>
      <c r="H1564" s="2682" t="s">
        <v>5922</v>
      </c>
      <c r="I1564" s="2682" t="s">
        <v>5922</v>
      </c>
      <c r="J1564" s="2682">
        <v>28.5</v>
      </c>
      <c r="L1564" s="2682">
        <v>2097136</v>
      </c>
    </row>
    <row r="1565" spans="1:12">
      <c r="A1565" s="2683" t="s">
        <v>146</v>
      </c>
      <c r="B1565" s="2683" t="s">
        <v>7536</v>
      </c>
      <c r="C1565" s="2683">
        <v>170</v>
      </c>
      <c r="D1565" s="2683">
        <v>260</v>
      </c>
      <c r="E1565" s="2683">
        <v>120</v>
      </c>
      <c r="F1565" s="2683" t="s">
        <v>5922</v>
      </c>
      <c r="G1565" s="2683" t="s">
        <v>5922</v>
      </c>
      <c r="H1565" s="2683" t="s">
        <v>5922</v>
      </c>
      <c r="I1565" s="2683" t="s">
        <v>5922</v>
      </c>
      <c r="J1565" s="2683">
        <v>20</v>
      </c>
      <c r="K1565" s="2684"/>
      <c r="L1565" s="2683">
        <v>2097134</v>
      </c>
    </row>
    <row r="1566" spans="1:12">
      <c r="A1566" s="2682" t="s">
        <v>146</v>
      </c>
      <c r="B1566" s="2682" t="s">
        <v>7537</v>
      </c>
      <c r="C1566" s="2682">
        <v>170</v>
      </c>
      <c r="D1566" s="2682">
        <v>260</v>
      </c>
      <c r="E1566" s="2682">
        <v>120</v>
      </c>
      <c r="F1566" s="2682" t="s">
        <v>5922</v>
      </c>
      <c r="G1566" s="2682" t="s">
        <v>5922</v>
      </c>
      <c r="H1566" s="2682" t="s">
        <v>5922</v>
      </c>
      <c r="I1566" s="2682" t="s">
        <v>5922</v>
      </c>
      <c r="J1566" s="2682">
        <v>20.399999999999999</v>
      </c>
      <c r="L1566" s="2682">
        <v>2097134</v>
      </c>
    </row>
    <row r="1567" spans="1:12">
      <c r="A1567" s="2683" t="s">
        <v>146</v>
      </c>
      <c r="B1567" s="2683" t="s">
        <v>7538</v>
      </c>
      <c r="C1567" s="2683">
        <v>170</v>
      </c>
      <c r="D1567" s="2683">
        <v>260</v>
      </c>
      <c r="E1567" s="2683">
        <v>128</v>
      </c>
      <c r="F1567" s="2683" t="s">
        <v>5922</v>
      </c>
      <c r="G1567" s="2683" t="s">
        <v>5922</v>
      </c>
      <c r="H1567" s="2683" t="s">
        <v>5922</v>
      </c>
      <c r="I1567" s="2683" t="s">
        <v>5922</v>
      </c>
      <c r="J1567" s="2683">
        <v>21</v>
      </c>
      <c r="K1567" s="2684"/>
      <c r="L1567" s="2683" t="s">
        <v>7539</v>
      </c>
    </row>
    <row r="1568" spans="1:12">
      <c r="A1568" s="2682" t="s">
        <v>146</v>
      </c>
      <c r="B1568" s="2682" t="s">
        <v>7540</v>
      </c>
      <c r="C1568" s="2682">
        <v>160</v>
      </c>
      <c r="D1568" s="2682">
        <v>240</v>
      </c>
      <c r="E1568" s="2682">
        <v>115</v>
      </c>
      <c r="F1568" s="2682" t="s">
        <v>5922</v>
      </c>
      <c r="G1568" s="2682" t="s">
        <v>5922</v>
      </c>
      <c r="H1568" s="2682" t="s">
        <v>5922</v>
      </c>
      <c r="I1568" s="2682" t="s">
        <v>5922</v>
      </c>
      <c r="J1568" s="2682">
        <v>16.5</v>
      </c>
      <c r="L1568" s="2682">
        <v>2097132</v>
      </c>
    </row>
    <row r="1569" spans="1:12">
      <c r="A1569" s="2683" t="s">
        <v>146</v>
      </c>
      <c r="B1569" s="2683" t="s">
        <v>7541</v>
      </c>
      <c r="C1569" s="2683">
        <v>160</v>
      </c>
      <c r="D1569" s="2683">
        <v>240</v>
      </c>
      <c r="E1569" s="2683">
        <v>116</v>
      </c>
      <c r="F1569" s="2683" t="s">
        <v>5922</v>
      </c>
      <c r="G1569" s="2683" t="s">
        <v>5922</v>
      </c>
      <c r="H1569" s="2683" t="s">
        <v>5922</v>
      </c>
      <c r="I1569" s="2683" t="s">
        <v>5922</v>
      </c>
      <c r="J1569" s="2683">
        <v>16.899999999999999</v>
      </c>
      <c r="K1569" s="2684"/>
      <c r="L1569" s="2683" t="s">
        <v>6495</v>
      </c>
    </row>
    <row r="1570" spans="1:12">
      <c r="A1570" s="2682" t="s">
        <v>146</v>
      </c>
      <c r="B1570" s="2682" t="s">
        <v>7542</v>
      </c>
      <c r="C1570" s="2682">
        <v>150</v>
      </c>
      <c r="D1570" s="2682">
        <v>225</v>
      </c>
      <c r="E1570" s="2682">
        <v>105</v>
      </c>
      <c r="F1570" s="2682" t="s">
        <v>5922</v>
      </c>
      <c r="G1570" s="2682" t="s">
        <v>5922</v>
      </c>
      <c r="H1570" s="2682" t="s">
        <v>5922</v>
      </c>
      <c r="I1570" s="2682" t="s">
        <v>5922</v>
      </c>
      <c r="J1570" s="2682">
        <v>13.8</v>
      </c>
      <c r="L1570" s="2682">
        <v>2657130</v>
      </c>
    </row>
    <row r="1571" spans="1:12">
      <c r="A1571" s="2683" t="s">
        <v>146</v>
      </c>
      <c r="B1571" s="2683">
        <v>352030</v>
      </c>
      <c r="C1571" s="2683">
        <v>150</v>
      </c>
      <c r="D1571" s="2683">
        <v>225</v>
      </c>
      <c r="E1571" s="2683">
        <v>110</v>
      </c>
      <c r="F1571" s="2683" t="s">
        <v>5922</v>
      </c>
      <c r="G1571" s="2683" t="s">
        <v>5922</v>
      </c>
      <c r="H1571" s="2683" t="s">
        <v>5922</v>
      </c>
      <c r="I1571" s="2683" t="s">
        <v>5922</v>
      </c>
      <c r="J1571" s="2683">
        <v>0</v>
      </c>
      <c r="K1571" s="2684"/>
      <c r="L1571" s="2683" t="s">
        <v>7543</v>
      </c>
    </row>
    <row r="1572" spans="1:12">
      <c r="A1572" s="2682" t="s">
        <v>146</v>
      </c>
      <c r="B1572" s="2682" t="s">
        <v>7544</v>
      </c>
      <c r="C1572" s="2682">
        <v>140</v>
      </c>
      <c r="D1572" s="2682">
        <v>210</v>
      </c>
      <c r="E1572" s="2682">
        <v>95</v>
      </c>
      <c r="F1572" s="2682" t="s">
        <v>5922</v>
      </c>
      <c r="G1572" s="2682" t="s">
        <v>5922</v>
      </c>
      <c r="H1572" s="2682" t="s">
        <v>5922</v>
      </c>
      <c r="I1572" s="2682" t="s">
        <v>5922</v>
      </c>
      <c r="J1572" s="2682">
        <v>8.41</v>
      </c>
      <c r="L1572" s="2682">
        <v>2657128</v>
      </c>
    </row>
    <row r="1573" spans="1:12">
      <c r="A1573" s="2683" t="s">
        <v>146</v>
      </c>
      <c r="B1573" s="2683" t="s">
        <v>7545</v>
      </c>
      <c r="C1573" s="2683">
        <v>140</v>
      </c>
      <c r="D1573" s="2683">
        <v>210</v>
      </c>
      <c r="E1573" s="2683">
        <v>75</v>
      </c>
      <c r="F1573" s="2683" t="s">
        <v>5922</v>
      </c>
      <c r="G1573" s="2683" t="s">
        <v>5922</v>
      </c>
      <c r="H1573" s="2683" t="s">
        <v>5922</v>
      </c>
      <c r="I1573" s="2683" t="s">
        <v>5922</v>
      </c>
      <c r="J1573" s="2683">
        <v>10.3</v>
      </c>
      <c r="K1573" s="2684"/>
      <c r="L1573" s="2683" t="s">
        <v>7546</v>
      </c>
    </row>
    <row r="1574" spans="1:12">
      <c r="A1574" s="2682" t="s">
        <v>146</v>
      </c>
      <c r="B1574" s="2682" t="s">
        <v>7547</v>
      </c>
      <c r="C1574" s="2682">
        <v>140</v>
      </c>
      <c r="D1574" s="2682">
        <v>210</v>
      </c>
      <c r="E1574" s="2682">
        <v>95</v>
      </c>
      <c r="F1574" s="2682" t="s">
        <v>5922</v>
      </c>
      <c r="G1574" s="2682" t="s">
        <v>5922</v>
      </c>
      <c r="H1574" s="2682" t="s">
        <v>5922</v>
      </c>
      <c r="I1574" s="2682" t="s">
        <v>5922</v>
      </c>
      <c r="J1574" s="2682">
        <v>8.36</v>
      </c>
      <c r="L1574" s="2682">
        <v>2097128</v>
      </c>
    </row>
    <row r="1575" spans="1:12">
      <c r="A1575" s="2683" t="s">
        <v>146</v>
      </c>
      <c r="B1575" s="2683" t="s">
        <v>7548</v>
      </c>
      <c r="C1575" s="2683">
        <v>130</v>
      </c>
      <c r="D1575" s="2683">
        <v>200</v>
      </c>
      <c r="E1575" s="2683">
        <v>95</v>
      </c>
      <c r="F1575" s="2683" t="s">
        <v>5922</v>
      </c>
      <c r="G1575" s="2683" t="s">
        <v>5922</v>
      </c>
      <c r="H1575" s="2683" t="s">
        <v>5922</v>
      </c>
      <c r="I1575" s="2683" t="s">
        <v>5922</v>
      </c>
      <c r="J1575" s="2683">
        <v>9.7200000000000006</v>
      </c>
      <c r="K1575" s="2684"/>
      <c r="L1575" s="2683">
        <v>2097126</v>
      </c>
    </row>
    <row r="1576" spans="1:12">
      <c r="A1576" s="2682" t="s">
        <v>146</v>
      </c>
      <c r="B1576" s="2682" t="s">
        <v>7549</v>
      </c>
      <c r="C1576" s="2682">
        <v>120</v>
      </c>
      <c r="D1576" s="2682">
        <v>180</v>
      </c>
      <c r="E1576" s="2682">
        <v>67</v>
      </c>
      <c r="F1576" s="2682" t="s">
        <v>5922</v>
      </c>
      <c r="G1576" s="2682" t="s">
        <v>5922</v>
      </c>
      <c r="H1576" s="2682" t="s">
        <v>5922</v>
      </c>
      <c r="I1576" s="2682" t="s">
        <v>5922</v>
      </c>
      <c r="J1576" s="2682">
        <v>6.5579999999999998</v>
      </c>
      <c r="L1576" s="2682" t="s">
        <v>7550</v>
      </c>
    </row>
    <row r="1577" spans="1:12">
      <c r="A1577" s="2683" t="s">
        <v>146</v>
      </c>
      <c r="B1577" s="2683" t="s">
        <v>7551</v>
      </c>
      <c r="C1577" s="2683">
        <v>120</v>
      </c>
      <c r="D1577" s="2683">
        <v>180</v>
      </c>
      <c r="E1577" s="2683">
        <v>67</v>
      </c>
      <c r="F1577" s="2683" t="s">
        <v>5922</v>
      </c>
      <c r="G1577" s="2683" t="s">
        <v>5922</v>
      </c>
      <c r="H1577" s="2683" t="s">
        <v>5922</v>
      </c>
      <c r="I1577" s="2683" t="s">
        <v>5922</v>
      </c>
      <c r="J1577" s="2683">
        <v>7.1180000000000003</v>
      </c>
      <c r="K1577" s="2684"/>
      <c r="L1577" s="2683">
        <v>2657124</v>
      </c>
    </row>
    <row r="1578" spans="1:12">
      <c r="A1578" s="2682" t="s">
        <v>146</v>
      </c>
      <c r="B1578" s="2682">
        <v>352015</v>
      </c>
      <c r="C1578" s="2682">
        <v>75</v>
      </c>
      <c r="D1578" s="2682">
        <v>115</v>
      </c>
      <c r="E1578" s="2682">
        <v>58</v>
      </c>
      <c r="F1578" s="2682" t="s">
        <v>5922</v>
      </c>
      <c r="G1578" s="2682" t="s">
        <v>5922</v>
      </c>
      <c r="H1578" s="2682" t="s">
        <v>5922</v>
      </c>
      <c r="I1578" s="2682" t="s">
        <v>5922</v>
      </c>
      <c r="J1578" s="2682">
        <v>1.984</v>
      </c>
      <c r="L1578" s="2682" t="s">
        <v>7552</v>
      </c>
    </row>
    <row r="1579" spans="1:12">
      <c r="A1579" s="2683" t="s">
        <v>146</v>
      </c>
      <c r="B1579" s="2683" t="s">
        <v>7553</v>
      </c>
      <c r="C1579" s="2683">
        <v>100</v>
      </c>
      <c r="D1579" s="2683">
        <v>215</v>
      </c>
      <c r="E1579" s="2683">
        <v>78</v>
      </c>
      <c r="F1579" s="2683" t="s">
        <v>5922</v>
      </c>
      <c r="G1579" s="2683" t="s">
        <v>5922</v>
      </c>
      <c r="H1579" s="2683" t="s">
        <v>5922</v>
      </c>
      <c r="I1579" s="2683" t="s">
        <v>5922</v>
      </c>
      <c r="J1579" s="2683">
        <v>12.7</v>
      </c>
      <c r="K1579" s="2684"/>
      <c r="L1579" s="2683">
        <v>7620</v>
      </c>
    </row>
    <row r="1580" spans="1:12">
      <c r="A1580" s="2682" t="s">
        <v>146</v>
      </c>
      <c r="B1580" s="2682" t="s">
        <v>7554</v>
      </c>
      <c r="C1580" s="2682">
        <v>60</v>
      </c>
      <c r="D1580" s="2682">
        <v>130</v>
      </c>
      <c r="E1580" s="2682">
        <v>48.5</v>
      </c>
      <c r="F1580" s="2682" t="s">
        <v>5922</v>
      </c>
      <c r="G1580" s="2682" t="s">
        <v>5922</v>
      </c>
      <c r="H1580" s="2682" t="s">
        <v>5922</v>
      </c>
      <c r="I1580" s="2682" t="s">
        <v>5922</v>
      </c>
      <c r="J1580" s="2682">
        <v>2.99</v>
      </c>
      <c r="L1580" s="2682" t="s">
        <v>7555</v>
      </c>
    </row>
    <row r="1581" spans="1:12">
      <c r="A1581" s="2683" t="s">
        <v>146</v>
      </c>
      <c r="B1581" s="2683" t="s">
        <v>7556</v>
      </c>
      <c r="C1581" s="2683">
        <v>55</v>
      </c>
      <c r="D1581" s="2683">
        <v>120</v>
      </c>
      <c r="E1581" s="2683">
        <v>127</v>
      </c>
      <c r="F1581" s="2683" t="s">
        <v>5922</v>
      </c>
      <c r="G1581" s="2683" t="s">
        <v>5922</v>
      </c>
      <c r="H1581" s="2683" t="s">
        <v>5922</v>
      </c>
      <c r="I1581" s="2683" t="s">
        <v>5922</v>
      </c>
      <c r="J1581" s="2683">
        <v>2.5</v>
      </c>
      <c r="K1581" s="2684"/>
      <c r="L1581" s="2683" t="s">
        <v>5922</v>
      </c>
    </row>
    <row r="1582" spans="1:12">
      <c r="A1582" s="2682" t="s">
        <v>146</v>
      </c>
      <c r="B1582" s="2682" t="s">
        <v>7557</v>
      </c>
      <c r="C1582" s="2682">
        <v>50</v>
      </c>
      <c r="D1582" s="2682">
        <v>110</v>
      </c>
      <c r="E1582" s="2682">
        <v>29</v>
      </c>
      <c r="F1582" s="2682" t="s">
        <v>5922</v>
      </c>
      <c r="G1582" s="2682" t="s">
        <v>5922</v>
      </c>
      <c r="H1582" s="2682" t="s">
        <v>5922</v>
      </c>
      <c r="I1582" s="2682" t="s">
        <v>5922</v>
      </c>
      <c r="J1582" s="2682">
        <v>0</v>
      </c>
      <c r="L1582" s="2682" t="s">
        <v>7558</v>
      </c>
    </row>
    <row r="1583" spans="1:12">
      <c r="A1583" s="2683" t="s">
        <v>146</v>
      </c>
      <c r="B1583" s="2683" t="s">
        <v>7559</v>
      </c>
      <c r="C1583" s="2683">
        <v>50</v>
      </c>
      <c r="D1583" s="2683">
        <v>110</v>
      </c>
      <c r="E1583" s="2683">
        <v>42.25</v>
      </c>
      <c r="F1583" s="2683" t="s">
        <v>5922</v>
      </c>
      <c r="G1583" s="2683" t="s">
        <v>5922</v>
      </c>
      <c r="H1583" s="2683" t="s">
        <v>5922</v>
      </c>
      <c r="I1583" s="2683" t="s">
        <v>5922</v>
      </c>
      <c r="J1583" s="2683">
        <v>1.88</v>
      </c>
      <c r="K1583" s="2684"/>
      <c r="L1583" s="2683" t="s">
        <v>7560</v>
      </c>
    </row>
    <row r="1584" spans="1:12">
      <c r="A1584" s="2682" t="s">
        <v>146</v>
      </c>
      <c r="B1584" s="2682" t="s">
        <v>7561</v>
      </c>
      <c r="C1584" s="2682">
        <v>45</v>
      </c>
      <c r="D1584" s="2682">
        <v>100</v>
      </c>
      <c r="E1584" s="2682">
        <v>38.25</v>
      </c>
      <c r="F1584" s="2682" t="s">
        <v>5922</v>
      </c>
      <c r="G1584" s="2682" t="s">
        <v>5922</v>
      </c>
      <c r="H1584" s="2682" t="s">
        <v>5922</v>
      </c>
      <c r="I1584" s="2682" t="s">
        <v>5922</v>
      </c>
      <c r="J1584" s="2682">
        <v>1.4990000000000001</v>
      </c>
      <c r="L1584" s="2682" t="s">
        <v>5922</v>
      </c>
    </row>
    <row r="1585" spans="1:12">
      <c r="A1585" s="2683" t="s">
        <v>146</v>
      </c>
      <c r="B1585" s="2683" t="s">
        <v>7562</v>
      </c>
      <c r="C1585" s="2683">
        <v>40</v>
      </c>
      <c r="D1585" s="2683">
        <v>90</v>
      </c>
      <c r="E1585" s="2683">
        <v>35.25</v>
      </c>
      <c r="F1585" s="2683" t="s">
        <v>5922</v>
      </c>
      <c r="G1585" s="2683" t="s">
        <v>5922</v>
      </c>
      <c r="H1585" s="2683" t="s">
        <v>5922</v>
      </c>
      <c r="I1585" s="2683" t="s">
        <v>5922</v>
      </c>
      <c r="J1585" s="2683">
        <v>1.02</v>
      </c>
      <c r="K1585" s="2684"/>
      <c r="L1585" s="2683" t="s">
        <v>7563</v>
      </c>
    </row>
    <row r="1586" spans="1:12">
      <c r="A1586" s="2682" t="s">
        <v>146</v>
      </c>
      <c r="B1586" s="2682" t="s">
        <v>7564</v>
      </c>
      <c r="C1586" s="2682">
        <v>30</v>
      </c>
      <c r="D1586" s="2682">
        <v>72</v>
      </c>
      <c r="E1586" s="2682">
        <v>28.75</v>
      </c>
      <c r="F1586" s="2682" t="s">
        <v>5922</v>
      </c>
      <c r="G1586" s="2682" t="s">
        <v>5922</v>
      </c>
      <c r="H1586" s="2682" t="s">
        <v>5922</v>
      </c>
      <c r="I1586" s="2682" t="s">
        <v>5922</v>
      </c>
      <c r="J1586" s="2682">
        <v>0.69799999999999995</v>
      </c>
      <c r="L1586" s="2682" t="s">
        <v>5922</v>
      </c>
    </row>
    <row r="1587" spans="1:12">
      <c r="A1587" s="2683" t="s">
        <v>146</v>
      </c>
      <c r="B1587" s="2683" t="s">
        <v>7565</v>
      </c>
      <c r="C1587" s="2683">
        <v>32</v>
      </c>
      <c r="D1587" s="2683">
        <v>75</v>
      </c>
      <c r="E1587" s="2683">
        <v>29.75</v>
      </c>
      <c r="F1587" s="2683" t="s">
        <v>5922</v>
      </c>
      <c r="G1587" s="2683" t="s">
        <v>5922</v>
      </c>
      <c r="H1587" s="2683" t="s">
        <v>5922</v>
      </c>
      <c r="I1587" s="2683" t="s">
        <v>5922</v>
      </c>
      <c r="J1587" s="2683">
        <v>0</v>
      </c>
      <c r="K1587" s="2684"/>
      <c r="L1587" s="2683" t="s">
        <v>5922</v>
      </c>
    </row>
    <row r="1588" spans="1:12">
      <c r="A1588" s="2682" t="s">
        <v>146</v>
      </c>
      <c r="B1588" s="2682" t="s">
        <v>7566</v>
      </c>
      <c r="C1588" s="2682">
        <v>32</v>
      </c>
      <c r="D1588" s="2682">
        <v>75</v>
      </c>
      <c r="E1588" s="2682">
        <v>29.75</v>
      </c>
      <c r="F1588" s="2682" t="s">
        <v>5922</v>
      </c>
      <c r="G1588" s="2682" t="s">
        <v>5922</v>
      </c>
      <c r="H1588" s="2682" t="s">
        <v>5922</v>
      </c>
      <c r="I1588" s="2682" t="s">
        <v>5922</v>
      </c>
      <c r="J1588" s="2682">
        <v>0.64700000000000002</v>
      </c>
      <c r="L1588" s="2682" t="s">
        <v>7567</v>
      </c>
    </row>
    <row r="1589" spans="1:12">
      <c r="A1589" s="2683" t="s">
        <v>146</v>
      </c>
      <c r="B1589" s="2683" t="s">
        <v>7568</v>
      </c>
      <c r="C1589" s="2683">
        <v>50</v>
      </c>
      <c r="D1589" s="2683">
        <v>90</v>
      </c>
      <c r="E1589" s="2683">
        <v>24.75</v>
      </c>
      <c r="F1589" s="2683" t="s">
        <v>5922</v>
      </c>
      <c r="G1589" s="2683" t="s">
        <v>5922</v>
      </c>
      <c r="H1589" s="2683" t="s">
        <v>5922</v>
      </c>
      <c r="I1589" s="2683" t="s">
        <v>5922</v>
      </c>
      <c r="J1589" s="2683">
        <v>0.66800000000000004</v>
      </c>
      <c r="K1589" s="2684"/>
      <c r="L1589" s="2683">
        <v>67510</v>
      </c>
    </row>
    <row r="1590" spans="1:12">
      <c r="A1590" s="2682" t="s">
        <v>146</v>
      </c>
      <c r="B1590" s="2682" t="s">
        <v>7569</v>
      </c>
      <c r="C1590" s="2682">
        <v>45</v>
      </c>
      <c r="D1590" s="2682">
        <v>85</v>
      </c>
      <c r="E1590" s="2682">
        <v>24.75</v>
      </c>
      <c r="F1590" s="2682" t="s">
        <v>5922</v>
      </c>
      <c r="G1590" s="2682" t="s">
        <v>5922</v>
      </c>
      <c r="H1590" s="2682" t="s">
        <v>5922</v>
      </c>
      <c r="I1590" s="2682" t="s">
        <v>5922</v>
      </c>
      <c r="J1590" s="2682">
        <v>0.60599999999999998</v>
      </c>
      <c r="L1590" s="2682">
        <v>67509</v>
      </c>
    </row>
    <row r="1591" spans="1:12">
      <c r="A1591" s="2683" t="s">
        <v>146</v>
      </c>
      <c r="B1591" s="2683" t="s">
        <v>7570</v>
      </c>
      <c r="C1591" s="2683">
        <v>40</v>
      </c>
      <c r="D1591" s="2683">
        <v>80</v>
      </c>
      <c r="E1591" s="2683">
        <v>24.75</v>
      </c>
      <c r="F1591" s="2683" t="s">
        <v>5922</v>
      </c>
      <c r="G1591" s="2683" t="s">
        <v>5922</v>
      </c>
      <c r="H1591" s="2683" t="s">
        <v>5922</v>
      </c>
      <c r="I1591" s="2683" t="s">
        <v>5922</v>
      </c>
      <c r="J1591" s="2683">
        <v>0.54900000000000004</v>
      </c>
      <c r="K1591" s="2684"/>
      <c r="L1591" s="2683">
        <v>67508</v>
      </c>
    </row>
    <row r="1592" spans="1:12">
      <c r="A1592" s="2682" t="s">
        <v>146</v>
      </c>
      <c r="B1592" s="2682" t="s">
        <v>7571</v>
      </c>
      <c r="C1592" s="2682">
        <v>140</v>
      </c>
      <c r="D1592" s="2682">
        <v>210</v>
      </c>
      <c r="E1592" s="2682">
        <v>90</v>
      </c>
      <c r="F1592" s="2682" t="s">
        <v>5922</v>
      </c>
      <c r="G1592" s="2682" t="s">
        <v>5922</v>
      </c>
      <c r="H1592" s="2682" t="s">
        <v>5922</v>
      </c>
      <c r="I1592" s="2682" t="s">
        <v>5922</v>
      </c>
      <c r="J1592" s="2682">
        <v>12</v>
      </c>
      <c r="L1592" s="2682">
        <v>2047128</v>
      </c>
    </row>
    <row r="1593" spans="1:12">
      <c r="A1593" s="2683" t="s">
        <v>146</v>
      </c>
      <c r="B1593" s="2683" t="s">
        <v>7572</v>
      </c>
      <c r="C1593" s="2683">
        <v>130</v>
      </c>
      <c r="D1593" s="2683">
        <v>280</v>
      </c>
      <c r="E1593" s="2683">
        <v>144</v>
      </c>
      <c r="F1593" s="2683" t="s">
        <v>5922</v>
      </c>
      <c r="G1593" s="2683" t="s">
        <v>5922</v>
      </c>
      <c r="H1593" s="2683" t="s">
        <v>5922</v>
      </c>
      <c r="I1593" s="2683" t="s">
        <v>5922</v>
      </c>
      <c r="J1593" s="2683">
        <v>40.799999999999997</v>
      </c>
      <c r="K1593" s="2684"/>
      <c r="L1593" s="2683" t="s">
        <v>5922</v>
      </c>
    </row>
    <row r="1594" spans="1:12">
      <c r="A1594" s="2682" t="s">
        <v>146</v>
      </c>
      <c r="B1594" s="2682" t="s">
        <v>7573</v>
      </c>
      <c r="C1594" s="2682">
        <v>70</v>
      </c>
      <c r="D1594" s="2682">
        <v>150</v>
      </c>
      <c r="E1594" s="2682">
        <v>38</v>
      </c>
      <c r="F1594" s="2682" t="s">
        <v>5922</v>
      </c>
      <c r="G1594" s="2682" t="s">
        <v>5922</v>
      </c>
      <c r="H1594" s="2682" t="s">
        <v>5922</v>
      </c>
      <c r="I1594" s="2682" t="s">
        <v>5922</v>
      </c>
      <c r="J1594" s="2682">
        <v>0</v>
      </c>
      <c r="L1594" s="2682" t="s">
        <v>7574</v>
      </c>
    </row>
    <row r="1595" spans="1:12">
      <c r="A1595" s="2683" t="s">
        <v>146</v>
      </c>
      <c r="B1595" s="2683" t="s">
        <v>7575</v>
      </c>
      <c r="C1595" s="2683">
        <v>65</v>
      </c>
      <c r="D1595" s="2683">
        <v>140</v>
      </c>
      <c r="E1595" s="2683">
        <v>36</v>
      </c>
      <c r="F1595" s="2683" t="s">
        <v>5922</v>
      </c>
      <c r="G1595" s="2683" t="s">
        <v>5922</v>
      </c>
      <c r="H1595" s="2683" t="s">
        <v>5922</v>
      </c>
      <c r="I1595" s="2683" t="s">
        <v>5922</v>
      </c>
      <c r="J1595" s="2683">
        <v>2.39</v>
      </c>
      <c r="K1595" s="2684"/>
      <c r="L1595" s="2683" t="s">
        <v>7576</v>
      </c>
    </row>
    <row r="1596" spans="1:12">
      <c r="A1596" s="2682" t="s">
        <v>146</v>
      </c>
      <c r="B1596" s="2682" t="s">
        <v>7577</v>
      </c>
      <c r="C1596" s="2682">
        <v>55</v>
      </c>
      <c r="D1596" s="2682">
        <v>120</v>
      </c>
      <c r="E1596" s="2682">
        <v>31.5</v>
      </c>
      <c r="F1596" s="2682" t="s">
        <v>5922</v>
      </c>
      <c r="G1596" s="2682" t="s">
        <v>5922</v>
      </c>
      <c r="H1596" s="2682" t="s">
        <v>5922</v>
      </c>
      <c r="I1596" s="2682" t="s">
        <v>5922</v>
      </c>
      <c r="J1596" s="2682">
        <v>1.55</v>
      </c>
      <c r="L1596" s="2682" t="s">
        <v>7578</v>
      </c>
    </row>
    <row r="1597" spans="1:12">
      <c r="A1597" s="2683" t="s">
        <v>146</v>
      </c>
      <c r="B1597" s="2683" t="s">
        <v>7579</v>
      </c>
      <c r="C1597" s="2683">
        <v>55</v>
      </c>
      <c r="D1597" s="2683">
        <v>120</v>
      </c>
      <c r="E1597" s="2683">
        <v>31.5</v>
      </c>
      <c r="F1597" s="2683" t="s">
        <v>5922</v>
      </c>
      <c r="G1597" s="2683" t="s">
        <v>5922</v>
      </c>
      <c r="H1597" s="2683" t="s">
        <v>5922</v>
      </c>
      <c r="I1597" s="2683" t="s">
        <v>5922</v>
      </c>
      <c r="J1597" s="2683">
        <v>0</v>
      </c>
      <c r="K1597" s="2684"/>
      <c r="L1597" s="2683" t="s">
        <v>7578</v>
      </c>
    </row>
    <row r="1598" spans="1:12">
      <c r="A1598" s="2682" t="s">
        <v>146</v>
      </c>
      <c r="B1598" s="2682" t="s">
        <v>7580</v>
      </c>
      <c r="C1598" s="2682">
        <v>30</v>
      </c>
      <c r="D1598" s="2682">
        <v>72</v>
      </c>
      <c r="E1598" s="2682">
        <v>20.75</v>
      </c>
      <c r="F1598" s="2682" t="s">
        <v>5922</v>
      </c>
      <c r="G1598" s="2682" t="s">
        <v>5922</v>
      </c>
      <c r="H1598" s="2682" t="s">
        <v>5922</v>
      </c>
      <c r="I1598" s="2682" t="s">
        <v>5922</v>
      </c>
      <c r="J1598" s="2682">
        <v>0.39800000000000002</v>
      </c>
      <c r="L1598" s="2682" t="s">
        <v>5922</v>
      </c>
    </row>
    <row r="1599" spans="1:12">
      <c r="A1599" s="2683" t="s">
        <v>146</v>
      </c>
      <c r="B1599" s="2683" t="s">
        <v>7581</v>
      </c>
      <c r="C1599" s="2683">
        <v>400</v>
      </c>
      <c r="D1599" s="2683">
        <v>545</v>
      </c>
      <c r="E1599" s="2683">
        <v>76.2</v>
      </c>
      <c r="F1599" s="2683" t="s">
        <v>5922</v>
      </c>
      <c r="G1599" s="2683" t="s">
        <v>5922</v>
      </c>
      <c r="H1599" s="2683" t="s">
        <v>5922</v>
      </c>
      <c r="I1599" s="2683" t="s">
        <v>5922</v>
      </c>
      <c r="J1599" s="2683">
        <v>42</v>
      </c>
      <c r="K1599" s="2684"/>
      <c r="L1599" s="2683">
        <v>7980</v>
      </c>
    </row>
    <row r="1600" spans="1:12">
      <c r="A1600" s="2682" t="s">
        <v>146</v>
      </c>
      <c r="B1600" s="2682" t="s">
        <v>7582</v>
      </c>
      <c r="C1600" s="2682">
        <v>330.2</v>
      </c>
      <c r="D1600" s="2682">
        <v>482.64</v>
      </c>
      <c r="E1600" s="2682">
        <v>87</v>
      </c>
      <c r="F1600" s="2682" t="s">
        <v>5922</v>
      </c>
      <c r="G1600" s="2682" t="s">
        <v>5922</v>
      </c>
      <c r="H1600" s="2682" t="s">
        <v>5922</v>
      </c>
      <c r="I1600" s="2682" t="s">
        <v>5922</v>
      </c>
      <c r="J1600" s="2682">
        <v>37.200000000000003</v>
      </c>
      <c r="L1600" s="2682">
        <v>7766</v>
      </c>
    </row>
    <row r="1601" spans="1:12">
      <c r="A1601" s="2683" t="s">
        <v>146</v>
      </c>
      <c r="B1601" s="2683" t="s">
        <v>7583</v>
      </c>
      <c r="C1601" s="2683">
        <v>304.8</v>
      </c>
      <c r="D1601" s="2683">
        <v>546.1</v>
      </c>
      <c r="E1601" s="2683">
        <v>171.053</v>
      </c>
      <c r="F1601" s="2683" t="s">
        <v>5922</v>
      </c>
      <c r="G1601" s="2683" t="s">
        <v>5922</v>
      </c>
      <c r="H1601" s="2683" t="s">
        <v>5922</v>
      </c>
      <c r="I1601" s="2683" t="s">
        <v>5922</v>
      </c>
      <c r="J1601" s="2683">
        <v>175</v>
      </c>
      <c r="K1601" s="2684"/>
      <c r="L1601" s="2683">
        <v>7961</v>
      </c>
    </row>
    <row r="1602" spans="1:12">
      <c r="A1602" s="2682" t="s">
        <v>146</v>
      </c>
      <c r="B1602" s="2682" t="s">
        <v>7584</v>
      </c>
      <c r="C1602" s="2682">
        <v>276.22500000000002</v>
      </c>
      <c r="D1602" s="2682">
        <v>354.42500000000001</v>
      </c>
      <c r="E1602" s="2682">
        <v>36.512</v>
      </c>
      <c r="F1602" s="2682" t="s">
        <v>5922</v>
      </c>
      <c r="G1602" s="2682" t="s">
        <v>5922</v>
      </c>
      <c r="H1602" s="2682" t="s">
        <v>5922</v>
      </c>
      <c r="I1602" s="2682" t="s">
        <v>5922</v>
      </c>
      <c r="J1602" s="2682">
        <v>8.36</v>
      </c>
      <c r="L1602" s="2682" t="s">
        <v>7585</v>
      </c>
    </row>
    <row r="1603" spans="1:12">
      <c r="A1603" s="2683" t="s">
        <v>146</v>
      </c>
      <c r="B1603" s="2683" t="s">
        <v>7586</v>
      </c>
      <c r="C1603" s="2683">
        <v>260</v>
      </c>
      <c r="D1603" s="2683">
        <v>540</v>
      </c>
      <c r="E1603" s="2683">
        <v>114</v>
      </c>
      <c r="F1603" s="2683" t="s">
        <v>5922</v>
      </c>
      <c r="G1603" s="2683" t="s">
        <v>5922</v>
      </c>
      <c r="H1603" s="2683" t="s">
        <v>5922</v>
      </c>
      <c r="I1603" s="2683" t="s">
        <v>5922</v>
      </c>
      <c r="J1603" s="2683">
        <v>113</v>
      </c>
      <c r="K1603" s="2684"/>
      <c r="L1603" s="2683">
        <v>7352</v>
      </c>
    </row>
    <row r="1604" spans="1:12">
      <c r="A1604" s="2682" t="s">
        <v>146</v>
      </c>
      <c r="B1604" s="2682">
        <v>30348</v>
      </c>
      <c r="C1604" s="2682">
        <v>240</v>
      </c>
      <c r="D1604" s="2682">
        <v>500</v>
      </c>
      <c r="E1604" s="2682">
        <v>105</v>
      </c>
      <c r="F1604" s="2682" t="s">
        <v>5922</v>
      </c>
      <c r="G1604" s="2682" t="s">
        <v>5922</v>
      </c>
      <c r="H1604" s="2682" t="s">
        <v>5922</v>
      </c>
      <c r="I1604" s="2682" t="s">
        <v>5922</v>
      </c>
      <c r="J1604" s="2682">
        <v>88.9</v>
      </c>
      <c r="L1604" s="2682" t="s">
        <v>7587</v>
      </c>
    </row>
    <row r="1605" spans="1:12">
      <c r="A1605" s="2683" t="s">
        <v>146</v>
      </c>
      <c r="B1605" s="2683">
        <v>30344</v>
      </c>
      <c r="C1605" s="2683">
        <v>220</v>
      </c>
      <c r="D1605" s="2683">
        <v>460</v>
      </c>
      <c r="E1605" s="2683">
        <v>88</v>
      </c>
      <c r="F1605" s="2683">
        <v>1260</v>
      </c>
      <c r="G1605" s="2683">
        <v>1680</v>
      </c>
      <c r="H1605" s="2683">
        <v>730</v>
      </c>
      <c r="I1605" s="2683">
        <v>980</v>
      </c>
      <c r="J1605" s="2683">
        <v>69</v>
      </c>
      <c r="K1605" s="2684"/>
      <c r="L1605" s="2683" t="s">
        <v>7588</v>
      </c>
    </row>
    <row r="1606" spans="1:12">
      <c r="A1606" s="2682" t="s">
        <v>146</v>
      </c>
      <c r="B1606" s="2682">
        <v>30338</v>
      </c>
      <c r="C1606" s="2682">
        <v>190</v>
      </c>
      <c r="D1606" s="2682">
        <v>400</v>
      </c>
      <c r="E1606" s="2682">
        <v>78</v>
      </c>
      <c r="F1606" s="2682">
        <v>1010</v>
      </c>
      <c r="G1606" s="2682">
        <v>1250</v>
      </c>
      <c r="H1606" s="2682">
        <v>880</v>
      </c>
      <c r="I1606" s="2682">
        <v>1200</v>
      </c>
      <c r="J1606" s="2682">
        <v>46.2</v>
      </c>
      <c r="L1606" s="2682" t="s">
        <v>7589</v>
      </c>
    </row>
    <row r="1607" spans="1:12">
      <c r="A1607" s="2683" t="s">
        <v>146</v>
      </c>
      <c r="B1607" s="2683" t="s">
        <v>7590</v>
      </c>
      <c r="C1607" s="2683">
        <v>60</v>
      </c>
      <c r="D1607" s="2683">
        <v>135</v>
      </c>
      <c r="E1607" s="2683">
        <v>33.450000000000003</v>
      </c>
      <c r="F1607" s="2683" t="s">
        <v>5922</v>
      </c>
      <c r="G1607" s="2683" t="s">
        <v>5922</v>
      </c>
      <c r="H1607" s="2683" t="s">
        <v>5922</v>
      </c>
      <c r="I1607" s="2683" t="s">
        <v>5922</v>
      </c>
      <c r="J1607" s="2683">
        <v>2.0699999999999998</v>
      </c>
      <c r="K1607" s="2684"/>
      <c r="L1607" s="2683">
        <v>27712</v>
      </c>
    </row>
    <row r="1608" spans="1:12">
      <c r="A1608" s="2682" t="s">
        <v>146</v>
      </c>
      <c r="B1608" s="2682" t="s">
        <v>7591</v>
      </c>
      <c r="C1608" s="2682">
        <v>55</v>
      </c>
      <c r="D1608" s="2682">
        <v>125</v>
      </c>
      <c r="E1608" s="2682">
        <v>37</v>
      </c>
      <c r="F1608" s="2682" t="s">
        <v>5922</v>
      </c>
      <c r="G1608" s="2682" t="s">
        <v>5922</v>
      </c>
      <c r="H1608" s="2682" t="s">
        <v>5922</v>
      </c>
      <c r="I1608" s="2682" t="s">
        <v>5922</v>
      </c>
      <c r="J1608" s="2682">
        <v>0</v>
      </c>
      <c r="L1608" s="2682" t="s">
        <v>6300</v>
      </c>
    </row>
    <row r="1609" spans="1:12">
      <c r="A1609" s="2683" t="s">
        <v>146</v>
      </c>
      <c r="B1609" s="2683" t="s">
        <v>7592</v>
      </c>
      <c r="C1609" s="2683">
        <v>25</v>
      </c>
      <c r="D1609" s="2683">
        <v>62</v>
      </c>
      <c r="E1609" s="2683">
        <v>18.25</v>
      </c>
      <c r="F1609" s="2683" t="s">
        <v>5922</v>
      </c>
      <c r="G1609" s="2683" t="s">
        <v>5922</v>
      </c>
      <c r="H1609" s="2683" t="s">
        <v>5922</v>
      </c>
      <c r="I1609" s="2683" t="s">
        <v>5922</v>
      </c>
      <c r="J1609" s="2683">
        <v>0.22</v>
      </c>
      <c r="K1609" s="2684"/>
      <c r="L1609" s="2683" t="s">
        <v>5922</v>
      </c>
    </row>
    <row r="1610" spans="1:12">
      <c r="A1610" s="2682" t="s">
        <v>146</v>
      </c>
      <c r="B1610" s="2682" t="s">
        <v>7593</v>
      </c>
      <c r="C1610" s="2682">
        <v>50</v>
      </c>
      <c r="D1610" s="2682">
        <v>90</v>
      </c>
      <c r="E1610" s="2682">
        <v>21.75</v>
      </c>
      <c r="F1610" s="2682" t="s">
        <v>5922</v>
      </c>
      <c r="G1610" s="2682" t="s">
        <v>5922</v>
      </c>
      <c r="H1610" s="2682" t="s">
        <v>5922</v>
      </c>
      <c r="I1610" s="2682" t="s">
        <v>5922</v>
      </c>
      <c r="J1610" s="2682">
        <v>0.56100000000000005</v>
      </c>
      <c r="L1610" s="2682" t="s">
        <v>7594</v>
      </c>
    </row>
    <row r="1611" spans="1:12">
      <c r="A1611" s="2683" t="s">
        <v>146</v>
      </c>
      <c r="B1611" s="2683" t="s">
        <v>7595</v>
      </c>
      <c r="C1611" s="2683">
        <v>40</v>
      </c>
      <c r="D1611" s="2683">
        <v>85</v>
      </c>
      <c r="E1611" s="2683">
        <v>19.75</v>
      </c>
      <c r="F1611" s="2683" t="s">
        <v>5922</v>
      </c>
      <c r="G1611" s="2683" t="s">
        <v>5922</v>
      </c>
      <c r="H1611" s="2683" t="s">
        <v>5922</v>
      </c>
      <c r="I1611" s="2683" t="s">
        <v>5922</v>
      </c>
      <c r="J1611" s="2683">
        <v>0.442</v>
      </c>
      <c r="K1611" s="2684"/>
      <c r="L1611" s="2683" t="s">
        <v>7596</v>
      </c>
    </row>
    <row r="1612" spans="1:12">
      <c r="A1612" s="2682" t="s">
        <v>146</v>
      </c>
      <c r="B1612" s="2682" t="s">
        <v>7597</v>
      </c>
      <c r="C1612" s="2682">
        <v>73.816999999999993</v>
      </c>
      <c r="D1612" s="2682">
        <v>112.712</v>
      </c>
      <c r="E1612" s="2682">
        <v>25.4</v>
      </c>
      <c r="F1612" s="2682" t="s">
        <v>5922</v>
      </c>
      <c r="G1612" s="2682" t="s">
        <v>5922</v>
      </c>
      <c r="H1612" s="2682" t="s">
        <v>5922</v>
      </c>
      <c r="I1612" s="2682" t="s">
        <v>5922</v>
      </c>
      <c r="J1612" s="2682">
        <v>0</v>
      </c>
      <c r="L1612" s="2682" t="s">
        <v>5922</v>
      </c>
    </row>
    <row r="1613" spans="1:12">
      <c r="A1613" s="2683" t="s">
        <v>146</v>
      </c>
      <c r="B1613" s="2683" t="s">
        <v>7598</v>
      </c>
      <c r="C1613" s="2683">
        <v>73.025000000000006</v>
      </c>
      <c r="D1613" s="2683">
        <v>112.712</v>
      </c>
      <c r="E1613" s="2683">
        <v>25.4</v>
      </c>
      <c r="F1613" s="2683" t="s">
        <v>5922</v>
      </c>
      <c r="G1613" s="2683" t="s">
        <v>5922</v>
      </c>
      <c r="H1613" s="2683" t="s">
        <v>5922</v>
      </c>
      <c r="I1613" s="2683" t="s">
        <v>5922</v>
      </c>
      <c r="J1613" s="2683">
        <v>0.878</v>
      </c>
      <c r="K1613" s="2684"/>
      <c r="L1613" s="2683" t="s">
        <v>5922</v>
      </c>
    </row>
    <row r="1614" spans="1:12">
      <c r="A1614" s="2682" t="s">
        <v>146</v>
      </c>
      <c r="B1614" s="2682" t="s">
        <v>7599</v>
      </c>
      <c r="C1614" s="2682">
        <v>73.025000000000006</v>
      </c>
      <c r="D1614" s="2682">
        <v>112.712</v>
      </c>
      <c r="E1614" s="2682">
        <v>25.4</v>
      </c>
      <c r="F1614" s="2682" t="s">
        <v>5922</v>
      </c>
      <c r="G1614" s="2682" t="s">
        <v>5922</v>
      </c>
      <c r="H1614" s="2682" t="s">
        <v>5922</v>
      </c>
      <c r="I1614" s="2682" t="s">
        <v>5922</v>
      </c>
      <c r="J1614" s="2682">
        <v>0.86499999999999999</v>
      </c>
      <c r="L1614" s="2682" t="s">
        <v>5922</v>
      </c>
    </row>
    <row r="1615" spans="1:12">
      <c r="A1615" s="2683" t="s">
        <v>146</v>
      </c>
      <c r="B1615" s="2683" t="s">
        <v>7600</v>
      </c>
      <c r="C1615" s="2683">
        <v>69.849999999999994</v>
      </c>
      <c r="D1615" s="2683">
        <v>112.712</v>
      </c>
      <c r="E1615" s="2683">
        <v>25.4</v>
      </c>
      <c r="F1615" s="2683" t="s">
        <v>5922</v>
      </c>
      <c r="G1615" s="2683" t="s">
        <v>5922</v>
      </c>
      <c r="H1615" s="2683" t="s">
        <v>5922</v>
      </c>
      <c r="I1615" s="2683" t="s">
        <v>5922</v>
      </c>
      <c r="J1615" s="2683">
        <v>0</v>
      </c>
      <c r="K1615" s="2684"/>
      <c r="L1615" s="2683" t="s">
        <v>5922</v>
      </c>
    </row>
    <row r="1616" spans="1:12">
      <c r="A1616" s="2682" t="s">
        <v>146</v>
      </c>
      <c r="B1616" s="2682" t="s">
        <v>7601</v>
      </c>
      <c r="C1616" s="2682">
        <v>66.674999999999997</v>
      </c>
      <c r="D1616" s="2682">
        <v>107.95</v>
      </c>
      <c r="E1616" s="2682">
        <v>25.4</v>
      </c>
      <c r="F1616" s="2682" t="s">
        <v>5922</v>
      </c>
      <c r="G1616" s="2682" t="s">
        <v>5922</v>
      </c>
      <c r="H1616" s="2682" t="s">
        <v>5922</v>
      </c>
      <c r="I1616" s="2682" t="s">
        <v>5922</v>
      </c>
      <c r="J1616" s="2682">
        <v>0.86399999999999999</v>
      </c>
      <c r="L1616" s="2682" t="s">
        <v>5922</v>
      </c>
    </row>
    <row r="1617" spans="1:12">
      <c r="A1617" s="2683" t="s">
        <v>146</v>
      </c>
      <c r="B1617" s="2683" t="s">
        <v>7602</v>
      </c>
      <c r="C1617" s="2683">
        <v>66.674999999999997</v>
      </c>
      <c r="D1617" s="2683">
        <v>107.95</v>
      </c>
      <c r="E1617" s="2683">
        <v>25.4</v>
      </c>
      <c r="F1617" s="2683" t="s">
        <v>5922</v>
      </c>
      <c r="G1617" s="2683" t="s">
        <v>5922</v>
      </c>
      <c r="H1617" s="2683" t="s">
        <v>5922</v>
      </c>
      <c r="I1617" s="2683" t="s">
        <v>5922</v>
      </c>
      <c r="J1617" s="2683">
        <v>0.85299999999999998</v>
      </c>
      <c r="K1617" s="2684"/>
      <c r="L1617" s="2683" t="s">
        <v>5922</v>
      </c>
    </row>
    <row r="1618" spans="1:12">
      <c r="A1618" s="2682" t="s">
        <v>146</v>
      </c>
      <c r="B1618" s="2682" t="s">
        <v>7603</v>
      </c>
      <c r="C1618" s="2682">
        <v>63.5</v>
      </c>
      <c r="D1618" s="2682">
        <v>107.95</v>
      </c>
      <c r="E1618" s="2682">
        <v>25.4</v>
      </c>
      <c r="F1618" s="2682" t="s">
        <v>5922</v>
      </c>
      <c r="G1618" s="2682" t="s">
        <v>5922</v>
      </c>
      <c r="H1618" s="2682" t="s">
        <v>5922</v>
      </c>
      <c r="I1618" s="2682" t="s">
        <v>5922</v>
      </c>
      <c r="J1618" s="2682">
        <v>0.90100000000000002</v>
      </c>
      <c r="L1618" s="2682" t="s">
        <v>5922</v>
      </c>
    </row>
    <row r="1619" spans="1:12">
      <c r="A1619" s="2683" t="s">
        <v>146</v>
      </c>
      <c r="B1619" s="2683" t="s">
        <v>7604</v>
      </c>
      <c r="C1619" s="2683">
        <v>63.5</v>
      </c>
      <c r="D1619" s="2683">
        <v>107.95</v>
      </c>
      <c r="E1619" s="2683">
        <v>25.4</v>
      </c>
      <c r="F1619" s="2683" t="s">
        <v>5922</v>
      </c>
      <c r="G1619" s="2683" t="s">
        <v>5922</v>
      </c>
      <c r="H1619" s="2683" t="s">
        <v>5922</v>
      </c>
      <c r="I1619" s="2683" t="s">
        <v>5922</v>
      </c>
      <c r="J1619" s="2683">
        <v>0.90200000000000002</v>
      </c>
      <c r="K1619" s="2684"/>
      <c r="L1619" s="2683" t="s">
        <v>5922</v>
      </c>
    </row>
    <row r="1620" spans="1:12">
      <c r="A1620" s="2682" t="s">
        <v>146</v>
      </c>
      <c r="B1620" s="2682" t="s">
        <v>7605</v>
      </c>
      <c r="C1620" s="2682">
        <v>63.5</v>
      </c>
      <c r="D1620" s="2682">
        <v>107.95</v>
      </c>
      <c r="E1620" s="2682">
        <v>25.4</v>
      </c>
      <c r="F1620" s="2682" t="s">
        <v>5922</v>
      </c>
      <c r="G1620" s="2682" t="s">
        <v>5922</v>
      </c>
      <c r="H1620" s="2682" t="s">
        <v>5922</v>
      </c>
      <c r="I1620" s="2682" t="s">
        <v>5922</v>
      </c>
      <c r="J1620" s="2682">
        <v>0.91400000000000003</v>
      </c>
      <c r="L1620" s="2682" t="s">
        <v>5922</v>
      </c>
    </row>
    <row r="1621" spans="1:12">
      <c r="A1621" s="2683" t="s">
        <v>146</v>
      </c>
      <c r="B1621" s="2683" t="s">
        <v>7606</v>
      </c>
      <c r="C1621" s="2683">
        <v>63.5</v>
      </c>
      <c r="D1621" s="2683">
        <v>110</v>
      </c>
      <c r="E1621" s="2683">
        <v>25.4</v>
      </c>
      <c r="F1621" s="2683" t="s">
        <v>5922</v>
      </c>
      <c r="G1621" s="2683" t="s">
        <v>5922</v>
      </c>
      <c r="H1621" s="2683" t="s">
        <v>5922</v>
      </c>
      <c r="I1621" s="2683" t="s">
        <v>5922</v>
      </c>
      <c r="J1621" s="2683">
        <v>0.98199999999999998</v>
      </c>
      <c r="K1621" s="2684"/>
      <c r="L1621" s="2683" t="s">
        <v>5922</v>
      </c>
    </row>
    <row r="1622" spans="1:12">
      <c r="A1622" s="2682" t="s">
        <v>146</v>
      </c>
      <c r="B1622" s="2682" t="s">
        <v>7607</v>
      </c>
      <c r="C1622" s="2682">
        <v>63.5</v>
      </c>
      <c r="D1622" s="2682">
        <v>107.95</v>
      </c>
      <c r="E1622" s="2682">
        <v>25.4</v>
      </c>
      <c r="F1622" s="2682" t="s">
        <v>5922</v>
      </c>
      <c r="G1622" s="2682" t="s">
        <v>5922</v>
      </c>
      <c r="H1622" s="2682" t="s">
        <v>5922</v>
      </c>
      <c r="I1622" s="2682" t="s">
        <v>5922</v>
      </c>
      <c r="J1622" s="2682">
        <v>0</v>
      </c>
      <c r="L1622" s="2682" t="s">
        <v>5922</v>
      </c>
    </row>
    <row r="1623" spans="1:12">
      <c r="A1623" s="2683" t="s">
        <v>146</v>
      </c>
      <c r="B1623" s="2683" t="s">
        <v>7608</v>
      </c>
      <c r="C1623" s="2683">
        <v>66.674999999999997</v>
      </c>
      <c r="D1623" s="2683">
        <v>107.95</v>
      </c>
      <c r="E1623" s="2683">
        <v>19.05</v>
      </c>
      <c r="F1623" s="2683" t="s">
        <v>5922</v>
      </c>
      <c r="G1623" s="2683" t="s">
        <v>5922</v>
      </c>
      <c r="H1623" s="2683" t="s">
        <v>5922</v>
      </c>
      <c r="I1623" s="2683" t="s">
        <v>5922</v>
      </c>
      <c r="J1623" s="2683">
        <v>0.85</v>
      </c>
      <c r="K1623" s="2684"/>
      <c r="L1623" s="2683" t="s">
        <v>5922</v>
      </c>
    </row>
    <row r="1624" spans="1:12">
      <c r="A1624" s="2682" t="s">
        <v>146</v>
      </c>
      <c r="B1624" s="2682" t="s">
        <v>7609</v>
      </c>
      <c r="C1624" s="2682">
        <v>60.325000000000003</v>
      </c>
      <c r="D1624" s="2682">
        <v>101.6</v>
      </c>
      <c r="E1624" s="2682">
        <v>24.4</v>
      </c>
      <c r="F1624" s="2682" t="s">
        <v>5922</v>
      </c>
      <c r="G1624" s="2682" t="s">
        <v>5922</v>
      </c>
      <c r="H1624" s="2682" t="s">
        <v>5922</v>
      </c>
      <c r="I1624" s="2682" t="s">
        <v>5922</v>
      </c>
      <c r="J1624" s="2682">
        <v>0.81</v>
      </c>
      <c r="L1624" s="2682" t="s">
        <v>5922</v>
      </c>
    </row>
    <row r="1625" spans="1:12">
      <c r="A1625" s="2683" t="s">
        <v>146</v>
      </c>
      <c r="B1625" s="2683" t="s">
        <v>7610</v>
      </c>
      <c r="C1625" s="2683">
        <v>60.325000000000003</v>
      </c>
      <c r="D1625" s="2683">
        <v>100</v>
      </c>
      <c r="E1625" s="2683">
        <v>25.4</v>
      </c>
      <c r="F1625" s="2683" t="s">
        <v>5922</v>
      </c>
      <c r="G1625" s="2683" t="s">
        <v>5922</v>
      </c>
      <c r="H1625" s="2683" t="s">
        <v>5922</v>
      </c>
      <c r="I1625" s="2683" t="s">
        <v>5922</v>
      </c>
      <c r="J1625" s="2683">
        <v>0.81200000000000006</v>
      </c>
      <c r="K1625" s="2684"/>
      <c r="L1625" s="2683" t="s">
        <v>5922</v>
      </c>
    </row>
    <row r="1626" spans="1:12">
      <c r="A1626" s="2682" t="s">
        <v>146</v>
      </c>
      <c r="B1626" s="2682" t="s">
        <v>7611</v>
      </c>
      <c r="C1626" s="2682">
        <v>60.325000000000003</v>
      </c>
      <c r="D1626" s="2682">
        <v>101.6</v>
      </c>
      <c r="E1626" s="2682">
        <v>25.4</v>
      </c>
      <c r="F1626" s="2682" t="s">
        <v>5922</v>
      </c>
      <c r="G1626" s="2682" t="s">
        <v>5922</v>
      </c>
      <c r="H1626" s="2682" t="s">
        <v>5922</v>
      </c>
      <c r="I1626" s="2682" t="s">
        <v>5922</v>
      </c>
      <c r="J1626" s="2682">
        <v>0.85099999999999998</v>
      </c>
      <c r="L1626" s="2682" t="s">
        <v>5922</v>
      </c>
    </row>
    <row r="1627" spans="1:12">
      <c r="A1627" s="2683" t="s">
        <v>146</v>
      </c>
      <c r="B1627" s="2683" t="s">
        <v>7612</v>
      </c>
      <c r="C1627" s="2683">
        <v>60.325000000000003</v>
      </c>
      <c r="D1627" s="2683">
        <v>101.6</v>
      </c>
      <c r="E1627" s="2683">
        <v>25.4</v>
      </c>
      <c r="F1627" s="2683" t="s">
        <v>5922</v>
      </c>
      <c r="G1627" s="2683" t="s">
        <v>5922</v>
      </c>
      <c r="H1627" s="2683" t="s">
        <v>5922</v>
      </c>
      <c r="I1627" s="2683" t="s">
        <v>5922</v>
      </c>
      <c r="J1627" s="2683">
        <v>0.78500000000000003</v>
      </c>
      <c r="K1627" s="2684"/>
      <c r="L1627" s="2683" t="s">
        <v>5922</v>
      </c>
    </row>
    <row r="1628" spans="1:12">
      <c r="A1628" s="2682" t="s">
        <v>146</v>
      </c>
      <c r="B1628" s="2682" t="s">
        <v>7613</v>
      </c>
      <c r="C1628" s="2682">
        <v>57.15</v>
      </c>
      <c r="D1628" s="2682">
        <v>97.63</v>
      </c>
      <c r="E1628" s="2682">
        <v>24.608000000000001</v>
      </c>
      <c r="F1628" s="2682" t="s">
        <v>5922</v>
      </c>
      <c r="G1628" s="2682" t="s">
        <v>5922</v>
      </c>
      <c r="H1628" s="2682" t="s">
        <v>5922</v>
      </c>
      <c r="I1628" s="2682" t="s">
        <v>5922</v>
      </c>
      <c r="J1628" s="2682">
        <v>0.747</v>
      </c>
      <c r="L1628" s="2682" t="s">
        <v>5922</v>
      </c>
    </row>
    <row r="1629" spans="1:12">
      <c r="A1629" s="2683" t="s">
        <v>146</v>
      </c>
      <c r="B1629" s="2683" t="s">
        <v>7614</v>
      </c>
      <c r="C1629" s="2683">
        <v>55.561999999999998</v>
      </c>
      <c r="D1629" s="2683">
        <v>97.63</v>
      </c>
      <c r="E1629" s="2683">
        <v>24.608000000000001</v>
      </c>
      <c r="F1629" s="2683" t="s">
        <v>5922</v>
      </c>
      <c r="G1629" s="2683" t="s">
        <v>5922</v>
      </c>
      <c r="H1629" s="2683" t="s">
        <v>5922</v>
      </c>
      <c r="I1629" s="2683" t="s">
        <v>5922</v>
      </c>
      <c r="J1629" s="2683">
        <v>0.76</v>
      </c>
      <c r="K1629" s="2684"/>
      <c r="L1629" s="2683" t="s">
        <v>5922</v>
      </c>
    </row>
    <row r="1630" spans="1:12">
      <c r="A1630" s="2682" t="s">
        <v>146</v>
      </c>
      <c r="B1630" s="2682" t="s">
        <v>7615</v>
      </c>
      <c r="C1630" s="2682">
        <v>50</v>
      </c>
      <c r="D1630" s="2682">
        <v>101.5</v>
      </c>
      <c r="E1630" s="2682">
        <v>24.6</v>
      </c>
      <c r="F1630" s="2682" t="s">
        <v>5922</v>
      </c>
      <c r="G1630" s="2682" t="s">
        <v>5922</v>
      </c>
      <c r="H1630" s="2682" t="s">
        <v>5922</v>
      </c>
      <c r="I1630" s="2682" t="s">
        <v>5922</v>
      </c>
      <c r="J1630" s="2682">
        <v>0.86499999999999999</v>
      </c>
      <c r="L1630" s="2682" t="s">
        <v>5922</v>
      </c>
    </row>
    <row r="1631" spans="1:12">
      <c r="A1631" s="2683" t="s">
        <v>146</v>
      </c>
      <c r="B1631" s="2683" t="s">
        <v>7616</v>
      </c>
      <c r="C1631" s="2683">
        <v>52.387999999999998</v>
      </c>
      <c r="D1631" s="2683">
        <v>92.07</v>
      </c>
      <c r="E1631" s="2683">
        <v>25.4</v>
      </c>
      <c r="F1631" s="2683" t="s">
        <v>5922</v>
      </c>
      <c r="G1631" s="2683" t="s">
        <v>5922</v>
      </c>
      <c r="H1631" s="2683" t="s">
        <v>5922</v>
      </c>
      <c r="I1631" s="2683" t="s">
        <v>5922</v>
      </c>
      <c r="J1631" s="2683">
        <v>0.66800000000000004</v>
      </c>
      <c r="K1631" s="2684"/>
      <c r="L1631" s="2683" t="s">
        <v>5922</v>
      </c>
    </row>
    <row r="1632" spans="1:12">
      <c r="A1632" s="2682" t="s">
        <v>146</v>
      </c>
      <c r="B1632" s="2682" t="s">
        <v>7617</v>
      </c>
      <c r="C1632" s="2682">
        <v>52.387999999999998</v>
      </c>
      <c r="D1632" s="2682">
        <v>92.075000000000003</v>
      </c>
      <c r="E1632" s="2682">
        <v>24.608000000000001</v>
      </c>
      <c r="F1632" s="2682" t="s">
        <v>5922</v>
      </c>
      <c r="G1632" s="2682" t="s">
        <v>5922</v>
      </c>
      <c r="H1632" s="2682" t="s">
        <v>5922</v>
      </c>
      <c r="I1632" s="2682" t="s">
        <v>5922</v>
      </c>
      <c r="J1632" s="2682">
        <v>0.7</v>
      </c>
      <c r="L1632" s="2682" t="s">
        <v>5922</v>
      </c>
    </row>
    <row r="1633" spans="1:12">
      <c r="A1633" s="2683" t="s">
        <v>146</v>
      </c>
      <c r="B1633" s="2683" t="s">
        <v>7618</v>
      </c>
      <c r="C1633" s="2683">
        <v>40</v>
      </c>
      <c r="D1633" s="2683">
        <v>76.2</v>
      </c>
      <c r="E1633" s="2683">
        <v>20.638000000000002</v>
      </c>
      <c r="F1633" s="2683" t="s">
        <v>5922</v>
      </c>
      <c r="G1633" s="2683" t="s">
        <v>5922</v>
      </c>
      <c r="H1633" s="2683" t="s">
        <v>5922</v>
      </c>
      <c r="I1633" s="2683" t="s">
        <v>5922</v>
      </c>
      <c r="J1633" s="2683">
        <v>0.38300000000000001</v>
      </c>
      <c r="K1633" s="2684"/>
      <c r="L1633" s="2683" t="s">
        <v>5922</v>
      </c>
    </row>
    <row r="1634" spans="1:12">
      <c r="A1634" s="2682" t="s">
        <v>146</v>
      </c>
      <c r="B1634" s="2682" t="s">
        <v>7619</v>
      </c>
      <c r="C1634" s="2682">
        <v>34.924999999999997</v>
      </c>
      <c r="D1634" s="2682">
        <v>76.2</v>
      </c>
      <c r="E1634" s="2682">
        <v>23.812000000000001</v>
      </c>
      <c r="F1634" s="2682" t="s">
        <v>5922</v>
      </c>
      <c r="G1634" s="2682" t="s">
        <v>5922</v>
      </c>
      <c r="H1634" s="2682" t="s">
        <v>5922</v>
      </c>
      <c r="I1634" s="2682" t="s">
        <v>5922</v>
      </c>
      <c r="J1634" s="2682">
        <v>0</v>
      </c>
      <c r="L1634" s="2682" t="s">
        <v>5922</v>
      </c>
    </row>
    <row r="1635" spans="1:12">
      <c r="A1635" s="2683" t="s">
        <v>146</v>
      </c>
      <c r="B1635" s="2683" t="s">
        <v>7620</v>
      </c>
      <c r="C1635" s="2683">
        <v>36.487000000000002</v>
      </c>
      <c r="D1635" s="2683">
        <v>76.2</v>
      </c>
      <c r="E1635" s="2683">
        <v>23.812000000000001</v>
      </c>
      <c r="F1635" s="2683" t="s">
        <v>5922</v>
      </c>
      <c r="G1635" s="2683" t="s">
        <v>5922</v>
      </c>
      <c r="H1635" s="2683" t="s">
        <v>5922</v>
      </c>
      <c r="I1635" s="2683" t="s">
        <v>5922</v>
      </c>
      <c r="J1635" s="2683">
        <v>0</v>
      </c>
      <c r="K1635" s="2684"/>
      <c r="L1635" s="2683" t="s">
        <v>5922</v>
      </c>
    </row>
    <row r="1636" spans="1:12">
      <c r="A1636" s="2682" t="s">
        <v>146</v>
      </c>
      <c r="B1636" s="2682" t="s">
        <v>7621</v>
      </c>
      <c r="C1636" s="2682">
        <v>34.975000000000001</v>
      </c>
      <c r="D1636" s="2682">
        <v>76.2</v>
      </c>
      <c r="E1636" s="2682">
        <v>23.812000000000001</v>
      </c>
      <c r="F1636" s="2682" t="s">
        <v>5922</v>
      </c>
      <c r="G1636" s="2682" t="s">
        <v>5922</v>
      </c>
      <c r="H1636" s="2682" t="s">
        <v>5922</v>
      </c>
      <c r="I1636" s="2682" t="s">
        <v>5922</v>
      </c>
      <c r="J1636" s="2682">
        <v>0</v>
      </c>
      <c r="L1636" s="2682" t="s">
        <v>5922</v>
      </c>
    </row>
    <row r="1637" spans="1:12">
      <c r="A1637" s="2683" t="s">
        <v>146</v>
      </c>
      <c r="B1637" s="2683" t="s">
        <v>7622</v>
      </c>
      <c r="C1637" s="2683">
        <v>34.924999999999997</v>
      </c>
      <c r="D1637" s="2683">
        <v>76.2</v>
      </c>
      <c r="E1637" s="2683">
        <v>23.812000000000001</v>
      </c>
      <c r="F1637" s="2683" t="s">
        <v>5922</v>
      </c>
      <c r="G1637" s="2683" t="s">
        <v>5922</v>
      </c>
      <c r="H1637" s="2683" t="s">
        <v>5922</v>
      </c>
      <c r="I1637" s="2683" t="s">
        <v>5922</v>
      </c>
      <c r="J1637" s="2683">
        <v>0.53600000000000003</v>
      </c>
      <c r="K1637" s="2684"/>
      <c r="L1637" s="2683" t="s">
        <v>5922</v>
      </c>
    </row>
    <row r="1638" spans="1:12">
      <c r="A1638" s="2682" t="s">
        <v>146</v>
      </c>
      <c r="B1638" s="2682" t="s">
        <v>7623</v>
      </c>
      <c r="C1638" s="2682">
        <v>33.338000000000001</v>
      </c>
      <c r="D1638" s="2682">
        <v>76.2</v>
      </c>
      <c r="E1638" s="2682">
        <v>23.812000000000001</v>
      </c>
      <c r="F1638" s="2682" t="s">
        <v>5922</v>
      </c>
      <c r="G1638" s="2682" t="s">
        <v>5922</v>
      </c>
      <c r="H1638" s="2682" t="s">
        <v>5922</v>
      </c>
      <c r="I1638" s="2682" t="s">
        <v>5922</v>
      </c>
      <c r="J1638" s="2682">
        <v>0</v>
      </c>
      <c r="L1638" s="2682" t="s">
        <v>5922</v>
      </c>
    </row>
    <row r="1639" spans="1:12">
      <c r="A1639" s="2683" t="s">
        <v>146</v>
      </c>
      <c r="B1639" s="2683" t="s">
        <v>7624</v>
      </c>
      <c r="C1639" s="2683">
        <v>39.688000000000002</v>
      </c>
      <c r="D1639" s="2683">
        <v>73.025000000000006</v>
      </c>
      <c r="E1639" s="2683">
        <v>23.812000000000001</v>
      </c>
      <c r="F1639" s="2683" t="s">
        <v>5922</v>
      </c>
      <c r="G1639" s="2683" t="s">
        <v>5922</v>
      </c>
      <c r="H1639" s="2683" t="s">
        <v>5922</v>
      </c>
      <c r="I1639" s="2683" t="s">
        <v>5922</v>
      </c>
      <c r="J1639" s="2683">
        <v>0</v>
      </c>
      <c r="K1639" s="2684"/>
      <c r="L1639" s="2683" t="s">
        <v>5922</v>
      </c>
    </row>
    <row r="1640" spans="1:12">
      <c r="A1640" s="2682" t="s">
        <v>146</v>
      </c>
      <c r="B1640" s="2682" t="s">
        <v>7625</v>
      </c>
      <c r="C1640" s="2682">
        <v>39.688000000000002</v>
      </c>
      <c r="D1640" s="2682">
        <v>76.2</v>
      </c>
      <c r="E1640" s="2682">
        <v>23.812000000000001</v>
      </c>
      <c r="F1640" s="2682" t="s">
        <v>5922</v>
      </c>
      <c r="G1640" s="2682" t="s">
        <v>5922</v>
      </c>
      <c r="H1640" s="2682" t="s">
        <v>5922</v>
      </c>
      <c r="I1640" s="2682" t="s">
        <v>5922</v>
      </c>
      <c r="J1640" s="2682">
        <v>0</v>
      </c>
      <c r="L1640" s="2682" t="s">
        <v>5922</v>
      </c>
    </row>
    <row r="1641" spans="1:12">
      <c r="A1641" s="2683" t="s">
        <v>146</v>
      </c>
      <c r="B1641" s="2683" t="s">
        <v>7626</v>
      </c>
      <c r="C1641" s="2683">
        <v>38.1</v>
      </c>
      <c r="D1641" s="2683">
        <v>76.2</v>
      </c>
      <c r="E1641" s="2683">
        <v>23.812000000000001</v>
      </c>
      <c r="F1641" s="2683" t="s">
        <v>5922</v>
      </c>
      <c r="G1641" s="2683" t="s">
        <v>5922</v>
      </c>
      <c r="H1641" s="2683" t="s">
        <v>5922</v>
      </c>
      <c r="I1641" s="2683" t="s">
        <v>5922</v>
      </c>
      <c r="J1641" s="2683">
        <v>0</v>
      </c>
      <c r="K1641" s="2684"/>
      <c r="L1641" s="2683" t="s">
        <v>5922</v>
      </c>
    </row>
    <row r="1642" spans="1:12">
      <c r="A1642" s="2682" t="s">
        <v>146</v>
      </c>
      <c r="B1642" s="2682" t="s">
        <v>7627</v>
      </c>
      <c r="C1642" s="2682">
        <v>38.1</v>
      </c>
      <c r="D1642" s="2682">
        <v>76.2</v>
      </c>
      <c r="E1642" s="2682">
        <v>23.81</v>
      </c>
      <c r="F1642" s="2682" t="s">
        <v>5922</v>
      </c>
      <c r="G1642" s="2682" t="s">
        <v>5922</v>
      </c>
      <c r="H1642" s="2682" t="s">
        <v>5922</v>
      </c>
      <c r="I1642" s="2682" t="s">
        <v>5922</v>
      </c>
      <c r="J1642" s="2682">
        <v>0.45500000000000002</v>
      </c>
      <c r="L1642" s="2682" t="s">
        <v>5922</v>
      </c>
    </row>
    <row r="1643" spans="1:12">
      <c r="A1643" s="2683" t="s">
        <v>146</v>
      </c>
      <c r="B1643" s="2683" t="s">
        <v>7628</v>
      </c>
      <c r="C1643" s="2683">
        <v>34.924999999999997</v>
      </c>
      <c r="D1643" s="2683">
        <v>76.2</v>
      </c>
      <c r="E1643" s="2683">
        <v>23.812000000000001</v>
      </c>
      <c r="F1643" s="2683" t="s">
        <v>5922</v>
      </c>
      <c r="G1643" s="2683" t="s">
        <v>5922</v>
      </c>
      <c r="H1643" s="2683" t="s">
        <v>5922</v>
      </c>
      <c r="I1643" s="2683" t="s">
        <v>5922</v>
      </c>
      <c r="J1643" s="2683">
        <v>0</v>
      </c>
      <c r="K1643" s="2684"/>
      <c r="L1643" s="2683" t="s">
        <v>5922</v>
      </c>
    </row>
    <row r="1644" spans="1:12">
      <c r="A1644" s="2682" t="s">
        <v>146</v>
      </c>
      <c r="B1644" s="2682" t="s">
        <v>7629</v>
      </c>
      <c r="C1644" s="2682">
        <v>33.338000000000001</v>
      </c>
      <c r="D1644" s="2682">
        <v>76.2</v>
      </c>
      <c r="E1644" s="2682">
        <v>23.812000000000001</v>
      </c>
      <c r="F1644" s="2682" t="s">
        <v>5922</v>
      </c>
      <c r="G1644" s="2682" t="s">
        <v>5922</v>
      </c>
      <c r="H1644" s="2682" t="s">
        <v>5922</v>
      </c>
      <c r="I1644" s="2682" t="s">
        <v>5922</v>
      </c>
      <c r="J1644" s="2682">
        <v>0</v>
      </c>
      <c r="L1644" s="2682" t="s">
        <v>5922</v>
      </c>
    </row>
    <row r="1645" spans="1:12">
      <c r="A1645" s="2683" t="s">
        <v>146</v>
      </c>
      <c r="B1645" s="2683" t="s">
        <v>7630</v>
      </c>
      <c r="C1645" s="2683">
        <v>36.487000000000002</v>
      </c>
      <c r="D1645" s="2683">
        <v>76.2</v>
      </c>
      <c r="E1645" s="2683">
        <v>23.812000000000001</v>
      </c>
      <c r="F1645" s="2683" t="s">
        <v>5922</v>
      </c>
      <c r="G1645" s="2683" t="s">
        <v>5922</v>
      </c>
      <c r="H1645" s="2683" t="s">
        <v>5922</v>
      </c>
      <c r="I1645" s="2683" t="s">
        <v>5922</v>
      </c>
      <c r="J1645" s="2683">
        <v>0.51800000000000002</v>
      </c>
      <c r="K1645" s="2684"/>
      <c r="L1645" s="2683" t="s">
        <v>5922</v>
      </c>
    </row>
    <row r="1646" spans="1:12">
      <c r="A1646" s="2682" t="s">
        <v>146</v>
      </c>
      <c r="B1646" s="2682" t="s">
        <v>7631</v>
      </c>
      <c r="C1646" s="2682">
        <v>38.1</v>
      </c>
      <c r="D1646" s="2682">
        <v>76.2</v>
      </c>
      <c r="E1646" s="2682">
        <v>23.812000000000001</v>
      </c>
      <c r="F1646" s="2682" t="s">
        <v>5922</v>
      </c>
      <c r="G1646" s="2682" t="s">
        <v>5922</v>
      </c>
      <c r="H1646" s="2682" t="s">
        <v>5922</v>
      </c>
      <c r="I1646" s="2682" t="s">
        <v>5922</v>
      </c>
      <c r="J1646" s="2682">
        <v>0</v>
      </c>
      <c r="L1646" s="2682" t="s">
        <v>5922</v>
      </c>
    </row>
    <row r="1647" spans="1:12">
      <c r="A1647" s="2683" t="s">
        <v>146</v>
      </c>
      <c r="B1647" s="2683" t="s">
        <v>7632</v>
      </c>
      <c r="C1647" s="2683">
        <v>38.1</v>
      </c>
      <c r="D1647" s="2683">
        <v>76.2</v>
      </c>
      <c r="E1647" s="2683">
        <v>23.812000000000001</v>
      </c>
      <c r="F1647" s="2683" t="s">
        <v>5922</v>
      </c>
      <c r="G1647" s="2683" t="s">
        <v>5922</v>
      </c>
      <c r="H1647" s="2683" t="s">
        <v>5922</v>
      </c>
      <c r="I1647" s="2683" t="s">
        <v>5922</v>
      </c>
      <c r="J1647" s="2683">
        <v>0</v>
      </c>
      <c r="K1647" s="2684"/>
      <c r="L1647" s="2683" t="s">
        <v>5922</v>
      </c>
    </row>
    <row r="1648" spans="1:12">
      <c r="A1648" s="2682" t="s">
        <v>146</v>
      </c>
      <c r="B1648" s="2682" t="s">
        <v>7633</v>
      </c>
      <c r="C1648" s="2682">
        <v>82.55</v>
      </c>
      <c r="D1648" s="2682">
        <v>125.41200000000001</v>
      </c>
      <c r="E1648" s="2682">
        <v>25.4</v>
      </c>
      <c r="F1648" s="2682" t="s">
        <v>5922</v>
      </c>
      <c r="G1648" s="2682" t="s">
        <v>5922</v>
      </c>
      <c r="H1648" s="2682" t="s">
        <v>5922</v>
      </c>
      <c r="I1648" s="2682" t="s">
        <v>5922</v>
      </c>
      <c r="J1648" s="2682">
        <v>1.1000000000000001</v>
      </c>
      <c r="L1648" s="2682" t="s">
        <v>5922</v>
      </c>
    </row>
    <row r="1649" spans="1:12">
      <c r="A1649" s="2683" t="s">
        <v>146</v>
      </c>
      <c r="B1649" s="2683" t="s">
        <v>7634</v>
      </c>
      <c r="C1649" s="2683">
        <v>82.55</v>
      </c>
      <c r="D1649" s="2683">
        <v>125.41200000000001</v>
      </c>
      <c r="E1649" s="2683">
        <v>25.4</v>
      </c>
      <c r="F1649" s="2683" t="s">
        <v>5922</v>
      </c>
      <c r="G1649" s="2683" t="s">
        <v>5922</v>
      </c>
      <c r="H1649" s="2683" t="s">
        <v>5922</v>
      </c>
      <c r="I1649" s="2683" t="s">
        <v>5922</v>
      </c>
      <c r="J1649" s="2683">
        <v>0</v>
      </c>
      <c r="K1649" s="2684"/>
      <c r="L1649" s="2683" t="s">
        <v>5922</v>
      </c>
    </row>
    <row r="1650" spans="1:12">
      <c r="A1650" s="2682" t="s">
        <v>146</v>
      </c>
      <c r="B1650" s="2682" t="s">
        <v>7635</v>
      </c>
      <c r="C1650" s="2682">
        <v>76.2</v>
      </c>
      <c r="D1650" s="2682">
        <v>125.41200000000001</v>
      </c>
      <c r="E1650" s="2682">
        <v>25.4</v>
      </c>
      <c r="F1650" s="2682" t="s">
        <v>5922</v>
      </c>
      <c r="G1650" s="2682" t="s">
        <v>5922</v>
      </c>
      <c r="H1650" s="2682" t="s">
        <v>5922</v>
      </c>
      <c r="I1650" s="2682" t="s">
        <v>5922</v>
      </c>
      <c r="J1650" s="2682">
        <v>0</v>
      </c>
      <c r="L1650" s="2682" t="s">
        <v>5922</v>
      </c>
    </row>
    <row r="1651" spans="1:12">
      <c r="A1651" s="2683" t="s">
        <v>146</v>
      </c>
      <c r="B1651" s="2683" t="s">
        <v>7636</v>
      </c>
      <c r="C1651" s="2683">
        <v>39.375</v>
      </c>
      <c r="D1651" s="2683">
        <v>42.875</v>
      </c>
      <c r="E1651" s="2683">
        <v>23.812000000000001</v>
      </c>
      <c r="F1651" s="2683" t="s">
        <v>5922</v>
      </c>
      <c r="G1651" s="2683" t="s">
        <v>5922</v>
      </c>
      <c r="H1651" s="2683" t="s">
        <v>5922</v>
      </c>
      <c r="I1651" s="2683" t="s">
        <v>5922</v>
      </c>
      <c r="J1651" s="2683">
        <v>0</v>
      </c>
      <c r="K1651" s="2684"/>
      <c r="L1651" s="2683" t="s">
        <v>5922</v>
      </c>
    </row>
    <row r="1652" spans="1:12">
      <c r="A1652" s="2682" t="s">
        <v>146</v>
      </c>
      <c r="B1652" s="2682" t="s">
        <v>7637</v>
      </c>
      <c r="C1652" s="2682">
        <v>42.875</v>
      </c>
      <c r="D1652" s="2682">
        <v>79.375</v>
      </c>
      <c r="E1652" s="2682">
        <v>23.812000000000001</v>
      </c>
      <c r="F1652" s="2682" t="s">
        <v>5922</v>
      </c>
      <c r="G1652" s="2682" t="s">
        <v>5922</v>
      </c>
      <c r="H1652" s="2682" t="s">
        <v>5922</v>
      </c>
      <c r="I1652" s="2682" t="s">
        <v>5922</v>
      </c>
      <c r="J1652" s="2682">
        <v>0</v>
      </c>
      <c r="L1652" s="2682" t="s">
        <v>5922</v>
      </c>
    </row>
    <row r="1653" spans="1:12">
      <c r="A1653" s="2683" t="s">
        <v>146</v>
      </c>
      <c r="B1653" s="2683" t="s">
        <v>7638</v>
      </c>
      <c r="C1653" s="2683">
        <v>41.274999999999999</v>
      </c>
      <c r="D1653" s="2683">
        <v>79.375</v>
      </c>
      <c r="E1653" s="2683">
        <v>23.812000000000001</v>
      </c>
      <c r="F1653" s="2683" t="s">
        <v>5922</v>
      </c>
      <c r="G1653" s="2683" t="s">
        <v>5922</v>
      </c>
      <c r="H1653" s="2683" t="s">
        <v>5922</v>
      </c>
      <c r="I1653" s="2683" t="s">
        <v>5922</v>
      </c>
      <c r="J1653" s="2683">
        <v>0</v>
      </c>
      <c r="K1653" s="2684"/>
      <c r="L1653" s="2683" t="s">
        <v>5922</v>
      </c>
    </row>
    <row r="1654" spans="1:12">
      <c r="A1654" s="2682" t="s">
        <v>146</v>
      </c>
      <c r="B1654" s="2682" t="s">
        <v>7639</v>
      </c>
      <c r="C1654" s="2682">
        <v>42.875</v>
      </c>
      <c r="D1654" s="2682">
        <v>80</v>
      </c>
      <c r="E1654" s="2682">
        <v>25.4</v>
      </c>
      <c r="F1654" s="2682" t="s">
        <v>5922</v>
      </c>
      <c r="G1654" s="2682" t="s">
        <v>5922</v>
      </c>
      <c r="H1654" s="2682" t="s">
        <v>5922</v>
      </c>
      <c r="I1654" s="2682" t="s">
        <v>5922</v>
      </c>
      <c r="J1654" s="2682">
        <v>0</v>
      </c>
      <c r="L1654" s="2682" t="s">
        <v>5922</v>
      </c>
    </row>
    <row r="1655" spans="1:12">
      <c r="A1655" s="2683" t="s">
        <v>146</v>
      </c>
      <c r="B1655" s="2683" t="s">
        <v>7640</v>
      </c>
      <c r="C1655" s="2683">
        <v>42.875</v>
      </c>
      <c r="D1655" s="2683">
        <v>76.2</v>
      </c>
      <c r="E1655" s="2683">
        <v>25.4</v>
      </c>
      <c r="F1655" s="2683" t="s">
        <v>5922</v>
      </c>
      <c r="G1655" s="2683" t="s">
        <v>5922</v>
      </c>
      <c r="H1655" s="2683" t="s">
        <v>5922</v>
      </c>
      <c r="I1655" s="2683" t="s">
        <v>5922</v>
      </c>
      <c r="J1655" s="2683">
        <v>0</v>
      </c>
      <c r="K1655" s="2684"/>
      <c r="L1655" s="2683" t="s">
        <v>5922</v>
      </c>
    </row>
    <row r="1656" spans="1:12">
      <c r="A1656" s="2682" t="s">
        <v>146</v>
      </c>
      <c r="B1656" s="2682" t="s">
        <v>7641</v>
      </c>
      <c r="C1656" s="2682">
        <v>72.875</v>
      </c>
      <c r="D1656" s="2682">
        <v>80.167000000000002</v>
      </c>
      <c r="E1656" s="2682">
        <v>25.4</v>
      </c>
      <c r="F1656" s="2682" t="s">
        <v>5922</v>
      </c>
      <c r="G1656" s="2682" t="s">
        <v>5922</v>
      </c>
      <c r="H1656" s="2682" t="s">
        <v>5922</v>
      </c>
      <c r="I1656" s="2682" t="s">
        <v>5922</v>
      </c>
      <c r="J1656" s="2682">
        <v>0</v>
      </c>
      <c r="L1656" s="2682" t="s">
        <v>5922</v>
      </c>
    </row>
    <row r="1657" spans="1:12">
      <c r="A1657" s="2683" t="s">
        <v>146</v>
      </c>
      <c r="B1657" s="2683" t="s">
        <v>7642</v>
      </c>
      <c r="C1657" s="2683">
        <v>35.5</v>
      </c>
      <c r="D1657" s="2683">
        <v>79.375</v>
      </c>
      <c r="E1657" s="2683">
        <v>23.812000000000001</v>
      </c>
      <c r="F1657" s="2683" t="s">
        <v>5922</v>
      </c>
      <c r="G1657" s="2683" t="s">
        <v>5922</v>
      </c>
      <c r="H1657" s="2683" t="s">
        <v>5922</v>
      </c>
      <c r="I1657" s="2683" t="s">
        <v>5922</v>
      </c>
      <c r="J1657" s="2683">
        <v>0</v>
      </c>
      <c r="K1657" s="2684"/>
      <c r="L1657" s="2683" t="s">
        <v>5922</v>
      </c>
    </row>
    <row r="1658" spans="1:12">
      <c r="A1658" s="2682" t="s">
        <v>146</v>
      </c>
      <c r="B1658" s="2682" t="s">
        <v>7643</v>
      </c>
      <c r="C1658" s="2682">
        <v>41.274999999999999</v>
      </c>
      <c r="D1658" s="2682">
        <v>80</v>
      </c>
      <c r="E1658" s="2682">
        <v>23.812000000000001</v>
      </c>
      <c r="F1658" s="2682" t="s">
        <v>5922</v>
      </c>
      <c r="G1658" s="2682" t="s">
        <v>5922</v>
      </c>
      <c r="H1658" s="2682" t="s">
        <v>5922</v>
      </c>
      <c r="I1658" s="2682" t="s">
        <v>5922</v>
      </c>
      <c r="J1658" s="2682">
        <v>0</v>
      </c>
      <c r="L1658" s="2682" t="s">
        <v>5922</v>
      </c>
    </row>
    <row r="1659" spans="1:12">
      <c r="A1659" s="2683" t="s">
        <v>146</v>
      </c>
      <c r="B1659" s="2683" t="s">
        <v>7644</v>
      </c>
      <c r="C1659" s="2683">
        <v>41.274999999999999</v>
      </c>
      <c r="D1659" s="2683">
        <v>76.2</v>
      </c>
      <c r="E1659" s="2683">
        <v>25.4</v>
      </c>
      <c r="F1659" s="2683" t="s">
        <v>5922</v>
      </c>
      <c r="G1659" s="2683" t="s">
        <v>5922</v>
      </c>
      <c r="H1659" s="2683" t="s">
        <v>5922</v>
      </c>
      <c r="I1659" s="2683" t="s">
        <v>5922</v>
      </c>
      <c r="J1659" s="2683">
        <v>0</v>
      </c>
      <c r="K1659" s="2684"/>
      <c r="L1659" s="2683" t="s">
        <v>5922</v>
      </c>
    </row>
    <row r="1660" spans="1:12">
      <c r="A1660" s="2682" t="s">
        <v>146</v>
      </c>
      <c r="B1660" s="2682" t="s">
        <v>7645</v>
      </c>
      <c r="C1660" s="2682">
        <v>41.274999999999999</v>
      </c>
      <c r="D1660" s="2682">
        <v>79.375</v>
      </c>
      <c r="E1660" s="2682">
        <v>23.812000000000001</v>
      </c>
      <c r="F1660" s="2682" t="s">
        <v>5922</v>
      </c>
      <c r="G1660" s="2682" t="s">
        <v>5922</v>
      </c>
      <c r="H1660" s="2682" t="s">
        <v>5922</v>
      </c>
      <c r="I1660" s="2682" t="s">
        <v>5922</v>
      </c>
      <c r="J1660" s="2682">
        <v>0</v>
      </c>
      <c r="L1660" s="2682" t="s">
        <v>5922</v>
      </c>
    </row>
    <row r="1661" spans="1:12">
      <c r="A1661" s="2683" t="s">
        <v>146</v>
      </c>
      <c r="B1661" s="2683" t="s">
        <v>7646</v>
      </c>
      <c r="C1661" s="2683">
        <v>41.274999999999999</v>
      </c>
      <c r="D1661" s="2683">
        <v>80.167000000000002</v>
      </c>
      <c r="E1661" s="2683">
        <v>25.4</v>
      </c>
      <c r="F1661" s="2683" t="s">
        <v>5922</v>
      </c>
      <c r="G1661" s="2683" t="s">
        <v>5922</v>
      </c>
      <c r="H1661" s="2683" t="s">
        <v>5922</v>
      </c>
      <c r="I1661" s="2683" t="s">
        <v>5922</v>
      </c>
      <c r="J1661" s="2683">
        <v>0</v>
      </c>
      <c r="K1661" s="2684"/>
      <c r="L1661" s="2683" t="s">
        <v>5922</v>
      </c>
    </row>
    <row r="1662" spans="1:12">
      <c r="A1662" s="2682" t="s">
        <v>146</v>
      </c>
      <c r="B1662" s="2682" t="s">
        <v>7647</v>
      </c>
      <c r="C1662" s="2682">
        <v>41.274999999999999</v>
      </c>
      <c r="D1662" s="2682">
        <v>79.375</v>
      </c>
      <c r="E1662" s="2682">
        <v>23.812000000000001</v>
      </c>
      <c r="F1662" s="2682" t="s">
        <v>5922</v>
      </c>
      <c r="G1662" s="2682" t="s">
        <v>5922</v>
      </c>
      <c r="H1662" s="2682" t="s">
        <v>5922</v>
      </c>
      <c r="I1662" s="2682" t="s">
        <v>5922</v>
      </c>
      <c r="J1662" s="2682">
        <v>0</v>
      </c>
      <c r="L1662" s="2682" t="s">
        <v>5922</v>
      </c>
    </row>
    <row r="1663" spans="1:12">
      <c r="A1663" s="2683" t="s">
        <v>146</v>
      </c>
      <c r="B1663" s="2683" t="s">
        <v>7648</v>
      </c>
      <c r="C1663" s="2683">
        <v>39.688000000000002</v>
      </c>
      <c r="D1663" s="2683">
        <v>76.2</v>
      </c>
      <c r="E1663" s="2683">
        <v>25.4</v>
      </c>
      <c r="F1663" s="2683" t="s">
        <v>5922</v>
      </c>
      <c r="G1663" s="2683" t="s">
        <v>5922</v>
      </c>
      <c r="H1663" s="2683" t="s">
        <v>5922</v>
      </c>
      <c r="I1663" s="2683" t="s">
        <v>5922</v>
      </c>
      <c r="J1663" s="2683">
        <v>0</v>
      </c>
      <c r="K1663" s="2684"/>
      <c r="L1663" s="2683" t="s">
        <v>5922</v>
      </c>
    </row>
    <row r="1664" spans="1:12">
      <c r="A1664" s="2682" t="s">
        <v>146</v>
      </c>
      <c r="B1664" s="2682" t="s">
        <v>7649</v>
      </c>
      <c r="C1664" s="2682">
        <v>39.688000000000002</v>
      </c>
      <c r="D1664" s="2682">
        <v>79.375</v>
      </c>
      <c r="E1664" s="2682">
        <v>23.812000000000001</v>
      </c>
      <c r="F1664" s="2682" t="s">
        <v>5922</v>
      </c>
      <c r="G1664" s="2682" t="s">
        <v>5922</v>
      </c>
      <c r="H1664" s="2682" t="s">
        <v>5922</v>
      </c>
      <c r="I1664" s="2682" t="s">
        <v>5922</v>
      </c>
      <c r="J1664" s="2682">
        <v>0</v>
      </c>
      <c r="L1664" s="2682" t="s">
        <v>5922</v>
      </c>
    </row>
    <row r="1665" spans="1:12">
      <c r="A1665" s="2683" t="s">
        <v>146</v>
      </c>
      <c r="B1665" s="2683" t="s">
        <v>7650</v>
      </c>
      <c r="C1665" s="2683">
        <v>39.688000000000002</v>
      </c>
      <c r="D1665" s="2683">
        <v>79.375</v>
      </c>
      <c r="E1665" s="2683">
        <v>23.812000000000001</v>
      </c>
      <c r="F1665" s="2683" t="s">
        <v>5922</v>
      </c>
      <c r="G1665" s="2683" t="s">
        <v>5922</v>
      </c>
      <c r="H1665" s="2683" t="s">
        <v>5922</v>
      </c>
      <c r="I1665" s="2683" t="s">
        <v>5922</v>
      </c>
      <c r="J1665" s="2683">
        <v>0</v>
      </c>
      <c r="K1665" s="2684"/>
      <c r="L1665" s="2683" t="s">
        <v>5922</v>
      </c>
    </row>
    <row r="1666" spans="1:12">
      <c r="A1666" s="2682" t="s">
        <v>146</v>
      </c>
      <c r="B1666" s="2682" t="s">
        <v>7651</v>
      </c>
      <c r="C1666" s="2682">
        <v>38.1</v>
      </c>
      <c r="D1666" s="2682">
        <v>79.375</v>
      </c>
      <c r="E1666" s="2682">
        <v>23.812000000000001</v>
      </c>
      <c r="F1666" s="2682" t="s">
        <v>5922</v>
      </c>
      <c r="G1666" s="2682" t="s">
        <v>5922</v>
      </c>
      <c r="H1666" s="2682" t="s">
        <v>5922</v>
      </c>
      <c r="I1666" s="2682" t="s">
        <v>5922</v>
      </c>
      <c r="J1666" s="2682">
        <v>0</v>
      </c>
      <c r="L1666" s="2682" t="s">
        <v>5922</v>
      </c>
    </row>
    <row r="1667" spans="1:12">
      <c r="A1667" s="2683" t="s">
        <v>146</v>
      </c>
      <c r="B1667" s="2683" t="s">
        <v>7652</v>
      </c>
      <c r="C1667" s="2683">
        <v>36.512</v>
      </c>
      <c r="D1667" s="2683">
        <v>79.375</v>
      </c>
      <c r="E1667" s="2683">
        <v>23.812000000000001</v>
      </c>
      <c r="F1667" s="2683" t="s">
        <v>5922</v>
      </c>
      <c r="G1667" s="2683" t="s">
        <v>5922</v>
      </c>
      <c r="H1667" s="2683" t="s">
        <v>5922</v>
      </c>
      <c r="I1667" s="2683" t="s">
        <v>5922</v>
      </c>
      <c r="J1667" s="2683">
        <v>0</v>
      </c>
      <c r="K1667" s="2684"/>
      <c r="L1667" s="2683" t="s">
        <v>5922</v>
      </c>
    </row>
    <row r="1668" spans="1:12">
      <c r="A1668" s="2682" t="s">
        <v>146</v>
      </c>
      <c r="B1668" s="2682" t="s">
        <v>7653</v>
      </c>
      <c r="C1668" s="2682">
        <v>73.025000000000006</v>
      </c>
      <c r="D1668" s="2682">
        <v>112.712</v>
      </c>
      <c r="E1668" s="2682">
        <v>25</v>
      </c>
      <c r="F1668" s="2682" t="s">
        <v>5922</v>
      </c>
      <c r="G1668" s="2682" t="s">
        <v>5922</v>
      </c>
      <c r="H1668" s="2682" t="s">
        <v>5922</v>
      </c>
      <c r="I1668" s="2682" t="s">
        <v>5922</v>
      </c>
      <c r="J1668" s="2682">
        <v>0</v>
      </c>
      <c r="L1668" s="2682" t="s">
        <v>5922</v>
      </c>
    </row>
    <row r="1669" spans="1:12">
      <c r="A1669" s="2683" t="s">
        <v>146</v>
      </c>
      <c r="B1669" s="2683" t="s">
        <v>7654</v>
      </c>
      <c r="C1669" s="2683">
        <v>36.487000000000002</v>
      </c>
      <c r="D1669" s="2683">
        <v>73.025000000000006</v>
      </c>
      <c r="E1669" s="2683">
        <v>23.812000000000001</v>
      </c>
      <c r="F1669" s="2683" t="s">
        <v>5922</v>
      </c>
      <c r="G1669" s="2683" t="s">
        <v>5922</v>
      </c>
      <c r="H1669" s="2683" t="s">
        <v>5922</v>
      </c>
      <c r="I1669" s="2683" t="s">
        <v>5922</v>
      </c>
      <c r="J1669" s="2683">
        <v>0</v>
      </c>
      <c r="K1669" s="2684"/>
      <c r="L1669" s="2683" t="s">
        <v>5922</v>
      </c>
    </row>
    <row r="1670" spans="1:12">
      <c r="A1670" s="2682" t="s">
        <v>146</v>
      </c>
      <c r="B1670" s="2682">
        <v>30656</v>
      </c>
      <c r="C1670" s="2682">
        <v>280</v>
      </c>
      <c r="D1670" s="2682">
        <v>350</v>
      </c>
      <c r="E1670" s="2682">
        <v>36</v>
      </c>
      <c r="F1670" s="2682" t="s">
        <v>5922</v>
      </c>
      <c r="G1670" s="2682" t="s">
        <v>5922</v>
      </c>
      <c r="H1670" s="2682" t="s">
        <v>5922</v>
      </c>
      <c r="I1670" s="2682" t="s">
        <v>5922</v>
      </c>
      <c r="J1670" s="2682">
        <v>6.33</v>
      </c>
      <c r="L1670" s="2682">
        <v>1007856</v>
      </c>
    </row>
    <row r="1671" spans="1:12">
      <c r="A1671" s="2683" t="s">
        <v>146</v>
      </c>
      <c r="B1671" s="2683">
        <v>30650</v>
      </c>
      <c r="C1671" s="2683">
        <v>250</v>
      </c>
      <c r="D1671" s="2683">
        <v>330</v>
      </c>
      <c r="E1671" s="2683">
        <v>36</v>
      </c>
      <c r="F1671" s="2683" t="s">
        <v>5922</v>
      </c>
      <c r="G1671" s="2683" t="s">
        <v>5922</v>
      </c>
      <c r="H1671" s="2683" t="s">
        <v>5922</v>
      </c>
      <c r="I1671" s="2683" t="s">
        <v>5922</v>
      </c>
      <c r="J1671" s="2683">
        <v>7.31</v>
      </c>
      <c r="K1671" s="2684"/>
      <c r="L1671" s="2683" t="s">
        <v>7655</v>
      </c>
    </row>
    <row r="1672" spans="1:12">
      <c r="A1672" s="2682" t="s">
        <v>146</v>
      </c>
      <c r="B1672" s="2682">
        <v>30647</v>
      </c>
      <c r="C1672" s="2682">
        <v>234.95</v>
      </c>
      <c r="D1672" s="2682">
        <v>355.6</v>
      </c>
      <c r="E1672" s="2682">
        <v>68.260000000000005</v>
      </c>
      <c r="F1672" s="2682" t="s">
        <v>5922</v>
      </c>
      <c r="G1672" s="2682" t="s">
        <v>5922</v>
      </c>
      <c r="H1672" s="2682" t="s">
        <v>5922</v>
      </c>
      <c r="I1672" s="2682" t="s">
        <v>5922</v>
      </c>
      <c r="J1672" s="2682">
        <v>23</v>
      </c>
      <c r="L1672" s="2682">
        <v>7947</v>
      </c>
    </row>
    <row r="1673" spans="1:12">
      <c r="A1673" s="2683" t="s">
        <v>146</v>
      </c>
      <c r="B1673" s="2683">
        <v>30642</v>
      </c>
      <c r="C1673" s="2683">
        <v>219.55</v>
      </c>
      <c r="D1673" s="2683">
        <v>355.6</v>
      </c>
      <c r="E1673" s="2683">
        <v>68.260000000000005</v>
      </c>
      <c r="F1673" s="2683" t="s">
        <v>5922</v>
      </c>
      <c r="G1673" s="2683" t="s">
        <v>5922</v>
      </c>
      <c r="H1673" s="2683" t="s">
        <v>5922</v>
      </c>
      <c r="I1673" s="2683" t="s">
        <v>5922</v>
      </c>
      <c r="J1673" s="2683">
        <v>27.6</v>
      </c>
      <c r="K1673" s="2684"/>
      <c r="L1673" s="2683">
        <v>7942</v>
      </c>
    </row>
    <row r="1674" spans="1:12">
      <c r="A1674" s="2682" t="s">
        <v>146</v>
      </c>
      <c r="B1674" s="2682" t="s">
        <v>7656</v>
      </c>
      <c r="C1674" s="2682">
        <v>110</v>
      </c>
      <c r="D1674" s="2682">
        <v>200</v>
      </c>
      <c r="E1674" s="2682">
        <v>56.5</v>
      </c>
      <c r="F1674" s="2682" t="s">
        <v>5922</v>
      </c>
      <c r="G1674" s="2682" t="s">
        <v>5922</v>
      </c>
      <c r="H1674" s="2682" t="s">
        <v>5922</v>
      </c>
      <c r="I1674" s="2682" t="s">
        <v>5922</v>
      </c>
      <c r="J1674" s="2682">
        <v>7.49</v>
      </c>
      <c r="L1674" s="2682" t="s">
        <v>7657</v>
      </c>
    </row>
    <row r="1675" spans="1:12">
      <c r="A1675" s="2683" t="s">
        <v>146</v>
      </c>
      <c r="B1675" s="2683">
        <v>30621</v>
      </c>
      <c r="C1675" s="2683">
        <v>105</v>
      </c>
      <c r="D1675" s="2683">
        <v>215</v>
      </c>
      <c r="E1675" s="2683">
        <v>78</v>
      </c>
      <c r="F1675" s="2683" t="s">
        <v>5922</v>
      </c>
      <c r="G1675" s="2683" t="s">
        <v>5922</v>
      </c>
      <c r="H1675" s="2683" t="s">
        <v>5922</v>
      </c>
      <c r="I1675" s="2683" t="s">
        <v>5922</v>
      </c>
      <c r="J1675" s="2683">
        <v>12.3</v>
      </c>
      <c r="K1675" s="2684"/>
      <c r="L1675" s="2683">
        <v>7721</v>
      </c>
    </row>
    <row r="1676" spans="1:12">
      <c r="A1676" s="2682" t="s">
        <v>146</v>
      </c>
      <c r="B1676" s="2682">
        <v>30619</v>
      </c>
      <c r="C1676" s="2682">
        <v>95</v>
      </c>
      <c r="D1676" s="2682">
        <v>160</v>
      </c>
      <c r="E1676" s="2682">
        <v>47</v>
      </c>
      <c r="F1676" s="2682" t="s">
        <v>5922</v>
      </c>
      <c r="G1676" s="2682" t="s">
        <v>5922</v>
      </c>
      <c r="H1676" s="2682" t="s">
        <v>5922</v>
      </c>
      <c r="I1676" s="2682" t="s">
        <v>5922</v>
      </c>
      <c r="J1676" s="2682">
        <v>3.79</v>
      </c>
      <c r="L1676" s="2682">
        <v>7819</v>
      </c>
    </row>
    <row r="1677" spans="1:12">
      <c r="A1677" s="2683" t="s">
        <v>146</v>
      </c>
      <c r="B1677" s="2683" t="s">
        <v>7658</v>
      </c>
      <c r="C1677" s="2683">
        <v>75</v>
      </c>
      <c r="D1677" s="2683">
        <v>135</v>
      </c>
      <c r="E1677" s="2683">
        <v>44</v>
      </c>
      <c r="F1677" s="2683" t="s">
        <v>5922</v>
      </c>
      <c r="G1677" s="2683" t="s">
        <v>5922</v>
      </c>
      <c r="H1677" s="2683" t="s">
        <v>5922</v>
      </c>
      <c r="I1677" s="2683" t="s">
        <v>5922</v>
      </c>
      <c r="J1677" s="2683">
        <v>2.6</v>
      </c>
      <c r="K1677" s="2684"/>
      <c r="L1677" s="2683">
        <v>7815</v>
      </c>
    </row>
    <row r="1678" spans="1:12">
      <c r="A1678" s="2682" t="s">
        <v>146</v>
      </c>
      <c r="B1678" s="2682" t="s">
        <v>7659</v>
      </c>
      <c r="C1678" s="2682">
        <v>75</v>
      </c>
      <c r="D1678" s="2682">
        <v>135</v>
      </c>
      <c r="E1678" s="2682">
        <v>44</v>
      </c>
      <c r="F1678" s="2682" t="s">
        <v>5922</v>
      </c>
      <c r="G1678" s="2682" t="s">
        <v>5922</v>
      </c>
      <c r="H1678" s="2682" t="s">
        <v>5922</v>
      </c>
      <c r="I1678" s="2682" t="s">
        <v>5922</v>
      </c>
      <c r="J1678" s="2682">
        <v>2.66</v>
      </c>
      <c r="L1678" s="2682" t="s">
        <v>7660</v>
      </c>
    </row>
    <row r="1679" spans="1:12">
      <c r="A1679" s="2683" t="s">
        <v>146</v>
      </c>
      <c r="B1679" s="2683" t="s">
        <v>7661</v>
      </c>
      <c r="C1679" s="2683">
        <v>50</v>
      </c>
      <c r="D1679" s="2683">
        <v>105</v>
      </c>
      <c r="E1679" s="2683">
        <v>48.24</v>
      </c>
      <c r="F1679" s="2683" t="s">
        <v>5922</v>
      </c>
      <c r="G1679" s="2683" t="s">
        <v>5922</v>
      </c>
      <c r="H1679" s="2683" t="s">
        <v>5922</v>
      </c>
      <c r="I1679" s="2683" t="s">
        <v>5922</v>
      </c>
      <c r="J1679" s="2683">
        <v>2.21</v>
      </c>
      <c r="K1679" s="2684"/>
      <c r="L1679" s="2683">
        <v>767710</v>
      </c>
    </row>
    <row r="1680" spans="1:12">
      <c r="A1680" s="2682" t="s">
        <v>146</v>
      </c>
      <c r="B1680" s="2682" t="s">
        <v>7662</v>
      </c>
      <c r="C1680" s="2682">
        <v>50</v>
      </c>
      <c r="D1680" s="2682">
        <v>82</v>
      </c>
      <c r="E1680" s="2682">
        <v>21.5</v>
      </c>
      <c r="F1680" s="2682" t="s">
        <v>5922</v>
      </c>
      <c r="G1680" s="2682" t="s">
        <v>5922</v>
      </c>
      <c r="H1680" s="2682" t="s">
        <v>5922</v>
      </c>
      <c r="I1680" s="2682" t="s">
        <v>5922</v>
      </c>
      <c r="J1680" s="2682">
        <v>0.33100000000000002</v>
      </c>
      <c r="L1680" s="2682" t="s">
        <v>7663</v>
      </c>
    </row>
    <row r="1681" spans="1:12">
      <c r="A1681" s="2683" t="s">
        <v>146</v>
      </c>
      <c r="B1681" s="2683">
        <v>30606</v>
      </c>
      <c r="C1681" s="2683">
        <v>30</v>
      </c>
      <c r="D1681" s="2683">
        <v>64</v>
      </c>
      <c r="E1681" s="2683">
        <v>21.5</v>
      </c>
      <c r="F1681" s="2683" t="s">
        <v>5922</v>
      </c>
      <c r="G1681" s="2683" t="s">
        <v>5922</v>
      </c>
      <c r="H1681" s="2683" t="s">
        <v>5922</v>
      </c>
      <c r="I1681" s="2683" t="s">
        <v>5922</v>
      </c>
      <c r="J1681" s="2683">
        <v>0.33300000000000002</v>
      </c>
      <c r="K1681" s="2684"/>
      <c r="L1681" s="2683" t="s">
        <v>7664</v>
      </c>
    </row>
    <row r="1682" spans="1:12">
      <c r="A1682" s="2682" t="s">
        <v>146</v>
      </c>
      <c r="B1682" s="2682" t="s">
        <v>7665</v>
      </c>
      <c r="C1682" s="2682">
        <v>82.55</v>
      </c>
      <c r="D1682" s="2682">
        <v>139.99199999999999</v>
      </c>
      <c r="E1682" s="2682">
        <v>36.512999999999998</v>
      </c>
      <c r="F1682" s="2682" t="s">
        <v>5922</v>
      </c>
      <c r="G1682" s="2682" t="s">
        <v>5922</v>
      </c>
      <c r="H1682" s="2682" t="s">
        <v>5922</v>
      </c>
      <c r="I1682" s="2682" t="s">
        <v>5922</v>
      </c>
      <c r="J1682" s="2682">
        <v>2.19</v>
      </c>
      <c r="L1682" s="2682">
        <v>7916</v>
      </c>
    </row>
    <row r="1683" spans="1:12">
      <c r="A1683" s="2683" t="s">
        <v>146</v>
      </c>
      <c r="B1683" s="2683" t="s">
        <v>7666</v>
      </c>
      <c r="C1683" s="2683">
        <v>800</v>
      </c>
      <c r="D1683" s="2683">
        <v>980</v>
      </c>
      <c r="E1683" s="2683">
        <v>57</v>
      </c>
      <c r="F1683" s="2683" t="s">
        <v>5922</v>
      </c>
      <c r="G1683" s="2683" t="s">
        <v>5922</v>
      </c>
      <c r="H1683" s="2683" t="s">
        <v>5922</v>
      </c>
      <c r="I1683" s="2683" t="s">
        <v>5922</v>
      </c>
      <c r="J1683" s="2683">
        <v>96.3</v>
      </c>
      <c r="K1683" s="2684"/>
      <c r="L1683" s="2683" t="s">
        <v>7667</v>
      </c>
    </row>
    <row r="1684" spans="1:12">
      <c r="A1684" s="2682" t="s">
        <v>146</v>
      </c>
      <c r="B1684" s="2682" t="s">
        <v>7668</v>
      </c>
      <c r="C1684" s="2682">
        <v>800</v>
      </c>
      <c r="D1684" s="2682">
        <v>990</v>
      </c>
      <c r="E1684" s="2682">
        <v>57</v>
      </c>
      <c r="F1684" s="2682" t="s">
        <v>5922</v>
      </c>
      <c r="G1684" s="2682" t="s">
        <v>5922</v>
      </c>
      <c r="H1684" s="2682" t="s">
        <v>5922</v>
      </c>
      <c r="I1684" s="2682" t="s">
        <v>5922</v>
      </c>
      <c r="J1684" s="2682">
        <v>96.3</v>
      </c>
      <c r="L1684" s="2682" t="s">
        <v>7667</v>
      </c>
    </row>
    <row r="1685" spans="1:12">
      <c r="A1685" s="2683" t="s">
        <v>146</v>
      </c>
      <c r="B1685" s="2683" t="s">
        <v>7669</v>
      </c>
      <c r="C1685" s="2683">
        <v>760</v>
      </c>
      <c r="D1685" s="2683">
        <v>890</v>
      </c>
      <c r="E1685" s="2683">
        <v>78</v>
      </c>
      <c r="F1685" s="2683" t="s">
        <v>5922</v>
      </c>
      <c r="G1685" s="2683" t="s">
        <v>5922</v>
      </c>
      <c r="H1685" s="2683" t="s">
        <v>5922</v>
      </c>
      <c r="I1685" s="2683" t="s">
        <v>5922</v>
      </c>
      <c r="J1685" s="2683">
        <v>79.3</v>
      </c>
      <c r="K1685" s="2684"/>
      <c r="L1685" s="2683" t="s">
        <v>7670</v>
      </c>
    </row>
    <row r="1686" spans="1:12">
      <c r="A1686" s="2682" t="s">
        <v>146</v>
      </c>
      <c r="B1686" s="2682" t="s">
        <v>7671</v>
      </c>
      <c r="C1686" s="2682">
        <v>62</v>
      </c>
      <c r="D1686" s="2682">
        <v>100</v>
      </c>
      <c r="E1686" s="2682">
        <v>21.5</v>
      </c>
      <c r="F1686" s="2682" t="s">
        <v>5922</v>
      </c>
      <c r="G1686" s="2682" t="s">
        <v>5922</v>
      </c>
      <c r="H1686" s="2682" t="s">
        <v>5922</v>
      </c>
      <c r="I1686" s="2682" t="s">
        <v>5922</v>
      </c>
      <c r="J1686" s="2682">
        <v>0.59699999999999998</v>
      </c>
      <c r="L1686" s="2682">
        <v>7912</v>
      </c>
    </row>
    <row r="1687" spans="1:12">
      <c r="A1687" s="2683" t="s">
        <v>146</v>
      </c>
      <c r="B1687" s="2683" t="s">
        <v>7672</v>
      </c>
      <c r="C1687" s="2683">
        <v>560</v>
      </c>
      <c r="D1687" s="2683">
        <v>820</v>
      </c>
      <c r="E1687" s="2683">
        <v>140</v>
      </c>
      <c r="F1687" s="2683" t="s">
        <v>5922</v>
      </c>
      <c r="G1687" s="2683" t="s">
        <v>5922</v>
      </c>
      <c r="H1687" s="2683" t="s">
        <v>5922</v>
      </c>
      <c r="I1687" s="2683" t="s">
        <v>5922</v>
      </c>
      <c r="J1687" s="2683">
        <v>0</v>
      </c>
      <c r="K1687" s="2684"/>
      <c r="L1687" s="2683" t="s">
        <v>7673</v>
      </c>
    </row>
    <row r="1688" spans="1:12">
      <c r="A1688" s="2682" t="s">
        <v>146</v>
      </c>
      <c r="B1688" s="2682" t="s">
        <v>7674</v>
      </c>
      <c r="C1688" s="2682">
        <v>41</v>
      </c>
      <c r="D1688" s="2682">
        <v>90</v>
      </c>
      <c r="E1688" s="2682">
        <v>35.5</v>
      </c>
      <c r="F1688" s="2682" t="s">
        <v>5922</v>
      </c>
      <c r="G1688" s="2682" t="s">
        <v>5922</v>
      </c>
      <c r="H1688" s="2682" t="s">
        <v>5922</v>
      </c>
      <c r="I1688" s="2682" t="s">
        <v>5922</v>
      </c>
      <c r="J1688" s="2682">
        <v>0</v>
      </c>
      <c r="L1688" s="2682">
        <v>7908</v>
      </c>
    </row>
    <row r="1689" spans="1:12">
      <c r="A1689" s="2683" t="s">
        <v>146</v>
      </c>
      <c r="B1689" s="2683" t="s">
        <v>7675</v>
      </c>
      <c r="C1689" s="2683">
        <v>34.924999999999997</v>
      </c>
      <c r="D1689" s="2683">
        <v>73.025000000000006</v>
      </c>
      <c r="E1689" s="2683">
        <v>23.812000000000001</v>
      </c>
      <c r="F1689" s="2683" t="s">
        <v>5922</v>
      </c>
      <c r="G1689" s="2683" t="s">
        <v>5922</v>
      </c>
      <c r="H1689" s="2683" t="s">
        <v>5922</v>
      </c>
      <c r="I1689" s="2683" t="s">
        <v>5922</v>
      </c>
      <c r="J1689" s="2683">
        <v>0</v>
      </c>
      <c r="K1689" s="2684"/>
      <c r="L1689" s="2683" t="s">
        <v>5922</v>
      </c>
    </row>
    <row r="1690" spans="1:12">
      <c r="A1690" s="2682" t="s">
        <v>146</v>
      </c>
      <c r="B1690" s="2682" t="s">
        <v>7676</v>
      </c>
      <c r="C1690" s="2682">
        <v>34.924999999999997</v>
      </c>
      <c r="D1690" s="2682">
        <v>73.025000000000006</v>
      </c>
      <c r="E1690" s="2682">
        <v>23.812000000000001</v>
      </c>
      <c r="F1690" s="2682" t="s">
        <v>5922</v>
      </c>
      <c r="G1690" s="2682" t="s">
        <v>5922</v>
      </c>
      <c r="H1690" s="2682" t="s">
        <v>5922</v>
      </c>
      <c r="I1690" s="2682" t="s">
        <v>5922</v>
      </c>
      <c r="J1690" s="2682">
        <v>0</v>
      </c>
      <c r="L1690" s="2682" t="s">
        <v>5922</v>
      </c>
    </row>
    <row r="1691" spans="1:12">
      <c r="A1691" s="2683" t="s">
        <v>146</v>
      </c>
      <c r="B1691" s="2683" t="s">
        <v>7677</v>
      </c>
      <c r="C1691" s="2683">
        <v>52.387999999999998</v>
      </c>
      <c r="D1691" s="2683">
        <v>92.075000000000003</v>
      </c>
      <c r="E1691" s="2683">
        <v>24.608000000000001</v>
      </c>
      <c r="F1691" s="2683" t="s">
        <v>5922</v>
      </c>
      <c r="G1691" s="2683" t="s">
        <v>5922</v>
      </c>
      <c r="H1691" s="2683" t="s">
        <v>5922</v>
      </c>
      <c r="I1691" s="2683" t="s">
        <v>5922</v>
      </c>
      <c r="J1691" s="2683">
        <v>0.66</v>
      </c>
      <c r="K1691" s="2684"/>
      <c r="L1691" s="2683" t="s">
        <v>5922</v>
      </c>
    </row>
    <row r="1692" spans="1:12">
      <c r="A1692" s="2682" t="s">
        <v>146</v>
      </c>
      <c r="B1692" s="2682" t="s">
        <v>7678</v>
      </c>
      <c r="C1692" s="2682">
        <v>33.338000000000001</v>
      </c>
      <c r="D1692" s="2682">
        <v>69.849999999999994</v>
      </c>
      <c r="E1692" s="2682">
        <v>23.812000000000001</v>
      </c>
      <c r="F1692" s="2682" t="s">
        <v>5922</v>
      </c>
      <c r="G1692" s="2682" t="s">
        <v>5922</v>
      </c>
      <c r="H1692" s="2682" t="s">
        <v>5922</v>
      </c>
      <c r="I1692" s="2682" t="s">
        <v>5922</v>
      </c>
      <c r="J1692" s="2682">
        <v>0</v>
      </c>
      <c r="L1692" s="2682" t="s">
        <v>5922</v>
      </c>
    </row>
    <row r="1693" spans="1:12">
      <c r="A1693" s="2683" t="s">
        <v>146</v>
      </c>
      <c r="B1693" s="2683" t="s">
        <v>7679</v>
      </c>
      <c r="C1693" s="2683">
        <v>31.75</v>
      </c>
      <c r="D1693" s="2683">
        <v>69.849999999999994</v>
      </c>
      <c r="E1693" s="2683">
        <v>23.812000000000001</v>
      </c>
      <c r="F1693" s="2683" t="s">
        <v>5922</v>
      </c>
      <c r="G1693" s="2683" t="s">
        <v>5922</v>
      </c>
      <c r="H1693" s="2683" t="s">
        <v>5922</v>
      </c>
      <c r="I1693" s="2683" t="s">
        <v>5922</v>
      </c>
      <c r="J1693" s="2683">
        <v>0</v>
      </c>
      <c r="K1693" s="2684"/>
      <c r="L1693" s="2683" t="s">
        <v>5922</v>
      </c>
    </row>
    <row r="1694" spans="1:12">
      <c r="A1694" s="2682" t="s">
        <v>146</v>
      </c>
      <c r="B1694" s="2682" t="s">
        <v>7680</v>
      </c>
      <c r="C1694" s="2682">
        <v>33.338000000000001</v>
      </c>
      <c r="D1694" s="2682">
        <v>69.849999999999994</v>
      </c>
      <c r="E1694" s="2682">
        <v>23.812000000000001</v>
      </c>
      <c r="F1694" s="2682" t="s">
        <v>5922</v>
      </c>
      <c r="G1694" s="2682" t="s">
        <v>5922</v>
      </c>
      <c r="H1694" s="2682" t="s">
        <v>5922</v>
      </c>
      <c r="I1694" s="2682" t="s">
        <v>5922</v>
      </c>
      <c r="J1694" s="2682">
        <v>0</v>
      </c>
      <c r="L1694" s="2682" t="s">
        <v>5922</v>
      </c>
    </row>
    <row r="1695" spans="1:12">
      <c r="A1695" s="2683" t="s">
        <v>146</v>
      </c>
      <c r="B1695" s="2683" t="s">
        <v>7681</v>
      </c>
      <c r="C1695" s="2683">
        <v>31.75</v>
      </c>
      <c r="D1695" s="2683">
        <v>69.849999999999994</v>
      </c>
      <c r="E1695" s="2683">
        <v>23.812000000000001</v>
      </c>
      <c r="F1695" s="2683" t="s">
        <v>5922</v>
      </c>
      <c r="G1695" s="2683" t="s">
        <v>5922</v>
      </c>
      <c r="H1695" s="2683" t="s">
        <v>5922</v>
      </c>
      <c r="I1695" s="2683" t="s">
        <v>5922</v>
      </c>
      <c r="J1695" s="2683">
        <v>0</v>
      </c>
      <c r="K1695" s="2684"/>
      <c r="L1695" s="2683" t="s">
        <v>5922</v>
      </c>
    </row>
    <row r="1696" spans="1:12">
      <c r="A1696" s="2682" t="s">
        <v>146</v>
      </c>
      <c r="B1696" s="2682" t="s">
        <v>7682</v>
      </c>
      <c r="C1696" s="2682">
        <v>31.75</v>
      </c>
      <c r="D1696" s="2682">
        <v>69.849999999999994</v>
      </c>
      <c r="E1696" s="2682">
        <v>23.812000000000001</v>
      </c>
      <c r="F1696" s="2682" t="s">
        <v>5922</v>
      </c>
      <c r="G1696" s="2682" t="s">
        <v>5922</v>
      </c>
      <c r="H1696" s="2682" t="s">
        <v>5922</v>
      </c>
      <c r="I1696" s="2682" t="s">
        <v>5922</v>
      </c>
      <c r="J1696" s="2682">
        <v>0</v>
      </c>
      <c r="L1696" s="2682" t="s">
        <v>5922</v>
      </c>
    </row>
    <row r="1697" spans="1:12">
      <c r="A1697" s="2683" t="s">
        <v>146</v>
      </c>
      <c r="B1697" s="2683" t="s">
        <v>7683</v>
      </c>
      <c r="C1697" s="2683">
        <v>31.75</v>
      </c>
      <c r="D1697" s="2683">
        <v>69.849999999999994</v>
      </c>
      <c r="E1697" s="2683">
        <v>23.812000000000001</v>
      </c>
      <c r="F1697" s="2683" t="s">
        <v>5922</v>
      </c>
      <c r="G1697" s="2683" t="s">
        <v>5922</v>
      </c>
      <c r="H1697" s="2683" t="s">
        <v>5922</v>
      </c>
      <c r="I1697" s="2683" t="s">
        <v>5922</v>
      </c>
      <c r="J1697" s="2683">
        <v>0.45400000000000001</v>
      </c>
      <c r="K1697" s="2684"/>
      <c r="L1697" s="2683" t="s">
        <v>5922</v>
      </c>
    </row>
    <row r="1698" spans="1:12">
      <c r="A1698" s="2682" t="s">
        <v>146</v>
      </c>
      <c r="B1698" s="2682" t="s">
        <v>7684</v>
      </c>
      <c r="C1698" s="2682">
        <v>31.75</v>
      </c>
      <c r="D1698" s="2682">
        <v>66.421000000000006</v>
      </c>
      <c r="E1698" s="2682">
        <v>25.4</v>
      </c>
      <c r="F1698" s="2682" t="s">
        <v>5922</v>
      </c>
      <c r="G1698" s="2682" t="s">
        <v>5922</v>
      </c>
      <c r="H1698" s="2682" t="s">
        <v>5922</v>
      </c>
      <c r="I1698" s="2682" t="s">
        <v>5922</v>
      </c>
      <c r="J1698" s="2682">
        <v>0</v>
      </c>
      <c r="L1698" s="2682" t="s">
        <v>5922</v>
      </c>
    </row>
    <row r="1699" spans="1:12">
      <c r="A1699" s="2683" t="s">
        <v>146</v>
      </c>
      <c r="B1699" s="2683" t="s">
        <v>7685</v>
      </c>
      <c r="C1699" s="2683">
        <v>28.574999999999999</v>
      </c>
      <c r="D1699" s="2683">
        <v>69.849999999999994</v>
      </c>
      <c r="E1699" s="2683">
        <v>23.812000000000001</v>
      </c>
      <c r="F1699" s="2683" t="s">
        <v>5922</v>
      </c>
      <c r="G1699" s="2683" t="s">
        <v>5922</v>
      </c>
      <c r="H1699" s="2683" t="s">
        <v>5922</v>
      </c>
      <c r="I1699" s="2683" t="s">
        <v>5922</v>
      </c>
      <c r="J1699" s="2683">
        <v>0</v>
      </c>
      <c r="K1699" s="2684"/>
      <c r="L1699" s="2683" t="s">
        <v>5922</v>
      </c>
    </row>
    <row r="1700" spans="1:12">
      <c r="A1700" s="2682" t="s">
        <v>146</v>
      </c>
      <c r="B1700" s="2682" t="s">
        <v>7686</v>
      </c>
      <c r="C1700" s="2682">
        <v>45.618000000000002</v>
      </c>
      <c r="D1700" s="2682">
        <v>85</v>
      </c>
      <c r="E1700" s="2682">
        <v>23.812000000000001</v>
      </c>
      <c r="F1700" s="2682" t="s">
        <v>5922</v>
      </c>
      <c r="G1700" s="2682" t="s">
        <v>5922</v>
      </c>
      <c r="H1700" s="2682" t="s">
        <v>5922</v>
      </c>
      <c r="I1700" s="2682" t="s">
        <v>5922</v>
      </c>
      <c r="J1700" s="2682">
        <v>0</v>
      </c>
      <c r="L1700" s="2682" t="s">
        <v>5922</v>
      </c>
    </row>
    <row r="1701" spans="1:12">
      <c r="A1701" s="2683" t="s">
        <v>146</v>
      </c>
      <c r="B1701" s="2683" t="s">
        <v>7687</v>
      </c>
      <c r="C1701" s="2683">
        <v>45.618000000000002</v>
      </c>
      <c r="D1701" s="2683">
        <v>82.930999999999997</v>
      </c>
      <c r="E1701" s="2683">
        <v>26.983000000000001</v>
      </c>
      <c r="F1701" s="2683" t="s">
        <v>5922</v>
      </c>
      <c r="G1701" s="2683" t="s">
        <v>5922</v>
      </c>
      <c r="H1701" s="2683" t="s">
        <v>5922</v>
      </c>
      <c r="I1701" s="2683" t="s">
        <v>5922</v>
      </c>
      <c r="J1701" s="2683">
        <v>0.58199999999999996</v>
      </c>
      <c r="K1701" s="2684"/>
      <c r="L1701" s="2683" t="s">
        <v>5922</v>
      </c>
    </row>
    <row r="1702" spans="1:12">
      <c r="A1702" s="2682" t="s">
        <v>146</v>
      </c>
      <c r="B1702" s="2682" t="s">
        <v>7688</v>
      </c>
      <c r="C1702" s="2682">
        <v>45.618000000000002</v>
      </c>
      <c r="D1702" s="2682">
        <v>83.058000000000007</v>
      </c>
      <c r="E1702" s="2682">
        <v>23.876000000000001</v>
      </c>
      <c r="F1702" s="2682" t="s">
        <v>5922</v>
      </c>
      <c r="G1702" s="2682" t="s">
        <v>5922</v>
      </c>
      <c r="H1702" s="2682" t="s">
        <v>5922</v>
      </c>
      <c r="I1702" s="2682" t="s">
        <v>5922</v>
      </c>
      <c r="J1702" s="2682">
        <v>0.55600000000000005</v>
      </c>
      <c r="L1702" s="2682" t="s">
        <v>5922</v>
      </c>
    </row>
    <row r="1703" spans="1:12">
      <c r="A1703" s="2683" t="s">
        <v>146</v>
      </c>
      <c r="B1703" s="2683" t="s">
        <v>7689</v>
      </c>
      <c r="C1703" s="2683">
        <v>45.618000000000002</v>
      </c>
      <c r="D1703" s="2683">
        <v>83.058000000000007</v>
      </c>
      <c r="E1703" s="2683">
        <v>23.812000000000001</v>
      </c>
      <c r="F1703" s="2683" t="s">
        <v>5922</v>
      </c>
      <c r="G1703" s="2683" t="s">
        <v>5922</v>
      </c>
      <c r="H1703" s="2683" t="s">
        <v>5922</v>
      </c>
      <c r="I1703" s="2683" t="s">
        <v>5922</v>
      </c>
      <c r="J1703" s="2683">
        <v>0</v>
      </c>
      <c r="K1703" s="2684"/>
      <c r="L1703" s="2683" t="s">
        <v>5922</v>
      </c>
    </row>
    <row r="1704" spans="1:12">
      <c r="A1704" s="2682" t="s">
        <v>146</v>
      </c>
      <c r="B1704" s="2682" t="s">
        <v>7690</v>
      </c>
      <c r="C1704" s="2682">
        <v>45.618000000000002</v>
      </c>
      <c r="D1704" s="2682">
        <v>83.058000000000007</v>
      </c>
      <c r="E1704" s="2682">
        <v>23.876000000000001</v>
      </c>
      <c r="F1704" s="2682" t="s">
        <v>5922</v>
      </c>
      <c r="G1704" s="2682" t="s">
        <v>5922</v>
      </c>
      <c r="H1704" s="2682" t="s">
        <v>5922</v>
      </c>
      <c r="I1704" s="2682" t="s">
        <v>5922</v>
      </c>
      <c r="J1704" s="2682">
        <v>0.55600000000000005</v>
      </c>
      <c r="L1704" s="2682" t="s">
        <v>5922</v>
      </c>
    </row>
    <row r="1705" spans="1:12">
      <c r="A1705" s="2683" t="s">
        <v>146</v>
      </c>
      <c r="B1705" s="2683" t="s">
        <v>7691</v>
      </c>
      <c r="C1705" s="2683">
        <v>45.618000000000002</v>
      </c>
      <c r="D1705" s="2683">
        <v>82.55</v>
      </c>
      <c r="E1705" s="2683">
        <v>23.812000000000001</v>
      </c>
      <c r="F1705" s="2683" t="s">
        <v>5922</v>
      </c>
      <c r="G1705" s="2683" t="s">
        <v>5922</v>
      </c>
      <c r="H1705" s="2683" t="s">
        <v>5922</v>
      </c>
      <c r="I1705" s="2683" t="s">
        <v>5922</v>
      </c>
      <c r="J1705" s="2683">
        <v>0</v>
      </c>
      <c r="K1705" s="2684"/>
      <c r="L1705" s="2683" t="s">
        <v>5922</v>
      </c>
    </row>
    <row r="1706" spans="1:12">
      <c r="A1706" s="2682" t="s">
        <v>146</v>
      </c>
      <c r="B1706" s="2682" t="s">
        <v>7692</v>
      </c>
      <c r="C1706" s="2682">
        <v>30.161999999999999</v>
      </c>
      <c r="D1706" s="2682">
        <v>69.849999999999994</v>
      </c>
      <c r="E1706" s="2682">
        <v>23.812000000000001</v>
      </c>
      <c r="F1706" s="2682" t="s">
        <v>5922</v>
      </c>
      <c r="G1706" s="2682" t="s">
        <v>5922</v>
      </c>
      <c r="H1706" s="2682" t="s">
        <v>5922</v>
      </c>
      <c r="I1706" s="2682" t="s">
        <v>5922</v>
      </c>
      <c r="J1706" s="2682">
        <v>0</v>
      </c>
      <c r="L1706" s="2682" t="s">
        <v>5922</v>
      </c>
    </row>
    <row r="1707" spans="1:12">
      <c r="A1707" s="2683" t="s">
        <v>146</v>
      </c>
      <c r="B1707" s="2683" t="s">
        <v>7693</v>
      </c>
      <c r="C1707" s="2683">
        <v>44.982999999999997</v>
      </c>
      <c r="D1707" s="2683">
        <v>82.930999999999997</v>
      </c>
      <c r="E1707" s="2683">
        <v>23.812000000000001</v>
      </c>
      <c r="F1707" s="2683" t="s">
        <v>5922</v>
      </c>
      <c r="G1707" s="2683" t="s">
        <v>5922</v>
      </c>
      <c r="H1707" s="2683" t="s">
        <v>5922</v>
      </c>
      <c r="I1707" s="2683" t="s">
        <v>5922</v>
      </c>
      <c r="J1707" s="2683">
        <v>0</v>
      </c>
      <c r="K1707" s="2684"/>
      <c r="L1707" s="2683" t="s">
        <v>5922</v>
      </c>
    </row>
    <row r="1708" spans="1:12">
      <c r="A1708" s="2682" t="s">
        <v>146</v>
      </c>
      <c r="B1708" s="2682" t="s">
        <v>7694</v>
      </c>
      <c r="C1708" s="2682">
        <v>44.45</v>
      </c>
      <c r="D1708" s="2682">
        <v>82.930999999999997</v>
      </c>
      <c r="E1708" s="2682">
        <v>23.812000000000001</v>
      </c>
      <c r="F1708" s="2682" t="s">
        <v>5922</v>
      </c>
      <c r="G1708" s="2682" t="s">
        <v>5922</v>
      </c>
      <c r="H1708" s="2682" t="s">
        <v>5922</v>
      </c>
      <c r="I1708" s="2682" t="s">
        <v>5922</v>
      </c>
      <c r="J1708" s="2682">
        <v>0</v>
      </c>
      <c r="L1708" s="2682" t="s">
        <v>5922</v>
      </c>
    </row>
    <row r="1709" spans="1:12">
      <c r="A1709" s="2683" t="s">
        <v>146</v>
      </c>
      <c r="B1709" s="2683" t="s">
        <v>7695</v>
      </c>
      <c r="C1709" s="2683">
        <v>44.45</v>
      </c>
      <c r="D1709" s="2683">
        <v>82.930999999999997</v>
      </c>
      <c r="E1709" s="2683">
        <v>23.812000000000001</v>
      </c>
      <c r="F1709" s="2683" t="s">
        <v>5922</v>
      </c>
      <c r="G1709" s="2683" t="s">
        <v>5922</v>
      </c>
      <c r="H1709" s="2683" t="s">
        <v>5922</v>
      </c>
      <c r="I1709" s="2683" t="s">
        <v>5922</v>
      </c>
      <c r="J1709" s="2683">
        <v>0</v>
      </c>
      <c r="K1709" s="2684"/>
      <c r="L1709" s="2683" t="s">
        <v>5922</v>
      </c>
    </row>
    <row r="1710" spans="1:12">
      <c r="A1710" s="2682" t="s">
        <v>146</v>
      </c>
      <c r="B1710" s="2682" t="s">
        <v>7696</v>
      </c>
      <c r="C1710" s="2682">
        <v>44.45</v>
      </c>
      <c r="D1710" s="2682">
        <v>82.930999999999997</v>
      </c>
      <c r="E1710" s="2682">
        <v>26.088000000000001</v>
      </c>
      <c r="F1710" s="2682" t="s">
        <v>5922</v>
      </c>
      <c r="G1710" s="2682" t="s">
        <v>5922</v>
      </c>
      <c r="H1710" s="2682" t="s">
        <v>5922</v>
      </c>
      <c r="I1710" s="2682" t="s">
        <v>5922</v>
      </c>
      <c r="J1710" s="2682">
        <v>0.60399999999999998</v>
      </c>
      <c r="L1710" s="2682" t="s">
        <v>5922</v>
      </c>
    </row>
    <row r="1711" spans="1:12">
      <c r="A1711" s="2683" t="s">
        <v>146</v>
      </c>
      <c r="B1711" s="2683" t="s">
        <v>7697</v>
      </c>
      <c r="C1711" s="2683">
        <v>44.45</v>
      </c>
      <c r="D1711" s="2683">
        <v>83.058000000000007</v>
      </c>
      <c r="E1711" s="2683">
        <v>23.812000000000001</v>
      </c>
      <c r="F1711" s="2683" t="s">
        <v>5922</v>
      </c>
      <c r="G1711" s="2683" t="s">
        <v>5922</v>
      </c>
      <c r="H1711" s="2683" t="s">
        <v>5922</v>
      </c>
      <c r="I1711" s="2683" t="s">
        <v>5922</v>
      </c>
      <c r="J1711" s="2683">
        <v>0</v>
      </c>
      <c r="K1711" s="2684"/>
      <c r="L1711" s="2683" t="s">
        <v>5922</v>
      </c>
    </row>
    <row r="1712" spans="1:12">
      <c r="A1712" s="2682" t="s">
        <v>146</v>
      </c>
      <c r="B1712" s="2682" t="s">
        <v>7698</v>
      </c>
      <c r="C1712" s="2682">
        <v>44.45</v>
      </c>
      <c r="D1712" s="2682">
        <v>82.930999999999997</v>
      </c>
      <c r="E1712" s="2682">
        <v>23.81</v>
      </c>
      <c r="F1712" s="2682" t="s">
        <v>5922</v>
      </c>
      <c r="G1712" s="2682" t="s">
        <v>5922</v>
      </c>
      <c r="H1712" s="2682" t="s">
        <v>5922</v>
      </c>
      <c r="I1712" s="2682" t="s">
        <v>5922</v>
      </c>
      <c r="J1712" s="2682">
        <v>0.57499999999999996</v>
      </c>
      <c r="L1712" s="2682" t="s">
        <v>5922</v>
      </c>
    </row>
    <row r="1713" spans="1:12">
      <c r="A1713" s="2683" t="s">
        <v>146</v>
      </c>
      <c r="B1713" s="2683" t="s">
        <v>7699</v>
      </c>
      <c r="C1713" s="2683">
        <v>30.161999999999999</v>
      </c>
      <c r="D1713" s="2683">
        <v>69.849999999999994</v>
      </c>
      <c r="E1713" s="2683">
        <v>23.812000000000001</v>
      </c>
      <c r="F1713" s="2683" t="s">
        <v>5922</v>
      </c>
      <c r="G1713" s="2683" t="s">
        <v>5922</v>
      </c>
      <c r="H1713" s="2683" t="s">
        <v>5922</v>
      </c>
      <c r="I1713" s="2683" t="s">
        <v>5922</v>
      </c>
      <c r="J1713" s="2683">
        <v>0</v>
      </c>
      <c r="K1713" s="2684"/>
      <c r="L1713" s="2683" t="s">
        <v>5922</v>
      </c>
    </row>
    <row r="1714" spans="1:12">
      <c r="A1714" s="2682" t="s">
        <v>146</v>
      </c>
      <c r="B1714" s="2682" t="s">
        <v>7700</v>
      </c>
      <c r="C1714" s="2682">
        <v>42.862000000000002</v>
      </c>
      <c r="D1714" s="2682">
        <v>82.930999999999997</v>
      </c>
      <c r="E1714" s="2682">
        <v>23.812000000000001</v>
      </c>
      <c r="F1714" s="2682" t="s">
        <v>5922</v>
      </c>
      <c r="G1714" s="2682" t="s">
        <v>5922</v>
      </c>
      <c r="H1714" s="2682" t="s">
        <v>5922</v>
      </c>
      <c r="I1714" s="2682" t="s">
        <v>5922</v>
      </c>
      <c r="J1714" s="2682">
        <v>0</v>
      </c>
      <c r="L1714" s="2682" t="s">
        <v>5922</v>
      </c>
    </row>
    <row r="1715" spans="1:12">
      <c r="A1715" s="2683" t="s">
        <v>146</v>
      </c>
      <c r="B1715" s="2683" t="s">
        <v>7701</v>
      </c>
      <c r="C1715" s="2683">
        <v>47.875</v>
      </c>
      <c r="D1715" s="2683">
        <v>82.930999999999997</v>
      </c>
      <c r="E1715" s="2683">
        <v>26.988</v>
      </c>
      <c r="F1715" s="2683" t="s">
        <v>5922</v>
      </c>
      <c r="G1715" s="2683" t="s">
        <v>5922</v>
      </c>
      <c r="H1715" s="2683" t="s">
        <v>5922</v>
      </c>
      <c r="I1715" s="2683" t="s">
        <v>5922</v>
      </c>
      <c r="J1715" s="2683">
        <v>0.629</v>
      </c>
      <c r="K1715" s="2684"/>
      <c r="L1715" s="2683" t="s">
        <v>5922</v>
      </c>
    </row>
    <row r="1716" spans="1:12">
      <c r="A1716" s="2682" t="s">
        <v>146</v>
      </c>
      <c r="B1716" s="2682" t="s">
        <v>7702</v>
      </c>
      <c r="C1716" s="2682">
        <v>47.875</v>
      </c>
      <c r="D1716" s="2682">
        <v>83.058000000000007</v>
      </c>
      <c r="E1716" s="2682">
        <v>23.876000000000001</v>
      </c>
      <c r="F1716" s="2682" t="s">
        <v>5922</v>
      </c>
      <c r="G1716" s="2682" t="s">
        <v>5922</v>
      </c>
      <c r="H1716" s="2682" t="s">
        <v>5922</v>
      </c>
      <c r="I1716" s="2682" t="s">
        <v>5922</v>
      </c>
      <c r="J1716" s="2682">
        <v>0.56399999999999995</v>
      </c>
      <c r="L1716" s="2682" t="s">
        <v>5922</v>
      </c>
    </row>
    <row r="1717" spans="1:12">
      <c r="A1717" s="2683" t="s">
        <v>146</v>
      </c>
      <c r="B1717" s="2683" t="s">
        <v>7703</v>
      </c>
      <c r="C1717" s="2683">
        <v>42.875</v>
      </c>
      <c r="D1717" s="2683">
        <v>83.058000000000007</v>
      </c>
      <c r="E1717" s="2683">
        <v>23.812000000000001</v>
      </c>
      <c r="F1717" s="2683" t="s">
        <v>5922</v>
      </c>
      <c r="G1717" s="2683" t="s">
        <v>5922</v>
      </c>
      <c r="H1717" s="2683" t="s">
        <v>5922</v>
      </c>
      <c r="I1717" s="2683" t="s">
        <v>5922</v>
      </c>
      <c r="J1717" s="2683">
        <v>0</v>
      </c>
      <c r="K1717" s="2684"/>
      <c r="L1717" s="2683" t="s">
        <v>5922</v>
      </c>
    </row>
    <row r="1718" spans="1:12">
      <c r="A1718" s="2682" t="s">
        <v>146</v>
      </c>
      <c r="B1718" s="2682" t="s">
        <v>7704</v>
      </c>
      <c r="C1718" s="2682">
        <v>42.8</v>
      </c>
      <c r="D1718" s="2682">
        <v>82.930999999999997</v>
      </c>
      <c r="E1718" s="2682">
        <v>23.81</v>
      </c>
      <c r="F1718" s="2682" t="s">
        <v>5922</v>
      </c>
      <c r="G1718" s="2682" t="s">
        <v>5922</v>
      </c>
      <c r="H1718" s="2682" t="s">
        <v>5922</v>
      </c>
      <c r="I1718" s="2682" t="s">
        <v>5922</v>
      </c>
      <c r="J1718" s="2682">
        <v>0.56200000000000006</v>
      </c>
      <c r="L1718" s="2682" t="s">
        <v>5922</v>
      </c>
    </row>
    <row r="1719" spans="1:12">
      <c r="A1719" s="2683" t="s">
        <v>146</v>
      </c>
      <c r="B1719" s="2683" t="s">
        <v>7705</v>
      </c>
      <c r="C1719" s="2683">
        <v>41.274999999999999</v>
      </c>
      <c r="D1719" s="2683">
        <v>76.2</v>
      </c>
      <c r="E1719" s="2683">
        <v>25.4</v>
      </c>
      <c r="F1719" s="2683" t="s">
        <v>5922</v>
      </c>
      <c r="G1719" s="2683" t="s">
        <v>5922</v>
      </c>
      <c r="H1719" s="2683" t="s">
        <v>5922</v>
      </c>
      <c r="I1719" s="2683" t="s">
        <v>5922</v>
      </c>
      <c r="J1719" s="2683">
        <v>0</v>
      </c>
      <c r="K1719" s="2684"/>
      <c r="L1719" s="2683" t="s">
        <v>5922</v>
      </c>
    </row>
    <row r="1720" spans="1:12">
      <c r="A1720" s="2682" t="s">
        <v>146</v>
      </c>
      <c r="B1720" s="2682" t="s">
        <v>7706</v>
      </c>
      <c r="C1720" s="2682">
        <v>41.274999999999999</v>
      </c>
      <c r="D1720" s="2682">
        <v>76.2</v>
      </c>
      <c r="E1720" s="2682">
        <v>22.225000000000001</v>
      </c>
      <c r="F1720" s="2682" t="s">
        <v>5922</v>
      </c>
      <c r="G1720" s="2682" t="s">
        <v>5922</v>
      </c>
      <c r="H1720" s="2682" t="s">
        <v>5922</v>
      </c>
      <c r="I1720" s="2682" t="s">
        <v>5922</v>
      </c>
      <c r="J1720" s="2682">
        <v>0</v>
      </c>
      <c r="L1720" s="2682" t="s">
        <v>5922</v>
      </c>
    </row>
    <row r="1721" spans="1:12">
      <c r="A1721" s="2683" t="s">
        <v>146</v>
      </c>
      <c r="B1721" s="2683" t="s">
        <v>7707</v>
      </c>
      <c r="C1721" s="2683">
        <v>25.4</v>
      </c>
      <c r="D1721" s="2683">
        <v>65.087999999999994</v>
      </c>
      <c r="E1721" s="2683">
        <v>22.225000000000001</v>
      </c>
      <c r="F1721" s="2683" t="s">
        <v>5922</v>
      </c>
      <c r="G1721" s="2683" t="s">
        <v>5922</v>
      </c>
      <c r="H1721" s="2683" t="s">
        <v>5922</v>
      </c>
      <c r="I1721" s="2683" t="s">
        <v>5922</v>
      </c>
      <c r="J1721" s="2683">
        <v>0.35599999999999998</v>
      </c>
      <c r="K1721" s="2684"/>
      <c r="L1721" s="2683" t="s">
        <v>5922</v>
      </c>
    </row>
    <row r="1722" spans="1:12">
      <c r="A1722" s="2682" t="s">
        <v>146</v>
      </c>
      <c r="B1722" s="2682" t="s">
        <v>7708</v>
      </c>
      <c r="C1722" s="2682">
        <v>42.862000000000002</v>
      </c>
      <c r="D1722" s="2682">
        <v>82.55</v>
      </c>
      <c r="E1722" s="2682">
        <v>26.957999999999998</v>
      </c>
      <c r="F1722" s="2682" t="s">
        <v>5922</v>
      </c>
      <c r="G1722" s="2682" t="s">
        <v>5922</v>
      </c>
      <c r="H1722" s="2682" t="s">
        <v>5922</v>
      </c>
      <c r="I1722" s="2682" t="s">
        <v>5922</v>
      </c>
      <c r="J1722" s="2682">
        <v>0.61699999999999999</v>
      </c>
      <c r="L1722" s="2682" t="s">
        <v>5922</v>
      </c>
    </row>
    <row r="1723" spans="1:12">
      <c r="A1723" s="2683" t="s">
        <v>146</v>
      </c>
      <c r="B1723" s="2683" t="s">
        <v>7709</v>
      </c>
      <c r="C1723" s="2683">
        <v>44.45</v>
      </c>
      <c r="D1723" s="2683">
        <v>82.930999999999997</v>
      </c>
      <c r="E1723" s="2683">
        <v>23.812999999999999</v>
      </c>
      <c r="F1723" s="2683" t="s">
        <v>5922</v>
      </c>
      <c r="G1723" s="2683" t="s">
        <v>5922</v>
      </c>
      <c r="H1723" s="2683" t="s">
        <v>5922</v>
      </c>
      <c r="I1723" s="2683" t="s">
        <v>5922</v>
      </c>
      <c r="J1723" s="2683">
        <v>0</v>
      </c>
      <c r="K1723" s="2684"/>
      <c r="L1723" s="2683" t="s">
        <v>5922</v>
      </c>
    </row>
    <row r="1724" spans="1:12">
      <c r="A1724" s="2682" t="s">
        <v>146</v>
      </c>
      <c r="B1724" s="2682" t="s">
        <v>7710</v>
      </c>
      <c r="C1724" s="2682">
        <v>34.924999999999997</v>
      </c>
      <c r="D1724" s="2682">
        <v>69.012</v>
      </c>
      <c r="E1724" s="2682">
        <v>19.844999999999999</v>
      </c>
      <c r="F1724" s="2682" t="s">
        <v>5922</v>
      </c>
      <c r="G1724" s="2682" t="s">
        <v>5922</v>
      </c>
      <c r="H1724" s="2682" t="s">
        <v>5922</v>
      </c>
      <c r="I1724" s="2682" t="s">
        <v>5922</v>
      </c>
      <c r="J1724" s="2682">
        <v>0</v>
      </c>
      <c r="L1724" s="2682" t="s">
        <v>5922</v>
      </c>
    </row>
    <row r="1725" spans="1:12">
      <c r="A1725" s="2683" t="s">
        <v>146</v>
      </c>
      <c r="B1725" s="2683" t="s">
        <v>7711</v>
      </c>
      <c r="C1725" s="2683">
        <v>33.338000000000001</v>
      </c>
      <c r="D1725" s="2683">
        <v>69.012</v>
      </c>
      <c r="E1725" s="2683">
        <v>19.844999999999999</v>
      </c>
      <c r="F1725" s="2683" t="s">
        <v>5922</v>
      </c>
      <c r="G1725" s="2683" t="s">
        <v>5922</v>
      </c>
      <c r="H1725" s="2683" t="s">
        <v>5922</v>
      </c>
      <c r="I1725" s="2683" t="s">
        <v>5922</v>
      </c>
      <c r="J1725" s="2683">
        <v>0</v>
      </c>
      <c r="K1725" s="2684"/>
      <c r="L1725" s="2683" t="s">
        <v>5922</v>
      </c>
    </row>
    <row r="1726" spans="1:12">
      <c r="A1726" s="2682" t="s">
        <v>146</v>
      </c>
      <c r="B1726" s="2682" t="s">
        <v>7712</v>
      </c>
      <c r="C1726" s="2682">
        <v>33.338000000000001</v>
      </c>
      <c r="D1726" s="2682">
        <v>69.012</v>
      </c>
      <c r="E1726" s="2682">
        <v>19.844999999999999</v>
      </c>
      <c r="F1726" s="2682" t="s">
        <v>5922</v>
      </c>
      <c r="G1726" s="2682" t="s">
        <v>5922</v>
      </c>
      <c r="H1726" s="2682" t="s">
        <v>5922</v>
      </c>
      <c r="I1726" s="2682" t="s">
        <v>5922</v>
      </c>
      <c r="J1726" s="2682">
        <v>0</v>
      </c>
      <c r="L1726" s="2682" t="s">
        <v>5922</v>
      </c>
    </row>
    <row r="1727" spans="1:12">
      <c r="A1727" s="2683" t="s">
        <v>146</v>
      </c>
      <c r="B1727" s="2683" t="s">
        <v>7713</v>
      </c>
      <c r="C1727" s="2683">
        <v>31.75</v>
      </c>
      <c r="D1727" s="2683">
        <v>69.012</v>
      </c>
      <c r="E1727" s="2683">
        <v>19.844999999999999</v>
      </c>
      <c r="F1727" s="2683" t="s">
        <v>5922</v>
      </c>
      <c r="G1727" s="2683" t="s">
        <v>5922</v>
      </c>
      <c r="H1727" s="2683" t="s">
        <v>5922</v>
      </c>
      <c r="I1727" s="2683" t="s">
        <v>5922</v>
      </c>
      <c r="J1727" s="2683">
        <v>0</v>
      </c>
      <c r="K1727" s="2684"/>
      <c r="L1727" s="2683" t="s">
        <v>5922</v>
      </c>
    </row>
    <row r="1728" spans="1:12">
      <c r="A1728" s="2682" t="s">
        <v>146</v>
      </c>
      <c r="B1728" s="2682" t="s">
        <v>7714</v>
      </c>
      <c r="C1728" s="2682">
        <v>31.75</v>
      </c>
      <c r="D1728" s="2682">
        <v>69.012</v>
      </c>
      <c r="E1728" s="2682">
        <v>19.844999999999999</v>
      </c>
      <c r="F1728" s="2682" t="s">
        <v>5922</v>
      </c>
      <c r="G1728" s="2682" t="s">
        <v>5922</v>
      </c>
      <c r="H1728" s="2682" t="s">
        <v>5922</v>
      </c>
      <c r="I1728" s="2682" t="s">
        <v>5922</v>
      </c>
      <c r="J1728" s="2682">
        <v>0.36499999999999999</v>
      </c>
      <c r="L1728" s="2682" t="s">
        <v>5922</v>
      </c>
    </row>
    <row r="1729" spans="1:12">
      <c r="A1729" s="2683" t="s">
        <v>146</v>
      </c>
      <c r="B1729" s="2683" t="s">
        <v>7715</v>
      </c>
      <c r="C1729" s="2683">
        <v>31.75</v>
      </c>
      <c r="D1729" s="2683">
        <v>69.611999999999995</v>
      </c>
      <c r="E1729" s="2683">
        <v>19.545000000000002</v>
      </c>
      <c r="F1729" s="2683" t="s">
        <v>5922</v>
      </c>
      <c r="G1729" s="2683" t="s">
        <v>5922</v>
      </c>
      <c r="H1729" s="2683" t="s">
        <v>5922</v>
      </c>
      <c r="I1729" s="2683" t="s">
        <v>5922</v>
      </c>
      <c r="J1729" s="2683">
        <v>0.75900000000000001</v>
      </c>
      <c r="K1729" s="2684"/>
      <c r="L1729" s="2683" t="s">
        <v>5922</v>
      </c>
    </row>
    <row r="1730" spans="1:12">
      <c r="A1730" s="2682" t="s">
        <v>146</v>
      </c>
      <c r="B1730" s="2682" t="s">
        <v>7716</v>
      </c>
      <c r="C1730" s="2682">
        <v>31.75</v>
      </c>
      <c r="D1730" s="2682">
        <v>69.012</v>
      </c>
      <c r="E1730" s="2682">
        <v>19.844999999999999</v>
      </c>
      <c r="F1730" s="2682" t="s">
        <v>5922</v>
      </c>
      <c r="G1730" s="2682" t="s">
        <v>5922</v>
      </c>
      <c r="H1730" s="2682" t="s">
        <v>5922</v>
      </c>
      <c r="I1730" s="2682" t="s">
        <v>5922</v>
      </c>
      <c r="J1730" s="2682">
        <v>0.34100000000000003</v>
      </c>
      <c r="L1730" s="2682" t="s">
        <v>5922</v>
      </c>
    </row>
    <row r="1731" spans="1:12">
      <c r="A1731" s="2683" t="s">
        <v>146</v>
      </c>
      <c r="B1731" s="2683" t="s">
        <v>7717</v>
      </c>
      <c r="C1731" s="2683">
        <v>30.622</v>
      </c>
      <c r="D1731" s="2683">
        <v>69.012</v>
      </c>
      <c r="E1731" s="2683">
        <v>19.844999999999999</v>
      </c>
      <c r="F1731" s="2683" t="s">
        <v>5922</v>
      </c>
      <c r="G1731" s="2683" t="s">
        <v>5922</v>
      </c>
      <c r="H1731" s="2683" t="s">
        <v>5922</v>
      </c>
      <c r="I1731" s="2683" t="s">
        <v>5922</v>
      </c>
      <c r="J1731" s="2683">
        <v>0</v>
      </c>
      <c r="K1731" s="2684"/>
      <c r="L1731" s="2683" t="s">
        <v>5922</v>
      </c>
    </row>
    <row r="1732" spans="1:12">
      <c r="A1732" s="2682" t="s">
        <v>146</v>
      </c>
      <c r="B1732" s="2682" t="s">
        <v>7718</v>
      </c>
      <c r="C1732" s="2682">
        <v>30</v>
      </c>
      <c r="D1732" s="2682">
        <v>69.012</v>
      </c>
      <c r="E1732" s="2682">
        <v>19.844999999999999</v>
      </c>
      <c r="F1732" s="2682" t="s">
        <v>5922</v>
      </c>
      <c r="G1732" s="2682" t="s">
        <v>5922</v>
      </c>
      <c r="H1732" s="2682" t="s">
        <v>5922</v>
      </c>
      <c r="I1732" s="2682" t="s">
        <v>5922</v>
      </c>
      <c r="J1732" s="2682">
        <v>0</v>
      </c>
      <c r="L1732" s="2682" t="s">
        <v>5922</v>
      </c>
    </row>
    <row r="1733" spans="1:12">
      <c r="A1733" s="2683" t="s">
        <v>146</v>
      </c>
      <c r="B1733" s="2683" t="s">
        <v>7719</v>
      </c>
      <c r="C1733" s="2683">
        <v>30.225999999999999</v>
      </c>
      <c r="D1733" s="2683">
        <v>72.084999999999994</v>
      </c>
      <c r="E1733" s="2683">
        <v>22.385000000000002</v>
      </c>
      <c r="F1733" s="2683" t="s">
        <v>5922</v>
      </c>
      <c r="G1733" s="2683" t="s">
        <v>5922</v>
      </c>
      <c r="H1733" s="2683" t="s">
        <v>5922</v>
      </c>
      <c r="I1733" s="2683" t="s">
        <v>5922</v>
      </c>
      <c r="J1733" s="2683">
        <v>0</v>
      </c>
      <c r="K1733" s="2684"/>
      <c r="L1733" s="2683" t="s">
        <v>5922</v>
      </c>
    </row>
    <row r="1734" spans="1:12">
      <c r="A1734" s="2682" t="s">
        <v>146</v>
      </c>
      <c r="B1734" s="2682" t="s">
        <v>7720</v>
      </c>
      <c r="C1734" s="2682">
        <v>30.622</v>
      </c>
      <c r="D1734" s="2682">
        <v>69.012</v>
      </c>
      <c r="E1734" s="2682">
        <v>19.844999999999999</v>
      </c>
      <c r="F1734" s="2682" t="s">
        <v>5922</v>
      </c>
      <c r="G1734" s="2682" t="s">
        <v>5922</v>
      </c>
      <c r="H1734" s="2682" t="s">
        <v>5922</v>
      </c>
      <c r="I1734" s="2682" t="s">
        <v>5922</v>
      </c>
      <c r="J1734" s="2682">
        <v>0</v>
      </c>
      <c r="L1734" s="2682" t="s">
        <v>5922</v>
      </c>
    </row>
    <row r="1735" spans="1:12">
      <c r="A1735" s="2683" t="s">
        <v>146</v>
      </c>
      <c r="B1735" s="2683" t="s">
        <v>7721</v>
      </c>
      <c r="C1735" s="2683">
        <v>30.225999999999999</v>
      </c>
      <c r="D1735" s="2683">
        <v>69.012</v>
      </c>
      <c r="E1735" s="2683">
        <v>19.844999999999999</v>
      </c>
      <c r="F1735" s="2683" t="s">
        <v>5922</v>
      </c>
      <c r="G1735" s="2683" t="s">
        <v>5922</v>
      </c>
      <c r="H1735" s="2683" t="s">
        <v>5922</v>
      </c>
      <c r="I1735" s="2683" t="s">
        <v>5922</v>
      </c>
      <c r="J1735" s="2683">
        <v>0</v>
      </c>
      <c r="K1735" s="2684"/>
      <c r="L1735" s="2683" t="s">
        <v>5922</v>
      </c>
    </row>
    <row r="1736" spans="1:12">
      <c r="A1736" s="2682" t="s">
        <v>146</v>
      </c>
      <c r="B1736" s="2682" t="s">
        <v>7722</v>
      </c>
      <c r="C1736" s="2682">
        <v>36.512</v>
      </c>
      <c r="D1736" s="2682">
        <v>69.012</v>
      </c>
      <c r="E1736" s="2682">
        <v>19.05</v>
      </c>
      <c r="F1736" s="2682" t="s">
        <v>5922</v>
      </c>
      <c r="G1736" s="2682" t="s">
        <v>5922</v>
      </c>
      <c r="H1736" s="2682" t="s">
        <v>5922</v>
      </c>
      <c r="I1736" s="2682" t="s">
        <v>5922</v>
      </c>
      <c r="J1736" s="2682">
        <v>0</v>
      </c>
      <c r="L1736" s="2682" t="s">
        <v>5922</v>
      </c>
    </row>
    <row r="1737" spans="1:12">
      <c r="A1737" s="2683" t="s">
        <v>146</v>
      </c>
      <c r="B1737" s="2683" t="s">
        <v>7723</v>
      </c>
      <c r="C1737" s="2683">
        <v>22.225000000000001</v>
      </c>
      <c r="D1737" s="2683">
        <v>57.15</v>
      </c>
      <c r="E1737" s="2683">
        <v>22.225000000000001</v>
      </c>
      <c r="F1737" s="2683" t="s">
        <v>5922</v>
      </c>
      <c r="G1737" s="2683" t="s">
        <v>5922</v>
      </c>
      <c r="H1737" s="2683" t="s">
        <v>5922</v>
      </c>
      <c r="I1737" s="2683" t="s">
        <v>5922</v>
      </c>
      <c r="J1737" s="2683">
        <v>0.28599999999999998</v>
      </c>
      <c r="K1737" s="2684"/>
      <c r="L1737" s="2683" t="s">
        <v>5922</v>
      </c>
    </row>
    <row r="1738" spans="1:12">
      <c r="A1738" s="2682" t="s">
        <v>146</v>
      </c>
      <c r="B1738" s="2682" t="s">
        <v>7724</v>
      </c>
      <c r="C1738" s="2682">
        <v>20.638000000000002</v>
      </c>
      <c r="D1738" s="2682">
        <v>49.225000000000001</v>
      </c>
      <c r="E1738" s="2682">
        <v>19.844999999999999</v>
      </c>
      <c r="F1738" s="2682" t="s">
        <v>5922</v>
      </c>
      <c r="G1738" s="2682" t="s">
        <v>5922</v>
      </c>
      <c r="H1738" s="2682" t="s">
        <v>5922</v>
      </c>
      <c r="I1738" s="2682" t="s">
        <v>5922</v>
      </c>
      <c r="J1738" s="2682">
        <v>0.16500000000000001</v>
      </c>
      <c r="L1738" s="2682" t="s">
        <v>5922</v>
      </c>
    </row>
    <row r="1739" spans="1:12">
      <c r="A1739" s="2683" t="s">
        <v>146</v>
      </c>
      <c r="B1739" s="2683" t="s">
        <v>7725</v>
      </c>
      <c r="C1739" s="2683">
        <v>15.875</v>
      </c>
      <c r="D1739" s="2683">
        <v>42.862000000000002</v>
      </c>
      <c r="E1739" s="2683">
        <v>14.288</v>
      </c>
      <c r="F1739" s="2683" t="s">
        <v>5922</v>
      </c>
      <c r="G1739" s="2683" t="s">
        <v>5922</v>
      </c>
      <c r="H1739" s="2683" t="s">
        <v>5922</v>
      </c>
      <c r="I1739" s="2683" t="s">
        <v>5922</v>
      </c>
      <c r="J1739" s="2683">
        <v>0</v>
      </c>
      <c r="K1739" s="2684"/>
      <c r="L1739" s="2683" t="s">
        <v>5922</v>
      </c>
    </row>
    <row r="1740" spans="1:12">
      <c r="A1740" s="2682" t="s">
        <v>146</v>
      </c>
      <c r="B1740" s="2682" t="s">
        <v>7726</v>
      </c>
      <c r="C1740" s="2682">
        <v>41.274999999999999</v>
      </c>
      <c r="D1740" s="2682">
        <v>80</v>
      </c>
      <c r="E1740" s="2682">
        <v>18.009</v>
      </c>
      <c r="F1740" s="2682" t="s">
        <v>5922</v>
      </c>
      <c r="G1740" s="2682" t="s">
        <v>5922</v>
      </c>
      <c r="H1740" s="2682" t="s">
        <v>5922</v>
      </c>
      <c r="I1740" s="2682" t="s">
        <v>5922</v>
      </c>
      <c r="J1740" s="2682">
        <v>0</v>
      </c>
      <c r="L1740" s="2682" t="s">
        <v>5922</v>
      </c>
    </row>
    <row r="1741" spans="1:12">
      <c r="A1741" s="2683" t="s">
        <v>146</v>
      </c>
      <c r="B1741" s="2683" t="s">
        <v>7727</v>
      </c>
      <c r="C1741" s="2683">
        <v>41.274999999999999</v>
      </c>
      <c r="D1741" s="2683">
        <v>76.2</v>
      </c>
      <c r="E1741" s="2683">
        <v>18.009</v>
      </c>
      <c r="F1741" s="2683" t="s">
        <v>5922</v>
      </c>
      <c r="G1741" s="2683" t="s">
        <v>5922</v>
      </c>
      <c r="H1741" s="2683" t="s">
        <v>5922</v>
      </c>
      <c r="I1741" s="2683" t="s">
        <v>5922</v>
      </c>
      <c r="J1741" s="2683">
        <v>0</v>
      </c>
      <c r="K1741" s="2684"/>
      <c r="L1741" s="2683" t="s">
        <v>5922</v>
      </c>
    </row>
    <row r="1742" spans="1:12">
      <c r="A1742" s="2682" t="s">
        <v>146</v>
      </c>
      <c r="B1742" s="2682" t="s">
        <v>7728</v>
      </c>
      <c r="C1742" s="2682">
        <v>19.05</v>
      </c>
      <c r="D1742" s="2682">
        <v>49.225000000000001</v>
      </c>
      <c r="E1742" s="2682">
        <v>23.02</v>
      </c>
      <c r="F1742" s="2682" t="s">
        <v>5922</v>
      </c>
      <c r="G1742" s="2682" t="s">
        <v>5922</v>
      </c>
      <c r="H1742" s="2682" t="s">
        <v>5922</v>
      </c>
      <c r="I1742" s="2682" t="s">
        <v>5922</v>
      </c>
      <c r="J1742" s="2682">
        <v>0.19700000000000001</v>
      </c>
      <c r="L1742" s="2682" t="s">
        <v>5922</v>
      </c>
    </row>
    <row r="1743" spans="1:12">
      <c r="A1743" s="2683" t="s">
        <v>146</v>
      </c>
      <c r="B1743" s="2683" t="s">
        <v>7729</v>
      </c>
      <c r="C1743" s="2683">
        <v>19.05</v>
      </c>
      <c r="D1743" s="2683">
        <v>49.225000000000001</v>
      </c>
      <c r="E1743" s="2683">
        <v>18.033999999999999</v>
      </c>
      <c r="F1743" s="2683" t="s">
        <v>5922</v>
      </c>
      <c r="G1743" s="2683" t="s">
        <v>5922</v>
      </c>
      <c r="H1743" s="2683" t="s">
        <v>5922</v>
      </c>
      <c r="I1743" s="2683" t="s">
        <v>5922</v>
      </c>
      <c r="J1743" s="2683">
        <v>0.17399999999999999</v>
      </c>
      <c r="K1743" s="2684"/>
      <c r="L1743" s="2683" t="s">
        <v>5922</v>
      </c>
    </row>
    <row r="1744" spans="1:12">
      <c r="A1744" s="2682" t="s">
        <v>146</v>
      </c>
      <c r="B1744" s="2682" t="s">
        <v>7730</v>
      </c>
      <c r="C1744" s="2682">
        <v>25.4</v>
      </c>
      <c r="D1744" s="2682">
        <v>50.005000000000003</v>
      </c>
      <c r="E1744" s="2682">
        <v>13.494999999999999</v>
      </c>
      <c r="F1744" s="2682" t="s">
        <v>5922</v>
      </c>
      <c r="G1744" s="2682" t="s">
        <v>5922</v>
      </c>
      <c r="H1744" s="2682" t="s">
        <v>5922</v>
      </c>
      <c r="I1744" s="2682" t="s">
        <v>5922</v>
      </c>
      <c r="J1744" s="2682">
        <v>0.11899999999999999</v>
      </c>
      <c r="L1744" s="2682" t="s">
        <v>5922</v>
      </c>
    </row>
    <row r="1745" spans="1:12">
      <c r="A1745" s="2683" t="s">
        <v>146</v>
      </c>
      <c r="B1745" s="2683" t="s">
        <v>7731</v>
      </c>
      <c r="C1745" s="2683">
        <v>23.812000000000001</v>
      </c>
      <c r="D1745" s="2683">
        <v>50.005000000000003</v>
      </c>
      <c r="E1745" s="2683">
        <v>13.494999999999999</v>
      </c>
      <c r="F1745" s="2683" t="s">
        <v>5922</v>
      </c>
      <c r="G1745" s="2683" t="s">
        <v>5922</v>
      </c>
      <c r="H1745" s="2683" t="s">
        <v>5922</v>
      </c>
      <c r="I1745" s="2683" t="s">
        <v>5922</v>
      </c>
      <c r="J1745" s="2683">
        <v>0.11899999999999999</v>
      </c>
      <c r="K1745" s="2684"/>
      <c r="L1745" s="2683" t="s">
        <v>5922</v>
      </c>
    </row>
    <row r="1746" spans="1:12">
      <c r="A1746" s="2682" t="s">
        <v>146</v>
      </c>
      <c r="B1746" s="2682" t="s">
        <v>7732</v>
      </c>
      <c r="C1746" s="2682">
        <v>22.225000000000001</v>
      </c>
      <c r="D1746" s="2682">
        <v>60.8</v>
      </c>
      <c r="E1746" s="2682">
        <v>15.010999999999999</v>
      </c>
      <c r="F1746" s="2682" t="s">
        <v>5922</v>
      </c>
      <c r="G1746" s="2682" t="s">
        <v>5922</v>
      </c>
      <c r="H1746" s="2682" t="s">
        <v>5922</v>
      </c>
      <c r="I1746" s="2682" t="s">
        <v>5922</v>
      </c>
      <c r="J1746" s="2682">
        <v>0</v>
      </c>
      <c r="L1746" s="2682" t="s">
        <v>5922</v>
      </c>
    </row>
    <row r="1747" spans="1:12">
      <c r="A1747" s="2683" t="s">
        <v>146</v>
      </c>
      <c r="B1747" s="2683" t="s">
        <v>7733</v>
      </c>
      <c r="C1747" s="2683">
        <v>34.924999999999997</v>
      </c>
      <c r="D1747" s="2683">
        <v>73.025000000000006</v>
      </c>
      <c r="E1747" s="2683">
        <v>22.225000000000001</v>
      </c>
      <c r="F1747" s="2683" t="s">
        <v>5922</v>
      </c>
      <c r="G1747" s="2683" t="s">
        <v>5922</v>
      </c>
      <c r="H1747" s="2683" t="s">
        <v>5922</v>
      </c>
      <c r="I1747" s="2683" t="s">
        <v>5922</v>
      </c>
      <c r="J1747" s="2683">
        <v>0.49099999999999999</v>
      </c>
      <c r="K1747" s="2684"/>
      <c r="L1747" s="2683" t="s">
        <v>5922</v>
      </c>
    </row>
    <row r="1748" spans="1:12">
      <c r="A1748" s="2682" t="s">
        <v>146</v>
      </c>
      <c r="B1748" s="2682" t="s">
        <v>7734</v>
      </c>
      <c r="C1748" s="2682">
        <v>31.75</v>
      </c>
      <c r="D1748" s="2682">
        <v>68.263000000000005</v>
      </c>
      <c r="E1748" s="2682">
        <v>22.225000000000001</v>
      </c>
      <c r="F1748" s="2682" t="s">
        <v>5922</v>
      </c>
      <c r="G1748" s="2682" t="s">
        <v>5922</v>
      </c>
      <c r="H1748" s="2682" t="s">
        <v>5922</v>
      </c>
      <c r="I1748" s="2682" t="s">
        <v>5922</v>
      </c>
      <c r="J1748" s="2682">
        <v>0.36499999999999999</v>
      </c>
      <c r="L1748" s="2682" t="s">
        <v>5922</v>
      </c>
    </row>
    <row r="1749" spans="1:12">
      <c r="A1749" s="2683" t="s">
        <v>146</v>
      </c>
      <c r="B1749" s="2683" t="s">
        <v>7735</v>
      </c>
      <c r="C1749" s="2683">
        <v>35</v>
      </c>
      <c r="D1749" s="2683">
        <v>80</v>
      </c>
      <c r="E1749" s="2683">
        <v>29.25</v>
      </c>
      <c r="F1749" s="2683" t="s">
        <v>5922</v>
      </c>
      <c r="G1749" s="2683" t="s">
        <v>5922</v>
      </c>
      <c r="H1749" s="2683" t="s">
        <v>5922</v>
      </c>
      <c r="I1749" s="2683" t="s">
        <v>5922</v>
      </c>
      <c r="J1749" s="2683">
        <v>0.69899999999999995</v>
      </c>
      <c r="K1749" s="2684"/>
      <c r="L1749" s="2683" t="s">
        <v>7735</v>
      </c>
    </row>
    <row r="1750" spans="1:12">
      <c r="A1750" s="2682" t="s">
        <v>146</v>
      </c>
      <c r="B1750" s="2682" t="s">
        <v>7736</v>
      </c>
      <c r="C1750" s="2682">
        <v>55</v>
      </c>
      <c r="D1750" s="2682">
        <v>130</v>
      </c>
      <c r="E1750" s="2682">
        <v>36</v>
      </c>
      <c r="F1750" s="2682" t="s">
        <v>5922</v>
      </c>
      <c r="G1750" s="2682" t="s">
        <v>5922</v>
      </c>
      <c r="H1750" s="2682" t="s">
        <v>5922</v>
      </c>
      <c r="I1750" s="2682" t="s">
        <v>5922</v>
      </c>
      <c r="J1750" s="2682">
        <v>2</v>
      </c>
      <c r="L1750" s="2682" t="s">
        <v>7736</v>
      </c>
    </row>
    <row r="1751" spans="1:12">
      <c r="A1751" s="2683" t="s">
        <v>146</v>
      </c>
      <c r="B1751" s="2683" t="s">
        <v>7737</v>
      </c>
      <c r="C1751" s="2683">
        <v>33</v>
      </c>
      <c r="D1751" s="2683">
        <v>100</v>
      </c>
      <c r="E1751" s="2683">
        <v>33.340000000000003</v>
      </c>
      <c r="F1751" s="2683" t="s">
        <v>5922</v>
      </c>
      <c r="G1751" s="2683" t="s">
        <v>5922</v>
      </c>
      <c r="H1751" s="2683" t="s">
        <v>5922</v>
      </c>
      <c r="I1751" s="2683" t="s">
        <v>5922</v>
      </c>
      <c r="J1751" s="2683">
        <v>1.252</v>
      </c>
      <c r="K1751" s="2684"/>
      <c r="L1751" s="2683" t="s">
        <v>7738</v>
      </c>
    </row>
    <row r="1752" spans="1:12">
      <c r="A1752" s="2682" t="s">
        <v>146</v>
      </c>
      <c r="B1752" s="2682" t="s">
        <v>7739</v>
      </c>
      <c r="C1752" s="2682">
        <v>29</v>
      </c>
      <c r="D1752" s="2682">
        <v>85</v>
      </c>
      <c r="E1752" s="2682">
        <v>30.2</v>
      </c>
      <c r="F1752" s="2682" t="s">
        <v>5922</v>
      </c>
      <c r="G1752" s="2682" t="s">
        <v>5922</v>
      </c>
      <c r="H1752" s="2682" t="s">
        <v>5922</v>
      </c>
      <c r="I1752" s="2682" t="s">
        <v>5922</v>
      </c>
      <c r="J1752" s="2682">
        <v>0.78100000000000003</v>
      </c>
      <c r="L1752" s="2682" t="s">
        <v>7740</v>
      </c>
    </row>
    <row r="1753" spans="1:12">
      <c r="A1753" s="2683" t="s">
        <v>146</v>
      </c>
      <c r="B1753" s="2683" t="s">
        <v>7741</v>
      </c>
      <c r="C1753" s="2683">
        <v>30</v>
      </c>
      <c r="D1753" s="2683">
        <v>72</v>
      </c>
      <c r="E1753" s="2683">
        <v>20.25</v>
      </c>
      <c r="F1753" s="2683" t="s">
        <v>5922</v>
      </c>
      <c r="G1753" s="2683" t="s">
        <v>5922</v>
      </c>
      <c r="H1753" s="2683" t="s">
        <v>5922</v>
      </c>
      <c r="I1753" s="2683" t="s">
        <v>5922</v>
      </c>
      <c r="J1753" s="2683">
        <v>0.39700000000000002</v>
      </c>
      <c r="K1753" s="2684"/>
      <c r="L1753" s="2683" t="s">
        <v>5922</v>
      </c>
    </row>
    <row r="1754" spans="1:12">
      <c r="A1754" s="2682" t="s">
        <v>146</v>
      </c>
      <c r="B1754" s="2682" t="s">
        <v>7742</v>
      </c>
      <c r="C1754" s="2682">
        <v>65</v>
      </c>
      <c r="D1754" s="2682">
        <v>130</v>
      </c>
      <c r="E1754" s="2682">
        <v>51</v>
      </c>
      <c r="F1754" s="2682" t="s">
        <v>5922</v>
      </c>
      <c r="G1754" s="2682" t="s">
        <v>5922</v>
      </c>
      <c r="H1754" s="2682" t="s">
        <v>5922</v>
      </c>
      <c r="I1754" s="2682" t="s">
        <v>5922</v>
      </c>
      <c r="J1754" s="2682">
        <v>2.9740000000000002</v>
      </c>
      <c r="L1754" s="2682" t="s">
        <v>5922</v>
      </c>
    </row>
    <row r="1755" spans="1:12">
      <c r="A1755" s="2683" t="s">
        <v>146</v>
      </c>
      <c r="B1755" s="2683" t="s">
        <v>7743</v>
      </c>
      <c r="C1755" s="2683">
        <v>35</v>
      </c>
      <c r="D1755" s="2683">
        <v>80</v>
      </c>
      <c r="E1755" s="2683">
        <v>29.25</v>
      </c>
      <c r="F1755" s="2683" t="s">
        <v>5922</v>
      </c>
      <c r="G1755" s="2683" t="s">
        <v>5922</v>
      </c>
      <c r="H1755" s="2683" t="s">
        <v>5922</v>
      </c>
      <c r="I1755" s="2683" t="s">
        <v>5922</v>
      </c>
      <c r="J1755" s="2683">
        <v>0.71099999999999997</v>
      </c>
      <c r="K1755" s="2684"/>
      <c r="L1755" s="2683" t="s">
        <v>5922</v>
      </c>
    </row>
    <row r="1756" spans="1:12">
      <c r="A1756" s="2682" t="s">
        <v>146</v>
      </c>
      <c r="B1756" s="2682" t="s">
        <v>7744</v>
      </c>
      <c r="C1756" s="2682">
        <v>45</v>
      </c>
      <c r="D1756" s="2682">
        <v>106</v>
      </c>
      <c r="E1756" s="2682">
        <v>20.75</v>
      </c>
      <c r="F1756" s="2682" t="s">
        <v>5922</v>
      </c>
      <c r="G1756" s="2682" t="s">
        <v>5922</v>
      </c>
      <c r="H1756" s="2682" t="s">
        <v>5922</v>
      </c>
      <c r="I1756" s="2682" t="s">
        <v>5922</v>
      </c>
      <c r="J1756" s="2682">
        <v>0.77700000000000002</v>
      </c>
      <c r="L1756" s="2682" t="s">
        <v>5922</v>
      </c>
    </row>
    <row r="1757" spans="1:12">
      <c r="A1757" s="2683" t="s">
        <v>146</v>
      </c>
      <c r="B1757" s="2683" t="s">
        <v>7745</v>
      </c>
      <c r="C1757" s="2683">
        <v>40</v>
      </c>
      <c r="D1757" s="2683">
        <v>80</v>
      </c>
      <c r="E1757" s="2683">
        <v>30.164999999999999</v>
      </c>
      <c r="F1757" s="2683" t="s">
        <v>5922</v>
      </c>
      <c r="G1757" s="2683" t="s">
        <v>5922</v>
      </c>
      <c r="H1757" s="2683" t="s">
        <v>5922</v>
      </c>
      <c r="I1757" s="2683" t="s">
        <v>5922</v>
      </c>
      <c r="J1757" s="2683">
        <v>0</v>
      </c>
      <c r="K1757" s="2684"/>
      <c r="L1757" s="2683" t="s">
        <v>5922</v>
      </c>
    </row>
    <row r="1758" spans="1:12">
      <c r="A1758" s="2682" t="s">
        <v>146</v>
      </c>
      <c r="B1758" s="2682" t="s">
        <v>7746</v>
      </c>
      <c r="C1758" s="2682">
        <v>501.65</v>
      </c>
      <c r="D1758" s="2682">
        <v>711.2</v>
      </c>
      <c r="E1758" s="2682">
        <v>520.70000000000005</v>
      </c>
      <c r="F1758" s="2682" t="s">
        <v>5922</v>
      </c>
      <c r="G1758" s="2682" t="s">
        <v>5922</v>
      </c>
      <c r="H1758" s="2682" t="s">
        <v>5922</v>
      </c>
      <c r="I1758" s="2682" t="s">
        <v>5922</v>
      </c>
      <c r="J1758" s="2682">
        <v>699</v>
      </c>
      <c r="L1758" s="2682" t="s">
        <v>7747</v>
      </c>
    </row>
    <row r="1759" spans="1:12">
      <c r="A1759" s="2683" t="s">
        <v>146</v>
      </c>
      <c r="B1759" s="2683" t="s">
        <v>7748</v>
      </c>
      <c r="C1759" s="2683">
        <v>304.90199999999999</v>
      </c>
      <c r="D1759" s="2683">
        <v>412.64800000000002</v>
      </c>
      <c r="E1759" s="2683">
        <v>266.7</v>
      </c>
      <c r="F1759" s="2683" t="s">
        <v>5922</v>
      </c>
      <c r="G1759" s="2683" t="s">
        <v>5922</v>
      </c>
      <c r="H1759" s="2683" t="s">
        <v>5922</v>
      </c>
      <c r="I1759" s="2683" t="s">
        <v>5922</v>
      </c>
      <c r="J1759" s="2683">
        <v>109</v>
      </c>
      <c r="K1759" s="2684"/>
      <c r="L1759" s="2683" t="s">
        <v>7749</v>
      </c>
    </row>
    <row r="1760" spans="1:12">
      <c r="A1760" s="2682" t="s">
        <v>146</v>
      </c>
      <c r="B1760" s="2682" t="s">
        <v>7750</v>
      </c>
      <c r="C1760" s="2682">
        <v>269.875</v>
      </c>
      <c r="D1760" s="2682">
        <v>381</v>
      </c>
      <c r="E1760" s="2682">
        <v>282.58</v>
      </c>
      <c r="F1760" s="2682" t="s">
        <v>5922</v>
      </c>
      <c r="G1760" s="2682" t="s">
        <v>5922</v>
      </c>
      <c r="H1760" s="2682" t="s">
        <v>5922</v>
      </c>
      <c r="I1760" s="2682" t="s">
        <v>5922</v>
      </c>
      <c r="J1760" s="2682">
        <v>99.9</v>
      </c>
      <c r="L1760" s="2682" t="s">
        <v>5922</v>
      </c>
    </row>
    <row r="1761" spans="1:12">
      <c r="A1761" s="2683" t="s">
        <v>146</v>
      </c>
      <c r="B1761" s="2683" t="s">
        <v>7751</v>
      </c>
      <c r="C1761" s="2683">
        <v>269.875</v>
      </c>
      <c r="D1761" s="2683">
        <v>381</v>
      </c>
      <c r="E1761" s="2683">
        <v>282.58</v>
      </c>
      <c r="F1761" s="2683" t="s">
        <v>5922</v>
      </c>
      <c r="G1761" s="2683" t="s">
        <v>5922</v>
      </c>
      <c r="H1761" s="2683" t="s">
        <v>5922</v>
      </c>
      <c r="I1761" s="2683" t="s">
        <v>5922</v>
      </c>
      <c r="J1761" s="2683">
        <v>99.9</v>
      </c>
      <c r="K1761" s="2684"/>
      <c r="L1761" s="2683" t="s">
        <v>7752</v>
      </c>
    </row>
    <row r="1762" spans="1:12">
      <c r="A1762" s="2682" t="s">
        <v>146</v>
      </c>
      <c r="B1762" s="2682" t="s">
        <v>7753</v>
      </c>
      <c r="C1762" s="2682">
        <v>50</v>
      </c>
      <c r="D1762" s="2682">
        <v>140</v>
      </c>
      <c r="E1762" s="2682">
        <v>48.24</v>
      </c>
      <c r="F1762" s="2682" t="s">
        <v>5922</v>
      </c>
      <c r="G1762" s="2682" t="s">
        <v>5922</v>
      </c>
      <c r="H1762" s="2682" t="s">
        <v>5922</v>
      </c>
      <c r="I1762" s="2682" t="s">
        <v>5922</v>
      </c>
      <c r="J1762" s="2682">
        <v>2.21</v>
      </c>
      <c r="L1762" s="2682" t="s">
        <v>7754</v>
      </c>
    </row>
    <row r="1763" spans="1:12">
      <c r="A1763" s="2683" t="s">
        <v>146</v>
      </c>
      <c r="B1763" s="2683" t="s">
        <v>7755</v>
      </c>
      <c r="C1763" s="2683">
        <v>317.5</v>
      </c>
      <c r="D1763" s="2683">
        <v>447.67500000000001</v>
      </c>
      <c r="E1763" s="2683">
        <v>327.02499999999998</v>
      </c>
      <c r="F1763" s="2683" t="s">
        <v>5922</v>
      </c>
      <c r="G1763" s="2683" t="s">
        <v>5922</v>
      </c>
      <c r="H1763" s="2683" t="s">
        <v>5922</v>
      </c>
      <c r="I1763" s="2683" t="s">
        <v>5922</v>
      </c>
      <c r="J1763" s="2683">
        <v>162</v>
      </c>
      <c r="K1763" s="2684"/>
      <c r="L1763" s="2683" t="s">
        <v>5922</v>
      </c>
    </row>
    <row r="1764" spans="1:12">
      <c r="A1764" s="2682" t="s">
        <v>146</v>
      </c>
      <c r="B1764" s="2682" t="s">
        <v>7756</v>
      </c>
      <c r="C1764" s="2682">
        <v>237</v>
      </c>
      <c r="D1764" s="2682">
        <v>327</v>
      </c>
      <c r="E1764" s="2682">
        <v>141.30000000000001</v>
      </c>
      <c r="F1764" s="2682" t="s">
        <v>5922</v>
      </c>
      <c r="G1764" s="2682" t="s">
        <v>5922</v>
      </c>
      <c r="H1764" s="2682" t="s">
        <v>5922</v>
      </c>
      <c r="I1764" s="2682" t="s">
        <v>5922</v>
      </c>
      <c r="J1764" s="2682">
        <v>30</v>
      </c>
      <c r="L1764" s="2682" t="s">
        <v>5922</v>
      </c>
    </row>
    <row r="1765" spans="1:12">
      <c r="A1765" s="2683" t="s">
        <v>146</v>
      </c>
      <c r="B1765" s="2683" t="s">
        <v>7757</v>
      </c>
      <c r="C1765" s="2683">
        <v>167.7</v>
      </c>
      <c r="D1765" s="2683">
        <v>250</v>
      </c>
      <c r="E1765" s="2683">
        <v>203</v>
      </c>
      <c r="F1765" s="2683" t="s">
        <v>5922</v>
      </c>
      <c r="G1765" s="2683" t="s">
        <v>5922</v>
      </c>
      <c r="H1765" s="2683" t="s">
        <v>5922</v>
      </c>
      <c r="I1765" s="2683" t="s">
        <v>5922</v>
      </c>
      <c r="J1765" s="2683">
        <v>38.4</v>
      </c>
      <c r="K1765" s="2684"/>
      <c r="L1765" s="2683" t="s">
        <v>5922</v>
      </c>
    </row>
    <row r="1766" spans="1:12">
      <c r="A1766" s="2682" t="s">
        <v>146</v>
      </c>
      <c r="B1766" s="2682" t="s">
        <v>7758</v>
      </c>
      <c r="C1766" s="2682">
        <v>0</v>
      </c>
      <c r="D1766" s="2682">
        <v>170</v>
      </c>
      <c r="E1766" s="2682">
        <v>140.80000000000001</v>
      </c>
      <c r="F1766" s="2682" t="s">
        <v>5922</v>
      </c>
      <c r="G1766" s="2682" t="s">
        <v>5922</v>
      </c>
      <c r="H1766" s="2682" t="s">
        <v>5922</v>
      </c>
      <c r="I1766" s="2682" t="s">
        <v>5922</v>
      </c>
      <c r="J1766" s="2682">
        <v>13.3</v>
      </c>
      <c r="L1766" s="2682" t="s">
        <v>5922</v>
      </c>
    </row>
    <row r="1767" spans="1:12">
      <c r="A1767" s="2683" t="s">
        <v>146</v>
      </c>
      <c r="B1767" s="2683" t="s">
        <v>7759</v>
      </c>
      <c r="C1767" s="2683">
        <v>127</v>
      </c>
      <c r="D1767" s="2683">
        <v>195</v>
      </c>
      <c r="E1767" s="2683">
        <v>161.5</v>
      </c>
      <c r="F1767" s="2683" t="s">
        <v>5922</v>
      </c>
      <c r="G1767" s="2683" t="s">
        <v>5922</v>
      </c>
      <c r="H1767" s="2683" t="s">
        <v>5922</v>
      </c>
      <c r="I1767" s="2683" t="s">
        <v>5922</v>
      </c>
      <c r="J1767" s="2683">
        <v>23</v>
      </c>
      <c r="K1767" s="2684"/>
      <c r="L1767" s="2683" t="s">
        <v>5922</v>
      </c>
    </row>
    <row r="1768" spans="1:12">
      <c r="A1768" s="2682" t="s">
        <v>146</v>
      </c>
      <c r="B1768" s="2682" t="s">
        <v>7760</v>
      </c>
      <c r="C1768" s="2682">
        <v>185</v>
      </c>
      <c r="D1768" s="2682">
        <v>325.5</v>
      </c>
      <c r="E1768" s="2682">
        <v>224</v>
      </c>
      <c r="F1768" s="2682" t="s">
        <v>5922</v>
      </c>
      <c r="G1768" s="2682" t="s">
        <v>5922</v>
      </c>
      <c r="H1768" s="2682" t="s">
        <v>5922</v>
      </c>
      <c r="I1768" s="2682" t="s">
        <v>5922</v>
      </c>
      <c r="J1768" s="2682">
        <v>71.3</v>
      </c>
      <c r="L1768" s="2682" t="s">
        <v>5922</v>
      </c>
    </row>
    <row r="1769" spans="1:12">
      <c r="A1769" s="2683" t="s">
        <v>146</v>
      </c>
      <c r="B1769" s="2683" t="s">
        <v>7761</v>
      </c>
      <c r="C1769" s="2683">
        <v>185</v>
      </c>
      <c r="D1769" s="2683">
        <v>310</v>
      </c>
      <c r="E1769" s="2683">
        <v>222.5</v>
      </c>
      <c r="F1769" s="2683" t="s">
        <v>5922</v>
      </c>
      <c r="G1769" s="2683" t="s">
        <v>5922</v>
      </c>
      <c r="H1769" s="2683" t="s">
        <v>5922</v>
      </c>
      <c r="I1769" s="2683" t="s">
        <v>5922</v>
      </c>
      <c r="J1769" s="2683">
        <v>75</v>
      </c>
      <c r="K1769" s="2684"/>
      <c r="L1769" s="2683" t="s">
        <v>5922</v>
      </c>
    </row>
    <row r="1770" spans="1:12">
      <c r="A1770" s="2682" t="s">
        <v>146</v>
      </c>
      <c r="B1770" s="2682" t="s">
        <v>7762</v>
      </c>
      <c r="C1770" s="2682">
        <v>242</v>
      </c>
      <c r="D1770" s="2682">
        <v>318</v>
      </c>
      <c r="E1770" s="2682">
        <v>257</v>
      </c>
      <c r="F1770" s="2682" t="s">
        <v>5922</v>
      </c>
      <c r="G1770" s="2682" t="s">
        <v>5922</v>
      </c>
      <c r="H1770" s="2682" t="s">
        <v>5922</v>
      </c>
      <c r="I1770" s="2682" t="s">
        <v>5922</v>
      </c>
      <c r="J1770" s="2682">
        <v>66.900000000000006</v>
      </c>
      <c r="L1770" s="2682" t="s">
        <v>5922</v>
      </c>
    </row>
    <row r="1771" spans="1:12">
      <c r="A1771" s="2683" t="s">
        <v>146</v>
      </c>
      <c r="B1771" s="2683" t="s">
        <v>7763</v>
      </c>
      <c r="C1771" s="2683">
        <v>25</v>
      </c>
      <c r="D1771" s="2683">
        <v>52</v>
      </c>
      <c r="E1771" s="2683">
        <v>37</v>
      </c>
      <c r="F1771" s="2683" t="s">
        <v>5922</v>
      </c>
      <c r="G1771" s="2683" t="s">
        <v>5922</v>
      </c>
      <c r="H1771" s="2683" t="s">
        <v>5922</v>
      </c>
      <c r="I1771" s="2683" t="s">
        <v>5922</v>
      </c>
      <c r="J1771" s="2683">
        <v>0.35899999999999999</v>
      </c>
      <c r="K1771" s="2684"/>
      <c r="L1771" s="2683" t="s">
        <v>5922</v>
      </c>
    </row>
    <row r="1772" spans="1:12">
      <c r="A1772" s="2682" t="s">
        <v>146</v>
      </c>
      <c r="B1772" s="2682" t="s">
        <v>7764</v>
      </c>
      <c r="C1772" s="2682">
        <v>55</v>
      </c>
      <c r="D1772" s="2682">
        <v>130</v>
      </c>
      <c r="E1772" s="2682">
        <v>36</v>
      </c>
      <c r="F1772" s="2682" t="s">
        <v>5922</v>
      </c>
      <c r="G1772" s="2682" t="s">
        <v>5922</v>
      </c>
      <c r="H1772" s="2682" t="s">
        <v>5922</v>
      </c>
      <c r="I1772" s="2682" t="s">
        <v>5922</v>
      </c>
      <c r="J1772" s="2682">
        <v>2.0859999999999999</v>
      </c>
      <c r="L1772" s="2682" t="s">
        <v>5922</v>
      </c>
    </row>
    <row r="1773" spans="1:12">
      <c r="A1773" s="2683" t="s">
        <v>146</v>
      </c>
      <c r="B1773" s="2683" t="s">
        <v>7765</v>
      </c>
      <c r="C1773" s="2683">
        <v>55</v>
      </c>
      <c r="D1773" s="2683">
        <v>100</v>
      </c>
      <c r="E1773" s="2683">
        <v>32</v>
      </c>
      <c r="F1773" s="2683" t="s">
        <v>5922</v>
      </c>
      <c r="G1773" s="2683" t="s">
        <v>5922</v>
      </c>
      <c r="H1773" s="2683" t="s">
        <v>5922</v>
      </c>
      <c r="I1773" s="2683" t="s">
        <v>5922</v>
      </c>
      <c r="J1773" s="2683">
        <v>0</v>
      </c>
      <c r="K1773" s="2684"/>
      <c r="L1773" s="2683" t="s">
        <v>5922</v>
      </c>
    </row>
    <row r="1774" spans="1:12">
      <c r="A1774" s="2682" t="s">
        <v>146</v>
      </c>
      <c r="B1774" s="2682" t="s">
        <v>7766</v>
      </c>
      <c r="C1774" s="2682">
        <v>23</v>
      </c>
      <c r="D1774" s="2682">
        <v>52</v>
      </c>
      <c r="E1774" s="2682">
        <v>14.26</v>
      </c>
      <c r="F1774" s="2682" t="s">
        <v>5922</v>
      </c>
      <c r="G1774" s="2682" t="s">
        <v>5922</v>
      </c>
      <c r="H1774" s="2682" t="s">
        <v>5922</v>
      </c>
      <c r="I1774" s="2682" t="s">
        <v>5922</v>
      </c>
      <c r="J1774" s="2682">
        <v>0.153</v>
      </c>
      <c r="L1774" s="2682" t="s">
        <v>5922</v>
      </c>
    </row>
    <row r="1775" spans="1:12">
      <c r="A1775" s="2683" t="s">
        <v>146</v>
      </c>
      <c r="B1775" s="2683" t="s">
        <v>7767</v>
      </c>
      <c r="C1775" s="2683">
        <v>26</v>
      </c>
      <c r="D1775" s="2683">
        <v>52</v>
      </c>
      <c r="E1775" s="2683">
        <v>14.26</v>
      </c>
      <c r="F1775" s="2683" t="s">
        <v>5922</v>
      </c>
      <c r="G1775" s="2683" t="s">
        <v>5922</v>
      </c>
      <c r="H1775" s="2683" t="s">
        <v>5922</v>
      </c>
      <c r="I1775" s="2683" t="s">
        <v>5922</v>
      </c>
      <c r="J1775" s="2683">
        <v>0.14000000000000001</v>
      </c>
      <c r="K1775" s="2684"/>
      <c r="L1775" s="2683" t="s">
        <v>5922</v>
      </c>
    </row>
    <row r="1776" spans="1:12">
      <c r="A1776" s="2682" t="s">
        <v>146</v>
      </c>
      <c r="B1776" s="2682" t="s">
        <v>7768</v>
      </c>
      <c r="C1776" s="2682">
        <v>15</v>
      </c>
      <c r="D1776" s="2682">
        <v>42</v>
      </c>
      <c r="E1776" s="2682">
        <v>13.5</v>
      </c>
      <c r="F1776" s="2682" t="s">
        <v>5922</v>
      </c>
      <c r="G1776" s="2682" t="s">
        <v>5922</v>
      </c>
      <c r="H1776" s="2682" t="s">
        <v>5922</v>
      </c>
      <c r="I1776" s="2682" t="s">
        <v>5922</v>
      </c>
      <c r="J1776" s="2682">
        <v>9.5000000000000001E-2</v>
      </c>
      <c r="L1776" s="2682" t="s">
        <v>5922</v>
      </c>
    </row>
    <row r="1777" spans="1:12">
      <c r="A1777" s="2683" t="s">
        <v>146</v>
      </c>
      <c r="B1777" s="2683" t="s">
        <v>7769</v>
      </c>
      <c r="C1777" s="2683">
        <v>15</v>
      </c>
      <c r="D1777" s="2683">
        <v>24.988</v>
      </c>
      <c r="E1777" s="2683">
        <v>10.785</v>
      </c>
      <c r="F1777" s="2683" t="s">
        <v>5922</v>
      </c>
      <c r="G1777" s="2683" t="s">
        <v>5922</v>
      </c>
      <c r="H1777" s="2683" t="s">
        <v>5922</v>
      </c>
      <c r="I1777" s="2683" t="s">
        <v>5922</v>
      </c>
      <c r="J1777" s="2683">
        <v>0.05</v>
      </c>
      <c r="K1777" s="2684"/>
      <c r="L1777" s="2683" t="s">
        <v>5922</v>
      </c>
    </row>
    <row r="1778" spans="1:12">
      <c r="A1778" s="2682" t="s">
        <v>146</v>
      </c>
      <c r="B1778" s="2682" t="s">
        <v>7770</v>
      </c>
      <c r="C1778" s="2682">
        <v>41</v>
      </c>
      <c r="D1778" s="2682">
        <v>68</v>
      </c>
      <c r="E1778" s="2682">
        <v>19</v>
      </c>
      <c r="F1778" s="2682" t="s">
        <v>5922</v>
      </c>
      <c r="G1778" s="2682" t="s">
        <v>5922</v>
      </c>
      <c r="H1778" s="2682" t="s">
        <v>5922</v>
      </c>
      <c r="I1778" s="2682" t="s">
        <v>5922</v>
      </c>
      <c r="J1778" s="2682">
        <v>0.25600000000000001</v>
      </c>
      <c r="L1778" s="2682" t="s">
        <v>5922</v>
      </c>
    </row>
    <row r="1779" spans="1:12">
      <c r="A1779" s="2683" t="s">
        <v>146</v>
      </c>
      <c r="B1779" s="2683" t="s">
        <v>7771</v>
      </c>
      <c r="C1779" s="2683">
        <v>19.05</v>
      </c>
      <c r="D1779" s="2683">
        <v>53.975000000000001</v>
      </c>
      <c r="E1779" s="2683">
        <v>22.225000000000001</v>
      </c>
      <c r="F1779" s="2683" t="s">
        <v>5922</v>
      </c>
      <c r="G1779" s="2683" t="s">
        <v>5922</v>
      </c>
      <c r="H1779" s="2683" t="s">
        <v>5922</v>
      </c>
      <c r="I1779" s="2683" t="s">
        <v>5922</v>
      </c>
      <c r="J1779" s="2683">
        <v>0</v>
      </c>
      <c r="K1779" s="2684"/>
      <c r="L1779" s="2683" t="s">
        <v>5922</v>
      </c>
    </row>
    <row r="1780" spans="1:12">
      <c r="A1780" s="2682" t="s">
        <v>146</v>
      </c>
      <c r="B1780" s="2682" t="s">
        <v>7772</v>
      </c>
      <c r="C1780" s="2682">
        <v>15.875</v>
      </c>
      <c r="D1780" s="2682">
        <v>53.975000000000001</v>
      </c>
      <c r="E1780" s="2682">
        <v>22.225000000000001</v>
      </c>
      <c r="F1780" s="2682" t="s">
        <v>5922</v>
      </c>
      <c r="G1780" s="2682" t="s">
        <v>5922</v>
      </c>
      <c r="H1780" s="2682" t="s">
        <v>5922</v>
      </c>
      <c r="I1780" s="2682" t="s">
        <v>5922</v>
      </c>
      <c r="J1780" s="2682">
        <v>0</v>
      </c>
      <c r="L1780" s="2682" t="s">
        <v>5922</v>
      </c>
    </row>
    <row r="1781" spans="1:12">
      <c r="A1781" s="2683" t="s">
        <v>146</v>
      </c>
      <c r="B1781" s="2683" t="s">
        <v>7773</v>
      </c>
      <c r="C1781" s="2683">
        <v>50.8</v>
      </c>
      <c r="D1781" s="2683">
        <v>88.9</v>
      </c>
      <c r="E1781" s="2683">
        <v>17.462</v>
      </c>
      <c r="F1781" s="2683" t="s">
        <v>5922</v>
      </c>
      <c r="G1781" s="2683" t="s">
        <v>5922</v>
      </c>
      <c r="H1781" s="2683" t="s">
        <v>5922</v>
      </c>
      <c r="I1781" s="2683" t="s">
        <v>5922</v>
      </c>
      <c r="J1781" s="2683">
        <v>0</v>
      </c>
      <c r="K1781" s="2684"/>
      <c r="L1781" s="2683" t="s">
        <v>5922</v>
      </c>
    </row>
    <row r="1782" spans="1:12">
      <c r="A1782" s="2682" t="s">
        <v>146</v>
      </c>
      <c r="B1782" s="2682" t="s">
        <v>7774</v>
      </c>
      <c r="C1782" s="2682">
        <v>50.8</v>
      </c>
      <c r="D1782" s="2682">
        <v>85</v>
      </c>
      <c r="E1782" s="2682">
        <v>17.462</v>
      </c>
      <c r="F1782" s="2682" t="s">
        <v>5922</v>
      </c>
      <c r="G1782" s="2682" t="s">
        <v>5922</v>
      </c>
      <c r="H1782" s="2682" t="s">
        <v>5922</v>
      </c>
      <c r="I1782" s="2682" t="s">
        <v>5922</v>
      </c>
      <c r="J1782" s="2682">
        <v>0.38800000000000001</v>
      </c>
      <c r="L1782" s="2682" t="s">
        <v>5922</v>
      </c>
    </row>
    <row r="1783" spans="1:12">
      <c r="A1783" s="2683" t="s">
        <v>146</v>
      </c>
      <c r="B1783" s="2683" t="s">
        <v>7775</v>
      </c>
      <c r="C1783" s="2683">
        <v>50.8</v>
      </c>
      <c r="D1783" s="2683">
        <v>85</v>
      </c>
      <c r="E1783" s="2683">
        <v>17.462</v>
      </c>
      <c r="F1783" s="2683" t="s">
        <v>5922</v>
      </c>
      <c r="G1783" s="2683" t="s">
        <v>5922</v>
      </c>
      <c r="H1783" s="2683" t="s">
        <v>5922</v>
      </c>
      <c r="I1783" s="2683" t="s">
        <v>5922</v>
      </c>
      <c r="J1783" s="2683">
        <v>0.36699999999999999</v>
      </c>
      <c r="K1783" s="2684"/>
      <c r="L1783" s="2683" t="s">
        <v>5922</v>
      </c>
    </row>
    <row r="1784" spans="1:12">
      <c r="A1784" s="2682" t="s">
        <v>146</v>
      </c>
      <c r="B1784" s="2682" t="s">
        <v>7776</v>
      </c>
      <c r="C1784" s="2682">
        <v>46.037999999999997</v>
      </c>
      <c r="D1784" s="2682">
        <v>79.375</v>
      </c>
      <c r="E1784" s="2682">
        <v>17.462</v>
      </c>
      <c r="F1784" s="2682" t="s">
        <v>5922</v>
      </c>
      <c r="G1784" s="2682" t="s">
        <v>5922</v>
      </c>
      <c r="H1784" s="2682" t="s">
        <v>5922</v>
      </c>
      <c r="I1784" s="2682" t="s">
        <v>5922</v>
      </c>
      <c r="J1784" s="2682">
        <v>0.33100000000000002</v>
      </c>
      <c r="L1784" s="2682" t="s">
        <v>5922</v>
      </c>
    </row>
    <row r="1785" spans="1:12">
      <c r="A1785" s="2683" t="s">
        <v>146</v>
      </c>
      <c r="B1785" s="2683" t="s">
        <v>7777</v>
      </c>
      <c r="C1785" s="2683">
        <v>41.274999999999999</v>
      </c>
      <c r="D1785" s="2683">
        <v>73.025000000000006</v>
      </c>
      <c r="E1785" s="2683">
        <v>16.667000000000002</v>
      </c>
      <c r="F1785" s="2683" t="s">
        <v>5922</v>
      </c>
      <c r="G1785" s="2683" t="s">
        <v>5922</v>
      </c>
      <c r="H1785" s="2683" t="s">
        <v>5922</v>
      </c>
      <c r="I1785" s="2683" t="s">
        <v>5922</v>
      </c>
      <c r="J1785" s="2683">
        <v>0.27500000000000002</v>
      </c>
      <c r="K1785" s="2684"/>
      <c r="L1785" s="2683" t="s">
        <v>5922</v>
      </c>
    </row>
    <row r="1786" spans="1:12">
      <c r="A1786" s="2682" t="s">
        <v>146</v>
      </c>
      <c r="B1786" s="2682" t="s">
        <v>7778</v>
      </c>
      <c r="C1786" s="2682">
        <v>45.23</v>
      </c>
      <c r="D1786" s="2682">
        <v>79.98</v>
      </c>
      <c r="E1786" s="2682">
        <v>19.850000000000001</v>
      </c>
      <c r="F1786" s="2682" t="s">
        <v>5922</v>
      </c>
      <c r="G1786" s="2682" t="s">
        <v>5922</v>
      </c>
      <c r="H1786" s="2682" t="s">
        <v>5922</v>
      </c>
      <c r="I1786" s="2682" t="s">
        <v>5922</v>
      </c>
      <c r="J1786" s="2682">
        <v>0.41</v>
      </c>
      <c r="L1786" s="2682" t="s">
        <v>5922</v>
      </c>
    </row>
    <row r="1787" spans="1:12">
      <c r="A1787" s="2683" t="s">
        <v>146</v>
      </c>
      <c r="B1787" s="2683" t="s">
        <v>7779</v>
      </c>
      <c r="C1787" s="2683">
        <v>22.22</v>
      </c>
      <c r="D1787" s="2683">
        <v>56.89</v>
      </c>
      <c r="E1787" s="2683">
        <v>19.36</v>
      </c>
      <c r="F1787" s="2683" t="s">
        <v>5922</v>
      </c>
      <c r="G1787" s="2683" t="s">
        <v>5922</v>
      </c>
      <c r="H1787" s="2683" t="s">
        <v>5922</v>
      </c>
      <c r="I1787" s="2683" t="s">
        <v>5922</v>
      </c>
      <c r="J1787" s="2683">
        <v>0.25800000000000001</v>
      </c>
      <c r="K1787" s="2684"/>
      <c r="L1787" s="2683" t="s">
        <v>5922</v>
      </c>
    </row>
    <row r="1788" spans="1:12">
      <c r="A1788" s="2682" t="s">
        <v>146</v>
      </c>
      <c r="B1788" s="2682" t="s">
        <v>7780</v>
      </c>
      <c r="C1788" s="2682">
        <v>38.1</v>
      </c>
      <c r="D1788" s="2682">
        <v>72.33</v>
      </c>
      <c r="E1788" s="2682">
        <v>20.638000000000002</v>
      </c>
      <c r="F1788" s="2682" t="s">
        <v>5922</v>
      </c>
      <c r="G1788" s="2682" t="s">
        <v>5922</v>
      </c>
      <c r="H1788" s="2682" t="s">
        <v>5922</v>
      </c>
      <c r="I1788" s="2682" t="s">
        <v>5922</v>
      </c>
      <c r="J1788" s="2682">
        <v>0.34599999999999997</v>
      </c>
      <c r="L1788" s="2682" t="s">
        <v>5922</v>
      </c>
    </row>
    <row r="1789" spans="1:12">
      <c r="A1789" s="2683" t="s">
        <v>146</v>
      </c>
      <c r="B1789" s="2683" t="s">
        <v>7781</v>
      </c>
      <c r="C1789" s="2683">
        <v>38.1</v>
      </c>
      <c r="D1789" s="2683">
        <v>72</v>
      </c>
      <c r="E1789" s="2683">
        <v>19</v>
      </c>
      <c r="F1789" s="2683" t="s">
        <v>5922</v>
      </c>
      <c r="G1789" s="2683" t="s">
        <v>5922</v>
      </c>
      <c r="H1789" s="2683" t="s">
        <v>5922</v>
      </c>
      <c r="I1789" s="2683" t="s">
        <v>5922</v>
      </c>
      <c r="J1789" s="2683">
        <v>0.33</v>
      </c>
      <c r="K1789" s="2684"/>
      <c r="L1789" s="2683" t="s">
        <v>5922</v>
      </c>
    </row>
    <row r="1790" spans="1:12">
      <c r="A1790" s="2682" t="s">
        <v>146</v>
      </c>
      <c r="B1790" s="2682" t="s">
        <v>7782</v>
      </c>
      <c r="C1790" s="2682">
        <v>34.93</v>
      </c>
      <c r="D1790" s="2682">
        <v>71.989999999999995</v>
      </c>
      <c r="E1790" s="2682">
        <v>20.64</v>
      </c>
      <c r="F1790" s="2682" t="s">
        <v>5922</v>
      </c>
      <c r="G1790" s="2682" t="s">
        <v>5922</v>
      </c>
      <c r="H1790" s="2682" t="s">
        <v>5922</v>
      </c>
      <c r="I1790" s="2682" t="s">
        <v>5922</v>
      </c>
      <c r="J1790" s="2682">
        <v>0.374</v>
      </c>
      <c r="L1790" s="2682" t="s">
        <v>5922</v>
      </c>
    </row>
    <row r="1791" spans="1:12">
      <c r="A1791" s="2683" t="s">
        <v>146</v>
      </c>
      <c r="B1791" s="2683" t="s">
        <v>7783</v>
      </c>
      <c r="C1791" s="2683">
        <v>25.986999999999998</v>
      </c>
      <c r="D1791" s="2683">
        <v>57.15</v>
      </c>
      <c r="E1791" s="2683">
        <v>17.462</v>
      </c>
      <c r="F1791" s="2683" t="s">
        <v>5922</v>
      </c>
      <c r="G1791" s="2683" t="s">
        <v>5922</v>
      </c>
      <c r="H1791" s="2683" t="s">
        <v>5922</v>
      </c>
      <c r="I1791" s="2683" t="s">
        <v>5922</v>
      </c>
      <c r="J1791" s="2683">
        <v>0.21099999999999999</v>
      </c>
      <c r="K1791" s="2684"/>
      <c r="L1791" s="2683" t="s">
        <v>5922</v>
      </c>
    </row>
    <row r="1792" spans="1:12">
      <c r="A1792" s="2682" t="s">
        <v>146</v>
      </c>
      <c r="B1792" s="2682" t="s">
        <v>7784</v>
      </c>
      <c r="C1792" s="2682">
        <v>31.75</v>
      </c>
      <c r="D1792" s="2682">
        <v>62</v>
      </c>
      <c r="E1792" s="2682">
        <v>19.05</v>
      </c>
      <c r="F1792" s="2682" t="s">
        <v>5922</v>
      </c>
      <c r="G1792" s="2682" t="s">
        <v>5922</v>
      </c>
      <c r="H1792" s="2682" t="s">
        <v>5922</v>
      </c>
      <c r="I1792" s="2682" t="s">
        <v>5922</v>
      </c>
      <c r="J1792" s="2682">
        <v>0.25700000000000001</v>
      </c>
      <c r="L1792" s="2682" t="s">
        <v>5922</v>
      </c>
    </row>
    <row r="1793" spans="1:12">
      <c r="A1793" s="2683" t="s">
        <v>146</v>
      </c>
      <c r="B1793" s="2683" t="s">
        <v>7785</v>
      </c>
      <c r="C1793" s="2683">
        <v>31.75</v>
      </c>
      <c r="D1793" s="2683">
        <v>62</v>
      </c>
      <c r="E1793" s="2683">
        <v>19.05</v>
      </c>
      <c r="F1793" s="2683" t="s">
        <v>5922</v>
      </c>
      <c r="G1793" s="2683" t="s">
        <v>5922</v>
      </c>
      <c r="H1793" s="2683" t="s">
        <v>5922</v>
      </c>
      <c r="I1793" s="2683" t="s">
        <v>5922</v>
      </c>
      <c r="J1793" s="2683">
        <v>0</v>
      </c>
      <c r="K1793" s="2684"/>
      <c r="L1793" s="2683" t="s">
        <v>5922</v>
      </c>
    </row>
    <row r="1794" spans="1:12">
      <c r="A1794" s="2682" t="s">
        <v>146</v>
      </c>
      <c r="B1794" s="2682" t="s">
        <v>7786</v>
      </c>
      <c r="C1794" s="2682">
        <v>31.75</v>
      </c>
      <c r="D1794" s="2682">
        <v>63.5</v>
      </c>
      <c r="E1794" s="2682">
        <v>20.638000000000002</v>
      </c>
      <c r="F1794" s="2682" t="s">
        <v>5922</v>
      </c>
      <c r="G1794" s="2682" t="s">
        <v>5922</v>
      </c>
      <c r="H1794" s="2682" t="s">
        <v>5922</v>
      </c>
      <c r="I1794" s="2682" t="s">
        <v>5922</v>
      </c>
      <c r="J1794" s="2682">
        <v>0</v>
      </c>
      <c r="L1794" s="2682" t="s">
        <v>5922</v>
      </c>
    </row>
    <row r="1795" spans="1:12">
      <c r="A1795" s="2683" t="s">
        <v>146</v>
      </c>
      <c r="B1795" s="2683" t="s">
        <v>7787</v>
      </c>
      <c r="C1795" s="2683">
        <v>31.75</v>
      </c>
      <c r="D1795" s="2683">
        <v>62</v>
      </c>
      <c r="E1795" s="2683">
        <v>19.05</v>
      </c>
      <c r="F1795" s="2683" t="s">
        <v>5922</v>
      </c>
      <c r="G1795" s="2683" t="s">
        <v>5922</v>
      </c>
      <c r="H1795" s="2683" t="s">
        <v>5922</v>
      </c>
      <c r="I1795" s="2683" t="s">
        <v>5922</v>
      </c>
      <c r="J1795" s="2683">
        <v>0.24399999999999999</v>
      </c>
      <c r="K1795" s="2684"/>
      <c r="L1795" s="2683" t="s">
        <v>5922</v>
      </c>
    </row>
    <row r="1796" spans="1:12">
      <c r="A1796" s="2682" t="s">
        <v>146</v>
      </c>
      <c r="B1796" s="2682" t="s">
        <v>7788</v>
      </c>
      <c r="C1796" s="2682">
        <v>30.213000000000001</v>
      </c>
      <c r="D1796" s="2682">
        <v>62</v>
      </c>
      <c r="E1796" s="2682">
        <v>19.05</v>
      </c>
      <c r="F1796" s="2682" t="s">
        <v>5922</v>
      </c>
      <c r="G1796" s="2682" t="s">
        <v>5922</v>
      </c>
      <c r="H1796" s="2682" t="s">
        <v>5922</v>
      </c>
      <c r="I1796" s="2682" t="s">
        <v>5922</v>
      </c>
      <c r="J1796" s="2682">
        <v>0</v>
      </c>
      <c r="L1796" s="2682" t="s">
        <v>5922</v>
      </c>
    </row>
    <row r="1797" spans="1:12">
      <c r="A1797" s="2683" t="s">
        <v>146</v>
      </c>
      <c r="B1797" s="2683" t="s">
        <v>7789</v>
      </c>
      <c r="C1797" s="2683">
        <v>30.213000000000001</v>
      </c>
      <c r="D1797" s="2683">
        <v>62</v>
      </c>
      <c r="E1797" s="2683">
        <v>19.05</v>
      </c>
      <c r="F1797" s="2683" t="s">
        <v>5922</v>
      </c>
      <c r="G1797" s="2683" t="s">
        <v>5922</v>
      </c>
      <c r="H1797" s="2683" t="s">
        <v>5922</v>
      </c>
      <c r="I1797" s="2683" t="s">
        <v>5922</v>
      </c>
      <c r="J1797" s="2683">
        <v>0</v>
      </c>
      <c r="K1797" s="2684"/>
      <c r="L1797" s="2683" t="s">
        <v>5922</v>
      </c>
    </row>
    <row r="1798" spans="1:12">
      <c r="A1798" s="2682" t="s">
        <v>146</v>
      </c>
      <c r="B1798" s="2682" t="s">
        <v>7790</v>
      </c>
      <c r="C1798" s="2682">
        <v>30.213000000000001</v>
      </c>
      <c r="D1798" s="2682">
        <v>62</v>
      </c>
      <c r="E1798" s="2682">
        <v>19.05</v>
      </c>
      <c r="F1798" s="2682" t="s">
        <v>5922</v>
      </c>
      <c r="G1798" s="2682" t="s">
        <v>5922</v>
      </c>
      <c r="H1798" s="2682" t="s">
        <v>5922</v>
      </c>
      <c r="I1798" s="2682" t="s">
        <v>5922</v>
      </c>
      <c r="J1798" s="2682">
        <v>0</v>
      </c>
      <c r="L1798" s="2682" t="s">
        <v>5922</v>
      </c>
    </row>
    <row r="1799" spans="1:12">
      <c r="A1799" s="2683" t="s">
        <v>146</v>
      </c>
      <c r="B1799" s="2683" t="s">
        <v>7791</v>
      </c>
      <c r="C1799" s="2683">
        <v>29.986999999999998</v>
      </c>
      <c r="D1799" s="2683">
        <v>62</v>
      </c>
      <c r="E1799" s="2683">
        <v>19.05</v>
      </c>
      <c r="F1799" s="2683" t="s">
        <v>5922</v>
      </c>
      <c r="G1799" s="2683" t="s">
        <v>5922</v>
      </c>
      <c r="H1799" s="2683" t="s">
        <v>5922</v>
      </c>
      <c r="I1799" s="2683" t="s">
        <v>5922</v>
      </c>
      <c r="J1799" s="2683">
        <v>0</v>
      </c>
      <c r="K1799" s="2684"/>
      <c r="L1799" s="2683" t="s">
        <v>5922</v>
      </c>
    </row>
    <row r="1800" spans="1:12">
      <c r="A1800" s="2682" t="s">
        <v>146</v>
      </c>
      <c r="B1800" s="2682" t="s">
        <v>7792</v>
      </c>
      <c r="C1800" s="2682">
        <v>30.111999999999998</v>
      </c>
      <c r="D1800" s="2682">
        <v>62</v>
      </c>
      <c r="E1800" s="2682">
        <v>19.05</v>
      </c>
      <c r="F1800" s="2682" t="s">
        <v>5922</v>
      </c>
      <c r="G1800" s="2682" t="s">
        <v>5922</v>
      </c>
      <c r="H1800" s="2682" t="s">
        <v>5922</v>
      </c>
      <c r="I1800" s="2682" t="s">
        <v>5922</v>
      </c>
      <c r="J1800" s="2682">
        <v>0</v>
      </c>
      <c r="L1800" s="2682" t="s">
        <v>5922</v>
      </c>
    </row>
    <row r="1801" spans="1:12">
      <c r="A1801" s="2683" t="s">
        <v>146</v>
      </c>
      <c r="B1801" s="2683" t="s">
        <v>7793</v>
      </c>
      <c r="C1801" s="2683">
        <v>28.574999999999999</v>
      </c>
      <c r="D1801" s="2683">
        <v>62</v>
      </c>
      <c r="E1801" s="2683">
        <v>19.05</v>
      </c>
      <c r="F1801" s="2683" t="s">
        <v>5922</v>
      </c>
      <c r="G1801" s="2683" t="s">
        <v>5922</v>
      </c>
      <c r="H1801" s="2683" t="s">
        <v>5922</v>
      </c>
      <c r="I1801" s="2683" t="s">
        <v>5922</v>
      </c>
      <c r="J1801" s="2683">
        <v>0</v>
      </c>
      <c r="K1801" s="2684"/>
      <c r="L1801" s="2683" t="s">
        <v>5922</v>
      </c>
    </row>
    <row r="1802" spans="1:12">
      <c r="A1802" s="2682" t="s">
        <v>146</v>
      </c>
      <c r="B1802" s="2682" t="s">
        <v>7794</v>
      </c>
      <c r="C1802" s="2682">
        <v>28.574999999999999</v>
      </c>
      <c r="D1802" s="2682">
        <v>62</v>
      </c>
      <c r="E1802" s="2682">
        <v>20.638000000000002</v>
      </c>
      <c r="F1802" s="2682" t="s">
        <v>5922</v>
      </c>
      <c r="G1802" s="2682" t="s">
        <v>5922</v>
      </c>
      <c r="H1802" s="2682" t="s">
        <v>5922</v>
      </c>
      <c r="I1802" s="2682" t="s">
        <v>5922</v>
      </c>
      <c r="J1802" s="2682">
        <v>0.28000000000000003</v>
      </c>
      <c r="L1802" s="2682" t="s">
        <v>5922</v>
      </c>
    </row>
    <row r="1803" spans="1:12">
      <c r="A1803" s="2683" t="s">
        <v>146</v>
      </c>
      <c r="B1803" s="2683" t="s">
        <v>7795</v>
      </c>
      <c r="C1803" s="2683">
        <v>26.988</v>
      </c>
      <c r="D1803" s="2683">
        <v>62</v>
      </c>
      <c r="E1803" s="2683">
        <v>19.05</v>
      </c>
      <c r="F1803" s="2683" t="s">
        <v>5922</v>
      </c>
      <c r="G1803" s="2683" t="s">
        <v>5922</v>
      </c>
      <c r="H1803" s="2683" t="s">
        <v>5922</v>
      </c>
      <c r="I1803" s="2683" t="s">
        <v>5922</v>
      </c>
      <c r="J1803" s="2683">
        <v>0</v>
      </c>
      <c r="K1803" s="2684"/>
      <c r="L1803" s="2683" t="s">
        <v>5922</v>
      </c>
    </row>
    <row r="1804" spans="1:12">
      <c r="A1804" s="2682" t="s">
        <v>146</v>
      </c>
      <c r="B1804" s="2682" t="s">
        <v>7796</v>
      </c>
      <c r="C1804" s="2682">
        <v>26.161999999999999</v>
      </c>
      <c r="D1804" s="2682">
        <v>61.912999999999997</v>
      </c>
      <c r="E1804" s="2682">
        <v>19.05</v>
      </c>
      <c r="F1804" s="2682" t="s">
        <v>5922</v>
      </c>
      <c r="G1804" s="2682" t="s">
        <v>5922</v>
      </c>
      <c r="H1804" s="2682" t="s">
        <v>5922</v>
      </c>
      <c r="I1804" s="2682" t="s">
        <v>5922</v>
      </c>
      <c r="J1804" s="2682">
        <v>0.27900000000000003</v>
      </c>
      <c r="L1804" s="2682" t="s">
        <v>5922</v>
      </c>
    </row>
    <row r="1805" spans="1:12">
      <c r="A1805" s="2683" t="s">
        <v>146</v>
      </c>
      <c r="B1805" s="2683" t="s">
        <v>7797</v>
      </c>
      <c r="C1805" s="2683">
        <v>26.161999999999999</v>
      </c>
      <c r="D1805" s="2683">
        <v>61.912999999999997</v>
      </c>
      <c r="E1805" s="2683">
        <v>19.05</v>
      </c>
      <c r="F1805" s="2683" t="s">
        <v>5922</v>
      </c>
      <c r="G1805" s="2683" t="s">
        <v>5922</v>
      </c>
      <c r="H1805" s="2683" t="s">
        <v>5922</v>
      </c>
      <c r="I1805" s="2683" t="s">
        <v>5922</v>
      </c>
      <c r="J1805" s="2683">
        <v>0.28699999999999998</v>
      </c>
      <c r="K1805" s="2684"/>
      <c r="L1805" s="2683" t="s">
        <v>5922</v>
      </c>
    </row>
    <row r="1806" spans="1:12">
      <c r="A1806" s="2682" t="s">
        <v>146</v>
      </c>
      <c r="B1806" s="2682" t="s">
        <v>7798</v>
      </c>
      <c r="C1806" s="2682">
        <v>25.4</v>
      </c>
      <c r="D1806" s="2682">
        <v>62</v>
      </c>
      <c r="E1806" s="2682">
        <v>20.638000000000002</v>
      </c>
      <c r="F1806" s="2682" t="s">
        <v>5922</v>
      </c>
      <c r="G1806" s="2682" t="s">
        <v>5922</v>
      </c>
      <c r="H1806" s="2682" t="s">
        <v>5922</v>
      </c>
      <c r="I1806" s="2682" t="s">
        <v>5922</v>
      </c>
      <c r="J1806" s="2682">
        <v>0</v>
      </c>
      <c r="L1806" s="2682" t="s">
        <v>5922</v>
      </c>
    </row>
    <row r="1807" spans="1:12">
      <c r="A1807" s="2683" t="s">
        <v>146</v>
      </c>
      <c r="B1807" s="2683" t="s">
        <v>7799</v>
      </c>
      <c r="C1807" s="2683">
        <v>25.4</v>
      </c>
      <c r="D1807" s="2683">
        <v>63.5</v>
      </c>
      <c r="E1807" s="2683">
        <v>20.683</v>
      </c>
      <c r="F1807" s="2683" t="s">
        <v>5922</v>
      </c>
      <c r="G1807" s="2683" t="s">
        <v>5922</v>
      </c>
      <c r="H1807" s="2683" t="s">
        <v>5922</v>
      </c>
      <c r="I1807" s="2683" t="s">
        <v>5922</v>
      </c>
      <c r="J1807" s="2683">
        <v>0</v>
      </c>
      <c r="K1807" s="2684"/>
      <c r="L1807" s="2683" t="s">
        <v>5922</v>
      </c>
    </row>
    <row r="1808" spans="1:12">
      <c r="A1808" s="2682" t="s">
        <v>146</v>
      </c>
      <c r="B1808" s="2682" t="s">
        <v>7800</v>
      </c>
      <c r="C1808" s="2682">
        <v>25.4</v>
      </c>
      <c r="D1808" s="2682">
        <v>63.5</v>
      </c>
      <c r="E1808" s="2682">
        <v>20.683</v>
      </c>
      <c r="F1808" s="2682" t="s">
        <v>5922</v>
      </c>
      <c r="G1808" s="2682" t="s">
        <v>5922</v>
      </c>
      <c r="H1808" s="2682" t="s">
        <v>5922</v>
      </c>
      <c r="I1808" s="2682" t="s">
        <v>5922</v>
      </c>
      <c r="J1808" s="2682">
        <v>0</v>
      </c>
      <c r="L1808" s="2682" t="s">
        <v>5922</v>
      </c>
    </row>
    <row r="1809" spans="1:12">
      <c r="A1809" s="2683" t="s">
        <v>146</v>
      </c>
      <c r="B1809" s="2683" t="s">
        <v>7801</v>
      </c>
      <c r="C1809" s="2683">
        <v>31.75</v>
      </c>
      <c r="D1809" s="2683">
        <v>62</v>
      </c>
      <c r="E1809" s="2683">
        <v>19.05</v>
      </c>
      <c r="F1809" s="2683" t="s">
        <v>5922</v>
      </c>
      <c r="G1809" s="2683" t="s">
        <v>5922</v>
      </c>
      <c r="H1809" s="2683" t="s">
        <v>5922</v>
      </c>
      <c r="I1809" s="2683" t="s">
        <v>5922</v>
      </c>
      <c r="J1809" s="2683">
        <v>0.23400000000000001</v>
      </c>
      <c r="K1809" s="2684"/>
      <c r="L1809" s="2683" t="s">
        <v>5922</v>
      </c>
    </row>
    <row r="1810" spans="1:12">
      <c r="A1810" s="2682" t="s">
        <v>146</v>
      </c>
      <c r="B1810" s="2682" t="s">
        <v>7802</v>
      </c>
      <c r="C1810" s="2682">
        <v>25.4</v>
      </c>
      <c r="D1810" s="2682">
        <v>62</v>
      </c>
      <c r="E1810" s="2682">
        <v>20.638000000000002</v>
      </c>
      <c r="F1810" s="2682" t="s">
        <v>5922</v>
      </c>
      <c r="G1810" s="2682" t="s">
        <v>5922</v>
      </c>
      <c r="H1810" s="2682" t="s">
        <v>5922</v>
      </c>
      <c r="I1810" s="2682" t="s">
        <v>5922</v>
      </c>
      <c r="J1810" s="2682">
        <v>0</v>
      </c>
      <c r="L1810" s="2682" t="s">
        <v>5922</v>
      </c>
    </row>
    <row r="1811" spans="1:12">
      <c r="A1811" s="2683" t="s">
        <v>146</v>
      </c>
      <c r="B1811" s="2683" t="s">
        <v>7803</v>
      </c>
      <c r="C1811" s="2683">
        <v>25.4</v>
      </c>
      <c r="D1811" s="2683">
        <v>62</v>
      </c>
      <c r="E1811" s="2683">
        <v>19.05</v>
      </c>
      <c r="F1811" s="2683" t="s">
        <v>5922</v>
      </c>
      <c r="G1811" s="2683" t="s">
        <v>5922</v>
      </c>
      <c r="H1811" s="2683" t="s">
        <v>5922</v>
      </c>
      <c r="I1811" s="2683" t="s">
        <v>5922</v>
      </c>
      <c r="J1811" s="2683">
        <v>0</v>
      </c>
      <c r="K1811" s="2684"/>
      <c r="L1811" s="2683" t="s">
        <v>5922</v>
      </c>
    </row>
    <row r="1812" spans="1:12">
      <c r="A1812" s="2682" t="s">
        <v>146</v>
      </c>
      <c r="B1812" s="2682" t="s">
        <v>7804</v>
      </c>
      <c r="C1812" s="2682">
        <v>25.4</v>
      </c>
      <c r="D1812" s="2682">
        <v>62</v>
      </c>
      <c r="E1812" s="2682">
        <v>19.05</v>
      </c>
      <c r="F1812" s="2682" t="s">
        <v>5922</v>
      </c>
      <c r="G1812" s="2682" t="s">
        <v>5922</v>
      </c>
      <c r="H1812" s="2682" t="s">
        <v>5922</v>
      </c>
      <c r="I1812" s="2682" t="s">
        <v>5922</v>
      </c>
      <c r="J1812" s="2682">
        <v>0</v>
      </c>
      <c r="L1812" s="2682" t="s">
        <v>5922</v>
      </c>
    </row>
    <row r="1813" spans="1:12">
      <c r="A1813" s="2683" t="s">
        <v>146</v>
      </c>
      <c r="B1813" s="2683" t="s">
        <v>7805</v>
      </c>
      <c r="C1813" s="2683">
        <v>34.975999999999999</v>
      </c>
      <c r="D1813" s="2683">
        <v>69.012</v>
      </c>
      <c r="E1813" s="2683">
        <v>19.844999999999999</v>
      </c>
      <c r="F1813" s="2683" t="s">
        <v>5922</v>
      </c>
      <c r="G1813" s="2683" t="s">
        <v>5922</v>
      </c>
      <c r="H1813" s="2683" t="s">
        <v>5922</v>
      </c>
      <c r="I1813" s="2683" t="s">
        <v>5922</v>
      </c>
      <c r="J1813" s="2683">
        <v>0</v>
      </c>
      <c r="K1813" s="2684"/>
      <c r="L1813" s="2683" t="s">
        <v>5922</v>
      </c>
    </row>
    <row r="1814" spans="1:12">
      <c r="A1814" s="2682" t="s">
        <v>146</v>
      </c>
      <c r="B1814" s="2682" t="s">
        <v>7806</v>
      </c>
      <c r="C1814" s="2682">
        <v>34.975999999999999</v>
      </c>
      <c r="D1814" s="2682">
        <v>68.956000000000003</v>
      </c>
      <c r="E1814" s="2682">
        <v>19.844999999999999</v>
      </c>
      <c r="F1814" s="2682" t="s">
        <v>5922</v>
      </c>
      <c r="G1814" s="2682" t="s">
        <v>5922</v>
      </c>
      <c r="H1814" s="2682" t="s">
        <v>5922</v>
      </c>
      <c r="I1814" s="2682" t="s">
        <v>5922</v>
      </c>
      <c r="J1814" s="2682">
        <v>0</v>
      </c>
      <c r="L1814" s="2682" t="s">
        <v>5922</v>
      </c>
    </row>
    <row r="1815" spans="1:12">
      <c r="A1815" s="2683" t="s">
        <v>146</v>
      </c>
      <c r="B1815" s="2683" t="s">
        <v>7807</v>
      </c>
      <c r="C1815" s="2683">
        <v>34.924999999999997</v>
      </c>
      <c r="D1815" s="2683">
        <v>69.012</v>
      </c>
      <c r="E1815" s="2683">
        <v>19.844999999999999</v>
      </c>
      <c r="F1815" s="2683" t="s">
        <v>5922</v>
      </c>
      <c r="G1815" s="2683" t="s">
        <v>5922</v>
      </c>
      <c r="H1815" s="2683" t="s">
        <v>5922</v>
      </c>
      <c r="I1815" s="2683" t="s">
        <v>5922</v>
      </c>
      <c r="J1815" s="2683">
        <v>0</v>
      </c>
      <c r="K1815" s="2684"/>
      <c r="L1815" s="2683" t="s">
        <v>5922</v>
      </c>
    </row>
    <row r="1816" spans="1:12">
      <c r="A1816" s="2682" t="s">
        <v>146</v>
      </c>
      <c r="B1816" s="2682" t="s">
        <v>7808</v>
      </c>
      <c r="C1816" s="2682">
        <v>34.924999999999997</v>
      </c>
      <c r="D1816" s="2682">
        <v>69.012</v>
      </c>
      <c r="E1816" s="2682">
        <v>19.844999999999999</v>
      </c>
      <c r="F1816" s="2682" t="s">
        <v>5922</v>
      </c>
      <c r="G1816" s="2682" t="s">
        <v>5922</v>
      </c>
      <c r="H1816" s="2682" t="s">
        <v>5922</v>
      </c>
      <c r="I1816" s="2682" t="s">
        <v>5922</v>
      </c>
      <c r="J1816" s="2682">
        <v>0</v>
      </c>
      <c r="L1816" s="2682" t="s">
        <v>5922</v>
      </c>
    </row>
    <row r="1817" spans="1:12">
      <c r="A1817" s="2683" t="s">
        <v>146</v>
      </c>
      <c r="B1817" s="2683" t="s">
        <v>7809</v>
      </c>
      <c r="C1817" s="2683">
        <v>34.924999999999997</v>
      </c>
      <c r="D1817" s="2683">
        <v>69.012</v>
      </c>
      <c r="E1817" s="2683">
        <v>19.844999999999999</v>
      </c>
      <c r="F1817" s="2683" t="s">
        <v>5922</v>
      </c>
      <c r="G1817" s="2683" t="s">
        <v>5922</v>
      </c>
      <c r="H1817" s="2683" t="s">
        <v>5922</v>
      </c>
      <c r="I1817" s="2683" t="s">
        <v>5922</v>
      </c>
      <c r="J1817" s="2683">
        <v>0</v>
      </c>
      <c r="K1817" s="2684"/>
      <c r="L1817" s="2683" t="s">
        <v>5922</v>
      </c>
    </row>
    <row r="1818" spans="1:12">
      <c r="A1818" s="2682" t="s">
        <v>146</v>
      </c>
      <c r="B1818" s="2682" t="s">
        <v>7810</v>
      </c>
      <c r="C1818" s="2682">
        <v>74</v>
      </c>
      <c r="D1818" s="2682">
        <v>132</v>
      </c>
      <c r="E1818" s="2682">
        <v>71</v>
      </c>
      <c r="F1818" s="2682" t="s">
        <v>5922</v>
      </c>
      <c r="G1818" s="2682" t="s">
        <v>5922</v>
      </c>
      <c r="H1818" s="2682" t="s">
        <v>5922</v>
      </c>
      <c r="I1818" s="2682" t="s">
        <v>5922</v>
      </c>
      <c r="J1818" s="2682">
        <v>3.28</v>
      </c>
      <c r="L1818" s="2682" t="s">
        <v>7811</v>
      </c>
    </row>
    <row r="1819" spans="1:12">
      <c r="A1819" s="2683" t="s">
        <v>146</v>
      </c>
      <c r="B1819" s="2683" t="s">
        <v>7812</v>
      </c>
      <c r="C1819" s="2683">
        <v>68</v>
      </c>
      <c r="D1819" s="2683">
        <v>115</v>
      </c>
      <c r="E1819" s="2683">
        <v>79.7</v>
      </c>
      <c r="F1819" s="2683" t="s">
        <v>5922</v>
      </c>
      <c r="G1819" s="2683" t="s">
        <v>5922</v>
      </c>
      <c r="H1819" s="2683" t="s">
        <v>5922</v>
      </c>
      <c r="I1819" s="2683" t="s">
        <v>5922</v>
      </c>
      <c r="J1819" s="2683">
        <v>2.85</v>
      </c>
      <c r="K1819" s="2684"/>
      <c r="L1819" s="2683" t="s">
        <v>7813</v>
      </c>
    </row>
    <row r="1820" spans="1:12">
      <c r="A1820" s="2682" t="s">
        <v>146</v>
      </c>
      <c r="B1820" s="2682" t="s">
        <v>7814</v>
      </c>
      <c r="C1820" s="2682">
        <v>343.05200000000002</v>
      </c>
      <c r="D1820" s="2682">
        <v>457.09800000000001</v>
      </c>
      <c r="E1820" s="2682">
        <v>254</v>
      </c>
      <c r="F1820" s="2682" t="s">
        <v>5922</v>
      </c>
      <c r="G1820" s="2682" t="s">
        <v>5922</v>
      </c>
      <c r="H1820" s="2682" t="s">
        <v>5922</v>
      </c>
      <c r="I1820" s="2682" t="s">
        <v>5922</v>
      </c>
      <c r="J1820" s="2682">
        <v>111</v>
      </c>
      <c r="L1820" s="2682" t="s">
        <v>7815</v>
      </c>
    </row>
    <row r="1821" spans="1:12">
      <c r="A1821" s="2683" t="s">
        <v>146</v>
      </c>
      <c r="B1821" s="2683" t="s">
        <v>7816</v>
      </c>
      <c r="C1821" s="2683">
        <v>266</v>
      </c>
      <c r="D1821" s="2683">
        <v>355</v>
      </c>
      <c r="E1821" s="2683">
        <v>228.6</v>
      </c>
      <c r="F1821" s="2683" t="s">
        <v>5922</v>
      </c>
      <c r="G1821" s="2683" t="s">
        <v>5922</v>
      </c>
      <c r="H1821" s="2683" t="s">
        <v>5922</v>
      </c>
      <c r="I1821" s="2683" t="s">
        <v>5922</v>
      </c>
      <c r="J1821" s="2683">
        <v>61.923000000000002</v>
      </c>
      <c r="K1821" s="2684"/>
      <c r="L1821" s="2683" t="s">
        <v>5922</v>
      </c>
    </row>
    <row r="1822" spans="1:12">
      <c r="A1822" s="2682" t="s">
        <v>146</v>
      </c>
      <c r="B1822" s="2682" t="s">
        <v>7817</v>
      </c>
      <c r="C1822" s="2682">
        <v>244.47499999999999</v>
      </c>
      <c r="D1822" s="2682">
        <v>327.02499999999998</v>
      </c>
      <c r="E1822" s="2682">
        <v>193.67500000000001</v>
      </c>
      <c r="F1822" s="2682" t="s">
        <v>5922</v>
      </c>
      <c r="G1822" s="2682" t="s">
        <v>5922</v>
      </c>
      <c r="H1822" s="2682" t="s">
        <v>5922</v>
      </c>
      <c r="I1822" s="2682" t="s">
        <v>5922</v>
      </c>
      <c r="J1822" s="2682">
        <v>44.1</v>
      </c>
      <c r="L1822" s="2682" t="s">
        <v>5922</v>
      </c>
    </row>
    <row r="1823" spans="1:12">
      <c r="A1823" s="2683" t="s">
        <v>146</v>
      </c>
      <c r="B1823" s="2683" t="s">
        <v>7818</v>
      </c>
      <c r="C1823" s="2683">
        <v>244.47499999999999</v>
      </c>
      <c r="D1823" s="2683">
        <v>327.02499999999998</v>
      </c>
      <c r="E1823" s="2683">
        <v>193.67500000000001</v>
      </c>
      <c r="F1823" s="2683" t="s">
        <v>5922</v>
      </c>
      <c r="G1823" s="2683" t="s">
        <v>5922</v>
      </c>
      <c r="H1823" s="2683" t="s">
        <v>5922</v>
      </c>
      <c r="I1823" s="2683" t="s">
        <v>5922</v>
      </c>
      <c r="J1823" s="2683">
        <v>44.213999999999999</v>
      </c>
      <c r="K1823" s="2684"/>
      <c r="L1823" s="2683" t="s">
        <v>5922</v>
      </c>
    </row>
    <row r="1824" spans="1:12">
      <c r="A1824" s="2682" t="s">
        <v>146</v>
      </c>
      <c r="B1824" s="2682" t="s">
        <v>7819</v>
      </c>
      <c r="C1824" s="2682">
        <v>180</v>
      </c>
      <c r="D1824" s="2682">
        <v>300</v>
      </c>
      <c r="E1824" s="2682">
        <v>120</v>
      </c>
      <c r="F1824" s="2682" t="s">
        <v>5922</v>
      </c>
      <c r="G1824" s="2682" t="s">
        <v>5922</v>
      </c>
      <c r="H1824" s="2682" t="s">
        <v>5922</v>
      </c>
      <c r="I1824" s="2682" t="s">
        <v>5922</v>
      </c>
      <c r="J1824" s="2682">
        <v>3.0920000000000001</v>
      </c>
      <c r="L1824" s="2682" t="s">
        <v>5922</v>
      </c>
    </row>
    <row r="1825" spans="1:12">
      <c r="A1825" s="2683" t="s">
        <v>146</v>
      </c>
      <c r="B1825" s="2683" t="s">
        <v>7820</v>
      </c>
      <c r="C1825" s="2683">
        <v>44.15</v>
      </c>
      <c r="D1825" s="2683">
        <v>241.3</v>
      </c>
      <c r="E1825" s="2683">
        <v>209.6</v>
      </c>
      <c r="F1825" s="2683" t="s">
        <v>5922</v>
      </c>
      <c r="G1825" s="2683" t="s">
        <v>5922</v>
      </c>
      <c r="H1825" s="2683" t="s">
        <v>5922</v>
      </c>
      <c r="I1825" s="2683" t="s">
        <v>5922</v>
      </c>
      <c r="J1825" s="2683">
        <v>131.28</v>
      </c>
      <c r="K1825" s="2684"/>
      <c r="L1825" s="2683" t="s">
        <v>5922</v>
      </c>
    </row>
    <row r="1826" spans="1:12">
      <c r="A1826" s="2682" t="s">
        <v>146</v>
      </c>
      <c r="B1826" s="2682" t="s">
        <v>7821</v>
      </c>
      <c r="C1826" s="2682">
        <v>140</v>
      </c>
      <c r="D1826" s="2682">
        <v>240</v>
      </c>
      <c r="E1826" s="2682">
        <v>132</v>
      </c>
      <c r="F1826" s="2682" t="s">
        <v>5922</v>
      </c>
      <c r="G1826" s="2682" t="s">
        <v>5922</v>
      </c>
      <c r="H1826" s="2682" t="s">
        <v>5922</v>
      </c>
      <c r="I1826" s="2682" t="s">
        <v>5922</v>
      </c>
      <c r="J1826" s="2682">
        <v>23.632999999999999</v>
      </c>
      <c r="L1826" s="2682" t="s">
        <v>5922</v>
      </c>
    </row>
    <row r="1827" spans="1:12">
      <c r="A1827" s="2683" t="s">
        <v>146</v>
      </c>
      <c r="B1827" s="2683" t="s">
        <v>7822</v>
      </c>
      <c r="C1827" s="2683">
        <v>355.6</v>
      </c>
      <c r="D1827" s="2683">
        <v>482.6</v>
      </c>
      <c r="E1827" s="2683">
        <v>265</v>
      </c>
      <c r="F1827" s="2683" t="s">
        <v>5922</v>
      </c>
      <c r="G1827" s="2683" t="s">
        <v>5922</v>
      </c>
      <c r="H1827" s="2683" t="s">
        <v>5922</v>
      </c>
      <c r="I1827" s="2683" t="s">
        <v>5922</v>
      </c>
      <c r="J1827" s="2683">
        <v>137.80000000000001</v>
      </c>
      <c r="K1827" s="2684"/>
      <c r="L1827" s="2683" t="s">
        <v>5922</v>
      </c>
    </row>
    <row r="1828" spans="1:12">
      <c r="A1828" s="2682" t="s">
        <v>146</v>
      </c>
      <c r="B1828" s="2682" t="s">
        <v>7823</v>
      </c>
      <c r="C1828" s="2682">
        <v>110</v>
      </c>
      <c r="D1828" s="2682">
        <v>165</v>
      </c>
      <c r="E1828" s="2682">
        <v>80</v>
      </c>
      <c r="F1828" s="2682" t="s">
        <v>5922</v>
      </c>
      <c r="G1828" s="2682" t="s">
        <v>5922</v>
      </c>
      <c r="H1828" s="2682" t="s">
        <v>5922</v>
      </c>
      <c r="I1828" s="2682" t="s">
        <v>5922</v>
      </c>
      <c r="J1828" s="2682">
        <v>5.2</v>
      </c>
      <c r="L1828" s="2682" t="s">
        <v>5922</v>
      </c>
    </row>
    <row r="1829" spans="1:12">
      <c r="A1829" s="2683" t="s">
        <v>146</v>
      </c>
      <c r="B1829" s="2683" t="s">
        <v>7824</v>
      </c>
      <c r="C1829" s="2683">
        <v>76.2</v>
      </c>
      <c r="D1829" s="2683">
        <v>181</v>
      </c>
      <c r="E1829" s="2683">
        <v>35.72</v>
      </c>
      <c r="F1829" s="2683" t="s">
        <v>5922</v>
      </c>
      <c r="G1829" s="2683" t="s">
        <v>5922</v>
      </c>
      <c r="H1829" s="2683" t="s">
        <v>5922</v>
      </c>
      <c r="I1829" s="2683" t="s">
        <v>5922</v>
      </c>
      <c r="J1829" s="2683">
        <v>6.47</v>
      </c>
      <c r="K1829" s="2684"/>
      <c r="L1829" s="2683" t="s">
        <v>5922</v>
      </c>
    </row>
    <row r="1830" spans="1:12">
      <c r="A1830" s="2682" t="s">
        <v>146</v>
      </c>
      <c r="B1830" s="2682" t="s">
        <v>7825</v>
      </c>
      <c r="C1830" s="2682">
        <v>170</v>
      </c>
      <c r="D1830" s="2682">
        <v>230</v>
      </c>
      <c r="E1830" s="2682">
        <v>23</v>
      </c>
      <c r="F1830" s="2682" t="s">
        <v>5922</v>
      </c>
      <c r="G1830" s="2682" t="s">
        <v>5922</v>
      </c>
      <c r="H1830" s="2682" t="s">
        <v>5922</v>
      </c>
      <c r="I1830" s="2682" t="s">
        <v>5922</v>
      </c>
      <c r="J1830" s="2682">
        <v>3.476</v>
      </c>
      <c r="L1830" s="2682" t="s">
        <v>5922</v>
      </c>
    </row>
    <row r="1831" spans="1:12">
      <c r="A1831" s="2683" t="s">
        <v>146</v>
      </c>
      <c r="B1831" s="2683">
        <v>542327</v>
      </c>
      <c r="C1831" s="2683">
        <v>25</v>
      </c>
      <c r="D1831" s="2683">
        <v>64</v>
      </c>
      <c r="E1831" s="2683">
        <v>38</v>
      </c>
      <c r="F1831" s="2683" t="s">
        <v>5922</v>
      </c>
      <c r="G1831" s="2683" t="s">
        <v>5922</v>
      </c>
      <c r="H1831" s="2683" t="s">
        <v>5922</v>
      </c>
      <c r="I1831" s="2683" t="s">
        <v>5922</v>
      </c>
      <c r="J1831" s="2683">
        <v>0</v>
      </c>
      <c r="K1831" s="2684"/>
      <c r="L1831" s="2683" t="s">
        <v>5922</v>
      </c>
    </row>
    <row r="1832" spans="1:12">
      <c r="A1832" s="2682" t="s">
        <v>146</v>
      </c>
      <c r="B1832" s="2682">
        <v>533370</v>
      </c>
      <c r="C1832" s="2682">
        <v>25</v>
      </c>
      <c r="D1832" s="2682">
        <v>64</v>
      </c>
      <c r="E1832" s="2682">
        <v>38</v>
      </c>
      <c r="F1832" s="2682" t="s">
        <v>5922</v>
      </c>
      <c r="G1832" s="2682" t="s">
        <v>5922</v>
      </c>
      <c r="H1832" s="2682" t="s">
        <v>5922</v>
      </c>
      <c r="I1832" s="2682" t="s">
        <v>5922</v>
      </c>
      <c r="J1832" s="2682">
        <v>0.751</v>
      </c>
      <c r="L1832" s="2682" t="s">
        <v>5922</v>
      </c>
    </row>
    <row r="1833" spans="1:12">
      <c r="A1833" s="2683" t="s">
        <v>146</v>
      </c>
      <c r="B1833" s="2683">
        <v>532968</v>
      </c>
      <c r="C1833" s="2683">
        <v>355.6</v>
      </c>
      <c r="D1833" s="2683">
        <v>457.2</v>
      </c>
      <c r="E1833" s="2683">
        <v>252.41300000000001</v>
      </c>
      <c r="F1833" s="2683" t="s">
        <v>5922</v>
      </c>
      <c r="G1833" s="2683" t="s">
        <v>5922</v>
      </c>
      <c r="H1833" s="2683" t="s">
        <v>5922</v>
      </c>
      <c r="I1833" s="2683" t="s">
        <v>5922</v>
      </c>
      <c r="J1833" s="2683">
        <v>102</v>
      </c>
      <c r="K1833" s="2684"/>
      <c r="L1833" s="2683">
        <v>77971</v>
      </c>
    </row>
    <row r="1834" spans="1:12">
      <c r="A1834" s="2682" t="s">
        <v>146</v>
      </c>
      <c r="B1834" s="2682">
        <v>511860</v>
      </c>
      <c r="C1834" s="2682">
        <v>279.39999999999998</v>
      </c>
      <c r="D1834" s="2682">
        <v>393.7</v>
      </c>
      <c r="E1834" s="2682">
        <v>269.875</v>
      </c>
      <c r="F1834" s="2682" t="s">
        <v>5922</v>
      </c>
      <c r="G1834" s="2682" t="s">
        <v>5922</v>
      </c>
      <c r="H1834" s="2682" t="s">
        <v>5922</v>
      </c>
      <c r="I1834" s="2682" t="s">
        <v>5922</v>
      </c>
      <c r="J1834" s="2682">
        <v>108</v>
      </c>
      <c r="L1834" s="2682">
        <v>77956</v>
      </c>
    </row>
    <row r="1835" spans="1:12">
      <c r="A1835" s="2683" t="s">
        <v>146</v>
      </c>
      <c r="B1835" s="2683" t="s">
        <v>7826</v>
      </c>
      <c r="C1835" s="2683">
        <v>229.4</v>
      </c>
      <c r="D1835" s="2683">
        <v>393.7</v>
      </c>
      <c r="E1835" s="2683">
        <v>269.875</v>
      </c>
      <c r="F1835" s="2683" t="s">
        <v>5922</v>
      </c>
      <c r="G1835" s="2683" t="s">
        <v>5922</v>
      </c>
      <c r="H1835" s="2683" t="s">
        <v>5922</v>
      </c>
      <c r="I1835" s="2683" t="s">
        <v>5922</v>
      </c>
      <c r="J1835" s="2683">
        <v>97.5</v>
      </c>
      <c r="K1835" s="2684"/>
      <c r="L1835" s="2683" t="s">
        <v>5922</v>
      </c>
    </row>
    <row r="1836" spans="1:12">
      <c r="A1836" s="2682" t="s">
        <v>146</v>
      </c>
      <c r="B1836" s="2682" t="s">
        <v>7827</v>
      </c>
      <c r="C1836" s="2682">
        <v>360</v>
      </c>
      <c r="D1836" s="2682">
        <v>480</v>
      </c>
      <c r="E1836" s="2682">
        <v>375</v>
      </c>
      <c r="F1836" s="2682" t="s">
        <v>5922</v>
      </c>
      <c r="G1836" s="2682" t="s">
        <v>5922</v>
      </c>
      <c r="H1836" s="2682" t="s">
        <v>5922</v>
      </c>
      <c r="I1836" s="2682" t="s">
        <v>5922</v>
      </c>
      <c r="J1836" s="2682">
        <v>197</v>
      </c>
      <c r="L1836" s="2682">
        <v>77872</v>
      </c>
    </row>
    <row r="1837" spans="1:12">
      <c r="A1837" s="2683" t="s">
        <v>146</v>
      </c>
      <c r="B1837" s="2683" t="s">
        <v>7828</v>
      </c>
      <c r="C1837" s="2683">
        <v>340</v>
      </c>
      <c r="D1837" s="2683">
        <v>460</v>
      </c>
      <c r="E1837" s="2683">
        <v>310</v>
      </c>
      <c r="F1837" s="2683" t="s">
        <v>5922</v>
      </c>
      <c r="G1837" s="2683" t="s">
        <v>5922</v>
      </c>
      <c r="H1837" s="2683" t="s">
        <v>5922</v>
      </c>
      <c r="I1837" s="2683" t="s">
        <v>5922</v>
      </c>
      <c r="J1837" s="2683">
        <v>145</v>
      </c>
      <c r="K1837" s="2684"/>
      <c r="L1837" s="2683" t="s">
        <v>7829</v>
      </c>
    </row>
    <row r="1838" spans="1:12">
      <c r="A1838" s="2682" t="s">
        <v>146</v>
      </c>
      <c r="B1838" s="2682" t="s">
        <v>7830</v>
      </c>
      <c r="C1838" s="2682">
        <v>300</v>
      </c>
      <c r="D1838" s="2682">
        <v>420</v>
      </c>
      <c r="E1838" s="2682">
        <v>300</v>
      </c>
      <c r="F1838" s="2682" t="s">
        <v>5922</v>
      </c>
      <c r="G1838" s="2682" t="s">
        <v>5922</v>
      </c>
      <c r="H1838" s="2682" t="s">
        <v>5922</v>
      </c>
      <c r="I1838" s="2682" t="s">
        <v>5922</v>
      </c>
      <c r="J1838" s="2682">
        <v>130</v>
      </c>
      <c r="L1838" s="2682" t="s">
        <v>7831</v>
      </c>
    </row>
    <row r="1839" spans="1:12">
      <c r="A1839" s="2683" t="s">
        <v>146</v>
      </c>
      <c r="B1839" s="2683" t="s">
        <v>7832</v>
      </c>
      <c r="C1839" s="2683">
        <v>630</v>
      </c>
      <c r="D1839" s="2683">
        <v>850</v>
      </c>
      <c r="E1839" s="2683">
        <v>418</v>
      </c>
      <c r="F1839" s="2683" t="s">
        <v>5922</v>
      </c>
      <c r="G1839" s="2683" t="s">
        <v>5922</v>
      </c>
      <c r="H1839" s="2683" t="s">
        <v>5922</v>
      </c>
      <c r="I1839" s="2683" t="s">
        <v>5922</v>
      </c>
      <c r="J1839" s="2683">
        <v>720</v>
      </c>
      <c r="K1839" s="2684"/>
      <c r="L1839" s="2683" t="s">
        <v>7833</v>
      </c>
    </row>
    <row r="1840" spans="1:12">
      <c r="A1840" s="2682" t="s">
        <v>146</v>
      </c>
      <c r="B1840" s="2682" t="s">
        <v>7834</v>
      </c>
      <c r="C1840" s="2682">
        <v>600</v>
      </c>
      <c r="D1840" s="2682">
        <v>800</v>
      </c>
      <c r="E1840" s="2682">
        <v>380</v>
      </c>
      <c r="F1840" s="2682" t="s">
        <v>5922</v>
      </c>
      <c r="G1840" s="2682" t="s">
        <v>5922</v>
      </c>
      <c r="H1840" s="2682" t="s">
        <v>5922</v>
      </c>
      <c r="I1840" s="2682" t="s">
        <v>5922</v>
      </c>
      <c r="J1840" s="2682">
        <v>497</v>
      </c>
      <c r="L1840" s="2682" t="s">
        <v>6449</v>
      </c>
    </row>
    <row r="1841" spans="1:12">
      <c r="A1841" s="2683" t="s">
        <v>146</v>
      </c>
      <c r="B1841" s="2683" t="s">
        <v>7835</v>
      </c>
      <c r="C1841" s="2683">
        <v>600</v>
      </c>
      <c r="D1841" s="2683">
        <v>800</v>
      </c>
      <c r="E1841" s="2683">
        <v>380</v>
      </c>
      <c r="F1841" s="2683" t="s">
        <v>5922</v>
      </c>
      <c r="G1841" s="2683" t="s">
        <v>5922</v>
      </c>
      <c r="H1841" s="2683" t="s">
        <v>5922</v>
      </c>
      <c r="I1841" s="2683" t="s">
        <v>5922</v>
      </c>
      <c r="J1841" s="2683">
        <v>545</v>
      </c>
      <c r="K1841" s="2684"/>
      <c r="L1841" s="2683" t="s">
        <v>7836</v>
      </c>
    </row>
    <row r="1842" spans="1:12">
      <c r="A1842" s="2682" t="s">
        <v>146</v>
      </c>
      <c r="B1842" s="2682" t="s">
        <v>7837</v>
      </c>
      <c r="C1842" s="2682">
        <v>600</v>
      </c>
      <c r="D1842" s="2682">
        <v>800</v>
      </c>
      <c r="E1842" s="2682">
        <v>380</v>
      </c>
      <c r="F1842" s="2682" t="s">
        <v>5922</v>
      </c>
      <c r="G1842" s="2682" t="s">
        <v>5922</v>
      </c>
      <c r="H1842" s="2682" t="s">
        <v>5922</v>
      </c>
      <c r="I1842" s="2682" t="s">
        <v>5922</v>
      </c>
      <c r="J1842" s="2682">
        <v>536</v>
      </c>
      <c r="L1842" s="2682" t="s">
        <v>7838</v>
      </c>
    </row>
    <row r="1843" spans="1:12">
      <c r="A1843" s="2683" t="s">
        <v>146</v>
      </c>
      <c r="B1843" s="2683" t="s">
        <v>7839</v>
      </c>
      <c r="C1843" s="2683">
        <v>560</v>
      </c>
      <c r="D1843" s="2683">
        <v>750</v>
      </c>
      <c r="E1843" s="2683">
        <v>368</v>
      </c>
      <c r="F1843" s="2683" t="s">
        <v>5922</v>
      </c>
      <c r="G1843" s="2683" t="s">
        <v>5922</v>
      </c>
      <c r="H1843" s="2683" t="s">
        <v>5922</v>
      </c>
      <c r="I1843" s="2683" t="s">
        <v>5922</v>
      </c>
      <c r="J1843" s="2683">
        <v>455</v>
      </c>
      <c r="K1843" s="2684"/>
      <c r="L1843" s="2683" t="s">
        <v>7840</v>
      </c>
    </row>
    <row r="1844" spans="1:12">
      <c r="A1844" s="2682" t="s">
        <v>146</v>
      </c>
      <c r="B1844" s="2682" t="s">
        <v>7841</v>
      </c>
      <c r="C1844" s="2682">
        <v>560</v>
      </c>
      <c r="D1844" s="2682">
        <v>750</v>
      </c>
      <c r="E1844" s="2682">
        <v>368</v>
      </c>
      <c r="F1844" s="2682" t="s">
        <v>5922</v>
      </c>
      <c r="G1844" s="2682" t="s">
        <v>5922</v>
      </c>
      <c r="H1844" s="2682" t="s">
        <v>5922</v>
      </c>
      <c r="I1844" s="2682" t="s">
        <v>5922</v>
      </c>
      <c r="J1844" s="2682">
        <v>456</v>
      </c>
      <c r="L1844" s="2682" t="s">
        <v>7842</v>
      </c>
    </row>
    <row r="1845" spans="1:12">
      <c r="A1845" s="2683" t="s">
        <v>146</v>
      </c>
      <c r="B1845" s="2683" t="s">
        <v>7843</v>
      </c>
      <c r="C1845" s="2683">
        <v>540</v>
      </c>
      <c r="D1845" s="2683">
        <v>690</v>
      </c>
      <c r="E1845" s="2683">
        <v>400</v>
      </c>
      <c r="F1845" s="2683" t="s">
        <v>5922</v>
      </c>
      <c r="G1845" s="2683" t="s">
        <v>5922</v>
      </c>
      <c r="H1845" s="2683" t="s">
        <v>5922</v>
      </c>
      <c r="I1845" s="2683" t="s">
        <v>5922</v>
      </c>
      <c r="J1845" s="2683">
        <v>375</v>
      </c>
      <c r="K1845" s="2684"/>
      <c r="L1845" s="2683" t="s">
        <v>7844</v>
      </c>
    </row>
    <row r="1846" spans="1:12">
      <c r="A1846" s="2682" t="s">
        <v>146</v>
      </c>
      <c r="B1846" s="2682">
        <v>381196</v>
      </c>
      <c r="C1846" s="2682">
        <v>480</v>
      </c>
      <c r="D1846" s="2682">
        <v>790</v>
      </c>
      <c r="E1846" s="2682">
        <v>530</v>
      </c>
      <c r="F1846" s="2682" t="s">
        <v>5922</v>
      </c>
      <c r="G1846" s="2682" t="s">
        <v>5922</v>
      </c>
      <c r="H1846" s="2682" t="s">
        <v>5922</v>
      </c>
      <c r="I1846" s="2682" t="s">
        <v>5922</v>
      </c>
      <c r="J1846" s="2682">
        <v>1012</v>
      </c>
      <c r="L1846" s="2682">
        <v>1077796</v>
      </c>
    </row>
    <row r="1847" spans="1:12">
      <c r="A1847" s="2683" t="s">
        <v>146</v>
      </c>
      <c r="B1847" s="2683">
        <v>381192</v>
      </c>
      <c r="C1847" s="2683">
        <v>460</v>
      </c>
      <c r="D1847" s="2683">
        <v>760</v>
      </c>
      <c r="E1847" s="2683">
        <v>520</v>
      </c>
      <c r="F1847" s="2683" t="s">
        <v>5922</v>
      </c>
      <c r="G1847" s="2683" t="s">
        <v>5922</v>
      </c>
      <c r="H1847" s="2683" t="s">
        <v>5922</v>
      </c>
      <c r="I1847" s="2683" t="s">
        <v>5922</v>
      </c>
      <c r="J1847" s="2683">
        <v>903</v>
      </c>
      <c r="K1847" s="2684"/>
      <c r="L1847" s="2683">
        <v>1077792</v>
      </c>
    </row>
    <row r="1848" spans="1:12">
      <c r="A1848" s="2682" t="s">
        <v>146</v>
      </c>
      <c r="B1848" s="2682">
        <v>381188</v>
      </c>
      <c r="C1848" s="2682">
        <v>440</v>
      </c>
      <c r="D1848" s="2682">
        <v>720</v>
      </c>
      <c r="E1848" s="2682">
        <v>480</v>
      </c>
      <c r="F1848" s="2682" t="s">
        <v>5922</v>
      </c>
      <c r="G1848" s="2682" t="s">
        <v>5922</v>
      </c>
      <c r="H1848" s="2682" t="s">
        <v>5922</v>
      </c>
      <c r="I1848" s="2682" t="s">
        <v>5922</v>
      </c>
      <c r="J1848" s="2682">
        <v>812</v>
      </c>
      <c r="L1848" s="2682">
        <v>1077788</v>
      </c>
    </row>
    <row r="1849" spans="1:12">
      <c r="A1849" s="2683" t="s">
        <v>146</v>
      </c>
      <c r="B1849" s="2683" t="s">
        <v>7845</v>
      </c>
      <c r="C1849" s="2683">
        <v>420</v>
      </c>
      <c r="D1849" s="2683">
        <v>700</v>
      </c>
      <c r="E1849" s="2683">
        <v>480</v>
      </c>
      <c r="F1849" s="2683" t="s">
        <v>5922</v>
      </c>
      <c r="G1849" s="2683" t="s">
        <v>5922</v>
      </c>
      <c r="H1849" s="2683" t="s">
        <v>5922</v>
      </c>
      <c r="I1849" s="2683" t="s">
        <v>5922</v>
      </c>
      <c r="J1849" s="2683">
        <v>760</v>
      </c>
      <c r="K1849" s="2684"/>
      <c r="L1849" s="2683" t="s">
        <v>7846</v>
      </c>
    </row>
    <row r="1850" spans="1:12">
      <c r="A1850" s="2682" t="s">
        <v>146</v>
      </c>
      <c r="B1850" s="2682">
        <v>381180</v>
      </c>
      <c r="C1850" s="2682">
        <v>400</v>
      </c>
      <c r="D1850" s="2682">
        <v>650</v>
      </c>
      <c r="E1850" s="2682">
        <v>456</v>
      </c>
      <c r="F1850" s="2682" t="s">
        <v>5922</v>
      </c>
      <c r="G1850" s="2682" t="s">
        <v>5922</v>
      </c>
      <c r="H1850" s="2682" t="s">
        <v>5922</v>
      </c>
      <c r="I1850" s="2682" t="s">
        <v>5922</v>
      </c>
      <c r="J1850" s="2682">
        <v>532</v>
      </c>
      <c r="L1850" s="2682">
        <v>1077780</v>
      </c>
    </row>
    <row r="1851" spans="1:12">
      <c r="A1851" s="2683" t="s">
        <v>146</v>
      </c>
      <c r="B1851" s="2683" t="s">
        <v>7847</v>
      </c>
      <c r="C1851" s="2683">
        <v>380</v>
      </c>
      <c r="D1851" s="2683">
        <v>620</v>
      </c>
      <c r="E1851" s="2683">
        <v>420</v>
      </c>
      <c r="F1851" s="2683" t="s">
        <v>5922</v>
      </c>
      <c r="G1851" s="2683" t="s">
        <v>5922</v>
      </c>
      <c r="H1851" s="2683" t="s">
        <v>5922</v>
      </c>
      <c r="I1851" s="2683" t="s">
        <v>5922</v>
      </c>
      <c r="J1851" s="2683">
        <v>486.5</v>
      </c>
      <c r="K1851" s="2684"/>
      <c r="L1851" s="2683">
        <v>1077776</v>
      </c>
    </row>
    <row r="1852" spans="1:12">
      <c r="A1852" s="2682" t="s">
        <v>146</v>
      </c>
      <c r="B1852" s="2682" t="s">
        <v>7848</v>
      </c>
      <c r="C1852" s="2682">
        <v>380</v>
      </c>
      <c r="D1852" s="2682">
        <v>620</v>
      </c>
      <c r="E1852" s="2682">
        <v>420</v>
      </c>
      <c r="F1852" s="2682" t="s">
        <v>5922</v>
      </c>
      <c r="G1852" s="2682" t="s">
        <v>5922</v>
      </c>
      <c r="H1852" s="2682" t="s">
        <v>5922</v>
      </c>
      <c r="I1852" s="2682" t="s">
        <v>5922</v>
      </c>
      <c r="J1852" s="2682">
        <v>519</v>
      </c>
      <c r="L1852" s="2682" t="s">
        <v>7849</v>
      </c>
    </row>
    <row r="1853" spans="1:12">
      <c r="A1853" s="2683" t="s">
        <v>146</v>
      </c>
      <c r="B1853" s="2683" t="s">
        <v>7850</v>
      </c>
      <c r="C1853" s="2683">
        <v>380</v>
      </c>
      <c r="D1853" s="2683">
        <v>620</v>
      </c>
      <c r="E1853" s="2683">
        <v>420</v>
      </c>
      <c r="F1853" s="2683" t="s">
        <v>5922</v>
      </c>
      <c r="G1853" s="2683" t="s">
        <v>5922</v>
      </c>
      <c r="H1853" s="2683" t="s">
        <v>5922</v>
      </c>
      <c r="I1853" s="2683" t="s">
        <v>5922</v>
      </c>
      <c r="J1853" s="2683">
        <v>519</v>
      </c>
      <c r="K1853" s="2684"/>
      <c r="L1853" s="2683" t="s">
        <v>7851</v>
      </c>
    </row>
    <row r="1854" spans="1:12">
      <c r="A1854" s="2682" t="s">
        <v>146</v>
      </c>
      <c r="B1854" s="2682" t="s">
        <v>7852</v>
      </c>
      <c r="C1854" s="2682">
        <v>360</v>
      </c>
      <c r="D1854" s="2682">
        <v>600</v>
      </c>
      <c r="E1854" s="2682">
        <v>420</v>
      </c>
      <c r="F1854" s="2682" t="s">
        <v>5922</v>
      </c>
      <c r="G1854" s="2682" t="s">
        <v>5922</v>
      </c>
      <c r="H1854" s="2682" t="s">
        <v>5922</v>
      </c>
      <c r="I1854" s="2682" t="s">
        <v>5922</v>
      </c>
      <c r="J1854" s="2682">
        <v>463</v>
      </c>
      <c r="L1854" s="2682" t="s">
        <v>7853</v>
      </c>
    </row>
    <row r="1855" spans="1:12">
      <c r="A1855" s="2683" t="s">
        <v>146</v>
      </c>
      <c r="B1855" s="2683" t="s">
        <v>7854</v>
      </c>
      <c r="C1855" s="2683">
        <v>340</v>
      </c>
      <c r="D1855" s="2683">
        <v>580</v>
      </c>
      <c r="E1855" s="2683">
        <v>425</v>
      </c>
      <c r="F1855" s="2683" t="s">
        <v>5922</v>
      </c>
      <c r="G1855" s="2683" t="s">
        <v>5922</v>
      </c>
      <c r="H1855" s="2683" t="s">
        <v>5922</v>
      </c>
      <c r="I1855" s="2683" t="s">
        <v>5922</v>
      </c>
      <c r="J1855" s="2683">
        <v>441</v>
      </c>
      <c r="K1855" s="2684"/>
      <c r="L1855" s="2683" t="s">
        <v>7855</v>
      </c>
    </row>
    <row r="1856" spans="1:12">
      <c r="A1856" s="2682" t="s">
        <v>146</v>
      </c>
      <c r="B1856" s="2682">
        <v>381168</v>
      </c>
      <c r="C1856" s="2682">
        <v>340</v>
      </c>
      <c r="D1856" s="2682">
        <v>580</v>
      </c>
      <c r="E1856" s="2682">
        <v>425</v>
      </c>
      <c r="F1856" s="2682" t="s">
        <v>5922</v>
      </c>
      <c r="G1856" s="2682" t="s">
        <v>5922</v>
      </c>
      <c r="H1856" s="2682" t="s">
        <v>5922</v>
      </c>
      <c r="I1856" s="2682" t="s">
        <v>5922</v>
      </c>
      <c r="J1856" s="2682">
        <v>441</v>
      </c>
      <c r="L1856" s="2682">
        <v>1077768</v>
      </c>
    </row>
    <row r="1857" spans="1:12">
      <c r="A1857" s="2683" t="s">
        <v>146</v>
      </c>
      <c r="B1857" s="2683">
        <v>381164</v>
      </c>
      <c r="C1857" s="2683">
        <v>320</v>
      </c>
      <c r="D1857" s="2683">
        <v>540</v>
      </c>
      <c r="E1857" s="2683">
        <v>406</v>
      </c>
      <c r="F1857" s="2683" t="s">
        <v>5922</v>
      </c>
      <c r="G1857" s="2683" t="s">
        <v>5922</v>
      </c>
      <c r="H1857" s="2683" t="s">
        <v>5922</v>
      </c>
      <c r="I1857" s="2683" t="s">
        <v>5922</v>
      </c>
      <c r="J1857" s="2683">
        <v>311</v>
      </c>
      <c r="K1857" s="2684"/>
      <c r="L1857" s="2683">
        <v>1077764</v>
      </c>
    </row>
    <row r="1858" spans="1:12">
      <c r="A1858" s="2682" t="s">
        <v>146</v>
      </c>
      <c r="B1858" s="2682" t="s">
        <v>7856</v>
      </c>
      <c r="C1858" s="2682">
        <v>300</v>
      </c>
      <c r="D1858" s="2682">
        <v>500</v>
      </c>
      <c r="E1858" s="2682">
        <v>350</v>
      </c>
      <c r="F1858" s="2682" t="s">
        <v>5922</v>
      </c>
      <c r="G1858" s="2682" t="s">
        <v>5922</v>
      </c>
      <c r="H1858" s="2682" t="s">
        <v>5922</v>
      </c>
      <c r="I1858" s="2682" t="s">
        <v>5922</v>
      </c>
      <c r="J1858" s="2682">
        <v>279</v>
      </c>
      <c r="L1858" s="2682" t="s">
        <v>7857</v>
      </c>
    </row>
    <row r="1859" spans="1:12">
      <c r="A1859" s="2683" t="s">
        <v>146</v>
      </c>
      <c r="B1859" s="2683" t="s">
        <v>7858</v>
      </c>
      <c r="C1859" s="2683">
        <v>300</v>
      </c>
      <c r="D1859" s="2683">
        <v>500</v>
      </c>
      <c r="E1859" s="2683">
        <v>350</v>
      </c>
      <c r="F1859" s="2683" t="s">
        <v>5922</v>
      </c>
      <c r="G1859" s="2683" t="s">
        <v>5922</v>
      </c>
      <c r="H1859" s="2683" t="s">
        <v>5922</v>
      </c>
      <c r="I1859" s="2683" t="s">
        <v>5922</v>
      </c>
      <c r="J1859" s="2683">
        <v>280</v>
      </c>
      <c r="K1859" s="2684"/>
      <c r="L1859" s="2683" t="s">
        <v>7859</v>
      </c>
    </row>
    <row r="1860" spans="1:12">
      <c r="A1860" s="2682" t="s">
        <v>146</v>
      </c>
      <c r="B1860" s="2682" t="s">
        <v>7860</v>
      </c>
      <c r="C1860" s="2682">
        <v>300</v>
      </c>
      <c r="D1860" s="2682">
        <v>500</v>
      </c>
      <c r="E1860" s="2682">
        <v>350</v>
      </c>
      <c r="F1860" s="2682" t="s">
        <v>5922</v>
      </c>
      <c r="G1860" s="2682" t="s">
        <v>5922</v>
      </c>
      <c r="H1860" s="2682" t="s">
        <v>5922</v>
      </c>
      <c r="I1860" s="2682" t="s">
        <v>5922</v>
      </c>
      <c r="J1860" s="2682">
        <v>286</v>
      </c>
      <c r="L1860" s="2682">
        <v>77760</v>
      </c>
    </row>
    <row r="1861" spans="1:12">
      <c r="A1861" s="2683" t="s">
        <v>146</v>
      </c>
      <c r="B1861" s="2683">
        <v>381160</v>
      </c>
      <c r="C1861" s="2683">
        <v>300</v>
      </c>
      <c r="D1861" s="2683">
        <v>500</v>
      </c>
      <c r="E1861" s="2683">
        <v>370</v>
      </c>
      <c r="F1861" s="2683" t="s">
        <v>5922</v>
      </c>
      <c r="G1861" s="2683" t="s">
        <v>5922</v>
      </c>
      <c r="H1861" s="2683" t="s">
        <v>5922</v>
      </c>
      <c r="I1861" s="2683" t="s">
        <v>5922</v>
      </c>
      <c r="J1861" s="2683">
        <v>285</v>
      </c>
      <c r="K1861" s="2684"/>
      <c r="L1861" s="2683">
        <v>1077760</v>
      </c>
    </row>
    <row r="1862" spans="1:12">
      <c r="A1862" s="2682" t="s">
        <v>146</v>
      </c>
      <c r="B1862" s="2682" t="s">
        <v>7861</v>
      </c>
      <c r="C1862" s="2682">
        <v>280</v>
      </c>
      <c r="D1862" s="2682">
        <v>460</v>
      </c>
      <c r="E1862" s="2682">
        <v>324</v>
      </c>
      <c r="F1862" s="2682" t="s">
        <v>5922</v>
      </c>
      <c r="G1862" s="2682" t="s">
        <v>5922</v>
      </c>
      <c r="H1862" s="2682" t="s">
        <v>5922</v>
      </c>
      <c r="I1862" s="2682" t="s">
        <v>5922</v>
      </c>
      <c r="J1862" s="2682">
        <v>200</v>
      </c>
      <c r="L1862" s="2682" t="s">
        <v>7862</v>
      </c>
    </row>
    <row r="1863" spans="1:12">
      <c r="A1863" s="2683" t="s">
        <v>146</v>
      </c>
      <c r="B1863" s="2683" t="s">
        <v>7863</v>
      </c>
      <c r="C1863" s="2683">
        <v>280</v>
      </c>
      <c r="D1863" s="2683">
        <v>460</v>
      </c>
      <c r="E1863" s="2683">
        <v>324</v>
      </c>
      <c r="F1863" s="2683" t="s">
        <v>5922</v>
      </c>
      <c r="G1863" s="2683" t="s">
        <v>5922</v>
      </c>
      <c r="H1863" s="2683" t="s">
        <v>5922</v>
      </c>
      <c r="I1863" s="2683" t="s">
        <v>5922</v>
      </c>
      <c r="J1863" s="2683">
        <v>200</v>
      </c>
      <c r="K1863" s="2684"/>
      <c r="L1863" s="2683" t="s">
        <v>7864</v>
      </c>
    </row>
    <row r="1864" spans="1:12">
      <c r="A1864" s="2682" t="s">
        <v>146</v>
      </c>
      <c r="B1864" s="2682" t="s">
        <v>7865</v>
      </c>
      <c r="C1864" s="2682">
        <v>260</v>
      </c>
      <c r="D1864" s="2682">
        <v>440</v>
      </c>
      <c r="E1864" s="2682">
        <v>300</v>
      </c>
      <c r="F1864" s="2682" t="s">
        <v>5922</v>
      </c>
      <c r="G1864" s="2682" t="s">
        <v>5922</v>
      </c>
      <c r="H1864" s="2682" t="s">
        <v>5922</v>
      </c>
      <c r="I1864" s="2682" t="s">
        <v>5922</v>
      </c>
      <c r="J1864" s="2682">
        <v>191</v>
      </c>
      <c r="L1864" s="2682">
        <v>77852</v>
      </c>
    </row>
    <row r="1865" spans="1:12">
      <c r="A1865" s="2683" t="s">
        <v>146</v>
      </c>
      <c r="B1865" s="2683" t="s">
        <v>7866</v>
      </c>
      <c r="C1865" s="2683">
        <v>750</v>
      </c>
      <c r="D1865" s="2683">
        <v>1220</v>
      </c>
      <c r="E1865" s="2683">
        <v>840</v>
      </c>
      <c r="F1865" s="2683" t="s">
        <v>5922</v>
      </c>
      <c r="G1865" s="2683" t="s">
        <v>5922</v>
      </c>
      <c r="H1865" s="2683" t="s">
        <v>5922</v>
      </c>
      <c r="I1865" s="2683" t="s">
        <v>5922</v>
      </c>
      <c r="J1865" s="2683">
        <v>3990</v>
      </c>
      <c r="K1865" s="2684"/>
      <c r="L1865" s="2683" t="s">
        <v>7867</v>
      </c>
    </row>
    <row r="1866" spans="1:12">
      <c r="A1866" s="2682" t="s">
        <v>146</v>
      </c>
      <c r="B1866" s="2682" t="s">
        <v>7868</v>
      </c>
      <c r="C1866" s="2682">
        <v>750</v>
      </c>
      <c r="D1866" s="2682">
        <v>1220</v>
      </c>
      <c r="E1866" s="2682">
        <v>840</v>
      </c>
      <c r="F1866" s="2682" t="s">
        <v>5922</v>
      </c>
      <c r="G1866" s="2682" t="s">
        <v>5922</v>
      </c>
      <c r="H1866" s="2682" t="s">
        <v>5922</v>
      </c>
      <c r="I1866" s="2682" t="s">
        <v>5922</v>
      </c>
      <c r="J1866" s="2682">
        <v>3978</v>
      </c>
      <c r="L1866" s="2682" t="s">
        <v>7869</v>
      </c>
    </row>
    <row r="1867" spans="1:12">
      <c r="A1867" s="2683" t="s">
        <v>146</v>
      </c>
      <c r="B1867" s="2683" t="s">
        <v>7870</v>
      </c>
      <c r="C1867" s="2683">
        <v>750</v>
      </c>
      <c r="D1867" s="2683">
        <v>1220</v>
      </c>
      <c r="E1867" s="2683">
        <v>840</v>
      </c>
      <c r="F1867" s="2683" t="s">
        <v>5922</v>
      </c>
      <c r="G1867" s="2683" t="s">
        <v>5922</v>
      </c>
      <c r="H1867" s="2683" t="s">
        <v>5922</v>
      </c>
      <c r="I1867" s="2683" t="s">
        <v>5922</v>
      </c>
      <c r="J1867" s="2683">
        <v>3994</v>
      </c>
      <c r="K1867" s="2684"/>
      <c r="L1867" s="2683" t="s">
        <v>7871</v>
      </c>
    </row>
    <row r="1868" spans="1:12">
      <c r="A1868" s="2682" t="s">
        <v>146</v>
      </c>
      <c r="B1868" s="2682" t="s">
        <v>7872</v>
      </c>
      <c r="C1868" s="2682">
        <v>750</v>
      </c>
      <c r="D1868" s="2682">
        <v>1220</v>
      </c>
      <c r="E1868" s="2682">
        <v>840</v>
      </c>
      <c r="F1868" s="2682" t="s">
        <v>5922</v>
      </c>
      <c r="G1868" s="2682" t="s">
        <v>5922</v>
      </c>
      <c r="H1868" s="2682" t="s">
        <v>5922</v>
      </c>
      <c r="I1868" s="2682" t="s">
        <v>5922</v>
      </c>
      <c r="J1868" s="2682">
        <v>3990</v>
      </c>
      <c r="L1868" s="2682" t="s">
        <v>7873</v>
      </c>
    </row>
    <row r="1869" spans="1:12">
      <c r="A1869" s="2683" t="s">
        <v>146</v>
      </c>
      <c r="B1869" s="2683" t="s">
        <v>7874</v>
      </c>
      <c r="C1869" s="2683">
        <v>750</v>
      </c>
      <c r="D1869" s="2683">
        <v>1220</v>
      </c>
      <c r="E1869" s="2683">
        <v>840</v>
      </c>
      <c r="F1869" s="2683" t="s">
        <v>5922</v>
      </c>
      <c r="G1869" s="2683" t="s">
        <v>5922</v>
      </c>
      <c r="H1869" s="2683" t="s">
        <v>5922</v>
      </c>
      <c r="I1869" s="2683" t="s">
        <v>5922</v>
      </c>
      <c r="J1869" s="2683">
        <v>3994</v>
      </c>
      <c r="K1869" s="2684"/>
      <c r="L1869" s="2683" t="s">
        <v>7875</v>
      </c>
    </row>
    <row r="1870" spans="1:12">
      <c r="A1870" s="2682" t="s">
        <v>146</v>
      </c>
      <c r="B1870" s="2682" t="s">
        <v>7876</v>
      </c>
      <c r="C1870" s="2682">
        <v>750</v>
      </c>
      <c r="D1870" s="2682">
        <v>1220</v>
      </c>
      <c r="E1870" s="2682">
        <v>840</v>
      </c>
      <c r="F1870" s="2682" t="s">
        <v>5922</v>
      </c>
      <c r="G1870" s="2682" t="s">
        <v>5922</v>
      </c>
      <c r="H1870" s="2682" t="s">
        <v>5922</v>
      </c>
      <c r="I1870" s="2682" t="s">
        <v>5922</v>
      </c>
      <c r="J1870" s="2682">
        <v>3994</v>
      </c>
      <c r="L1870" s="2682" t="s">
        <v>7877</v>
      </c>
    </row>
    <row r="1871" spans="1:12">
      <c r="A1871" s="2683" t="s">
        <v>146</v>
      </c>
      <c r="B1871" s="2683" t="s">
        <v>7878</v>
      </c>
      <c r="C1871" s="2683">
        <v>710</v>
      </c>
      <c r="D1871" s="2683">
        <v>1150</v>
      </c>
      <c r="E1871" s="2683">
        <v>750</v>
      </c>
      <c r="F1871" s="2683" t="s">
        <v>5922</v>
      </c>
      <c r="G1871" s="2683" t="s">
        <v>5922</v>
      </c>
      <c r="H1871" s="2683" t="s">
        <v>5922</v>
      </c>
      <c r="I1871" s="2683" t="s">
        <v>5922</v>
      </c>
      <c r="J1871" s="2683">
        <v>3227</v>
      </c>
      <c r="K1871" s="2684"/>
      <c r="L1871" s="2683" t="s">
        <v>7879</v>
      </c>
    </row>
    <row r="1872" spans="1:12">
      <c r="A1872" s="2682" t="s">
        <v>146</v>
      </c>
      <c r="B1872" s="2682" t="s">
        <v>7880</v>
      </c>
      <c r="C1872" s="2682">
        <v>670</v>
      </c>
      <c r="D1872" s="2682">
        <v>1090</v>
      </c>
      <c r="E1872" s="2682">
        <v>710</v>
      </c>
      <c r="F1872" s="2682" t="s">
        <v>5922</v>
      </c>
      <c r="G1872" s="2682" t="s">
        <v>5922</v>
      </c>
      <c r="H1872" s="2682" t="s">
        <v>5922</v>
      </c>
      <c r="I1872" s="2682" t="s">
        <v>5922</v>
      </c>
      <c r="J1872" s="2682">
        <v>2415.2399999999998</v>
      </c>
      <c r="L1872" s="2682" t="s">
        <v>7881</v>
      </c>
    </row>
    <row r="1873" spans="1:12">
      <c r="A1873" s="2683" t="s">
        <v>146</v>
      </c>
      <c r="B1873" s="2683" t="s">
        <v>7882</v>
      </c>
      <c r="C1873" s="2683">
        <v>630</v>
      </c>
      <c r="D1873" s="2683">
        <v>1030</v>
      </c>
      <c r="E1873" s="2683">
        <v>670</v>
      </c>
      <c r="F1873" s="2683" t="s">
        <v>5922</v>
      </c>
      <c r="G1873" s="2683" t="s">
        <v>5922</v>
      </c>
      <c r="H1873" s="2683" t="s">
        <v>5922</v>
      </c>
      <c r="I1873" s="2683" t="s">
        <v>5922</v>
      </c>
      <c r="J1873" s="2683">
        <v>2170</v>
      </c>
      <c r="K1873" s="2684"/>
      <c r="L1873" s="2683" t="s">
        <v>7883</v>
      </c>
    </row>
    <row r="1874" spans="1:12">
      <c r="A1874" s="2682" t="s">
        <v>146</v>
      </c>
      <c r="B1874" s="2682" t="s">
        <v>7884</v>
      </c>
      <c r="C1874" s="2682">
        <v>600</v>
      </c>
      <c r="D1874" s="2682">
        <v>980</v>
      </c>
      <c r="E1874" s="2682">
        <v>650</v>
      </c>
      <c r="F1874" s="2682" t="s">
        <v>5922</v>
      </c>
      <c r="G1874" s="2682" t="s">
        <v>5922</v>
      </c>
      <c r="H1874" s="2682" t="s">
        <v>5922</v>
      </c>
      <c r="I1874" s="2682" t="s">
        <v>5922</v>
      </c>
      <c r="J1874" s="2682">
        <v>1970</v>
      </c>
      <c r="L1874" s="2682" t="s">
        <v>6439</v>
      </c>
    </row>
    <row r="1875" spans="1:12">
      <c r="A1875" s="2683" t="s">
        <v>146</v>
      </c>
      <c r="B1875" s="2683" t="s">
        <v>7885</v>
      </c>
      <c r="C1875" s="2683">
        <v>600</v>
      </c>
      <c r="D1875" s="2683">
        <v>980</v>
      </c>
      <c r="E1875" s="2683">
        <v>650</v>
      </c>
      <c r="F1875" s="2683" t="s">
        <v>5922</v>
      </c>
      <c r="G1875" s="2683" t="s">
        <v>5922</v>
      </c>
      <c r="H1875" s="2683" t="s">
        <v>5922</v>
      </c>
      <c r="I1875" s="2683" t="s">
        <v>5922</v>
      </c>
      <c r="J1875" s="2683">
        <v>1970</v>
      </c>
      <c r="K1875" s="2684"/>
      <c r="L1875" s="2683" t="s">
        <v>7886</v>
      </c>
    </row>
    <row r="1876" spans="1:12">
      <c r="A1876" s="2682" t="s">
        <v>146</v>
      </c>
      <c r="B1876" s="2682" t="s">
        <v>7887</v>
      </c>
      <c r="C1876" s="2682">
        <v>560</v>
      </c>
      <c r="D1876" s="2682">
        <v>920</v>
      </c>
      <c r="E1876" s="2682">
        <v>620</v>
      </c>
      <c r="F1876" s="2682" t="s">
        <v>5922</v>
      </c>
      <c r="G1876" s="2682" t="s">
        <v>5922</v>
      </c>
      <c r="H1876" s="2682" t="s">
        <v>5922</v>
      </c>
      <c r="I1876" s="2682" t="s">
        <v>5922</v>
      </c>
      <c r="J1876" s="2682">
        <v>1635</v>
      </c>
      <c r="L1876" s="2682" t="s">
        <v>7888</v>
      </c>
    </row>
    <row r="1877" spans="1:12">
      <c r="A1877" s="2683" t="s">
        <v>146</v>
      </c>
      <c r="B1877" s="2683" t="s">
        <v>7889</v>
      </c>
      <c r="C1877" s="2683">
        <v>560</v>
      </c>
      <c r="D1877" s="2683">
        <v>920</v>
      </c>
      <c r="E1877" s="2683">
        <v>620</v>
      </c>
      <c r="F1877" s="2683" t="s">
        <v>5922</v>
      </c>
      <c r="G1877" s="2683" t="s">
        <v>5922</v>
      </c>
      <c r="H1877" s="2683" t="s">
        <v>5922</v>
      </c>
      <c r="I1877" s="2683" t="s">
        <v>5922</v>
      </c>
      <c r="J1877" s="2683">
        <v>1635</v>
      </c>
      <c r="K1877" s="2684"/>
      <c r="L1877" s="2683" t="s">
        <v>7890</v>
      </c>
    </row>
    <row r="1878" spans="1:12">
      <c r="A1878" s="2682" t="s">
        <v>146</v>
      </c>
      <c r="B1878" s="2682" t="s">
        <v>7891</v>
      </c>
      <c r="C1878" s="2682">
        <v>530</v>
      </c>
      <c r="D1878" s="2682">
        <v>870</v>
      </c>
      <c r="E1878" s="2682">
        <v>590</v>
      </c>
      <c r="F1878" s="2682" t="s">
        <v>5922</v>
      </c>
      <c r="G1878" s="2682" t="s">
        <v>5922</v>
      </c>
      <c r="H1878" s="2682" t="s">
        <v>5922</v>
      </c>
      <c r="I1878" s="2682" t="s">
        <v>5922</v>
      </c>
      <c r="J1878" s="2682">
        <v>1422</v>
      </c>
      <c r="L1878" s="2682" t="s">
        <v>7892</v>
      </c>
    </row>
    <row r="1879" spans="1:12">
      <c r="A1879" s="2683" t="s">
        <v>146</v>
      </c>
      <c r="B1879" s="2683" t="s">
        <v>7893</v>
      </c>
      <c r="C1879" s="2683">
        <v>500</v>
      </c>
      <c r="D1879" s="2683">
        <v>830</v>
      </c>
      <c r="E1879" s="2683">
        <v>570</v>
      </c>
      <c r="F1879" s="2683" t="s">
        <v>5922</v>
      </c>
      <c r="G1879" s="2683" t="s">
        <v>5922</v>
      </c>
      <c r="H1879" s="2683" t="s">
        <v>5922</v>
      </c>
      <c r="I1879" s="2683" t="s">
        <v>5922</v>
      </c>
      <c r="J1879" s="2683">
        <v>1146</v>
      </c>
      <c r="K1879" s="2684"/>
      <c r="L1879" s="2683" t="s">
        <v>7894</v>
      </c>
    </row>
    <row r="1880" spans="1:12">
      <c r="A1880" s="2682" t="s">
        <v>146</v>
      </c>
      <c r="B1880" s="2682" t="s">
        <v>7895</v>
      </c>
      <c r="C1880" s="2682">
        <v>480</v>
      </c>
      <c r="D1880" s="2682">
        <v>700</v>
      </c>
      <c r="E1880" s="2682">
        <v>420</v>
      </c>
      <c r="F1880" s="2682" t="s">
        <v>5922</v>
      </c>
      <c r="G1880" s="2682" t="s">
        <v>5922</v>
      </c>
      <c r="H1880" s="2682" t="s">
        <v>5922</v>
      </c>
      <c r="I1880" s="2682" t="s">
        <v>5922</v>
      </c>
      <c r="J1880" s="2682">
        <v>535</v>
      </c>
      <c r="L1880" s="2682" t="s">
        <v>7896</v>
      </c>
    </row>
    <row r="1881" spans="1:12">
      <c r="A1881" s="2683" t="s">
        <v>146</v>
      </c>
      <c r="B1881" s="2683" t="s">
        <v>7897</v>
      </c>
      <c r="C1881" s="2683">
        <v>480</v>
      </c>
      <c r="D1881" s="2683">
        <v>700</v>
      </c>
      <c r="E1881" s="2683">
        <v>420</v>
      </c>
      <c r="F1881" s="2683" t="s">
        <v>5922</v>
      </c>
      <c r="G1881" s="2683" t="s">
        <v>5922</v>
      </c>
      <c r="H1881" s="2683" t="s">
        <v>5922</v>
      </c>
      <c r="I1881" s="2683" t="s">
        <v>5922</v>
      </c>
      <c r="J1881" s="2683">
        <v>547</v>
      </c>
      <c r="K1881" s="2684"/>
      <c r="L1881" s="2683" t="s">
        <v>7898</v>
      </c>
    </row>
    <row r="1882" spans="1:12">
      <c r="A1882" s="2682" t="s">
        <v>146</v>
      </c>
      <c r="B1882" s="2682">
        <v>381092</v>
      </c>
      <c r="C1882" s="2682">
        <v>460</v>
      </c>
      <c r="D1882" s="2682">
        <v>680</v>
      </c>
      <c r="E1882" s="2682">
        <v>410</v>
      </c>
      <c r="F1882" s="2682" t="s">
        <v>5922</v>
      </c>
      <c r="G1882" s="2682" t="s">
        <v>5922</v>
      </c>
      <c r="H1882" s="2682" t="s">
        <v>5922</v>
      </c>
      <c r="I1882" s="2682" t="s">
        <v>5922</v>
      </c>
      <c r="J1882" s="2682">
        <v>520</v>
      </c>
      <c r="L1882" s="2682">
        <v>77192</v>
      </c>
    </row>
    <row r="1883" spans="1:12">
      <c r="A1883" s="2683" t="s">
        <v>146</v>
      </c>
      <c r="B1883" s="2683" t="s">
        <v>7899</v>
      </c>
      <c r="C1883" s="2683">
        <v>440</v>
      </c>
      <c r="D1883" s="2683">
        <v>650</v>
      </c>
      <c r="E1883" s="2683">
        <v>355</v>
      </c>
      <c r="F1883" s="2683" t="s">
        <v>5922</v>
      </c>
      <c r="G1883" s="2683" t="s">
        <v>5922</v>
      </c>
      <c r="H1883" s="2683" t="s">
        <v>5922</v>
      </c>
      <c r="I1883" s="2683" t="s">
        <v>5922</v>
      </c>
      <c r="J1883" s="2683">
        <v>385</v>
      </c>
      <c r="K1883" s="2684"/>
      <c r="L1883" s="2683" t="s">
        <v>7900</v>
      </c>
    </row>
    <row r="1884" spans="1:12">
      <c r="A1884" s="2682" t="s">
        <v>146</v>
      </c>
      <c r="B1884" s="2682" t="s">
        <v>7901</v>
      </c>
      <c r="C1884" s="2682">
        <v>440</v>
      </c>
      <c r="D1884" s="2682">
        <v>650</v>
      </c>
      <c r="E1884" s="2682">
        <v>355</v>
      </c>
      <c r="F1884" s="2682" t="s">
        <v>5922</v>
      </c>
      <c r="G1884" s="2682" t="s">
        <v>5922</v>
      </c>
      <c r="H1884" s="2682" t="s">
        <v>5922</v>
      </c>
      <c r="I1884" s="2682" t="s">
        <v>5922</v>
      </c>
      <c r="J1884" s="2682">
        <v>385</v>
      </c>
      <c r="L1884" s="2682">
        <v>77788</v>
      </c>
    </row>
    <row r="1885" spans="1:12">
      <c r="A1885" s="2683" t="s">
        <v>146</v>
      </c>
      <c r="B1885" s="2683" t="s">
        <v>7902</v>
      </c>
      <c r="C1885" s="2683">
        <v>440</v>
      </c>
      <c r="D1885" s="2683">
        <v>650</v>
      </c>
      <c r="E1885" s="2683">
        <v>355</v>
      </c>
      <c r="F1885" s="2683" t="s">
        <v>5922</v>
      </c>
      <c r="G1885" s="2683" t="s">
        <v>5922</v>
      </c>
      <c r="H1885" s="2683" t="s">
        <v>5922</v>
      </c>
      <c r="I1885" s="2683" t="s">
        <v>5922</v>
      </c>
      <c r="J1885" s="2683">
        <v>385</v>
      </c>
      <c r="K1885" s="2684"/>
      <c r="L1885" s="2683" t="s">
        <v>7903</v>
      </c>
    </row>
    <row r="1886" spans="1:12">
      <c r="A1886" s="2682" t="s">
        <v>146</v>
      </c>
      <c r="B1886" s="2682" t="s">
        <v>7904</v>
      </c>
      <c r="C1886" s="2682">
        <v>440</v>
      </c>
      <c r="D1886" s="2682">
        <v>650</v>
      </c>
      <c r="E1886" s="2682">
        <v>355</v>
      </c>
      <c r="F1886" s="2682" t="s">
        <v>5922</v>
      </c>
      <c r="G1886" s="2682" t="s">
        <v>5922</v>
      </c>
      <c r="H1886" s="2682" t="s">
        <v>5922</v>
      </c>
      <c r="I1886" s="2682" t="s">
        <v>5922</v>
      </c>
      <c r="J1886" s="2682">
        <v>381</v>
      </c>
      <c r="L1886" s="2682" t="s">
        <v>7905</v>
      </c>
    </row>
    <row r="1887" spans="1:12">
      <c r="A1887" s="2683" t="s">
        <v>146</v>
      </c>
      <c r="B1887" s="2683" t="s">
        <v>7906</v>
      </c>
      <c r="C1887" s="2683">
        <v>440</v>
      </c>
      <c r="D1887" s="2683">
        <v>650</v>
      </c>
      <c r="E1887" s="2683">
        <v>355</v>
      </c>
      <c r="F1887" s="2683" t="s">
        <v>5922</v>
      </c>
      <c r="G1887" s="2683" t="s">
        <v>5922</v>
      </c>
      <c r="H1887" s="2683" t="s">
        <v>5922</v>
      </c>
      <c r="I1887" s="2683" t="s">
        <v>5922</v>
      </c>
      <c r="J1887" s="2683">
        <v>385</v>
      </c>
      <c r="K1887" s="2684"/>
      <c r="L1887" s="2683" t="s">
        <v>7907</v>
      </c>
    </row>
    <row r="1888" spans="1:12">
      <c r="A1888" s="2682" t="s">
        <v>146</v>
      </c>
      <c r="B1888" s="2682" t="s">
        <v>7908</v>
      </c>
      <c r="C1888" s="2682">
        <v>440</v>
      </c>
      <c r="D1888" s="2682">
        <v>650</v>
      </c>
      <c r="E1888" s="2682">
        <v>355</v>
      </c>
      <c r="F1888" s="2682" t="s">
        <v>5922</v>
      </c>
      <c r="G1888" s="2682" t="s">
        <v>5922</v>
      </c>
      <c r="H1888" s="2682" t="s">
        <v>5922</v>
      </c>
      <c r="I1888" s="2682" t="s">
        <v>5922</v>
      </c>
      <c r="J1888" s="2682">
        <v>385</v>
      </c>
      <c r="L1888" s="2682" t="s">
        <v>7909</v>
      </c>
    </row>
    <row r="1889" spans="1:12">
      <c r="A1889" s="2683" t="s">
        <v>146</v>
      </c>
      <c r="B1889" s="2683" t="s">
        <v>7910</v>
      </c>
      <c r="C1889" s="2683">
        <v>440</v>
      </c>
      <c r="D1889" s="2683">
        <v>650</v>
      </c>
      <c r="E1889" s="2683">
        <v>376</v>
      </c>
      <c r="F1889" s="2683" t="s">
        <v>5922</v>
      </c>
      <c r="G1889" s="2683" t="s">
        <v>5922</v>
      </c>
      <c r="H1889" s="2683" t="s">
        <v>5922</v>
      </c>
      <c r="I1889" s="2683" t="s">
        <v>5922</v>
      </c>
      <c r="J1889" s="2683">
        <v>401</v>
      </c>
      <c r="K1889" s="2684"/>
      <c r="L1889" s="2683" t="s">
        <v>7911</v>
      </c>
    </row>
    <row r="1890" spans="1:12">
      <c r="A1890" s="2682" t="s">
        <v>146</v>
      </c>
      <c r="B1890" s="2682" t="s">
        <v>7912</v>
      </c>
      <c r="C1890" s="2682">
        <v>420</v>
      </c>
      <c r="D1890" s="2682">
        <v>620</v>
      </c>
      <c r="E1890" s="2682">
        <v>356</v>
      </c>
      <c r="F1890" s="2682" t="s">
        <v>5922</v>
      </c>
      <c r="G1890" s="2682" t="s">
        <v>5922</v>
      </c>
      <c r="H1890" s="2682" t="s">
        <v>5922</v>
      </c>
      <c r="I1890" s="2682" t="s">
        <v>5922</v>
      </c>
      <c r="J1890" s="2682">
        <v>358</v>
      </c>
      <c r="L1890" s="2682" t="s">
        <v>7913</v>
      </c>
    </row>
    <row r="1891" spans="1:12">
      <c r="A1891" s="2683" t="s">
        <v>146</v>
      </c>
      <c r="B1891" s="2683" t="s">
        <v>7914</v>
      </c>
      <c r="C1891" s="2683">
        <v>400</v>
      </c>
      <c r="D1891" s="2683">
        <v>600</v>
      </c>
      <c r="E1891" s="2683">
        <v>356</v>
      </c>
      <c r="F1891" s="2683" t="s">
        <v>5922</v>
      </c>
      <c r="G1891" s="2683" t="s">
        <v>5922</v>
      </c>
      <c r="H1891" s="2683" t="s">
        <v>5922</v>
      </c>
      <c r="I1891" s="2683" t="s">
        <v>5922</v>
      </c>
      <c r="J1891" s="2683">
        <v>317</v>
      </c>
      <c r="K1891" s="2684"/>
      <c r="L1891" s="2683" t="s">
        <v>7915</v>
      </c>
    </row>
    <row r="1892" spans="1:12">
      <c r="A1892" s="2682" t="s">
        <v>146</v>
      </c>
      <c r="B1892" s="2682" t="s">
        <v>7916</v>
      </c>
      <c r="C1892" s="2682">
        <v>400</v>
      </c>
      <c r="D1892" s="2682">
        <v>600</v>
      </c>
      <c r="E1892" s="2682">
        <v>356</v>
      </c>
      <c r="F1892" s="2682" t="s">
        <v>5922</v>
      </c>
      <c r="G1892" s="2682" t="s">
        <v>5922</v>
      </c>
      <c r="H1892" s="2682" t="s">
        <v>5922</v>
      </c>
      <c r="I1892" s="2682" t="s">
        <v>5922</v>
      </c>
      <c r="J1892" s="2682">
        <v>317</v>
      </c>
      <c r="L1892" s="2682" t="s">
        <v>7917</v>
      </c>
    </row>
    <row r="1893" spans="1:12">
      <c r="A1893" s="2683" t="s">
        <v>146</v>
      </c>
      <c r="B1893" s="2683" t="s">
        <v>7918</v>
      </c>
      <c r="C1893" s="2683">
        <v>380</v>
      </c>
      <c r="D1893" s="2683">
        <v>560</v>
      </c>
      <c r="E1893" s="2683">
        <v>325</v>
      </c>
      <c r="F1893" s="2683" t="s">
        <v>5922</v>
      </c>
      <c r="G1893" s="2683" t="s">
        <v>5922</v>
      </c>
      <c r="H1893" s="2683" t="s">
        <v>5922</v>
      </c>
      <c r="I1893" s="2683" t="s">
        <v>5922</v>
      </c>
      <c r="J1893" s="2683">
        <v>281</v>
      </c>
      <c r="K1893" s="2684"/>
      <c r="L1893" s="2683" t="s">
        <v>7919</v>
      </c>
    </row>
    <row r="1894" spans="1:12">
      <c r="A1894" s="2682" t="s">
        <v>146</v>
      </c>
      <c r="B1894" s="2682" t="s">
        <v>7920</v>
      </c>
      <c r="C1894" s="2682">
        <v>360</v>
      </c>
      <c r="D1894" s="2682">
        <v>540</v>
      </c>
      <c r="E1894" s="2682">
        <v>325</v>
      </c>
      <c r="F1894" s="2682" t="s">
        <v>5922</v>
      </c>
      <c r="G1894" s="2682" t="s">
        <v>5922</v>
      </c>
      <c r="H1894" s="2682" t="s">
        <v>5922</v>
      </c>
      <c r="I1894" s="2682" t="s">
        <v>5922</v>
      </c>
      <c r="J1894" s="2682">
        <v>248</v>
      </c>
      <c r="L1894" s="2682" t="s">
        <v>7921</v>
      </c>
    </row>
    <row r="1895" spans="1:12">
      <c r="A1895" s="2683" t="s">
        <v>146</v>
      </c>
      <c r="B1895" s="2683">
        <v>381072</v>
      </c>
      <c r="C1895" s="2683">
        <v>360</v>
      </c>
      <c r="D1895" s="2683">
        <v>540</v>
      </c>
      <c r="E1895" s="2683">
        <v>325</v>
      </c>
      <c r="F1895" s="2683" t="s">
        <v>5922</v>
      </c>
      <c r="G1895" s="2683" t="s">
        <v>5922</v>
      </c>
      <c r="H1895" s="2683" t="s">
        <v>5922</v>
      </c>
      <c r="I1895" s="2683" t="s">
        <v>5922</v>
      </c>
      <c r="J1895" s="2683">
        <v>248</v>
      </c>
      <c r="K1895" s="2684"/>
      <c r="L1895" s="2683">
        <v>77172</v>
      </c>
    </row>
    <row r="1896" spans="1:12">
      <c r="A1896" s="2682" t="s">
        <v>146</v>
      </c>
      <c r="B1896" s="2682" t="s">
        <v>7922</v>
      </c>
      <c r="C1896" s="2682">
        <v>340</v>
      </c>
      <c r="D1896" s="2682">
        <v>520</v>
      </c>
      <c r="E1896" s="2682">
        <v>325</v>
      </c>
      <c r="F1896" s="2682" t="s">
        <v>5922</v>
      </c>
      <c r="G1896" s="2682" t="s">
        <v>5922</v>
      </c>
      <c r="H1896" s="2682" t="s">
        <v>5922</v>
      </c>
      <c r="I1896" s="2682" t="s">
        <v>5922</v>
      </c>
      <c r="J1896" s="2682">
        <v>234</v>
      </c>
      <c r="L1896" s="2682" t="s">
        <v>7923</v>
      </c>
    </row>
    <row r="1897" spans="1:12">
      <c r="A1897" s="2683" t="s">
        <v>146</v>
      </c>
      <c r="B1897" s="2683" t="s">
        <v>7924</v>
      </c>
      <c r="C1897" s="2683">
        <v>250</v>
      </c>
      <c r="D1897" s="2683">
        <v>460</v>
      </c>
      <c r="E1897" s="2683">
        <v>270</v>
      </c>
      <c r="F1897" s="2683" t="s">
        <v>5922</v>
      </c>
      <c r="G1897" s="2683" t="s">
        <v>5922</v>
      </c>
      <c r="H1897" s="2683" t="s">
        <v>5922</v>
      </c>
      <c r="I1897" s="2683" t="s">
        <v>5922</v>
      </c>
      <c r="J1897" s="2683">
        <v>192</v>
      </c>
      <c r="K1897" s="2684"/>
      <c r="L1897" s="2683" t="s">
        <v>7925</v>
      </c>
    </row>
    <row r="1898" spans="1:12">
      <c r="A1898" s="2682" t="s">
        <v>146</v>
      </c>
      <c r="B1898" s="2682" t="s">
        <v>7926</v>
      </c>
      <c r="C1898" s="2682">
        <v>710</v>
      </c>
      <c r="D1898" s="2682">
        <v>1030</v>
      </c>
      <c r="E1898" s="2682">
        <v>555</v>
      </c>
      <c r="F1898" s="2682" t="s">
        <v>5922</v>
      </c>
      <c r="G1898" s="2682" t="s">
        <v>5922</v>
      </c>
      <c r="H1898" s="2682" t="s">
        <v>5922</v>
      </c>
      <c r="I1898" s="2682" t="s">
        <v>5922</v>
      </c>
      <c r="J1898" s="2682">
        <v>1568</v>
      </c>
      <c r="L1898" s="2682" t="s">
        <v>7927</v>
      </c>
    </row>
    <row r="1899" spans="1:12">
      <c r="A1899" s="2683" t="s">
        <v>146</v>
      </c>
      <c r="B1899" s="2683" t="s">
        <v>7928</v>
      </c>
      <c r="C1899" s="2683">
        <v>670</v>
      </c>
      <c r="D1899" s="2683">
        <v>980</v>
      </c>
      <c r="E1899" s="2683">
        <v>540</v>
      </c>
      <c r="F1899" s="2683" t="s">
        <v>5922</v>
      </c>
      <c r="G1899" s="2683" t="s">
        <v>5922</v>
      </c>
      <c r="H1899" s="2683" t="s">
        <v>5922</v>
      </c>
      <c r="I1899" s="2683" t="s">
        <v>5922</v>
      </c>
      <c r="J1899" s="2683">
        <v>1310</v>
      </c>
      <c r="K1899" s="2684"/>
      <c r="L1899" s="2683" t="s">
        <v>7929</v>
      </c>
    </row>
    <row r="1900" spans="1:12">
      <c r="A1900" s="2682" t="s">
        <v>146</v>
      </c>
      <c r="B1900" s="2682" t="s">
        <v>7930</v>
      </c>
      <c r="C1900" s="2682">
        <v>630</v>
      </c>
      <c r="D1900" s="2682">
        <v>920</v>
      </c>
      <c r="E1900" s="2682">
        <v>515</v>
      </c>
      <c r="F1900" s="2682" t="s">
        <v>5922</v>
      </c>
      <c r="G1900" s="2682" t="s">
        <v>5922</v>
      </c>
      <c r="H1900" s="2682" t="s">
        <v>5922</v>
      </c>
      <c r="I1900" s="2682" t="s">
        <v>5922</v>
      </c>
      <c r="J1900" s="2682">
        <v>1190</v>
      </c>
      <c r="L1900" s="2682" t="s">
        <v>6332</v>
      </c>
    </row>
    <row r="1901" spans="1:12">
      <c r="A1901" s="2683" t="s">
        <v>146</v>
      </c>
      <c r="B1901" s="2683" t="s">
        <v>7931</v>
      </c>
      <c r="C1901" s="2683">
        <v>630</v>
      </c>
      <c r="D1901" s="2683">
        <v>920</v>
      </c>
      <c r="E1901" s="2683">
        <v>515</v>
      </c>
      <c r="F1901" s="2683" t="s">
        <v>5922</v>
      </c>
      <c r="G1901" s="2683" t="s">
        <v>5922</v>
      </c>
      <c r="H1901" s="2683" t="s">
        <v>5922</v>
      </c>
      <c r="I1901" s="2683" t="s">
        <v>5922</v>
      </c>
      <c r="J1901" s="2683">
        <v>1158</v>
      </c>
      <c r="K1901" s="2684"/>
      <c r="L1901" s="2683" t="s">
        <v>7932</v>
      </c>
    </row>
    <row r="1902" spans="1:12">
      <c r="A1902" s="2682" t="s">
        <v>146</v>
      </c>
      <c r="B1902" s="2682" t="s">
        <v>7933</v>
      </c>
      <c r="C1902" s="2682">
        <v>600</v>
      </c>
      <c r="D1902" s="2682">
        <v>870</v>
      </c>
      <c r="E1902" s="2682">
        <v>480</v>
      </c>
      <c r="F1902" s="2682" t="s">
        <v>5922</v>
      </c>
      <c r="G1902" s="2682" t="s">
        <v>5922</v>
      </c>
      <c r="H1902" s="2682" t="s">
        <v>5922</v>
      </c>
      <c r="I1902" s="2682" t="s">
        <v>5922</v>
      </c>
      <c r="J1902" s="2682">
        <v>992</v>
      </c>
      <c r="L1902" s="2682" t="s">
        <v>6330</v>
      </c>
    </row>
    <row r="1903" spans="1:12">
      <c r="A1903" s="2683" t="s">
        <v>146</v>
      </c>
      <c r="B1903" s="2683" t="s">
        <v>7934</v>
      </c>
      <c r="C1903" s="2683">
        <v>600</v>
      </c>
      <c r="D1903" s="2683">
        <v>870</v>
      </c>
      <c r="E1903" s="2683">
        <v>480</v>
      </c>
      <c r="F1903" s="2683" t="s">
        <v>5922</v>
      </c>
      <c r="G1903" s="2683" t="s">
        <v>5922</v>
      </c>
      <c r="H1903" s="2683" t="s">
        <v>5922</v>
      </c>
      <c r="I1903" s="2683" t="s">
        <v>5922</v>
      </c>
      <c r="J1903" s="2683">
        <v>995</v>
      </c>
      <c r="K1903" s="2684"/>
      <c r="L1903" s="2683" t="s">
        <v>7935</v>
      </c>
    </row>
    <row r="1904" spans="1:12">
      <c r="A1904" s="2682" t="s">
        <v>146</v>
      </c>
      <c r="B1904" s="2682" t="s">
        <v>7936</v>
      </c>
      <c r="C1904" s="2682">
        <v>560</v>
      </c>
      <c r="D1904" s="2682">
        <v>820</v>
      </c>
      <c r="E1904" s="2682">
        <v>465</v>
      </c>
      <c r="F1904" s="2682" t="s">
        <v>5922</v>
      </c>
      <c r="G1904" s="2682" t="s">
        <v>5922</v>
      </c>
      <c r="H1904" s="2682" t="s">
        <v>5922</v>
      </c>
      <c r="I1904" s="2682" t="s">
        <v>5922</v>
      </c>
      <c r="J1904" s="2682">
        <v>807</v>
      </c>
      <c r="L1904" s="2682" t="s">
        <v>7937</v>
      </c>
    </row>
    <row r="1905" spans="1:12">
      <c r="A1905" s="2683" t="s">
        <v>146</v>
      </c>
      <c r="B1905" s="2683" t="s">
        <v>7938</v>
      </c>
      <c r="C1905" s="2683">
        <v>530</v>
      </c>
      <c r="D1905" s="2683">
        <v>880</v>
      </c>
      <c r="E1905" s="2683">
        <v>544</v>
      </c>
      <c r="F1905" s="2683" t="s">
        <v>5922</v>
      </c>
      <c r="G1905" s="2683" t="s">
        <v>5922</v>
      </c>
      <c r="H1905" s="2683" t="s">
        <v>5922</v>
      </c>
      <c r="I1905" s="2683" t="s">
        <v>5922</v>
      </c>
      <c r="J1905" s="2683">
        <v>1350</v>
      </c>
      <c r="K1905" s="2684"/>
      <c r="L1905" s="2683" t="s">
        <v>7939</v>
      </c>
    </row>
    <row r="1906" spans="1:12">
      <c r="A1906" s="2682" t="s">
        <v>146</v>
      </c>
      <c r="B1906" s="2682" t="s">
        <v>7940</v>
      </c>
      <c r="C1906" s="2682">
        <v>530</v>
      </c>
      <c r="D1906" s="2682">
        <v>880</v>
      </c>
      <c r="E1906" s="2682">
        <v>544</v>
      </c>
      <c r="F1906" s="2682" t="s">
        <v>5922</v>
      </c>
      <c r="G1906" s="2682" t="s">
        <v>5922</v>
      </c>
      <c r="H1906" s="2682" t="s">
        <v>5922</v>
      </c>
      <c r="I1906" s="2682" t="s">
        <v>5922</v>
      </c>
      <c r="J1906" s="2682">
        <v>1350</v>
      </c>
      <c r="L1906" s="2682" t="s">
        <v>7941</v>
      </c>
    </row>
    <row r="1907" spans="1:12">
      <c r="A1907" s="2683" t="s">
        <v>146</v>
      </c>
      <c r="B1907" s="2683" t="s">
        <v>7942</v>
      </c>
      <c r="C1907" s="2683">
        <v>488.95</v>
      </c>
      <c r="D1907" s="2683">
        <v>622</v>
      </c>
      <c r="E1907" s="2683">
        <v>365.125</v>
      </c>
      <c r="F1907" s="2683" t="s">
        <v>5922</v>
      </c>
      <c r="G1907" s="2683" t="s">
        <v>5922</v>
      </c>
      <c r="H1907" s="2683" t="s">
        <v>5922</v>
      </c>
      <c r="I1907" s="2683" t="s">
        <v>5922</v>
      </c>
      <c r="J1907" s="2683">
        <v>266</v>
      </c>
      <c r="K1907" s="2684"/>
      <c r="L1907" s="2683" t="s">
        <v>7943</v>
      </c>
    </row>
    <row r="1908" spans="1:12">
      <c r="A1908" s="2682" t="s">
        <v>146</v>
      </c>
      <c r="B1908" s="2682">
        <v>382960</v>
      </c>
      <c r="C1908" s="2682">
        <v>300</v>
      </c>
      <c r="D1908" s="2682">
        <v>420</v>
      </c>
      <c r="E1908" s="2682">
        <v>300</v>
      </c>
      <c r="F1908" s="2682" t="s">
        <v>5922</v>
      </c>
      <c r="G1908" s="2682" t="s">
        <v>5922</v>
      </c>
      <c r="H1908" s="2682" t="s">
        <v>5922</v>
      </c>
      <c r="I1908" s="2682" t="s">
        <v>5922</v>
      </c>
      <c r="J1908" s="2682">
        <v>130</v>
      </c>
      <c r="L1908" s="2682">
        <v>2077960</v>
      </c>
    </row>
    <row r="1909" spans="1:12">
      <c r="A1909" s="2683" t="s">
        <v>146</v>
      </c>
      <c r="B1909" s="2683" t="s">
        <v>7944</v>
      </c>
      <c r="C1909" s="2683">
        <v>260</v>
      </c>
      <c r="D1909" s="2683">
        <v>360</v>
      </c>
      <c r="E1909" s="2683">
        <v>265</v>
      </c>
      <c r="F1909" s="2683" t="s">
        <v>5922</v>
      </c>
      <c r="G1909" s="2683" t="s">
        <v>5922</v>
      </c>
      <c r="H1909" s="2683" t="s">
        <v>5922</v>
      </c>
      <c r="I1909" s="2683" t="s">
        <v>5922</v>
      </c>
      <c r="J1909" s="2683">
        <v>76.3</v>
      </c>
      <c r="K1909" s="2684"/>
      <c r="L1909" s="2683" t="s">
        <v>7945</v>
      </c>
    </row>
    <row r="1910" spans="1:12">
      <c r="A1910" s="2682" t="s">
        <v>146</v>
      </c>
      <c r="B1910" s="2682" t="s">
        <v>7946</v>
      </c>
      <c r="C1910" s="2682">
        <v>320</v>
      </c>
      <c r="D1910" s="2682">
        <v>480</v>
      </c>
      <c r="E1910" s="2682">
        <v>380</v>
      </c>
      <c r="F1910" s="2682" t="s">
        <v>5922</v>
      </c>
      <c r="G1910" s="2682" t="s">
        <v>5922</v>
      </c>
      <c r="H1910" s="2682" t="s">
        <v>5922</v>
      </c>
      <c r="I1910" s="2682" t="s">
        <v>5922</v>
      </c>
      <c r="J1910" s="2682">
        <v>231</v>
      </c>
      <c r="L1910" s="2682">
        <v>2077164</v>
      </c>
    </row>
    <row r="1911" spans="1:12">
      <c r="A1911" s="2683" t="s">
        <v>146</v>
      </c>
      <c r="B1911" s="2683" t="s">
        <v>7947</v>
      </c>
      <c r="C1911" s="2683">
        <v>320</v>
      </c>
      <c r="D1911" s="2683">
        <v>480</v>
      </c>
      <c r="E1911" s="2683">
        <v>380</v>
      </c>
      <c r="F1911" s="2683" t="s">
        <v>5922</v>
      </c>
      <c r="G1911" s="2683" t="s">
        <v>5922</v>
      </c>
      <c r="H1911" s="2683" t="s">
        <v>5922</v>
      </c>
      <c r="I1911" s="2683" t="s">
        <v>5922</v>
      </c>
      <c r="J1911" s="2683">
        <v>234</v>
      </c>
      <c r="K1911" s="2684"/>
      <c r="L1911" s="2683" t="s">
        <v>7948</v>
      </c>
    </row>
    <row r="1912" spans="1:12">
      <c r="A1912" s="2682" t="s">
        <v>146</v>
      </c>
      <c r="B1912" s="2682" t="s">
        <v>7949</v>
      </c>
      <c r="C1912" s="2682">
        <v>320</v>
      </c>
      <c r="D1912" s="2682">
        <v>480</v>
      </c>
      <c r="E1912" s="2682">
        <v>380</v>
      </c>
      <c r="F1912" s="2682" t="s">
        <v>5922</v>
      </c>
      <c r="G1912" s="2682" t="s">
        <v>5922</v>
      </c>
      <c r="H1912" s="2682" t="s">
        <v>5922</v>
      </c>
      <c r="I1912" s="2682" t="s">
        <v>5922</v>
      </c>
      <c r="J1912" s="2682">
        <v>234</v>
      </c>
      <c r="L1912" s="2682" t="s">
        <v>7950</v>
      </c>
    </row>
    <row r="1913" spans="1:12">
      <c r="A1913" s="2683" t="s">
        <v>146</v>
      </c>
      <c r="B1913" s="2683" t="s">
        <v>7951</v>
      </c>
      <c r="C1913" s="2683">
        <v>320</v>
      </c>
      <c r="D1913" s="2683">
        <v>480</v>
      </c>
      <c r="E1913" s="2683">
        <v>380</v>
      </c>
      <c r="F1913" s="2683" t="s">
        <v>5922</v>
      </c>
      <c r="G1913" s="2683" t="s">
        <v>5922</v>
      </c>
      <c r="H1913" s="2683" t="s">
        <v>5922</v>
      </c>
      <c r="I1913" s="2683" t="s">
        <v>5922</v>
      </c>
      <c r="J1913" s="2683">
        <v>234</v>
      </c>
      <c r="K1913" s="2684"/>
      <c r="L1913" s="2683" t="s">
        <v>7952</v>
      </c>
    </row>
    <row r="1914" spans="1:12">
      <c r="A1914" s="2682" t="s">
        <v>146</v>
      </c>
      <c r="B1914" s="2682" t="s">
        <v>7953</v>
      </c>
      <c r="C1914" s="2682">
        <v>320</v>
      </c>
      <c r="D1914" s="2682">
        <v>480</v>
      </c>
      <c r="E1914" s="2682">
        <v>380</v>
      </c>
      <c r="F1914" s="2682" t="s">
        <v>5922</v>
      </c>
      <c r="G1914" s="2682" t="s">
        <v>5922</v>
      </c>
      <c r="H1914" s="2682" t="s">
        <v>5922</v>
      </c>
      <c r="I1914" s="2682" t="s">
        <v>5922</v>
      </c>
      <c r="J1914" s="2682">
        <v>234</v>
      </c>
      <c r="L1914" s="2682" t="s">
        <v>7952</v>
      </c>
    </row>
    <row r="1915" spans="1:12">
      <c r="A1915" s="2683" t="s">
        <v>146</v>
      </c>
      <c r="B1915" s="2683" t="s">
        <v>7954</v>
      </c>
      <c r="C1915" s="2683">
        <v>320</v>
      </c>
      <c r="D1915" s="2683">
        <v>480</v>
      </c>
      <c r="E1915" s="2683">
        <v>380</v>
      </c>
      <c r="F1915" s="2683" t="s">
        <v>5922</v>
      </c>
      <c r="G1915" s="2683" t="s">
        <v>5922</v>
      </c>
      <c r="H1915" s="2683" t="s">
        <v>5922</v>
      </c>
      <c r="I1915" s="2683" t="s">
        <v>5922</v>
      </c>
      <c r="J1915" s="2683">
        <v>252</v>
      </c>
      <c r="K1915" s="2684"/>
      <c r="L1915" s="2683">
        <v>2077164</v>
      </c>
    </row>
    <row r="1916" spans="1:12">
      <c r="A1916" s="2682" t="s">
        <v>146</v>
      </c>
      <c r="B1916" s="2682" t="s">
        <v>7955</v>
      </c>
      <c r="C1916" s="2682">
        <v>300</v>
      </c>
      <c r="D1916" s="2682">
        <v>460</v>
      </c>
      <c r="E1916" s="2682">
        <v>390</v>
      </c>
      <c r="F1916" s="2682" t="s">
        <v>5922</v>
      </c>
      <c r="G1916" s="2682" t="s">
        <v>5922</v>
      </c>
      <c r="H1916" s="2682" t="s">
        <v>5922</v>
      </c>
      <c r="I1916" s="2682" t="s">
        <v>5922</v>
      </c>
      <c r="J1916" s="2682">
        <v>238</v>
      </c>
      <c r="L1916" s="2682" t="s">
        <v>7956</v>
      </c>
    </row>
    <row r="1917" spans="1:12">
      <c r="A1917" s="2683" t="s">
        <v>146</v>
      </c>
      <c r="B1917" s="2683" t="s">
        <v>7957</v>
      </c>
      <c r="C1917" s="2683">
        <v>280</v>
      </c>
      <c r="D1917" s="2683">
        <v>420</v>
      </c>
      <c r="E1917" s="2683">
        <v>345</v>
      </c>
      <c r="F1917" s="2683" t="s">
        <v>5922</v>
      </c>
      <c r="G1917" s="2683" t="s">
        <v>5922</v>
      </c>
      <c r="H1917" s="2683" t="s">
        <v>5922</v>
      </c>
      <c r="I1917" s="2683" t="s">
        <v>5922</v>
      </c>
      <c r="J1917" s="2683">
        <v>191</v>
      </c>
      <c r="K1917" s="2684"/>
      <c r="L1917" s="2683" t="s">
        <v>7958</v>
      </c>
    </row>
    <row r="1918" spans="1:12">
      <c r="A1918" s="2682" t="s">
        <v>146</v>
      </c>
      <c r="B1918" s="2682" t="s">
        <v>7959</v>
      </c>
      <c r="C1918" s="2682">
        <v>260</v>
      </c>
      <c r="D1918" s="2682">
        <v>400</v>
      </c>
      <c r="E1918" s="2682">
        <v>255</v>
      </c>
      <c r="F1918" s="2682" t="s">
        <v>5922</v>
      </c>
      <c r="G1918" s="2682" t="s">
        <v>5922</v>
      </c>
      <c r="H1918" s="2682" t="s">
        <v>5922</v>
      </c>
      <c r="I1918" s="2682" t="s">
        <v>5922</v>
      </c>
      <c r="J1918" s="2682">
        <v>117</v>
      </c>
      <c r="L1918" s="2682" t="s">
        <v>7960</v>
      </c>
    </row>
    <row r="1919" spans="1:12">
      <c r="A1919" s="2683" t="s">
        <v>146</v>
      </c>
      <c r="B1919" s="2683" t="s">
        <v>7961</v>
      </c>
      <c r="C1919" s="2683">
        <v>260</v>
      </c>
      <c r="D1919" s="2683">
        <v>400</v>
      </c>
      <c r="E1919" s="2683">
        <v>255</v>
      </c>
      <c r="F1919" s="2683" t="s">
        <v>5922</v>
      </c>
      <c r="G1919" s="2683" t="s">
        <v>5922</v>
      </c>
      <c r="H1919" s="2683" t="s">
        <v>5922</v>
      </c>
      <c r="I1919" s="2683" t="s">
        <v>5922</v>
      </c>
      <c r="J1919" s="2683">
        <v>114</v>
      </c>
      <c r="K1919" s="2684"/>
      <c r="L1919" s="2683" t="s">
        <v>7962</v>
      </c>
    </row>
    <row r="1920" spans="1:12">
      <c r="A1920" s="2682" t="s">
        <v>146</v>
      </c>
      <c r="B1920" s="2682" t="s">
        <v>7963</v>
      </c>
      <c r="C1920" s="2682">
        <v>260</v>
      </c>
      <c r="D1920" s="2682">
        <v>400</v>
      </c>
      <c r="E1920" s="2682">
        <v>255</v>
      </c>
      <c r="F1920" s="2682" t="s">
        <v>5922</v>
      </c>
      <c r="G1920" s="2682" t="s">
        <v>5922</v>
      </c>
      <c r="H1920" s="2682" t="s">
        <v>5922</v>
      </c>
      <c r="I1920" s="2682" t="s">
        <v>5922</v>
      </c>
      <c r="J1920" s="2682">
        <v>114</v>
      </c>
      <c r="L1920" s="2682" t="s">
        <v>7964</v>
      </c>
    </row>
    <row r="1921" spans="1:12">
      <c r="A1921" s="2683" t="s">
        <v>146</v>
      </c>
      <c r="B1921" s="2683" t="s">
        <v>7965</v>
      </c>
      <c r="C1921" s="2683">
        <v>260</v>
      </c>
      <c r="D1921" s="2683">
        <v>400</v>
      </c>
      <c r="E1921" s="2683">
        <v>255</v>
      </c>
      <c r="F1921" s="2683" t="s">
        <v>5922</v>
      </c>
      <c r="G1921" s="2683" t="s">
        <v>5922</v>
      </c>
      <c r="H1921" s="2683" t="s">
        <v>5922</v>
      </c>
      <c r="I1921" s="2683" t="s">
        <v>5922</v>
      </c>
      <c r="J1921" s="2683">
        <v>117</v>
      </c>
      <c r="K1921" s="2684"/>
      <c r="L1921" s="2683" t="s">
        <v>7960</v>
      </c>
    </row>
    <row r="1922" spans="1:12">
      <c r="A1922" s="2682" t="s">
        <v>146</v>
      </c>
      <c r="B1922" s="2682" t="s">
        <v>7966</v>
      </c>
      <c r="C1922" s="2682">
        <v>260</v>
      </c>
      <c r="D1922" s="2682">
        <v>400</v>
      </c>
      <c r="E1922" s="2682">
        <v>255</v>
      </c>
      <c r="F1922" s="2682" t="s">
        <v>5922</v>
      </c>
      <c r="G1922" s="2682" t="s">
        <v>5922</v>
      </c>
      <c r="H1922" s="2682" t="s">
        <v>5922</v>
      </c>
      <c r="I1922" s="2682" t="s">
        <v>5922</v>
      </c>
      <c r="J1922" s="2682">
        <v>114</v>
      </c>
      <c r="L1922" s="2682" t="s">
        <v>7967</v>
      </c>
    </row>
    <row r="1923" spans="1:12">
      <c r="A1923" s="2683" t="s">
        <v>146</v>
      </c>
      <c r="B1923" s="2683" t="s">
        <v>7968</v>
      </c>
      <c r="C1923" s="2683">
        <v>260</v>
      </c>
      <c r="D1923" s="2683">
        <v>400</v>
      </c>
      <c r="E1923" s="2683">
        <v>255</v>
      </c>
      <c r="F1923" s="2683" t="s">
        <v>5922</v>
      </c>
      <c r="G1923" s="2683" t="s">
        <v>5922</v>
      </c>
      <c r="H1923" s="2683" t="s">
        <v>5922</v>
      </c>
      <c r="I1923" s="2683" t="s">
        <v>5922</v>
      </c>
      <c r="J1923" s="2683">
        <v>114</v>
      </c>
      <c r="K1923" s="2684"/>
      <c r="L1923" s="2683" t="s">
        <v>7969</v>
      </c>
    </row>
    <row r="1924" spans="1:12">
      <c r="A1924" s="2682" t="s">
        <v>146</v>
      </c>
      <c r="B1924" s="2682" t="s">
        <v>7970</v>
      </c>
      <c r="C1924" s="2682">
        <v>260</v>
      </c>
      <c r="D1924" s="2682">
        <v>400</v>
      </c>
      <c r="E1924" s="2682">
        <v>345</v>
      </c>
      <c r="F1924" s="2682" t="s">
        <v>5922</v>
      </c>
      <c r="G1924" s="2682" t="s">
        <v>5922</v>
      </c>
      <c r="H1924" s="2682" t="s">
        <v>5922</v>
      </c>
      <c r="I1924" s="2682" t="s">
        <v>5922</v>
      </c>
      <c r="J1924" s="2682">
        <v>153</v>
      </c>
      <c r="L1924" s="2682" t="s">
        <v>7971</v>
      </c>
    </row>
    <row r="1925" spans="1:12">
      <c r="A1925" s="2683" t="s">
        <v>146</v>
      </c>
      <c r="B1925" s="2683" t="s">
        <v>7972</v>
      </c>
      <c r="C1925" s="2683">
        <v>260</v>
      </c>
      <c r="D1925" s="2683">
        <v>400</v>
      </c>
      <c r="E1925" s="2683">
        <v>345</v>
      </c>
      <c r="F1925" s="2683" t="s">
        <v>5922</v>
      </c>
      <c r="G1925" s="2683" t="s">
        <v>5922</v>
      </c>
      <c r="H1925" s="2683" t="s">
        <v>5922</v>
      </c>
      <c r="I1925" s="2683" t="s">
        <v>5922</v>
      </c>
      <c r="J1925" s="2683">
        <v>153</v>
      </c>
      <c r="K1925" s="2684"/>
      <c r="L1925" s="2683" t="s">
        <v>7973</v>
      </c>
    </row>
    <row r="1926" spans="1:12">
      <c r="A1926" s="2682" t="s">
        <v>146</v>
      </c>
      <c r="B1926" s="2682" t="s">
        <v>7974</v>
      </c>
      <c r="C1926" s="2682">
        <v>260</v>
      </c>
      <c r="D1926" s="2682">
        <v>400</v>
      </c>
      <c r="E1926" s="2682">
        <v>345</v>
      </c>
      <c r="F1926" s="2682" t="s">
        <v>5922</v>
      </c>
      <c r="G1926" s="2682" t="s">
        <v>5922</v>
      </c>
      <c r="H1926" s="2682" t="s">
        <v>5922</v>
      </c>
      <c r="I1926" s="2682" t="s">
        <v>5922</v>
      </c>
      <c r="J1926" s="2682">
        <v>153</v>
      </c>
      <c r="L1926" s="2682" t="s">
        <v>7975</v>
      </c>
    </row>
    <row r="1927" spans="1:12">
      <c r="A1927" s="2683" t="s">
        <v>146</v>
      </c>
      <c r="B1927" s="2683" t="s">
        <v>7976</v>
      </c>
      <c r="C1927" s="2683">
        <v>220</v>
      </c>
      <c r="D1927" s="2683">
        <v>340</v>
      </c>
      <c r="E1927" s="2683">
        <v>305</v>
      </c>
      <c r="F1927" s="2683" t="s">
        <v>5922</v>
      </c>
      <c r="G1927" s="2683" t="s">
        <v>5922</v>
      </c>
      <c r="H1927" s="2683" t="s">
        <v>5922</v>
      </c>
      <c r="I1927" s="2683" t="s">
        <v>5922</v>
      </c>
      <c r="J1927" s="2683">
        <v>97.9</v>
      </c>
      <c r="K1927" s="2684"/>
      <c r="L1927" s="2683" t="s">
        <v>7977</v>
      </c>
    </row>
    <row r="1928" spans="1:12">
      <c r="A1928" s="2682" t="s">
        <v>146</v>
      </c>
      <c r="B1928" s="2682" t="s">
        <v>7978</v>
      </c>
      <c r="C1928" s="2682">
        <v>220</v>
      </c>
      <c r="D1928" s="2682">
        <v>340</v>
      </c>
      <c r="E1928" s="2682">
        <v>305</v>
      </c>
      <c r="F1928" s="2682" t="s">
        <v>5922</v>
      </c>
      <c r="G1928" s="2682" t="s">
        <v>5922</v>
      </c>
      <c r="H1928" s="2682" t="s">
        <v>5922</v>
      </c>
      <c r="I1928" s="2682" t="s">
        <v>5922</v>
      </c>
      <c r="J1928" s="2682">
        <v>97.9</v>
      </c>
      <c r="L1928" s="2682" t="s">
        <v>7979</v>
      </c>
    </row>
    <row r="1929" spans="1:12">
      <c r="A1929" s="2683" t="s">
        <v>146</v>
      </c>
      <c r="B1929" s="2683" t="s">
        <v>7980</v>
      </c>
      <c r="C1929" s="2683">
        <v>170</v>
      </c>
      <c r="D1929" s="2683">
        <v>260</v>
      </c>
      <c r="E1929" s="2683">
        <v>230</v>
      </c>
      <c r="F1929" s="2683" t="s">
        <v>5922</v>
      </c>
      <c r="G1929" s="2683" t="s">
        <v>5922</v>
      </c>
      <c r="H1929" s="2683" t="s">
        <v>5922</v>
      </c>
      <c r="I1929" s="2683" t="s">
        <v>5922</v>
      </c>
      <c r="J1929" s="2683">
        <v>43</v>
      </c>
      <c r="K1929" s="2684"/>
      <c r="L1929" s="2683" t="s">
        <v>7981</v>
      </c>
    </row>
    <row r="1930" spans="1:12">
      <c r="A1930" s="2682" t="s">
        <v>146</v>
      </c>
      <c r="B1930" s="2682" t="s">
        <v>7982</v>
      </c>
      <c r="C1930" s="2682">
        <v>950</v>
      </c>
      <c r="D1930" s="2682">
        <v>1360</v>
      </c>
      <c r="E1930" s="2682">
        <v>880</v>
      </c>
      <c r="F1930" s="2682" t="s">
        <v>5922</v>
      </c>
      <c r="G1930" s="2682" t="s">
        <v>5922</v>
      </c>
      <c r="H1930" s="2682" t="s">
        <v>5922</v>
      </c>
      <c r="I1930" s="2682" t="s">
        <v>5922</v>
      </c>
      <c r="J1930" s="2682">
        <v>4087</v>
      </c>
      <c r="L1930" s="2682" t="s">
        <v>7983</v>
      </c>
    </row>
    <row r="1931" spans="1:12">
      <c r="A1931" s="2683" t="s">
        <v>146</v>
      </c>
      <c r="B1931" s="2683" t="s">
        <v>7984</v>
      </c>
      <c r="C1931" s="2683">
        <v>1060</v>
      </c>
      <c r="D1931" s="2683">
        <v>1500</v>
      </c>
      <c r="E1931" s="2683">
        <v>1000</v>
      </c>
      <c r="F1931" s="2683" t="s">
        <v>5922</v>
      </c>
      <c r="G1931" s="2683" t="s">
        <v>5922</v>
      </c>
      <c r="H1931" s="2683" t="s">
        <v>5922</v>
      </c>
      <c r="I1931" s="2683" t="s">
        <v>5922</v>
      </c>
      <c r="J1931" s="2683">
        <v>5698</v>
      </c>
      <c r="K1931" s="2684"/>
      <c r="L1931" s="2683" t="s">
        <v>7985</v>
      </c>
    </row>
    <row r="1932" spans="1:12">
      <c r="A1932" s="2682" t="s">
        <v>146</v>
      </c>
      <c r="B1932" s="2682" t="s">
        <v>7986</v>
      </c>
      <c r="C1932" s="2682">
        <v>460</v>
      </c>
      <c r="D1932" s="2682">
        <v>610</v>
      </c>
      <c r="E1932" s="2682">
        <v>360</v>
      </c>
      <c r="F1932" s="2682" t="s">
        <v>5922</v>
      </c>
      <c r="G1932" s="2682" t="s">
        <v>5922</v>
      </c>
      <c r="H1932" s="2682" t="s">
        <v>5922</v>
      </c>
      <c r="I1932" s="2682" t="s">
        <v>5922</v>
      </c>
      <c r="J1932" s="2682">
        <v>292.7</v>
      </c>
      <c r="L1932" s="2682">
        <v>1077992</v>
      </c>
    </row>
    <row r="1933" spans="1:12">
      <c r="A1933" s="2683" t="s">
        <v>146</v>
      </c>
      <c r="B1933" s="2683" t="s">
        <v>7987</v>
      </c>
      <c r="C1933" s="2683">
        <v>460</v>
      </c>
      <c r="D1933" s="2683">
        <v>620</v>
      </c>
      <c r="E1933" s="2683">
        <v>310</v>
      </c>
      <c r="F1933" s="2683" t="s">
        <v>5922</v>
      </c>
      <c r="G1933" s="2683" t="s">
        <v>5922</v>
      </c>
      <c r="H1933" s="2683" t="s">
        <v>5922</v>
      </c>
      <c r="I1933" s="2683" t="s">
        <v>5922</v>
      </c>
      <c r="J1933" s="2683">
        <v>251</v>
      </c>
      <c r="K1933" s="2684"/>
      <c r="L1933" s="2683" t="s">
        <v>7988</v>
      </c>
    </row>
    <row r="1934" spans="1:12">
      <c r="A1934" s="2682" t="s">
        <v>146</v>
      </c>
      <c r="B1934" s="2682" t="s">
        <v>7989</v>
      </c>
      <c r="C1934" s="2682">
        <v>460</v>
      </c>
      <c r="D1934" s="2682">
        <v>620</v>
      </c>
      <c r="E1934" s="2682">
        <v>310</v>
      </c>
      <c r="F1934" s="2682" t="s">
        <v>5922</v>
      </c>
      <c r="G1934" s="2682" t="s">
        <v>5922</v>
      </c>
      <c r="H1934" s="2682" t="s">
        <v>5922</v>
      </c>
      <c r="I1934" s="2682" t="s">
        <v>5922</v>
      </c>
      <c r="J1934" s="2682">
        <v>260</v>
      </c>
      <c r="L1934" s="2682" t="s">
        <v>7990</v>
      </c>
    </row>
    <row r="1935" spans="1:12">
      <c r="A1935" s="2683" t="s">
        <v>146</v>
      </c>
      <c r="B1935" s="2683" t="s">
        <v>7991</v>
      </c>
      <c r="C1935" s="2683">
        <v>460</v>
      </c>
      <c r="D1935" s="2683">
        <v>620</v>
      </c>
      <c r="E1935" s="2683">
        <v>310</v>
      </c>
      <c r="F1935" s="2683" t="s">
        <v>5922</v>
      </c>
      <c r="G1935" s="2683" t="s">
        <v>5922</v>
      </c>
      <c r="H1935" s="2683" t="s">
        <v>5922</v>
      </c>
      <c r="I1935" s="2683" t="s">
        <v>5922</v>
      </c>
      <c r="J1935" s="2683">
        <v>260</v>
      </c>
      <c r="K1935" s="2684"/>
      <c r="L1935" s="2683">
        <v>1077992</v>
      </c>
    </row>
    <row r="1936" spans="1:12">
      <c r="A1936" s="2682" t="s">
        <v>146</v>
      </c>
      <c r="B1936" s="2682" t="s">
        <v>7992</v>
      </c>
      <c r="C1936" s="2682">
        <v>460</v>
      </c>
      <c r="D1936" s="2682">
        <v>620</v>
      </c>
      <c r="E1936" s="2682">
        <v>310</v>
      </c>
      <c r="F1936" s="2682" t="s">
        <v>5922</v>
      </c>
      <c r="G1936" s="2682" t="s">
        <v>5922</v>
      </c>
      <c r="H1936" s="2682" t="s">
        <v>5922</v>
      </c>
      <c r="I1936" s="2682" t="s">
        <v>5922</v>
      </c>
      <c r="J1936" s="2682">
        <v>173</v>
      </c>
      <c r="L1936" s="2682" t="s">
        <v>7993</v>
      </c>
    </row>
    <row r="1937" spans="1:12">
      <c r="A1937" s="2683" t="s">
        <v>146</v>
      </c>
      <c r="B1937" s="2683">
        <v>381992</v>
      </c>
      <c r="C1937" s="2683">
        <v>460</v>
      </c>
      <c r="D1937" s="2683">
        <v>620</v>
      </c>
      <c r="E1937" s="2683">
        <v>310</v>
      </c>
      <c r="F1937" s="2683" t="s">
        <v>5922</v>
      </c>
      <c r="G1937" s="2683" t="s">
        <v>5922</v>
      </c>
      <c r="H1937" s="2683" t="s">
        <v>5922</v>
      </c>
      <c r="I1937" s="2683" t="s">
        <v>5922</v>
      </c>
      <c r="J1937" s="2683">
        <v>173</v>
      </c>
      <c r="K1937" s="2684"/>
      <c r="L1937" s="2683">
        <v>1077992</v>
      </c>
    </row>
    <row r="1938" spans="1:12">
      <c r="A1938" s="2682" t="s">
        <v>146</v>
      </c>
      <c r="B1938" s="2682" t="s">
        <v>7994</v>
      </c>
      <c r="C1938" s="2682">
        <v>670</v>
      </c>
      <c r="D1938" s="2682">
        <v>900</v>
      </c>
      <c r="E1938" s="2682">
        <v>412</v>
      </c>
      <c r="F1938" s="2682" t="s">
        <v>5922</v>
      </c>
      <c r="G1938" s="2682" t="s">
        <v>5922</v>
      </c>
      <c r="H1938" s="2682" t="s">
        <v>5922</v>
      </c>
      <c r="I1938" s="2682" t="s">
        <v>5922</v>
      </c>
      <c r="J1938" s="2682">
        <v>773</v>
      </c>
      <c r="L1938" s="2682" t="s">
        <v>7995</v>
      </c>
    </row>
    <row r="1939" spans="1:12">
      <c r="A1939" s="2683" t="s">
        <v>146</v>
      </c>
      <c r="B1939" s="2683" t="s">
        <v>7996</v>
      </c>
      <c r="C1939" s="2683">
        <v>670</v>
      </c>
      <c r="D1939" s="2683">
        <v>900</v>
      </c>
      <c r="E1939" s="2683">
        <v>412</v>
      </c>
      <c r="F1939" s="2683" t="s">
        <v>5922</v>
      </c>
      <c r="G1939" s="2683" t="s">
        <v>5922</v>
      </c>
      <c r="H1939" s="2683" t="s">
        <v>5922</v>
      </c>
      <c r="I1939" s="2683" t="s">
        <v>5922</v>
      </c>
      <c r="J1939" s="2683">
        <v>959</v>
      </c>
      <c r="K1939" s="2684"/>
      <c r="L1939" s="2683" t="s">
        <v>7997</v>
      </c>
    </row>
    <row r="1940" spans="1:12">
      <c r="A1940" s="2682" t="s">
        <v>146</v>
      </c>
      <c r="B1940" s="2682" t="s">
        <v>7998</v>
      </c>
      <c r="C1940" s="2682">
        <v>630</v>
      </c>
      <c r="D1940" s="2682">
        <v>850</v>
      </c>
      <c r="E1940" s="2682">
        <v>418</v>
      </c>
      <c r="F1940" s="2682" t="s">
        <v>5922</v>
      </c>
      <c r="G1940" s="2682" t="s">
        <v>5922</v>
      </c>
      <c r="H1940" s="2682" t="s">
        <v>5922</v>
      </c>
      <c r="I1940" s="2682" t="s">
        <v>5922</v>
      </c>
      <c r="J1940" s="2682">
        <v>682</v>
      </c>
      <c r="L1940" s="2682" t="s">
        <v>6451</v>
      </c>
    </row>
    <row r="1941" spans="1:12">
      <c r="A1941" s="2683" t="s">
        <v>146</v>
      </c>
      <c r="B1941" s="2683" t="s">
        <v>7999</v>
      </c>
      <c r="C1941" s="2683">
        <v>530</v>
      </c>
      <c r="D1941" s="2683">
        <v>780</v>
      </c>
      <c r="E1941" s="2683">
        <v>450</v>
      </c>
      <c r="F1941" s="2683" t="s">
        <v>5922</v>
      </c>
      <c r="G1941" s="2683" t="s">
        <v>5922</v>
      </c>
      <c r="H1941" s="2683" t="s">
        <v>5922</v>
      </c>
      <c r="I1941" s="2683" t="s">
        <v>5922</v>
      </c>
      <c r="J1941" s="2683">
        <v>744</v>
      </c>
      <c r="K1941" s="2684"/>
      <c r="L1941" s="2683" t="s">
        <v>8000</v>
      </c>
    </row>
    <row r="1942" spans="1:12">
      <c r="A1942" s="2682" t="s">
        <v>146</v>
      </c>
      <c r="B1942" s="2682" t="s">
        <v>8001</v>
      </c>
      <c r="C1942" s="2682">
        <v>500</v>
      </c>
      <c r="D1942" s="2682">
        <v>720</v>
      </c>
      <c r="E1942" s="2682">
        <v>420</v>
      </c>
      <c r="F1942" s="2682" t="s">
        <v>5922</v>
      </c>
      <c r="G1942" s="2682" t="s">
        <v>5922</v>
      </c>
      <c r="H1942" s="2682" t="s">
        <v>5922</v>
      </c>
      <c r="I1942" s="2682" t="s">
        <v>5922</v>
      </c>
      <c r="J1942" s="2682">
        <v>135</v>
      </c>
      <c r="L1942" s="2682" t="s">
        <v>8002</v>
      </c>
    </row>
    <row r="1943" spans="1:12">
      <c r="A1943" s="2683" t="s">
        <v>146</v>
      </c>
      <c r="B1943" s="2683" t="s">
        <v>8003</v>
      </c>
      <c r="C1943" s="2683">
        <v>460</v>
      </c>
      <c r="D1943" s="2683">
        <v>730</v>
      </c>
      <c r="E1943" s="2683">
        <v>440</v>
      </c>
      <c r="F1943" s="2683" t="s">
        <v>5922</v>
      </c>
      <c r="G1943" s="2683" t="s">
        <v>5922</v>
      </c>
      <c r="H1943" s="2683" t="s">
        <v>5922</v>
      </c>
      <c r="I1943" s="2683" t="s">
        <v>5922</v>
      </c>
      <c r="J1943" s="2683">
        <v>694</v>
      </c>
      <c r="K1943" s="2684"/>
      <c r="L1943" s="2683">
        <v>77792</v>
      </c>
    </row>
    <row r="1944" spans="1:12">
      <c r="A1944" s="2682" t="s">
        <v>146</v>
      </c>
      <c r="B1944" s="2682" t="s">
        <v>8004</v>
      </c>
      <c r="C1944" s="2682">
        <v>460</v>
      </c>
      <c r="D1944" s="2682">
        <v>730</v>
      </c>
      <c r="E1944" s="2682">
        <v>440</v>
      </c>
      <c r="F1944" s="2682" t="s">
        <v>5922</v>
      </c>
      <c r="G1944" s="2682" t="s">
        <v>5922</v>
      </c>
      <c r="H1944" s="2682" t="s">
        <v>5922</v>
      </c>
      <c r="I1944" s="2682" t="s">
        <v>5922</v>
      </c>
      <c r="J1944" s="2682">
        <v>694</v>
      </c>
      <c r="L1944" s="2682" t="s">
        <v>8005</v>
      </c>
    </row>
    <row r="1945" spans="1:12">
      <c r="A1945" s="2683" t="s">
        <v>146</v>
      </c>
      <c r="B1945" s="2683" t="s">
        <v>8006</v>
      </c>
      <c r="C1945" s="2683">
        <v>460</v>
      </c>
      <c r="D1945" s="2683">
        <v>730</v>
      </c>
      <c r="E1945" s="2683">
        <v>440</v>
      </c>
      <c r="F1945" s="2683" t="s">
        <v>5922</v>
      </c>
      <c r="G1945" s="2683" t="s">
        <v>5922</v>
      </c>
      <c r="H1945" s="2683" t="s">
        <v>5922</v>
      </c>
      <c r="I1945" s="2683" t="s">
        <v>5922</v>
      </c>
      <c r="J1945" s="2683">
        <v>694</v>
      </c>
      <c r="K1945" s="2684"/>
      <c r="L1945" s="2683" t="s">
        <v>8007</v>
      </c>
    </row>
    <row r="1946" spans="1:12">
      <c r="A1946" s="2682" t="s">
        <v>146</v>
      </c>
      <c r="B1946" s="2682" t="s">
        <v>8008</v>
      </c>
      <c r="C1946" s="2682">
        <v>460</v>
      </c>
      <c r="D1946" s="2682">
        <v>650</v>
      </c>
      <c r="E1946" s="2682">
        <v>474</v>
      </c>
      <c r="F1946" s="2682" t="s">
        <v>5922</v>
      </c>
      <c r="G1946" s="2682" t="s">
        <v>5922</v>
      </c>
      <c r="H1946" s="2682" t="s">
        <v>5922</v>
      </c>
      <c r="I1946" s="2682" t="s">
        <v>5922</v>
      </c>
      <c r="J1946" s="2682">
        <v>495</v>
      </c>
      <c r="L1946" s="2682" t="s">
        <v>8009</v>
      </c>
    </row>
    <row r="1947" spans="1:12">
      <c r="A1947" s="2683" t="s">
        <v>146</v>
      </c>
      <c r="B1947" s="2683" t="s">
        <v>8010</v>
      </c>
      <c r="C1947" s="2683">
        <v>440</v>
      </c>
      <c r="D1947" s="2683">
        <v>620</v>
      </c>
      <c r="E1947" s="2683">
        <v>454</v>
      </c>
      <c r="F1947" s="2683" t="s">
        <v>5922</v>
      </c>
      <c r="G1947" s="2683" t="s">
        <v>5922</v>
      </c>
      <c r="H1947" s="2683" t="s">
        <v>5922</v>
      </c>
      <c r="I1947" s="2683" t="s">
        <v>5922</v>
      </c>
      <c r="J1947" s="2683">
        <v>434</v>
      </c>
      <c r="K1947" s="2684"/>
      <c r="L1947" s="2683" t="s">
        <v>8011</v>
      </c>
    </row>
    <row r="1948" spans="1:12">
      <c r="A1948" s="2682" t="s">
        <v>146</v>
      </c>
      <c r="B1948" s="2682" t="s">
        <v>8012</v>
      </c>
      <c r="C1948" s="2682">
        <v>440</v>
      </c>
      <c r="D1948" s="2682">
        <v>620</v>
      </c>
      <c r="E1948" s="2682">
        <v>454</v>
      </c>
      <c r="F1948" s="2682" t="s">
        <v>5922</v>
      </c>
      <c r="G1948" s="2682" t="s">
        <v>5922</v>
      </c>
      <c r="H1948" s="2682" t="s">
        <v>5922</v>
      </c>
      <c r="I1948" s="2682" t="s">
        <v>5922</v>
      </c>
      <c r="J1948" s="2682">
        <v>432</v>
      </c>
      <c r="L1948" s="2682" t="s">
        <v>8013</v>
      </c>
    </row>
    <row r="1949" spans="1:12">
      <c r="A1949" s="2683" t="s">
        <v>146</v>
      </c>
      <c r="B1949" s="2683" t="s">
        <v>8014</v>
      </c>
      <c r="C1949" s="2683">
        <v>440</v>
      </c>
      <c r="D1949" s="2683">
        <v>620</v>
      </c>
      <c r="E1949" s="2683">
        <v>454</v>
      </c>
      <c r="F1949" s="2683" t="s">
        <v>5922</v>
      </c>
      <c r="G1949" s="2683" t="s">
        <v>5922</v>
      </c>
      <c r="H1949" s="2683" t="s">
        <v>5922</v>
      </c>
      <c r="I1949" s="2683" t="s">
        <v>5922</v>
      </c>
      <c r="J1949" s="2683">
        <v>440</v>
      </c>
      <c r="K1949" s="2684"/>
      <c r="L1949" s="2683" t="s">
        <v>8015</v>
      </c>
    </row>
    <row r="1950" spans="1:12">
      <c r="A1950" s="2682" t="s">
        <v>146</v>
      </c>
      <c r="B1950" s="2682" t="s">
        <v>8016</v>
      </c>
      <c r="C1950" s="2682">
        <v>420</v>
      </c>
      <c r="D1950" s="2682">
        <v>760</v>
      </c>
      <c r="E1950" s="2682">
        <v>500</v>
      </c>
      <c r="F1950" s="2682" t="s">
        <v>5922</v>
      </c>
      <c r="G1950" s="2682" t="s">
        <v>5922</v>
      </c>
      <c r="H1950" s="2682" t="s">
        <v>5922</v>
      </c>
      <c r="I1950" s="2682" t="s">
        <v>5922</v>
      </c>
      <c r="J1950" s="2682">
        <v>1039</v>
      </c>
      <c r="L1950" s="2682" t="s">
        <v>8017</v>
      </c>
    </row>
    <row r="1951" spans="1:12">
      <c r="A1951" s="2683" t="s">
        <v>146</v>
      </c>
      <c r="B1951" s="2683">
        <v>380684</v>
      </c>
      <c r="C1951" s="2683">
        <v>420</v>
      </c>
      <c r="D1951" s="2683">
        <v>760</v>
      </c>
      <c r="E1951" s="2683">
        <v>500</v>
      </c>
      <c r="F1951" s="2683" t="s">
        <v>5922</v>
      </c>
      <c r="G1951" s="2683" t="s">
        <v>5922</v>
      </c>
      <c r="H1951" s="2683" t="s">
        <v>5922</v>
      </c>
      <c r="I1951" s="2683" t="s">
        <v>5922</v>
      </c>
      <c r="J1951" s="2683">
        <v>1039</v>
      </c>
      <c r="K1951" s="2684"/>
      <c r="L1951" s="2683">
        <v>77884</v>
      </c>
    </row>
    <row r="1952" spans="1:12">
      <c r="A1952" s="2682" t="s">
        <v>146</v>
      </c>
      <c r="B1952" s="2682" t="s">
        <v>8018</v>
      </c>
      <c r="C1952" s="2682">
        <v>400</v>
      </c>
      <c r="D1952" s="2682">
        <v>540</v>
      </c>
      <c r="E1952" s="2682">
        <v>280</v>
      </c>
      <c r="F1952" s="2682" t="s">
        <v>5922</v>
      </c>
      <c r="G1952" s="2682" t="s">
        <v>5922</v>
      </c>
      <c r="H1952" s="2682" t="s">
        <v>5922</v>
      </c>
      <c r="I1952" s="2682" t="s">
        <v>5922</v>
      </c>
      <c r="J1952" s="2682">
        <v>177</v>
      </c>
      <c r="L1952" s="2682" t="s">
        <v>8019</v>
      </c>
    </row>
    <row r="1953" spans="1:12">
      <c r="A1953" s="2683" t="s">
        <v>146</v>
      </c>
      <c r="B1953" s="2683" t="s">
        <v>8020</v>
      </c>
      <c r="C1953" s="2683">
        <v>395</v>
      </c>
      <c r="D1953" s="2683">
        <v>545</v>
      </c>
      <c r="E1953" s="2683">
        <v>288.7</v>
      </c>
      <c r="F1953" s="2683" t="s">
        <v>5922</v>
      </c>
      <c r="G1953" s="2683" t="s">
        <v>5922</v>
      </c>
      <c r="H1953" s="2683" t="s">
        <v>5922</v>
      </c>
      <c r="I1953" s="2683" t="s">
        <v>5922</v>
      </c>
      <c r="J1953" s="2683">
        <v>194</v>
      </c>
      <c r="K1953" s="2684"/>
      <c r="L1953" s="2683" t="s">
        <v>8021</v>
      </c>
    </row>
    <row r="1954" spans="1:12">
      <c r="A1954" s="2682" t="s">
        <v>146</v>
      </c>
      <c r="B1954" s="2682" t="s">
        <v>8022</v>
      </c>
      <c r="C1954" s="2682">
        <v>395</v>
      </c>
      <c r="D1954" s="2682">
        <v>545</v>
      </c>
      <c r="E1954" s="2682">
        <v>288.7</v>
      </c>
      <c r="F1954" s="2682" t="s">
        <v>5922</v>
      </c>
      <c r="G1954" s="2682" t="s">
        <v>5922</v>
      </c>
      <c r="H1954" s="2682" t="s">
        <v>5922</v>
      </c>
      <c r="I1954" s="2682" t="s">
        <v>5922</v>
      </c>
      <c r="J1954" s="2682">
        <v>191</v>
      </c>
      <c r="L1954" s="2682" t="s">
        <v>8023</v>
      </c>
    </row>
    <row r="1955" spans="1:12">
      <c r="A1955" s="2683" t="s">
        <v>146</v>
      </c>
      <c r="B1955" s="2683" t="s">
        <v>8024</v>
      </c>
      <c r="C1955" s="2683">
        <v>395</v>
      </c>
      <c r="D1955" s="2683">
        <v>545</v>
      </c>
      <c r="E1955" s="2683">
        <v>288.7</v>
      </c>
      <c r="F1955" s="2683" t="s">
        <v>5922</v>
      </c>
      <c r="G1955" s="2683" t="s">
        <v>5922</v>
      </c>
      <c r="H1955" s="2683" t="s">
        <v>5922</v>
      </c>
      <c r="I1955" s="2683" t="s">
        <v>5922</v>
      </c>
      <c r="J1955" s="2683">
        <v>194</v>
      </c>
      <c r="K1955" s="2684"/>
      <c r="L1955" s="2683" t="s">
        <v>8025</v>
      </c>
    </row>
    <row r="1956" spans="1:12">
      <c r="A1956" s="2682" t="s">
        <v>146</v>
      </c>
      <c r="B1956" s="2682" t="s">
        <v>8026</v>
      </c>
      <c r="C1956" s="2682">
        <v>395</v>
      </c>
      <c r="D1956" s="2682">
        <v>545</v>
      </c>
      <c r="E1956" s="2682">
        <v>288.7</v>
      </c>
      <c r="F1956" s="2682" t="s">
        <v>5922</v>
      </c>
      <c r="G1956" s="2682" t="s">
        <v>5922</v>
      </c>
      <c r="H1956" s="2682" t="s">
        <v>5922</v>
      </c>
      <c r="I1956" s="2682" t="s">
        <v>5922</v>
      </c>
      <c r="J1956" s="2682">
        <v>194</v>
      </c>
      <c r="L1956" s="2682" t="s">
        <v>8027</v>
      </c>
    </row>
    <row r="1957" spans="1:12">
      <c r="A1957" s="2683" t="s">
        <v>146</v>
      </c>
      <c r="B1957" s="2683" t="s">
        <v>8028</v>
      </c>
      <c r="C1957" s="2683">
        <v>350</v>
      </c>
      <c r="D1957" s="2683">
        <v>590</v>
      </c>
      <c r="E1957" s="2683">
        <v>420</v>
      </c>
      <c r="F1957" s="2683" t="s">
        <v>5922</v>
      </c>
      <c r="G1957" s="2683" t="s">
        <v>5922</v>
      </c>
      <c r="H1957" s="2683" t="s">
        <v>5922</v>
      </c>
      <c r="I1957" s="2683" t="s">
        <v>5922</v>
      </c>
      <c r="J1957" s="2683">
        <v>455</v>
      </c>
      <c r="K1957" s="2684"/>
      <c r="L1957" s="2683" t="s">
        <v>8029</v>
      </c>
    </row>
    <row r="1958" spans="1:12">
      <c r="A1958" s="2682" t="s">
        <v>146</v>
      </c>
      <c r="B1958" s="2682" t="s">
        <v>8030</v>
      </c>
      <c r="C1958" s="2682">
        <v>350</v>
      </c>
      <c r="D1958" s="2682">
        <v>590</v>
      </c>
      <c r="E1958" s="2682">
        <v>420</v>
      </c>
      <c r="F1958" s="2682" t="s">
        <v>5922</v>
      </c>
      <c r="G1958" s="2682" t="s">
        <v>5922</v>
      </c>
      <c r="H1958" s="2682" t="s">
        <v>5922</v>
      </c>
      <c r="I1958" s="2682" t="s">
        <v>5922</v>
      </c>
      <c r="J1958" s="2682">
        <v>475</v>
      </c>
      <c r="L1958" s="2682" t="s">
        <v>8031</v>
      </c>
    </row>
    <row r="1959" spans="1:12">
      <c r="A1959" s="2683" t="s">
        <v>146</v>
      </c>
      <c r="B1959" s="2683" t="s">
        <v>8032</v>
      </c>
      <c r="C1959" s="2683">
        <v>350</v>
      </c>
      <c r="D1959" s="2683">
        <v>590</v>
      </c>
      <c r="E1959" s="2683">
        <v>420</v>
      </c>
      <c r="F1959" s="2683" t="s">
        <v>5922</v>
      </c>
      <c r="G1959" s="2683" t="s">
        <v>5922</v>
      </c>
      <c r="H1959" s="2683" t="s">
        <v>5922</v>
      </c>
      <c r="I1959" s="2683" t="s">
        <v>5922</v>
      </c>
      <c r="J1959" s="2683">
        <v>475</v>
      </c>
      <c r="K1959" s="2684"/>
      <c r="L1959" s="2683" t="s">
        <v>8033</v>
      </c>
    </row>
    <row r="1960" spans="1:12">
      <c r="A1960" s="2682" t="s">
        <v>146</v>
      </c>
      <c r="B1960" s="2682">
        <v>380670</v>
      </c>
      <c r="C1960" s="2682">
        <v>350</v>
      </c>
      <c r="D1960" s="2682">
        <v>590</v>
      </c>
      <c r="E1960" s="2682">
        <v>420</v>
      </c>
      <c r="F1960" s="2682" t="s">
        <v>5922</v>
      </c>
      <c r="G1960" s="2682" t="s">
        <v>5922</v>
      </c>
      <c r="H1960" s="2682" t="s">
        <v>5922</v>
      </c>
      <c r="I1960" s="2682" t="s">
        <v>5922</v>
      </c>
      <c r="J1960" s="2682">
        <v>475</v>
      </c>
      <c r="L1960" s="2682">
        <v>777770</v>
      </c>
    </row>
    <row r="1961" spans="1:12">
      <c r="A1961" s="2683" t="s">
        <v>146</v>
      </c>
      <c r="B1961" s="2683" t="s">
        <v>8034</v>
      </c>
      <c r="C1961" s="2683">
        <v>320</v>
      </c>
      <c r="D1961" s="2683">
        <v>460</v>
      </c>
      <c r="E1961" s="2683">
        <v>380</v>
      </c>
      <c r="F1961" s="2683" t="s">
        <v>5922</v>
      </c>
      <c r="G1961" s="2683" t="s">
        <v>5922</v>
      </c>
      <c r="H1961" s="2683" t="s">
        <v>5922</v>
      </c>
      <c r="I1961" s="2683" t="s">
        <v>5922</v>
      </c>
      <c r="J1961" s="2683">
        <v>218</v>
      </c>
      <c r="K1961" s="2684"/>
      <c r="L1961" s="2683">
        <v>77864</v>
      </c>
    </row>
    <row r="1962" spans="1:12">
      <c r="A1962" s="2682" t="s">
        <v>146</v>
      </c>
      <c r="B1962" s="2682">
        <v>380650</v>
      </c>
      <c r="C1962" s="2682">
        <v>250</v>
      </c>
      <c r="D1962" s="2682">
        <v>385</v>
      </c>
      <c r="E1962" s="2682">
        <v>255</v>
      </c>
      <c r="F1962" s="2682" t="s">
        <v>5922</v>
      </c>
      <c r="G1962" s="2682" t="s">
        <v>5922</v>
      </c>
      <c r="H1962" s="2682" t="s">
        <v>5922</v>
      </c>
      <c r="I1962" s="2682" t="s">
        <v>5922</v>
      </c>
      <c r="J1962" s="2682">
        <v>108</v>
      </c>
      <c r="L1962" s="2682" t="s">
        <v>8035</v>
      </c>
    </row>
    <row r="1963" spans="1:12">
      <c r="A1963" s="2683" t="s">
        <v>146</v>
      </c>
      <c r="B1963" s="2683" t="s">
        <v>8036</v>
      </c>
      <c r="C1963" s="2683">
        <v>245</v>
      </c>
      <c r="D1963" s="2683">
        <v>380</v>
      </c>
      <c r="E1963" s="2683">
        <v>254</v>
      </c>
      <c r="F1963" s="2683" t="s">
        <v>5922</v>
      </c>
      <c r="G1963" s="2683" t="s">
        <v>5922</v>
      </c>
      <c r="H1963" s="2683" t="s">
        <v>5922</v>
      </c>
      <c r="I1963" s="2683" t="s">
        <v>5922</v>
      </c>
      <c r="J1963" s="2683">
        <v>111</v>
      </c>
      <c r="K1963" s="2684"/>
      <c r="L1963" s="2683" t="s">
        <v>8037</v>
      </c>
    </row>
    <row r="1964" spans="1:12">
      <c r="A1964" s="2682" t="s">
        <v>146</v>
      </c>
      <c r="B1964" s="2682" t="s">
        <v>8038</v>
      </c>
      <c r="C1964" s="2682">
        <v>205</v>
      </c>
      <c r="D1964" s="2682">
        <v>320</v>
      </c>
      <c r="E1964" s="2682">
        <v>205</v>
      </c>
      <c r="F1964" s="2682" t="s">
        <v>5922</v>
      </c>
      <c r="G1964" s="2682" t="s">
        <v>5922</v>
      </c>
      <c r="H1964" s="2682" t="s">
        <v>5922</v>
      </c>
      <c r="I1964" s="2682" t="s">
        <v>5922</v>
      </c>
      <c r="J1964" s="2682">
        <v>54.5</v>
      </c>
      <c r="L1964" s="2682" t="s">
        <v>8039</v>
      </c>
    </row>
    <row r="1965" spans="1:12">
      <c r="A1965" s="2683" t="s">
        <v>146</v>
      </c>
      <c r="B1965" s="2683">
        <v>380640</v>
      </c>
      <c r="C1965" s="2683">
        <v>200</v>
      </c>
      <c r="D1965" s="2683">
        <v>282</v>
      </c>
      <c r="E1965" s="2683">
        <v>206</v>
      </c>
      <c r="F1965" s="2683" t="s">
        <v>5922</v>
      </c>
      <c r="G1965" s="2683" t="s">
        <v>5922</v>
      </c>
      <c r="H1965" s="2683" t="s">
        <v>5922</v>
      </c>
      <c r="I1965" s="2683" t="s">
        <v>5922</v>
      </c>
      <c r="J1965" s="2683">
        <v>42.7</v>
      </c>
      <c r="K1965" s="2684"/>
      <c r="L1965" s="2683" t="s">
        <v>8040</v>
      </c>
    </row>
    <row r="1966" spans="1:12">
      <c r="A1966" s="2682" t="s">
        <v>146</v>
      </c>
      <c r="B1966" s="2682">
        <v>380622</v>
      </c>
      <c r="C1966" s="2682">
        <v>110</v>
      </c>
      <c r="D1966" s="2682">
        <v>160</v>
      </c>
      <c r="E1966" s="2682">
        <v>115</v>
      </c>
      <c r="F1966" s="2682" t="s">
        <v>5922</v>
      </c>
      <c r="G1966" s="2682" t="s">
        <v>5922</v>
      </c>
      <c r="H1966" s="2682" t="s">
        <v>5922</v>
      </c>
      <c r="I1966" s="2682" t="s">
        <v>5922</v>
      </c>
      <c r="J1966" s="2682">
        <v>7.68</v>
      </c>
      <c r="L1966" s="2682">
        <v>77722</v>
      </c>
    </row>
    <row r="1967" spans="1:12">
      <c r="A1967" s="2683" t="s">
        <v>146</v>
      </c>
      <c r="B1967" s="2683" t="s">
        <v>8041</v>
      </c>
      <c r="C1967" s="2683">
        <v>750</v>
      </c>
      <c r="D1967" s="2683">
        <v>1130</v>
      </c>
      <c r="E1967" s="2683">
        <v>690</v>
      </c>
      <c r="F1967" s="2683" t="s">
        <v>5922</v>
      </c>
      <c r="G1967" s="2683" t="s">
        <v>5922</v>
      </c>
      <c r="H1967" s="2683" t="s">
        <v>5922</v>
      </c>
      <c r="I1967" s="2683" t="s">
        <v>5922</v>
      </c>
      <c r="J1967" s="2683">
        <v>2549</v>
      </c>
      <c r="K1967" s="2684"/>
      <c r="L1967" s="2683" t="s">
        <v>8042</v>
      </c>
    </row>
    <row r="1968" spans="1:12">
      <c r="A1968" s="2682" t="s">
        <v>146</v>
      </c>
      <c r="B1968" s="2682" t="s">
        <v>8043</v>
      </c>
      <c r="C1968" s="2682">
        <v>660</v>
      </c>
      <c r="D1968" s="2682">
        <v>1070</v>
      </c>
      <c r="E1968" s="2682">
        <v>650</v>
      </c>
      <c r="F1968" s="2682" t="s">
        <v>5922</v>
      </c>
      <c r="G1968" s="2682" t="s">
        <v>5922</v>
      </c>
      <c r="H1968" s="2682" t="s">
        <v>5922</v>
      </c>
      <c r="I1968" s="2682" t="s">
        <v>5922</v>
      </c>
      <c r="J1968" s="2682">
        <v>2282</v>
      </c>
      <c r="L1968" s="2682" t="s">
        <v>8044</v>
      </c>
    </row>
    <row r="1969" spans="1:12">
      <c r="A1969" s="2683" t="s">
        <v>146</v>
      </c>
      <c r="B1969" s="2683" t="s">
        <v>8045</v>
      </c>
      <c r="C1969" s="2683">
        <v>650</v>
      </c>
      <c r="D1969" s="2683">
        <v>1030</v>
      </c>
      <c r="E1969" s="2683">
        <v>560</v>
      </c>
      <c r="F1969" s="2683" t="s">
        <v>5922</v>
      </c>
      <c r="G1969" s="2683" t="s">
        <v>5922</v>
      </c>
      <c r="H1969" s="2683" t="s">
        <v>5922</v>
      </c>
      <c r="I1969" s="2683" t="s">
        <v>5922</v>
      </c>
      <c r="J1969" s="2683">
        <v>1753</v>
      </c>
      <c r="K1969" s="2684"/>
      <c r="L1969" s="2683" t="s">
        <v>8046</v>
      </c>
    </row>
    <row r="1970" spans="1:12">
      <c r="A1970" s="2682" t="s">
        <v>146</v>
      </c>
      <c r="B1970" s="2682" t="s">
        <v>8047</v>
      </c>
      <c r="C1970" s="2682">
        <v>650</v>
      </c>
      <c r="D1970" s="2682">
        <v>1030</v>
      </c>
      <c r="E1970" s="2682">
        <v>560</v>
      </c>
      <c r="F1970" s="2682" t="s">
        <v>5922</v>
      </c>
      <c r="G1970" s="2682" t="s">
        <v>5922</v>
      </c>
      <c r="H1970" s="2682" t="s">
        <v>5922</v>
      </c>
      <c r="I1970" s="2682" t="s">
        <v>5922</v>
      </c>
      <c r="J1970" s="2682">
        <v>1735</v>
      </c>
      <c r="L1970" s="2682" t="s">
        <v>8046</v>
      </c>
    </row>
    <row r="1971" spans="1:12">
      <c r="A1971" s="2683" t="s">
        <v>146</v>
      </c>
      <c r="B1971" s="2683" t="s">
        <v>8048</v>
      </c>
      <c r="C1971" s="2683">
        <v>650</v>
      </c>
      <c r="D1971" s="2683">
        <v>1030</v>
      </c>
      <c r="E1971" s="2683">
        <v>560</v>
      </c>
      <c r="F1971" s="2683" t="s">
        <v>5922</v>
      </c>
      <c r="G1971" s="2683" t="s">
        <v>5922</v>
      </c>
      <c r="H1971" s="2683" t="s">
        <v>5922</v>
      </c>
      <c r="I1971" s="2683" t="s">
        <v>5922</v>
      </c>
      <c r="J1971" s="2683">
        <v>1810</v>
      </c>
      <c r="K1971" s="2684"/>
      <c r="L1971" s="2683" t="s">
        <v>8049</v>
      </c>
    </row>
    <row r="1972" spans="1:12">
      <c r="A1972" s="2682" t="s">
        <v>146</v>
      </c>
      <c r="B1972" s="2682" t="s">
        <v>8050</v>
      </c>
      <c r="C1972" s="2682">
        <v>650</v>
      </c>
      <c r="D1972" s="2682">
        <v>1030</v>
      </c>
      <c r="E1972" s="2682">
        <v>560</v>
      </c>
      <c r="F1972" s="2682" t="s">
        <v>5922</v>
      </c>
      <c r="G1972" s="2682" t="s">
        <v>5922</v>
      </c>
      <c r="H1972" s="2682" t="s">
        <v>5922</v>
      </c>
      <c r="I1972" s="2682" t="s">
        <v>5922</v>
      </c>
      <c r="J1972" s="2682">
        <v>1769</v>
      </c>
      <c r="L1972" s="2682" t="s">
        <v>8051</v>
      </c>
    </row>
    <row r="1973" spans="1:12">
      <c r="A1973" s="2683" t="s">
        <v>146</v>
      </c>
      <c r="B1973" s="2683" t="s">
        <v>8052</v>
      </c>
      <c r="C1973" s="2683">
        <v>600</v>
      </c>
      <c r="D1973" s="2683">
        <v>980</v>
      </c>
      <c r="E1973" s="2683">
        <v>650</v>
      </c>
      <c r="F1973" s="2683" t="s">
        <v>5922</v>
      </c>
      <c r="G1973" s="2683" t="s">
        <v>5922</v>
      </c>
      <c r="H1973" s="2683" t="s">
        <v>5922</v>
      </c>
      <c r="I1973" s="2683" t="s">
        <v>5922</v>
      </c>
      <c r="J1973" s="2683">
        <v>1970</v>
      </c>
      <c r="K1973" s="2684"/>
      <c r="L1973" s="2683" t="s">
        <v>8053</v>
      </c>
    </row>
    <row r="1974" spans="1:12">
      <c r="A1974" s="2682" t="s">
        <v>146</v>
      </c>
      <c r="B1974" s="2682" t="s">
        <v>8054</v>
      </c>
      <c r="C1974" s="2682">
        <v>530</v>
      </c>
      <c r="D1974" s="2682">
        <v>880</v>
      </c>
      <c r="E1974" s="2682">
        <v>544</v>
      </c>
      <c r="F1974" s="2682" t="s">
        <v>5922</v>
      </c>
      <c r="G1974" s="2682" t="s">
        <v>5922</v>
      </c>
      <c r="H1974" s="2682" t="s">
        <v>5922</v>
      </c>
      <c r="I1974" s="2682" t="s">
        <v>5922</v>
      </c>
      <c r="J1974" s="2682">
        <v>1350</v>
      </c>
      <c r="L1974" s="2682" t="s">
        <v>8055</v>
      </c>
    </row>
    <row r="1975" spans="1:12">
      <c r="A1975" s="2683" t="s">
        <v>146</v>
      </c>
      <c r="B1975" s="2683" t="s">
        <v>8056</v>
      </c>
      <c r="C1975" s="2683">
        <v>220</v>
      </c>
      <c r="D1975" s="2683">
        <v>340</v>
      </c>
      <c r="E1975" s="2683">
        <v>90</v>
      </c>
      <c r="F1975" s="2683" t="s">
        <v>5922</v>
      </c>
      <c r="G1975" s="2683" t="s">
        <v>5922</v>
      </c>
      <c r="H1975" s="2683" t="s">
        <v>5922</v>
      </c>
      <c r="I1975" s="2683" t="s">
        <v>5922</v>
      </c>
      <c r="J1975" s="2683">
        <v>30.78</v>
      </c>
      <c r="K1975" s="2684"/>
      <c r="L1975" s="2683" t="s">
        <v>5922</v>
      </c>
    </row>
    <row r="1976" spans="1:12">
      <c r="A1976" s="2682" t="s">
        <v>146</v>
      </c>
      <c r="B1976" s="2682" t="s">
        <v>8057</v>
      </c>
      <c r="C1976" s="2682">
        <v>65</v>
      </c>
      <c r="D1976" s="2682">
        <v>140</v>
      </c>
      <c r="E1976" s="2682">
        <v>36</v>
      </c>
      <c r="F1976" s="2682" t="s">
        <v>5922</v>
      </c>
      <c r="G1976" s="2682" t="s">
        <v>5922</v>
      </c>
      <c r="H1976" s="2682" t="s">
        <v>5922</v>
      </c>
      <c r="I1976" s="2682" t="s">
        <v>5922</v>
      </c>
      <c r="J1976" s="2682">
        <v>2.46</v>
      </c>
      <c r="L1976" s="2682" t="s">
        <v>8058</v>
      </c>
    </row>
    <row r="1977" spans="1:12">
      <c r="A1977" s="2683" t="s">
        <v>146</v>
      </c>
      <c r="B1977" s="2683" t="s">
        <v>8059</v>
      </c>
      <c r="C1977" s="2683">
        <v>75</v>
      </c>
      <c r="D1977" s="2683">
        <v>160</v>
      </c>
      <c r="E1977" s="2683">
        <v>40</v>
      </c>
      <c r="F1977" s="2683" t="s">
        <v>5922</v>
      </c>
      <c r="G1977" s="2683" t="s">
        <v>5922</v>
      </c>
      <c r="H1977" s="2683" t="s">
        <v>5922</v>
      </c>
      <c r="I1977" s="2683" t="s">
        <v>5922</v>
      </c>
      <c r="J1977" s="2683">
        <v>3.54</v>
      </c>
      <c r="K1977" s="2684"/>
      <c r="L1977" s="2683" t="s">
        <v>8060</v>
      </c>
    </row>
    <row r="1978" spans="1:12">
      <c r="A1978" s="2682" t="s">
        <v>146</v>
      </c>
      <c r="B1978" s="2682" t="s">
        <v>8061</v>
      </c>
      <c r="C1978" s="2682">
        <v>45</v>
      </c>
      <c r="D1978" s="2682">
        <v>85</v>
      </c>
      <c r="E1978" s="2682">
        <v>25</v>
      </c>
      <c r="F1978" s="2682" t="s">
        <v>5922</v>
      </c>
      <c r="G1978" s="2682" t="s">
        <v>5922</v>
      </c>
      <c r="H1978" s="2682" t="s">
        <v>5922</v>
      </c>
      <c r="I1978" s="2682" t="s">
        <v>5922</v>
      </c>
      <c r="J1978" s="2682">
        <v>0.58399999999999996</v>
      </c>
      <c r="L1978" s="2682" t="s">
        <v>8062</v>
      </c>
    </row>
    <row r="1979" spans="1:12">
      <c r="A1979" s="2683" t="s">
        <v>146</v>
      </c>
      <c r="B1979" s="2683">
        <v>92312</v>
      </c>
      <c r="C1979" s="2683">
        <v>60</v>
      </c>
      <c r="D1979" s="2683">
        <v>85</v>
      </c>
      <c r="E1979" s="2683">
        <v>17</v>
      </c>
      <c r="F1979" s="2683" t="s">
        <v>5922</v>
      </c>
      <c r="G1979" s="2683" t="s">
        <v>5922</v>
      </c>
      <c r="H1979" s="2683" t="s">
        <v>5922</v>
      </c>
      <c r="I1979" s="2683" t="s">
        <v>5922</v>
      </c>
      <c r="J1979" s="2683">
        <v>0.24</v>
      </c>
      <c r="K1979" s="2684"/>
      <c r="L1979" s="2683">
        <v>2007912</v>
      </c>
    </row>
    <row r="1980" spans="1:12">
      <c r="A1980" s="2682" t="s">
        <v>146</v>
      </c>
      <c r="B1980" s="2682" t="s">
        <v>8063</v>
      </c>
      <c r="C1980" s="2682">
        <v>170</v>
      </c>
      <c r="D1980" s="2682">
        <v>230</v>
      </c>
      <c r="E1980" s="2682">
        <v>38.5</v>
      </c>
      <c r="F1980" s="2682" t="s">
        <v>5922</v>
      </c>
      <c r="G1980" s="2682" t="s">
        <v>5922</v>
      </c>
      <c r="H1980" s="2682" t="s">
        <v>5922</v>
      </c>
      <c r="I1980" s="2682" t="s">
        <v>5922</v>
      </c>
      <c r="J1980" s="2682" t="s">
        <v>5922</v>
      </c>
      <c r="L1980" s="2682">
        <v>2007934</v>
      </c>
    </row>
    <row r="1981" spans="1:12">
      <c r="A1981" s="2683" t="s">
        <v>146</v>
      </c>
      <c r="B1981" s="2683" t="s">
        <v>8064</v>
      </c>
      <c r="C1981" s="2683">
        <v>25</v>
      </c>
      <c r="D1981" s="2683">
        <v>47</v>
      </c>
      <c r="E1981" s="2683">
        <v>15</v>
      </c>
      <c r="F1981" s="2683" t="s">
        <v>5922</v>
      </c>
      <c r="G1981" s="2683" t="s">
        <v>5922</v>
      </c>
      <c r="H1981" s="2683" t="s">
        <v>5922</v>
      </c>
      <c r="I1981" s="2683" t="s">
        <v>5922</v>
      </c>
      <c r="J1981" s="2683">
        <v>0.11</v>
      </c>
      <c r="K1981" s="2684"/>
      <c r="L1981" s="2683" t="s">
        <v>8065</v>
      </c>
    </row>
    <row r="1982" spans="1:12">
      <c r="A1982" s="2682" t="s">
        <v>146</v>
      </c>
      <c r="B1982" s="2682" t="s">
        <v>8066</v>
      </c>
      <c r="C1982" s="2682">
        <v>110</v>
      </c>
      <c r="D1982" s="2682">
        <v>170</v>
      </c>
      <c r="E1982" s="2682">
        <v>38</v>
      </c>
      <c r="F1982" s="2682" t="s">
        <v>5922</v>
      </c>
      <c r="G1982" s="2682" t="s">
        <v>5922</v>
      </c>
      <c r="H1982" s="2682" t="s">
        <v>5922</v>
      </c>
      <c r="I1982" s="2682" t="s">
        <v>5922</v>
      </c>
      <c r="J1982" s="2682" t="s">
        <v>5922</v>
      </c>
      <c r="L1982" s="2682" t="s">
        <v>8067</v>
      </c>
    </row>
    <row r="1983" spans="1:12">
      <c r="A1983" s="2683" t="s">
        <v>146</v>
      </c>
      <c r="B1983" s="2683" t="s">
        <v>8068</v>
      </c>
      <c r="C1983" s="2683">
        <v>120</v>
      </c>
      <c r="D1983" s="2683">
        <v>180</v>
      </c>
      <c r="E1983" s="2683">
        <v>38</v>
      </c>
      <c r="F1983" s="2683" t="s">
        <v>5922</v>
      </c>
      <c r="G1983" s="2683" t="s">
        <v>5922</v>
      </c>
      <c r="H1983" s="2683" t="s">
        <v>5922</v>
      </c>
      <c r="I1983" s="2683" t="s">
        <v>5922</v>
      </c>
      <c r="J1983" s="2683">
        <v>3.07</v>
      </c>
      <c r="K1983" s="2684"/>
      <c r="L1983" s="2683" t="s">
        <v>8069</v>
      </c>
    </row>
    <row r="1984" spans="1:12">
      <c r="A1984" s="2682" t="s">
        <v>146</v>
      </c>
      <c r="B1984" s="2682" t="s">
        <v>8070</v>
      </c>
      <c r="C1984" s="2682">
        <v>140</v>
      </c>
      <c r="D1984" s="2682">
        <v>210</v>
      </c>
      <c r="E1984" s="2682">
        <v>45</v>
      </c>
      <c r="F1984" s="2682" t="s">
        <v>5922</v>
      </c>
      <c r="G1984" s="2682" t="s">
        <v>5922</v>
      </c>
      <c r="H1984" s="2682" t="s">
        <v>5922</v>
      </c>
      <c r="I1984" s="2682" t="s">
        <v>5922</v>
      </c>
      <c r="J1984" s="2682">
        <v>5.0999999999999996</v>
      </c>
      <c r="L1984" s="2682" t="s">
        <v>8071</v>
      </c>
    </row>
    <row r="1985" spans="1:12">
      <c r="A1985" s="2683" t="s">
        <v>146</v>
      </c>
      <c r="B1985" s="2683" t="s">
        <v>8072</v>
      </c>
      <c r="C1985" s="2683">
        <v>300</v>
      </c>
      <c r="D1985" s="2683">
        <v>460</v>
      </c>
      <c r="E1985" s="2683">
        <v>100</v>
      </c>
      <c r="F1985" s="2683" t="s">
        <v>5922</v>
      </c>
      <c r="G1985" s="2683" t="s">
        <v>5922</v>
      </c>
      <c r="H1985" s="2683" t="s">
        <v>5922</v>
      </c>
      <c r="I1985" s="2683" t="s">
        <v>5922</v>
      </c>
      <c r="J1985" s="2683" t="s">
        <v>5922</v>
      </c>
      <c r="K1985" s="2684"/>
      <c r="L1985" s="2683" t="s">
        <v>8073</v>
      </c>
    </row>
    <row r="1986" spans="1:12">
      <c r="A1986" s="2682" t="s">
        <v>146</v>
      </c>
      <c r="B1986" s="2682" t="s">
        <v>8074</v>
      </c>
      <c r="C1986" s="2682">
        <v>90</v>
      </c>
      <c r="D1986" s="2682">
        <v>150</v>
      </c>
      <c r="E1986" s="2682">
        <v>45</v>
      </c>
      <c r="F1986" s="2682" t="s">
        <v>5922</v>
      </c>
      <c r="G1986" s="2682" t="s">
        <v>5922</v>
      </c>
      <c r="H1986" s="2682" t="s">
        <v>5922</v>
      </c>
      <c r="I1986" s="2682" t="s">
        <v>5922</v>
      </c>
      <c r="J1986" s="2682" t="s">
        <v>5922</v>
      </c>
      <c r="L1986" s="2682" t="s">
        <v>5922</v>
      </c>
    </row>
    <row r="1987" spans="1:12">
      <c r="A1987" s="2683" t="s">
        <v>146</v>
      </c>
      <c r="B1987" s="2683" t="s">
        <v>8075</v>
      </c>
      <c r="C1987" s="2683" t="s">
        <v>5922</v>
      </c>
      <c r="D1987" s="2683" t="s">
        <v>5922</v>
      </c>
      <c r="E1987" s="2683" t="s">
        <v>5922</v>
      </c>
      <c r="F1987" s="2683" t="s">
        <v>5922</v>
      </c>
      <c r="G1987" s="2683" t="s">
        <v>5922</v>
      </c>
      <c r="H1987" s="2683" t="s">
        <v>5922</v>
      </c>
      <c r="I1987" s="2683" t="s">
        <v>5922</v>
      </c>
      <c r="J1987" s="2683" t="s">
        <v>5922</v>
      </c>
      <c r="K1987" s="2684"/>
      <c r="L1987" s="2683" t="s">
        <v>8076</v>
      </c>
    </row>
    <row r="1988" spans="1:12">
      <c r="A1988" s="2682" t="s">
        <v>146</v>
      </c>
      <c r="B1988" s="2682" t="s">
        <v>8077</v>
      </c>
      <c r="C1988" s="2682">
        <v>90</v>
      </c>
      <c r="D1988" s="2682">
        <v>160</v>
      </c>
      <c r="E1988" s="2682">
        <v>42.5</v>
      </c>
      <c r="F1988" s="2682" t="s">
        <v>5922</v>
      </c>
      <c r="G1988" s="2682" t="s">
        <v>5922</v>
      </c>
      <c r="H1988" s="2682" t="s">
        <v>5922</v>
      </c>
      <c r="I1988" s="2682" t="s">
        <v>5922</v>
      </c>
      <c r="J1988" s="2682">
        <v>3.3</v>
      </c>
      <c r="L1988" s="2682" t="s">
        <v>8078</v>
      </c>
    </row>
    <row r="1989" spans="1:12">
      <c r="A1989" s="2683" t="s">
        <v>146</v>
      </c>
      <c r="B1989" s="2683" t="s">
        <v>8079</v>
      </c>
      <c r="C1989" s="2683">
        <v>55</v>
      </c>
      <c r="D1989" s="2683">
        <v>120</v>
      </c>
      <c r="E1989" s="2683">
        <v>45.5</v>
      </c>
      <c r="F1989" s="2683" t="s">
        <v>5922</v>
      </c>
      <c r="G1989" s="2683" t="s">
        <v>5922</v>
      </c>
      <c r="H1989" s="2683" t="s">
        <v>5922</v>
      </c>
      <c r="I1989" s="2683" t="s">
        <v>5922</v>
      </c>
      <c r="J1989" s="2683">
        <v>2.4300000000000002</v>
      </c>
      <c r="K1989" s="2684"/>
      <c r="L1989" s="2683" t="s">
        <v>6254</v>
      </c>
    </row>
    <row r="1990" spans="1:12">
      <c r="A1990" s="2682" t="s">
        <v>146</v>
      </c>
      <c r="B1990" s="2682" t="s">
        <v>8080</v>
      </c>
      <c r="C1990" s="2682">
        <v>800</v>
      </c>
      <c r="D1990" s="2682">
        <v>990</v>
      </c>
      <c r="E1990" s="2682">
        <v>57</v>
      </c>
      <c r="F1990" s="2682" t="s">
        <v>5922</v>
      </c>
      <c r="G1990" s="2682" t="s">
        <v>5922</v>
      </c>
      <c r="H1990" s="2682" t="s">
        <v>5922</v>
      </c>
      <c r="I1990" s="2682" t="s">
        <v>5922</v>
      </c>
      <c r="J1990" s="2682">
        <v>96.3</v>
      </c>
      <c r="L1990" s="2682" t="s">
        <v>5922</v>
      </c>
    </row>
    <row r="1991" spans="1:12">
      <c r="A1991" s="2683" t="s">
        <v>146</v>
      </c>
      <c r="B1991" s="2683" t="s">
        <v>8081</v>
      </c>
      <c r="C1991" s="2683">
        <v>280</v>
      </c>
      <c r="D1991" s="2683">
        <v>350</v>
      </c>
      <c r="E1991" s="2683">
        <v>36</v>
      </c>
      <c r="F1991" s="2683" t="s">
        <v>5922</v>
      </c>
      <c r="G1991" s="2683" t="s">
        <v>5922</v>
      </c>
      <c r="H1991" s="2683" t="s">
        <v>5922</v>
      </c>
      <c r="I1991" s="2683" t="s">
        <v>5922</v>
      </c>
      <c r="J1991" s="2683">
        <v>6.33</v>
      </c>
      <c r="K1991" s="2684"/>
      <c r="L1991" s="2683">
        <v>1007856</v>
      </c>
    </row>
    <row r="1992" spans="1:12">
      <c r="A1992" s="2682" t="s">
        <v>146</v>
      </c>
      <c r="B1992" s="2682" t="s">
        <v>8082</v>
      </c>
      <c r="C1992" s="2682">
        <v>460</v>
      </c>
      <c r="D1992" s="2682">
        <v>680</v>
      </c>
      <c r="E1992" s="2682">
        <v>105</v>
      </c>
      <c r="F1992" s="2682" t="s">
        <v>5922</v>
      </c>
      <c r="G1992" s="2682" t="s">
        <v>5922</v>
      </c>
      <c r="H1992" s="2682" t="s">
        <v>5922</v>
      </c>
      <c r="I1992" s="2682" t="s">
        <v>5922</v>
      </c>
      <c r="J1992" s="2682">
        <v>118</v>
      </c>
      <c r="L1992" s="2682">
        <v>7192</v>
      </c>
    </row>
    <row r="1993" spans="1:12">
      <c r="A1993" s="2683" t="s">
        <v>146</v>
      </c>
      <c r="B1993" s="2683" t="s">
        <v>8083</v>
      </c>
      <c r="C1993" s="2683">
        <v>40</v>
      </c>
      <c r="D1993" s="2683">
        <v>72</v>
      </c>
      <c r="E1993" s="2683">
        <v>19</v>
      </c>
      <c r="F1993" s="2683" t="s">
        <v>5922</v>
      </c>
      <c r="G1993" s="2683" t="s">
        <v>5922</v>
      </c>
      <c r="H1993" s="2683" t="s">
        <v>5922</v>
      </c>
      <c r="I1993" s="2683" t="s">
        <v>5922</v>
      </c>
      <c r="J1993" s="2683">
        <v>0.315</v>
      </c>
      <c r="K1993" s="2684"/>
      <c r="L1993" s="2683" t="s">
        <v>5922</v>
      </c>
    </row>
    <row r="1994" spans="1:12">
      <c r="A1994" s="2682" t="s">
        <v>146</v>
      </c>
      <c r="B1994" s="2682" t="s">
        <v>8084</v>
      </c>
      <c r="C1994" s="2682">
        <v>110</v>
      </c>
      <c r="D1994" s="2682">
        <v>170</v>
      </c>
      <c r="E1994" s="2682">
        <v>38.4</v>
      </c>
      <c r="F1994" s="2682" t="s">
        <v>5922</v>
      </c>
      <c r="G1994" s="2682" t="s">
        <v>5922</v>
      </c>
      <c r="H1994" s="2682" t="s">
        <v>5922</v>
      </c>
      <c r="I1994" s="2682" t="s">
        <v>5922</v>
      </c>
      <c r="J1994" s="2682">
        <v>3.12</v>
      </c>
      <c r="L1994" s="2682">
        <v>2007122</v>
      </c>
    </row>
    <row r="1995" spans="1:12">
      <c r="A1995" s="2683" t="s">
        <v>146</v>
      </c>
      <c r="B1995" s="2683" t="s">
        <v>8085</v>
      </c>
      <c r="C1995" s="2683">
        <v>140</v>
      </c>
      <c r="D1995" s="2683">
        <v>210</v>
      </c>
      <c r="E1995" s="2683">
        <v>45.5</v>
      </c>
      <c r="F1995" s="2683" t="s">
        <v>5922</v>
      </c>
      <c r="G1995" s="2683" t="s">
        <v>5922</v>
      </c>
      <c r="H1995" s="2683" t="s">
        <v>5922</v>
      </c>
      <c r="I1995" s="2683" t="s">
        <v>5922</v>
      </c>
      <c r="J1995" s="2683">
        <v>4.9400000000000004</v>
      </c>
      <c r="K1995" s="2684"/>
      <c r="L1995" s="2683">
        <v>2007128</v>
      </c>
    </row>
    <row r="1996" spans="1:12">
      <c r="A1996" s="2682" t="s">
        <v>146</v>
      </c>
      <c r="B1996" s="2682" t="s">
        <v>8086</v>
      </c>
      <c r="C1996" s="2682">
        <v>160</v>
      </c>
      <c r="D1996" s="2682">
        <v>240</v>
      </c>
      <c r="E1996" s="2682">
        <v>51.5</v>
      </c>
      <c r="F1996" s="2682" t="s">
        <v>5922</v>
      </c>
      <c r="G1996" s="2682" t="s">
        <v>5922</v>
      </c>
      <c r="H1996" s="2682" t="s">
        <v>5922</v>
      </c>
      <c r="I1996" s="2682" t="s">
        <v>5922</v>
      </c>
      <c r="J1996" s="2682">
        <v>7.7</v>
      </c>
      <c r="L1996" s="2682" t="s">
        <v>8087</v>
      </c>
    </row>
    <row r="1997" spans="1:12">
      <c r="A1997" s="2683" t="s">
        <v>146</v>
      </c>
      <c r="B1997" s="2683" t="s">
        <v>8088</v>
      </c>
      <c r="C1997" s="2683">
        <v>220</v>
      </c>
      <c r="D1997" s="2683">
        <v>400</v>
      </c>
      <c r="E1997" s="2683">
        <v>73</v>
      </c>
      <c r="F1997" s="2683" t="s">
        <v>5922</v>
      </c>
      <c r="G1997" s="2683" t="s">
        <v>5922</v>
      </c>
      <c r="H1997" s="2683" t="s">
        <v>5922</v>
      </c>
      <c r="I1997" s="2683" t="s">
        <v>5922</v>
      </c>
      <c r="J1997" s="2683">
        <v>35.4</v>
      </c>
      <c r="K1997" s="2684"/>
      <c r="L1997" s="2683" t="s">
        <v>8089</v>
      </c>
    </row>
    <row r="1998" spans="1:12">
      <c r="A1998" s="2682" t="s">
        <v>146</v>
      </c>
      <c r="B1998" s="2682" t="s">
        <v>8090</v>
      </c>
      <c r="C1998" s="2682">
        <v>55</v>
      </c>
      <c r="D1998" s="2682">
        <v>90</v>
      </c>
      <c r="E1998" s="2682">
        <v>52</v>
      </c>
      <c r="F1998" s="2682" t="s">
        <v>5922</v>
      </c>
      <c r="G1998" s="2682" t="s">
        <v>5922</v>
      </c>
      <c r="H1998" s="2682" t="s">
        <v>5922</v>
      </c>
      <c r="I1998" s="2682" t="s">
        <v>5922</v>
      </c>
      <c r="J1998" s="2682">
        <v>1.23</v>
      </c>
      <c r="L1998" s="2682" t="s">
        <v>5922</v>
      </c>
    </row>
    <row r="1999" spans="1:12">
      <c r="A1999" s="2683" t="s">
        <v>146</v>
      </c>
      <c r="B1999" s="2683" t="s">
        <v>8091</v>
      </c>
      <c r="C1999" s="2683">
        <v>65</v>
      </c>
      <c r="D1999" s="2683">
        <v>110</v>
      </c>
      <c r="E1999" s="2683">
        <v>30.5</v>
      </c>
      <c r="F1999" s="2683" t="s">
        <v>5922</v>
      </c>
      <c r="G1999" s="2683" t="s">
        <v>5922</v>
      </c>
      <c r="H1999" s="2683" t="s">
        <v>5922</v>
      </c>
      <c r="I1999" s="2683" t="s">
        <v>5922</v>
      </c>
      <c r="J1999" s="2683" t="s">
        <v>5922</v>
      </c>
      <c r="K1999" s="2684"/>
      <c r="L1999" s="2683" t="s">
        <v>8092</v>
      </c>
    </row>
    <row r="2000" spans="1:12">
      <c r="A2000" s="2682" t="s">
        <v>146</v>
      </c>
      <c r="B2000" s="2682" t="s">
        <v>8093</v>
      </c>
      <c r="C2000" s="2682">
        <v>17</v>
      </c>
      <c r="D2000" s="2682">
        <v>40</v>
      </c>
      <c r="E2000" s="2682">
        <v>13.5</v>
      </c>
      <c r="F2000" s="2682" t="s">
        <v>5922</v>
      </c>
      <c r="G2000" s="2682" t="s">
        <v>5922</v>
      </c>
      <c r="H2000" s="2682" t="s">
        <v>5922</v>
      </c>
      <c r="I2000" s="2682" t="s">
        <v>5922</v>
      </c>
      <c r="J2000" s="2682">
        <v>7.3999999999999996E-2</v>
      </c>
      <c r="L2000" s="2682">
        <v>7203</v>
      </c>
    </row>
    <row r="2001" spans="1:12">
      <c r="A2001" s="2683" t="s">
        <v>146</v>
      </c>
      <c r="B2001" s="2683" t="s">
        <v>8094</v>
      </c>
      <c r="C2001" s="2683">
        <v>20</v>
      </c>
      <c r="D2001" s="2683">
        <v>47</v>
      </c>
      <c r="E2001" s="2683">
        <v>15.5</v>
      </c>
      <c r="F2001" s="2683" t="s">
        <v>5922</v>
      </c>
      <c r="G2001" s="2683" t="s">
        <v>5922</v>
      </c>
      <c r="H2001" s="2683" t="s">
        <v>5922</v>
      </c>
      <c r="I2001" s="2683" t="s">
        <v>5922</v>
      </c>
      <c r="J2001" s="2683">
        <v>0.11799999999999999</v>
      </c>
      <c r="K2001" s="2684"/>
      <c r="L2001" s="2683">
        <v>7204</v>
      </c>
    </row>
    <row r="2002" spans="1:12">
      <c r="A2002" s="2682" t="s">
        <v>146</v>
      </c>
      <c r="B2002" s="2682" t="s">
        <v>8095</v>
      </c>
      <c r="C2002" s="2682">
        <v>25</v>
      </c>
      <c r="D2002" s="2682">
        <v>52</v>
      </c>
      <c r="E2002" s="2682">
        <v>16.5</v>
      </c>
      <c r="F2002" s="2682" t="s">
        <v>5922</v>
      </c>
      <c r="G2002" s="2682" t="s">
        <v>5922</v>
      </c>
      <c r="H2002" s="2682" t="s">
        <v>5922</v>
      </c>
      <c r="I2002" s="2682" t="s">
        <v>5922</v>
      </c>
      <c r="J2002" s="2682">
        <v>0.15</v>
      </c>
      <c r="L2002" s="2682">
        <v>7205</v>
      </c>
    </row>
    <row r="2003" spans="1:12">
      <c r="A2003" s="2683" t="s">
        <v>146</v>
      </c>
      <c r="B2003" s="2683" t="s">
        <v>8096</v>
      </c>
      <c r="C2003" s="2683">
        <v>55</v>
      </c>
      <c r="D2003" s="2683">
        <v>100</v>
      </c>
      <c r="E2003" s="2683">
        <v>21</v>
      </c>
      <c r="F2003" s="2683" t="s">
        <v>5922</v>
      </c>
      <c r="G2003" s="2683" t="s">
        <v>5922</v>
      </c>
      <c r="H2003" s="2683" t="s">
        <v>5922</v>
      </c>
      <c r="I2003" s="2683" t="s">
        <v>5922</v>
      </c>
      <c r="J2003" s="2683">
        <v>0.68899999999999995</v>
      </c>
      <c r="K2003" s="2684"/>
      <c r="L2003" s="2683" t="s">
        <v>5922</v>
      </c>
    </row>
    <row r="2004" spans="1:12">
      <c r="A2004" s="2682" t="s">
        <v>146</v>
      </c>
      <c r="B2004" s="2682" t="s">
        <v>8097</v>
      </c>
      <c r="C2004" s="2682">
        <v>75</v>
      </c>
      <c r="D2004" s="2682">
        <v>130</v>
      </c>
      <c r="E2004" s="2682">
        <v>27.3</v>
      </c>
      <c r="F2004" s="2682" t="s">
        <v>5922</v>
      </c>
      <c r="G2004" s="2682" t="s">
        <v>5922</v>
      </c>
      <c r="H2004" s="2682" t="s">
        <v>5922</v>
      </c>
      <c r="I2004" s="2682" t="s">
        <v>5922</v>
      </c>
      <c r="J2004" s="2682">
        <v>1.36</v>
      </c>
      <c r="L2004" s="2682" t="s">
        <v>6055</v>
      </c>
    </row>
    <row r="2005" spans="1:12">
      <c r="A2005" s="2683" t="s">
        <v>146</v>
      </c>
      <c r="B2005" s="2683" t="s">
        <v>8098</v>
      </c>
      <c r="C2005" s="2683">
        <v>120</v>
      </c>
      <c r="D2005" s="2683">
        <v>215</v>
      </c>
      <c r="E2005" s="2683">
        <v>44</v>
      </c>
      <c r="F2005" s="2683" t="s">
        <v>5922</v>
      </c>
      <c r="G2005" s="2683" t="s">
        <v>5922</v>
      </c>
      <c r="H2005" s="2683" t="s">
        <v>5922</v>
      </c>
      <c r="I2005" s="2683" t="s">
        <v>5922</v>
      </c>
      <c r="J2005" s="2683">
        <v>5.91</v>
      </c>
      <c r="K2005" s="2684"/>
      <c r="L2005" s="2683">
        <v>7224</v>
      </c>
    </row>
    <row r="2006" spans="1:12">
      <c r="A2006" s="2682" t="s">
        <v>146</v>
      </c>
      <c r="B2006" s="2682" t="s">
        <v>8099</v>
      </c>
      <c r="C2006" s="2682">
        <v>65</v>
      </c>
      <c r="D2006" s="2682">
        <v>110</v>
      </c>
      <c r="E2006" s="2682">
        <v>33</v>
      </c>
      <c r="F2006" s="2682" t="s">
        <v>5922</v>
      </c>
      <c r="G2006" s="2682" t="s">
        <v>5922</v>
      </c>
      <c r="H2006" s="2682" t="s">
        <v>5922</v>
      </c>
      <c r="I2006" s="2682" t="s">
        <v>5922</v>
      </c>
      <c r="J2006" s="2682">
        <v>1.5</v>
      </c>
      <c r="L2006" s="2682">
        <v>7513</v>
      </c>
    </row>
    <row r="2007" spans="1:12">
      <c r="A2007" s="2683" t="s">
        <v>146</v>
      </c>
      <c r="B2007" s="2683" t="s">
        <v>8100</v>
      </c>
      <c r="C2007" s="2683">
        <v>80</v>
      </c>
      <c r="D2007" s="2683">
        <v>140</v>
      </c>
      <c r="E2007" s="2683">
        <v>36</v>
      </c>
      <c r="F2007" s="2683" t="s">
        <v>5922</v>
      </c>
      <c r="G2007" s="2683" t="s">
        <v>5922</v>
      </c>
      <c r="H2007" s="2683" t="s">
        <v>5922</v>
      </c>
      <c r="I2007" s="2683" t="s">
        <v>5922</v>
      </c>
      <c r="J2007" s="2683">
        <v>2.13</v>
      </c>
      <c r="K2007" s="2684"/>
      <c r="L2007" s="2683" t="s">
        <v>8101</v>
      </c>
    </row>
    <row r="2008" spans="1:12">
      <c r="A2008" s="2682" t="s">
        <v>146</v>
      </c>
      <c r="B2008" s="2682" t="s">
        <v>8102</v>
      </c>
      <c r="C2008" s="2682">
        <v>110</v>
      </c>
      <c r="D2008" s="2682">
        <v>200</v>
      </c>
      <c r="E2008" s="2682">
        <v>56.5</v>
      </c>
      <c r="F2008" s="2682" t="s">
        <v>5922</v>
      </c>
      <c r="G2008" s="2682" t="s">
        <v>5922</v>
      </c>
      <c r="H2008" s="2682" t="s">
        <v>5922</v>
      </c>
      <c r="I2008" s="2682" t="s">
        <v>5922</v>
      </c>
      <c r="J2008" s="2682">
        <v>7.7</v>
      </c>
      <c r="L2008" s="2682" t="s">
        <v>8103</v>
      </c>
    </row>
    <row r="2009" spans="1:12">
      <c r="A2009" s="2683" t="s">
        <v>146</v>
      </c>
      <c r="B2009" s="2683" t="s">
        <v>8104</v>
      </c>
      <c r="C2009" s="2683">
        <v>40</v>
      </c>
      <c r="D2009" s="2683">
        <v>90</v>
      </c>
      <c r="E2009" s="2683">
        <v>38.5</v>
      </c>
      <c r="F2009" s="2683" t="s">
        <v>5922</v>
      </c>
      <c r="G2009" s="2683" t="s">
        <v>5922</v>
      </c>
      <c r="H2009" s="2683" t="s">
        <v>5922</v>
      </c>
      <c r="I2009" s="2683" t="s">
        <v>5922</v>
      </c>
      <c r="J2009" s="2683">
        <v>1.1100000000000001</v>
      </c>
      <c r="K2009" s="2684"/>
      <c r="L2009" s="2683" t="s">
        <v>8105</v>
      </c>
    </row>
    <row r="2010" spans="1:12">
      <c r="A2010" s="2682" t="s">
        <v>146</v>
      </c>
      <c r="B2010" s="2682" t="s">
        <v>8106</v>
      </c>
      <c r="C2010" s="2682">
        <v>85</v>
      </c>
      <c r="D2010" s="2682">
        <v>150</v>
      </c>
      <c r="E2010" s="2682">
        <v>31</v>
      </c>
      <c r="F2010" s="2682" t="s">
        <v>5922</v>
      </c>
      <c r="G2010" s="2682" t="s">
        <v>5922</v>
      </c>
      <c r="H2010" s="2682" t="s">
        <v>5922</v>
      </c>
      <c r="I2010" s="2682" t="s">
        <v>5922</v>
      </c>
      <c r="J2010" s="2682">
        <v>2.0299999999999998</v>
      </c>
      <c r="L2010" s="2682" t="s">
        <v>8107</v>
      </c>
    </row>
    <row r="2011" spans="1:12">
      <c r="A2011" s="2683" t="s">
        <v>146</v>
      </c>
      <c r="B2011" s="2683" t="s">
        <v>8108</v>
      </c>
      <c r="C2011" s="2683">
        <v>32</v>
      </c>
      <c r="D2011" s="2683">
        <v>72</v>
      </c>
      <c r="E2011" s="2683">
        <v>29.75</v>
      </c>
      <c r="F2011" s="2683" t="s">
        <v>5922</v>
      </c>
      <c r="G2011" s="2683" t="s">
        <v>5922</v>
      </c>
      <c r="H2011" s="2683" t="s">
        <v>5922</v>
      </c>
      <c r="I2011" s="2683" t="s">
        <v>5922</v>
      </c>
      <c r="J2011" s="2683" t="s">
        <v>5922</v>
      </c>
      <c r="K2011" s="2684"/>
      <c r="L2011" s="2683" t="s">
        <v>8109</v>
      </c>
    </row>
    <row r="2012" spans="1:12">
      <c r="A2012" s="2682" t="s">
        <v>146</v>
      </c>
      <c r="B2012" s="2682" t="s">
        <v>8110</v>
      </c>
      <c r="C2012" s="2682">
        <v>70</v>
      </c>
      <c r="D2012" s="2682">
        <v>130</v>
      </c>
      <c r="E2012" s="2682">
        <v>57.5</v>
      </c>
      <c r="F2012" s="2682" t="s">
        <v>5922</v>
      </c>
      <c r="G2012" s="2682" t="s">
        <v>5922</v>
      </c>
      <c r="H2012" s="2682" t="s">
        <v>5922</v>
      </c>
      <c r="I2012" s="2682" t="s">
        <v>5922</v>
      </c>
      <c r="J2012" s="2682">
        <v>2.86</v>
      </c>
      <c r="L2012" s="2682" t="s">
        <v>8111</v>
      </c>
    </row>
    <row r="2013" spans="1:12">
      <c r="A2013" s="2683" t="s">
        <v>146</v>
      </c>
      <c r="B2013" s="2683" t="s">
        <v>8112</v>
      </c>
      <c r="C2013" s="2683">
        <v>55</v>
      </c>
      <c r="D2013" s="2683">
        <v>100</v>
      </c>
      <c r="E2013" s="2683">
        <v>30</v>
      </c>
      <c r="F2013" s="2683" t="s">
        <v>5922</v>
      </c>
      <c r="G2013" s="2683" t="s">
        <v>5922</v>
      </c>
      <c r="H2013" s="2683" t="s">
        <v>5922</v>
      </c>
      <c r="I2013" s="2683" t="s">
        <v>5922</v>
      </c>
      <c r="J2013" s="2683">
        <v>1</v>
      </c>
      <c r="K2013" s="2684"/>
      <c r="L2013" s="2683">
        <v>7711</v>
      </c>
    </row>
    <row r="2014" spans="1:12">
      <c r="A2014" s="2682" t="s">
        <v>146</v>
      </c>
      <c r="B2014" s="2682" t="s">
        <v>8113</v>
      </c>
      <c r="C2014" s="2682">
        <v>19.05</v>
      </c>
      <c r="D2014" s="2682">
        <v>45.25</v>
      </c>
      <c r="E2014" s="2682">
        <v>15.13</v>
      </c>
      <c r="F2014" s="2682" t="s">
        <v>5922</v>
      </c>
      <c r="G2014" s="2682" t="s">
        <v>5922</v>
      </c>
      <c r="H2014" s="2682" t="s">
        <v>5922</v>
      </c>
      <c r="I2014" s="2682" t="s">
        <v>5922</v>
      </c>
      <c r="J2014" s="2682" t="s">
        <v>5922</v>
      </c>
      <c r="L2014" s="2682" t="s">
        <v>8114</v>
      </c>
    </row>
    <row r="2015" spans="1:12">
      <c r="A2015" s="2683" t="s">
        <v>146</v>
      </c>
      <c r="B2015" s="2683" t="s">
        <v>8115</v>
      </c>
      <c r="C2015" s="2683">
        <v>22.225000000000001</v>
      </c>
      <c r="D2015" s="2683">
        <v>56.896000000000001</v>
      </c>
      <c r="E2015" s="2683">
        <v>20</v>
      </c>
      <c r="F2015" s="2683" t="s">
        <v>5922</v>
      </c>
      <c r="G2015" s="2683" t="s">
        <v>5922</v>
      </c>
      <c r="H2015" s="2683" t="s">
        <v>5922</v>
      </c>
      <c r="I2015" s="2683" t="s">
        <v>5922</v>
      </c>
      <c r="J2015" s="2683">
        <v>0.25</v>
      </c>
      <c r="K2015" s="2684"/>
      <c r="L2015" s="2683" t="s">
        <v>8116</v>
      </c>
    </row>
    <row r="2016" spans="1:12">
      <c r="A2016" s="2682" t="s">
        <v>146</v>
      </c>
      <c r="B2016" s="2682" t="s">
        <v>8117</v>
      </c>
      <c r="C2016" s="2682">
        <v>26</v>
      </c>
      <c r="D2016" s="2682">
        <v>57.15</v>
      </c>
      <c r="E2016" s="2682">
        <v>17.46</v>
      </c>
      <c r="F2016" s="2682" t="s">
        <v>5922</v>
      </c>
      <c r="G2016" s="2682" t="s">
        <v>5922</v>
      </c>
      <c r="H2016" s="2682" t="s">
        <v>5922</v>
      </c>
      <c r="I2016" s="2682" t="s">
        <v>5922</v>
      </c>
      <c r="J2016" s="2682" t="s">
        <v>5922</v>
      </c>
      <c r="L2016" s="2682" t="s">
        <v>8118</v>
      </c>
    </row>
    <row r="2017" spans="1:12">
      <c r="A2017" s="2683" t="s">
        <v>146</v>
      </c>
      <c r="B2017" s="2683" t="s">
        <v>8119</v>
      </c>
      <c r="C2017" s="2683">
        <v>30.213000000000001</v>
      </c>
      <c r="D2017" s="2683">
        <v>63.502000000000002</v>
      </c>
      <c r="E2017" s="2683">
        <v>20.5</v>
      </c>
      <c r="F2017" s="2683" t="s">
        <v>5922</v>
      </c>
      <c r="G2017" s="2683" t="s">
        <v>5922</v>
      </c>
      <c r="H2017" s="2683" t="s">
        <v>5922</v>
      </c>
      <c r="I2017" s="2683" t="s">
        <v>5922</v>
      </c>
      <c r="J2017" s="2683">
        <v>0.28499999999999998</v>
      </c>
      <c r="K2017" s="2684"/>
      <c r="L2017" s="2683" t="s">
        <v>8120</v>
      </c>
    </row>
    <row r="2018" spans="1:12">
      <c r="A2018" s="2682" t="s">
        <v>146</v>
      </c>
      <c r="B2018" s="2682" t="s">
        <v>8121</v>
      </c>
      <c r="C2018" s="2682">
        <v>45.25</v>
      </c>
      <c r="D2018" s="2682">
        <v>80</v>
      </c>
      <c r="E2018" s="2682">
        <v>25.5</v>
      </c>
      <c r="F2018" s="2682" t="s">
        <v>5922</v>
      </c>
      <c r="G2018" s="2682" t="s">
        <v>5922</v>
      </c>
      <c r="H2018" s="2682" t="s">
        <v>5922</v>
      </c>
      <c r="I2018" s="2682" t="s">
        <v>5922</v>
      </c>
      <c r="J2018" s="2682" t="s">
        <v>5922</v>
      </c>
      <c r="L2018" s="2682" t="s">
        <v>8105</v>
      </c>
    </row>
    <row r="2019" spans="1:12">
      <c r="A2019" s="2683" t="s">
        <v>146</v>
      </c>
      <c r="B2019" s="2683" t="s">
        <v>8122</v>
      </c>
      <c r="C2019" s="2683">
        <v>50.8</v>
      </c>
      <c r="D2019" s="2683">
        <v>100</v>
      </c>
      <c r="E2019" s="2683">
        <v>35</v>
      </c>
      <c r="F2019" s="2683" t="s">
        <v>5922</v>
      </c>
      <c r="G2019" s="2683" t="s">
        <v>5922</v>
      </c>
      <c r="H2019" s="2683" t="s">
        <v>5922</v>
      </c>
      <c r="I2019" s="2683" t="s">
        <v>5922</v>
      </c>
      <c r="J2019" s="2683">
        <v>1.27</v>
      </c>
      <c r="K2019" s="2684"/>
      <c r="L2019" s="2683">
        <v>7910</v>
      </c>
    </row>
    <row r="2020" spans="1:12">
      <c r="A2020" s="2682" t="s">
        <v>146</v>
      </c>
      <c r="B2020" s="2682" t="s">
        <v>8123</v>
      </c>
      <c r="C2020" s="2682">
        <v>50.8</v>
      </c>
      <c r="D2020" s="2682">
        <v>100</v>
      </c>
      <c r="E2020" s="2682">
        <v>35</v>
      </c>
      <c r="F2020" s="2682" t="s">
        <v>5922</v>
      </c>
      <c r="G2020" s="2682" t="s">
        <v>5922</v>
      </c>
      <c r="H2020" s="2682" t="s">
        <v>5922</v>
      </c>
      <c r="I2020" s="2682" t="s">
        <v>5922</v>
      </c>
      <c r="J2020" s="2682">
        <v>1.2669999999999999</v>
      </c>
      <c r="L2020" s="2682" t="s">
        <v>8124</v>
      </c>
    </row>
    <row r="2021" spans="1:12">
      <c r="A2021" s="2683" t="s">
        <v>146</v>
      </c>
      <c r="B2021" s="2683">
        <v>30614</v>
      </c>
      <c r="C2021" s="2683">
        <v>70</v>
      </c>
      <c r="D2021" s="2683">
        <v>120</v>
      </c>
      <c r="E2021" s="2683">
        <v>45</v>
      </c>
      <c r="F2021" s="2683" t="s">
        <v>5922</v>
      </c>
      <c r="G2021" s="2683" t="s">
        <v>5922</v>
      </c>
      <c r="H2021" s="2683" t="s">
        <v>5922</v>
      </c>
      <c r="I2021" s="2683" t="s">
        <v>5922</v>
      </c>
      <c r="J2021" s="2683">
        <v>1.89</v>
      </c>
      <c r="K2021" s="2684"/>
      <c r="L2021" s="2683" t="s">
        <v>8125</v>
      </c>
    </row>
    <row r="2022" spans="1:12">
      <c r="A2022" s="2682" t="s">
        <v>146</v>
      </c>
      <c r="B2022" s="2682" t="s">
        <v>8126</v>
      </c>
      <c r="C2022" s="2682">
        <v>71</v>
      </c>
      <c r="D2022" s="2682">
        <v>115.5</v>
      </c>
      <c r="E2022" s="2682">
        <v>29.4</v>
      </c>
      <c r="F2022" s="2682" t="s">
        <v>5922</v>
      </c>
      <c r="G2022" s="2682" t="s">
        <v>5922</v>
      </c>
      <c r="H2022" s="2682" t="s">
        <v>5922</v>
      </c>
      <c r="I2022" s="2682" t="s">
        <v>5922</v>
      </c>
      <c r="J2022" s="2682">
        <v>1.1200000000000001</v>
      </c>
      <c r="L2022" s="2682" t="s">
        <v>8127</v>
      </c>
    </row>
    <row r="2023" spans="1:12">
      <c r="A2023" s="2683" t="s">
        <v>146</v>
      </c>
      <c r="B2023" s="2683" t="s">
        <v>8128</v>
      </c>
      <c r="C2023" s="2683">
        <v>72</v>
      </c>
      <c r="D2023" s="2683">
        <v>150</v>
      </c>
      <c r="E2023" s="2683">
        <v>54</v>
      </c>
      <c r="F2023" s="2683" t="s">
        <v>5922</v>
      </c>
      <c r="G2023" s="2683" t="s">
        <v>5922</v>
      </c>
      <c r="H2023" s="2683" t="s">
        <v>5922</v>
      </c>
      <c r="I2023" s="2683" t="s">
        <v>5922</v>
      </c>
      <c r="J2023" s="2683" t="s">
        <v>5922</v>
      </c>
      <c r="K2023" s="2684"/>
      <c r="L2023" s="2683" t="s">
        <v>8129</v>
      </c>
    </row>
    <row r="2024" spans="1:12">
      <c r="A2024" s="2682" t="s">
        <v>146</v>
      </c>
      <c r="B2024" s="2682" t="s">
        <v>8130</v>
      </c>
      <c r="C2024" s="2682">
        <v>75</v>
      </c>
      <c r="D2024" s="2682">
        <v>135</v>
      </c>
      <c r="E2024" s="2682">
        <v>44</v>
      </c>
      <c r="F2024" s="2682" t="s">
        <v>5922</v>
      </c>
      <c r="G2024" s="2682" t="s">
        <v>5922</v>
      </c>
      <c r="H2024" s="2682" t="s">
        <v>5922</v>
      </c>
      <c r="I2024" s="2682" t="s">
        <v>5922</v>
      </c>
      <c r="J2024" s="2682">
        <v>2.65</v>
      </c>
      <c r="L2024" s="2682" t="s">
        <v>7660</v>
      </c>
    </row>
    <row r="2025" spans="1:12">
      <c r="A2025" s="2683" t="s">
        <v>146</v>
      </c>
      <c r="B2025" s="2683" t="s">
        <v>8131</v>
      </c>
      <c r="C2025" s="2683">
        <v>182.6</v>
      </c>
      <c r="D2025" s="2683">
        <v>330.2</v>
      </c>
      <c r="E2025" s="2683">
        <v>85.224999999999994</v>
      </c>
      <c r="F2025" s="2683" t="s">
        <v>5922</v>
      </c>
      <c r="G2025" s="2683" t="s">
        <v>5922</v>
      </c>
      <c r="H2025" s="2683" t="s">
        <v>5922</v>
      </c>
      <c r="I2025" s="2683" t="s">
        <v>5922</v>
      </c>
      <c r="J2025" s="2683">
        <v>50.8</v>
      </c>
      <c r="K2025" s="2684"/>
      <c r="L2025" s="2683">
        <v>7966</v>
      </c>
    </row>
    <row r="2026" spans="1:12">
      <c r="A2026" s="2682" t="s">
        <v>146</v>
      </c>
      <c r="B2026" s="2682">
        <v>30658</v>
      </c>
      <c r="C2026" s="2682">
        <v>290</v>
      </c>
      <c r="D2026" s="2682">
        <v>410</v>
      </c>
      <c r="E2026" s="2682">
        <v>76.5</v>
      </c>
      <c r="F2026" s="2682" t="s">
        <v>5922</v>
      </c>
      <c r="G2026" s="2682" t="s">
        <v>5922</v>
      </c>
      <c r="H2026" s="2682" t="s">
        <v>5922</v>
      </c>
      <c r="I2026" s="2682" t="s">
        <v>5922</v>
      </c>
      <c r="J2026" s="2682">
        <v>29.8</v>
      </c>
      <c r="L2026" s="2682" t="s">
        <v>8132</v>
      </c>
    </row>
    <row r="2027" spans="1:12">
      <c r="A2027" s="2683" t="s">
        <v>146</v>
      </c>
      <c r="B2027" s="2683" t="s">
        <v>8133</v>
      </c>
      <c r="C2027" s="2683">
        <v>209.55</v>
      </c>
      <c r="D2027" s="2683">
        <v>333.375</v>
      </c>
      <c r="E2027" s="2683">
        <v>69.849999999999994</v>
      </c>
      <c r="F2027" s="2683" t="s">
        <v>5922</v>
      </c>
      <c r="G2027" s="2683" t="s">
        <v>5922</v>
      </c>
      <c r="H2027" s="2683" t="s">
        <v>5922</v>
      </c>
      <c r="I2027" s="2683" t="s">
        <v>5922</v>
      </c>
      <c r="J2027" s="2683">
        <v>21.98</v>
      </c>
      <c r="K2027" s="2684"/>
      <c r="L2027" s="2683">
        <v>7941</v>
      </c>
    </row>
    <row r="2028" spans="1:12">
      <c r="A2028" s="2682" t="s">
        <v>146</v>
      </c>
      <c r="B2028" s="2682" t="s">
        <v>8134</v>
      </c>
      <c r="C2028" s="2682">
        <v>212.72499999999999</v>
      </c>
      <c r="D2028" s="2682">
        <v>336.55</v>
      </c>
      <c r="E2028" s="2682">
        <v>65.087999999999994</v>
      </c>
      <c r="F2028" s="2682" t="s">
        <v>5922</v>
      </c>
      <c r="G2028" s="2682" t="s">
        <v>5922</v>
      </c>
      <c r="H2028" s="2682" t="s">
        <v>5922</v>
      </c>
      <c r="I2028" s="2682" t="s">
        <v>5922</v>
      </c>
      <c r="J2028" s="2682">
        <v>20.59</v>
      </c>
      <c r="L2028" s="2682">
        <v>7942</v>
      </c>
    </row>
    <row r="2029" spans="1:12">
      <c r="A2029" s="2683" t="s">
        <v>146</v>
      </c>
      <c r="B2029" s="2683" t="s">
        <v>8135</v>
      </c>
      <c r="C2029" s="2683">
        <v>292.10000000000002</v>
      </c>
      <c r="D2029" s="2683">
        <v>520.70000000000005</v>
      </c>
      <c r="E2029" s="2683">
        <v>107.95</v>
      </c>
      <c r="F2029" s="2683" t="s">
        <v>5922</v>
      </c>
      <c r="G2029" s="2683" t="s">
        <v>5922</v>
      </c>
      <c r="H2029" s="2683" t="s">
        <v>5922</v>
      </c>
      <c r="I2029" s="2683" t="s">
        <v>5922</v>
      </c>
      <c r="J2029" s="2683">
        <v>91.915000000000006</v>
      </c>
      <c r="K2029" s="2684"/>
      <c r="L2029" s="2683">
        <v>7956</v>
      </c>
    </row>
    <row r="2030" spans="1:12">
      <c r="A2030" s="2682" t="s">
        <v>146</v>
      </c>
      <c r="B2030" s="2682" t="s">
        <v>8136</v>
      </c>
      <c r="C2030" s="2682">
        <v>760</v>
      </c>
      <c r="D2030" s="2682">
        <v>890</v>
      </c>
      <c r="E2030" s="2682">
        <v>88.9</v>
      </c>
      <c r="F2030" s="2682" t="s">
        <v>5922</v>
      </c>
      <c r="G2030" s="2682" t="s">
        <v>5922</v>
      </c>
      <c r="H2030" s="2682" t="s">
        <v>5922</v>
      </c>
      <c r="I2030" s="2682" t="s">
        <v>5922</v>
      </c>
      <c r="J2030" s="2682">
        <v>90</v>
      </c>
      <c r="L2030" s="2682" t="s">
        <v>8137</v>
      </c>
    </row>
    <row r="2031" spans="1:12">
      <c r="A2031" s="2683" t="s">
        <v>146</v>
      </c>
      <c r="B2031" s="2683">
        <v>53370</v>
      </c>
      <c r="C2031" s="2683">
        <v>25</v>
      </c>
      <c r="D2031" s="2683">
        <v>70</v>
      </c>
      <c r="E2031" s="2683">
        <v>38</v>
      </c>
      <c r="F2031" s="2683" t="s">
        <v>5922</v>
      </c>
      <c r="G2031" s="2683" t="s">
        <v>5922</v>
      </c>
      <c r="H2031" s="2683" t="s">
        <v>5922</v>
      </c>
      <c r="I2031" s="2683" t="s">
        <v>5922</v>
      </c>
      <c r="J2031" s="2683">
        <v>0.68500000000000005</v>
      </c>
      <c r="K2031" s="2684"/>
      <c r="L2031" s="2683" t="s">
        <v>5922</v>
      </c>
    </row>
    <row r="2032" spans="1:12">
      <c r="A2032" s="2682" t="s">
        <v>146</v>
      </c>
      <c r="B2032" s="2682" t="s">
        <v>8138</v>
      </c>
      <c r="C2032" s="2682">
        <v>15</v>
      </c>
      <c r="D2032" s="2682">
        <v>39</v>
      </c>
      <c r="E2032" s="2682">
        <v>13</v>
      </c>
      <c r="F2032" s="2682" t="s">
        <v>5922</v>
      </c>
      <c r="G2032" s="2682" t="s">
        <v>5922</v>
      </c>
      <c r="H2032" s="2682" t="s">
        <v>5922</v>
      </c>
      <c r="I2032" s="2682" t="s">
        <v>5922</v>
      </c>
      <c r="J2032" s="2682">
        <v>4.1000000000000002E-2</v>
      </c>
      <c r="L2032" s="2682" t="s">
        <v>8139</v>
      </c>
    </row>
    <row r="2033" spans="1:12">
      <c r="A2033" s="2683" t="s">
        <v>146</v>
      </c>
      <c r="B2033" s="2683" t="s">
        <v>8140</v>
      </c>
      <c r="C2033" s="2683">
        <v>40</v>
      </c>
      <c r="D2033" s="2683">
        <v>72.215000000000003</v>
      </c>
      <c r="E2033" s="2683">
        <v>31.97</v>
      </c>
      <c r="F2033" s="2683" t="s">
        <v>5922</v>
      </c>
      <c r="G2033" s="2683" t="s">
        <v>5922</v>
      </c>
      <c r="H2033" s="2683" t="s">
        <v>5922</v>
      </c>
      <c r="I2033" s="2683" t="s">
        <v>5922</v>
      </c>
      <c r="J2033" s="2683">
        <v>0.64500000000000002</v>
      </c>
      <c r="K2033" s="2684"/>
      <c r="L2033" s="2683" t="s">
        <v>8141</v>
      </c>
    </row>
    <row r="2034" spans="1:12">
      <c r="A2034" s="2682" t="s">
        <v>146</v>
      </c>
      <c r="B2034" s="2682" t="s">
        <v>8142</v>
      </c>
      <c r="C2034" s="2682">
        <v>33.020000000000003</v>
      </c>
      <c r="D2034" s="2682">
        <v>58</v>
      </c>
      <c r="E2034" s="2682">
        <v>17.88</v>
      </c>
      <c r="F2034" s="2682" t="s">
        <v>5922</v>
      </c>
      <c r="G2034" s="2682" t="s">
        <v>5922</v>
      </c>
      <c r="H2034" s="2682" t="s">
        <v>5922</v>
      </c>
      <c r="I2034" s="2682" t="s">
        <v>5922</v>
      </c>
      <c r="J2034" s="2682">
        <v>0.28000000000000003</v>
      </c>
      <c r="L2034" s="2682" t="s">
        <v>8143</v>
      </c>
    </row>
    <row r="2035" spans="1:12">
      <c r="A2035" s="2683" t="s">
        <v>146</v>
      </c>
      <c r="B2035" s="2683" t="s">
        <v>8144</v>
      </c>
      <c r="C2035" s="2683">
        <v>40.619999999999997</v>
      </c>
      <c r="D2035" s="2683">
        <v>68</v>
      </c>
      <c r="E2035" s="2683">
        <v>21</v>
      </c>
      <c r="F2035" s="2683" t="s">
        <v>5922</v>
      </c>
      <c r="G2035" s="2683" t="s">
        <v>5922</v>
      </c>
      <c r="H2035" s="2683" t="s">
        <v>5922</v>
      </c>
      <c r="I2035" s="2683" t="s">
        <v>5922</v>
      </c>
      <c r="J2035" s="2683">
        <v>0.3</v>
      </c>
      <c r="K2035" s="2684"/>
      <c r="L2035" s="2683" t="s">
        <v>8145</v>
      </c>
    </row>
    <row r="2036" spans="1:12">
      <c r="A2036" s="2682" t="s">
        <v>146</v>
      </c>
      <c r="B2036" s="2682" t="s">
        <v>8146</v>
      </c>
      <c r="C2036" s="2682">
        <v>46.673000000000002</v>
      </c>
      <c r="D2036" s="2682">
        <v>72</v>
      </c>
      <c r="E2036" s="2682">
        <v>14</v>
      </c>
      <c r="F2036" s="2682" t="s">
        <v>5922</v>
      </c>
      <c r="G2036" s="2682" t="s">
        <v>5922</v>
      </c>
      <c r="H2036" s="2682" t="s">
        <v>5922</v>
      </c>
      <c r="I2036" s="2682" t="s">
        <v>5922</v>
      </c>
      <c r="J2036" s="2682">
        <v>0.24</v>
      </c>
      <c r="L2036" s="2682" t="s">
        <v>8147</v>
      </c>
    </row>
    <row r="2037" spans="1:12">
      <c r="A2037" s="2683" t="s">
        <v>146</v>
      </c>
      <c r="B2037" s="2683" t="s">
        <v>8148</v>
      </c>
      <c r="C2037" s="2683">
        <v>160</v>
      </c>
      <c r="D2037" s="2683">
        <v>270</v>
      </c>
      <c r="E2037" s="2683">
        <v>140</v>
      </c>
      <c r="F2037" s="2683" t="s">
        <v>5922</v>
      </c>
      <c r="G2037" s="2683" t="s">
        <v>5922</v>
      </c>
      <c r="H2037" s="2683" t="s">
        <v>5922</v>
      </c>
      <c r="I2037" s="2683" t="s">
        <v>5922</v>
      </c>
      <c r="J2037" s="2683" t="s">
        <v>5922</v>
      </c>
      <c r="K2037" s="2684"/>
      <c r="L2037" s="2683">
        <v>37732</v>
      </c>
    </row>
    <row r="2038" spans="1:12">
      <c r="A2038" s="2682" t="s">
        <v>146</v>
      </c>
      <c r="B2038" s="2682" t="s">
        <v>8149</v>
      </c>
      <c r="C2038" s="2682">
        <v>260</v>
      </c>
      <c r="D2038" s="2682">
        <v>400</v>
      </c>
      <c r="E2038" s="2682">
        <v>150</v>
      </c>
      <c r="F2038" s="2682" t="s">
        <v>5922</v>
      </c>
      <c r="G2038" s="2682" t="s">
        <v>5922</v>
      </c>
      <c r="H2038" s="2682" t="s">
        <v>5922</v>
      </c>
      <c r="I2038" s="2682" t="s">
        <v>5922</v>
      </c>
      <c r="J2038" s="2682">
        <v>60.3</v>
      </c>
      <c r="L2038" s="2682">
        <v>37852</v>
      </c>
    </row>
    <row r="2039" spans="1:12">
      <c r="A2039" s="2683" t="s">
        <v>146</v>
      </c>
      <c r="B2039" s="2683" t="s">
        <v>8150</v>
      </c>
      <c r="C2039" s="2683">
        <v>35</v>
      </c>
      <c r="D2039" s="2683">
        <v>80</v>
      </c>
      <c r="E2039" s="2683">
        <v>57</v>
      </c>
      <c r="F2039" s="2683" t="s">
        <v>5922</v>
      </c>
      <c r="G2039" s="2683" t="s">
        <v>5922</v>
      </c>
      <c r="H2039" s="2683" t="s">
        <v>5922</v>
      </c>
      <c r="I2039" s="2683" t="s">
        <v>5922</v>
      </c>
      <c r="J2039" s="2683">
        <v>1.23</v>
      </c>
      <c r="K2039" s="2684"/>
      <c r="L2039" s="2683">
        <v>57707</v>
      </c>
    </row>
    <row r="2040" spans="1:12">
      <c r="A2040" s="2682" t="s">
        <v>146</v>
      </c>
      <c r="B2040" s="2682">
        <v>372218</v>
      </c>
      <c r="C2040" s="2682">
        <v>90</v>
      </c>
      <c r="D2040" s="2682">
        <v>160</v>
      </c>
      <c r="E2040" s="2682">
        <v>94</v>
      </c>
      <c r="F2040" s="2682" t="s">
        <v>5922</v>
      </c>
      <c r="G2040" s="2682" t="s">
        <v>5922</v>
      </c>
      <c r="H2040" s="2682" t="s">
        <v>5922</v>
      </c>
      <c r="I2040" s="2682" t="s">
        <v>5922</v>
      </c>
      <c r="J2040" s="2682">
        <v>3.87</v>
      </c>
      <c r="L2040" s="2682">
        <v>87518</v>
      </c>
    </row>
    <row r="2041" spans="1:12">
      <c r="A2041" s="2683" t="s">
        <v>146</v>
      </c>
      <c r="B2041" s="2683" t="s">
        <v>8151</v>
      </c>
      <c r="C2041" s="2683">
        <v>110</v>
      </c>
      <c r="D2041" s="2683">
        <v>210</v>
      </c>
      <c r="E2041" s="2683">
        <v>118</v>
      </c>
      <c r="F2041" s="2683" t="s">
        <v>5922</v>
      </c>
      <c r="G2041" s="2683" t="s">
        <v>5922</v>
      </c>
      <c r="H2041" s="2683" t="s">
        <v>5922</v>
      </c>
      <c r="I2041" s="2683" t="s">
        <v>5922</v>
      </c>
      <c r="J2041" s="2683">
        <v>25.1</v>
      </c>
      <c r="K2041" s="2684"/>
      <c r="L2041" s="2683">
        <v>87722</v>
      </c>
    </row>
    <row r="2042" spans="1:12">
      <c r="A2042" s="2682" t="s">
        <v>146</v>
      </c>
      <c r="B2042" s="2682" t="s">
        <v>8152</v>
      </c>
      <c r="C2042" s="2682">
        <v>120</v>
      </c>
      <c r="D2042" s="2682">
        <v>215</v>
      </c>
      <c r="E2042" s="2682">
        <v>87</v>
      </c>
      <c r="F2042" s="2682" t="s">
        <v>5922</v>
      </c>
      <c r="G2042" s="2682" t="s">
        <v>5922</v>
      </c>
      <c r="H2042" s="2682" t="s">
        <v>5922</v>
      </c>
      <c r="I2042" s="2682" t="s">
        <v>5922</v>
      </c>
      <c r="J2042" s="2682">
        <v>13.4</v>
      </c>
      <c r="L2042" s="2682" t="s">
        <v>8153</v>
      </c>
    </row>
    <row r="2043" spans="1:12">
      <c r="A2043" s="2683" t="s">
        <v>146</v>
      </c>
      <c r="B2043" s="2683" t="s">
        <v>8154</v>
      </c>
      <c r="C2043" s="2683">
        <v>400</v>
      </c>
      <c r="D2043" s="2683">
        <v>650</v>
      </c>
      <c r="E2043" s="2683">
        <v>200</v>
      </c>
      <c r="F2043" s="2683" t="s">
        <v>5922</v>
      </c>
      <c r="G2043" s="2683" t="s">
        <v>5922</v>
      </c>
      <c r="H2043" s="2683" t="s">
        <v>5922</v>
      </c>
      <c r="I2043" s="2683" t="s">
        <v>5922</v>
      </c>
      <c r="J2043" s="2683">
        <v>270</v>
      </c>
      <c r="K2043" s="2684"/>
      <c r="L2043" s="2683">
        <v>87880</v>
      </c>
    </row>
    <row r="2044" spans="1:12">
      <c r="A2044" s="2682" t="s">
        <v>146</v>
      </c>
      <c r="B2044" s="2682" t="s">
        <v>8155</v>
      </c>
      <c r="C2044" s="2682">
        <v>420</v>
      </c>
      <c r="D2044" s="2682">
        <v>700</v>
      </c>
      <c r="E2044" s="2682">
        <v>224</v>
      </c>
      <c r="F2044" s="2682" t="s">
        <v>5922</v>
      </c>
      <c r="G2044" s="2682" t="s">
        <v>5922</v>
      </c>
      <c r="H2044" s="2682" t="s">
        <v>5922</v>
      </c>
      <c r="I2044" s="2682" t="s">
        <v>5922</v>
      </c>
      <c r="J2044" s="2682">
        <v>382</v>
      </c>
      <c r="L2044" s="2682">
        <v>87884</v>
      </c>
    </row>
    <row r="2045" spans="1:12">
      <c r="A2045" s="2683" t="s">
        <v>146</v>
      </c>
      <c r="B2045" s="2683" t="s">
        <v>8156</v>
      </c>
      <c r="C2045" s="2683">
        <v>440</v>
      </c>
      <c r="D2045" s="2683">
        <v>720</v>
      </c>
      <c r="E2045" s="2683">
        <v>226</v>
      </c>
      <c r="F2045" s="2683" t="s">
        <v>5922</v>
      </c>
      <c r="G2045" s="2683" t="s">
        <v>5922</v>
      </c>
      <c r="H2045" s="2683" t="s">
        <v>5922</v>
      </c>
      <c r="I2045" s="2683" t="s">
        <v>5922</v>
      </c>
      <c r="J2045" s="2683">
        <v>367</v>
      </c>
      <c r="K2045" s="2684"/>
      <c r="L2045" s="2683">
        <v>87788</v>
      </c>
    </row>
    <row r="2046" spans="1:12">
      <c r="A2046" s="2682" t="s">
        <v>146</v>
      </c>
      <c r="B2046" s="2682" t="s">
        <v>8157</v>
      </c>
      <c r="C2046" s="2682">
        <v>500</v>
      </c>
      <c r="D2046" s="2682">
        <v>830</v>
      </c>
      <c r="E2046" s="2682">
        <v>330</v>
      </c>
      <c r="F2046" s="2682" t="s">
        <v>5922</v>
      </c>
      <c r="G2046" s="2682" t="s">
        <v>5922</v>
      </c>
      <c r="H2046" s="2682" t="s">
        <v>5922</v>
      </c>
      <c r="I2046" s="2682" t="s">
        <v>5922</v>
      </c>
      <c r="J2046" s="2682">
        <v>611</v>
      </c>
      <c r="L2046" s="2682" t="s">
        <v>8158</v>
      </c>
    </row>
    <row r="2047" spans="1:12">
      <c r="A2047" s="2683" t="s">
        <v>146</v>
      </c>
      <c r="B2047" s="2683" t="s">
        <v>8159</v>
      </c>
      <c r="C2047" s="2683">
        <v>260.35000000000002</v>
      </c>
      <c r="D2047" s="2683">
        <v>444.5</v>
      </c>
      <c r="E2047" s="2683">
        <v>196.85</v>
      </c>
      <c r="F2047" s="2683" t="s">
        <v>5922</v>
      </c>
      <c r="G2047" s="2683" t="s">
        <v>5922</v>
      </c>
      <c r="H2047" s="2683" t="s">
        <v>5922</v>
      </c>
      <c r="I2047" s="2683" t="s">
        <v>5922</v>
      </c>
      <c r="J2047" s="2683">
        <v>123</v>
      </c>
      <c r="K2047" s="2684"/>
      <c r="L2047" s="2683">
        <v>87952</v>
      </c>
    </row>
    <row r="2048" spans="1:12">
      <c r="A2048" s="2682" t="s">
        <v>146</v>
      </c>
      <c r="B2048" s="2682" t="s">
        <v>8160</v>
      </c>
      <c r="C2048" s="2682">
        <v>228.92500000000001</v>
      </c>
      <c r="D2048" s="2682">
        <v>406.4</v>
      </c>
      <c r="E2048" s="2682">
        <v>114.46299999999999</v>
      </c>
      <c r="F2048" s="2682" t="s">
        <v>5922</v>
      </c>
      <c r="G2048" s="2682" t="s">
        <v>5922</v>
      </c>
      <c r="H2048" s="2682" t="s">
        <v>5922</v>
      </c>
      <c r="I2048" s="2682" t="s">
        <v>5922</v>
      </c>
      <c r="J2048" s="2682">
        <v>58</v>
      </c>
      <c r="L2048" s="2682" t="s">
        <v>8161</v>
      </c>
    </row>
    <row r="2049" spans="1:12">
      <c r="A2049" s="2683" t="s">
        <v>146</v>
      </c>
      <c r="B2049" s="2683" t="s">
        <v>8162</v>
      </c>
      <c r="C2049" s="2683">
        <v>300</v>
      </c>
      <c r="D2049" s="2683">
        <v>440</v>
      </c>
      <c r="E2049" s="2683">
        <v>105</v>
      </c>
      <c r="F2049" s="2683" t="s">
        <v>5922</v>
      </c>
      <c r="G2049" s="2683" t="s">
        <v>5922</v>
      </c>
      <c r="H2049" s="2683" t="s">
        <v>5922</v>
      </c>
      <c r="I2049" s="2683" t="s">
        <v>5922</v>
      </c>
      <c r="J2049" s="2683">
        <v>42.6</v>
      </c>
      <c r="K2049" s="2684"/>
      <c r="L2049" s="2683" t="s">
        <v>5922</v>
      </c>
    </row>
    <row r="2050" spans="1:12">
      <c r="A2050" s="2682" t="s">
        <v>146</v>
      </c>
      <c r="B2050" s="2682" t="s">
        <v>8163</v>
      </c>
      <c r="C2050" s="2682">
        <v>510.3</v>
      </c>
      <c r="D2050" s="2682">
        <v>800</v>
      </c>
      <c r="E2050" s="2682">
        <v>285</v>
      </c>
      <c r="F2050" s="2682" t="s">
        <v>5922</v>
      </c>
      <c r="G2050" s="2682" t="s">
        <v>5922</v>
      </c>
      <c r="H2050" s="2682" t="s">
        <v>5922</v>
      </c>
      <c r="I2050" s="2682" t="s">
        <v>5922</v>
      </c>
      <c r="J2050" s="2682">
        <v>516</v>
      </c>
      <c r="L2050" s="2682" t="s">
        <v>8164</v>
      </c>
    </row>
    <row r="2051" spans="1:12">
      <c r="A2051" s="2683" t="s">
        <v>146</v>
      </c>
      <c r="B2051" s="2683" t="s">
        <v>8165</v>
      </c>
      <c r="C2051" s="2683">
        <v>530</v>
      </c>
      <c r="D2051" s="2683">
        <v>730</v>
      </c>
      <c r="E2051" s="2683">
        <v>250</v>
      </c>
      <c r="F2051" s="2683" t="s">
        <v>5922</v>
      </c>
      <c r="G2051" s="2683" t="s">
        <v>5922</v>
      </c>
      <c r="H2051" s="2683" t="s">
        <v>5922</v>
      </c>
      <c r="I2051" s="2683" t="s">
        <v>5922</v>
      </c>
      <c r="J2051" s="2683">
        <v>323</v>
      </c>
      <c r="K2051" s="2684"/>
      <c r="L2051" s="2683" t="s">
        <v>8166</v>
      </c>
    </row>
    <row r="2052" spans="1:12">
      <c r="A2052" s="2682" t="s">
        <v>146</v>
      </c>
      <c r="B2052" s="2682" t="s">
        <v>8167</v>
      </c>
      <c r="C2052" s="2682">
        <v>400</v>
      </c>
      <c r="D2052" s="2682">
        <v>540</v>
      </c>
      <c r="E2052" s="2682">
        <v>150</v>
      </c>
      <c r="F2052" s="2682" t="s">
        <v>5922</v>
      </c>
      <c r="G2052" s="2682" t="s">
        <v>5922</v>
      </c>
      <c r="H2052" s="2682" t="s">
        <v>5922</v>
      </c>
      <c r="I2052" s="2682" t="s">
        <v>5922</v>
      </c>
      <c r="J2052" s="2682">
        <v>86.9</v>
      </c>
      <c r="L2052" s="2682" t="s">
        <v>8168</v>
      </c>
    </row>
    <row r="2053" spans="1:12">
      <c r="A2053" s="2683" t="s">
        <v>146</v>
      </c>
      <c r="B2053" s="2683" t="s">
        <v>8169</v>
      </c>
      <c r="C2053" s="2683">
        <v>600</v>
      </c>
      <c r="D2053" s="2683">
        <v>800</v>
      </c>
      <c r="E2053" s="2683">
        <v>205</v>
      </c>
      <c r="F2053" s="2683" t="s">
        <v>5922</v>
      </c>
      <c r="G2053" s="2683" t="s">
        <v>5922</v>
      </c>
      <c r="H2053" s="2683" t="s">
        <v>5922</v>
      </c>
      <c r="I2053" s="2683" t="s">
        <v>5922</v>
      </c>
      <c r="J2053" s="2683">
        <v>271</v>
      </c>
      <c r="K2053" s="2684"/>
      <c r="L2053" s="2683" t="s">
        <v>8170</v>
      </c>
    </row>
    <row r="2054" spans="1:12">
      <c r="A2054" s="2682" t="s">
        <v>146</v>
      </c>
      <c r="B2054" s="2682" t="s">
        <v>8171</v>
      </c>
      <c r="C2054" s="2682">
        <v>750</v>
      </c>
      <c r="D2054" s="2682">
        <v>1000</v>
      </c>
      <c r="E2054" s="2682">
        <v>264</v>
      </c>
      <c r="F2054" s="2682" t="s">
        <v>5922</v>
      </c>
      <c r="G2054" s="2682" t="s">
        <v>5922</v>
      </c>
      <c r="H2054" s="2682" t="s">
        <v>5922</v>
      </c>
      <c r="I2054" s="2682" t="s">
        <v>5922</v>
      </c>
      <c r="J2054" s="2682">
        <v>546</v>
      </c>
      <c r="L2054" s="2682" t="s">
        <v>8172</v>
      </c>
    </row>
    <row r="2055" spans="1:12">
      <c r="A2055" s="2683" t="s">
        <v>146</v>
      </c>
      <c r="B2055" s="2683" t="s">
        <v>8173</v>
      </c>
      <c r="C2055" s="2683">
        <v>800</v>
      </c>
      <c r="D2055" s="2683">
        <v>1060</v>
      </c>
      <c r="E2055" s="2683">
        <v>270</v>
      </c>
      <c r="F2055" s="2683" t="s">
        <v>5922</v>
      </c>
      <c r="G2055" s="2683" t="s">
        <v>5922</v>
      </c>
      <c r="H2055" s="2683" t="s">
        <v>5922</v>
      </c>
      <c r="I2055" s="2683" t="s">
        <v>5922</v>
      </c>
      <c r="J2055" s="2683">
        <v>604</v>
      </c>
      <c r="K2055" s="2684"/>
      <c r="L2055" s="2683" t="s">
        <v>8174</v>
      </c>
    </row>
    <row r="2056" spans="1:12">
      <c r="A2056" s="2682" t="s">
        <v>146</v>
      </c>
      <c r="B2056" s="2682" t="s">
        <v>8175</v>
      </c>
      <c r="C2056" s="2682">
        <v>320</v>
      </c>
      <c r="D2056" s="2682">
        <v>480</v>
      </c>
      <c r="E2056" s="2682">
        <v>210</v>
      </c>
      <c r="F2056" s="2682" t="s">
        <v>5922</v>
      </c>
      <c r="G2056" s="2682" t="s">
        <v>5922</v>
      </c>
      <c r="H2056" s="2682" t="s">
        <v>5922</v>
      </c>
      <c r="I2056" s="2682" t="s">
        <v>5922</v>
      </c>
      <c r="J2056" s="2682">
        <v>122</v>
      </c>
      <c r="L2056" s="2682" t="s">
        <v>8176</v>
      </c>
    </row>
    <row r="2057" spans="1:12">
      <c r="A2057" s="2683" t="s">
        <v>146</v>
      </c>
      <c r="B2057" s="2683" t="s">
        <v>8177</v>
      </c>
      <c r="C2057" s="2683">
        <v>420</v>
      </c>
      <c r="D2057" s="2683">
        <v>700</v>
      </c>
      <c r="E2057" s="2683">
        <v>275</v>
      </c>
      <c r="F2057" s="2683" t="s">
        <v>5922</v>
      </c>
      <c r="G2057" s="2683" t="s">
        <v>5922</v>
      </c>
      <c r="H2057" s="2683" t="s">
        <v>5922</v>
      </c>
      <c r="I2057" s="2683" t="s">
        <v>5922</v>
      </c>
      <c r="J2057" s="2683">
        <v>394</v>
      </c>
      <c r="K2057" s="2684"/>
      <c r="L2057" s="2683" t="s">
        <v>8178</v>
      </c>
    </row>
    <row r="2058" spans="1:12">
      <c r="A2058" s="2682" t="s">
        <v>146</v>
      </c>
      <c r="B2058" s="2682">
        <v>352114</v>
      </c>
      <c r="C2058" s="2682" t="s">
        <v>5922</v>
      </c>
      <c r="D2058" s="2682" t="s">
        <v>5922</v>
      </c>
      <c r="E2058" s="2682" t="s">
        <v>5922</v>
      </c>
      <c r="F2058" s="2682" t="s">
        <v>5922</v>
      </c>
      <c r="G2058" s="2682" t="s">
        <v>5922</v>
      </c>
      <c r="H2058" s="2682" t="s">
        <v>5922</v>
      </c>
      <c r="I2058" s="2682" t="s">
        <v>5922</v>
      </c>
      <c r="J2058" s="2682" t="s">
        <v>5922</v>
      </c>
      <c r="L2058" s="2682">
        <v>2097714</v>
      </c>
    </row>
    <row r="2059" spans="1:12">
      <c r="A2059" s="2683" t="s">
        <v>146</v>
      </c>
      <c r="B2059" s="2683">
        <v>352209</v>
      </c>
      <c r="C2059" s="2683">
        <v>45</v>
      </c>
      <c r="D2059" s="2683">
        <v>85</v>
      </c>
      <c r="E2059" s="2683">
        <v>55</v>
      </c>
      <c r="F2059" s="2683" t="s">
        <v>5922</v>
      </c>
      <c r="G2059" s="2683" t="s">
        <v>5922</v>
      </c>
      <c r="H2059" s="2683" t="s">
        <v>5922</v>
      </c>
      <c r="I2059" s="2683" t="s">
        <v>5922</v>
      </c>
      <c r="J2059" s="2683" t="s">
        <v>5922</v>
      </c>
      <c r="K2059" s="2684"/>
      <c r="L2059" s="2683" t="s">
        <v>8179</v>
      </c>
    </row>
    <row r="2060" spans="1:12">
      <c r="A2060" s="2682" t="s">
        <v>146</v>
      </c>
      <c r="B2060" s="2682">
        <v>352211</v>
      </c>
      <c r="C2060" s="2682">
        <v>55</v>
      </c>
      <c r="D2060" s="2682">
        <v>100</v>
      </c>
      <c r="E2060" s="2682">
        <v>60</v>
      </c>
      <c r="F2060" s="2682" t="s">
        <v>5922</v>
      </c>
      <c r="G2060" s="2682" t="s">
        <v>5922</v>
      </c>
      <c r="H2060" s="2682" t="s">
        <v>5922</v>
      </c>
      <c r="I2060" s="2682" t="s">
        <v>5922</v>
      </c>
      <c r="J2060" s="2682" t="s">
        <v>5922</v>
      </c>
      <c r="L2060" s="2682" t="s">
        <v>8180</v>
      </c>
    </row>
    <row r="2061" spans="1:12">
      <c r="A2061" s="2683" t="s">
        <v>146</v>
      </c>
      <c r="B2061" s="2683" t="s">
        <v>8181</v>
      </c>
      <c r="C2061" s="2683">
        <v>75</v>
      </c>
      <c r="D2061" s="2683">
        <v>130</v>
      </c>
      <c r="E2061" s="2683">
        <v>75</v>
      </c>
      <c r="F2061" s="2683" t="s">
        <v>5922</v>
      </c>
      <c r="G2061" s="2683" t="s">
        <v>5922</v>
      </c>
      <c r="H2061" s="2683" t="s">
        <v>5922</v>
      </c>
      <c r="I2061" s="2683" t="s">
        <v>5922</v>
      </c>
      <c r="J2061" s="2683">
        <v>3.62</v>
      </c>
      <c r="K2061" s="2684"/>
      <c r="L2061" s="2683" t="s">
        <v>8182</v>
      </c>
    </row>
    <row r="2062" spans="1:12">
      <c r="A2062" s="2682" t="s">
        <v>146</v>
      </c>
      <c r="B2062" s="2682" t="s">
        <v>8183</v>
      </c>
      <c r="C2062" s="2682">
        <v>160</v>
      </c>
      <c r="D2062" s="2682">
        <v>220</v>
      </c>
      <c r="E2062" s="2682">
        <v>82</v>
      </c>
      <c r="F2062" s="2682" t="s">
        <v>5922</v>
      </c>
      <c r="G2062" s="2682" t="s">
        <v>5922</v>
      </c>
      <c r="H2062" s="2682" t="s">
        <v>5922</v>
      </c>
      <c r="I2062" s="2682" t="s">
        <v>5922</v>
      </c>
      <c r="J2062" s="2682">
        <v>8.15</v>
      </c>
      <c r="L2062" s="2682">
        <v>2097932</v>
      </c>
    </row>
    <row r="2063" spans="1:12">
      <c r="A2063" s="2683" t="s">
        <v>146</v>
      </c>
      <c r="B2063" s="2683" t="s">
        <v>8184</v>
      </c>
      <c r="C2063" s="2683">
        <v>260</v>
      </c>
      <c r="D2063" s="2683">
        <v>360</v>
      </c>
      <c r="E2063" s="2683">
        <v>105</v>
      </c>
      <c r="F2063" s="2683" t="s">
        <v>5922</v>
      </c>
      <c r="G2063" s="2683" t="s">
        <v>5922</v>
      </c>
      <c r="H2063" s="2683" t="s">
        <v>5922</v>
      </c>
      <c r="I2063" s="2683" t="s">
        <v>5922</v>
      </c>
      <c r="J2063" s="2683">
        <v>15</v>
      </c>
      <c r="K2063" s="2684"/>
      <c r="L2063" s="2683">
        <v>97852</v>
      </c>
    </row>
    <row r="2064" spans="1:12">
      <c r="A2064" s="2682" t="s">
        <v>146</v>
      </c>
      <c r="B2064" s="2682" t="s">
        <v>8185</v>
      </c>
      <c r="C2064" s="2682">
        <v>400</v>
      </c>
      <c r="D2064" s="2682">
        <v>600</v>
      </c>
      <c r="E2064" s="2682">
        <v>230</v>
      </c>
      <c r="F2064" s="2682" t="s">
        <v>5922</v>
      </c>
      <c r="G2064" s="2682" t="s">
        <v>5922</v>
      </c>
      <c r="H2064" s="2682" t="s">
        <v>5922</v>
      </c>
      <c r="I2064" s="2682" t="s">
        <v>5922</v>
      </c>
      <c r="J2064" s="2682">
        <v>206</v>
      </c>
      <c r="L2064" s="2682">
        <v>97880</v>
      </c>
    </row>
    <row r="2065" spans="1:12">
      <c r="A2065" s="2683" t="s">
        <v>146</v>
      </c>
      <c r="B2065" s="2683" t="s">
        <v>8186</v>
      </c>
      <c r="C2065" s="2683">
        <v>710</v>
      </c>
      <c r="D2065" s="2683">
        <v>1030</v>
      </c>
      <c r="E2065" s="2683">
        <v>236</v>
      </c>
      <c r="F2065" s="2683" t="s">
        <v>5922</v>
      </c>
      <c r="G2065" s="2683" t="s">
        <v>5922</v>
      </c>
      <c r="H2065" s="2683" t="s">
        <v>5922</v>
      </c>
      <c r="I2065" s="2683" t="s">
        <v>5922</v>
      </c>
      <c r="J2065" s="2683" t="s">
        <v>5922</v>
      </c>
      <c r="K2065" s="2684"/>
      <c r="L2065" s="2683" t="s">
        <v>7471</v>
      </c>
    </row>
    <row r="2066" spans="1:12">
      <c r="A2066" s="2682" t="s">
        <v>146</v>
      </c>
      <c r="B2066" s="2682" t="s">
        <v>8187</v>
      </c>
      <c r="C2066" s="2682">
        <v>500</v>
      </c>
      <c r="D2066" s="2682">
        <v>830</v>
      </c>
      <c r="E2066" s="2682">
        <v>330</v>
      </c>
      <c r="F2066" s="2682" t="s">
        <v>5922</v>
      </c>
      <c r="G2066" s="2682" t="s">
        <v>5922</v>
      </c>
      <c r="H2066" s="2682" t="s">
        <v>5922</v>
      </c>
      <c r="I2066" s="2682" t="s">
        <v>5922</v>
      </c>
      <c r="J2066" s="2682">
        <v>611</v>
      </c>
      <c r="L2066" s="2682" t="s">
        <v>8188</v>
      </c>
    </row>
    <row r="2067" spans="1:12">
      <c r="A2067" s="2683" t="s">
        <v>146</v>
      </c>
      <c r="B2067" s="2683" t="s">
        <v>8189</v>
      </c>
      <c r="C2067" s="2683">
        <v>110</v>
      </c>
      <c r="D2067" s="2683">
        <v>180</v>
      </c>
      <c r="E2067" s="2683">
        <v>76</v>
      </c>
      <c r="F2067" s="2683" t="s">
        <v>5922</v>
      </c>
      <c r="G2067" s="2683" t="s">
        <v>5922</v>
      </c>
      <c r="H2067" s="2683" t="s">
        <v>5922</v>
      </c>
      <c r="I2067" s="2683" t="s">
        <v>5922</v>
      </c>
      <c r="J2067" s="2683">
        <v>8.94</v>
      </c>
      <c r="K2067" s="2684"/>
      <c r="L2067" s="2683" t="s">
        <v>8190</v>
      </c>
    </row>
    <row r="2068" spans="1:12">
      <c r="A2068" s="2682" t="s">
        <v>146</v>
      </c>
      <c r="B2068" s="2682" t="s">
        <v>8191</v>
      </c>
      <c r="C2068" s="2682">
        <v>160</v>
      </c>
      <c r="D2068" s="2682">
        <v>270</v>
      </c>
      <c r="E2068" s="2682">
        <v>150</v>
      </c>
      <c r="F2068" s="2682" t="s">
        <v>5922</v>
      </c>
      <c r="G2068" s="2682" t="s">
        <v>5922</v>
      </c>
      <c r="H2068" s="2682" t="s">
        <v>5922</v>
      </c>
      <c r="I2068" s="2682" t="s">
        <v>5922</v>
      </c>
      <c r="J2068" s="2682">
        <v>31.8</v>
      </c>
      <c r="L2068" s="2682">
        <v>2097732</v>
      </c>
    </row>
    <row r="2069" spans="1:12">
      <c r="A2069" s="2683" t="s">
        <v>146</v>
      </c>
      <c r="B2069" s="2683" t="s">
        <v>8192</v>
      </c>
      <c r="C2069" s="2683">
        <v>160</v>
      </c>
      <c r="D2069" s="2683">
        <v>270</v>
      </c>
      <c r="E2069" s="2683">
        <v>150</v>
      </c>
      <c r="F2069" s="2683" t="s">
        <v>5922</v>
      </c>
      <c r="G2069" s="2683" t="s">
        <v>5922</v>
      </c>
      <c r="H2069" s="2683" t="s">
        <v>5922</v>
      </c>
      <c r="I2069" s="2683" t="s">
        <v>5922</v>
      </c>
      <c r="J2069" s="2683">
        <v>31.8</v>
      </c>
      <c r="K2069" s="2684"/>
      <c r="L2069" s="2683" t="s">
        <v>5922</v>
      </c>
    </row>
    <row r="2070" spans="1:12">
      <c r="A2070" s="2682" t="s">
        <v>146</v>
      </c>
      <c r="B2070" s="2682" t="s">
        <v>8193</v>
      </c>
      <c r="C2070" s="2682">
        <v>170</v>
      </c>
      <c r="D2070" s="2682">
        <v>280</v>
      </c>
      <c r="E2070" s="2682">
        <v>150</v>
      </c>
      <c r="F2070" s="2682" t="s">
        <v>5922</v>
      </c>
      <c r="G2070" s="2682" t="s">
        <v>5922</v>
      </c>
      <c r="H2070" s="2682" t="s">
        <v>5922</v>
      </c>
      <c r="I2070" s="2682" t="s">
        <v>5922</v>
      </c>
      <c r="J2070" s="2682">
        <v>34.9</v>
      </c>
      <c r="L2070" s="2682" t="s">
        <v>8194</v>
      </c>
    </row>
    <row r="2071" spans="1:12">
      <c r="A2071" s="2683" t="s">
        <v>146</v>
      </c>
      <c r="B2071" s="2683">
        <v>350602</v>
      </c>
      <c r="C2071" s="2683">
        <v>15</v>
      </c>
      <c r="D2071" s="2683">
        <v>38</v>
      </c>
      <c r="E2071" s="2683">
        <v>46</v>
      </c>
      <c r="F2071" s="2683" t="s">
        <v>5922</v>
      </c>
      <c r="G2071" s="2683" t="s">
        <v>5922</v>
      </c>
      <c r="H2071" s="2683" t="s">
        <v>5922</v>
      </c>
      <c r="I2071" s="2683" t="s">
        <v>5922</v>
      </c>
      <c r="J2071" s="2683" t="s">
        <v>5922</v>
      </c>
      <c r="K2071" s="2684"/>
      <c r="L2071" s="2683">
        <v>97702</v>
      </c>
    </row>
    <row r="2072" spans="1:12">
      <c r="A2072" s="2682" t="s">
        <v>146</v>
      </c>
      <c r="B2072" s="2682">
        <v>352013</v>
      </c>
      <c r="C2072" s="2682">
        <v>65</v>
      </c>
      <c r="D2072" s="2682">
        <v>100</v>
      </c>
      <c r="E2072" s="2682">
        <v>60</v>
      </c>
      <c r="F2072" s="2682" t="s">
        <v>5922</v>
      </c>
      <c r="G2072" s="2682" t="s">
        <v>5922</v>
      </c>
      <c r="H2072" s="2682" t="s">
        <v>5922</v>
      </c>
      <c r="I2072" s="2682" t="s">
        <v>5922</v>
      </c>
      <c r="J2072" s="2682" t="s">
        <v>5922</v>
      </c>
      <c r="L2072" s="2682" t="s">
        <v>8195</v>
      </c>
    </row>
    <row r="2073" spans="1:12">
      <c r="A2073" s="2683" t="s">
        <v>146</v>
      </c>
      <c r="B2073" s="2683" t="s">
        <v>8196</v>
      </c>
      <c r="C2073" s="2683">
        <v>129.5</v>
      </c>
      <c r="D2073" s="2683">
        <v>230</v>
      </c>
      <c r="E2073" s="2683">
        <v>208</v>
      </c>
      <c r="F2073" s="2683" t="s">
        <v>5922</v>
      </c>
      <c r="G2073" s="2683" t="s">
        <v>5922</v>
      </c>
      <c r="H2073" s="2683" t="s">
        <v>5922</v>
      </c>
      <c r="I2073" s="2683" t="s">
        <v>5922</v>
      </c>
      <c r="J2073" s="2683">
        <v>27.8</v>
      </c>
      <c r="K2073" s="2684"/>
      <c r="L2073" s="2683" t="s">
        <v>8197</v>
      </c>
    </row>
    <row r="2074" spans="1:12">
      <c r="A2074" s="2682" t="s">
        <v>146</v>
      </c>
      <c r="B2074" s="2682" t="s">
        <v>8198</v>
      </c>
      <c r="C2074" s="2682">
        <v>305.07900000000001</v>
      </c>
      <c r="D2074" s="2682">
        <v>500</v>
      </c>
      <c r="E2074" s="2682">
        <v>200</v>
      </c>
      <c r="F2074" s="2682" t="s">
        <v>5922</v>
      </c>
      <c r="G2074" s="2682" t="s">
        <v>5922</v>
      </c>
      <c r="H2074" s="2682" t="s">
        <v>5922</v>
      </c>
      <c r="I2074" s="2682" t="s">
        <v>5922</v>
      </c>
      <c r="J2074" s="2682">
        <v>142</v>
      </c>
      <c r="L2074" s="2682" t="s">
        <v>6406</v>
      </c>
    </row>
    <row r="2075" spans="1:12">
      <c r="A2075" s="2683" t="s">
        <v>146</v>
      </c>
      <c r="B2075" s="2683" t="s">
        <v>8199</v>
      </c>
      <c r="C2075" s="2683">
        <v>381</v>
      </c>
      <c r="D2075" s="2683">
        <v>590.54999999999995</v>
      </c>
      <c r="E2075" s="2683">
        <v>244.47499999999999</v>
      </c>
      <c r="F2075" s="2683" t="s">
        <v>5922</v>
      </c>
      <c r="G2075" s="2683" t="s">
        <v>5922</v>
      </c>
      <c r="H2075" s="2683" t="s">
        <v>5922</v>
      </c>
      <c r="I2075" s="2683" t="s">
        <v>5922</v>
      </c>
      <c r="J2075" s="2683">
        <v>245</v>
      </c>
      <c r="K2075" s="2684"/>
      <c r="L2075" s="2683">
        <v>97776</v>
      </c>
    </row>
    <row r="2076" spans="1:12">
      <c r="A2076" s="2682" t="s">
        <v>146</v>
      </c>
      <c r="B2076" s="2682" t="s">
        <v>8200</v>
      </c>
      <c r="C2076" s="2682">
        <v>129.5</v>
      </c>
      <c r="D2076" s="2682">
        <v>230</v>
      </c>
      <c r="E2076" s="2682">
        <v>222</v>
      </c>
      <c r="F2076" s="2682" t="s">
        <v>5922</v>
      </c>
      <c r="G2076" s="2682" t="s">
        <v>5922</v>
      </c>
      <c r="H2076" s="2682" t="s">
        <v>5922</v>
      </c>
      <c r="I2076" s="2682" t="s">
        <v>5922</v>
      </c>
      <c r="J2076" s="2682">
        <v>30.3</v>
      </c>
      <c r="L2076" s="2682" t="s">
        <v>7463</v>
      </c>
    </row>
    <row r="2077" spans="1:12">
      <c r="A2077" s="2683" t="s">
        <v>146</v>
      </c>
      <c r="B2077" s="2683" t="s">
        <v>8201</v>
      </c>
      <c r="C2077" s="2683">
        <v>130</v>
      </c>
      <c r="D2077" s="2683">
        <v>250</v>
      </c>
      <c r="E2077" s="2683">
        <v>160</v>
      </c>
      <c r="F2077" s="2683" t="s">
        <v>5922</v>
      </c>
      <c r="G2077" s="2683" t="s">
        <v>5922</v>
      </c>
      <c r="H2077" s="2683" t="s">
        <v>5922</v>
      </c>
      <c r="I2077" s="2683" t="s">
        <v>5922</v>
      </c>
      <c r="J2077" s="2683">
        <v>39.299999999999997</v>
      </c>
      <c r="K2077" s="2684"/>
      <c r="L2077" s="2683" t="s">
        <v>8202</v>
      </c>
    </row>
    <row r="2078" spans="1:12">
      <c r="A2078" s="2682" t="s">
        <v>146</v>
      </c>
      <c r="B2078" s="2682" t="s">
        <v>8203</v>
      </c>
      <c r="C2078" s="2682">
        <v>130</v>
      </c>
      <c r="D2078" s="2682">
        <v>230</v>
      </c>
      <c r="E2078" s="2682">
        <v>150</v>
      </c>
      <c r="F2078" s="2682" t="s">
        <v>5922</v>
      </c>
      <c r="G2078" s="2682" t="s">
        <v>5922</v>
      </c>
      <c r="H2078" s="2682" t="s">
        <v>5922</v>
      </c>
      <c r="I2078" s="2682" t="s">
        <v>5922</v>
      </c>
      <c r="J2078" s="2682">
        <v>30.2</v>
      </c>
      <c r="L2078" s="2682" t="s">
        <v>8204</v>
      </c>
    </row>
    <row r="2079" spans="1:12">
      <c r="A2079" s="2683" t="s">
        <v>146</v>
      </c>
      <c r="B2079" s="2683" t="s">
        <v>8205</v>
      </c>
      <c r="C2079" s="2683">
        <v>130</v>
      </c>
      <c r="D2079" s="2683">
        <v>250</v>
      </c>
      <c r="E2079" s="2683">
        <v>217</v>
      </c>
      <c r="F2079" s="2683" t="s">
        <v>5922</v>
      </c>
      <c r="G2079" s="2683" t="s">
        <v>5922</v>
      </c>
      <c r="H2079" s="2683" t="s">
        <v>5922</v>
      </c>
      <c r="I2079" s="2683" t="s">
        <v>5922</v>
      </c>
      <c r="J2079" s="2683">
        <v>39.299999999999997</v>
      </c>
      <c r="K2079" s="2684"/>
      <c r="L2079" s="2683">
        <v>197826</v>
      </c>
    </row>
    <row r="2080" spans="1:12">
      <c r="A2080" s="2682" t="s">
        <v>146</v>
      </c>
      <c r="B2080" s="2682" t="s">
        <v>8206</v>
      </c>
      <c r="C2080" s="2682">
        <v>119.095</v>
      </c>
      <c r="D2080" s="2682">
        <v>195.26</v>
      </c>
      <c r="E2080" s="2682">
        <v>136.5</v>
      </c>
      <c r="F2080" s="2682" t="s">
        <v>5922</v>
      </c>
      <c r="G2080" s="2682" t="s">
        <v>5922</v>
      </c>
      <c r="H2080" s="2682" t="s">
        <v>5922</v>
      </c>
      <c r="I2080" s="2682" t="s">
        <v>5922</v>
      </c>
      <c r="J2080" s="2682">
        <v>20.9</v>
      </c>
      <c r="L2080" s="2682">
        <v>197924</v>
      </c>
    </row>
    <row r="2081" spans="1:12">
      <c r="A2081" s="2683" t="s">
        <v>146</v>
      </c>
      <c r="B2081" s="2683" t="s">
        <v>8207</v>
      </c>
      <c r="C2081" s="2683">
        <v>119.087</v>
      </c>
      <c r="D2081" s="2683">
        <v>301.70100000000002</v>
      </c>
      <c r="E2081" s="2683">
        <v>190.5</v>
      </c>
      <c r="F2081" s="2683" t="s">
        <v>5922</v>
      </c>
      <c r="G2081" s="2683" t="s">
        <v>5922</v>
      </c>
      <c r="H2081" s="2683" t="s">
        <v>5922</v>
      </c>
      <c r="I2081" s="2683" t="s">
        <v>5922</v>
      </c>
      <c r="J2081" s="2683">
        <v>71.7</v>
      </c>
      <c r="K2081" s="2684"/>
      <c r="L2081" s="2683">
        <v>197933</v>
      </c>
    </row>
    <row r="2082" spans="1:12">
      <c r="A2082" s="2682" t="s">
        <v>146</v>
      </c>
      <c r="B2082" s="2682" t="s">
        <v>8208</v>
      </c>
      <c r="C2082" s="2682">
        <v>300</v>
      </c>
      <c r="D2082" s="2682">
        <v>420</v>
      </c>
      <c r="E2082" s="2682">
        <v>310</v>
      </c>
      <c r="F2082" s="2682" t="s">
        <v>5922</v>
      </c>
      <c r="G2082" s="2682" t="s">
        <v>5922</v>
      </c>
      <c r="H2082" s="2682" t="s">
        <v>5922</v>
      </c>
      <c r="I2082" s="2682" t="s">
        <v>5922</v>
      </c>
      <c r="J2082" s="2682">
        <v>134</v>
      </c>
      <c r="L2082" s="2682" t="s">
        <v>8209</v>
      </c>
    </row>
    <row r="2083" spans="1:12">
      <c r="A2083" s="2683" t="s">
        <v>146</v>
      </c>
      <c r="B2083" s="2683">
        <v>381036</v>
      </c>
      <c r="C2083" s="2683">
        <v>180</v>
      </c>
      <c r="D2083" s="2683">
        <v>280</v>
      </c>
      <c r="E2083" s="2683">
        <v>180</v>
      </c>
      <c r="F2083" s="2683" t="s">
        <v>5922</v>
      </c>
      <c r="G2083" s="2683" t="s">
        <v>5922</v>
      </c>
      <c r="H2083" s="2683" t="s">
        <v>5922</v>
      </c>
      <c r="I2083" s="2683" t="s">
        <v>5922</v>
      </c>
      <c r="J2083" s="2683">
        <v>39.6</v>
      </c>
      <c r="K2083" s="2684"/>
      <c r="L2083" s="2683">
        <v>77736</v>
      </c>
    </row>
    <row r="2084" spans="1:12">
      <c r="A2084" s="2682" t="s">
        <v>146</v>
      </c>
      <c r="B2084" s="2682">
        <v>371076</v>
      </c>
      <c r="C2084" s="2682">
        <v>380</v>
      </c>
      <c r="D2084" s="2682">
        <v>560</v>
      </c>
      <c r="E2084" s="2682">
        <v>325</v>
      </c>
      <c r="F2084" s="2682" t="s">
        <v>5922</v>
      </c>
      <c r="G2084" s="2682" t="s">
        <v>5922</v>
      </c>
      <c r="H2084" s="2682" t="s">
        <v>5922</v>
      </c>
      <c r="I2084" s="2682" t="s">
        <v>5922</v>
      </c>
      <c r="J2084" s="2682">
        <v>281</v>
      </c>
      <c r="L2084" s="2682">
        <v>77176</v>
      </c>
    </row>
    <row r="2085" spans="1:12">
      <c r="A2085" s="2683" t="s">
        <v>146</v>
      </c>
      <c r="B2085" s="2683" t="s">
        <v>8210</v>
      </c>
      <c r="C2085" s="2683">
        <v>400</v>
      </c>
      <c r="D2085" s="2683">
        <v>600</v>
      </c>
      <c r="E2085" s="2683">
        <v>356</v>
      </c>
      <c r="F2085" s="2683" t="s">
        <v>5922</v>
      </c>
      <c r="G2085" s="2683" t="s">
        <v>5922</v>
      </c>
      <c r="H2085" s="2683" t="s">
        <v>5922</v>
      </c>
      <c r="I2085" s="2683" t="s">
        <v>5922</v>
      </c>
      <c r="J2085" s="2683">
        <v>345</v>
      </c>
      <c r="K2085" s="2684"/>
      <c r="L2085" s="2683" t="s">
        <v>8211</v>
      </c>
    </row>
    <row r="2086" spans="1:12">
      <c r="A2086" s="2682" t="s">
        <v>146</v>
      </c>
      <c r="B2086" s="2682" t="s">
        <v>8212</v>
      </c>
      <c r="C2086" s="2682">
        <v>460</v>
      </c>
      <c r="D2086" s="2682">
        <v>680</v>
      </c>
      <c r="E2086" s="2682">
        <v>410</v>
      </c>
      <c r="F2086" s="2682" t="s">
        <v>5922</v>
      </c>
      <c r="G2086" s="2682" t="s">
        <v>5922</v>
      </c>
      <c r="H2086" s="2682" t="s">
        <v>5922</v>
      </c>
      <c r="I2086" s="2682" t="s">
        <v>5922</v>
      </c>
      <c r="J2086" s="2682" t="s">
        <v>5922</v>
      </c>
      <c r="L2086" s="2682" t="s">
        <v>8213</v>
      </c>
    </row>
    <row r="2087" spans="1:12">
      <c r="A2087" s="2683" t="s">
        <v>146</v>
      </c>
      <c r="B2087" s="2683" t="s">
        <v>8214</v>
      </c>
      <c r="C2087" s="2683">
        <v>750</v>
      </c>
      <c r="D2087" s="2683">
        <v>1090</v>
      </c>
      <c r="E2087" s="2683">
        <v>605</v>
      </c>
      <c r="F2087" s="2683" t="s">
        <v>5922</v>
      </c>
      <c r="G2087" s="2683" t="s">
        <v>5922</v>
      </c>
      <c r="H2087" s="2683" t="s">
        <v>5922</v>
      </c>
      <c r="I2087" s="2683" t="s">
        <v>5922</v>
      </c>
      <c r="J2087" s="2683">
        <v>1840</v>
      </c>
      <c r="K2087" s="2684"/>
      <c r="L2087" s="2683" t="s">
        <v>8215</v>
      </c>
    </row>
    <row r="2088" spans="1:12">
      <c r="A2088" s="2682" t="s">
        <v>146</v>
      </c>
      <c r="B2088" s="2682" t="s">
        <v>8216</v>
      </c>
      <c r="C2088" s="2682">
        <v>750</v>
      </c>
      <c r="D2088" s="2682">
        <v>1090</v>
      </c>
      <c r="E2088" s="2682">
        <v>605</v>
      </c>
      <c r="F2088" s="2682" t="s">
        <v>5922</v>
      </c>
      <c r="G2088" s="2682" t="s">
        <v>5922</v>
      </c>
      <c r="H2088" s="2682" t="s">
        <v>5922</v>
      </c>
      <c r="I2088" s="2682" t="s">
        <v>5922</v>
      </c>
      <c r="J2088" s="2682">
        <v>1880</v>
      </c>
      <c r="L2088" s="2682" t="s">
        <v>8217</v>
      </c>
    </row>
    <row r="2089" spans="1:12">
      <c r="A2089" s="2683" t="s">
        <v>146</v>
      </c>
      <c r="B2089" s="2683">
        <v>382024</v>
      </c>
      <c r="C2089" s="2683">
        <v>170</v>
      </c>
      <c r="D2089" s="2683">
        <v>260</v>
      </c>
      <c r="E2089" s="2683">
        <v>230</v>
      </c>
      <c r="F2089" s="2683" t="s">
        <v>5922</v>
      </c>
      <c r="G2089" s="2683" t="s">
        <v>5922</v>
      </c>
      <c r="H2089" s="2683" t="s">
        <v>5922</v>
      </c>
      <c r="I2089" s="2683" t="s">
        <v>5922</v>
      </c>
      <c r="J2089" s="2683">
        <v>43</v>
      </c>
      <c r="K2089" s="2684"/>
      <c r="L2089" s="2683">
        <v>2077134</v>
      </c>
    </row>
    <row r="2090" spans="1:12">
      <c r="A2090" s="2682" t="s">
        <v>146</v>
      </c>
      <c r="B2090" s="2682" t="s">
        <v>8218</v>
      </c>
      <c r="C2090" s="2682">
        <v>320</v>
      </c>
      <c r="D2090" s="2682">
        <v>480</v>
      </c>
      <c r="E2090" s="2682">
        <v>380</v>
      </c>
      <c r="F2090" s="2682" t="s">
        <v>5922</v>
      </c>
      <c r="G2090" s="2682" t="s">
        <v>5922</v>
      </c>
      <c r="H2090" s="2682" t="s">
        <v>5922</v>
      </c>
      <c r="I2090" s="2682" t="s">
        <v>5922</v>
      </c>
      <c r="J2090" s="2682">
        <v>234</v>
      </c>
      <c r="L2090" s="2682" t="s">
        <v>7952</v>
      </c>
    </row>
    <row r="2091" spans="1:12">
      <c r="A2091" s="2683" t="s">
        <v>146</v>
      </c>
      <c r="B2091" s="2683" t="s">
        <v>8219</v>
      </c>
      <c r="C2091" s="2683">
        <v>300</v>
      </c>
      <c r="D2091" s="2683">
        <v>500</v>
      </c>
      <c r="E2091" s="2683">
        <v>370</v>
      </c>
      <c r="F2091" s="2683" t="s">
        <v>5922</v>
      </c>
      <c r="G2091" s="2683" t="s">
        <v>5922</v>
      </c>
      <c r="H2091" s="2683" t="s">
        <v>5922</v>
      </c>
      <c r="I2091" s="2683" t="s">
        <v>5922</v>
      </c>
      <c r="J2091" s="2683">
        <v>285</v>
      </c>
      <c r="K2091" s="2684"/>
      <c r="L2091" s="2683" t="s">
        <v>8220</v>
      </c>
    </row>
    <row r="2092" spans="1:12">
      <c r="A2092" s="2682" t="s">
        <v>146</v>
      </c>
      <c r="B2092" s="2682" t="s">
        <v>8221</v>
      </c>
      <c r="C2092" s="2682">
        <v>850</v>
      </c>
      <c r="D2092" s="2682">
        <v>1360</v>
      </c>
      <c r="E2092" s="2682">
        <v>900</v>
      </c>
      <c r="F2092" s="2682" t="s">
        <v>5922</v>
      </c>
      <c r="G2092" s="2682" t="s">
        <v>5922</v>
      </c>
      <c r="H2092" s="2682" t="s">
        <v>5922</v>
      </c>
      <c r="I2092" s="2682" t="s">
        <v>5922</v>
      </c>
      <c r="J2092" s="2682">
        <v>5168</v>
      </c>
      <c r="L2092" s="2682" t="s">
        <v>8222</v>
      </c>
    </row>
    <row r="2093" spans="1:12">
      <c r="A2093" s="2683" t="s">
        <v>146</v>
      </c>
      <c r="B2093" s="2683" t="s">
        <v>8223</v>
      </c>
      <c r="C2093" s="2683">
        <v>260</v>
      </c>
      <c r="D2093" s="2683">
        <v>400</v>
      </c>
      <c r="E2093" s="2683">
        <v>225</v>
      </c>
      <c r="F2093" s="2683" t="s">
        <v>5922</v>
      </c>
      <c r="G2093" s="2683" t="s">
        <v>5922</v>
      </c>
      <c r="H2093" s="2683" t="s">
        <v>5922</v>
      </c>
      <c r="I2093" s="2683" t="s">
        <v>5922</v>
      </c>
      <c r="J2093" s="2683">
        <v>114</v>
      </c>
      <c r="K2093" s="2684"/>
      <c r="L2093" s="2683" t="s">
        <v>7969</v>
      </c>
    </row>
    <row r="2094" spans="1:12">
      <c r="A2094" s="2682" t="s">
        <v>146</v>
      </c>
      <c r="B2094" s="2682" t="s">
        <v>8224</v>
      </c>
      <c r="C2094" s="2682">
        <v>260</v>
      </c>
      <c r="D2094" s="2682">
        <v>400</v>
      </c>
      <c r="E2094" s="2682">
        <v>225</v>
      </c>
      <c r="F2094" s="2682" t="s">
        <v>5922</v>
      </c>
      <c r="G2094" s="2682" t="s">
        <v>5922</v>
      </c>
      <c r="H2094" s="2682" t="s">
        <v>5922</v>
      </c>
      <c r="I2094" s="2682" t="s">
        <v>5922</v>
      </c>
      <c r="J2094" s="2682">
        <v>114</v>
      </c>
      <c r="L2094" s="2682" t="s">
        <v>7967</v>
      </c>
    </row>
    <row r="2095" spans="1:12">
      <c r="A2095" s="2683" t="s">
        <v>146</v>
      </c>
      <c r="B2095" s="2683" t="s">
        <v>8225</v>
      </c>
      <c r="C2095" s="2683">
        <v>260</v>
      </c>
      <c r="D2095" s="2683">
        <v>440</v>
      </c>
      <c r="E2095" s="2683">
        <v>300</v>
      </c>
      <c r="F2095" s="2683" t="s">
        <v>5922</v>
      </c>
      <c r="G2095" s="2683" t="s">
        <v>5922</v>
      </c>
      <c r="H2095" s="2683" t="s">
        <v>5922</v>
      </c>
      <c r="I2095" s="2683" t="s">
        <v>5922</v>
      </c>
      <c r="J2095" s="2683">
        <v>191</v>
      </c>
      <c r="K2095" s="2684"/>
      <c r="L2095" s="2683" t="s">
        <v>8226</v>
      </c>
    </row>
    <row r="2096" spans="1:12">
      <c r="A2096" s="2682" t="s">
        <v>146</v>
      </c>
      <c r="B2096" s="2682" t="s">
        <v>8227</v>
      </c>
      <c r="C2096" s="2682">
        <v>750</v>
      </c>
      <c r="D2096" s="2682">
        <v>1220</v>
      </c>
      <c r="E2096" s="2682">
        <v>840</v>
      </c>
      <c r="F2096" s="2682" t="s">
        <v>5922</v>
      </c>
      <c r="G2096" s="2682" t="s">
        <v>5922</v>
      </c>
      <c r="H2096" s="2682" t="s">
        <v>5922</v>
      </c>
      <c r="I2096" s="2682" t="s">
        <v>5922</v>
      </c>
      <c r="J2096" s="2682">
        <v>3978</v>
      </c>
      <c r="L2096" s="2682" t="s">
        <v>7869</v>
      </c>
    </row>
    <row r="2097" spans="1:12">
      <c r="A2097" s="2683" t="s">
        <v>146</v>
      </c>
      <c r="B2097" s="2683" t="s">
        <v>8228</v>
      </c>
      <c r="C2097" s="2683">
        <v>560</v>
      </c>
      <c r="D2097" s="2683">
        <v>920</v>
      </c>
      <c r="E2097" s="2683">
        <v>620</v>
      </c>
      <c r="F2097" s="2683" t="s">
        <v>5922</v>
      </c>
      <c r="G2097" s="2683" t="s">
        <v>5922</v>
      </c>
      <c r="H2097" s="2683" t="s">
        <v>5922</v>
      </c>
      <c r="I2097" s="2683" t="s">
        <v>5922</v>
      </c>
      <c r="J2097" s="2683">
        <v>1635</v>
      </c>
      <c r="K2097" s="2684"/>
      <c r="L2097" s="2683" t="s">
        <v>8229</v>
      </c>
    </row>
    <row r="2098" spans="1:12">
      <c r="A2098" s="2682" t="s">
        <v>146</v>
      </c>
      <c r="B2098" s="2682" t="s">
        <v>8230</v>
      </c>
      <c r="C2098" s="2682">
        <v>600</v>
      </c>
      <c r="D2098" s="2682">
        <v>980</v>
      </c>
      <c r="E2098" s="2682">
        <v>650</v>
      </c>
      <c r="F2098" s="2682" t="s">
        <v>5922</v>
      </c>
      <c r="G2098" s="2682" t="s">
        <v>5922</v>
      </c>
      <c r="H2098" s="2682" t="s">
        <v>5922</v>
      </c>
      <c r="I2098" s="2682" t="s">
        <v>5922</v>
      </c>
      <c r="J2098" s="2682">
        <v>1970</v>
      </c>
      <c r="L2098" s="2682" t="s">
        <v>8053</v>
      </c>
    </row>
    <row r="2099" spans="1:12">
      <c r="A2099" s="2683" t="s">
        <v>146</v>
      </c>
      <c r="B2099" s="2683" t="s">
        <v>8231</v>
      </c>
      <c r="C2099" s="2683">
        <v>380</v>
      </c>
      <c r="D2099" s="2683">
        <v>620</v>
      </c>
      <c r="E2099" s="2683">
        <v>388</v>
      </c>
      <c r="F2099" s="2683" t="s">
        <v>5922</v>
      </c>
      <c r="G2099" s="2683" t="s">
        <v>5922</v>
      </c>
      <c r="H2099" s="2683" t="s">
        <v>5922</v>
      </c>
      <c r="I2099" s="2683" t="s">
        <v>5922</v>
      </c>
      <c r="J2099" s="2683">
        <v>443</v>
      </c>
      <c r="K2099" s="2684"/>
      <c r="L2099" s="2683">
        <v>3077776</v>
      </c>
    </row>
    <row r="2100" spans="1:12">
      <c r="A2100" s="2682" t="s">
        <v>146</v>
      </c>
      <c r="B2100" s="2682" t="s">
        <v>8232</v>
      </c>
      <c r="C2100" s="2682">
        <v>380</v>
      </c>
      <c r="D2100" s="2682">
        <v>550</v>
      </c>
      <c r="E2100" s="2682">
        <v>350</v>
      </c>
      <c r="F2100" s="2682" t="s">
        <v>5922</v>
      </c>
      <c r="G2100" s="2682" t="s">
        <v>5922</v>
      </c>
      <c r="H2100" s="2682" t="s">
        <v>5922</v>
      </c>
      <c r="I2100" s="2682" t="s">
        <v>5922</v>
      </c>
      <c r="J2100" s="2682">
        <v>273</v>
      </c>
      <c r="L2100" s="2682" t="s">
        <v>8233</v>
      </c>
    </row>
    <row r="2101" spans="1:12">
      <c r="A2101" s="2683" t="s">
        <v>146</v>
      </c>
      <c r="B2101" s="2683" t="s">
        <v>8234</v>
      </c>
      <c r="C2101" s="2683">
        <v>488.95</v>
      </c>
      <c r="D2101" s="2683">
        <v>622</v>
      </c>
      <c r="E2101" s="2683">
        <v>365.125</v>
      </c>
      <c r="F2101" s="2683" t="s">
        <v>5922</v>
      </c>
      <c r="G2101" s="2683" t="s">
        <v>5922</v>
      </c>
      <c r="H2101" s="2683" t="s">
        <v>5922</v>
      </c>
      <c r="I2101" s="2683" t="s">
        <v>5922</v>
      </c>
      <c r="J2101" s="2683">
        <v>266</v>
      </c>
      <c r="K2101" s="2684"/>
      <c r="L2101" s="2683" t="s">
        <v>8235</v>
      </c>
    </row>
    <row r="2102" spans="1:12">
      <c r="A2102" s="2682" t="s">
        <v>146</v>
      </c>
      <c r="B2102" s="2682" t="s">
        <v>8236</v>
      </c>
      <c r="C2102" s="2682">
        <v>120</v>
      </c>
      <c r="D2102" s="2682">
        <v>180</v>
      </c>
      <c r="E2102" s="2682">
        <v>38</v>
      </c>
      <c r="F2102" s="2682" t="s">
        <v>5922</v>
      </c>
      <c r="G2102" s="2682" t="s">
        <v>5922</v>
      </c>
      <c r="H2102" s="2682" t="s">
        <v>5922</v>
      </c>
      <c r="I2102" s="2682" t="s">
        <v>5922</v>
      </c>
      <c r="J2102" s="2682">
        <v>3.14</v>
      </c>
      <c r="L2102" s="2682">
        <v>2067124</v>
      </c>
    </row>
    <row r="2103" spans="1:12">
      <c r="A2103" s="2683" t="s">
        <v>146</v>
      </c>
      <c r="B2103" s="2683" t="s">
        <v>8237</v>
      </c>
      <c r="C2103" s="2683">
        <v>12</v>
      </c>
      <c r="D2103" s="2683">
        <v>36</v>
      </c>
      <c r="E2103" s="2683">
        <v>13.9</v>
      </c>
      <c r="F2103" s="2683" t="s">
        <v>5922</v>
      </c>
      <c r="G2103" s="2683" t="s">
        <v>5922</v>
      </c>
      <c r="H2103" s="2683" t="s">
        <v>5922</v>
      </c>
      <c r="I2103" s="2683" t="s">
        <v>5922</v>
      </c>
      <c r="J2103" s="2683">
        <v>6.4000000000000001E-2</v>
      </c>
      <c r="K2103" s="2684"/>
      <c r="L2103" s="2683">
        <v>67701</v>
      </c>
    </row>
    <row r="2104" spans="1:12">
      <c r="A2104" s="2682" t="s">
        <v>146</v>
      </c>
      <c r="B2104" s="2682" t="s">
        <v>8238</v>
      </c>
      <c r="C2104" s="2682">
        <v>622.29999999999995</v>
      </c>
      <c r="D2104" s="2682">
        <v>734</v>
      </c>
      <c r="E2104" s="2682">
        <v>46</v>
      </c>
      <c r="F2104" s="2682" t="s">
        <v>5922</v>
      </c>
      <c r="G2104" s="2682" t="s">
        <v>5922</v>
      </c>
      <c r="H2104" s="2682" t="s">
        <v>5922</v>
      </c>
      <c r="I2104" s="2682" t="s">
        <v>5922</v>
      </c>
      <c r="J2104" s="2682">
        <v>32.26</v>
      </c>
      <c r="L2104" s="2682" t="s">
        <v>8239</v>
      </c>
    </row>
    <row r="2105" spans="1:12">
      <c r="A2105" s="2683" t="s">
        <v>146</v>
      </c>
      <c r="B2105" s="2683" t="s">
        <v>8240</v>
      </c>
      <c r="C2105" s="2683">
        <v>622.29999999999995</v>
      </c>
      <c r="D2105" s="2683">
        <v>734</v>
      </c>
      <c r="E2105" s="2683">
        <v>46</v>
      </c>
      <c r="F2105" s="2683" t="s">
        <v>5922</v>
      </c>
      <c r="G2105" s="2683" t="s">
        <v>5922</v>
      </c>
      <c r="H2105" s="2683" t="s">
        <v>5922</v>
      </c>
      <c r="I2105" s="2683" t="s">
        <v>5922</v>
      </c>
      <c r="J2105" s="2683">
        <v>33.6</v>
      </c>
      <c r="K2105" s="2684"/>
      <c r="L2105" s="2683" t="s">
        <v>8241</v>
      </c>
    </row>
    <row r="2106" spans="1:12">
      <c r="A2106" s="2682" t="s">
        <v>146</v>
      </c>
      <c r="B2106" s="2682" t="s">
        <v>8242</v>
      </c>
      <c r="C2106" s="2682">
        <v>120</v>
      </c>
      <c r="D2106" s="2682">
        <v>180</v>
      </c>
      <c r="E2106" s="2682">
        <v>85</v>
      </c>
      <c r="F2106" s="2682" t="s">
        <v>5922</v>
      </c>
      <c r="G2106" s="2682" t="s">
        <v>5922</v>
      </c>
      <c r="H2106" s="2682" t="s">
        <v>5922</v>
      </c>
      <c r="I2106" s="2682" t="s">
        <v>5922</v>
      </c>
      <c r="J2106" s="2682">
        <v>6.77</v>
      </c>
      <c r="L2106" s="2682">
        <v>2657124</v>
      </c>
    </row>
    <row r="2107" spans="1:12">
      <c r="A2107" s="2683" t="s">
        <v>146</v>
      </c>
      <c r="B2107" s="2683" t="s">
        <v>8243</v>
      </c>
      <c r="C2107" s="2683">
        <v>100</v>
      </c>
      <c r="D2107" s="2683">
        <v>165</v>
      </c>
      <c r="E2107" s="2683">
        <v>80</v>
      </c>
      <c r="F2107" s="2683" t="s">
        <v>5922</v>
      </c>
      <c r="G2107" s="2683" t="s">
        <v>5922</v>
      </c>
      <c r="H2107" s="2683" t="s">
        <v>5922</v>
      </c>
      <c r="I2107" s="2683" t="s">
        <v>5922</v>
      </c>
      <c r="J2107" s="2683">
        <v>5.09</v>
      </c>
      <c r="K2107" s="2684"/>
      <c r="L2107" s="2683">
        <v>657720</v>
      </c>
    </row>
    <row r="2108" spans="1:12">
      <c r="A2108" s="2682" t="s">
        <v>146</v>
      </c>
      <c r="B2108" s="2682" t="s">
        <v>8244</v>
      </c>
      <c r="C2108" s="2682">
        <v>140</v>
      </c>
      <c r="D2108" s="2682">
        <v>215</v>
      </c>
      <c r="E2108" s="2682">
        <v>100</v>
      </c>
      <c r="F2108" s="2682" t="s">
        <v>5922</v>
      </c>
      <c r="G2108" s="2682" t="s">
        <v>5922</v>
      </c>
      <c r="H2108" s="2682" t="s">
        <v>5922</v>
      </c>
      <c r="I2108" s="2682" t="s">
        <v>5922</v>
      </c>
      <c r="J2108" s="2682">
        <v>13</v>
      </c>
      <c r="L2108" s="2682">
        <v>657728</v>
      </c>
    </row>
    <row r="2109" spans="1:12">
      <c r="A2109" s="2683" t="s">
        <v>146</v>
      </c>
      <c r="B2109" s="2683" t="s">
        <v>8245</v>
      </c>
      <c r="C2109" s="2683">
        <v>120</v>
      </c>
      <c r="D2109" s="2683">
        <v>180</v>
      </c>
      <c r="E2109" s="2683">
        <v>85</v>
      </c>
      <c r="F2109" s="2683" t="s">
        <v>5922</v>
      </c>
      <c r="G2109" s="2683" t="s">
        <v>5922</v>
      </c>
      <c r="H2109" s="2683" t="s">
        <v>5922</v>
      </c>
      <c r="I2109" s="2683" t="s">
        <v>5922</v>
      </c>
      <c r="J2109" s="2683" t="s">
        <v>5922</v>
      </c>
      <c r="K2109" s="2684"/>
      <c r="L2109" s="2683" t="s">
        <v>8246</v>
      </c>
    </row>
    <row r="2110" spans="1:12">
      <c r="A2110" s="2682" t="s">
        <v>146</v>
      </c>
      <c r="B2110" s="2682" t="s">
        <v>8247</v>
      </c>
      <c r="C2110" s="2682">
        <v>140</v>
      </c>
      <c r="D2110" s="2682">
        <v>210</v>
      </c>
      <c r="E2110" s="2682">
        <v>95</v>
      </c>
      <c r="F2110" s="2682" t="s">
        <v>5922</v>
      </c>
      <c r="G2110" s="2682" t="s">
        <v>5922</v>
      </c>
      <c r="H2110" s="2682" t="s">
        <v>5922</v>
      </c>
      <c r="I2110" s="2682" t="s">
        <v>5922</v>
      </c>
      <c r="J2110" s="2682">
        <v>12.1</v>
      </c>
      <c r="L2110" s="2682">
        <v>2697128</v>
      </c>
    </row>
    <row r="2111" spans="1:12">
      <c r="A2111" s="2683" t="s">
        <v>146</v>
      </c>
      <c r="B2111" s="2683" t="s">
        <v>8248</v>
      </c>
      <c r="C2111" s="2683">
        <v>160</v>
      </c>
      <c r="D2111" s="2683">
        <v>240</v>
      </c>
      <c r="E2111" s="2683">
        <v>115</v>
      </c>
      <c r="F2111" s="2683" t="s">
        <v>5922</v>
      </c>
      <c r="G2111" s="2683" t="s">
        <v>5922</v>
      </c>
      <c r="H2111" s="2683" t="s">
        <v>5922</v>
      </c>
      <c r="I2111" s="2683" t="s">
        <v>5922</v>
      </c>
      <c r="J2111" s="2683">
        <v>14.9</v>
      </c>
      <c r="K2111" s="2684"/>
      <c r="L2111" s="2683" t="s">
        <v>8249</v>
      </c>
    </row>
    <row r="2112" spans="1:12">
      <c r="A2112" s="2682" t="s">
        <v>146</v>
      </c>
      <c r="B2112" s="2682" t="s">
        <v>8250</v>
      </c>
      <c r="C2112" s="2682">
        <v>120</v>
      </c>
      <c r="D2112" s="2682">
        <v>200</v>
      </c>
      <c r="E2112" s="2682">
        <v>110</v>
      </c>
      <c r="F2112" s="2682" t="s">
        <v>5922</v>
      </c>
      <c r="G2112" s="2682" t="s">
        <v>5922</v>
      </c>
      <c r="H2112" s="2682" t="s">
        <v>5922</v>
      </c>
      <c r="I2112" s="2682" t="s">
        <v>5922</v>
      </c>
      <c r="J2112" s="2682">
        <v>12</v>
      </c>
      <c r="L2112" s="2682">
        <v>2697724</v>
      </c>
    </row>
    <row r="2113" spans="1:12">
      <c r="A2113" s="2683" t="s">
        <v>146</v>
      </c>
      <c r="B2113" s="2683" t="s">
        <v>8251</v>
      </c>
      <c r="C2113" s="2683">
        <v>80</v>
      </c>
      <c r="D2113" s="2683">
        <v>140</v>
      </c>
      <c r="E2113" s="2683">
        <v>80</v>
      </c>
      <c r="F2113" s="2683" t="s">
        <v>5922</v>
      </c>
      <c r="G2113" s="2683" t="s">
        <v>5922</v>
      </c>
      <c r="H2113" s="2683" t="s">
        <v>5922</v>
      </c>
      <c r="I2113" s="2683" t="s">
        <v>5922</v>
      </c>
      <c r="J2113" s="2683">
        <v>4.72</v>
      </c>
      <c r="K2113" s="2684"/>
      <c r="L2113" s="2683">
        <v>697516</v>
      </c>
    </row>
    <row r="2114" spans="1:12">
      <c r="A2114" s="2682" t="s">
        <v>146</v>
      </c>
      <c r="B2114" s="2682" t="s">
        <v>8252</v>
      </c>
      <c r="C2114" s="2682">
        <v>80</v>
      </c>
      <c r="D2114" s="2682">
        <v>140</v>
      </c>
      <c r="E2114" s="2682">
        <v>80</v>
      </c>
      <c r="F2114" s="2682" t="s">
        <v>5922</v>
      </c>
      <c r="G2114" s="2682" t="s">
        <v>5922</v>
      </c>
      <c r="H2114" s="2682" t="s">
        <v>5922</v>
      </c>
      <c r="I2114" s="2682" t="s">
        <v>5922</v>
      </c>
      <c r="J2114" s="2682">
        <v>4.9000000000000004</v>
      </c>
      <c r="L2114" s="2682" t="s">
        <v>8253</v>
      </c>
    </row>
    <row r="2115" spans="1:12">
      <c r="A2115" s="2683" t="s">
        <v>146</v>
      </c>
      <c r="B2115" s="2683" t="s">
        <v>8254</v>
      </c>
      <c r="C2115" s="2683">
        <v>95</v>
      </c>
      <c r="D2115" s="2683">
        <v>145</v>
      </c>
      <c r="E2115" s="2683">
        <v>76</v>
      </c>
      <c r="F2115" s="2683" t="s">
        <v>5922</v>
      </c>
      <c r="G2115" s="2683" t="s">
        <v>5922</v>
      </c>
      <c r="H2115" s="2683" t="s">
        <v>5922</v>
      </c>
      <c r="I2115" s="2683" t="s">
        <v>5922</v>
      </c>
      <c r="J2115" s="2683">
        <v>4.5599999999999996</v>
      </c>
      <c r="K2115" s="2684"/>
      <c r="L2115" s="2683" t="s">
        <v>8255</v>
      </c>
    </row>
    <row r="2116" spans="1:12">
      <c r="A2116" s="2682" t="s">
        <v>146</v>
      </c>
      <c r="B2116" s="2682" t="s">
        <v>8256</v>
      </c>
      <c r="C2116" s="2682" t="s">
        <v>5922</v>
      </c>
      <c r="D2116" s="2682" t="s">
        <v>5922</v>
      </c>
      <c r="E2116" s="2682" t="s">
        <v>5922</v>
      </c>
      <c r="F2116" s="2682" t="s">
        <v>5922</v>
      </c>
      <c r="G2116" s="2682" t="s">
        <v>5922</v>
      </c>
      <c r="H2116" s="2682" t="s">
        <v>5922</v>
      </c>
      <c r="I2116" s="2682" t="s">
        <v>5922</v>
      </c>
      <c r="J2116" s="2682">
        <v>0.14299999999999999</v>
      </c>
      <c r="L2116" s="2682" t="s">
        <v>5922</v>
      </c>
    </row>
    <row r="2117" spans="1:12">
      <c r="A2117" s="2683" t="s">
        <v>146</v>
      </c>
      <c r="B2117" s="2683" t="s">
        <v>8257</v>
      </c>
      <c r="C2117" s="2683">
        <v>35</v>
      </c>
      <c r="D2117" s="2683">
        <v>80</v>
      </c>
      <c r="E2117" s="2683">
        <v>24.175000000000001</v>
      </c>
      <c r="F2117" s="2683" t="s">
        <v>5922</v>
      </c>
      <c r="G2117" s="2683" t="s">
        <v>5922</v>
      </c>
      <c r="H2117" s="2683" t="s">
        <v>5922</v>
      </c>
      <c r="I2117" s="2683" t="s">
        <v>5922</v>
      </c>
      <c r="J2117" s="2683" t="s">
        <v>5922</v>
      </c>
      <c r="K2117" s="2684"/>
      <c r="L2117" s="2683" t="s">
        <v>5922</v>
      </c>
    </row>
    <row r="2118" spans="1:12">
      <c r="A2118" s="2682" t="s">
        <v>146</v>
      </c>
      <c r="B2118" s="2682" t="s">
        <v>8258</v>
      </c>
      <c r="C2118" s="2682">
        <v>61.911999999999999</v>
      </c>
      <c r="D2118" s="2682">
        <v>110</v>
      </c>
      <c r="E2118" s="2682">
        <v>22</v>
      </c>
      <c r="F2118" s="2682" t="s">
        <v>5922</v>
      </c>
      <c r="G2118" s="2682" t="s">
        <v>5922</v>
      </c>
      <c r="H2118" s="2682" t="s">
        <v>5922</v>
      </c>
      <c r="I2118" s="2682" t="s">
        <v>5922</v>
      </c>
      <c r="J2118" s="2682" t="s">
        <v>5922</v>
      </c>
      <c r="L2118" s="2682" t="s">
        <v>5922</v>
      </c>
    </row>
    <row r="2119" spans="1:12">
      <c r="A2119" s="2683" t="s">
        <v>146</v>
      </c>
      <c r="B2119" s="2683" t="s">
        <v>8259</v>
      </c>
      <c r="C2119" s="2683">
        <v>44.45</v>
      </c>
      <c r="D2119" s="2683">
        <v>95.25</v>
      </c>
      <c r="E2119" s="2683">
        <v>27.783000000000001</v>
      </c>
      <c r="F2119" s="2683" t="s">
        <v>5922</v>
      </c>
      <c r="G2119" s="2683" t="s">
        <v>5922</v>
      </c>
      <c r="H2119" s="2683" t="s">
        <v>5922</v>
      </c>
      <c r="I2119" s="2683" t="s">
        <v>5922</v>
      </c>
      <c r="J2119" s="2683">
        <v>0.996</v>
      </c>
      <c r="K2119" s="2684"/>
      <c r="L2119" s="2683" t="s">
        <v>5922</v>
      </c>
    </row>
    <row r="2120" spans="1:12">
      <c r="A2120" s="2682" t="s">
        <v>146</v>
      </c>
      <c r="B2120" s="2682" t="s">
        <v>8260</v>
      </c>
      <c r="C2120" s="2682">
        <v>38.1</v>
      </c>
      <c r="D2120" s="2682">
        <v>95.25</v>
      </c>
      <c r="E2120" s="2682">
        <v>27.783000000000001</v>
      </c>
      <c r="F2120" s="2682" t="s">
        <v>5922</v>
      </c>
      <c r="G2120" s="2682" t="s">
        <v>5922</v>
      </c>
      <c r="H2120" s="2682" t="s">
        <v>5922</v>
      </c>
      <c r="I2120" s="2682" t="s">
        <v>5922</v>
      </c>
      <c r="J2120" s="2682" t="s">
        <v>5922</v>
      </c>
      <c r="L2120" s="2682" t="s">
        <v>5922</v>
      </c>
    </row>
    <row r="2121" spans="1:12">
      <c r="A2121" s="2683" t="s">
        <v>146</v>
      </c>
      <c r="B2121" s="2683" t="s">
        <v>8261</v>
      </c>
      <c r="C2121" s="2683">
        <v>84.138000000000005</v>
      </c>
      <c r="D2121" s="2683">
        <v>136.52500000000001</v>
      </c>
      <c r="E2121" s="2683">
        <v>30.163</v>
      </c>
      <c r="F2121" s="2683" t="s">
        <v>5922</v>
      </c>
      <c r="G2121" s="2683" t="s">
        <v>5922</v>
      </c>
      <c r="H2121" s="2683" t="s">
        <v>5922</v>
      </c>
      <c r="I2121" s="2683" t="s">
        <v>5922</v>
      </c>
      <c r="J2121" s="2683">
        <v>1.6719999999999999</v>
      </c>
      <c r="K2121" s="2684"/>
      <c r="L2121" s="2683" t="s">
        <v>5922</v>
      </c>
    </row>
    <row r="2122" spans="1:12">
      <c r="A2122" s="2682" t="s">
        <v>146</v>
      </c>
      <c r="B2122" s="2682" t="s">
        <v>8262</v>
      </c>
      <c r="C2122" s="2682">
        <v>44.45</v>
      </c>
      <c r="D2122" s="2682">
        <v>101.6</v>
      </c>
      <c r="E2122" s="2682">
        <v>34.924999999999997</v>
      </c>
      <c r="F2122" s="2682" t="s">
        <v>5922</v>
      </c>
      <c r="G2122" s="2682" t="s">
        <v>5922</v>
      </c>
      <c r="H2122" s="2682" t="s">
        <v>5922</v>
      </c>
      <c r="I2122" s="2682" t="s">
        <v>5922</v>
      </c>
      <c r="J2122" s="2682">
        <v>1.37</v>
      </c>
      <c r="L2122" s="2682" t="s">
        <v>5922</v>
      </c>
    </row>
    <row r="2123" spans="1:12">
      <c r="A2123" s="2683" t="s">
        <v>146</v>
      </c>
      <c r="B2123" s="2683" t="s">
        <v>8263</v>
      </c>
      <c r="C2123" s="2683">
        <v>50</v>
      </c>
      <c r="D2123" s="2683">
        <v>100</v>
      </c>
      <c r="E2123" s="2683">
        <v>34.924999999999997</v>
      </c>
      <c r="F2123" s="2683" t="s">
        <v>5922</v>
      </c>
      <c r="G2123" s="2683" t="s">
        <v>5922</v>
      </c>
      <c r="H2123" s="2683" t="s">
        <v>5922</v>
      </c>
      <c r="I2123" s="2683" t="s">
        <v>5922</v>
      </c>
      <c r="J2123" s="2683">
        <v>1.2</v>
      </c>
      <c r="K2123" s="2684"/>
      <c r="L2123" s="2683" t="s">
        <v>5922</v>
      </c>
    </row>
    <row r="2124" spans="1:12">
      <c r="A2124" s="2682" t="s">
        <v>146</v>
      </c>
      <c r="B2124" s="2682" t="s">
        <v>8264</v>
      </c>
      <c r="C2124" s="2682">
        <v>44.55</v>
      </c>
      <c r="D2124" s="2682">
        <v>111.125</v>
      </c>
      <c r="E2124" s="2682">
        <v>38.1</v>
      </c>
      <c r="F2124" s="2682" t="s">
        <v>5922</v>
      </c>
      <c r="G2124" s="2682" t="s">
        <v>5922</v>
      </c>
      <c r="H2124" s="2682" t="s">
        <v>5922</v>
      </c>
      <c r="I2124" s="2682" t="s">
        <v>5922</v>
      </c>
      <c r="J2124" s="2682">
        <v>1.79</v>
      </c>
      <c r="L2124" s="2682" t="s">
        <v>5922</v>
      </c>
    </row>
    <row r="2125" spans="1:12">
      <c r="A2125" s="2683" t="s">
        <v>146</v>
      </c>
      <c r="B2125" s="2683" t="s">
        <v>8265</v>
      </c>
      <c r="C2125" s="2683">
        <v>47.625</v>
      </c>
      <c r="D2125" s="2683">
        <v>107.95</v>
      </c>
      <c r="E2125" s="2683">
        <v>36.512</v>
      </c>
      <c r="F2125" s="2683" t="s">
        <v>5922</v>
      </c>
      <c r="G2125" s="2683" t="s">
        <v>5922</v>
      </c>
      <c r="H2125" s="2683" t="s">
        <v>5922</v>
      </c>
      <c r="I2125" s="2683" t="s">
        <v>5922</v>
      </c>
      <c r="J2125" s="2683" t="s">
        <v>5922</v>
      </c>
      <c r="K2125" s="2684"/>
      <c r="L2125" s="2683" t="s">
        <v>5922</v>
      </c>
    </row>
    <row r="2126" spans="1:12">
      <c r="A2126" s="2682" t="s">
        <v>146</v>
      </c>
      <c r="B2126" s="2682" t="s">
        <v>8266</v>
      </c>
      <c r="C2126" s="2682">
        <v>50.8</v>
      </c>
      <c r="D2126" s="2682">
        <v>107.95</v>
      </c>
      <c r="E2126" s="2682">
        <v>36.512</v>
      </c>
      <c r="F2126" s="2682" t="s">
        <v>5922</v>
      </c>
      <c r="G2126" s="2682" t="s">
        <v>5922</v>
      </c>
      <c r="H2126" s="2682" t="s">
        <v>5922</v>
      </c>
      <c r="I2126" s="2682" t="s">
        <v>5922</v>
      </c>
      <c r="J2126" s="2682" t="s">
        <v>5922</v>
      </c>
      <c r="L2126" s="2682" t="s">
        <v>5922</v>
      </c>
    </row>
    <row r="2127" spans="1:12">
      <c r="A2127" s="2683" t="s">
        <v>146</v>
      </c>
      <c r="B2127" s="2683" t="s">
        <v>8267</v>
      </c>
      <c r="C2127" s="2683">
        <v>55</v>
      </c>
      <c r="D2127" s="2683">
        <v>111.125</v>
      </c>
      <c r="E2127" s="2683">
        <v>38.1</v>
      </c>
      <c r="F2127" s="2683" t="s">
        <v>5922</v>
      </c>
      <c r="G2127" s="2683" t="s">
        <v>5922</v>
      </c>
      <c r="H2127" s="2683" t="s">
        <v>5922</v>
      </c>
      <c r="I2127" s="2683" t="s">
        <v>5922</v>
      </c>
      <c r="J2127" s="2683" t="s">
        <v>5922</v>
      </c>
      <c r="K2127" s="2684"/>
      <c r="L2127" s="2683" t="s">
        <v>5922</v>
      </c>
    </row>
    <row r="2128" spans="1:12">
      <c r="A2128" s="2682" t="s">
        <v>146</v>
      </c>
      <c r="B2128" s="2682" t="s">
        <v>8268</v>
      </c>
      <c r="C2128" s="2682">
        <v>53.975000000000001</v>
      </c>
      <c r="D2128" s="2682">
        <v>111.125</v>
      </c>
      <c r="E2128" s="2682">
        <v>38.1</v>
      </c>
      <c r="F2128" s="2682" t="s">
        <v>5922</v>
      </c>
      <c r="G2128" s="2682" t="s">
        <v>5922</v>
      </c>
      <c r="H2128" s="2682" t="s">
        <v>5922</v>
      </c>
      <c r="I2128" s="2682" t="s">
        <v>5922</v>
      </c>
      <c r="J2128" s="2682">
        <v>1.66</v>
      </c>
      <c r="L2128" s="2682" t="s">
        <v>5922</v>
      </c>
    </row>
    <row r="2129" spans="1:12">
      <c r="A2129" s="2683" t="s">
        <v>146</v>
      </c>
      <c r="B2129" s="2683" t="s">
        <v>8269</v>
      </c>
      <c r="C2129" s="2683">
        <v>53.975000000000001</v>
      </c>
      <c r="D2129" s="2683">
        <v>107.95</v>
      </c>
      <c r="E2129" s="2683">
        <v>36.512</v>
      </c>
      <c r="F2129" s="2683" t="s">
        <v>5922</v>
      </c>
      <c r="G2129" s="2683" t="s">
        <v>5922</v>
      </c>
      <c r="H2129" s="2683" t="s">
        <v>5922</v>
      </c>
      <c r="I2129" s="2683" t="s">
        <v>5922</v>
      </c>
      <c r="J2129" s="2683">
        <v>1.4379999999999999</v>
      </c>
      <c r="K2129" s="2684"/>
      <c r="L2129" s="2683" t="s">
        <v>5922</v>
      </c>
    </row>
    <row r="2130" spans="1:12">
      <c r="A2130" s="2682" t="s">
        <v>146</v>
      </c>
      <c r="B2130" s="2682" t="s">
        <v>8270</v>
      </c>
      <c r="C2130" s="2682">
        <v>53.975000000000001</v>
      </c>
      <c r="D2130" s="2682">
        <v>111.125</v>
      </c>
      <c r="E2130" s="2682">
        <v>38.1</v>
      </c>
      <c r="F2130" s="2682" t="s">
        <v>5922</v>
      </c>
      <c r="G2130" s="2682" t="s">
        <v>5922</v>
      </c>
      <c r="H2130" s="2682" t="s">
        <v>5922</v>
      </c>
      <c r="I2130" s="2682" t="s">
        <v>5922</v>
      </c>
      <c r="J2130" s="2682">
        <v>1.58</v>
      </c>
      <c r="L2130" s="2682" t="s">
        <v>5922</v>
      </c>
    </row>
    <row r="2131" spans="1:12">
      <c r="A2131" s="2683" t="s">
        <v>146</v>
      </c>
      <c r="B2131" s="2683" t="s">
        <v>8271</v>
      </c>
      <c r="C2131" s="2683">
        <v>53.975000000000001</v>
      </c>
      <c r="D2131" s="2683">
        <v>107.95</v>
      </c>
      <c r="E2131" s="2683">
        <v>36.512</v>
      </c>
      <c r="F2131" s="2683" t="s">
        <v>5922</v>
      </c>
      <c r="G2131" s="2683" t="s">
        <v>5922</v>
      </c>
      <c r="H2131" s="2683" t="s">
        <v>5922</v>
      </c>
      <c r="I2131" s="2683" t="s">
        <v>5922</v>
      </c>
      <c r="J2131" s="2683">
        <v>1.427</v>
      </c>
      <c r="K2131" s="2684"/>
      <c r="L2131" s="2683" t="s">
        <v>5922</v>
      </c>
    </row>
    <row r="2132" spans="1:12">
      <c r="A2132" s="2682" t="s">
        <v>146</v>
      </c>
      <c r="B2132" s="2682" t="s">
        <v>8272</v>
      </c>
      <c r="C2132" s="2682">
        <v>69.849999999999994</v>
      </c>
      <c r="D2132" s="2682">
        <v>127</v>
      </c>
      <c r="E2132" s="2682">
        <v>36.512</v>
      </c>
      <c r="F2132" s="2682" t="s">
        <v>5922</v>
      </c>
      <c r="G2132" s="2682" t="s">
        <v>5922</v>
      </c>
      <c r="H2132" s="2682" t="s">
        <v>5922</v>
      </c>
      <c r="I2132" s="2682" t="s">
        <v>5922</v>
      </c>
      <c r="J2132" s="2682">
        <v>1.9059999999999999</v>
      </c>
      <c r="L2132" s="2682" t="s">
        <v>5922</v>
      </c>
    </row>
    <row r="2133" spans="1:12">
      <c r="A2133" s="2683" t="s">
        <v>146</v>
      </c>
      <c r="B2133" s="2683" t="s">
        <v>8273</v>
      </c>
      <c r="C2133" s="2683">
        <v>69.849999999999994</v>
      </c>
      <c r="D2133" s="2683">
        <v>127</v>
      </c>
      <c r="E2133" s="2683">
        <v>36.512</v>
      </c>
      <c r="F2133" s="2683" t="s">
        <v>5922</v>
      </c>
      <c r="G2133" s="2683" t="s">
        <v>5922</v>
      </c>
      <c r="H2133" s="2683" t="s">
        <v>5922</v>
      </c>
      <c r="I2133" s="2683" t="s">
        <v>5922</v>
      </c>
      <c r="J2133" s="2683">
        <v>1.9059999999999999</v>
      </c>
      <c r="K2133" s="2684"/>
      <c r="L2133" s="2683" t="s">
        <v>5922</v>
      </c>
    </row>
    <row r="2134" spans="1:12">
      <c r="A2134" s="2682" t="s">
        <v>146</v>
      </c>
      <c r="B2134" s="2682" t="s">
        <v>8274</v>
      </c>
      <c r="C2134" s="2682">
        <v>70</v>
      </c>
      <c r="D2134" s="2682">
        <v>130</v>
      </c>
      <c r="E2134" s="2682">
        <v>36.936999999999998</v>
      </c>
      <c r="F2134" s="2682" t="s">
        <v>5922</v>
      </c>
      <c r="G2134" s="2682" t="s">
        <v>5922</v>
      </c>
      <c r="H2134" s="2682" t="s">
        <v>5922</v>
      </c>
      <c r="I2134" s="2682" t="s">
        <v>5922</v>
      </c>
      <c r="J2134" s="2682">
        <v>2.0529999999999999</v>
      </c>
      <c r="L2134" s="2682" t="s">
        <v>5922</v>
      </c>
    </row>
    <row r="2135" spans="1:12">
      <c r="A2135" s="2683" t="s">
        <v>146</v>
      </c>
      <c r="B2135" s="2683" t="s">
        <v>8275</v>
      </c>
      <c r="C2135" s="2683">
        <v>71.438000000000002</v>
      </c>
      <c r="D2135" s="2683">
        <v>130.048</v>
      </c>
      <c r="E2135" s="2683">
        <v>36.512</v>
      </c>
      <c r="F2135" s="2683" t="s">
        <v>5922</v>
      </c>
      <c r="G2135" s="2683" t="s">
        <v>5922</v>
      </c>
      <c r="H2135" s="2683" t="s">
        <v>5922</v>
      </c>
      <c r="I2135" s="2683" t="s">
        <v>5922</v>
      </c>
      <c r="J2135" s="2683" t="s">
        <v>5922</v>
      </c>
      <c r="K2135" s="2684"/>
      <c r="L2135" s="2683" t="s">
        <v>5922</v>
      </c>
    </row>
    <row r="2136" spans="1:12">
      <c r="A2136" s="2682" t="s">
        <v>146</v>
      </c>
      <c r="B2136" s="2682" t="s">
        <v>8276</v>
      </c>
      <c r="C2136" s="2682">
        <v>73.025000000000006</v>
      </c>
      <c r="D2136" s="2682">
        <v>130.048</v>
      </c>
      <c r="E2136" s="2682">
        <v>36.512</v>
      </c>
      <c r="F2136" s="2682" t="s">
        <v>5922</v>
      </c>
      <c r="G2136" s="2682" t="s">
        <v>5922</v>
      </c>
      <c r="H2136" s="2682" t="s">
        <v>5922</v>
      </c>
      <c r="I2136" s="2682" t="s">
        <v>5922</v>
      </c>
      <c r="J2136" s="2682" t="s">
        <v>5922</v>
      </c>
      <c r="L2136" s="2682" t="s">
        <v>5922</v>
      </c>
    </row>
    <row r="2137" spans="1:12">
      <c r="A2137" s="2683" t="s">
        <v>146</v>
      </c>
      <c r="B2137" s="2683" t="s">
        <v>8277</v>
      </c>
      <c r="C2137" s="2683">
        <v>71.438000000000002</v>
      </c>
      <c r="D2137" s="2683">
        <v>127</v>
      </c>
      <c r="E2137" s="2683">
        <v>36.512</v>
      </c>
      <c r="F2137" s="2683" t="s">
        <v>5922</v>
      </c>
      <c r="G2137" s="2683" t="s">
        <v>5922</v>
      </c>
      <c r="H2137" s="2683" t="s">
        <v>5922</v>
      </c>
      <c r="I2137" s="2683" t="s">
        <v>5922</v>
      </c>
      <c r="J2137" s="2683">
        <v>1.871</v>
      </c>
      <c r="K2137" s="2684"/>
      <c r="L2137" s="2683" t="s">
        <v>5922</v>
      </c>
    </row>
    <row r="2138" spans="1:12">
      <c r="A2138" s="2682" t="s">
        <v>146</v>
      </c>
      <c r="B2138" s="2682" t="s">
        <v>8278</v>
      </c>
      <c r="C2138" s="2682">
        <v>64.962999999999994</v>
      </c>
      <c r="D2138" s="2682">
        <v>130</v>
      </c>
      <c r="E2138" s="2682">
        <v>36.936999999999998</v>
      </c>
      <c r="F2138" s="2682" t="s">
        <v>5922</v>
      </c>
      <c r="G2138" s="2682" t="s">
        <v>5922</v>
      </c>
      <c r="H2138" s="2682" t="s">
        <v>5922</v>
      </c>
      <c r="I2138" s="2682" t="s">
        <v>5922</v>
      </c>
      <c r="J2138" s="2682">
        <v>2.2029999999999998</v>
      </c>
      <c r="L2138" s="2682" t="s">
        <v>5922</v>
      </c>
    </row>
    <row r="2139" spans="1:12">
      <c r="A2139" s="2683" t="s">
        <v>146</v>
      </c>
      <c r="B2139" s="2683" t="s">
        <v>8279</v>
      </c>
      <c r="C2139" s="2683">
        <v>64.962999999999994</v>
      </c>
      <c r="D2139" s="2683">
        <v>130.048</v>
      </c>
      <c r="E2139" s="2683">
        <v>36.512</v>
      </c>
      <c r="F2139" s="2683" t="s">
        <v>5922</v>
      </c>
      <c r="G2139" s="2683" t="s">
        <v>5922</v>
      </c>
      <c r="H2139" s="2683" t="s">
        <v>5922</v>
      </c>
      <c r="I2139" s="2683" t="s">
        <v>5922</v>
      </c>
      <c r="J2139" s="2683" t="s">
        <v>5922</v>
      </c>
      <c r="K2139" s="2684"/>
      <c r="L2139" s="2683" t="s">
        <v>5922</v>
      </c>
    </row>
    <row r="2140" spans="1:12">
      <c r="A2140" s="2682" t="s">
        <v>146</v>
      </c>
      <c r="B2140" s="2682" t="s">
        <v>8280</v>
      </c>
      <c r="C2140" s="2682">
        <v>70</v>
      </c>
      <c r="D2140" s="2682">
        <v>130</v>
      </c>
      <c r="E2140" s="2682">
        <v>37</v>
      </c>
      <c r="F2140" s="2682" t="s">
        <v>5922</v>
      </c>
      <c r="G2140" s="2682" t="s">
        <v>5922</v>
      </c>
      <c r="H2140" s="2682" t="s">
        <v>5922</v>
      </c>
      <c r="I2140" s="2682" t="s">
        <v>5922</v>
      </c>
      <c r="J2140" s="2682">
        <v>2.0499999999999998</v>
      </c>
      <c r="L2140" s="2682" t="s">
        <v>5922</v>
      </c>
    </row>
    <row r="2141" spans="1:12">
      <c r="A2141" s="2683" t="s">
        <v>146</v>
      </c>
      <c r="B2141" s="2683" t="s">
        <v>8281</v>
      </c>
      <c r="C2141" s="2683">
        <v>68.262</v>
      </c>
      <c r="D2141" s="2683">
        <v>130.048</v>
      </c>
      <c r="E2141" s="2683">
        <v>36.512</v>
      </c>
      <c r="F2141" s="2683" t="s">
        <v>5922</v>
      </c>
      <c r="G2141" s="2683" t="s">
        <v>5922</v>
      </c>
      <c r="H2141" s="2683" t="s">
        <v>5922</v>
      </c>
      <c r="I2141" s="2683" t="s">
        <v>5922</v>
      </c>
      <c r="J2141" s="2683" t="s">
        <v>5922</v>
      </c>
      <c r="K2141" s="2684"/>
      <c r="L2141" s="2683" t="s">
        <v>5922</v>
      </c>
    </row>
    <row r="2142" spans="1:12">
      <c r="A2142" s="2682" t="s">
        <v>146</v>
      </c>
      <c r="B2142" s="2682" t="s">
        <v>8282</v>
      </c>
      <c r="C2142" s="2682">
        <v>76.2</v>
      </c>
      <c r="D2142" s="2682">
        <v>139.99199999999999</v>
      </c>
      <c r="E2142" s="2682">
        <v>36.512999999999998</v>
      </c>
      <c r="F2142" s="2682" t="s">
        <v>5922</v>
      </c>
      <c r="G2142" s="2682" t="s">
        <v>5922</v>
      </c>
      <c r="H2142" s="2682" t="s">
        <v>5922</v>
      </c>
      <c r="I2142" s="2682" t="s">
        <v>5922</v>
      </c>
      <c r="J2142" s="2682">
        <v>2.391</v>
      </c>
      <c r="L2142" s="2682" t="s">
        <v>5922</v>
      </c>
    </row>
    <row r="2143" spans="1:12">
      <c r="A2143" s="2683" t="s">
        <v>146</v>
      </c>
      <c r="B2143" s="2683" t="s">
        <v>8283</v>
      </c>
      <c r="C2143" s="2683">
        <v>82.55</v>
      </c>
      <c r="D2143" s="2683">
        <v>139.99199999999999</v>
      </c>
      <c r="E2143" s="2683">
        <v>36.512999999999998</v>
      </c>
      <c r="F2143" s="2683" t="s">
        <v>5922</v>
      </c>
      <c r="G2143" s="2683" t="s">
        <v>5922</v>
      </c>
      <c r="H2143" s="2683" t="s">
        <v>5922</v>
      </c>
      <c r="I2143" s="2683" t="s">
        <v>5922</v>
      </c>
      <c r="J2143" s="2683">
        <v>2.145</v>
      </c>
      <c r="K2143" s="2684"/>
      <c r="L2143" s="2683" t="s">
        <v>5922</v>
      </c>
    </row>
    <row r="2144" spans="1:12">
      <c r="A2144" s="2682" t="s">
        <v>146</v>
      </c>
      <c r="B2144" s="2682" t="s">
        <v>8284</v>
      </c>
      <c r="C2144" s="2682">
        <v>95.25</v>
      </c>
      <c r="D2144" s="2682">
        <v>150</v>
      </c>
      <c r="E2144" s="2682">
        <v>35.991999999999997</v>
      </c>
      <c r="F2144" s="2682" t="s">
        <v>5922</v>
      </c>
      <c r="G2144" s="2682" t="s">
        <v>5922</v>
      </c>
      <c r="H2144" s="2682" t="s">
        <v>5922</v>
      </c>
      <c r="I2144" s="2682" t="s">
        <v>5922</v>
      </c>
      <c r="J2144" s="2682">
        <v>2.206</v>
      </c>
      <c r="L2144" s="2682" t="s">
        <v>5922</v>
      </c>
    </row>
    <row r="2145" spans="1:12">
      <c r="A2145" s="2683" t="s">
        <v>146</v>
      </c>
      <c r="B2145" s="2683" t="s">
        <v>8285</v>
      </c>
      <c r="C2145" s="2683">
        <v>93.662000000000006</v>
      </c>
      <c r="D2145" s="2683">
        <v>150</v>
      </c>
      <c r="E2145" s="2683">
        <v>35.991999999999997</v>
      </c>
      <c r="F2145" s="2683" t="s">
        <v>5922</v>
      </c>
      <c r="G2145" s="2683" t="s">
        <v>5922</v>
      </c>
      <c r="H2145" s="2683" t="s">
        <v>5922</v>
      </c>
      <c r="I2145" s="2683" t="s">
        <v>5922</v>
      </c>
      <c r="J2145" s="2683">
        <v>2.35</v>
      </c>
      <c r="K2145" s="2684"/>
      <c r="L2145" s="2683" t="s">
        <v>5922</v>
      </c>
    </row>
    <row r="2146" spans="1:12">
      <c r="A2146" s="2682" t="s">
        <v>146</v>
      </c>
      <c r="B2146" s="2682" t="s">
        <v>8286</v>
      </c>
      <c r="C2146" s="2682">
        <v>93.662000000000006</v>
      </c>
      <c r="D2146" s="2682">
        <v>152.4</v>
      </c>
      <c r="E2146" s="2682">
        <v>39.688000000000002</v>
      </c>
      <c r="F2146" s="2682" t="s">
        <v>5922</v>
      </c>
      <c r="G2146" s="2682" t="s">
        <v>5922</v>
      </c>
      <c r="H2146" s="2682" t="s">
        <v>5922</v>
      </c>
      <c r="I2146" s="2682" t="s">
        <v>5922</v>
      </c>
      <c r="J2146" s="2682" t="s">
        <v>5922</v>
      </c>
      <c r="L2146" s="2682" t="s">
        <v>5922</v>
      </c>
    </row>
    <row r="2147" spans="1:12">
      <c r="A2147" s="2683" t="s">
        <v>146</v>
      </c>
      <c r="B2147" s="2683" t="s">
        <v>8287</v>
      </c>
      <c r="C2147" s="2683">
        <v>44.45</v>
      </c>
      <c r="D2147" s="2683">
        <v>65</v>
      </c>
      <c r="E2147" s="2683">
        <v>41.274999999999999</v>
      </c>
      <c r="F2147" s="2683" t="s">
        <v>5922</v>
      </c>
      <c r="G2147" s="2683" t="s">
        <v>5922</v>
      </c>
      <c r="H2147" s="2683" t="s">
        <v>5922</v>
      </c>
      <c r="I2147" s="2683" t="s">
        <v>5922</v>
      </c>
      <c r="J2147" s="2683">
        <v>2.46</v>
      </c>
      <c r="K2147" s="2684"/>
      <c r="L2147" s="2683" t="s">
        <v>5922</v>
      </c>
    </row>
    <row r="2148" spans="1:12">
      <c r="A2148" s="2682" t="s">
        <v>146</v>
      </c>
      <c r="B2148" s="2682" t="s">
        <v>8288</v>
      </c>
      <c r="C2148" s="2682">
        <v>55.000999999999998</v>
      </c>
      <c r="D2148" s="2682">
        <v>120</v>
      </c>
      <c r="E2148" s="2682">
        <v>40.023000000000003</v>
      </c>
      <c r="F2148" s="2682" t="s">
        <v>5922</v>
      </c>
      <c r="G2148" s="2682" t="s">
        <v>5922</v>
      </c>
      <c r="H2148" s="2682" t="s">
        <v>5922</v>
      </c>
      <c r="I2148" s="2682" t="s">
        <v>5922</v>
      </c>
      <c r="J2148" s="2682">
        <v>2.1</v>
      </c>
      <c r="L2148" s="2682" t="s">
        <v>5922</v>
      </c>
    </row>
    <row r="2149" spans="1:12">
      <c r="A2149" s="2683" t="s">
        <v>146</v>
      </c>
      <c r="B2149" s="2683" t="s">
        <v>8289</v>
      </c>
      <c r="C2149" s="2683">
        <v>55.000999999999998</v>
      </c>
      <c r="D2149" s="2683">
        <v>115</v>
      </c>
      <c r="E2149" s="2683">
        <v>41.021000000000001</v>
      </c>
      <c r="F2149" s="2683" t="s">
        <v>5922</v>
      </c>
      <c r="G2149" s="2683" t="s">
        <v>5922</v>
      </c>
      <c r="H2149" s="2683" t="s">
        <v>5922</v>
      </c>
      <c r="I2149" s="2683" t="s">
        <v>5922</v>
      </c>
      <c r="J2149" s="2683" t="s">
        <v>5922</v>
      </c>
      <c r="K2149" s="2684"/>
      <c r="L2149" s="2683" t="s">
        <v>5922</v>
      </c>
    </row>
    <row r="2150" spans="1:12">
      <c r="A2150" s="2682" t="s">
        <v>146</v>
      </c>
      <c r="B2150" s="2682" t="s">
        <v>8290</v>
      </c>
      <c r="C2150" s="2682">
        <v>63.5</v>
      </c>
      <c r="D2150" s="2682">
        <v>136.52500000000001</v>
      </c>
      <c r="E2150" s="2682">
        <v>41.274999999999999</v>
      </c>
      <c r="F2150" s="2682" t="s">
        <v>5922</v>
      </c>
      <c r="G2150" s="2682" t="s">
        <v>5922</v>
      </c>
      <c r="H2150" s="2682" t="s">
        <v>5922</v>
      </c>
      <c r="I2150" s="2682" t="s">
        <v>5922</v>
      </c>
      <c r="J2150" s="2682" t="s">
        <v>5922</v>
      </c>
      <c r="L2150" s="2682" t="s">
        <v>5922</v>
      </c>
    </row>
    <row r="2151" spans="1:12">
      <c r="A2151" s="2683" t="s">
        <v>146</v>
      </c>
      <c r="B2151" s="2683" t="s">
        <v>8291</v>
      </c>
      <c r="C2151" s="2683">
        <v>71.438000000000002</v>
      </c>
      <c r="D2151" s="2683">
        <v>136.52500000000001</v>
      </c>
      <c r="E2151" s="2683">
        <v>41.274999999999999</v>
      </c>
      <c r="F2151" s="2683" t="s">
        <v>5922</v>
      </c>
      <c r="G2151" s="2683" t="s">
        <v>5922</v>
      </c>
      <c r="H2151" s="2683" t="s">
        <v>5922</v>
      </c>
      <c r="I2151" s="2683" t="s">
        <v>5922</v>
      </c>
      <c r="J2151" s="2683">
        <v>4.79</v>
      </c>
      <c r="K2151" s="2684"/>
      <c r="L2151" s="2683" t="s">
        <v>5922</v>
      </c>
    </row>
    <row r="2152" spans="1:12">
      <c r="A2152" s="2682" t="s">
        <v>146</v>
      </c>
      <c r="B2152" s="2682" t="s">
        <v>8292</v>
      </c>
      <c r="C2152" s="2682">
        <v>71.438000000000002</v>
      </c>
      <c r="D2152" s="2682">
        <v>136.52500000000001</v>
      </c>
      <c r="E2152" s="2682">
        <v>41.274999999999999</v>
      </c>
      <c r="F2152" s="2682" t="s">
        <v>5922</v>
      </c>
      <c r="G2152" s="2682" t="s">
        <v>5922</v>
      </c>
      <c r="H2152" s="2682" t="s">
        <v>5922</v>
      </c>
      <c r="I2152" s="2682" t="s">
        <v>5922</v>
      </c>
      <c r="J2152" s="2682">
        <v>2.44</v>
      </c>
      <c r="L2152" s="2682" t="s">
        <v>5922</v>
      </c>
    </row>
    <row r="2153" spans="1:12">
      <c r="A2153" s="2683" t="s">
        <v>146</v>
      </c>
      <c r="B2153" s="2683" t="s">
        <v>8293</v>
      </c>
      <c r="C2153" s="2683">
        <v>88.9</v>
      </c>
      <c r="D2153" s="2683">
        <v>161.92500000000001</v>
      </c>
      <c r="E2153" s="2683">
        <v>47.625</v>
      </c>
      <c r="F2153" s="2683" t="s">
        <v>5922</v>
      </c>
      <c r="G2153" s="2683" t="s">
        <v>5922</v>
      </c>
      <c r="H2153" s="2683" t="s">
        <v>5922</v>
      </c>
      <c r="I2153" s="2683" t="s">
        <v>5922</v>
      </c>
      <c r="J2153" s="2683" t="s">
        <v>5922</v>
      </c>
      <c r="K2153" s="2684"/>
      <c r="L2153" s="2683" t="s">
        <v>5922</v>
      </c>
    </row>
    <row r="2154" spans="1:12">
      <c r="A2154" s="2682" t="s">
        <v>146</v>
      </c>
      <c r="B2154" s="2682" t="s">
        <v>8294</v>
      </c>
      <c r="C2154" s="2682">
        <v>22.225000000000001</v>
      </c>
      <c r="D2154" s="2682">
        <v>56.896000000000001</v>
      </c>
      <c r="E2154" s="2682">
        <v>19.367999999999999</v>
      </c>
      <c r="F2154" s="2682" t="s">
        <v>5922</v>
      </c>
      <c r="G2154" s="2682" t="s">
        <v>5922</v>
      </c>
      <c r="H2154" s="2682" t="s">
        <v>5922</v>
      </c>
      <c r="I2154" s="2682" t="s">
        <v>5922</v>
      </c>
      <c r="J2154" s="2682">
        <v>0.247</v>
      </c>
      <c r="L2154" s="2682" t="s">
        <v>5922</v>
      </c>
    </row>
    <row r="2155" spans="1:12">
      <c r="A2155" s="2683" t="s">
        <v>146</v>
      </c>
      <c r="B2155" s="2683" t="s">
        <v>8295</v>
      </c>
      <c r="C2155" s="2683">
        <v>23.812999999999999</v>
      </c>
      <c r="D2155" s="2683">
        <v>56.896000000000001</v>
      </c>
      <c r="E2155" s="2683">
        <v>19.367999999999999</v>
      </c>
      <c r="F2155" s="2683" t="s">
        <v>5922</v>
      </c>
      <c r="G2155" s="2683" t="s">
        <v>5922</v>
      </c>
      <c r="H2155" s="2683" t="s">
        <v>5922</v>
      </c>
      <c r="I2155" s="2683" t="s">
        <v>5922</v>
      </c>
      <c r="J2155" s="2683">
        <v>0.23499999999999999</v>
      </c>
      <c r="K2155" s="2684"/>
      <c r="L2155" s="2683" t="s">
        <v>5922</v>
      </c>
    </row>
    <row r="2156" spans="1:12">
      <c r="A2156" s="2682" t="s">
        <v>146</v>
      </c>
      <c r="B2156" s="2682" t="s">
        <v>8296</v>
      </c>
      <c r="C2156" s="2682">
        <v>23.812999999999999</v>
      </c>
      <c r="D2156" s="2682">
        <v>56.896000000000001</v>
      </c>
      <c r="E2156" s="2682">
        <v>19.367999999999999</v>
      </c>
      <c r="F2156" s="2682" t="s">
        <v>5922</v>
      </c>
      <c r="G2156" s="2682" t="s">
        <v>5922</v>
      </c>
      <c r="H2156" s="2682" t="s">
        <v>5922</v>
      </c>
      <c r="I2156" s="2682" t="s">
        <v>5922</v>
      </c>
      <c r="J2156" s="2682" t="s">
        <v>5922</v>
      </c>
      <c r="L2156" s="2682" t="s">
        <v>5922</v>
      </c>
    </row>
    <row r="2157" spans="1:12">
      <c r="A2157" s="2683" t="s">
        <v>146</v>
      </c>
      <c r="B2157" s="2683" t="s">
        <v>8297</v>
      </c>
      <c r="C2157" s="2683">
        <v>25.4</v>
      </c>
      <c r="D2157" s="2683">
        <v>58.738</v>
      </c>
      <c r="E2157" s="2683">
        <v>19.05</v>
      </c>
      <c r="F2157" s="2683" t="s">
        <v>5922</v>
      </c>
      <c r="G2157" s="2683" t="s">
        <v>5922</v>
      </c>
      <c r="H2157" s="2683" t="s">
        <v>5922</v>
      </c>
      <c r="I2157" s="2683" t="s">
        <v>5922</v>
      </c>
      <c r="J2157" s="2683" t="s">
        <v>5922</v>
      </c>
      <c r="K2157" s="2684"/>
      <c r="L2157" s="2683" t="s">
        <v>5922</v>
      </c>
    </row>
    <row r="2158" spans="1:12">
      <c r="A2158" s="2682" t="s">
        <v>146</v>
      </c>
      <c r="B2158" s="2682" t="s">
        <v>8298</v>
      </c>
      <c r="C2158" s="2682">
        <v>28.574999999999999</v>
      </c>
      <c r="D2158" s="2682">
        <v>57.15</v>
      </c>
      <c r="E2158" s="2682">
        <v>19.844999999999999</v>
      </c>
      <c r="F2158" s="2682" t="s">
        <v>5922</v>
      </c>
      <c r="G2158" s="2682" t="s">
        <v>5922</v>
      </c>
      <c r="H2158" s="2682" t="s">
        <v>5922</v>
      </c>
      <c r="I2158" s="2682" t="s">
        <v>5922</v>
      </c>
      <c r="J2158" s="2682">
        <v>0.214</v>
      </c>
      <c r="L2158" s="2682" t="s">
        <v>5922</v>
      </c>
    </row>
    <row r="2159" spans="1:12">
      <c r="A2159" s="2683" t="s">
        <v>146</v>
      </c>
      <c r="B2159" s="2683" t="s">
        <v>8299</v>
      </c>
      <c r="C2159" s="2683">
        <v>38.1</v>
      </c>
      <c r="D2159" s="2683">
        <v>76.2</v>
      </c>
      <c r="E2159" s="2683">
        <v>23.812000000000001</v>
      </c>
      <c r="F2159" s="2683" t="s">
        <v>5922</v>
      </c>
      <c r="G2159" s="2683" t="s">
        <v>5922</v>
      </c>
      <c r="H2159" s="2683" t="s">
        <v>5922</v>
      </c>
      <c r="I2159" s="2683" t="s">
        <v>5922</v>
      </c>
      <c r="J2159" s="2683">
        <v>0.503</v>
      </c>
      <c r="K2159" s="2684"/>
      <c r="L2159" s="2683" t="s">
        <v>5922</v>
      </c>
    </row>
    <row r="2160" spans="1:12">
      <c r="A2160" s="2682" t="s">
        <v>146</v>
      </c>
      <c r="B2160" s="2682" t="s">
        <v>8300</v>
      </c>
      <c r="C2160" s="2682">
        <v>46.037999999999997</v>
      </c>
      <c r="D2160" s="2682">
        <v>85.001000000000005</v>
      </c>
      <c r="E2160" s="2682">
        <v>25.4</v>
      </c>
      <c r="F2160" s="2682" t="s">
        <v>5922</v>
      </c>
      <c r="G2160" s="2682" t="s">
        <v>5922</v>
      </c>
      <c r="H2160" s="2682" t="s">
        <v>5922</v>
      </c>
      <c r="I2160" s="2682" t="s">
        <v>5922</v>
      </c>
      <c r="J2160" s="2682">
        <v>0.59</v>
      </c>
      <c r="L2160" s="2682" t="s">
        <v>5922</v>
      </c>
    </row>
    <row r="2161" spans="1:12">
      <c r="A2161" s="2683" t="s">
        <v>146</v>
      </c>
      <c r="B2161" s="2683" t="s">
        <v>8301</v>
      </c>
      <c r="C2161" s="2683">
        <v>46.037999999999997</v>
      </c>
      <c r="D2161" s="2683">
        <v>85.001000000000005</v>
      </c>
      <c r="E2161" s="2683">
        <v>25.4</v>
      </c>
      <c r="F2161" s="2683" t="s">
        <v>5922</v>
      </c>
      <c r="G2161" s="2683" t="s">
        <v>5922</v>
      </c>
      <c r="H2161" s="2683" t="s">
        <v>5922</v>
      </c>
      <c r="I2161" s="2683" t="s">
        <v>5922</v>
      </c>
      <c r="J2161" s="2683">
        <v>0.59</v>
      </c>
      <c r="K2161" s="2684"/>
      <c r="L2161" s="2683" t="s">
        <v>5922</v>
      </c>
    </row>
    <row r="2162" spans="1:12">
      <c r="A2162" s="2682" t="s">
        <v>146</v>
      </c>
      <c r="B2162" s="2682" t="s">
        <v>8302</v>
      </c>
      <c r="C2162" s="2682">
        <v>66.674999999999997</v>
      </c>
      <c r="D2162" s="2682">
        <v>12.712</v>
      </c>
      <c r="E2162" s="2682">
        <v>30.161999999999999</v>
      </c>
      <c r="F2162" s="2682" t="s">
        <v>5922</v>
      </c>
      <c r="G2162" s="2682" t="s">
        <v>5922</v>
      </c>
      <c r="H2162" s="2682" t="s">
        <v>5922</v>
      </c>
      <c r="I2162" s="2682" t="s">
        <v>5922</v>
      </c>
      <c r="J2162" s="2682" t="s">
        <v>5922</v>
      </c>
      <c r="L2162" s="2682" t="s">
        <v>5922</v>
      </c>
    </row>
    <row r="2163" spans="1:12">
      <c r="A2163" s="2683" t="s">
        <v>146</v>
      </c>
      <c r="B2163" s="2683" t="s">
        <v>8303</v>
      </c>
      <c r="C2163" s="2683">
        <v>66.674999999999997</v>
      </c>
      <c r="D2163" s="2683">
        <v>112.712</v>
      </c>
      <c r="E2163" s="2683">
        <v>33.338000000000001</v>
      </c>
      <c r="F2163" s="2683" t="s">
        <v>5922</v>
      </c>
      <c r="G2163" s="2683" t="s">
        <v>5922</v>
      </c>
      <c r="H2163" s="2683" t="s">
        <v>5922</v>
      </c>
      <c r="I2163" s="2683" t="s">
        <v>5922</v>
      </c>
      <c r="J2163" s="2683" t="s">
        <v>5922</v>
      </c>
      <c r="K2163" s="2684"/>
      <c r="L2163" s="2683" t="s">
        <v>5922</v>
      </c>
    </row>
    <row r="2164" spans="1:12">
      <c r="A2164" s="2682" t="s">
        <v>146</v>
      </c>
      <c r="B2164" s="2682" t="s">
        <v>8304</v>
      </c>
      <c r="C2164" s="2682">
        <v>68.263000000000005</v>
      </c>
      <c r="D2164" s="2682">
        <v>120.251</v>
      </c>
      <c r="E2164" s="2682">
        <v>52.387999999999998</v>
      </c>
      <c r="F2164" s="2682" t="s">
        <v>5922</v>
      </c>
      <c r="G2164" s="2682" t="s">
        <v>5922</v>
      </c>
      <c r="H2164" s="2682" t="s">
        <v>5922</v>
      </c>
      <c r="I2164" s="2682" t="s">
        <v>5922</v>
      </c>
      <c r="J2164" s="2682">
        <v>1.218</v>
      </c>
      <c r="L2164" s="2682" t="s">
        <v>5922</v>
      </c>
    </row>
    <row r="2165" spans="1:12">
      <c r="A2165" s="2683" t="s">
        <v>146</v>
      </c>
      <c r="B2165" s="2683" t="s">
        <v>8305</v>
      </c>
      <c r="C2165" s="2683">
        <v>234.92</v>
      </c>
      <c r="D2165" s="2683">
        <v>327.02499999999998</v>
      </c>
      <c r="E2165" s="2683">
        <v>114.3</v>
      </c>
      <c r="F2165" s="2683" t="s">
        <v>5922</v>
      </c>
      <c r="G2165" s="2683" t="s">
        <v>5922</v>
      </c>
      <c r="H2165" s="2683" t="s">
        <v>5922</v>
      </c>
      <c r="I2165" s="2683" t="s">
        <v>5922</v>
      </c>
      <c r="J2165" s="2683">
        <v>26.7</v>
      </c>
      <c r="K2165" s="2684"/>
      <c r="L2165" s="2683" t="s">
        <v>5922</v>
      </c>
    </row>
    <row r="2166" spans="1:12">
      <c r="A2166" s="2682" t="s">
        <v>146</v>
      </c>
      <c r="B2166" s="2682" t="s">
        <v>8306</v>
      </c>
      <c r="C2166" s="2682">
        <v>25.4</v>
      </c>
      <c r="D2166" s="2682">
        <v>66.986999999999995</v>
      </c>
      <c r="E2166" s="2682">
        <v>20.5</v>
      </c>
      <c r="F2166" s="2682" t="s">
        <v>5922</v>
      </c>
      <c r="G2166" s="2682" t="s">
        <v>5922</v>
      </c>
      <c r="H2166" s="2682" t="s">
        <v>5922</v>
      </c>
      <c r="I2166" s="2682" t="s">
        <v>5922</v>
      </c>
      <c r="J2166" s="2682" t="s">
        <v>5922</v>
      </c>
      <c r="L2166" s="2682" t="s">
        <v>5922</v>
      </c>
    </row>
    <row r="2167" spans="1:12">
      <c r="A2167" s="2683" t="s">
        <v>146</v>
      </c>
      <c r="B2167" s="2683" t="s">
        <v>8307</v>
      </c>
      <c r="C2167" s="2683">
        <v>28.574999999999999</v>
      </c>
      <c r="D2167" s="2683">
        <v>73.025000000000006</v>
      </c>
      <c r="E2167" s="2683">
        <v>22.225000000000001</v>
      </c>
      <c r="F2167" s="2683" t="s">
        <v>5922</v>
      </c>
      <c r="G2167" s="2683" t="s">
        <v>5922</v>
      </c>
      <c r="H2167" s="2683" t="s">
        <v>5922</v>
      </c>
      <c r="I2167" s="2683" t="s">
        <v>5922</v>
      </c>
      <c r="J2167" s="2683">
        <v>0.48399999999999999</v>
      </c>
      <c r="K2167" s="2684"/>
      <c r="L2167" s="2683" t="s">
        <v>5922</v>
      </c>
    </row>
    <row r="2168" spans="1:12">
      <c r="A2168" s="2682" t="s">
        <v>146</v>
      </c>
      <c r="B2168" s="2682" t="s">
        <v>8308</v>
      </c>
      <c r="C2168" s="2682">
        <v>25.4</v>
      </c>
      <c r="D2168" s="2682">
        <v>50.8</v>
      </c>
      <c r="E2168" s="2682">
        <v>30.079000000000001</v>
      </c>
      <c r="F2168" s="2682" t="s">
        <v>5922</v>
      </c>
      <c r="G2168" s="2682" t="s">
        <v>5922</v>
      </c>
      <c r="H2168" s="2682" t="s">
        <v>5922</v>
      </c>
      <c r="I2168" s="2682" t="s">
        <v>5922</v>
      </c>
      <c r="J2168" s="2682" t="s">
        <v>5922</v>
      </c>
      <c r="L2168" s="2682" t="s">
        <v>5922</v>
      </c>
    </row>
    <row r="2169" spans="1:12">
      <c r="A2169" s="2683" t="s">
        <v>146</v>
      </c>
      <c r="B2169" s="2683" t="s">
        <v>8309</v>
      </c>
      <c r="C2169" s="2683">
        <v>22.225000000000001</v>
      </c>
      <c r="D2169" s="2683">
        <v>50.8</v>
      </c>
      <c r="E2169" s="2683">
        <v>30.079000000000001</v>
      </c>
      <c r="F2169" s="2683" t="s">
        <v>5922</v>
      </c>
      <c r="G2169" s="2683" t="s">
        <v>5922</v>
      </c>
      <c r="H2169" s="2683" t="s">
        <v>5922</v>
      </c>
      <c r="I2169" s="2683" t="s">
        <v>5922</v>
      </c>
      <c r="J2169" s="2683" t="s">
        <v>5922</v>
      </c>
      <c r="K2169" s="2684"/>
      <c r="L2169" s="2683" t="s">
        <v>5922</v>
      </c>
    </row>
    <row r="2170" spans="1:12">
      <c r="A2170" s="2682" t="s">
        <v>146</v>
      </c>
      <c r="B2170" s="2682" t="s">
        <v>8310</v>
      </c>
      <c r="C2170" s="2682">
        <v>19.05</v>
      </c>
      <c r="D2170" s="2682">
        <v>49.225000000000001</v>
      </c>
      <c r="E2170" s="2682">
        <v>19.844999999999999</v>
      </c>
      <c r="F2170" s="2682" t="s">
        <v>5922</v>
      </c>
      <c r="G2170" s="2682" t="s">
        <v>5922</v>
      </c>
      <c r="H2170" s="2682" t="s">
        <v>5922</v>
      </c>
      <c r="I2170" s="2682" t="s">
        <v>5922</v>
      </c>
      <c r="J2170" s="2682">
        <v>0.17699999999999999</v>
      </c>
      <c r="L2170" s="2682" t="s">
        <v>5922</v>
      </c>
    </row>
    <row r="2171" spans="1:12">
      <c r="A2171" s="2683" t="s">
        <v>146</v>
      </c>
      <c r="B2171" s="2683" t="s">
        <v>8311</v>
      </c>
      <c r="C2171" s="2683">
        <v>19</v>
      </c>
      <c r="D2171" s="2683">
        <v>49.225000000000001</v>
      </c>
      <c r="E2171" s="2683">
        <v>23.812000000000001</v>
      </c>
      <c r="F2171" s="2683" t="s">
        <v>5922</v>
      </c>
      <c r="G2171" s="2683" t="s">
        <v>5922</v>
      </c>
      <c r="H2171" s="2683" t="s">
        <v>5922</v>
      </c>
      <c r="I2171" s="2683" t="s">
        <v>5922</v>
      </c>
      <c r="J2171" s="2683" t="s">
        <v>5922</v>
      </c>
      <c r="K2171" s="2684"/>
      <c r="L2171" s="2683" t="s">
        <v>5922</v>
      </c>
    </row>
    <row r="2172" spans="1:12">
      <c r="A2172" s="2682" t="s">
        <v>146</v>
      </c>
      <c r="B2172" s="2682" t="s">
        <v>8312</v>
      </c>
      <c r="C2172" s="2682">
        <v>23.812999999999999</v>
      </c>
      <c r="D2172" s="2682">
        <v>590.53</v>
      </c>
      <c r="E2172" s="2682">
        <v>20.32</v>
      </c>
      <c r="F2172" s="2682" t="s">
        <v>5922</v>
      </c>
      <c r="G2172" s="2682" t="s">
        <v>5922</v>
      </c>
      <c r="H2172" s="2682" t="s">
        <v>5922</v>
      </c>
      <c r="I2172" s="2682" t="s">
        <v>5922</v>
      </c>
      <c r="J2172" s="2682">
        <v>0.255</v>
      </c>
      <c r="L2172" s="2682" t="s">
        <v>5922</v>
      </c>
    </row>
    <row r="2173" spans="1:12">
      <c r="A2173" s="2683" t="s">
        <v>146</v>
      </c>
      <c r="B2173" s="2683" t="s">
        <v>8313</v>
      </c>
      <c r="C2173" s="2683">
        <v>39.688000000000002</v>
      </c>
      <c r="D2173" s="2683">
        <v>79.375</v>
      </c>
      <c r="E2173" s="2683">
        <v>31.242000000000001</v>
      </c>
      <c r="F2173" s="2683" t="s">
        <v>5922</v>
      </c>
      <c r="G2173" s="2683" t="s">
        <v>5922</v>
      </c>
      <c r="H2173" s="2683" t="s">
        <v>5922</v>
      </c>
      <c r="I2173" s="2683" t="s">
        <v>5922</v>
      </c>
      <c r="J2173" s="2683">
        <v>0.54700000000000004</v>
      </c>
      <c r="K2173" s="2684"/>
      <c r="L2173" s="2683" t="s">
        <v>5922</v>
      </c>
    </row>
    <row r="2174" spans="1:12">
      <c r="A2174" s="2682" t="s">
        <v>146</v>
      </c>
      <c r="B2174" s="2682" t="s">
        <v>8314</v>
      </c>
      <c r="C2174" s="2682">
        <v>21.43</v>
      </c>
      <c r="D2174" s="2682">
        <v>50.005000000000003</v>
      </c>
      <c r="E2174" s="2682">
        <v>17.526</v>
      </c>
      <c r="F2174" s="2682" t="s">
        <v>5922</v>
      </c>
      <c r="G2174" s="2682" t="s">
        <v>5922</v>
      </c>
      <c r="H2174" s="2682" t="s">
        <v>5922</v>
      </c>
      <c r="I2174" s="2682" t="s">
        <v>5922</v>
      </c>
      <c r="J2174" s="2682">
        <v>0.16900000000000001</v>
      </c>
      <c r="L2174" s="2682" t="s">
        <v>8315</v>
      </c>
    </row>
    <row r="2175" spans="1:12">
      <c r="A2175" s="2683" t="s">
        <v>146</v>
      </c>
      <c r="B2175" s="2683" t="s">
        <v>8316</v>
      </c>
      <c r="C2175" s="2683">
        <v>26.988</v>
      </c>
      <c r="D2175" s="2683">
        <v>57.15</v>
      </c>
      <c r="E2175" s="2683">
        <v>17.463000000000001</v>
      </c>
      <c r="F2175" s="2683" t="s">
        <v>5922</v>
      </c>
      <c r="G2175" s="2683" t="s">
        <v>5922</v>
      </c>
      <c r="H2175" s="2683" t="s">
        <v>5922</v>
      </c>
      <c r="I2175" s="2683" t="s">
        <v>5922</v>
      </c>
      <c r="J2175" s="2683">
        <v>0.24</v>
      </c>
      <c r="K2175" s="2684"/>
      <c r="L2175" s="2683" t="s">
        <v>5922</v>
      </c>
    </row>
    <row r="2176" spans="1:12">
      <c r="A2176" s="2682" t="s">
        <v>146</v>
      </c>
      <c r="B2176" s="2682" t="s">
        <v>8317</v>
      </c>
      <c r="C2176" s="2682">
        <v>38.1</v>
      </c>
      <c r="D2176" s="2682">
        <v>107.95</v>
      </c>
      <c r="E2176" s="2682">
        <v>58.375</v>
      </c>
      <c r="F2176" s="2682" t="s">
        <v>5922</v>
      </c>
      <c r="G2176" s="2682" t="s">
        <v>5922</v>
      </c>
      <c r="H2176" s="2682" t="s">
        <v>5922</v>
      </c>
      <c r="I2176" s="2682" t="s">
        <v>5922</v>
      </c>
      <c r="J2176" s="2682" t="s">
        <v>5922</v>
      </c>
      <c r="L2176" s="2682" t="s">
        <v>5922</v>
      </c>
    </row>
    <row r="2177" spans="1:12">
      <c r="A2177" s="2683" t="s">
        <v>146</v>
      </c>
      <c r="B2177" s="2683" t="s">
        <v>8318</v>
      </c>
      <c r="C2177" s="2683">
        <v>34.924999999999997</v>
      </c>
      <c r="D2177" s="2683">
        <v>73.025000000000006</v>
      </c>
      <c r="E2177" s="2683">
        <v>23.8</v>
      </c>
      <c r="F2177" s="2683" t="s">
        <v>5922</v>
      </c>
      <c r="G2177" s="2683" t="s">
        <v>5922</v>
      </c>
      <c r="H2177" s="2683" t="s">
        <v>5922</v>
      </c>
      <c r="I2177" s="2683" t="s">
        <v>5922</v>
      </c>
      <c r="J2177" s="2683">
        <v>0.46100000000000002</v>
      </c>
      <c r="K2177" s="2684"/>
      <c r="L2177" s="2683" t="s">
        <v>5922</v>
      </c>
    </row>
    <row r="2178" spans="1:12">
      <c r="A2178" s="2682" t="s">
        <v>146</v>
      </c>
      <c r="B2178" s="2682" t="s">
        <v>8319</v>
      </c>
      <c r="C2178" s="2682">
        <v>36.51</v>
      </c>
      <c r="D2178" s="2682">
        <v>82.93</v>
      </c>
      <c r="E2178" s="2682">
        <v>23.81</v>
      </c>
      <c r="F2178" s="2682" t="s">
        <v>5922</v>
      </c>
      <c r="G2178" s="2682" t="s">
        <v>5922</v>
      </c>
      <c r="H2178" s="2682" t="s">
        <v>5922</v>
      </c>
      <c r="I2178" s="2682" t="s">
        <v>5922</v>
      </c>
      <c r="J2178" s="2682">
        <v>0.66500000000000004</v>
      </c>
      <c r="L2178" s="2682" t="s">
        <v>5922</v>
      </c>
    </row>
    <row r="2179" spans="1:12">
      <c r="A2179" s="2683" t="s">
        <v>146</v>
      </c>
      <c r="B2179" s="2683" t="s">
        <v>8320</v>
      </c>
      <c r="C2179" s="2683">
        <v>38.1</v>
      </c>
      <c r="D2179" s="2683">
        <v>82.9</v>
      </c>
      <c r="E2179" s="2683">
        <v>23.81</v>
      </c>
      <c r="F2179" s="2683" t="s">
        <v>5922</v>
      </c>
      <c r="G2179" s="2683" t="s">
        <v>5922</v>
      </c>
      <c r="H2179" s="2683" t="s">
        <v>5922</v>
      </c>
      <c r="I2179" s="2683" t="s">
        <v>5922</v>
      </c>
      <c r="J2179" s="2683">
        <v>0.65600000000000003</v>
      </c>
      <c r="K2179" s="2684"/>
      <c r="L2179" s="2683" t="s">
        <v>5922</v>
      </c>
    </row>
    <row r="2180" spans="1:12">
      <c r="A2180" s="2682" t="s">
        <v>146</v>
      </c>
      <c r="B2180" s="2682" t="s">
        <v>8321</v>
      </c>
      <c r="C2180" s="2682">
        <v>42.875</v>
      </c>
      <c r="D2180" s="2682">
        <v>79.375</v>
      </c>
      <c r="E2180" s="2682">
        <v>23.812000000000001</v>
      </c>
      <c r="F2180" s="2682" t="s">
        <v>5922</v>
      </c>
      <c r="G2180" s="2682" t="s">
        <v>5922</v>
      </c>
      <c r="H2180" s="2682" t="s">
        <v>5922</v>
      </c>
      <c r="I2180" s="2682" t="s">
        <v>5922</v>
      </c>
      <c r="J2180" s="2682" t="s">
        <v>5922</v>
      </c>
      <c r="L2180" s="2682" t="s">
        <v>5922</v>
      </c>
    </row>
    <row r="2181" spans="1:12">
      <c r="A2181" s="2683" t="s">
        <v>146</v>
      </c>
      <c r="B2181" s="2683" t="s">
        <v>8322</v>
      </c>
      <c r="C2181" s="2683">
        <v>73.025000000000006</v>
      </c>
      <c r="D2181" s="2683">
        <v>125.41200000000001</v>
      </c>
      <c r="E2181" s="2683">
        <v>25.4</v>
      </c>
      <c r="F2181" s="2683" t="s">
        <v>5922</v>
      </c>
      <c r="G2181" s="2683" t="s">
        <v>5922</v>
      </c>
      <c r="H2181" s="2683" t="s">
        <v>5922</v>
      </c>
      <c r="I2181" s="2683" t="s">
        <v>5922</v>
      </c>
      <c r="J2181" s="2683" t="s">
        <v>5922</v>
      </c>
      <c r="K2181" s="2684"/>
      <c r="L2181" s="2683" t="s">
        <v>5922</v>
      </c>
    </row>
    <row r="2182" spans="1:12">
      <c r="A2182" s="2682" t="s">
        <v>146</v>
      </c>
      <c r="B2182" s="2682" t="s">
        <v>8323</v>
      </c>
      <c r="C2182" s="2682">
        <v>57.15</v>
      </c>
      <c r="D2182" s="2682">
        <v>97.63</v>
      </c>
      <c r="E2182" s="2682">
        <v>24.608000000000001</v>
      </c>
      <c r="F2182" s="2682" t="s">
        <v>5922</v>
      </c>
      <c r="G2182" s="2682" t="s">
        <v>5922</v>
      </c>
      <c r="H2182" s="2682" t="s">
        <v>5922</v>
      </c>
      <c r="I2182" s="2682" t="s">
        <v>5922</v>
      </c>
      <c r="J2182" s="2682">
        <v>0.73</v>
      </c>
      <c r="L2182" s="2682" t="s">
        <v>5922</v>
      </c>
    </row>
    <row r="2183" spans="1:12">
      <c r="A2183" s="2683" t="s">
        <v>146</v>
      </c>
      <c r="B2183" s="2683" t="s">
        <v>8324</v>
      </c>
      <c r="C2183" s="2683">
        <v>66.674999999999997</v>
      </c>
      <c r="D2183" s="2683">
        <v>107.95</v>
      </c>
      <c r="E2183" s="2683">
        <v>25.4</v>
      </c>
      <c r="F2183" s="2683" t="s">
        <v>5922</v>
      </c>
      <c r="G2183" s="2683" t="s">
        <v>5922</v>
      </c>
      <c r="H2183" s="2683" t="s">
        <v>5922</v>
      </c>
      <c r="I2183" s="2683" t="s">
        <v>5922</v>
      </c>
      <c r="J2183" s="2683">
        <v>0.84399999999999997</v>
      </c>
      <c r="K2183" s="2684"/>
      <c r="L2183" s="2683" t="s">
        <v>5922</v>
      </c>
    </row>
    <row r="2184" spans="1:12">
      <c r="A2184" s="2682" t="s">
        <v>146</v>
      </c>
      <c r="B2184" s="2682" t="s">
        <v>8325</v>
      </c>
      <c r="C2184" s="2682">
        <v>33.338000000000001</v>
      </c>
      <c r="D2184" s="2682">
        <v>76.2</v>
      </c>
      <c r="E2184" s="2682">
        <v>29.37</v>
      </c>
      <c r="F2184" s="2682" t="s">
        <v>5922</v>
      </c>
      <c r="G2184" s="2682" t="s">
        <v>5922</v>
      </c>
      <c r="H2184" s="2682" t="s">
        <v>5922</v>
      </c>
      <c r="I2184" s="2682" t="s">
        <v>5922</v>
      </c>
      <c r="J2184" s="2682">
        <v>0.64800000000000002</v>
      </c>
      <c r="L2184" s="2682" t="s">
        <v>5922</v>
      </c>
    </row>
    <row r="2185" spans="1:12">
      <c r="A2185" s="2683" t="s">
        <v>146</v>
      </c>
      <c r="B2185" s="2683" t="s">
        <v>8326</v>
      </c>
      <c r="C2185" s="2683">
        <v>34.924999999999997</v>
      </c>
      <c r="D2185" s="2683">
        <v>76.2</v>
      </c>
      <c r="E2185" s="2683">
        <v>29.37</v>
      </c>
      <c r="F2185" s="2683" t="s">
        <v>5922</v>
      </c>
      <c r="G2185" s="2683" t="s">
        <v>5922</v>
      </c>
      <c r="H2185" s="2683" t="s">
        <v>5922</v>
      </c>
      <c r="I2185" s="2683" t="s">
        <v>5922</v>
      </c>
      <c r="J2185" s="2683">
        <v>0.61899999999999999</v>
      </c>
      <c r="K2185" s="2684"/>
      <c r="L2185" s="2683" t="s">
        <v>5922</v>
      </c>
    </row>
    <row r="2186" spans="1:12">
      <c r="A2186" s="2682" t="s">
        <v>146</v>
      </c>
      <c r="B2186" s="2682" t="s">
        <v>8327</v>
      </c>
      <c r="C2186" s="2682">
        <v>55</v>
      </c>
      <c r="D2186" s="2682">
        <v>110</v>
      </c>
      <c r="E2186" s="2682">
        <v>42.25</v>
      </c>
      <c r="F2186" s="2682" t="s">
        <v>5922</v>
      </c>
      <c r="G2186" s="2682" t="s">
        <v>5922</v>
      </c>
      <c r="H2186" s="2682" t="s">
        <v>5922</v>
      </c>
      <c r="I2186" s="2682" t="s">
        <v>5922</v>
      </c>
      <c r="J2186" s="2682">
        <v>1.7090000000000001</v>
      </c>
      <c r="L2186" s="2682" t="s">
        <v>5922</v>
      </c>
    </row>
    <row r="2187" spans="1:12">
      <c r="A2187" s="2683" t="s">
        <v>146</v>
      </c>
      <c r="B2187" s="2683" t="s">
        <v>8328</v>
      </c>
      <c r="C2187" s="2683">
        <v>57.15</v>
      </c>
      <c r="D2187" s="2683">
        <v>120</v>
      </c>
      <c r="E2187" s="2683" t="s">
        <v>8329</v>
      </c>
      <c r="F2187" s="2683" t="s">
        <v>5922</v>
      </c>
      <c r="G2187" s="2683" t="s">
        <v>5922</v>
      </c>
      <c r="H2187" s="2683" t="s">
        <v>5922</v>
      </c>
      <c r="I2187" s="2683" t="s">
        <v>5922</v>
      </c>
      <c r="J2187" s="2683">
        <v>1.637</v>
      </c>
      <c r="K2187" s="2684"/>
      <c r="L2187" s="2683" t="s">
        <v>5922</v>
      </c>
    </row>
    <row r="2188" spans="1:12">
      <c r="A2188" s="2682" t="s">
        <v>146</v>
      </c>
      <c r="B2188" s="2682" t="s">
        <v>8330</v>
      </c>
      <c r="C2188" s="2682">
        <v>69.849999999999994</v>
      </c>
      <c r="D2188" s="2682">
        <v>120</v>
      </c>
      <c r="E2188" s="2682">
        <v>29.794</v>
      </c>
      <c r="F2188" s="2682" t="s">
        <v>5922</v>
      </c>
      <c r="G2188" s="2682" t="s">
        <v>5922</v>
      </c>
      <c r="H2188" s="2682" t="s">
        <v>5922</v>
      </c>
      <c r="I2188" s="2682" t="s">
        <v>5922</v>
      </c>
      <c r="J2188" s="2682">
        <v>1.32</v>
      </c>
      <c r="L2188" s="2682" t="s">
        <v>5922</v>
      </c>
    </row>
    <row r="2189" spans="1:12">
      <c r="A2189" s="2683" t="s">
        <v>146</v>
      </c>
      <c r="B2189" s="2683" t="s">
        <v>8331</v>
      </c>
      <c r="C2189" s="2683">
        <v>44.45</v>
      </c>
      <c r="D2189" s="2683">
        <v>95.25</v>
      </c>
      <c r="E2189" s="2683">
        <v>27.783000000000001</v>
      </c>
      <c r="F2189" s="2683" t="s">
        <v>5922</v>
      </c>
      <c r="G2189" s="2683" t="s">
        <v>5922</v>
      </c>
      <c r="H2189" s="2683" t="s">
        <v>5922</v>
      </c>
      <c r="I2189" s="2683" t="s">
        <v>5922</v>
      </c>
      <c r="J2189" s="2683" t="s">
        <v>5922</v>
      </c>
      <c r="K2189" s="2684"/>
      <c r="L2189" s="2683" t="s">
        <v>5922</v>
      </c>
    </row>
    <row r="2190" spans="1:12">
      <c r="A2190" s="2682" t="s">
        <v>146</v>
      </c>
      <c r="B2190" s="2682" t="s">
        <v>8332</v>
      </c>
      <c r="C2190" s="2682">
        <v>50.8</v>
      </c>
      <c r="D2190" s="2682">
        <v>95.25</v>
      </c>
      <c r="E2190" s="2682">
        <v>27.783000000000001</v>
      </c>
      <c r="F2190" s="2682" t="s">
        <v>5922</v>
      </c>
      <c r="G2190" s="2682" t="s">
        <v>5922</v>
      </c>
      <c r="H2190" s="2682" t="s">
        <v>5922</v>
      </c>
      <c r="I2190" s="2682" t="s">
        <v>5922</v>
      </c>
      <c r="J2190" s="2682" t="s">
        <v>5922</v>
      </c>
      <c r="L2190" s="2682" t="s">
        <v>5922</v>
      </c>
    </row>
    <row r="2191" spans="1:12">
      <c r="A2191" s="2683" t="s">
        <v>146</v>
      </c>
      <c r="B2191" s="2683" t="s">
        <v>8333</v>
      </c>
      <c r="C2191" s="2683">
        <v>52.387999999999998</v>
      </c>
      <c r="D2191" s="2683">
        <v>95.25</v>
      </c>
      <c r="E2191" s="2683">
        <v>27.783000000000001</v>
      </c>
      <c r="F2191" s="2683" t="s">
        <v>5922</v>
      </c>
      <c r="G2191" s="2683" t="s">
        <v>5922</v>
      </c>
      <c r="H2191" s="2683" t="s">
        <v>5922</v>
      </c>
      <c r="I2191" s="2683" t="s">
        <v>5922</v>
      </c>
      <c r="J2191" s="2683">
        <v>0.81599999999999995</v>
      </c>
      <c r="K2191" s="2684"/>
      <c r="L2191" s="2683" t="s">
        <v>5922</v>
      </c>
    </row>
    <row r="2192" spans="1:12">
      <c r="A2192" s="2682" t="s">
        <v>146</v>
      </c>
      <c r="B2192" s="2682" t="s">
        <v>8334</v>
      </c>
      <c r="C2192" s="2682">
        <v>177.8</v>
      </c>
      <c r="D2192" s="2682">
        <v>227.012</v>
      </c>
      <c r="E2192" s="2682">
        <v>30.164999999999999</v>
      </c>
      <c r="F2192" s="2682" t="s">
        <v>5922</v>
      </c>
      <c r="G2192" s="2682" t="s">
        <v>5922</v>
      </c>
      <c r="H2192" s="2682" t="s">
        <v>5922</v>
      </c>
      <c r="I2192" s="2682" t="s">
        <v>5922</v>
      </c>
      <c r="J2192" s="2682" t="s">
        <v>5922</v>
      </c>
      <c r="L2192" s="2682" t="s">
        <v>5922</v>
      </c>
    </row>
    <row r="2193" spans="1:12">
      <c r="A2193" s="2683" t="s">
        <v>146</v>
      </c>
      <c r="B2193" s="2683" t="s">
        <v>8335</v>
      </c>
      <c r="C2193" s="2683">
        <v>28.574999999999999</v>
      </c>
      <c r="D2193" s="2683">
        <v>72.626000000000005</v>
      </c>
      <c r="E2193" s="2683">
        <v>24.608000000000001</v>
      </c>
      <c r="F2193" s="2683" t="s">
        <v>5922</v>
      </c>
      <c r="G2193" s="2683" t="s">
        <v>5922</v>
      </c>
      <c r="H2193" s="2683" t="s">
        <v>5922</v>
      </c>
      <c r="I2193" s="2683" t="s">
        <v>5922</v>
      </c>
      <c r="J2193" s="2683">
        <v>0.46700000000000003</v>
      </c>
      <c r="K2193" s="2684"/>
      <c r="L2193" s="2683" t="s">
        <v>5922</v>
      </c>
    </row>
    <row r="2194" spans="1:12">
      <c r="A2194" s="2682" t="s">
        <v>146</v>
      </c>
      <c r="B2194" s="2682" t="s">
        <v>8336</v>
      </c>
      <c r="C2194" s="2682">
        <v>38.1</v>
      </c>
      <c r="D2194" s="2682">
        <v>88.501000000000005</v>
      </c>
      <c r="E2194" s="2682">
        <v>25.4</v>
      </c>
      <c r="F2194" s="2682" t="s">
        <v>5922</v>
      </c>
      <c r="G2194" s="2682" t="s">
        <v>5922</v>
      </c>
      <c r="H2194" s="2682" t="s">
        <v>5922</v>
      </c>
      <c r="I2194" s="2682" t="s">
        <v>5922</v>
      </c>
      <c r="J2194" s="2682">
        <v>0.63800000000000001</v>
      </c>
      <c r="L2194" s="2682" t="s">
        <v>5922</v>
      </c>
    </row>
    <row r="2195" spans="1:12">
      <c r="A2195" s="2683" t="s">
        <v>146</v>
      </c>
      <c r="B2195" s="2683" t="s">
        <v>8337</v>
      </c>
      <c r="C2195" s="2683">
        <v>123.825</v>
      </c>
      <c r="D2195" s="2683">
        <v>182.56200000000001</v>
      </c>
      <c r="E2195" s="2683">
        <v>39.688000000000002</v>
      </c>
      <c r="F2195" s="2683" t="s">
        <v>5922</v>
      </c>
      <c r="G2195" s="2683" t="s">
        <v>5922</v>
      </c>
      <c r="H2195" s="2683" t="s">
        <v>5922</v>
      </c>
      <c r="I2195" s="2683" t="s">
        <v>5922</v>
      </c>
      <c r="J2195" s="2683" t="s">
        <v>5922</v>
      </c>
      <c r="K2195" s="2684"/>
      <c r="L2195" s="2683" t="s">
        <v>5922</v>
      </c>
    </row>
    <row r="2196" spans="1:12">
      <c r="A2196" s="2682" t="s">
        <v>146</v>
      </c>
      <c r="B2196" s="2682" t="s">
        <v>8338</v>
      </c>
      <c r="C2196" s="2682">
        <v>44.45</v>
      </c>
      <c r="D2196" s="2682">
        <v>95.25</v>
      </c>
      <c r="E2196" s="2682">
        <v>30.957999999999998</v>
      </c>
      <c r="F2196" s="2682" t="s">
        <v>5922</v>
      </c>
      <c r="G2196" s="2682" t="s">
        <v>5922</v>
      </c>
      <c r="H2196" s="2682" t="s">
        <v>5922</v>
      </c>
      <c r="I2196" s="2682" t="s">
        <v>5922</v>
      </c>
      <c r="J2196" s="2682">
        <v>0.92700000000000005</v>
      </c>
      <c r="L2196" s="2682" t="s">
        <v>5922</v>
      </c>
    </row>
    <row r="2197" spans="1:12">
      <c r="A2197" s="2683" t="s">
        <v>146</v>
      </c>
      <c r="B2197" s="2683" t="s">
        <v>8339</v>
      </c>
      <c r="C2197" s="2683">
        <v>35</v>
      </c>
      <c r="D2197" s="2683">
        <v>72</v>
      </c>
      <c r="E2197" s="2683">
        <v>18.25</v>
      </c>
      <c r="F2197" s="2683" t="s">
        <v>5922</v>
      </c>
      <c r="G2197" s="2683" t="s">
        <v>5922</v>
      </c>
      <c r="H2197" s="2683" t="s">
        <v>5922</v>
      </c>
      <c r="I2197" s="2683" t="s">
        <v>5922</v>
      </c>
      <c r="J2197" s="2683">
        <v>0.33300000000000002</v>
      </c>
      <c r="K2197" s="2684"/>
      <c r="L2197" s="2683" t="s">
        <v>5922</v>
      </c>
    </row>
    <row r="2198" spans="1:12">
      <c r="A2198" s="2682" t="s">
        <v>146</v>
      </c>
      <c r="B2198" s="2682" t="s">
        <v>8340</v>
      </c>
      <c r="C2198" s="2682">
        <v>44.45</v>
      </c>
      <c r="D2198" s="2682">
        <v>104.77500000000001</v>
      </c>
      <c r="E2198" s="2682">
        <v>36.512999999999998</v>
      </c>
      <c r="F2198" s="2682" t="s">
        <v>5922</v>
      </c>
      <c r="G2198" s="2682" t="s">
        <v>5922</v>
      </c>
      <c r="H2198" s="2682" t="s">
        <v>5922</v>
      </c>
      <c r="I2198" s="2682" t="s">
        <v>5922</v>
      </c>
      <c r="J2198" s="2682">
        <v>1.48</v>
      </c>
      <c r="L2198" s="2682" t="s">
        <v>5922</v>
      </c>
    </row>
    <row r="2199" spans="1:12">
      <c r="A2199" s="2683" t="s">
        <v>146</v>
      </c>
      <c r="B2199" s="2683" t="s">
        <v>8341</v>
      </c>
      <c r="C2199" s="2683">
        <v>47.625</v>
      </c>
      <c r="D2199" s="2683">
        <v>104.77500000000001</v>
      </c>
      <c r="E2199" s="2683">
        <v>36.512999999999998</v>
      </c>
      <c r="F2199" s="2683" t="s">
        <v>5922</v>
      </c>
      <c r="G2199" s="2683" t="s">
        <v>5922</v>
      </c>
      <c r="H2199" s="2683" t="s">
        <v>5922</v>
      </c>
      <c r="I2199" s="2683" t="s">
        <v>5922</v>
      </c>
      <c r="J2199" s="2683">
        <v>1.4</v>
      </c>
      <c r="K2199" s="2684"/>
      <c r="L2199" s="2683" t="s">
        <v>5922</v>
      </c>
    </row>
    <row r="2200" spans="1:12">
      <c r="A2200" s="2682" t="s">
        <v>146</v>
      </c>
      <c r="B2200" s="2682" t="s">
        <v>8342</v>
      </c>
      <c r="C2200" s="2682">
        <v>60.325000000000003</v>
      </c>
      <c r="D2200" s="2682">
        <v>127</v>
      </c>
      <c r="E2200" s="2682">
        <v>44.65</v>
      </c>
      <c r="F2200" s="2682" t="s">
        <v>5922</v>
      </c>
      <c r="G2200" s="2682" t="s">
        <v>5922</v>
      </c>
      <c r="H2200" s="2682" t="s">
        <v>5922</v>
      </c>
      <c r="I2200" s="2682" t="s">
        <v>5922</v>
      </c>
      <c r="J2200" s="2682">
        <v>2.56</v>
      </c>
      <c r="L2200" s="2682" t="s">
        <v>5922</v>
      </c>
    </row>
    <row r="2201" spans="1:12">
      <c r="A2201" s="2683" t="s">
        <v>146</v>
      </c>
      <c r="B2201" s="2683" t="s">
        <v>8343</v>
      </c>
      <c r="C2201" s="2683">
        <v>44.45</v>
      </c>
      <c r="D2201" s="2683">
        <v>114.3</v>
      </c>
      <c r="E2201" s="2683">
        <v>44.45</v>
      </c>
      <c r="F2201" s="2683" t="s">
        <v>5922</v>
      </c>
      <c r="G2201" s="2683" t="s">
        <v>5922</v>
      </c>
      <c r="H2201" s="2683" t="s">
        <v>5922</v>
      </c>
      <c r="I2201" s="2683" t="s">
        <v>5922</v>
      </c>
      <c r="J2201" s="2683" t="s">
        <v>5922</v>
      </c>
      <c r="K2201" s="2684"/>
      <c r="L2201" s="2683" t="s">
        <v>5922</v>
      </c>
    </row>
    <row r="2202" spans="1:12">
      <c r="A2202" s="2682" t="s">
        <v>146</v>
      </c>
      <c r="B2202" s="2682" t="s">
        <v>8344</v>
      </c>
      <c r="C2202" s="2682">
        <v>133.35</v>
      </c>
      <c r="D2202" s="2682">
        <v>234.95</v>
      </c>
      <c r="E2202" s="2682">
        <v>63.5</v>
      </c>
      <c r="F2202" s="2682" t="s">
        <v>5922</v>
      </c>
      <c r="G2202" s="2682" t="s">
        <v>5922</v>
      </c>
      <c r="H2202" s="2682" t="s">
        <v>5922</v>
      </c>
      <c r="I2202" s="2682" t="s">
        <v>5922</v>
      </c>
      <c r="J2202" s="2682">
        <v>11.1</v>
      </c>
      <c r="L2202" s="2682" t="s">
        <v>5922</v>
      </c>
    </row>
    <row r="2203" spans="1:12">
      <c r="A2203" s="2683" t="s">
        <v>146</v>
      </c>
      <c r="B2203" s="2683" t="s">
        <v>8345</v>
      </c>
      <c r="C2203" s="2683">
        <v>170</v>
      </c>
      <c r="D2203" s="2683">
        <v>240</v>
      </c>
      <c r="E2203" s="2683">
        <v>46</v>
      </c>
      <c r="F2203" s="2683" t="s">
        <v>5922</v>
      </c>
      <c r="G2203" s="2683" t="s">
        <v>5922</v>
      </c>
      <c r="H2203" s="2683" t="s">
        <v>5922</v>
      </c>
      <c r="I2203" s="2683" t="s">
        <v>5922</v>
      </c>
      <c r="J2203" s="2683" t="s">
        <v>5922</v>
      </c>
      <c r="K2203" s="2684"/>
      <c r="L2203" s="2683" t="s">
        <v>5922</v>
      </c>
    </row>
    <row r="2204" spans="1:12">
      <c r="A2204" s="2682" t="s">
        <v>146</v>
      </c>
      <c r="B2204" s="2682" t="s">
        <v>8346</v>
      </c>
      <c r="C2204" s="2682">
        <v>127</v>
      </c>
      <c r="D2204" s="2682">
        <v>234.95</v>
      </c>
      <c r="E2204" s="2682">
        <v>63.5</v>
      </c>
      <c r="F2204" s="2682" t="s">
        <v>5922</v>
      </c>
      <c r="G2204" s="2682" t="s">
        <v>5922</v>
      </c>
      <c r="H2204" s="2682" t="s">
        <v>5922</v>
      </c>
      <c r="I2204" s="2682" t="s">
        <v>5922</v>
      </c>
      <c r="J2204" s="2682">
        <v>11.6</v>
      </c>
      <c r="L2204" s="2682" t="s">
        <v>5922</v>
      </c>
    </row>
    <row r="2205" spans="1:12">
      <c r="A2205" s="2683" t="s">
        <v>146</v>
      </c>
      <c r="B2205" s="2683" t="s">
        <v>8347</v>
      </c>
      <c r="C2205" s="2683">
        <v>209.55</v>
      </c>
      <c r="D2205" s="2683">
        <v>317.5</v>
      </c>
      <c r="E2205" s="2683">
        <v>63.5</v>
      </c>
      <c r="F2205" s="2683" t="s">
        <v>5922</v>
      </c>
      <c r="G2205" s="2683" t="s">
        <v>5922</v>
      </c>
      <c r="H2205" s="2683" t="s">
        <v>5922</v>
      </c>
      <c r="I2205" s="2683" t="s">
        <v>5922</v>
      </c>
      <c r="J2205" s="2683">
        <v>16.600000000000001</v>
      </c>
      <c r="K2205" s="2684"/>
      <c r="L2205" s="2683" t="s">
        <v>5922</v>
      </c>
    </row>
    <row r="2206" spans="1:12">
      <c r="A2206" s="2682" t="s">
        <v>146</v>
      </c>
      <c r="B2206" s="2682" t="s">
        <v>8348</v>
      </c>
      <c r="C2206" s="2682">
        <v>34.924999999999997</v>
      </c>
      <c r="D2206" s="2682">
        <v>76.2</v>
      </c>
      <c r="E2206" s="2682">
        <v>29.37</v>
      </c>
      <c r="F2206" s="2682" t="s">
        <v>5922</v>
      </c>
      <c r="G2206" s="2682" t="s">
        <v>5922</v>
      </c>
      <c r="H2206" s="2682" t="s">
        <v>5922</v>
      </c>
      <c r="I2206" s="2682" t="s">
        <v>5922</v>
      </c>
      <c r="J2206" s="2682" t="s">
        <v>5922</v>
      </c>
      <c r="L2206" s="2682" t="s">
        <v>5922</v>
      </c>
    </row>
    <row r="2207" spans="1:12">
      <c r="A2207" s="2683" t="s">
        <v>146</v>
      </c>
      <c r="B2207" s="2683" t="s">
        <v>8349</v>
      </c>
      <c r="C2207" s="2683">
        <v>120.65</v>
      </c>
      <c r="D2207" s="2683">
        <v>254</v>
      </c>
      <c r="E2207" s="2683">
        <v>77.787999999999997</v>
      </c>
      <c r="F2207" s="2683" t="s">
        <v>5922</v>
      </c>
      <c r="G2207" s="2683" t="s">
        <v>5922</v>
      </c>
      <c r="H2207" s="2683" t="s">
        <v>5922</v>
      </c>
      <c r="I2207" s="2683" t="s">
        <v>5922</v>
      </c>
      <c r="J2207" s="2683">
        <v>18.100000000000001</v>
      </c>
      <c r="K2207" s="2684"/>
      <c r="L2207" s="2683" t="s">
        <v>8350</v>
      </c>
    </row>
    <row r="2208" spans="1:12">
      <c r="A2208" s="2682" t="s">
        <v>146</v>
      </c>
      <c r="B2208" s="2682" t="s">
        <v>8351</v>
      </c>
      <c r="C2208" s="2682">
        <v>381</v>
      </c>
      <c r="D2208" s="2682">
        <v>546.1</v>
      </c>
      <c r="E2208" s="2682">
        <v>104.77500000000001</v>
      </c>
      <c r="F2208" s="2682" t="s">
        <v>5922</v>
      </c>
      <c r="G2208" s="2682" t="s">
        <v>5922</v>
      </c>
      <c r="H2208" s="2682" t="s">
        <v>5922</v>
      </c>
      <c r="I2208" s="2682" t="s">
        <v>5922</v>
      </c>
      <c r="J2208" s="2682" t="s">
        <v>5922</v>
      </c>
      <c r="L2208" s="2682" t="s">
        <v>5922</v>
      </c>
    </row>
    <row r="2209" spans="1:12">
      <c r="A2209" s="2683" t="s">
        <v>146</v>
      </c>
      <c r="B2209" s="2683" t="s">
        <v>8352</v>
      </c>
      <c r="C2209" s="2683">
        <v>139.69999999999999</v>
      </c>
      <c r="D2209" s="2683">
        <v>180.97499999999999</v>
      </c>
      <c r="E2209" s="2683">
        <v>21.433</v>
      </c>
      <c r="F2209" s="2683" t="s">
        <v>5922</v>
      </c>
      <c r="G2209" s="2683" t="s">
        <v>5922</v>
      </c>
      <c r="H2209" s="2683" t="s">
        <v>5922</v>
      </c>
      <c r="I2209" s="2683" t="s">
        <v>5922</v>
      </c>
      <c r="J2209" s="2683" t="s">
        <v>5922</v>
      </c>
      <c r="K2209" s="2684"/>
      <c r="L2209" s="2683" t="s">
        <v>5922</v>
      </c>
    </row>
    <row r="2210" spans="1:12">
      <c r="A2210" s="2682" t="s">
        <v>146</v>
      </c>
      <c r="B2210" s="2682" t="s">
        <v>8353</v>
      </c>
      <c r="C2210" s="2682">
        <v>60</v>
      </c>
      <c r="D2210" s="2682">
        <v>95</v>
      </c>
      <c r="E2210" s="2682">
        <v>24</v>
      </c>
      <c r="F2210" s="2682" t="s">
        <v>5922</v>
      </c>
      <c r="G2210" s="2682" t="s">
        <v>5922</v>
      </c>
      <c r="H2210" s="2682" t="s">
        <v>5922</v>
      </c>
      <c r="I2210" s="2682" t="s">
        <v>5922</v>
      </c>
      <c r="J2210" s="2682">
        <v>0.63</v>
      </c>
      <c r="L2210" s="2682" t="s">
        <v>5922</v>
      </c>
    </row>
    <row r="2211" spans="1:12">
      <c r="A2211" s="2683" t="s">
        <v>146</v>
      </c>
      <c r="B2211" s="2683" t="s">
        <v>8354</v>
      </c>
      <c r="C2211" s="2683">
        <v>110</v>
      </c>
      <c r="D2211" s="2683">
        <v>180</v>
      </c>
      <c r="E2211" s="2683">
        <v>47</v>
      </c>
      <c r="F2211" s="2683" t="s">
        <v>5922</v>
      </c>
      <c r="G2211" s="2683" t="s">
        <v>5922</v>
      </c>
      <c r="H2211" s="2683" t="s">
        <v>5922</v>
      </c>
      <c r="I2211" s="2683" t="s">
        <v>5922</v>
      </c>
      <c r="J2211" s="2683">
        <v>4.5599999999999996</v>
      </c>
      <c r="K2211" s="2684"/>
      <c r="L2211" s="2683" t="s">
        <v>5922</v>
      </c>
    </row>
    <row r="2212" spans="1:12">
      <c r="A2212" s="2682" t="s">
        <v>146</v>
      </c>
      <c r="B2212" s="2682" t="s">
        <v>8355</v>
      </c>
      <c r="C2212" s="2682">
        <v>54.5</v>
      </c>
      <c r="D2212" s="2682">
        <v>104.77500000000001</v>
      </c>
      <c r="E2212" s="2682">
        <v>36.512999999999998</v>
      </c>
      <c r="F2212" s="2682" t="s">
        <v>5922</v>
      </c>
      <c r="G2212" s="2682" t="s">
        <v>5922</v>
      </c>
      <c r="H2212" s="2682" t="s">
        <v>5922</v>
      </c>
      <c r="I2212" s="2682" t="s">
        <v>5922</v>
      </c>
      <c r="J2212" s="2682">
        <v>1.41</v>
      </c>
      <c r="L2212" s="2682" t="s">
        <v>5922</v>
      </c>
    </row>
    <row r="2213" spans="1:12">
      <c r="A2213" s="2683" t="s">
        <v>146</v>
      </c>
      <c r="B2213" s="2683" t="s">
        <v>8356</v>
      </c>
      <c r="C2213" s="2683">
        <v>100</v>
      </c>
      <c r="D2213" s="2683">
        <v>155</v>
      </c>
      <c r="E2213" s="2683">
        <v>36</v>
      </c>
      <c r="F2213" s="2683" t="s">
        <v>5922</v>
      </c>
      <c r="G2213" s="2683" t="s">
        <v>5922</v>
      </c>
      <c r="H2213" s="2683" t="s">
        <v>5922</v>
      </c>
      <c r="I2213" s="2683" t="s">
        <v>5922</v>
      </c>
      <c r="J2213" s="2683">
        <v>2.34</v>
      </c>
      <c r="K2213" s="2684"/>
      <c r="L2213" s="2683" t="s">
        <v>5922</v>
      </c>
    </row>
    <row r="2214" spans="1:12">
      <c r="A2214" s="2682" t="s">
        <v>146</v>
      </c>
      <c r="B2214" s="2682" t="s">
        <v>8357</v>
      </c>
      <c r="C2214" s="2682">
        <v>292.10000000000002</v>
      </c>
      <c r="D2214" s="2682">
        <v>469.9</v>
      </c>
      <c r="E2214" s="2682">
        <v>95.25</v>
      </c>
      <c r="F2214" s="2682" t="s">
        <v>5922</v>
      </c>
      <c r="G2214" s="2682" t="s">
        <v>5922</v>
      </c>
      <c r="H2214" s="2682" t="s">
        <v>5922</v>
      </c>
      <c r="I2214" s="2682" t="s">
        <v>5922</v>
      </c>
      <c r="J2214" s="2682" t="s">
        <v>5922</v>
      </c>
      <c r="L2214" s="2682" t="s">
        <v>5922</v>
      </c>
    </row>
    <row r="2215" spans="1:12">
      <c r="A2215" s="2683" t="s">
        <v>146</v>
      </c>
      <c r="B2215" s="2683" t="s">
        <v>8358</v>
      </c>
      <c r="C2215" s="2683">
        <v>41.274999999999999</v>
      </c>
      <c r="D2215" s="2683">
        <v>88.9</v>
      </c>
      <c r="E2215" s="2683">
        <v>30.161999999999999</v>
      </c>
      <c r="F2215" s="2683" t="s">
        <v>5922</v>
      </c>
      <c r="G2215" s="2683" t="s">
        <v>5922</v>
      </c>
      <c r="H2215" s="2683" t="s">
        <v>5922</v>
      </c>
      <c r="I2215" s="2683" t="s">
        <v>5922</v>
      </c>
      <c r="J2215" s="2683">
        <v>0.88200000000000001</v>
      </c>
      <c r="K2215" s="2684"/>
      <c r="L2215" s="2683" t="s">
        <v>5922</v>
      </c>
    </row>
    <row r="2216" spans="1:12">
      <c r="A2216" s="2682" t="s">
        <v>146</v>
      </c>
      <c r="B2216" s="2682" t="s">
        <v>8359</v>
      </c>
      <c r="C2216" s="2682">
        <v>244.47499999999999</v>
      </c>
      <c r="D2216" s="2682">
        <v>327.02499999999998</v>
      </c>
      <c r="E2216" s="2682">
        <v>193.67500000000001</v>
      </c>
      <c r="F2216" s="2682" t="s">
        <v>5922</v>
      </c>
      <c r="G2216" s="2682" t="s">
        <v>5922</v>
      </c>
      <c r="H2216" s="2682" t="s">
        <v>5922</v>
      </c>
      <c r="I2216" s="2682" t="s">
        <v>5922</v>
      </c>
      <c r="J2216" s="2682">
        <v>44.26</v>
      </c>
      <c r="L2216" s="2682" t="s">
        <v>5922</v>
      </c>
    </row>
    <row r="2217" spans="1:12">
      <c r="A2217" s="2683" t="s">
        <v>146</v>
      </c>
      <c r="B2217" s="2683" t="s">
        <v>8360</v>
      </c>
      <c r="C2217" s="2683">
        <v>266.7</v>
      </c>
      <c r="D2217" s="2683">
        <v>355.6</v>
      </c>
      <c r="E2217" s="2683">
        <v>230.18799999999999</v>
      </c>
      <c r="F2217" s="2683" t="s">
        <v>5922</v>
      </c>
      <c r="G2217" s="2683" t="s">
        <v>5922</v>
      </c>
      <c r="H2217" s="2683" t="s">
        <v>5922</v>
      </c>
      <c r="I2217" s="2683" t="s">
        <v>5922</v>
      </c>
      <c r="J2217" s="2683">
        <v>61.923000000000002</v>
      </c>
      <c r="K2217" s="2684"/>
      <c r="L2217" s="2683" t="s">
        <v>5922</v>
      </c>
    </row>
    <row r="2218" spans="1:12">
      <c r="A2218" s="2682" t="s">
        <v>146</v>
      </c>
      <c r="B2218" s="2682" t="s">
        <v>8361</v>
      </c>
      <c r="C2218" s="2682" t="s">
        <v>5922</v>
      </c>
      <c r="D2218" s="2682" t="s">
        <v>5922</v>
      </c>
      <c r="E2218" s="2682" t="s">
        <v>5922</v>
      </c>
      <c r="F2218" s="2682" t="s">
        <v>5922</v>
      </c>
      <c r="G2218" s="2682" t="s">
        <v>5922</v>
      </c>
      <c r="H2218" s="2682" t="s">
        <v>5922</v>
      </c>
      <c r="I2218" s="2682" t="s">
        <v>5922</v>
      </c>
      <c r="J2218" s="2682" t="s">
        <v>5922</v>
      </c>
      <c r="L2218" s="2682" t="s">
        <v>5922</v>
      </c>
    </row>
    <row r="2219" spans="1:12">
      <c r="A2219" s="2683" t="s">
        <v>146</v>
      </c>
      <c r="B2219" s="2683" t="s">
        <v>8362</v>
      </c>
      <c r="C2219" s="2683" t="s">
        <v>5922</v>
      </c>
      <c r="D2219" s="2683" t="s">
        <v>5922</v>
      </c>
      <c r="E2219" s="2683" t="s">
        <v>5922</v>
      </c>
      <c r="F2219" s="2683" t="s">
        <v>5922</v>
      </c>
      <c r="G2219" s="2683" t="s">
        <v>5922</v>
      </c>
      <c r="H2219" s="2683" t="s">
        <v>5922</v>
      </c>
      <c r="I2219" s="2683" t="s">
        <v>5922</v>
      </c>
      <c r="J2219" s="2683" t="s">
        <v>5922</v>
      </c>
      <c r="K2219" s="2684"/>
      <c r="L2219" s="2683" t="s">
        <v>5922</v>
      </c>
    </row>
    <row r="2220" spans="1:12">
      <c r="A2220" s="2682" t="s">
        <v>146</v>
      </c>
      <c r="B2220" s="2682" t="s">
        <v>8363</v>
      </c>
      <c r="C2220" s="2682">
        <v>70</v>
      </c>
      <c r="D2220" s="2682">
        <v>120</v>
      </c>
      <c r="E2220" s="2682">
        <v>65.09</v>
      </c>
      <c r="F2220" s="2682" t="s">
        <v>5922</v>
      </c>
      <c r="G2220" s="2682" t="s">
        <v>5922</v>
      </c>
      <c r="H2220" s="2682" t="s">
        <v>5922</v>
      </c>
      <c r="I2220" s="2682" t="s">
        <v>5922</v>
      </c>
      <c r="J2220" s="2682">
        <v>2.76</v>
      </c>
      <c r="L2220" s="2682" t="s">
        <v>5922</v>
      </c>
    </row>
    <row r="2221" spans="1:12">
      <c r="A2221" s="2683" t="s">
        <v>146</v>
      </c>
      <c r="B2221" s="2683" t="s">
        <v>8364</v>
      </c>
      <c r="C2221" s="2683">
        <v>35</v>
      </c>
      <c r="D2221" s="2683">
        <v>64</v>
      </c>
      <c r="E2221" s="2683">
        <v>18.5</v>
      </c>
      <c r="F2221" s="2683" t="s">
        <v>5922</v>
      </c>
      <c r="G2221" s="2683" t="s">
        <v>5922</v>
      </c>
      <c r="H2221" s="2683" t="s">
        <v>5922</v>
      </c>
      <c r="I2221" s="2683" t="s">
        <v>5922</v>
      </c>
      <c r="J2221" s="2683">
        <v>0.51100000000000001</v>
      </c>
      <c r="K2221" s="2684"/>
      <c r="L2221" s="2683" t="s">
        <v>5922</v>
      </c>
    </row>
    <row r="2222" spans="1:12">
      <c r="A2222" s="2682" t="s">
        <v>146</v>
      </c>
      <c r="B2222" s="2682" t="s">
        <v>8365</v>
      </c>
      <c r="C2222" s="2682">
        <v>39</v>
      </c>
      <c r="D2222" s="2682">
        <v>68</v>
      </c>
      <c r="E2222" s="2682">
        <v>18.5</v>
      </c>
      <c r="F2222" s="2682" t="s">
        <v>5922</v>
      </c>
      <c r="G2222" s="2682" t="s">
        <v>5922</v>
      </c>
      <c r="H2222" s="2682" t="s">
        <v>5922</v>
      </c>
      <c r="I2222" s="2682" t="s">
        <v>5922</v>
      </c>
      <c r="J2222" s="2682">
        <v>0.54100000000000004</v>
      </c>
      <c r="L2222" s="2682" t="s">
        <v>5922</v>
      </c>
    </row>
    <row r="2223" spans="1:12">
      <c r="A2223" s="2683" t="s">
        <v>146</v>
      </c>
      <c r="B2223" s="2683" t="s">
        <v>8366</v>
      </c>
      <c r="C2223" s="2683">
        <v>114.3</v>
      </c>
      <c r="D2223" s="2683">
        <v>177.8</v>
      </c>
      <c r="E2223" s="2683">
        <v>92.075000000000003</v>
      </c>
      <c r="F2223" s="2683" t="s">
        <v>5922</v>
      </c>
      <c r="G2223" s="2683" t="s">
        <v>5922</v>
      </c>
      <c r="H2223" s="2683" t="s">
        <v>5922</v>
      </c>
      <c r="I2223" s="2683" t="s">
        <v>5922</v>
      </c>
      <c r="J2223" s="2683">
        <v>7.45</v>
      </c>
      <c r="K2223" s="2684"/>
      <c r="L2223" s="2683" t="s">
        <v>5922</v>
      </c>
    </row>
    <row r="2224" spans="1:12">
      <c r="A2224" s="2682" t="s">
        <v>146</v>
      </c>
      <c r="B2224" s="2682" t="s">
        <v>8367</v>
      </c>
      <c r="C2224" s="2682">
        <v>165.1</v>
      </c>
      <c r="D2224" s="2682">
        <v>225.42500000000001</v>
      </c>
      <c r="E2224" s="2682">
        <v>95.25</v>
      </c>
      <c r="F2224" s="2682" t="s">
        <v>5922</v>
      </c>
      <c r="G2224" s="2682" t="s">
        <v>5922</v>
      </c>
      <c r="H2224" s="2682" t="s">
        <v>5922</v>
      </c>
      <c r="I2224" s="2682" t="s">
        <v>5922</v>
      </c>
      <c r="J2224" s="2682">
        <v>10.51</v>
      </c>
      <c r="L2224" s="2682" t="s">
        <v>5922</v>
      </c>
    </row>
    <row r="2225" spans="1:12">
      <c r="A2225" s="2683" t="s">
        <v>146</v>
      </c>
      <c r="B2225" s="2683" t="s">
        <v>8368</v>
      </c>
      <c r="C2225" s="2683">
        <v>111.125</v>
      </c>
      <c r="D2225" s="2683">
        <v>190.5</v>
      </c>
      <c r="E2225" s="2683">
        <v>106.36199999999999</v>
      </c>
      <c r="F2225" s="2683" t="s">
        <v>5922</v>
      </c>
      <c r="G2225" s="2683" t="s">
        <v>5922</v>
      </c>
      <c r="H2225" s="2683" t="s">
        <v>5922</v>
      </c>
      <c r="I2225" s="2683" t="s">
        <v>5922</v>
      </c>
      <c r="J2225" s="2683">
        <v>11.95</v>
      </c>
      <c r="K2225" s="2684"/>
      <c r="L2225" s="2683" t="s">
        <v>5922</v>
      </c>
    </row>
    <row r="2226" spans="1:12">
      <c r="A2226" s="2682" t="s">
        <v>146</v>
      </c>
      <c r="B2226" s="2682" t="s">
        <v>8369</v>
      </c>
      <c r="C2226" s="2682">
        <v>139.69999999999999</v>
      </c>
      <c r="D2226" s="2682">
        <v>215.9</v>
      </c>
      <c r="E2226" s="2682">
        <v>106.36199999999999</v>
      </c>
      <c r="F2226" s="2682" t="s">
        <v>5922</v>
      </c>
      <c r="G2226" s="2682" t="s">
        <v>5922</v>
      </c>
      <c r="H2226" s="2682" t="s">
        <v>5922</v>
      </c>
      <c r="I2226" s="2682" t="s">
        <v>5922</v>
      </c>
      <c r="J2226" s="2682">
        <v>9.94</v>
      </c>
      <c r="L2226" s="2682" t="s">
        <v>5922</v>
      </c>
    </row>
    <row r="2227" spans="1:12">
      <c r="A2227" s="2683" t="s">
        <v>146</v>
      </c>
      <c r="B2227" s="2683" t="s">
        <v>8370</v>
      </c>
      <c r="C2227" s="2683">
        <v>203.2</v>
      </c>
      <c r="D2227" s="2683">
        <v>406.4</v>
      </c>
      <c r="E2227" s="2683">
        <v>169.85</v>
      </c>
      <c r="F2227" s="2683" t="s">
        <v>5922</v>
      </c>
      <c r="G2227" s="2683" t="s">
        <v>5922</v>
      </c>
      <c r="H2227" s="2683" t="s">
        <v>5922</v>
      </c>
      <c r="I2227" s="2683" t="s">
        <v>5922</v>
      </c>
      <c r="J2227" s="2683">
        <v>107</v>
      </c>
      <c r="K2227" s="2684"/>
      <c r="L2227" s="2683" t="s">
        <v>5922</v>
      </c>
    </row>
    <row r="2228" spans="1:12">
      <c r="A2228" s="2682" t="s">
        <v>146</v>
      </c>
      <c r="B2228" s="2682" t="s">
        <v>8371</v>
      </c>
      <c r="C2228" s="2682">
        <v>249.25</v>
      </c>
      <c r="D2228" s="2682">
        <v>381</v>
      </c>
      <c r="E2228" s="2682">
        <v>171.45</v>
      </c>
      <c r="F2228" s="2682" t="s">
        <v>5922</v>
      </c>
      <c r="G2228" s="2682" t="s">
        <v>5922</v>
      </c>
      <c r="H2228" s="2682" t="s">
        <v>5922</v>
      </c>
      <c r="I2228" s="2682" t="s">
        <v>5922</v>
      </c>
      <c r="J2228" s="2682">
        <v>63.4</v>
      </c>
      <c r="L2228" s="2682" t="s">
        <v>5922</v>
      </c>
    </row>
    <row r="2229" spans="1:12">
      <c r="A2229" s="2683" t="s">
        <v>146</v>
      </c>
      <c r="B2229" s="2683" t="s">
        <v>8372</v>
      </c>
      <c r="C2229" s="2683">
        <v>119.062</v>
      </c>
      <c r="D2229" s="2683">
        <v>195</v>
      </c>
      <c r="E2229" s="2683">
        <v>142.875</v>
      </c>
      <c r="F2229" s="2683" t="s">
        <v>5922</v>
      </c>
      <c r="G2229" s="2683" t="s">
        <v>5922</v>
      </c>
      <c r="H2229" s="2683" t="s">
        <v>5922</v>
      </c>
      <c r="I2229" s="2683" t="s">
        <v>5922</v>
      </c>
      <c r="J2229" s="2683" t="s">
        <v>5922</v>
      </c>
      <c r="K2229" s="2684"/>
      <c r="L2229" s="2683" t="s">
        <v>5922</v>
      </c>
    </row>
    <row r="2230" spans="1:12">
      <c r="A2230" s="2682" t="s">
        <v>146</v>
      </c>
      <c r="B2230" s="2682" t="s">
        <v>8373</v>
      </c>
      <c r="C2230" s="2682">
        <v>144.44999999999999</v>
      </c>
      <c r="D2230" s="2682">
        <v>220.66300000000001</v>
      </c>
      <c r="E2230" s="2682">
        <v>155.57599999999999</v>
      </c>
      <c r="F2230" s="2682" t="s">
        <v>5922</v>
      </c>
      <c r="G2230" s="2682" t="s">
        <v>5922</v>
      </c>
      <c r="H2230" s="2682" t="s">
        <v>5922</v>
      </c>
      <c r="I2230" s="2682" t="s">
        <v>5922</v>
      </c>
      <c r="J2230" s="2682">
        <v>18.2</v>
      </c>
      <c r="L2230" s="2682" t="s">
        <v>5922</v>
      </c>
    </row>
    <row r="2231" spans="1:12">
      <c r="A2231" s="2683" t="s">
        <v>146</v>
      </c>
      <c r="B2231" s="2683" t="s">
        <v>8374</v>
      </c>
      <c r="C2231" s="2683">
        <v>368.24900000000002</v>
      </c>
      <c r="D2231" s="2683">
        <v>523.85699999999997</v>
      </c>
      <c r="E2231" s="2683">
        <v>203.2</v>
      </c>
      <c r="F2231" s="2683" t="s">
        <v>5922</v>
      </c>
      <c r="G2231" s="2683" t="s">
        <v>5922</v>
      </c>
      <c r="H2231" s="2683" t="s">
        <v>5922</v>
      </c>
      <c r="I2231" s="2683" t="s">
        <v>5922</v>
      </c>
      <c r="J2231" s="2683">
        <v>184</v>
      </c>
      <c r="K2231" s="2684"/>
      <c r="L2231" s="2683">
        <v>97974</v>
      </c>
    </row>
    <row r="2232" spans="1:12">
      <c r="A2232" s="2682" t="s">
        <v>146</v>
      </c>
      <c r="B2232" s="2682" t="s">
        <v>8375</v>
      </c>
      <c r="C2232" s="2682">
        <v>355.6</v>
      </c>
      <c r="D2232" s="2682">
        <v>501.65</v>
      </c>
      <c r="E2232" s="2682">
        <v>146.05000000000001</v>
      </c>
      <c r="F2232" s="2682" t="s">
        <v>5922</v>
      </c>
      <c r="G2232" s="2682" t="s">
        <v>5922</v>
      </c>
      <c r="H2232" s="2682" t="s">
        <v>5922</v>
      </c>
      <c r="I2232" s="2682" t="s">
        <v>5922</v>
      </c>
      <c r="J2232" s="2682">
        <v>88</v>
      </c>
      <c r="L2232" s="2682" t="s">
        <v>5922</v>
      </c>
    </row>
    <row r="2233" spans="1:12">
      <c r="A2233" s="2683" t="s">
        <v>146</v>
      </c>
      <c r="B2233" s="2683" t="s">
        <v>8376</v>
      </c>
      <c r="C2233" s="2683">
        <v>65</v>
      </c>
      <c r="D2233" s="2683">
        <v>120</v>
      </c>
      <c r="E2233" s="2683">
        <v>86</v>
      </c>
      <c r="F2233" s="2683" t="s">
        <v>5922</v>
      </c>
      <c r="G2233" s="2683" t="s">
        <v>5922</v>
      </c>
      <c r="H2233" s="2683" t="s">
        <v>5922</v>
      </c>
      <c r="I2233" s="2683" t="s">
        <v>5922</v>
      </c>
      <c r="J2233" s="2683">
        <v>3.89</v>
      </c>
      <c r="K2233" s="2684"/>
      <c r="L2233" s="2683" t="s">
        <v>5922</v>
      </c>
    </row>
    <row r="2234" spans="1:12">
      <c r="A2234" s="2682" t="s">
        <v>146</v>
      </c>
      <c r="B2234" s="2682" t="s">
        <v>8377</v>
      </c>
      <c r="C2234" s="2682">
        <v>65</v>
      </c>
      <c r="D2234" s="2682">
        <v>120</v>
      </c>
      <c r="E2234" s="2682">
        <v>86</v>
      </c>
      <c r="F2234" s="2682" t="s">
        <v>5922</v>
      </c>
      <c r="G2234" s="2682" t="s">
        <v>5922</v>
      </c>
      <c r="H2234" s="2682" t="s">
        <v>5922</v>
      </c>
      <c r="I2234" s="2682" t="s">
        <v>5922</v>
      </c>
      <c r="J2234" s="2682">
        <v>3.89</v>
      </c>
      <c r="L2234" s="2682" t="s">
        <v>5922</v>
      </c>
    </row>
    <row r="2235" spans="1:12">
      <c r="A2235" s="2683" t="s">
        <v>146</v>
      </c>
      <c r="B2235" s="2683" t="s">
        <v>8378</v>
      </c>
      <c r="C2235" s="2683">
        <v>177.8</v>
      </c>
      <c r="D2235" s="2683">
        <v>288.92500000000001</v>
      </c>
      <c r="E2235" s="2683">
        <v>142.875</v>
      </c>
      <c r="F2235" s="2683" t="s">
        <v>5922</v>
      </c>
      <c r="G2235" s="2683" t="s">
        <v>5922</v>
      </c>
      <c r="H2235" s="2683" t="s">
        <v>5922</v>
      </c>
      <c r="I2235" s="2683" t="s">
        <v>5922</v>
      </c>
      <c r="J2235" s="2683">
        <v>31.4</v>
      </c>
      <c r="K2235" s="2684"/>
      <c r="L2235" s="2683" t="s">
        <v>5922</v>
      </c>
    </row>
    <row r="2236" spans="1:12">
      <c r="A2236" s="2682" t="s">
        <v>146</v>
      </c>
      <c r="B2236" s="2682" t="s">
        <v>8379</v>
      </c>
      <c r="C2236" s="2682">
        <v>177.8</v>
      </c>
      <c r="D2236" s="2682">
        <v>288.29500000000002</v>
      </c>
      <c r="E2236" s="2682">
        <v>123.825</v>
      </c>
      <c r="F2236" s="2682" t="s">
        <v>5922</v>
      </c>
      <c r="G2236" s="2682" t="s">
        <v>5922</v>
      </c>
      <c r="H2236" s="2682" t="s">
        <v>5922</v>
      </c>
      <c r="I2236" s="2682" t="s">
        <v>5922</v>
      </c>
      <c r="J2236" s="2682">
        <v>31.5</v>
      </c>
      <c r="L2236" s="2682" t="s">
        <v>8380</v>
      </c>
    </row>
    <row r="2237" spans="1:12">
      <c r="A2237" s="2683" t="s">
        <v>146</v>
      </c>
      <c r="B2237" s="2683" t="s">
        <v>8381</v>
      </c>
      <c r="C2237" s="2683">
        <v>177.8</v>
      </c>
      <c r="D2237" s="2683">
        <v>288.92500000000001</v>
      </c>
      <c r="E2237" s="2683">
        <v>142.875</v>
      </c>
      <c r="F2237" s="2683" t="s">
        <v>5922</v>
      </c>
      <c r="G2237" s="2683" t="s">
        <v>5922</v>
      </c>
      <c r="H2237" s="2683" t="s">
        <v>5922</v>
      </c>
      <c r="I2237" s="2683" t="s">
        <v>5922</v>
      </c>
      <c r="J2237" s="2683">
        <v>30.8</v>
      </c>
      <c r="K2237" s="2684"/>
      <c r="L2237" s="2683" t="s">
        <v>8382</v>
      </c>
    </row>
    <row r="2238" spans="1:12">
      <c r="A2238" s="2682" t="s">
        <v>146</v>
      </c>
      <c r="B2238" s="2682" t="s">
        <v>8383</v>
      </c>
      <c r="C2238" s="2682">
        <v>177.8</v>
      </c>
      <c r="D2238" s="2682">
        <v>288.92500000000001</v>
      </c>
      <c r="E2238" s="2682">
        <v>142.875</v>
      </c>
      <c r="F2238" s="2682" t="s">
        <v>5922</v>
      </c>
      <c r="G2238" s="2682" t="s">
        <v>5922</v>
      </c>
      <c r="H2238" s="2682" t="s">
        <v>5922</v>
      </c>
      <c r="I2238" s="2682" t="s">
        <v>5922</v>
      </c>
      <c r="J2238" s="2682">
        <v>33</v>
      </c>
      <c r="L2238" s="2682" t="s">
        <v>5922</v>
      </c>
    </row>
    <row r="2239" spans="1:12">
      <c r="A2239" s="2683" t="s">
        <v>146</v>
      </c>
      <c r="B2239" s="2683" t="s">
        <v>8384</v>
      </c>
      <c r="C2239" s="2683">
        <v>203.2</v>
      </c>
      <c r="D2239" s="2683">
        <v>276.22500000000002</v>
      </c>
      <c r="E2239" s="2683">
        <v>95.25</v>
      </c>
      <c r="F2239" s="2683" t="s">
        <v>5922</v>
      </c>
      <c r="G2239" s="2683" t="s">
        <v>5922</v>
      </c>
      <c r="H2239" s="2683" t="s">
        <v>5922</v>
      </c>
      <c r="I2239" s="2683" t="s">
        <v>5922</v>
      </c>
      <c r="J2239" s="2683">
        <v>14.8</v>
      </c>
      <c r="K2239" s="2684"/>
      <c r="L2239" s="2683" t="s">
        <v>8385</v>
      </c>
    </row>
    <row r="2240" spans="1:12">
      <c r="A2240" s="2682" t="s">
        <v>146</v>
      </c>
      <c r="B2240" s="2682" t="s">
        <v>8386</v>
      </c>
      <c r="C2240" s="2682" t="s">
        <v>8387</v>
      </c>
      <c r="D2240" s="2682" t="s">
        <v>2524</v>
      </c>
      <c r="E2240" s="2682" t="s">
        <v>3811</v>
      </c>
      <c r="F2240" s="2682" t="s">
        <v>5922</v>
      </c>
      <c r="G2240" s="2682" t="s">
        <v>5922</v>
      </c>
      <c r="H2240" s="2682" t="s">
        <v>5922</v>
      </c>
      <c r="I2240" s="2682" t="s">
        <v>5922</v>
      </c>
      <c r="J2240" s="2682">
        <v>24.4</v>
      </c>
      <c r="L2240" s="2682" t="s">
        <v>5922</v>
      </c>
    </row>
    <row r="2241" spans="1:12">
      <c r="A2241" s="2683" t="s">
        <v>146</v>
      </c>
      <c r="B2241" s="2683" t="s">
        <v>8388</v>
      </c>
      <c r="C2241" s="2683">
        <v>498.47500000000002</v>
      </c>
      <c r="D2241" s="2683">
        <v>634.87300000000005</v>
      </c>
      <c r="E2241" s="2683">
        <v>177.8</v>
      </c>
      <c r="F2241" s="2683" t="s">
        <v>5922</v>
      </c>
      <c r="G2241" s="2683" t="s">
        <v>5922</v>
      </c>
      <c r="H2241" s="2683" t="s">
        <v>5922</v>
      </c>
      <c r="I2241" s="2683" t="s">
        <v>5922</v>
      </c>
      <c r="J2241" s="2683">
        <v>127</v>
      </c>
      <c r="K2241" s="2684"/>
      <c r="L2241" s="2683" t="s">
        <v>8389</v>
      </c>
    </row>
    <row r="2242" spans="1:12">
      <c r="A2242" s="2682" t="s">
        <v>146</v>
      </c>
      <c r="B2242" s="2682" t="s">
        <v>8390</v>
      </c>
      <c r="C2242" s="2682">
        <v>279.39999999999998</v>
      </c>
      <c r="D2242" s="2682">
        <v>457.2</v>
      </c>
      <c r="E2242" s="2682">
        <v>244.75</v>
      </c>
      <c r="F2242" s="2682" t="s">
        <v>5922</v>
      </c>
      <c r="G2242" s="2682" t="s">
        <v>5922</v>
      </c>
      <c r="H2242" s="2682" t="s">
        <v>5922</v>
      </c>
      <c r="I2242" s="2682" t="s">
        <v>5922</v>
      </c>
      <c r="J2242" s="2682">
        <v>180.75</v>
      </c>
      <c r="L2242" s="2682" t="s">
        <v>5922</v>
      </c>
    </row>
    <row r="2243" spans="1:12">
      <c r="A2243" s="2683" t="s">
        <v>146</v>
      </c>
      <c r="B2243" s="2683" t="s">
        <v>8391</v>
      </c>
      <c r="C2243" s="2683">
        <v>303.21199999999999</v>
      </c>
      <c r="D2243" s="2683">
        <v>495.3</v>
      </c>
      <c r="E2243" s="2683">
        <v>263.52499999999998</v>
      </c>
      <c r="F2243" s="2683" t="s">
        <v>5922</v>
      </c>
      <c r="G2243" s="2683" t="s">
        <v>5922</v>
      </c>
      <c r="H2243" s="2683" t="s">
        <v>5922</v>
      </c>
      <c r="I2243" s="2683" t="s">
        <v>5922</v>
      </c>
      <c r="J2243" s="2683">
        <v>223.84</v>
      </c>
      <c r="K2243" s="2684"/>
      <c r="L2243" s="2683" t="s">
        <v>5922</v>
      </c>
    </row>
    <row r="2244" spans="1:12">
      <c r="A2244" s="2682" t="s">
        <v>146</v>
      </c>
      <c r="B2244" s="2682" t="s">
        <v>8392</v>
      </c>
      <c r="C2244" s="2682" t="s">
        <v>8387</v>
      </c>
      <c r="D2244" s="2682" t="s">
        <v>2524</v>
      </c>
      <c r="E2244" s="2682" t="s">
        <v>3811</v>
      </c>
      <c r="F2244" s="2682" t="s">
        <v>5922</v>
      </c>
      <c r="G2244" s="2682" t="s">
        <v>5922</v>
      </c>
      <c r="H2244" s="2682" t="s">
        <v>5922</v>
      </c>
      <c r="I2244" s="2682" t="s">
        <v>5922</v>
      </c>
      <c r="J2244" s="2682">
        <v>102</v>
      </c>
      <c r="L2244" s="2682" t="s">
        <v>5922</v>
      </c>
    </row>
    <row r="2245" spans="1:12">
      <c r="A2245" s="2683" t="s">
        <v>146</v>
      </c>
      <c r="B2245" s="2683" t="s">
        <v>8393</v>
      </c>
      <c r="C2245" s="2683">
        <v>333.375</v>
      </c>
      <c r="D2245" s="2683">
        <v>469.9</v>
      </c>
      <c r="E2245" s="2683">
        <v>342.9</v>
      </c>
      <c r="F2245" s="2683" t="s">
        <v>5922</v>
      </c>
      <c r="G2245" s="2683" t="s">
        <v>5922</v>
      </c>
      <c r="H2245" s="2683" t="s">
        <v>5922</v>
      </c>
      <c r="I2245" s="2683" t="s">
        <v>5922</v>
      </c>
      <c r="J2245" s="2683">
        <v>194</v>
      </c>
      <c r="K2245" s="2684"/>
      <c r="L2245" s="2683">
        <v>77970</v>
      </c>
    </row>
    <row r="2246" spans="1:12">
      <c r="A2246" s="2682" t="s">
        <v>146</v>
      </c>
      <c r="B2246" s="2682" t="s">
        <v>8394</v>
      </c>
      <c r="C2246" s="2682">
        <v>368.24900000000002</v>
      </c>
      <c r="D2246" s="2682">
        <v>523.875</v>
      </c>
      <c r="E2246" s="2682">
        <v>214.31200000000001</v>
      </c>
      <c r="F2246" s="2682" t="s">
        <v>5922</v>
      </c>
      <c r="G2246" s="2682" t="s">
        <v>5922</v>
      </c>
      <c r="H2246" s="2682" t="s">
        <v>5922</v>
      </c>
      <c r="I2246" s="2682" t="s">
        <v>5922</v>
      </c>
      <c r="J2246" s="2682">
        <v>143</v>
      </c>
      <c r="L2246" s="2682" t="s">
        <v>8395</v>
      </c>
    </row>
    <row r="2247" spans="1:12">
      <c r="A2247" s="2683" t="s">
        <v>146</v>
      </c>
      <c r="B2247" s="2683" t="s">
        <v>8396</v>
      </c>
      <c r="C2247" s="2683" t="s">
        <v>8387</v>
      </c>
      <c r="D2247" s="2683" t="s">
        <v>2524</v>
      </c>
      <c r="E2247" s="2683" t="s">
        <v>3811</v>
      </c>
      <c r="F2247" s="2683" t="s">
        <v>5922</v>
      </c>
      <c r="G2247" s="2683" t="s">
        <v>5922</v>
      </c>
      <c r="H2247" s="2683" t="s">
        <v>5922</v>
      </c>
      <c r="I2247" s="2683" t="s">
        <v>5922</v>
      </c>
      <c r="J2247" s="2683">
        <v>140</v>
      </c>
      <c r="K2247" s="2684"/>
      <c r="L2247" s="2683" t="s">
        <v>5922</v>
      </c>
    </row>
    <row r="2248" spans="1:12">
      <c r="A2248" s="2682" t="s">
        <v>146</v>
      </c>
      <c r="B2248" s="2682" t="s">
        <v>8397</v>
      </c>
      <c r="C2248" s="2682">
        <v>482.6</v>
      </c>
      <c r="D2248" s="2682">
        <v>615.95000000000005</v>
      </c>
      <c r="E2248" s="2682">
        <v>33.020000000000003</v>
      </c>
      <c r="F2248" s="2682" t="s">
        <v>5922</v>
      </c>
      <c r="G2248" s="2682" t="s">
        <v>5922</v>
      </c>
      <c r="H2248" s="2682" t="s">
        <v>5922</v>
      </c>
      <c r="I2248" s="2682" t="s">
        <v>5922</v>
      </c>
      <c r="J2248" s="2682">
        <v>252</v>
      </c>
      <c r="L2248" s="2682" t="s">
        <v>5922</v>
      </c>
    </row>
    <row r="2249" spans="1:12">
      <c r="A2249" s="2683" t="s">
        <v>146</v>
      </c>
      <c r="B2249" s="2683" t="s">
        <v>8398</v>
      </c>
      <c r="C2249" s="2683">
        <v>187.32499999999999</v>
      </c>
      <c r="D2249" s="2683">
        <v>269.875</v>
      </c>
      <c r="E2249" s="2683">
        <v>119.062</v>
      </c>
      <c r="F2249" s="2683" t="s">
        <v>5922</v>
      </c>
      <c r="G2249" s="2683" t="s">
        <v>5922</v>
      </c>
      <c r="H2249" s="2683" t="s">
        <v>5922</v>
      </c>
      <c r="I2249" s="2683" t="s">
        <v>5922</v>
      </c>
      <c r="J2249" s="2683">
        <v>19.3</v>
      </c>
      <c r="K2249" s="2684"/>
      <c r="L2249" s="2683" t="s">
        <v>5922</v>
      </c>
    </row>
    <row r="2250" spans="1:12">
      <c r="A2250" s="2682" t="s">
        <v>146</v>
      </c>
      <c r="B2250" s="2682" t="s">
        <v>8399</v>
      </c>
      <c r="C2250" s="2682">
        <v>228.6</v>
      </c>
      <c r="D2250" s="2682">
        <v>358.77499999999998</v>
      </c>
      <c r="E2250" s="2682">
        <v>152.4</v>
      </c>
      <c r="F2250" s="2682" t="s">
        <v>5922</v>
      </c>
      <c r="G2250" s="2682" t="s">
        <v>5922</v>
      </c>
      <c r="H2250" s="2682" t="s">
        <v>5922</v>
      </c>
      <c r="I2250" s="2682" t="s">
        <v>5922</v>
      </c>
      <c r="J2250" s="2682">
        <v>56.7</v>
      </c>
      <c r="L2250" s="2682" t="s">
        <v>5922</v>
      </c>
    </row>
    <row r="2251" spans="1:12">
      <c r="A2251" s="2683" t="s">
        <v>146</v>
      </c>
      <c r="B2251" s="2683" t="s">
        <v>8400</v>
      </c>
      <c r="C2251" s="2683" t="s">
        <v>8387</v>
      </c>
      <c r="D2251" s="2683" t="s">
        <v>2524</v>
      </c>
      <c r="E2251" s="2683" t="s">
        <v>3811</v>
      </c>
      <c r="F2251" s="2683" t="s">
        <v>5922</v>
      </c>
      <c r="G2251" s="2683" t="s">
        <v>5922</v>
      </c>
      <c r="H2251" s="2683" t="s">
        <v>5922</v>
      </c>
      <c r="I2251" s="2683" t="s">
        <v>5922</v>
      </c>
      <c r="J2251" s="2683">
        <v>58</v>
      </c>
      <c r="K2251" s="2684"/>
      <c r="L2251" s="2683" t="s">
        <v>8161</v>
      </c>
    </row>
    <row r="2252" spans="1:12">
      <c r="A2252" s="2682" t="s">
        <v>146</v>
      </c>
      <c r="B2252" s="2682" t="s">
        <v>8401</v>
      </c>
      <c r="C2252" s="2682">
        <v>415.93</v>
      </c>
      <c r="D2252" s="2682">
        <v>590.54999999999995</v>
      </c>
      <c r="E2252" s="2682">
        <v>209.55</v>
      </c>
      <c r="F2252" s="2682" t="s">
        <v>5922</v>
      </c>
      <c r="G2252" s="2682" t="s">
        <v>5922</v>
      </c>
      <c r="H2252" s="2682" t="s">
        <v>5922</v>
      </c>
      <c r="I2252" s="2682" t="s">
        <v>5922</v>
      </c>
      <c r="J2252" s="2682">
        <v>179</v>
      </c>
      <c r="L2252" s="2682" t="s">
        <v>5922</v>
      </c>
    </row>
    <row r="2253" spans="1:12">
      <c r="A2253" s="2683" t="s">
        <v>146</v>
      </c>
      <c r="B2253" s="2683" t="s">
        <v>8402</v>
      </c>
      <c r="C2253" s="2683">
        <v>447.67500000000001</v>
      </c>
      <c r="D2253" s="2683">
        <v>635</v>
      </c>
      <c r="E2253" s="2683">
        <v>223.83799999999999</v>
      </c>
      <c r="F2253" s="2683" t="s">
        <v>5922</v>
      </c>
      <c r="G2253" s="2683" t="s">
        <v>5922</v>
      </c>
      <c r="H2253" s="2683" t="s">
        <v>5922</v>
      </c>
      <c r="I2253" s="2683" t="s">
        <v>5922</v>
      </c>
      <c r="J2253" s="2683">
        <v>238.3</v>
      </c>
      <c r="K2253" s="2684"/>
      <c r="L2253" s="2683" t="s">
        <v>5922</v>
      </c>
    </row>
    <row r="2254" spans="1:12">
      <c r="A2254" s="2682" t="s">
        <v>146</v>
      </c>
      <c r="B2254" s="2682" t="s">
        <v>8403</v>
      </c>
      <c r="C2254" s="2682">
        <v>479.42500000000001</v>
      </c>
      <c r="D2254" s="2682">
        <v>679.45</v>
      </c>
      <c r="E2254" s="2682">
        <v>276.22500000000002</v>
      </c>
      <c r="F2254" s="2682" t="s">
        <v>5922</v>
      </c>
      <c r="G2254" s="2682" t="s">
        <v>5922</v>
      </c>
      <c r="H2254" s="2682" t="s">
        <v>5922</v>
      </c>
      <c r="I2254" s="2682" t="s">
        <v>5922</v>
      </c>
      <c r="J2254" s="2682">
        <v>322</v>
      </c>
      <c r="L2254" s="2682" t="s">
        <v>8404</v>
      </c>
    </row>
    <row r="2255" spans="1:12">
      <c r="A2255" s="2683" t="s">
        <v>146</v>
      </c>
      <c r="B2255" s="2683" t="s">
        <v>8405</v>
      </c>
      <c r="C2255" s="2683">
        <v>304.8</v>
      </c>
      <c r="D2255" s="2683">
        <v>393.7</v>
      </c>
      <c r="E2255" s="2683">
        <v>50.8</v>
      </c>
      <c r="F2255" s="2683" t="s">
        <v>5922</v>
      </c>
      <c r="G2255" s="2683" t="s">
        <v>5922</v>
      </c>
      <c r="H2255" s="2683" t="s">
        <v>5922</v>
      </c>
      <c r="I2255" s="2683" t="s">
        <v>5922</v>
      </c>
      <c r="J2255" s="2683">
        <v>14.6</v>
      </c>
      <c r="K2255" s="2684"/>
      <c r="L2255" s="2683" t="s">
        <v>5922</v>
      </c>
    </row>
    <row r="2256" spans="1:12">
      <c r="A2256" s="2682" t="s">
        <v>146</v>
      </c>
      <c r="B2256" s="2682" t="s">
        <v>8406</v>
      </c>
      <c r="C2256" s="2682">
        <v>304.8</v>
      </c>
      <c r="D2256" s="2682">
        <v>393.7</v>
      </c>
      <c r="E2256" s="2682">
        <v>107.95</v>
      </c>
      <c r="F2256" s="2682" t="s">
        <v>5922</v>
      </c>
      <c r="G2256" s="2682" t="s">
        <v>5922</v>
      </c>
      <c r="H2256" s="2682" t="s">
        <v>5922</v>
      </c>
      <c r="I2256" s="2682" t="s">
        <v>5922</v>
      </c>
      <c r="J2256" s="2682">
        <v>30</v>
      </c>
      <c r="L2256" s="2682" t="s">
        <v>6721</v>
      </c>
    </row>
    <row r="2257" spans="1:12">
      <c r="A2257" s="2683" t="s">
        <v>146</v>
      </c>
      <c r="B2257" s="2683" t="s">
        <v>8407</v>
      </c>
      <c r="C2257" s="2683">
        <v>203.2</v>
      </c>
      <c r="D2257" s="2683">
        <v>368.3</v>
      </c>
      <c r="E2257" s="2683">
        <v>158.72</v>
      </c>
      <c r="F2257" s="2683" t="s">
        <v>5922</v>
      </c>
      <c r="G2257" s="2683" t="s">
        <v>5922</v>
      </c>
      <c r="H2257" s="2683" t="s">
        <v>5922</v>
      </c>
      <c r="I2257" s="2683" t="s">
        <v>5922</v>
      </c>
      <c r="J2257" s="2683">
        <v>76.2</v>
      </c>
      <c r="K2257" s="2684"/>
      <c r="L2257" s="2683" t="s">
        <v>8408</v>
      </c>
    </row>
    <row r="2258" spans="1:12">
      <c r="A2258" s="2682" t="s">
        <v>146</v>
      </c>
      <c r="B2258" s="2682" t="s">
        <v>8409</v>
      </c>
      <c r="C2258" s="2682">
        <v>65</v>
      </c>
      <c r="D2258" s="2682">
        <v>110</v>
      </c>
      <c r="E2258" s="2682">
        <v>62</v>
      </c>
      <c r="F2258" s="2682" t="s">
        <v>5922</v>
      </c>
      <c r="G2258" s="2682" t="s">
        <v>5922</v>
      </c>
      <c r="H2258" s="2682" t="s">
        <v>5922</v>
      </c>
      <c r="I2258" s="2682" t="s">
        <v>5922</v>
      </c>
      <c r="J2258" s="2682">
        <v>2.25</v>
      </c>
      <c r="L2258" s="2682" t="s">
        <v>5922</v>
      </c>
    </row>
    <row r="2259" spans="1:12">
      <c r="A2259" s="2683" t="s">
        <v>146</v>
      </c>
      <c r="B2259" s="2683" t="s">
        <v>8410</v>
      </c>
      <c r="C2259" s="2683">
        <v>170</v>
      </c>
      <c r="D2259" s="2683">
        <v>230</v>
      </c>
      <c r="E2259" s="2683">
        <v>87</v>
      </c>
      <c r="F2259" s="2683" t="s">
        <v>5922</v>
      </c>
      <c r="G2259" s="2683" t="s">
        <v>5922</v>
      </c>
      <c r="H2259" s="2683" t="s">
        <v>5922</v>
      </c>
      <c r="I2259" s="2683" t="s">
        <v>5922</v>
      </c>
      <c r="J2259" s="2683">
        <v>9.4</v>
      </c>
      <c r="K2259" s="2684"/>
      <c r="L2259" s="2683" t="s">
        <v>5922</v>
      </c>
    </row>
    <row r="2260" spans="1:12">
      <c r="A2260" s="2682" t="s">
        <v>146</v>
      </c>
      <c r="B2260" s="2682" t="s">
        <v>8411</v>
      </c>
      <c r="C2260" s="2682">
        <v>292.10000000000002</v>
      </c>
      <c r="D2260" s="2682">
        <v>469.9</v>
      </c>
      <c r="E2260" s="2682">
        <v>200.02500000000001</v>
      </c>
      <c r="F2260" s="2682" t="s">
        <v>5922</v>
      </c>
      <c r="G2260" s="2682" t="s">
        <v>5922</v>
      </c>
      <c r="H2260" s="2682" t="s">
        <v>5922</v>
      </c>
      <c r="I2260" s="2682" t="s">
        <v>5922</v>
      </c>
      <c r="J2260" s="2682">
        <v>122</v>
      </c>
      <c r="L2260" s="2682" t="s">
        <v>5922</v>
      </c>
    </row>
    <row r="2261" spans="1:12">
      <c r="A2261" s="2683" t="s">
        <v>146</v>
      </c>
      <c r="B2261" s="2683" t="s">
        <v>8412</v>
      </c>
      <c r="C2261" s="2683">
        <v>458.95</v>
      </c>
      <c r="D2261" s="2683">
        <v>634.87300000000005</v>
      </c>
      <c r="E2261" s="2683">
        <v>180.97499999999999</v>
      </c>
      <c r="F2261" s="2683" t="s">
        <v>5922</v>
      </c>
      <c r="G2261" s="2683" t="s">
        <v>5922</v>
      </c>
      <c r="H2261" s="2683" t="s">
        <v>5922</v>
      </c>
      <c r="I2261" s="2683" t="s">
        <v>5922</v>
      </c>
      <c r="J2261" s="2683">
        <v>138</v>
      </c>
      <c r="K2261" s="2684"/>
      <c r="L2261" s="2683" t="s">
        <v>5922</v>
      </c>
    </row>
    <row r="2262" spans="1:12">
      <c r="A2262" s="2682" t="s">
        <v>146</v>
      </c>
      <c r="B2262" s="2682" t="s">
        <v>8413</v>
      </c>
      <c r="C2262" s="2682">
        <v>254</v>
      </c>
      <c r="D2262" s="2682">
        <v>438.15</v>
      </c>
      <c r="E2262" s="2682">
        <v>165.1</v>
      </c>
      <c r="F2262" s="2682" t="s">
        <v>5922</v>
      </c>
      <c r="G2262" s="2682" t="s">
        <v>5922</v>
      </c>
      <c r="H2262" s="2682" t="s">
        <v>5922</v>
      </c>
      <c r="I2262" s="2682" t="s">
        <v>5922</v>
      </c>
      <c r="J2262" s="2682">
        <v>105</v>
      </c>
      <c r="L2262" s="2682" t="s">
        <v>8414</v>
      </c>
    </row>
    <row r="2263" spans="1:12">
      <c r="A2263" s="2683" t="s">
        <v>146</v>
      </c>
      <c r="B2263" s="2683" t="s">
        <v>8415</v>
      </c>
      <c r="C2263" s="2683">
        <v>254</v>
      </c>
      <c r="D2263" s="2683">
        <v>444.5</v>
      </c>
      <c r="E2263" s="2683">
        <v>133.35</v>
      </c>
      <c r="F2263" s="2683" t="s">
        <v>5922</v>
      </c>
      <c r="G2263" s="2683" t="s">
        <v>5922</v>
      </c>
      <c r="H2263" s="2683" t="s">
        <v>5922</v>
      </c>
      <c r="I2263" s="2683" t="s">
        <v>5922</v>
      </c>
      <c r="J2263" s="2683">
        <v>88</v>
      </c>
      <c r="K2263" s="2684"/>
      <c r="L2263" s="2683" t="s">
        <v>5922</v>
      </c>
    </row>
    <row r="2264" spans="1:12">
      <c r="A2264" s="2682" t="s">
        <v>146</v>
      </c>
      <c r="B2264" s="2682" t="s">
        <v>8416</v>
      </c>
      <c r="C2264" s="2682">
        <v>558.79999999999995</v>
      </c>
      <c r="D2264" s="2682">
        <v>742.95</v>
      </c>
      <c r="E2264" s="2682">
        <v>187.328</v>
      </c>
      <c r="F2264" s="2682" t="s">
        <v>5922</v>
      </c>
      <c r="G2264" s="2682" t="s">
        <v>5922</v>
      </c>
      <c r="H2264" s="2682" t="s">
        <v>5922</v>
      </c>
      <c r="I2264" s="2682" t="s">
        <v>5922</v>
      </c>
      <c r="J2264" s="2682">
        <v>205</v>
      </c>
      <c r="L2264" s="2682" t="s">
        <v>8417</v>
      </c>
    </row>
    <row r="2265" spans="1:12">
      <c r="A2265" s="2683" t="s">
        <v>146</v>
      </c>
      <c r="B2265" s="2683" t="s">
        <v>8418</v>
      </c>
      <c r="C2265" s="2683">
        <v>558.79999999999995</v>
      </c>
      <c r="D2265" s="2683">
        <v>742.95</v>
      </c>
      <c r="E2265" s="2683">
        <v>187.328</v>
      </c>
      <c r="F2265" s="2683" t="s">
        <v>5922</v>
      </c>
      <c r="G2265" s="2683" t="s">
        <v>5922</v>
      </c>
      <c r="H2265" s="2683" t="s">
        <v>5922</v>
      </c>
      <c r="I2265" s="2683" t="s">
        <v>5922</v>
      </c>
      <c r="J2265" s="2683">
        <v>205</v>
      </c>
      <c r="K2265" s="2684"/>
      <c r="L2265" s="2683" t="s">
        <v>8419</v>
      </c>
    </row>
    <row r="2266" spans="1:12">
      <c r="A2266" s="2682" t="s">
        <v>146</v>
      </c>
      <c r="B2266" s="2682" t="s">
        <v>8420</v>
      </c>
      <c r="C2266" s="2682">
        <v>558.79999999999995</v>
      </c>
      <c r="D2266" s="2682">
        <v>742.95</v>
      </c>
      <c r="E2266" s="2682">
        <v>187.328</v>
      </c>
      <c r="F2266" s="2682" t="s">
        <v>5922</v>
      </c>
      <c r="G2266" s="2682" t="s">
        <v>5922</v>
      </c>
      <c r="H2266" s="2682" t="s">
        <v>5922</v>
      </c>
      <c r="I2266" s="2682" t="s">
        <v>5922</v>
      </c>
      <c r="J2266" s="2682">
        <v>205</v>
      </c>
      <c r="L2266" s="2682" t="s">
        <v>8421</v>
      </c>
    </row>
    <row r="2267" spans="1:12">
      <c r="A2267" s="2683" t="s">
        <v>146</v>
      </c>
      <c r="B2267" s="2683" t="s">
        <v>8422</v>
      </c>
      <c r="C2267" s="2683">
        <v>127.792</v>
      </c>
      <c r="D2267" s="2683">
        <v>228.6</v>
      </c>
      <c r="E2267" s="2683">
        <v>115.88800000000001</v>
      </c>
      <c r="F2267" s="2683" t="s">
        <v>5922</v>
      </c>
      <c r="G2267" s="2683" t="s">
        <v>5922</v>
      </c>
      <c r="H2267" s="2683" t="s">
        <v>5922</v>
      </c>
      <c r="I2267" s="2683" t="s">
        <v>5922</v>
      </c>
      <c r="J2267" s="2683">
        <v>18.940000000000001</v>
      </c>
      <c r="K2267" s="2684"/>
      <c r="L2267" s="2683" t="s">
        <v>5922</v>
      </c>
    </row>
    <row r="2268" spans="1:12">
      <c r="A2268" s="2682" t="s">
        <v>146</v>
      </c>
      <c r="B2268" s="2682" t="s">
        <v>8423</v>
      </c>
      <c r="C2268" s="2682">
        <v>228.6</v>
      </c>
      <c r="D2268" s="2682">
        <v>488.95</v>
      </c>
      <c r="E2268" s="2682">
        <v>254</v>
      </c>
      <c r="F2268" s="2682" t="s">
        <v>5922</v>
      </c>
      <c r="G2268" s="2682" t="s">
        <v>5922</v>
      </c>
      <c r="H2268" s="2682" t="s">
        <v>5922</v>
      </c>
      <c r="I2268" s="2682" t="s">
        <v>5922</v>
      </c>
      <c r="J2268" s="2682">
        <v>206</v>
      </c>
      <c r="L2268" s="2682">
        <v>97946</v>
      </c>
    </row>
    <row r="2269" spans="1:12">
      <c r="A2269" s="2683" t="s">
        <v>146</v>
      </c>
      <c r="B2269" s="2683" t="s">
        <v>8424</v>
      </c>
      <c r="C2269" s="2683">
        <v>342.9</v>
      </c>
      <c r="D2269" s="2683">
        <v>457.09800000000001</v>
      </c>
      <c r="E2269" s="2683">
        <v>142.875</v>
      </c>
      <c r="F2269" s="2683" t="s">
        <v>5922</v>
      </c>
      <c r="G2269" s="2683" t="s">
        <v>5922</v>
      </c>
      <c r="H2269" s="2683" t="s">
        <v>5922</v>
      </c>
      <c r="I2269" s="2683" t="s">
        <v>5922</v>
      </c>
      <c r="J2269" s="2683">
        <v>60.35</v>
      </c>
      <c r="K2269" s="2684"/>
      <c r="L2269" s="2683" t="s">
        <v>5922</v>
      </c>
    </row>
    <row r="2270" spans="1:12">
      <c r="A2270" s="2682" t="s">
        <v>146</v>
      </c>
      <c r="B2270" s="2682" t="s">
        <v>8425</v>
      </c>
      <c r="C2270" s="2682">
        <v>44.45</v>
      </c>
      <c r="D2270" s="2682">
        <v>95.25</v>
      </c>
      <c r="E2270" s="2682">
        <v>30.957999999999998</v>
      </c>
      <c r="F2270" s="2682" t="s">
        <v>5922</v>
      </c>
      <c r="G2270" s="2682" t="s">
        <v>5922</v>
      </c>
      <c r="H2270" s="2682" t="s">
        <v>5922</v>
      </c>
      <c r="I2270" s="2682" t="s">
        <v>5922</v>
      </c>
      <c r="J2270" s="2682">
        <v>0.98199999999999998</v>
      </c>
      <c r="L2270" s="2682" t="s">
        <v>5922</v>
      </c>
    </row>
    <row r="2271" spans="1:12">
      <c r="A2271" s="2683" t="s">
        <v>146</v>
      </c>
      <c r="B2271" s="2683" t="s">
        <v>8426</v>
      </c>
      <c r="C2271" s="2683">
        <v>139.72499999999999</v>
      </c>
      <c r="D2271" s="2683">
        <v>200.05</v>
      </c>
      <c r="E2271" s="2683">
        <v>160.33799999999999</v>
      </c>
      <c r="F2271" s="2683" t="s">
        <v>5922</v>
      </c>
      <c r="G2271" s="2683" t="s">
        <v>5922</v>
      </c>
      <c r="H2271" s="2683" t="s">
        <v>5922</v>
      </c>
      <c r="I2271" s="2683" t="s">
        <v>5922</v>
      </c>
      <c r="J2271" s="2683">
        <v>14.5</v>
      </c>
      <c r="K2271" s="2684"/>
      <c r="L2271" s="2683" t="s">
        <v>8427</v>
      </c>
    </row>
    <row r="2272" spans="1:12">
      <c r="A2272" s="2682" t="s">
        <v>146</v>
      </c>
      <c r="B2272" s="2682" t="s">
        <v>8428</v>
      </c>
      <c r="C2272" s="2682">
        <v>254</v>
      </c>
      <c r="D2272" s="2682">
        <v>358.77499999999998</v>
      </c>
      <c r="E2272" s="2682">
        <v>269.875</v>
      </c>
      <c r="F2272" s="2682" t="s">
        <v>5922</v>
      </c>
      <c r="G2272" s="2682" t="s">
        <v>5922</v>
      </c>
      <c r="H2272" s="2682" t="s">
        <v>5922</v>
      </c>
      <c r="I2272" s="2682" t="s">
        <v>5922</v>
      </c>
      <c r="J2272" s="2682">
        <v>75.599999999999994</v>
      </c>
      <c r="L2272" s="2682" t="s">
        <v>5922</v>
      </c>
    </row>
    <row r="2273" spans="1:12">
      <c r="A2273" s="2683" t="s">
        <v>146</v>
      </c>
      <c r="B2273" s="2683" t="s">
        <v>8429</v>
      </c>
      <c r="C2273" s="2683">
        <v>241.47800000000001</v>
      </c>
      <c r="D2273" s="2683">
        <v>349.14800000000002</v>
      </c>
      <c r="E2273" s="2683">
        <v>228.6</v>
      </c>
      <c r="F2273" s="2683" t="s">
        <v>5922</v>
      </c>
      <c r="G2273" s="2683" t="s">
        <v>5922</v>
      </c>
      <c r="H2273" s="2683" t="s">
        <v>5922</v>
      </c>
      <c r="I2273" s="2683" t="s">
        <v>5922</v>
      </c>
      <c r="J2273" s="2683">
        <v>71.900000000000006</v>
      </c>
      <c r="K2273" s="2684"/>
      <c r="L2273" s="2683" t="s">
        <v>5922</v>
      </c>
    </row>
    <row r="2274" spans="1:12">
      <c r="A2274" s="2682" t="s">
        <v>146</v>
      </c>
      <c r="B2274" s="2682" t="s">
        <v>8430</v>
      </c>
      <c r="C2274" s="2682">
        <v>374.65</v>
      </c>
      <c r="D2274" s="2682">
        <v>501.65</v>
      </c>
      <c r="E2274" s="2682">
        <v>260.35000000000002</v>
      </c>
      <c r="F2274" s="2682" t="s">
        <v>5922</v>
      </c>
      <c r="G2274" s="2682" t="s">
        <v>5922</v>
      </c>
      <c r="H2274" s="2682" t="s">
        <v>5922</v>
      </c>
      <c r="I2274" s="2682" t="s">
        <v>5922</v>
      </c>
      <c r="J2274" s="2682">
        <v>141</v>
      </c>
      <c r="L2274" s="2682" t="s">
        <v>5922</v>
      </c>
    </row>
    <row r="2275" spans="1:12">
      <c r="A2275" s="2683" t="s">
        <v>146</v>
      </c>
      <c r="B2275" s="2683" t="s">
        <v>8431</v>
      </c>
      <c r="C2275" s="2683">
        <v>508</v>
      </c>
      <c r="D2275" s="2683">
        <v>762</v>
      </c>
      <c r="E2275" s="2683">
        <v>463.44</v>
      </c>
      <c r="F2275" s="2683" t="s">
        <v>5922</v>
      </c>
      <c r="G2275" s="2683" t="s">
        <v>5922</v>
      </c>
      <c r="H2275" s="2683" t="s">
        <v>5922</v>
      </c>
      <c r="I2275" s="2683" t="s">
        <v>5922</v>
      </c>
      <c r="J2275" s="2683">
        <v>715</v>
      </c>
      <c r="K2275" s="2684"/>
      <c r="L2275" s="2683" t="s">
        <v>8432</v>
      </c>
    </row>
    <row r="2276" spans="1:12">
      <c r="A2276" s="2682" t="s">
        <v>146</v>
      </c>
      <c r="B2276" s="2682" t="s">
        <v>8433</v>
      </c>
      <c r="C2276" s="2682">
        <v>609.6</v>
      </c>
      <c r="D2276" s="2682">
        <v>787.4</v>
      </c>
      <c r="E2276" s="2682">
        <v>361.95</v>
      </c>
      <c r="F2276" s="2682" t="s">
        <v>5922</v>
      </c>
      <c r="G2276" s="2682" t="s">
        <v>5922</v>
      </c>
      <c r="H2276" s="2682" t="s">
        <v>5922</v>
      </c>
      <c r="I2276" s="2682" t="s">
        <v>5922</v>
      </c>
      <c r="J2276" s="2682">
        <v>455</v>
      </c>
      <c r="L2276" s="2682" t="s">
        <v>8434</v>
      </c>
    </row>
    <row r="2277" spans="1:12">
      <c r="A2277" s="2683" t="s">
        <v>146</v>
      </c>
      <c r="B2277" s="2683" t="s">
        <v>8435</v>
      </c>
      <c r="C2277" s="2683">
        <v>685.8</v>
      </c>
      <c r="D2277" s="2683">
        <v>876.3</v>
      </c>
      <c r="E2277" s="2683">
        <v>355.6</v>
      </c>
      <c r="F2277" s="2683" t="s">
        <v>5922</v>
      </c>
      <c r="G2277" s="2683" t="s">
        <v>5922</v>
      </c>
      <c r="H2277" s="2683" t="s">
        <v>5922</v>
      </c>
      <c r="I2277" s="2683" t="s">
        <v>5922</v>
      </c>
      <c r="J2277" s="2683">
        <v>579</v>
      </c>
      <c r="K2277" s="2684"/>
      <c r="L2277" s="2683" t="s">
        <v>8436</v>
      </c>
    </row>
    <row r="2278" spans="1:12">
      <c r="A2278" s="2682" t="s">
        <v>146</v>
      </c>
      <c r="B2278" s="2682" t="s">
        <v>8437</v>
      </c>
      <c r="C2278" s="2682">
        <v>685.8</v>
      </c>
      <c r="D2278" s="2682">
        <v>876.3</v>
      </c>
      <c r="E2278" s="2682">
        <v>355.6</v>
      </c>
      <c r="F2278" s="2682" t="s">
        <v>5922</v>
      </c>
      <c r="G2278" s="2682" t="s">
        <v>5922</v>
      </c>
      <c r="H2278" s="2682" t="s">
        <v>5922</v>
      </c>
      <c r="I2278" s="2682" t="s">
        <v>5922</v>
      </c>
      <c r="J2278" s="2682">
        <v>579</v>
      </c>
      <c r="L2278" s="2682" t="s">
        <v>8438</v>
      </c>
    </row>
    <row r="2279" spans="1:12">
      <c r="A2279" s="2683" t="s">
        <v>146</v>
      </c>
      <c r="B2279" s="2683" t="s">
        <v>8439</v>
      </c>
      <c r="C2279" s="2683">
        <v>384.17500000000001</v>
      </c>
      <c r="D2279" s="2683">
        <v>546.1</v>
      </c>
      <c r="E2279" s="2683">
        <v>400.05</v>
      </c>
      <c r="F2279" s="2683" t="s">
        <v>5922</v>
      </c>
      <c r="G2279" s="2683" t="s">
        <v>5922</v>
      </c>
      <c r="H2279" s="2683" t="s">
        <v>5922</v>
      </c>
      <c r="I2279" s="2683" t="s">
        <v>5922</v>
      </c>
      <c r="J2279" s="2683">
        <v>310</v>
      </c>
      <c r="K2279" s="2684"/>
      <c r="L2279" s="2683" t="s">
        <v>5922</v>
      </c>
    </row>
    <row r="2280" spans="1:12">
      <c r="A2280" s="2682" t="s">
        <v>146</v>
      </c>
      <c r="B2280" s="2682" t="s">
        <v>8440</v>
      </c>
      <c r="C2280" s="2682">
        <v>50.8</v>
      </c>
      <c r="D2280" s="2682">
        <v>92.075000000000003</v>
      </c>
      <c r="E2280" s="2682">
        <v>54.381</v>
      </c>
      <c r="F2280" s="2682" t="s">
        <v>5922</v>
      </c>
      <c r="G2280" s="2682" t="s">
        <v>5922</v>
      </c>
      <c r="H2280" s="2682" t="s">
        <v>5922</v>
      </c>
      <c r="I2280" s="2682" t="s">
        <v>5922</v>
      </c>
      <c r="J2280" s="2682">
        <v>1.1499999999999999</v>
      </c>
      <c r="L2280" s="2682" t="s">
        <v>5922</v>
      </c>
    </row>
    <row r="2281" spans="1:12">
      <c r="A2281" s="2683" t="s">
        <v>146</v>
      </c>
      <c r="B2281" s="2683" t="s">
        <v>8441</v>
      </c>
      <c r="C2281" s="2683">
        <v>90</v>
      </c>
      <c r="D2281" s="2683">
        <v>147</v>
      </c>
      <c r="E2281" s="2683">
        <v>127</v>
      </c>
      <c r="F2281" s="2683" t="s">
        <v>5922</v>
      </c>
      <c r="G2281" s="2683" t="s">
        <v>5922</v>
      </c>
      <c r="H2281" s="2683" t="s">
        <v>5922</v>
      </c>
      <c r="I2281" s="2683" t="s">
        <v>5922</v>
      </c>
      <c r="J2281" s="2683">
        <v>6.88</v>
      </c>
      <c r="K2281" s="2684"/>
      <c r="L2281" s="2683" t="s">
        <v>5922</v>
      </c>
    </row>
    <row r="2282" spans="1:12">
      <c r="A2282" s="2682" t="s">
        <v>146</v>
      </c>
      <c r="B2282" s="2682" t="s">
        <v>8442</v>
      </c>
      <c r="C2282" s="2682">
        <v>96.837999999999994</v>
      </c>
      <c r="D2282" s="2682">
        <v>112.712</v>
      </c>
      <c r="E2282" s="2682">
        <v>61.924999999999997</v>
      </c>
      <c r="F2282" s="2682" t="s">
        <v>5922</v>
      </c>
      <c r="G2282" s="2682" t="s">
        <v>5922</v>
      </c>
      <c r="H2282" s="2682" t="s">
        <v>5922</v>
      </c>
      <c r="I2282" s="2682" t="s">
        <v>5922</v>
      </c>
      <c r="J2282" s="2682">
        <v>2.19</v>
      </c>
      <c r="L2282" s="2682" t="s">
        <v>5922</v>
      </c>
    </row>
    <row r="2283" spans="1:12">
      <c r="A2283" s="2683" t="s">
        <v>146</v>
      </c>
      <c r="B2283" s="2683" t="s">
        <v>8443</v>
      </c>
      <c r="C2283" s="2683">
        <v>133.35</v>
      </c>
      <c r="D2283" s="2683">
        <v>234.95</v>
      </c>
      <c r="E2283" s="2683">
        <v>63.5</v>
      </c>
      <c r="F2283" s="2683" t="s">
        <v>5922</v>
      </c>
      <c r="G2283" s="2683" t="s">
        <v>5922</v>
      </c>
      <c r="H2283" s="2683" t="s">
        <v>5922</v>
      </c>
      <c r="I2283" s="2683" t="s">
        <v>5922</v>
      </c>
      <c r="J2283" s="2683">
        <v>11.1</v>
      </c>
      <c r="K2283" s="2684"/>
      <c r="L2283" s="2683" t="s">
        <v>5922</v>
      </c>
    </row>
    <row r="2284" spans="1:12">
      <c r="A2284" s="2682" t="s">
        <v>146</v>
      </c>
      <c r="B2284" s="2682" t="s">
        <v>8444</v>
      </c>
      <c r="C2284" s="2682">
        <v>241.47800000000001</v>
      </c>
      <c r="D2284" s="2682">
        <v>349.14800000000002</v>
      </c>
      <c r="E2284" s="2682">
        <v>228.6</v>
      </c>
      <c r="F2284" s="2682" t="s">
        <v>5922</v>
      </c>
      <c r="G2284" s="2682" t="s">
        <v>5922</v>
      </c>
      <c r="H2284" s="2682" t="s">
        <v>5922</v>
      </c>
      <c r="I2284" s="2682" t="s">
        <v>5922</v>
      </c>
      <c r="J2284" s="2682">
        <v>71.900000000000006</v>
      </c>
      <c r="L2284" s="2682" t="s">
        <v>5922</v>
      </c>
    </row>
    <row r="2285" spans="1:12">
      <c r="A2285" s="2683" t="s">
        <v>146</v>
      </c>
      <c r="B2285" s="2683" t="s">
        <v>8445</v>
      </c>
      <c r="C2285" s="2683">
        <v>279.39999999999998</v>
      </c>
      <c r="D2285" s="2683">
        <v>393.7</v>
      </c>
      <c r="E2285" s="2683">
        <v>269.875</v>
      </c>
      <c r="F2285" s="2683" t="s">
        <v>5922</v>
      </c>
      <c r="G2285" s="2683" t="s">
        <v>5922</v>
      </c>
      <c r="H2285" s="2683" t="s">
        <v>5922</v>
      </c>
      <c r="I2285" s="2683" t="s">
        <v>5922</v>
      </c>
      <c r="J2285" s="2683">
        <v>103</v>
      </c>
      <c r="K2285" s="2684"/>
      <c r="L2285" s="2683" t="s">
        <v>5922</v>
      </c>
    </row>
    <row r="2286" spans="1:12">
      <c r="A2286" s="2682" t="s">
        <v>146</v>
      </c>
      <c r="B2286" s="2682" t="s">
        <v>8446</v>
      </c>
      <c r="C2286" s="2682">
        <v>181.80799999999999</v>
      </c>
      <c r="D2286" s="2682">
        <v>259.96899999999999</v>
      </c>
      <c r="E2286" s="2682">
        <v>161.92500000000001</v>
      </c>
      <c r="F2286" s="2682" t="s">
        <v>5922</v>
      </c>
      <c r="G2286" s="2682" t="s">
        <v>5922</v>
      </c>
      <c r="H2286" s="2682" t="s">
        <v>5922</v>
      </c>
      <c r="I2286" s="2682" t="s">
        <v>5922</v>
      </c>
      <c r="J2286" s="2682">
        <v>25.2</v>
      </c>
      <c r="L2286" s="2682" t="s">
        <v>8447</v>
      </c>
    </row>
    <row r="2287" spans="1:12">
      <c r="A2287" s="2683" t="s">
        <v>146</v>
      </c>
      <c r="B2287" s="2683" t="s">
        <v>8448</v>
      </c>
      <c r="C2287" s="2683">
        <v>244.47499999999999</v>
      </c>
      <c r="D2287" s="2683">
        <v>327.02499999999998</v>
      </c>
      <c r="E2287" s="2683">
        <v>193.67500000000001</v>
      </c>
      <c r="F2287" s="2683" t="s">
        <v>5922</v>
      </c>
      <c r="G2287" s="2683" t="s">
        <v>5922</v>
      </c>
      <c r="H2287" s="2683" t="s">
        <v>5922</v>
      </c>
      <c r="I2287" s="2683" t="s">
        <v>5922</v>
      </c>
      <c r="J2287" s="2683">
        <v>42.7</v>
      </c>
      <c r="K2287" s="2684"/>
      <c r="L2287" s="2683" t="s">
        <v>5922</v>
      </c>
    </row>
    <row r="2288" spans="1:12">
      <c r="A2288" s="2682" t="s">
        <v>146</v>
      </c>
      <c r="B2288" s="2682" t="s">
        <v>8449</v>
      </c>
      <c r="C2288" s="2682">
        <v>266.7</v>
      </c>
      <c r="D2288" s="2682">
        <v>355.6</v>
      </c>
      <c r="E2288" s="2682">
        <v>228.6</v>
      </c>
      <c r="F2288" s="2682" t="s">
        <v>5922</v>
      </c>
      <c r="G2288" s="2682" t="s">
        <v>5922</v>
      </c>
      <c r="H2288" s="2682" t="s">
        <v>5922</v>
      </c>
      <c r="I2288" s="2682" t="s">
        <v>5922</v>
      </c>
      <c r="J2288" s="2682">
        <v>59.4</v>
      </c>
      <c r="L2288" s="2682" t="s">
        <v>5922</v>
      </c>
    </row>
    <row r="2289" spans="1:12">
      <c r="A2289" s="2683" t="s">
        <v>146</v>
      </c>
      <c r="B2289" s="2683" t="s">
        <v>8450</v>
      </c>
      <c r="C2289" s="2683">
        <v>266.7</v>
      </c>
      <c r="D2289" s="2683">
        <v>355.6</v>
      </c>
      <c r="E2289" s="2683">
        <v>230.18799999999999</v>
      </c>
      <c r="F2289" s="2683" t="s">
        <v>5922</v>
      </c>
      <c r="G2289" s="2683" t="s">
        <v>5922</v>
      </c>
      <c r="H2289" s="2683" t="s">
        <v>5922</v>
      </c>
      <c r="I2289" s="2683" t="s">
        <v>5922</v>
      </c>
      <c r="J2289" s="2683">
        <v>65.3</v>
      </c>
      <c r="K2289" s="2684"/>
      <c r="L2289" s="2683" t="s">
        <v>5922</v>
      </c>
    </row>
    <row r="2290" spans="1:12">
      <c r="A2290" s="2682" t="s">
        <v>146</v>
      </c>
      <c r="B2290" s="2682" t="s">
        <v>8451</v>
      </c>
      <c r="C2290" s="2682">
        <v>341.31200000000001</v>
      </c>
      <c r="D2290" s="2682">
        <v>457.09800000000001</v>
      </c>
      <c r="E2290" s="2682">
        <v>254</v>
      </c>
      <c r="F2290" s="2682" t="s">
        <v>5922</v>
      </c>
      <c r="G2290" s="2682" t="s">
        <v>5922</v>
      </c>
      <c r="H2290" s="2682" t="s">
        <v>5922</v>
      </c>
      <c r="I2290" s="2682" t="s">
        <v>5922</v>
      </c>
      <c r="J2290" s="2682">
        <v>112</v>
      </c>
      <c r="L2290" s="2682" t="s">
        <v>5922</v>
      </c>
    </row>
    <row r="2291" spans="1:12">
      <c r="A2291" s="2683" t="s">
        <v>146</v>
      </c>
      <c r="B2291" s="2683" t="s">
        <v>8452</v>
      </c>
      <c r="C2291" s="2683">
        <v>343.05200000000002</v>
      </c>
      <c r="D2291" s="2683">
        <v>457.09800000000001</v>
      </c>
      <c r="E2291" s="2683">
        <v>254</v>
      </c>
      <c r="F2291" s="2683" t="s">
        <v>5922</v>
      </c>
      <c r="G2291" s="2683" t="s">
        <v>5922</v>
      </c>
      <c r="H2291" s="2683" t="s">
        <v>5922</v>
      </c>
      <c r="I2291" s="2683" t="s">
        <v>5922</v>
      </c>
      <c r="J2291" s="2683">
        <v>111</v>
      </c>
      <c r="K2291" s="2684"/>
      <c r="L2291" s="2683" t="s">
        <v>8453</v>
      </c>
    </row>
    <row r="2292" spans="1:12">
      <c r="A2292" s="2682" t="s">
        <v>146</v>
      </c>
      <c r="B2292" s="2682" t="s">
        <v>8454</v>
      </c>
      <c r="C2292" s="2682">
        <v>343.05200000000002</v>
      </c>
      <c r="D2292" s="2682">
        <v>457.09800000000001</v>
      </c>
      <c r="E2292" s="2682">
        <v>254</v>
      </c>
      <c r="F2292" s="2682" t="s">
        <v>5922</v>
      </c>
      <c r="G2292" s="2682" t="s">
        <v>5922</v>
      </c>
      <c r="H2292" s="2682" t="s">
        <v>5922</v>
      </c>
      <c r="I2292" s="2682" t="s">
        <v>5922</v>
      </c>
      <c r="J2292" s="2682">
        <v>111</v>
      </c>
      <c r="L2292" s="2682" t="s">
        <v>8455</v>
      </c>
    </row>
    <row r="2293" spans="1:12">
      <c r="A2293" s="2683" t="s">
        <v>146</v>
      </c>
      <c r="B2293" s="2683" t="s">
        <v>8456</v>
      </c>
      <c r="C2293" s="2683">
        <v>343.05200000000002</v>
      </c>
      <c r="D2293" s="2683">
        <v>457.09800000000001</v>
      </c>
      <c r="E2293" s="2683">
        <v>254</v>
      </c>
      <c r="F2293" s="2683" t="s">
        <v>5922</v>
      </c>
      <c r="G2293" s="2683" t="s">
        <v>5922</v>
      </c>
      <c r="H2293" s="2683" t="s">
        <v>5922</v>
      </c>
      <c r="I2293" s="2683" t="s">
        <v>5922</v>
      </c>
      <c r="J2293" s="2683">
        <v>118</v>
      </c>
      <c r="K2293" s="2684"/>
      <c r="L2293" s="2683" t="s">
        <v>8457</v>
      </c>
    </row>
    <row r="2294" spans="1:12">
      <c r="A2294" s="2682" t="s">
        <v>146</v>
      </c>
      <c r="B2294" s="2682" t="s">
        <v>8458</v>
      </c>
      <c r="C2294" s="2682">
        <v>343.05200000000002</v>
      </c>
      <c r="D2294" s="2682">
        <v>457.09800000000001</v>
      </c>
      <c r="E2294" s="2682">
        <v>254</v>
      </c>
      <c r="F2294" s="2682" t="s">
        <v>5922</v>
      </c>
      <c r="G2294" s="2682" t="s">
        <v>5922</v>
      </c>
      <c r="H2294" s="2682" t="s">
        <v>5922</v>
      </c>
      <c r="I2294" s="2682" t="s">
        <v>5922</v>
      </c>
      <c r="J2294" s="2682">
        <v>110</v>
      </c>
      <c r="L2294" s="2682" t="s">
        <v>5922</v>
      </c>
    </row>
    <row r="2295" spans="1:12">
      <c r="A2295" s="2683" t="s">
        <v>146</v>
      </c>
      <c r="B2295" s="2683" t="s">
        <v>8459</v>
      </c>
      <c r="C2295" s="2683">
        <v>431.8</v>
      </c>
      <c r="D2295" s="2683">
        <v>571.5</v>
      </c>
      <c r="E2295" s="2683">
        <v>336.55</v>
      </c>
      <c r="F2295" s="2683" t="s">
        <v>5922</v>
      </c>
      <c r="G2295" s="2683" t="s">
        <v>5922</v>
      </c>
      <c r="H2295" s="2683" t="s">
        <v>5922</v>
      </c>
      <c r="I2295" s="2683" t="s">
        <v>5922</v>
      </c>
      <c r="J2295" s="2683">
        <v>233</v>
      </c>
      <c r="K2295" s="2684"/>
      <c r="L2295" s="2683" t="s">
        <v>5922</v>
      </c>
    </row>
    <row r="2296" spans="1:12">
      <c r="A2296" s="2682" t="s">
        <v>146</v>
      </c>
      <c r="B2296" s="2682" t="s">
        <v>8460</v>
      </c>
      <c r="C2296" s="2682">
        <v>508</v>
      </c>
      <c r="D2296" s="2682">
        <v>695.32500000000005</v>
      </c>
      <c r="E2296" s="2682">
        <v>419.92500000000001</v>
      </c>
      <c r="F2296" s="2682" t="s">
        <v>5922</v>
      </c>
      <c r="G2296" s="2682" t="s">
        <v>5922</v>
      </c>
      <c r="H2296" s="2682" t="s">
        <v>5922</v>
      </c>
      <c r="I2296" s="2682" t="s">
        <v>5922</v>
      </c>
      <c r="J2296" s="2682">
        <v>464</v>
      </c>
      <c r="L2296" s="2682" t="s">
        <v>5922</v>
      </c>
    </row>
    <row r="2297" spans="1:12">
      <c r="A2297" s="2683" t="s">
        <v>146</v>
      </c>
      <c r="B2297" s="2683" t="s">
        <v>8461</v>
      </c>
      <c r="C2297" s="2683">
        <v>181.32499999999999</v>
      </c>
      <c r="D2297" s="2683">
        <v>269.875</v>
      </c>
      <c r="E2297" s="2683">
        <v>211.13800000000001</v>
      </c>
      <c r="F2297" s="2683" t="s">
        <v>5922</v>
      </c>
      <c r="G2297" s="2683" t="s">
        <v>5922</v>
      </c>
      <c r="H2297" s="2683" t="s">
        <v>5922</v>
      </c>
      <c r="I2297" s="2683" t="s">
        <v>5922</v>
      </c>
      <c r="J2297" s="2683">
        <v>41.5</v>
      </c>
      <c r="K2297" s="2684"/>
      <c r="L2297" s="2683" t="s">
        <v>5922</v>
      </c>
    </row>
    <row r="2298" spans="1:12">
      <c r="A2298" s="2682" t="s">
        <v>146</v>
      </c>
      <c r="B2298" s="2682" t="s">
        <v>8462</v>
      </c>
      <c r="C2298" s="2682">
        <v>198.43799999999999</v>
      </c>
      <c r="D2298" s="2682">
        <v>284.16300000000001</v>
      </c>
      <c r="E2298" s="2682" t="s">
        <v>5922</v>
      </c>
      <c r="F2298" s="2682" t="s">
        <v>5922</v>
      </c>
      <c r="G2298" s="2682" t="s">
        <v>5922</v>
      </c>
      <c r="H2298" s="2682" t="s">
        <v>5922</v>
      </c>
      <c r="I2298" s="2682" t="s">
        <v>5922</v>
      </c>
      <c r="J2298" s="2682">
        <v>46.414999999999999</v>
      </c>
      <c r="L2298" s="2682" t="s">
        <v>5922</v>
      </c>
    </row>
    <row r="2299" spans="1:12">
      <c r="A2299" s="2683" t="s">
        <v>146</v>
      </c>
      <c r="B2299" s="2683" t="s">
        <v>8463</v>
      </c>
      <c r="C2299" s="2683">
        <v>200.81899999999999</v>
      </c>
      <c r="D2299" s="2683">
        <v>284.16300000000001</v>
      </c>
      <c r="E2299" s="2683">
        <v>239.715</v>
      </c>
      <c r="F2299" s="2683" t="s">
        <v>5922</v>
      </c>
      <c r="G2299" s="2683" t="s">
        <v>5922</v>
      </c>
      <c r="H2299" s="2683" t="s">
        <v>5922</v>
      </c>
      <c r="I2299" s="2683" t="s">
        <v>5922</v>
      </c>
      <c r="J2299" s="2683">
        <v>52.246000000000002</v>
      </c>
      <c r="K2299" s="2684"/>
      <c r="L2299" s="2683" t="s">
        <v>5922</v>
      </c>
    </row>
    <row r="2300" spans="1:12">
      <c r="A2300" s="2682" t="s">
        <v>146</v>
      </c>
      <c r="B2300" s="2682" t="s">
        <v>8464</v>
      </c>
      <c r="C2300" s="2682">
        <v>254</v>
      </c>
      <c r="D2300" s="2682">
        <v>358.77499999999998</v>
      </c>
      <c r="E2300" s="2682">
        <v>269.875</v>
      </c>
      <c r="F2300" s="2682" t="s">
        <v>5922</v>
      </c>
      <c r="G2300" s="2682" t="s">
        <v>5922</v>
      </c>
      <c r="H2300" s="2682" t="s">
        <v>5922</v>
      </c>
      <c r="I2300" s="2682" t="s">
        <v>5922</v>
      </c>
      <c r="J2300" s="2682">
        <v>88.9</v>
      </c>
      <c r="L2300" s="2682" t="s">
        <v>5922</v>
      </c>
    </row>
    <row r="2301" spans="1:12">
      <c r="A2301" s="2683" t="s">
        <v>146</v>
      </c>
      <c r="B2301" s="2683" t="s">
        <v>8465</v>
      </c>
      <c r="C2301" s="2683">
        <v>254</v>
      </c>
      <c r="D2301" s="2683">
        <v>358.77499999999998</v>
      </c>
      <c r="E2301" s="2683">
        <v>289.875</v>
      </c>
      <c r="F2301" s="2683" t="s">
        <v>5922</v>
      </c>
      <c r="G2301" s="2683" t="s">
        <v>5922</v>
      </c>
      <c r="H2301" s="2683" t="s">
        <v>5922</v>
      </c>
      <c r="I2301" s="2683" t="s">
        <v>5922</v>
      </c>
      <c r="J2301" s="2683">
        <v>86.6</v>
      </c>
      <c r="K2301" s="2684"/>
      <c r="L2301" s="2683">
        <v>77951</v>
      </c>
    </row>
    <row r="2302" spans="1:12">
      <c r="A2302" s="2682" t="s">
        <v>146</v>
      </c>
      <c r="B2302" s="2682" t="s">
        <v>8466</v>
      </c>
      <c r="C2302" s="2682">
        <v>269.875</v>
      </c>
      <c r="D2302" s="2682">
        <v>381</v>
      </c>
      <c r="E2302" s="2682">
        <v>282.57499999999999</v>
      </c>
      <c r="F2302" s="2682" t="s">
        <v>5922</v>
      </c>
      <c r="G2302" s="2682" t="s">
        <v>5922</v>
      </c>
      <c r="H2302" s="2682" t="s">
        <v>5922</v>
      </c>
      <c r="I2302" s="2682" t="s">
        <v>5922</v>
      </c>
      <c r="J2302" s="2682">
        <v>105</v>
      </c>
      <c r="L2302" s="2682" t="s">
        <v>5922</v>
      </c>
    </row>
    <row r="2303" spans="1:12">
      <c r="A2303" s="2683" t="s">
        <v>146</v>
      </c>
      <c r="B2303" s="2683" t="s">
        <v>8467</v>
      </c>
      <c r="C2303" s="2683">
        <v>288.92500000000001</v>
      </c>
      <c r="D2303" s="2683">
        <v>406.4</v>
      </c>
      <c r="E2303" s="2683">
        <v>298.45</v>
      </c>
      <c r="F2303" s="2683" t="s">
        <v>5922</v>
      </c>
      <c r="G2303" s="2683" t="s">
        <v>5922</v>
      </c>
      <c r="H2303" s="2683" t="s">
        <v>5922</v>
      </c>
      <c r="I2303" s="2683" t="s">
        <v>5922</v>
      </c>
      <c r="J2303" s="2683">
        <v>125</v>
      </c>
      <c r="K2303" s="2684"/>
      <c r="L2303" s="2683" t="s">
        <v>5922</v>
      </c>
    </row>
    <row r="2304" spans="1:12">
      <c r="A2304" s="2682" t="s">
        <v>8468</v>
      </c>
      <c r="B2304" s="2682" t="s">
        <v>8469</v>
      </c>
      <c r="C2304" s="2682">
        <v>304.8</v>
      </c>
      <c r="D2304" s="2682">
        <v>419.1</v>
      </c>
      <c r="E2304" s="2682">
        <v>269.875</v>
      </c>
      <c r="F2304" s="2682" t="s">
        <v>5922</v>
      </c>
      <c r="G2304" s="2682" t="s">
        <v>5922</v>
      </c>
      <c r="H2304" s="2682" t="s">
        <v>5922</v>
      </c>
      <c r="I2304" s="2682" t="s">
        <v>5922</v>
      </c>
      <c r="J2304" s="2682" t="s">
        <v>5922</v>
      </c>
      <c r="L2304" s="2682" t="s">
        <v>5922</v>
      </c>
    </row>
    <row r="2305" spans="1:12">
      <c r="A2305" s="2683" t="s">
        <v>146</v>
      </c>
      <c r="B2305" s="2683" t="s">
        <v>8470</v>
      </c>
      <c r="C2305" s="2683">
        <v>304.90199999999999</v>
      </c>
      <c r="D2305" s="2683">
        <v>412.64800000000002</v>
      </c>
      <c r="E2305" s="2683">
        <v>266.7</v>
      </c>
      <c r="F2305" s="2683" t="s">
        <v>5922</v>
      </c>
      <c r="G2305" s="2683" t="s">
        <v>5922</v>
      </c>
      <c r="H2305" s="2683" t="s">
        <v>5922</v>
      </c>
      <c r="I2305" s="2683" t="s">
        <v>5922</v>
      </c>
      <c r="J2305" s="2683">
        <v>102</v>
      </c>
      <c r="K2305" s="2684"/>
      <c r="L2305" s="2683" t="s">
        <v>5922</v>
      </c>
    </row>
    <row r="2306" spans="1:12">
      <c r="A2306" s="2682" t="s">
        <v>146</v>
      </c>
      <c r="B2306" s="2682" t="s">
        <v>8471</v>
      </c>
      <c r="C2306" s="2682">
        <v>501.65</v>
      </c>
      <c r="D2306" s="2682">
        <v>711.2</v>
      </c>
      <c r="E2306" s="2682">
        <v>520.70000000000005</v>
      </c>
      <c r="F2306" s="2682" t="s">
        <v>5922</v>
      </c>
      <c r="G2306" s="2682" t="s">
        <v>5922</v>
      </c>
      <c r="H2306" s="2682" t="s">
        <v>5922</v>
      </c>
      <c r="I2306" s="2682" t="s">
        <v>5922</v>
      </c>
      <c r="J2306" s="2682">
        <v>687</v>
      </c>
      <c r="L2306" s="2682" t="s">
        <v>5922</v>
      </c>
    </row>
    <row r="2307" spans="1:12">
      <c r="A2307" s="2683" t="s">
        <v>146</v>
      </c>
      <c r="B2307" s="2683" t="s">
        <v>8472</v>
      </c>
      <c r="C2307" s="2683">
        <v>682.7</v>
      </c>
      <c r="D2307" s="2683">
        <v>965.3</v>
      </c>
      <c r="E2307" s="2683">
        <v>701.67600000000004</v>
      </c>
      <c r="F2307" s="2683" t="s">
        <v>5922</v>
      </c>
      <c r="G2307" s="2683" t="s">
        <v>5922</v>
      </c>
      <c r="H2307" s="2683" t="s">
        <v>5922</v>
      </c>
      <c r="I2307" s="2683" t="s">
        <v>5922</v>
      </c>
      <c r="J2307" s="2683">
        <v>1740</v>
      </c>
      <c r="K2307" s="2684"/>
      <c r="L2307" s="2683" t="s">
        <v>8473</v>
      </c>
    </row>
    <row r="2308" spans="1:12">
      <c r="A2308" s="2682" t="s">
        <v>146</v>
      </c>
      <c r="B2308" s="2682" t="s">
        <v>8474</v>
      </c>
      <c r="C2308" s="2682">
        <v>40</v>
      </c>
      <c r="D2308" s="2682">
        <v>90</v>
      </c>
      <c r="E2308" s="2682">
        <v>35.25</v>
      </c>
      <c r="F2308" s="2682" t="s">
        <v>5922</v>
      </c>
      <c r="G2308" s="2682" t="s">
        <v>5922</v>
      </c>
      <c r="H2308" s="2682" t="s">
        <v>5922</v>
      </c>
      <c r="I2308" s="2682" t="s">
        <v>5922</v>
      </c>
      <c r="J2308" s="2682" t="s">
        <v>8475</v>
      </c>
      <c r="L2308" s="2682">
        <v>7608</v>
      </c>
    </row>
    <row r="2309" spans="1:12">
      <c r="A2309" s="2683" t="s">
        <v>146</v>
      </c>
      <c r="B2309" s="2683">
        <v>7312</v>
      </c>
      <c r="C2309" s="2683">
        <v>60</v>
      </c>
      <c r="D2309" s="2683">
        <v>130</v>
      </c>
      <c r="E2309" s="2683">
        <v>31</v>
      </c>
      <c r="F2309" s="2683" t="s">
        <v>5922</v>
      </c>
      <c r="G2309" s="2683" t="s">
        <v>5922</v>
      </c>
      <c r="H2309" s="2683" t="s">
        <v>5922</v>
      </c>
      <c r="I2309" s="2683" t="s">
        <v>5922</v>
      </c>
      <c r="J2309" s="2683">
        <v>1.99</v>
      </c>
      <c r="K2309" s="2684"/>
      <c r="L2309" s="2683">
        <v>30312</v>
      </c>
    </row>
    <row r="2310" spans="1:12">
      <c r="A2310" s="2682" t="s">
        <v>146</v>
      </c>
      <c r="B2310" s="2682" t="s">
        <v>8476</v>
      </c>
      <c r="C2310" s="2682">
        <v>45.241999999999997</v>
      </c>
      <c r="D2310" s="2682">
        <v>73.430999999999997</v>
      </c>
      <c r="E2310" s="2682">
        <v>19.588000000000001</v>
      </c>
      <c r="F2310" s="2682" t="s">
        <v>5922</v>
      </c>
      <c r="G2310" s="2682" t="s">
        <v>5922</v>
      </c>
      <c r="H2310" s="2682" t="s">
        <v>5922</v>
      </c>
      <c r="I2310" s="2682" t="s">
        <v>5922</v>
      </c>
      <c r="J2310" s="2682">
        <v>0.32100000000000001</v>
      </c>
      <c r="L2310" s="2682" t="s">
        <v>8476</v>
      </c>
    </row>
    <row r="2311" spans="1:12">
      <c r="A2311" s="2683" t="s">
        <v>146</v>
      </c>
      <c r="B2311" s="2683" t="s">
        <v>8477</v>
      </c>
      <c r="C2311" s="2683">
        <v>180</v>
      </c>
      <c r="D2311" s="2683">
        <v>240</v>
      </c>
      <c r="E2311" s="2683">
        <v>32</v>
      </c>
      <c r="F2311" s="2683" t="s">
        <v>5922</v>
      </c>
      <c r="G2311" s="2683" t="s">
        <v>5922</v>
      </c>
      <c r="H2311" s="2683" t="s">
        <v>5922</v>
      </c>
      <c r="I2311" s="2683" t="s">
        <v>5922</v>
      </c>
      <c r="J2311" s="2683" t="s">
        <v>8478</v>
      </c>
      <c r="K2311" s="2684"/>
      <c r="L2311" s="2683" t="s">
        <v>8477</v>
      </c>
    </row>
    <row r="2312" spans="1:12">
      <c r="A2312" s="2682" t="s">
        <v>146</v>
      </c>
      <c r="B2312" s="2682" t="s">
        <v>8432</v>
      </c>
      <c r="C2312" s="2682">
        <v>508</v>
      </c>
      <c r="D2312" s="2682">
        <v>762</v>
      </c>
      <c r="E2312" s="2682">
        <v>464</v>
      </c>
      <c r="F2312" s="2682" t="s">
        <v>5922</v>
      </c>
      <c r="G2312" s="2682" t="s">
        <v>5922</v>
      </c>
      <c r="H2312" s="2682" t="s">
        <v>5922</v>
      </c>
      <c r="I2312" s="2682" t="s">
        <v>5922</v>
      </c>
      <c r="J2312" s="2682" t="s">
        <v>8479</v>
      </c>
      <c r="L2312" s="2682" t="s">
        <v>8480</v>
      </c>
    </row>
    <row r="2313" spans="1:12">
      <c r="A2313" s="2683" t="s">
        <v>146</v>
      </c>
      <c r="B2313" s="2683" t="s">
        <v>8436</v>
      </c>
      <c r="C2313" s="2683">
        <v>685</v>
      </c>
      <c r="D2313" s="2683">
        <v>876</v>
      </c>
      <c r="E2313" s="2683">
        <v>356</v>
      </c>
      <c r="F2313" s="2683" t="s">
        <v>5922</v>
      </c>
      <c r="G2313" s="2683" t="s">
        <v>5922</v>
      </c>
      <c r="H2313" s="2683" t="s">
        <v>5922</v>
      </c>
      <c r="I2313" s="2683" t="s">
        <v>5922</v>
      </c>
      <c r="J2313" s="2683" t="s">
        <v>8481</v>
      </c>
      <c r="K2313" s="2684"/>
      <c r="L2313" s="2683" t="s">
        <v>8482</v>
      </c>
    </row>
    <row r="2314" spans="1:12">
      <c r="A2314" s="2682" t="s">
        <v>146</v>
      </c>
      <c r="B2314" s="2682" t="s">
        <v>8483</v>
      </c>
      <c r="C2314" s="2682">
        <v>479</v>
      </c>
      <c r="D2314" s="2682">
        <v>679</v>
      </c>
      <c r="E2314" s="2682">
        <v>276</v>
      </c>
      <c r="F2314" s="2682" t="s">
        <v>5922</v>
      </c>
      <c r="G2314" s="2682" t="s">
        <v>5922</v>
      </c>
      <c r="H2314" s="2682" t="s">
        <v>5922</v>
      </c>
      <c r="I2314" s="2682" t="s">
        <v>5922</v>
      </c>
      <c r="J2314" s="2682" t="s">
        <v>8484</v>
      </c>
      <c r="L2314" s="2682" t="s">
        <v>8485</v>
      </c>
    </row>
    <row r="2315" spans="1:12">
      <c r="A2315" s="2683" t="s">
        <v>146</v>
      </c>
      <c r="B2315" s="2683" t="s">
        <v>8486</v>
      </c>
      <c r="C2315" s="2683">
        <v>571</v>
      </c>
      <c r="D2315" s="2683">
        <v>813</v>
      </c>
      <c r="E2315" s="2683">
        <v>594</v>
      </c>
      <c r="F2315" s="2683" t="s">
        <v>5922</v>
      </c>
      <c r="G2315" s="2683" t="s">
        <v>5922</v>
      </c>
      <c r="H2315" s="2683" t="s">
        <v>5922</v>
      </c>
      <c r="I2315" s="2683" t="s">
        <v>5922</v>
      </c>
      <c r="J2315" s="2683" t="s">
        <v>8487</v>
      </c>
      <c r="K2315" s="2684"/>
      <c r="L2315" s="2683" t="s">
        <v>8488</v>
      </c>
    </row>
    <row r="2316" spans="1:12">
      <c r="A2316" s="2682" t="s">
        <v>146</v>
      </c>
      <c r="B2316" s="2682" t="s">
        <v>6879</v>
      </c>
      <c r="C2316" s="2682">
        <v>305</v>
      </c>
      <c r="D2316" s="2682">
        <v>445</v>
      </c>
      <c r="E2316" s="2682">
        <v>63.5</v>
      </c>
      <c r="F2316" s="2682" t="s">
        <v>5922</v>
      </c>
      <c r="G2316" s="2682" t="s">
        <v>5922</v>
      </c>
      <c r="H2316" s="2682" t="s">
        <v>5922</v>
      </c>
      <c r="I2316" s="2682" t="s">
        <v>5922</v>
      </c>
      <c r="J2316" s="2682" t="s">
        <v>8489</v>
      </c>
      <c r="L2316" s="2682" t="s">
        <v>8490</v>
      </c>
    </row>
    <row r="2317" spans="1:12">
      <c r="A2317" s="2683" t="s">
        <v>146</v>
      </c>
      <c r="B2317" s="2683" t="s">
        <v>6630</v>
      </c>
      <c r="C2317" s="2683">
        <v>305</v>
      </c>
      <c r="D2317" s="2683">
        <v>438</v>
      </c>
      <c r="E2317" s="2683">
        <v>161</v>
      </c>
      <c r="F2317" s="2683" t="s">
        <v>5922</v>
      </c>
      <c r="G2317" s="2683" t="s">
        <v>5922</v>
      </c>
      <c r="H2317" s="2683" t="s">
        <v>5922</v>
      </c>
      <c r="I2317" s="2683" t="s">
        <v>5922</v>
      </c>
      <c r="J2317" s="2683" t="s">
        <v>8491</v>
      </c>
      <c r="K2317" s="2684"/>
      <c r="L2317" s="2683" t="s">
        <v>6629</v>
      </c>
    </row>
    <row r="2318" spans="1:12">
      <c r="A2318" s="2682" t="s">
        <v>146</v>
      </c>
      <c r="B2318" s="2682" t="s">
        <v>8492</v>
      </c>
      <c r="C2318" s="2682">
        <v>368</v>
      </c>
      <c r="D2318" s="2682">
        <v>524</v>
      </c>
      <c r="E2318" s="2682">
        <v>186</v>
      </c>
      <c r="F2318" s="2682" t="s">
        <v>5922</v>
      </c>
      <c r="G2318" s="2682" t="s">
        <v>5922</v>
      </c>
      <c r="H2318" s="2682" t="s">
        <v>5922</v>
      </c>
      <c r="I2318" s="2682" t="s">
        <v>5922</v>
      </c>
      <c r="J2318" s="2682" t="s">
        <v>8493</v>
      </c>
      <c r="L2318" s="2682" t="s">
        <v>8494</v>
      </c>
    </row>
    <row r="2319" spans="1:12">
      <c r="A2319" s="2683" t="s">
        <v>146</v>
      </c>
      <c r="B2319" s="2683" t="s">
        <v>7749</v>
      </c>
      <c r="C2319" s="2683">
        <v>305</v>
      </c>
      <c r="D2319" s="2683">
        <v>413</v>
      </c>
      <c r="E2319" s="2683">
        <v>267</v>
      </c>
      <c r="F2319" s="2683" t="s">
        <v>5922</v>
      </c>
      <c r="G2319" s="2683" t="s">
        <v>5922</v>
      </c>
      <c r="H2319" s="2683" t="s">
        <v>5922</v>
      </c>
      <c r="I2319" s="2683" t="s">
        <v>5922</v>
      </c>
      <c r="J2319" s="2683" t="s">
        <v>8495</v>
      </c>
      <c r="K2319" s="2684"/>
      <c r="L2319" s="2683" t="s">
        <v>8496</v>
      </c>
    </row>
    <row r="2320" spans="1:12">
      <c r="A2320" s="2682" t="s">
        <v>146</v>
      </c>
      <c r="B2320" s="2682" t="s">
        <v>7752</v>
      </c>
      <c r="C2320" s="2682">
        <v>270</v>
      </c>
      <c r="D2320" s="2682">
        <v>331</v>
      </c>
      <c r="E2320" s="2682">
        <v>283</v>
      </c>
      <c r="F2320" s="2682" t="s">
        <v>5922</v>
      </c>
      <c r="G2320" s="2682" t="s">
        <v>5922</v>
      </c>
      <c r="H2320" s="2682" t="s">
        <v>5922</v>
      </c>
      <c r="I2320" s="2682" t="s">
        <v>5922</v>
      </c>
      <c r="J2320" s="2682" t="s">
        <v>8497</v>
      </c>
      <c r="L2320" s="2682" t="s">
        <v>8498</v>
      </c>
    </row>
    <row r="2321" spans="1:12">
      <c r="A2321" s="2683" t="s">
        <v>146</v>
      </c>
      <c r="B2321" s="2683" t="s">
        <v>8380</v>
      </c>
      <c r="C2321" s="2683">
        <v>178</v>
      </c>
      <c r="D2321" s="2683">
        <v>289</v>
      </c>
      <c r="E2321" s="2683">
        <v>124</v>
      </c>
      <c r="F2321" s="2683" t="s">
        <v>5922</v>
      </c>
      <c r="G2321" s="2683" t="s">
        <v>5922</v>
      </c>
      <c r="H2321" s="2683" t="s">
        <v>5922</v>
      </c>
      <c r="I2321" s="2683" t="s">
        <v>5922</v>
      </c>
      <c r="J2321" s="2683" t="s">
        <v>8499</v>
      </c>
      <c r="K2321" s="2684"/>
      <c r="L2321" s="2683" t="s">
        <v>8379</v>
      </c>
    </row>
    <row r="2322" spans="1:12">
      <c r="A2322" s="2682" t="s">
        <v>146</v>
      </c>
      <c r="B2322" s="2682" t="s">
        <v>8447</v>
      </c>
      <c r="C2322" s="2682">
        <v>182</v>
      </c>
      <c r="D2322" s="2682">
        <v>260</v>
      </c>
      <c r="E2322" s="2682">
        <v>162</v>
      </c>
      <c r="F2322" s="2682" t="s">
        <v>5922</v>
      </c>
      <c r="G2322" s="2682" t="s">
        <v>5922</v>
      </c>
      <c r="H2322" s="2682" t="s">
        <v>5922</v>
      </c>
      <c r="I2322" s="2682" t="s">
        <v>5922</v>
      </c>
      <c r="J2322" s="2682" t="s">
        <v>8500</v>
      </c>
      <c r="L2322" s="2682" t="s">
        <v>8501</v>
      </c>
    </row>
    <row r="2323" spans="1:12">
      <c r="A2323" s="2683" t="s">
        <v>146</v>
      </c>
      <c r="B2323" s="2683" t="s">
        <v>8502</v>
      </c>
      <c r="C2323" s="2683">
        <v>498</v>
      </c>
      <c r="D2323" s="2683">
        <v>635</v>
      </c>
      <c r="E2323" s="2683">
        <v>178</v>
      </c>
      <c r="F2323" s="2683" t="s">
        <v>5922</v>
      </c>
      <c r="G2323" s="2683" t="s">
        <v>5922</v>
      </c>
      <c r="H2323" s="2683" t="s">
        <v>5922</v>
      </c>
      <c r="I2323" s="2683" t="s">
        <v>5922</v>
      </c>
      <c r="J2323" s="2683" t="s">
        <v>8503</v>
      </c>
      <c r="K2323" s="2684"/>
      <c r="L2323" s="2683" t="s">
        <v>8504</v>
      </c>
    </row>
    <row r="2324" spans="1:12">
      <c r="A2324" s="2682" t="s">
        <v>146</v>
      </c>
      <c r="B2324" s="2682" t="s">
        <v>8505</v>
      </c>
      <c r="C2324" s="2682">
        <v>203</v>
      </c>
      <c r="D2324" s="2682">
        <v>406</v>
      </c>
      <c r="E2324" s="2682">
        <v>197</v>
      </c>
      <c r="F2324" s="2682" t="s">
        <v>5922</v>
      </c>
      <c r="G2324" s="2682" t="s">
        <v>5922</v>
      </c>
      <c r="H2324" s="2682" t="s">
        <v>5922</v>
      </c>
      <c r="I2324" s="2682" t="s">
        <v>5922</v>
      </c>
      <c r="J2324" s="2682" t="s">
        <v>8506</v>
      </c>
      <c r="L2324" s="2682" t="s">
        <v>8507</v>
      </c>
    </row>
    <row r="2325" spans="1:12">
      <c r="A2325" s="2683" t="s">
        <v>146</v>
      </c>
      <c r="B2325" s="2683" t="s">
        <v>8508</v>
      </c>
      <c r="C2325" s="2683">
        <v>40</v>
      </c>
      <c r="D2325" s="2683">
        <v>80</v>
      </c>
      <c r="E2325" s="2683">
        <v>21</v>
      </c>
      <c r="F2325" s="2683" t="s">
        <v>5922</v>
      </c>
      <c r="G2325" s="2683" t="s">
        <v>5922</v>
      </c>
      <c r="H2325" s="2683" t="s">
        <v>5922</v>
      </c>
      <c r="I2325" s="2683" t="s">
        <v>5922</v>
      </c>
      <c r="J2325" s="2683" t="s">
        <v>8509</v>
      </c>
      <c r="K2325" s="2684"/>
      <c r="L2325" s="2683" t="s">
        <v>8508</v>
      </c>
    </row>
    <row r="2326" spans="1:12">
      <c r="A2326" s="2682" t="s">
        <v>146</v>
      </c>
      <c r="B2326" s="2682" t="s">
        <v>8510</v>
      </c>
      <c r="C2326" s="2682">
        <v>17</v>
      </c>
      <c r="D2326" s="2682">
        <v>40</v>
      </c>
      <c r="E2326" s="2682">
        <v>13.8</v>
      </c>
      <c r="F2326" s="2682" t="s">
        <v>5922</v>
      </c>
      <c r="G2326" s="2682" t="s">
        <v>5922</v>
      </c>
      <c r="H2326" s="2682" t="s">
        <v>5922</v>
      </c>
      <c r="I2326" s="2682" t="s">
        <v>5922</v>
      </c>
      <c r="J2326" s="2682" t="s">
        <v>8511</v>
      </c>
      <c r="L2326" s="2682" t="s">
        <v>8510</v>
      </c>
    </row>
    <row r="2327" spans="1:12">
      <c r="A2327" s="2683" t="s">
        <v>146</v>
      </c>
      <c r="B2327" s="2683" t="s">
        <v>8512</v>
      </c>
      <c r="C2327" s="2683">
        <v>19</v>
      </c>
      <c r="D2327" s="2683">
        <v>45</v>
      </c>
      <c r="E2327" s="2683">
        <v>15.5</v>
      </c>
      <c r="F2327" s="2683" t="s">
        <v>5922</v>
      </c>
      <c r="G2327" s="2683" t="s">
        <v>5922</v>
      </c>
      <c r="H2327" s="2683" t="s">
        <v>5922</v>
      </c>
      <c r="I2327" s="2683" t="s">
        <v>5922</v>
      </c>
      <c r="J2327" s="2683" t="s">
        <v>8513</v>
      </c>
      <c r="K2327" s="2684"/>
      <c r="L2327" s="2683" t="s">
        <v>8512</v>
      </c>
    </row>
    <row r="2328" spans="1:12">
      <c r="A2328" s="2682" t="s">
        <v>146</v>
      </c>
      <c r="B2328" s="2682" t="s">
        <v>8514</v>
      </c>
      <c r="C2328" s="2682">
        <v>21</v>
      </c>
      <c r="D2328" s="2682">
        <v>50</v>
      </c>
      <c r="E2328" s="2682">
        <v>17.5</v>
      </c>
      <c r="F2328" s="2682" t="s">
        <v>5922</v>
      </c>
      <c r="G2328" s="2682" t="s">
        <v>5922</v>
      </c>
      <c r="H2328" s="2682" t="s">
        <v>5922</v>
      </c>
      <c r="I2328" s="2682" t="s">
        <v>5922</v>
      </c>
      <c r="J2328" s="2682" t="s">
        <v>8515</v>
      </c>
      <c r="L2328" s="2682" t="s">
        <v>8514</v>
      </c>
    </row>
    <row r="2329" spans="1:12">
      <c r="A2329" s="2683" t="s">
        <v>146</v>
      </c>
      <c r="B2329" s="2683" t="s">
        <v>8516</v>
      </c>
      <c r="C2329" s="2683">
        <v>22</v>
      </c>
      <c r="D2329" s="2683">
        <v>46</v>
      </c>
      <c r="E2329" s="2683">
        <v>15.5</v>
      </c>
      <c r="F2329" s="2683" t="s">
        <v>5922</v>
      </c>
      <c r="G2329" s="2683" t="s">
        <v>5922</v>
      </c>
      <c r="H2329" s="2683" t="s">
        <v>5922</v>
      </c>
      <c r="I2329" s="2683" t="s">
        <v>5922</v>
      </c>
      <c r="J2329" s="2683" t="s">
        <v>8513</v>
      </c>
      <c r="K2329" s="2684"/>
      <c r="L2329" s="2683" t="s">
        <v>8516</v>
      </c>
    </row>
    <row r="2330" spans="1:12">
      <c r="A2330" s="2682" t="s">
        <v>146</v>
      </c>
      <c r="B2330" s="2682" t="s">
        <v>8517</v>
      </c>
      <c r="C2330" s="2682">
        <v>32</v>
      </c>
      <c r="D2330" s="2682">
        <v>62</v>
      </c>
      <c r="E2330" s="2682">
        <v>18.2</v>
      </c>
      <c r="F2330" s="2682" t="s">
        <v>5922</v>
      </c>
      <c r="G2330" s="2682" t="s">
        <v>5922</v>
      </c>
      <c r="H2330" s="2682" t="s">
        <v>5922</v>
      </c>
      <c r="I2330" s="2682" t="s">
        <v>5922</v>
      </c>
      <c r="J2330" s="2682" t="s">
        <v>8518</v>
      </c>
      <c r="L2330" s="2682" t="s">
        <v>8517</v>
      </c>
    </row>
    <row r="2331" spans="1:12">
      <c r="A2331" s="2683" t="s">
        <v>146</v>
      </c>
      <c r="B2331" s="2683" t="s">
        <v>8519</v>
      </c>
      <c r="C2331" s="2683">
        <v>44</v>
      </c>
      <c r="D2331" s="2683">
        <v>83</v>
      </c>
      <c r="E2331" s="2683">
        <v>23.8</v>
      </c>
      <c r="F2331" s="2683" t="s">
        <v>5922</v>
      </c>
      <c r="G2331" s="2683" t="s">
        <v>5922</v>
      </c>
      <c r="H2331" s="2683" t="s">
        <v>5922</v>
      </c>
      <c r="I2331" s="2683" t="s">
        <v>5922</v>
      </c>
      <c r="J2331" s="2683" t="s">
        <v>8520</v>
      </c>
      <c r="K2331" s="2684"/>
      <c r="L2331" s="2683" t="s">
        <v>8519</v>
      </c>
    </row>
    <row r="2332" spans="1:12">
      <c r="A2332" s="2682" t="s">
        <v>146</v>
      </c>
      <c r="B2332" s="2682" t="s">
        <v>8521</v>
      </c>
      <c r="C2332" s="2682">
        <v>47</v>
      </c>
      <c r="D2332" s="2682">
        <v>83</v>
      </c>
      <c r="E2332" s="2682">
        <v>25.4</v>
      </c>
      <c r="F2332" s="2682" t="s">
        <v>5922</v>
      </c>
      <c r="G2332" s="2682" t="s">
        <v>5922</v>
      </c>
      <c r="H2332" s="2682" t="s">
        <v>5922</v>
      </c>
      <c r="I2332" s="2682" t="s">
        <v>5922</v>
      </c>
      <c r="J2332" s="2682" t="s">
        <v>8522</v>
      </c>
      <c r="L2332" s="2682" t="s">
        <v>8521</v>
      </c>
    </row>
    <row r="2333" spans="1:12">
      <c r="A2333" s="2683" t="s">
        <v>146</v>
      </c>
      <c r="B2333" s="2683" t="s">
        <v>8523</v>
      </c>
      <c r="C2333" s="2683">
        <v>38</v>
      </c>
      <c r="D2333" s="2683">
        <v>65</v>
      </c>
      <c r="E2333" s="2683">
        <v>18.3</v>
      </c>
      <c r="F2333" s="2683" t="s">
        <v>5922</v>
      </c>
      <c r="G2333" s="2683" t="s">
        <v>5922</v>
      </c>
      <c r="H2333" s="2683" t="s">
        <v>5922</v>
      </c>
      <c r="I2333" s="2683" t="s">
        <v>5922</v>
      </c>
      <c r="J2333" s="2683" t="s">
        <v>8524</v>
      </c>
      <c r="K2333" s="2684"/>
      <c r="L2333" s="2683" t="s">
        <v>6706</v>
      </c>
    </row>
    <row r="2334" spans="1:12">
      <c r="A2334" s="2682" t="s">
        <v>146</v>
      </c>
      <c r="B2334" s="2682" t="s">
        <v>8525</v>
      </c>
      <c r="C2334" s="2682">
        <v>140</v>
      </c>
      <c r="D2334" s="2682">
        <v>200</v>
      </c>
      <c r="E2334" s="2682">
        <v>160</v>
      </c>
      <c r="F2334" s="2682" t="s">
        <v>5922</v>
      </c>
      <c r="G2334" s="2682" t="s">
        <v>5922</v>
      </c>
      <c r="H2334" s="2682" t="s">
        <v>5922</v>
      </c>
      <c r="I2334" s="2682" t="s">
        <v>5922</v>
      </c>
      <c r="J2334" s="2682" t="s">
        <v>8526</v>
      </c>
      <c r="L2334" s="2682" t="s">
        <v>8525</v>
      </c>
    </row>
    <row r="2335" spans="1:12">
      <c r="A2335" s="2683" t="s">
        <v>146</v>
      </c>
      <c r="B2335" s="2683" t="s">
        <v>8527</v>
      </c>
      <c r="C2335" s="2683">
        <v>143</v>
      </c>
      <c r="D2335" s="2683">
        <v>200</v>
      </c>
      <c r="E2335" s="2683">
        <v>41.3</v>
      </c>
      <c r="F2335" s="2683" t="s">
        <v>5922</v>
      </c>
      <c r="G2335" s="2683" t="s">
        <v>5922</v>
      </c>
      <c r="H2335" s="2683" t="s">
        <v>5922</v>
      </c>
      <c r="I2335" s="2683" t="s">
        <v>5922</v>
      </c>
      <c r="J2335" s="2683" t="s">
        <v>8528</v>
      </c>
      <c r="K2335" s="2684"/>
      <c r="L2335" s="2683" t="s">
        <v>8527</v>
      </c>
    </row>
    <row r="2336" spans="1:12">
      <c r="A2336" s="2682" t="s">
        <v>146</v>
      </c>
      <c r="B2336" s="2682" t="s">
        <v>8529</v>
      </c>
      <c r="C2336" s="2682">
        <v>221</v>
      </c>
      <c r="D2336" s="2682">
        <v>314</v>
      </c>
      <c r="E2336" s="2682">
        <v>240</v>
      </c>
      <c r="F2336" s="2682" t="s">
        <v>5922</v>
      </c>
      <c r="G2336" s="2682" t="s">
        <v>5922</v>
      </c>
      <c r="H2336" s="2682" t="s">
        <v>5922</v>
      </c>
      <c r="I2336" s="2682" t="s">
        <v>5922</v>
      </c>
      <c r="J2336" s="2682" t="s">
        <v>8530</v>
      </c>
      <c r="L2336" s="2682" t="s">
        <v>8531</v>
      </c>
    </row>
    <row r="2337" spans="1:12">
      <c r="A2337" s="2683" t="s">
        <v>146</v>
      </c>
      <c r="B2337" s="2683" t="s">
        <v>8532</v>
      </c>
      <c r="C2337" s="2683">
        <v>35.4</v>
      </c>
      <c r="D2337" s="2683">
        <v>50.292000000000002</v>
      </c>
      <c r="E2337" s="2683">
        <v>14.224</v>
      </c>
      <c r="F2337" s="2683" t="s">
        <v>5922</v>
      </c>
      <c r="G2337" s="2683" t="s">
        <v>5922</v>
      </c>
      <c r="H2337" s="2683" t="s">
        <v>5922</v>
      </c>
      <c r="I2337" s="2683" t="s">
        <v>5922</v>
      </c>
      <c r="J2337" s="2683" t="s">
        <v>8533</v>
      </c>
      <c r="K2337" s="2684"/>
      <c r="L2337" s="2683" t="s">
        <v>8532</v>
      </c>
    </row>
    <row r="2338" spans="1:12">
      <c r="A2338" s="2682" t="s">
        <v>146</v>
      </c>
      <c r="B2338" s="2682" t="s">
        <v>8534</v>
      </c>
      <c r="C2338" s="2682">
        <v>35.988</v>
      </c>
      <c r="D2338" s="2682">
        <v>50.292000000000002</v>
      </c>
      <c r="E2338" s="2682">
        <v>14.224</v>
      </c>
      <c r="F2338" s="2682" t="s">
        <v>5922</v>
      </c>
      <c r="G2338" s="2682" t="s">
        <v>5922</v>
      </c>
      <c r="H2338" s="2682" t="s">
        <v>5922</v>
      </c>
      <c r="I2338" s="2682" t="s">
        <v>5922</v>
      </c>
      <c r="J2338" s="2682" t="s">
        <v>8533</v>
      </c>
      <c r="L2338" s="2682" t="s">
        <v>8534</v>
      </c>
    </row>
    <row r="2339" spans="1:12">
      <c r="A2339" s="2683" t="s">
        <v>146</v>
      </c>
      <c r="B2339" s="2683" t="s">
        <v>8535</v>
      </c>
      <c r="C2339" s="2683">
        <v>35.512</v>
      </c>
      <c r="D2339" s="2683">
        <v>93.622</v>
      </c>
      <c r="E2339" s="2683">
        <v>31.75</v>
      </c>
      <c r="F2339" s="2683" t="s">
        <v>5922</v>
      </c>
      <c r="G2339" s="2683" t="s">
        <v>5922</v>
      </c>
      <c r="H2339" s="2683" t="s">
        <v>5922</v>
      </c>
      <c r="I2339" s="2683" t="s">
        <v>5922</v>
      </c>
      <c r="J2339" s="2683" t="s">
        <v>8536</v>
      </c>
      <c r="K2339" s="2684"/>
      <c r="L2339" s="2683" t="s">
        <v>8535</v>
      </c>
    </row>
    <row r="2340" spans="1:12">
      <c r="A2340" s="2682" t="s">
        <v>146</v>
      </c>
      <c r="B2340" s="2682" t="s">
        <v>8537</v>
      </c>
      <c r="C2340" s="2682">
        <v>32.549999999999997</v>
      </c>
      <c r="D2340" s="2682">
        <v>133.35</v>
      </c>
      <c r="E2340" s="2682">
        <v>33.335999999999999</v>
      </c>
      <c r="F2340" s="2682" t="s">
        <v>5922</v>
      </c>
      <c r="G2340" s="2682" t="s">
        <v>5922</v>
      </c>
      <c r="H2340" s="2682" t="s">
        <v>5922</v>
      </c>
      <c r="I2340" s="2682" t="s">
        <v>5922</v>
      </c>
      <c r="J2340" s="2682" t="s">
        <v>8538</v>
      </c>
      <c r="L2340" s="2682" t="s">
        <v>8537</v>
      </c>
    </row>
    <row r="2341" spans="1:12">
      <c r="A2341" s="2683" t="s">
        <v>146</v>
      </c>
      <c r="B2341" s="2683" t="s">
        <v>8539</v>
      </c>
      <c r="C2341" s="2683">
        <v>123.825</v>
      </c>
      <c r="D2341" s="2683">
        <v>182.56200000000001</v>
      </c>
      <c r="E2341" s="2683">
        <v>39.688000000000002</v>
      </c>
      <c r="F2341" s="2683" t="s">
        <v>5922</v>
      </c>
      <c r="G2341" s="2683" t="s">
        <v>5922</v>
      </c>
      <c r="H2341" s="2683" t="s">
        <v>5922</v>
      </c>
      <c r="I2341" s="2683" t="s">
        <v>5922</v>
      </c>
      <c r="J2341" s="2683">
        <v>3.2389999999999999</v>
      </c>
      <c r="K2341" s="2684"/>
      <c r="L2341" s="2683" t="s">
        <v>8539</v>
      </c>
    </row>
    <row r="2342" spans="1:12">
      <c r="A2342" s="2682" t="s">
        <v>146</v>
      </c>
      <c r="B2342" s="2682" t="s">
        <v>8540</v>
      </c>
      <c r="C2342" s="2682">
        <v>127</v>
      </c>
      <c r="D2342" s="2682">
        <v>182.52</v>
      </c>
      <c r="E2342" s="2682">
        <v>38.688000000000002</v>
      </c>
      <c r="F2342" s="2682" t="s">
        <v>5922</v>
      </c>
      <c r="G2342" s="2682" t="s">
        <v>5922</v>
      </c>
      <c r="H2342" s="2682" t="s">
        <v>5922</v>
      </c>
      <c r="I2342" s="2682" t="s">
        <v>5922</v>
      </c>
      <c r="J2342" s="2682" t="s">
        <v>8541</v>
      </c>
      <c r="L2342" s="2682" t="s">
        <v>8540</v>
      </c>
    </row>
    <row r="2343" spans="1:12">
      <c r="A2343" s="2683" t="s">
        <v>146</v>
      </c>
      <c r="B2343" s="2683" t="s">
        <v>8542</v>
      </c>
      <c r="C2343" s="2683">
        <v>34.975000000000001</v>
      </c>
      <c r="D2343" s="2683">
        <v>65.084000000000003</v>
      </c>
      <c r="E2343" s="2683">
        <v>18.030999999999999</v>
      </c>
      <c r="F2343" s="2683" t="s">
        <v>5922</v>
      </c>
      <c r="G2343" s="2683" t="s">
        <v>5922</v>
      </c>
      <c r="H2343" s="2683" t="s">
        <v>5922</v>
      </c>
      <c r="I2343" s="2683" t="s">
        <v>5922</v>
      </c>
      <c r="J2343" s="2683" t="s">
        <v>8543</v>
      </c>
      <c r="K2343" s="2684"/>
      <c r="L2343" s="2683" t="s">
        <v>8542</v>
      </c>
    </row>
    <row r="2344" spans="1:12">
      <c r="A2344" s="2682" t="s">
        <v>146</v>
      </c>
      <c r="B2344" s="2682" t="s">
        <v>8544</v>
      </c>
      <c r="C2344" s="2682">
        <v>34.924999999999997</v>
      </c>
      <c r="D2344" s="2682">
        <v>65.087999999999994</v>
      </c>
      <c r="E2344" s="2682">
        <v>21.082000000000001</v>
      </c>
      <c r="F2344" s="2682" t="s">
        <v>5922</v>
      </c>
      <c r="G2344" s="2682" t="s">
        <v>5922</v>
      </c>
      <c r="H2344" s="2682" t="s">
        <v>5922</v>
      </c>
      <c r="I2344" s="2682" t="s">
        <v>5922</v>
      </c>
      <c r="J2344" s="2682" t="s">
        <v>8545</v>
      </c>
      <c r="L2344" s="2682" t="s">
        <v>8544</v>
      </c>
    </row>
    <row r="2345" spans="1:12">
      <c r="A2345" s="2683" t="s">
        <v>146</v>
      </c>
      <c r="B2345" s="2683" t="s">
        <v>8546</v>
      </c>
      <c r="C2345" s="2683">
        <v>107.95</v>
      </c>
      <c r="D2345" s="2683">
        <v>171.34800000000001</v>
      </c>
      <c r="E2345" s="2683">
        <v>36.512</v>
      </c>
      <c r="F2345" s="2683" t="s">
        <v>5922</v>
      </c>
      <c r="G2345" s="2683" t="s">
        <v>5922</v>
      </c>
      <c r="H2345" s="2683" t="s">
        <v>5922</v>
      </c>
      <c r="I2345" s="2683" t="s">
        <v>5922</v>
      </c>
      <c r="J2345" s="2683" t="s">
        <v>8547</v>
      </c>
      <c r="K2345" s="2684"/>
      <c r="L2345" s="2683" t="s">
        <v>8546</v>
      </c>
    </row>
    <row r="2346" spans="1:12">
      <c r="A2346" s="2682" t="s">
        <v>146</v>
      </c>
      <c r="B2346" s="2682" t="s">
        <v>8548</v>
      </c>
      <c r="C2346" s="2682">
        <v>114.3</v>
      </c>
      <c r="D2346" s="2682">
        <v>177.34800000000001</v>
      </c>
      <c r="E2346" s="2682">
        <v>41.274999999999999</v>
      </c>
      <c r="F2346" s="2682" t="s">
        <v>5922</v>
      </c>
      <c r="G2346" s="2682" t="s">
        <v>5922</v>
      </c>
      <c r="H2346" s="2682" t="s">
        <v>5922</v>
      </c>
      <c r="I2346" s="2682" t="s">
        <v>5922</v>
      </c>
      <c r="J2346" s="2682" t="s">
        <v>8549</v>
      </c>
      <c r="L2346" s="2682" t="s">
        <v>8548</v>
      </c>
    </row>
    <row r="2347" spans="1:12">
      <c r="A2347" s="2683" t="s">
        <v>146</v>
      </c>
      <c r="B2347" s="2683" t="s">
        <v>8550</v>
      </c>
      <c r="C2347" s="2683">
        <v>31.75</v>
      </c>
      <c r="D2347" s="2683">
        <v>59.131</v>
      </c>
      <c r="E2347" s="2683">
        <v>15.875</v>
      </c>
      <c r="F2347" s="2683" t="s">
        <v>5922</v>
      </c>
      <c r="G2347" s="2683" t="s">
        <v>5922</v>
      </c>
      <c r="H2347" s="2683" t="s">
        <v>5922</v>
      </c>
      <c r="I2347" s="2683" t="s">
        <v>5922</v>
      </c>
      <c r="J2347" s="2683" t="s">
        <v>8515</v>
      </c>
      <c r="K2347" s="2684"/>
      <c r="L2347" s="2683" t="s">
        <v>8550</v>
      </c>
    </row>
    <row r="2348" spans="1:12">
      <c r="A2348" s="2682" t="s">
        <v>146</v>
      </c>
      <c r="B2348" s="2682" t="s">
        <v>8551</v>
      </c>
      <c r="C2348" s="2682">
        <v>35</v>
      </c>
      <c r="D2348" s="2682">
        <v>60</v>
      </c>
      <c r="E2348" s="2682">
        <v>15.875</v>
      </c>
      <c r="F2348" s="2682" t="s">
        <v>5922</v>
      </c>
      <c r="G2348" s="2682" t="s">
        <v>5922</v>
      </c>
      <c r="H2348" s="2682" t="s">
        <v>5922</v>
      </c>
      <c r="I2348" s="2682" t="s">
        <v>5922</v>
      </c>
      <c r="J2348" s="2682" t="s">
        <v>8515</v>
      </c>
      <c r="L2348" s="2682" t="s">
        <v>8551</v>
      </c>
    </row>
    <row r="2349" spans="1:12">
      <c r="A2349" s="2683" t="s">
        <v>146</v>
      </c>
      <c r="B2349" s="2683" t="s">
        <v>8552</v>
      </c>
      <c r="C2349" s="2683">
        <v>35</v>
      </c>
      <c r="D2349" s="2683">
        <v>60</v>
      </c>
      <c r="E2349" s="2683">
        <v>15.875</v>
      </c>
      <c r="F2349" s="2683" t="s">
        <v>5922</v>
      </c>
      <c r="G2349" s="2683" t="s">
        <v>5922</v>
      </c>
      <c r="H2349" s="2683" t="s">
        <v>5922</v>
      </c>
      <c r="I2349" s="2683" t="s">
        <v>5922</v>
      </c>
      <c r="J2349" s="2683" t="s">
        <v>8515</v>
      </c>
      <c r="K2349" s="2684"/>
      <c r="L2349" s="2683" t="s">
        <v>8552</v>
      </c>
    </row>
    <row r="2350" spans="1:12">
      <c r="A2350" s="2682" t="s">
        <v>146</v>
      </c>
      <c r="B2350" s="2682" t="s">
        <v>8553</v>
      </c>
      <c r="C2350" s="2682">
        <v>31.75</v>
      </c>
      <c r="D2350" s="2682">
        <v>73.025000000000006</v>
      </c>
      <c r="E2350" s="2682">
        <v>29.37</v>
      </c>
      <c r="F2350" s="2682" t="s">
        <v>5922</v>
      </c>
      <c r="G2350" s="2682" t="s">
        <v>5922</v>
      </c>
      <c r="H2350" s="2682" t="s">
        <v>5922</v>
      </c>
      <c r="I2350" s="2682" t="s">
        <v>5922</v>
      </c>
      <c r="J2350" s="2682" t="s">
        <v>8554</v>
      </c>
      <c r="L2350" s="2682" t="s">
        <v>8553</v>
      </c>
    </row>
    <row r="2351" spans="1:12">
      <c r="A2351" s="2683" t="s">
        <v>146</v>
      </c>
      <c r="B2351" s="2683" t="s">
        <v>8555</v>
      </c>
      <c r="C2351" s="2683">
        <v>30.161999999999999</v>
      </c>
      <c r="D2351" s="2683">
        <v>61.296999999999997</v>
      </c>
      <c r="E2351" s="2683">
        <v>21.344000000000001</v>
      </c>
      <c r="F2351" s="2683" t="s">
        <v>5922</v>
      </c>
      <c r="G2351" s="2683" t="s">
        <v>5922</v>
      </c>
      <c r="H2351" s="2683" t="s">
        <v>5922</v>
      </c>
      <c r="I2351" s="2683" t="s">
        <v>5922</v>
      </c>
      <c r="J2351" s="2683" t="s">
        <v>8556</v>
      </c>
      <c r="K2351" s="2684"/>
      <c r="L2351" s="2683" t="s">
        <v>8555</v>
      </c>
    </row>
    <row r="2352" spans="1:12">
      <c r="A2352" s="2682" t="s">
        <v>146</v>
      </c>
      <c r="B2352" s="2682" t="s">
        <v>8557</v>
      </c>
      <c r="C2352" s="2682">
        <v>152.4</v>
      </c>
      <c r="D2352" s="2682">
        <v>254</v>
      </c>
      <c r="E2352" s="2682">
        <v>66.674999999999997</v>
      </c>
      <c r="F2352" s="2682" t="s">
        <v>5922</v>
      </c>
      <c r="G2352" s="2682" t="s">
        <v>5922</v>
      </c>
      <c r="H2352" s="2682" t="s">
        <v>5922</v>
      </c>
      <c r="I2352" s="2682" t="s">
        <v>5922</v>
      </c>
      <c r="J2352" s="2682" t="s">
        <v>8558</v>
      </c>
      <c r="L2352" s="2682" t="s">
        <v>8557</v>
      </c>
    </row>
    <row r="2353" spans="1:12">
      <c r="A2353" s="2683" t="s">
        <v>146</v>
      </c>
      <c r="B2353" s="2683" t="s">
        <v>8559</v>
      </c>
      <c r="C2353" s="2683">
        <v>50</v>
      </c>
      <c r="D2353" s="2683">
        <v>82</v>
      </c>
      <c r="E2353" s="2683">
        <v>21.5</v>
      </c>
      <c r="F2353" s="2683" t="s">
        <v>5922</v>
      </c>
      <c r="G2353" s="2683" t="s">
        <v>5922</v>
      </c>
      <c r="H2353" s="2683" t="s">
        <v>5922</v>
      </c>
      <c r="I2353" s="2683" t="s">
        <v>5922</v>
      </c>
      <c r="J2353" s="2683" t="s">
        <v>8560</v>
      </c>
      <c r="K2353" s="2684"/>
      <c r="L2353" s="2683" t="s">
        <v>8561</v>
      </c>
    </row>
    <row r="2354" spans="1:12">
      <c r="A2354" s="2682" t="s">
        <v>146</v>
      </c>
      <c r="B2354" s="2682" t="s">
        <v>8562</v>
      </c>
      <c r="C2354" s="2682">
        <v>66.674999999999997</v>
      </c>
      <c r="D2354" s="2682">
        <v>122.238</v>
      </c>
      <c r="E2354" s="2682">
        <v>38.1</v>
      </c>
      <c r="F2354" s="2682" t="s">
        <v>5922</v>
      </c>
      <c r="G2354" s="2682" t="s">
        <v>5922</v>
      </c>
      <c r="H2354" s="2682" t="s">
        <v>5922</v>
      </c>
      <c r="I2354" s="2682" t="s">
        <v>5922</v>
      </c>
      <c r="J2354" s="2682" t="s">
        <v>8563</v>
      </c>
      <c r="L2354" s="2682" t="s">
        <v>8562</v>
      </c>
    </row>
    <row r="2355" spans="1:12">
      <c r="A2355" s="2683" t="s">
        <v>146</v>
      </c>
      <c r="B2355" s="2683" t="s">
        <v>8564</v>
      </c>
      <c r="C2355" s="2683">
        <v>89.974999999999994</v>
      </c>
      <c r="D2355" s="2683">
        <v>146.97499999999999</v>
      </c>
      <c r="E2355" s="2683">
        <v>40</v>
      </c>
      <c r="F2355" s="2683" t="s">
        <v>5922</v>
      </c>
      <c r="G2355" s="2683" t="s">
        <v>5922</v>
      </c>
      <c r="H2355" s="2683" t="s">
        <v>5922</v>
      </c>
      <c r="I2355" s="2683" t="s">
        <v>5922</v>
      </c>
      <c r="J2355" s="2683" t="s">
        <v>8565</v>
      </c>
      <c r="K2355" s="2684"/>
      <c r="L2355" s="2683" t="s">
        <v>8564</v>
      </c>
    </row>
    <row r="2356" spans="1:12">
      <c r="A2356" s="2682" t="s">
        <v>146</v>
      </c>
      <c r="B2356" s="2682" t="s">
        <v>8566</v>
      </c>
      <c r="C2356" s="2682">
        <v>41.274999999999999</v>
      </c>
      <c r="D2356" s="2682">
        <v>73.430999999999997</v>
      </c>
      <c r="E2356" s="2682">
        <v>19.588000000000001</v>
      </c>
      <c r="F2356" s="2682" t="s">
        <v>5922</v>
      </c>
      <c r="G2356" s="2682" t="s">
        <v>5922</v>
      </c>
      <c r="H2356" s="2682" t="s">
        <v>5922</v>
      </c>
      <c r="I2356" s="2682" t="s">
        <v>5922</v>
      </c>
      <c r="J2356" s="2682" t="s">
        <v>8567</v>
      </c>
      <c r="L2356" s="2682" t="s">
        <v>8566</v>
      </c>
    </row>
    <row r="2357" spans="1:12">
      <c r="A2357" s="2683" t="s">
        <v>146</v>
      </c>
      <c r="B2357" s="2683">
        <v>352973</v>
      </c>
      <c r="C2357" s="2683">
        <v>360</v>
      </c>
      <c r="D2357" s="2683">
        <v>480</v>
      </c>
      <c r="E2357" s="2683">
        <v>160</v>
      </c>
      <c r="F2357" s="2683" t="s">
        <v>5922</v>
      </c>
      <c r="G2357" s="2683" t="s">
        <v>5922</v>
      </c>
      <c r="H2357" s="2683" t="s">
        <v>5922</v>
      </c>
      <c r="I2357" s="2683" t="s">
        <v>5922</v>
      </c>
      <c r="J2357" s="2683">
        <v>74</v>
      </c>
      <c r="K2357" s="2684"/>
      <c r="L2357" s="2683">
        <v>2097973</v>
      </c>
    </row>
    <row r="2358" spans="1:12">
      <c r="A2358" s="2682" t="s">
        <v>146</v>
      </c>
      <c r="B2358" s="2682" t="s">
        <v>8568</v>
      </c>
      <c r="C2358" s="2682">
        <v>19.05</v>
      </c>
      <c r="D2358" s="2682">
        <v>43.14</v>
      </c>
      <c r="E2358" s="2682">
        <v>21.934999999999999</v>
      </c>
      <c r="F2358" s="2682" t="s">
        <v>5922</v>
      </c>
      <c r="G2358" s="2682" t="s">
        <v>5922</v>
      </c>
      <c r="H2358" s="2682" t="s">
        <v>5922</v>
      </c>
      <c r="I2358" s="2682" t="s">
        <v>5922</v>
      </c>
      <c r="J2358" s="2682">
        <v>1.2</v>
      </c>
      <c r="L2358" s="2682" t="s">
        <v>8568</v>
      </c>
    </row>
    <row r="2359" spans="1:12">
      <c r="A2359" s="2683" t="s">
        <v>146</v>
      </c>
      <c r="B2359" s="2683" t="s">
        <v>8569</v>
      </c>
      <c r="C2359" s="2683">
        <v>105</v>
      </c>
      <c r="D2359" s="2683">
        <v>170</v>
      </c>
      <c r="E2359" s="2683">
        <v>57</v>
      </c>
      <c r="F2359" s="2683" t="s">
        <v>5922</v>
      </c>
      <c r="G2359" s="2683" t="s">
        <v>5922</v>
      </c>
      <c r="H2359" s="2683" t="s">
        <v>5922</v>
      </c>
      <c r="I2359" s="2683" t="s">
        <v>5922</v>
      </c>
      <c r="J2359" s="2683">
        <v>5.72</v>
      </c>
      <c r="K2359" s="2684"/>
      <c r="L2359" s="2683" t="s">
        <v>8570</v>
      </c>
    </row>
    <row r="2360" spans="1:12">
      <c r="A2360" s="2682" t="s">
        <v>146</v>
      </c>
      <c r="B2360" s="2682" t="s">
        <v>8571</v>
      </c>
      <c r="C2360" s="2682">
        <v>35</v>
      </c>
      <c r="D2360" s="2682">
        <v>72</v>
      </c>
      <c r="E2360" s="2682">
        <v>18.25</v>
      </c>
      <c r="F2360" s="2682" t="s">
        <v>5922</v>
      </c>
      <c r="G2360" s="2682" t="s">
        <v>5922</v>
      </c>
      <c r="H2360" s="2682" t="s">
        <v>5922</v>
      </c>
      <c r="I2360" s="2682" t="s">
        <v>5922</v>
      </c>
      <c r="J2360" s="2682">
        <v>0.32</v>
      </c>
      <c r="L2360" s="2682">
        <v>7207</v>
      </c>
    </row>
    <row r="2361" spans="1:12">
      <c r="A2361" s="2683" t="s">
        <v>146</v>
      </c>
      <c r="B2361" s="2683" t="s">
        <v>8572</v>
      </c>
      <c r="C2361" s="2683">
        <v>30</v>
      </c>
      <c r="D2361" s="2683">
        <v>62</v>
      </c>
      <c r="E2361" s="2683">
        <v>17.25</v>
      </c>
      <c r="F2361" s="2683" t="s">
        <v>5922</v>
      </c>
      <c r="G2361" s="2683" t="s">
        <v>5922</v>
      </c>
      <c r="H2361" s="2683" t="s">
        <v>5922</v>
      </c>
      <c r="I2361" s="2683" t="s">
        <v>5922</v>
      </c>
      <c r="J2361" s="2683">
        <v>0.23</v>
      </c>
      <c r="K2361" s="2684"/>
      <c r="L2361" s="2683">
        <v>7206</v>
      </c>
    </row>
    <row r="2362" spans="1:12">
      <c r="A2362" s="2682" t="s">
        <v>146</v>
      </c>
      <c r="B2362" s="2682" t="s">
        <v>8573</v>
      </c>
      <c r="C2362" s="2682">
        <v>25</v>
      </c>
      <c r="D2362" s="2682">
        <v>52</v>
      </c>
      <c r="E2362" s="2682">
        <v>16.25</v>
      </c>
      <c r="F2362" s="2682" t="s">
        <v>5922</v>
      </c>
      <c r="G2362" s="2682" t="s">
        <v>5922</v>
      </c>
      <c r="H2362" s="2682" t="s">
        <v>5922</v>
      </c>
      <c r="I2362" s="2682" t="s">
        <v>5922</v>
      </c>
      <c r="J2362" s="2682">
        <v>0.15</v>
      </c>
      <c r="L2362" s="2682">
        <v>7205</v>
      </c>
    </row>
    <row r="2363" spans="1:12">
      <c r="A2363" s="2683" t="s">
        <v>146</v>
      </c>
      <c r="B2363" s="2683" t="s">
        <v>8574</v>
      </c>
      <c r="C2363" s="2683">
        <v>38</v>
      </c>
      <c r="D2363" s="2683">
        <v>63</v>
      </c>
      <c r="E2363" s="2683">
        <v>17</v>
      </c>
      <c r="F2363" s="2683" t="s">
        <v>5922</v>
      </c>
      <c r="G2363" s="2683" t="s">
        <v>5922</v>
      </c>
      <c r="H2363" s="2683" t="s">
        <v>5922</v>
      </c>
      <c r="I2363" s="2683" t="s">
        <v>5922</v>
      </c>
      <c r="J2363" s="2683">
        <v>0.2</v>
      </c>
      <c r="K2363" s="2684"/>
      <c r="L2363" s="2683" t="s">
        <v>8574</v>
      </c>
    </row>
    <row r="2364" spans="1:12">
      <c r="A2364" s="2682" t="s">
        <v>146</v>
      </c>
      <c r="B2364" s="2682" t="s">
        <v>8575</v>
      </c>
      <c r="C2364" s="2682">
        <v>38</v>
      </c>
      <c r="D2364" s="2682">
        <v>36</v>
      </c>
      <c r="E2364" s="2682">
        <v>17</v>
      </c>
      <c r="F2364" s="2682" t="s">
        <v>5922</v>
      </c>
      <c r="G2364" s="2682" t="s">
        <v>5922</v>
      </c>
      <c r="H2364" s="2682" t="s">
        <v>5922</v>
      </c>
      <c r="I2364" s="2682" t="s">
        <v>5922</v>
      </c>
      <c r="J2364" s="2682">
        <v>0.2</v>
      </c>
      <c r="L2364" s="2682" t="s">
        <v>8575</v>
      </c>
    </row>
    <row r="2365" spans="1:12">
      <c r="A2365" s="2683" t="s">
        <v>146</v>
      </c>
      <c r="B2365" s="2683" t="s">
        <v>8576</v>
      </c>
      <c r="C2365" s="2683">
        <v>40</v>
      </c>
      <c r="D2365" s="2683">
        <v>85</v>
      </c>
      <c r="E2365" s="2683">
        <v>33</v>
      </c>
      <c r="F2365" s="2683" t="s">
        <v>5922</v>
      </c>
      <c r="G2365" s="2683" t="s">
        <v>5922</v>
      </c>
      <c r="H2365" s="2683" t="s">
        <v>5922</v>
      </c>
      <c r="I2365" s="2683" t="s">
        <v>5922</v>
      </c>
      <c r="J2365" s="2683">
        <v>0.9</v>
      </c>
      <c r="K2365" s="2684"/>
      <c r="L2365" s="2683" t="s">
        <v>8576</v>
      </c>
    </row>
    <row r="2366" spans="1:12">
      <c r="A2366" s="2682" t="s">
        <v>146</v>
      </c>
      <c r="B2366" s="2682" t="s">
        <v>8577</v>
      </c>
      <c r="C2366" s="2682">
        <v>45</v>
      </c>
      <c r="D2366" s="2682">
        <v>95</v>
      </c>
      <c r="E2366" s="2682">
        <v>29</v>
      </c>
      <c r="F2366" s="2682" t="s">
        <v>5922</v>
      </c>
      <c r="G2366" s="2682" t="s">
        <v>5922</v>
      </c>
      <c r="H2366" s="2682" t="s">
        <v>5922</v>
      </c>
      <c r="I2366" s="2682" t="s">
        <v>5922</v>
      </c>
      <c r="J2366" s="2682">
        <v>0.92</v>
      </c>
      <c r="L2366" s="2682" t="s">
        <v>8577</v>
      </c>
    </row>
    <row r="2367" spans="1:12">
      <c r="A2367" s="2683" t="s">
        <v>146</v>
      </c>
      <c r="B2367" s="2683">
        <v>45320</v>
      </c>
      <c r="C2367" s="2683">
        <v>100</v>
      </c>
      <c r="D2367" s="2683">
        <v>165</v>
      </c>
      <c r="E2367" s="2683">
        <v>52</v>
      </c>
      <c r="F2367" s="2683">
        <v>237</v>
      </c>
      <c r="G2367" s="2683">
        <v>384</v>
      </c>
      <c r="H2367" s="2683">
        <v>1800</v>
      </c>
      <c r="I2367" s="2683">
        <v>2300</v>
      </c>
      <c r="J2367" s="2683">
        <v>4.26</v>
      </c>
      <c r="K2367" s="2684"/>
      <c r="L2367" s="2683" t="s">
        <v>5922</v>
      </c>
    </row>
    <row r="2368" spans="1:12">
      <c r="A2368" s="2682" t="s">
        <v>146</v>
      </c>
      <c r="B2368" s="2682">
        <v>45322</v>
      </c>
      <c r="C2368" s="2682">
        <v>110</v>
      </c>
      <c r="D2368" s="2682">
        <v>180</v>
      </c>
      <c r="E2368" s="2682">
        <v>56</v>
      </c>
      <c r="F2368" s="2682">
        <v>300</v>
      </c>
      <c r="G2368" s="2682">
        <v>505</v>
      </c>
      <c r="H2368" s="2682">
        <v>1600</v>
      </c>
      <c r="I2368" s="2682">
        <v>2100</v>
      </c>
      <c r="J2368" s="2682">
        <v>5.4</v>
      </c>
      <c r="L2368" s="2682" t="s">
        <v>5922</v>
      </c>
    </row>
    <row r="2369" spans="1:12">
      <c r="A2369" s="2683" t="s">
        <v>146</v>
      </c>
      <c r="B2369" s="2683">
        <v>45224</v>
      </c>
      <c r="C2369" s="2683">
        <v>120</v>
      </c>
      <c r="D2369" s="2683">
        <v>180</v>
      </c>
      <c r="E2369" s="2683">
        <v>46</v>
      </c>
      <c r="F2369" s="2683">
        <v>229</v>
      </c>
      <c r="G2369" s="2683">
        <v>424</v>
      </c>
      <c r="H2369" s="2683">
        <v>1500</v>
      </c>
      <c r="I2369" s="2683">
        <v>2100</v>
      </c>
      <c r="J2369" s="2683">
        <v>4.08</v>
      </c>
      <c r="K2369" s="2684"/>
      <c r="L2369" s="2683" t="s">
        <v>5922</v>
      </c>
    </row>
    <row r="2370" spans="1:12">
      <c r="A2370" s="2682" t="s">
        <v>146</v>
      </c>
      <c r="B2370" s="2682">
        <v>45324</v>
      </c>
      <c r="C2370" s="2682">
        <v>120</v>
      </c>
      <c r="D2370" s="2682">
        <v>200</v>
      </c>
      <c r="E2370" s="2682">
        <v>62</v>
      </c>
      <c r="F2370" s="2682">
        <v>353</v>
      </c>
      <c r="G2370" s="2682">
        <v>598</v>
      </c>
      <c r="H2370" s="2682">
        <v>1400</v>
      </c>
      <c r="I2370" s="2682">
        <v>1900</v>
      </c>
      <c r="J2370" s="2682">
        <v>7.92</v>
      </c>
      <c r="L2370" s="2682" t="s">
        <v>5922</v>
      </c>
    </row>
    <row r="2371" spans="1:12">
      <c r="A2371" s="2683" t="s">
        <v>146</v>
      </c>
      <c r="B2371" s="2683">
        <v>45226</v>
      </c>
      <c r="C2371" s="2683">
        <v>130</v>
      </c>
      <c r="D2371" s="2683">
        <v>200</v>
      </c>
      <c r="E2371" s="2683">
        <v>52</v>
      </c>
      <c r="F2371" s="2683">
        <v>300</v>
      </c>
      <c r="G2371" s="2683">
        <v>548</v>
      </c>
      <c r="H2371" s="2683">
        <v>1400</v>
      </c>
      <c r="I2371" s="2683">
        <v>1800</v>
      </c>
      <c r="J2371" s="2683">
        <v>5.96</v>
      </c>
      <c r="K2371" s="2684"/>
      <c r="L2371" s="2683" t="s">
        <v>5922</v>
      </c>
    </row>
    <row r="2372" spans="1:12">
      <c r="A2372" s="2682" t="s">
        <v>146</v>
      </c>
      <c r="B2372" s="2682">
        <v>45326</v>
      </c>
      <c r="C2372" s="2682">
        <v>130</v>
      </c>
      <c r="D2372" s="2682">
        <v>210</v>
      </c>
      <c r="E2372" s="2682">
        <v>64</v>
      </c>
      <c r="F2372" s="2682">
        <v>412</v>
      </c>
      <c r="G2372" s="2682">
        <v>657</v>
      </c>
      <c r="H2372" s="2682">
        <v>1300</v>
      </c>
      <c r="I2372" s="2682">
        <v>1800</v>
      </c>
      <c r="J2372" s="2682">
        <v>8.41</v>
      </c>
      <c r="L2372" s="2682" t="s">
        <v>5922</v>
      </c>
    </row>
    <row r="2373" spans="1:12">
      <c r="A2373" s="2683" t="s">
        <v>146</v>
      </c>
      <c r="B2373" s="2683">
        <v>45228</v>
      </c>
      <c r="C2373" s="2683">
        <v>140</v>
      </c>
      <c r="D2373" s="2683">
        <v>210</v>
      </c>
      <c r="E2373" s="2683">
        <v>53</v>
      </c>
      <c r="F2373" s="2683">
        <v>311</v>
      </c>
      <c r="G2373" s="2683">
        <v>564</v>
      </c>
      <c r="H2373" s="2683">
        <v>1300</v>
      </c>
      <c r="I2373" s="2683">
        <v>1800</v>
      </c>
      <c r="J2373" s="2683">
        <v>6.45</v>
      </c>
      <c r="K2373" s="2684"/>
      <c r="L2373" s="2683" t="s">
        <v>5922</v>
      </c>
    </row>
    <row r="2374" spans="1:12">
      <c r="A2374" s="2682" t="s">
        <v>146</v>
      </c>
      <c r="B2374" s="2682">
        <v>45328</v>
      </c>
      <c r="C2374" s="2682">
        <v>140</v>
      </c>
      <c r="D2374" s="2682">
        <v>225</v>
      </c>
      <c r="E2374" s="2682">
        <v>68</v>
      </c>
      <c r="F2374" s="2682">
        <v>486</v>
      </c>
      <c r="G2374" s="2682">
        <v>807</v>
      </c>
      <c r="H2374" s="2682">
        <v>1200</v>
      </c>
      <c r="I2374" s="2682">
        <v>1700</v>
      </c>
      <c r="J2374" s="2682">
        <v>10</v>
      </c>
      <c r="L2374" s="2682" t="s">
        <v>5922</v>
      </c>
    </row>
    <row r="2375" spans="1:12">
      <c r="A2375" s="2683" t="s">
        <v>146</v>
      </c>
      <c r="B2375" s="2683">
        <v>45230</v>
      </c>
      <c r="C2375" s="2683">
        <v>150</v>
      </c>
      <c r="D2375" s="2683">
        <v>225</v>
      </c>
      <c r="E2375" s="2683">
        <v>56</v>
      </c>
      <c r="F2375" s="2683">
        <v>355</v>
      </c>
      <c r="G2375" s="2683">
        <v>686</v>
      </c>
      <c r="H2375" s="2683">
        <v>1200</v>
      </c>
      <c r="I2375" s="2683">
        <v>1600</v>
      </c>
      <c r="J2375" s="2683">
        <v>7.87</v>
      </c>
      <c r="K2375" s="2684"/>
      <c r="L2375" s="2683" t="s">
        <v>5922</v>
      </c>
    </row>
    <row r="2376" spans="1:12">
      <c r="A2376" s="2682" t="s">
        <v>146</v>
      </c>
      <c r="B2376" s="2682">
        <v>45330</v>
      </c>
      <c r="C2376" s="2682">
        <v>150</v>
      </c>
      <c r="D2376" s="2682">
        <v>250</v>
      </c>
      <c r="E2376" s="2682">
        <v>80</v>
      </c>
      <c r="F2376" s="2682">
        <v>593</v>
      </c>
      <c r="G2376" s="2682">
        <v>955</v>
      </c>
      <c r="H2376" s="2682">
        <v>1100</v>
      </c>
      <c r="I2376" s="2682">
        <v>1500</v>
      </c>
      <c r="J2376" s="2682">
        <v>15.5</v>
      </c>
      <c r="L2376" s="2682" t="s">
        <v>5922</v>
      </c>
    </row>
    <row r="2377" spans="1:12">
      <c r="A2377" s="2683" t="s">
        <v>146</v>
      </c>
      <c r="B2377" s="2683">
        <v>45232</v>
      </c>
      <c r="C2377" s="2683">
        <v>160</v>
      </c>
      <c r="D2377" s="2683">
        <v>240</v>
      </c>
      <c r="E2377" s="2683">
        <v>60</v>
      </c>
      <c r="F2377" s="2683">
        <v>421</v>
      </c>
      <c r="G2377" s="2683">
        <v>705</v>
      </c>
      <c r="H2377" s="2683">
        <v>1100</v>
      </c>
      <c r="I2377" s="2683">
        <v>1500</v>
      </c>
      <c r="J2377" s="2683">
        <v>9.2200000000000006</v>
      </c>
      <c r="K2377" s="2684"/>
      <c r="L2377" s="2683" t="s">
        <v>5922</v>
      </c>
    </row>
    <row r="2378" spans="1:12">
      <c r="A2378" s="2682" t="s">
        <v>146</v>
      </c>
      <c r="B2378" s="2682">
        <v>45332</v>
      </c>
      <c r="C2378" s="2682">
        <v>160</v>
      </c>
      <c r="D2378" s="2682">
        <v>270</v>
      </c>
      <c r="E2378" s="2682">
        <v>86</v>
      </c>
      <c r="F2378" s="2682">
        <v>678</v>
      </c>
      <c r="G2378" s="2682">
        <v>1100</v>
      </c>
      <c r="H2378" s="2682">
        <v>1000</v>
      </c>
      <c r="I2378" s="2682">
        <v>1400</v>
      </c>
      <c r="J2378" s="2682">
        <v>19.8</v>
      </c>
      <c r="L2378" s="2682" t="s">
        <v>5922</v>
      </c>
    </row>
    <row r="2379" spans="1:12">
      <c r="A2379" s="2683" t="s">
        <v>146</v>
      </c>
      <c r="B2379" s="2683">
        <v>45234</v>
      </c>
      <c r="C2379" s="2683">
        <v>170</v>
      </c>
      <c r="D2379" s="2683">
        <v>260</v>
      </c>
      <c r="E2379" s="2683">
        <v>67</v>
      </c>
      <c r="F2379" s="2683">
        <v>521</v>
      </c>
      <c r="G2379" s="2683">
        <v>956</v>
      </c>
      <c r="H2379" s="2683">
        <v>1000</v>
      </c>
      <c r="I2379" s="2683">
        <v>1400</v>
      </c>
      <c r="J2379" s="2683">
        <v>12.4</v>
      </c>
      <c r="K2379" s="2684"/>
      <c r="L2379" s="2683" t="s">
        <v>5922</v>
      </c>
    </row>
    <row r="2380" spans="1:12">
      <c r="A2380" s="2682" t="s">
        <v>146</v>
      </c>
      <c r="B2380" s="2682">
        <v>45334</v>
      </c>
      <c r="C2380" s="2682">
        <v>170</v>
      </c>
      <c r="D2380" s="2682">
        <v>280</v>
      </c>
      <c r="E2380" s="2682">
        <v>88</v>
      </c>
      <c r="F2380" s="2682">
        <v>723</v>
      </c>
      <c r="G2380" s="2682">
        <v>1210</v>
      </c>
      <c r="H2380" s="2682">
        <v>970</v>
      </c>
      <c r="I2380" s="2682">
        <v>1300</v>
      </c>
      <c r="J2380" s="2682">
        <v>21.6</v>
      </c>
      <c r="L2380" s="2682" t="s">
        <v>5922</v>
      </c>
    </row>
    <row r="2381" spans="1:12">
      <c r="A2381" s="2683" t="s">
        <v>146</v>
      </c>
      <c r="B2381" s="2683">
        <v>45236</v>
      </c>
      <c r="C2381" s="2683">
        <v>180</v>
      </c>
      <c r="D2381" s="2683">
        <v>280</v>
      </c>
      <c r="E2381" s="2683">
        <v>74</v>
      </c>
      <c r="F2381" s="2683">
        <v>575</v>
      </c>
      <c r="G2381" s="2683">
        <v>1050</v>
      </c>
      <c r="H2381" s="2683">
        <v>950</v>
      </c>
      <c r="I2381" s="2683">
        <v>1300</v>
      </c>
      <c r="J2381" s="2683">
        <v>16.8</v>
      </c>
      <c r="K2381" s="2684"/>
      <c r="L2381" s="2683" t="s">
        <v>5922</v>
      </c>
    </row>
    <row r="2382" spans="1:12">
      <c r="A2382" s="2682" t="s">
        <v>146</v>
      </c>
      <c r="B2382" s="2682">
        <v>45336</v>
      </c>
      <c r="C2382" s="2682">
        <v>180</v>
      </c>
      <c r="D2382" s="2682">
        <v>300</v>
      </c>
      <c r="E2382" s="2682">
        <v>96</v>
      </c>
      <c r="F2382" s="2682">
        <v>860</v>
      </c>
      <c r="G2382" s="2682">
        <v>1370</v>
      </c>
      <c r="H2382" s="2682">
        <v>910</v>
      </c>
      <c r="I2382" s="2682">
        <v>1200</v>
      </c>
      <c r="J2382" s="2682">
        <v>26.5</v>
      </c>
      <c r="L2382" s="2682" t="s">
        <v>5922</v>
      </c>
    </row>
    <row r="2383" spans="1:12">
      <c r="A2383" s="2683" t="s">
        <v>146</v>
      </c>
      <c r="B2383" s="2683">
        <v>45238</v>
      </c>
      <c r="C2383" s="2683">
        <v>190</v>
      </c>
      <c r="D2383" s="2683">
        <v>290</v>
      </c>
      <c r="E2383" s="2683">
        <v>75</v>
      </c>
      <c r="F2383" s="2683">
        <v>599</v>
      </c>
      <c r="G2383" s="2683">
        <v>1130</v>
      </c>
      <c r="H2383" s="2683">
        <v>900</v>
      </c>
      <c r="I2383" s="2683">
        <v>1200</v>
      </c>
      <c r="J2383" s="2683">
        <v>17.7</v>
      </c>
      <c r="K2383" s="2684"/>
      <c r="L2383" s="2683" t="s">
        <v>5922</v>
      </c>
    </row>
    <row r="2384" spans="1:12">
      <c r="A2384" s="2682" t="s">
        <v>146</v>
      </c>
      <c r="B2384" s="2682">
        <v>45338</v>
      </c>
      <c r="C2384" s="2682">
        <v>190</v>
      </c>
      <c r="D2384" s="2682">
        <v>320</v>
      </c>
      <c r="E2384" s="2682">
        <v>104</v>
      </c>
      <c r="F2384" s="2682">
        <v>981</v>
      </c>
      <c r="G2384" s="2682">
        <v>1590</v>
      </c>
      <c r="H2384" s="2682">
        <v>840</v>
      </c>
      <c r="I2384" s="2682">
        <v>1100</v>
      </c>
      <c r="J2384" s="2682">
        <v>34</v>
      </c>
      <c r="L2384" s="2682" t="s">
        <v>5922</v>
      </c>
    </row>
    <row r="2385" spans="1:12">
      <c r="A2385" s="2683" t="s">
        <v>146</v>
      </c>
      <c r="B2385" s="2683">
        <v>45240</v>
      </c>
      <c r="C2385" s="2683">
        <v>200</v>
      </c>
      <c r="D2385" s="2683">
        <v>310</v>
      </c>
      <c r="E2385" s="2683">
        <v>82</v>
      </c>
      <c r="F2385" s="2683">
        <v>728</v>
      </c>
      <c r="G2385" s="2683">
        <v>1410</v>
      </c>
      <c r="H2385" s="2683">
        <v>830</v>
      </c>
      <c r="I2385" s="2683">
        <v>1100</v>
      </c>
      <c r="J2385" s="2683">
        <v>22.9</v>
      </c>
      <c r="K2385" s="2684"/>
      <c r="L2385" s="2683" t="s">
        <v>5922</v>
      </c>
    </row>
    <row r="2386" spans="1:12">
      <c r="A2386" s="2682" t="s">
        <v>146</v>
      </c>
      <c r="B2386" s="2682">
        <v>45340</v>
      </c>
      <c r="C2386" s="2682">
        <v>200</v>
      </c>
      <c r="D2386" s="2682">
        <v>340</v>
      </c>
      <c r="E2386" s="2682">
        <v>112</v>
      </c>
      <c r="F2386" s="2682">
        <v>1080</v>
      </c>
      <c r="G2386" s="2682">
        <v>1840</v>
      </c>
      <c r="H2386" s="2682">
        <v>770</v>
      </c>
      <c r="I2386" s="2682">
        <v>1000</v>
      </c>
      <c r="J2386" s="2682">
        <v>41.9</v>
      </c>
      <c r="L2386" s="2682" t="s">
        <v>5922</v>
      </c>
    </row>
    <row r="2387" spans="1:12">
      <c r="A2387" s="2683" t="s">
        <v>146</v>
      </c>
      <c r="B2387" s="2683">
        <v>45244</v>
      </c>
      <c r="C2387" s="2683">
        <v>220</v>
      </c>
      <c r="D2387" s="2683">
        <v>340</v>
      </c>
      <c r="E2387" s="2683">
        <v>90</v>
      </c>
      <c r="F2387" s="2683">
        <v>804</v>
      </c>
      <c r="G2387" s="2683">
        <v>1460</v>
      </c>
      <c r="H2387" s="2683">
        <v>740</v>
      </c>
      <c r="I2387" s="2683">
        <v>990</v>
      </c>
      <c r="J2387" s="2683">
        <v>28.5</v>
      </c>
      <c r="K2387" s="2684"/>
      <c r="L2387" s="2683" t="s">
        <v>5922</v>
      </c>
    </row>
    <row r="2388" spans="1:12">
      <c r="A2388" s="2682" t="s">
        <v>146</v>
      </c>
      <c r="B2388" s="2682">
        <v>45344</v>
      </c>
      <c r="C2388" s="2682">
        <v>220</v>
      </c>
      <c r="D2388" s="2682">
        <v>370</v>
      </c>
      <c r="E2388" s="2682">
        <v>120</v>
      </c>
      <c r="F2388" s="2682">
        <v>1210</v>
      </c>
      <c r="G2388" s="2682">
        <v>2060</v>
      </c>
      <c r="H2388" s="2682">
        <v>700</v>
      </c>
      <c r="I2388" s="2682">
        <v>930</v>
      </c>
      <c r="J2388" s="2682">
        <v>50.8</v>
      </c>
      <c r="L2388" s="2682" t="s">
        <v>5922</v>
      </c>
    </row>
    <row r="2389" spans="1:12">
      <c r="A2389" s="2683" t="s">
        <v>146</v>
      </c>
      <c r="B2389" s="2683">
        <v>45246</v>
      </c>
      <c r="C2389" s="2683">
        <v>230</v>
      </c>
      <c r="D2389" s="2683">
        <v>350</v>
      </c>
      <c r="E2389" s="2683">
        <v>90</v>
      </c>
      <c r="F2389" s="2683">
        <v>791</v>
      </c>
      <c r="G2389" s="2683">
        <v>1560</v>
      </c>
      <c r="H2389" s="2683">
        <v>710</v>
      </c>
      <c r="I2389" s="2683">
        <v>950</v>
      </c>
      <c r="J2389" s="2683">
        <v>30.6</v>
      </c>
      <c r="K2389" s="2684"/>
      <c r="L2389" s="2683" t="s">
        <v>5922</v>
      </c>
    </row>
    <row r="2390" spans="1:12">
      <c r="A2390" s="2682" t="s">
        <v>146</v>
      </c>
      <c r="B2390" s="2682">
        <v>45248</v>
      </c>
      <c r="C2390" s="2682">
        <v>240</v>
      </c>
      <c r="D2390" s="2682">
        <v>360</v>
      </c>
      <c r="E2390" s="2682">
        <v>92</v>
      </c>
      <c r="F2390" s="2682">
        <v>915</v>
      </c>
      <c r="G2390" s="2682">
        <v>1790</v>
      </c>
      <c r="H2390" s="2682">
        <v>690</v>
      </c>
      <c r="I2390" s="2682">
        <v>920</v>
      </c>
      <c r="J2390" s="2682">
        <v>32.200000000000003</v>
      </c>
      <c r="L2390" s="2682" t="s">
        <v>5922</v>
      </c>
    </row>
    <row r="2391" spans="1:12">
      <c r="A2391" s="2683" t="s">
        <v>146</v>
      </c>
      <c r="B2391" s="2683">
        <v>45348</v>
      </c>
      <c r="C2391" s="2683">
        <v>240</v>
      </c>
      <c r="D2391" s="2683">
        <v>400</v>
      </c>
      <c r="E2391" s="2683">
        <v>128</v>
      </c>
      <c r="F2391" s="2683">
        <v>1430</v>
      </c>
      <c r="G2391" s="2683">
        <v>2470</v>
      </c>
      <c r="H2391" s="2683">
        <v>630</v>
      </c>
      <c r="I2391" s="2683">
        <v>840</v>
      </c>
      <c r="J2391" s="2683">
        <v>65.400000000000006</v>
      </c>
      <c r="K2391" s="2684"/>
      <c r="L2391" s="2683" t="s">
        <v>5922</v>
      </c>
    </row>
    <row r="2392" spans="1:12">
      <c r="A2392" s="2682" t="s">
        <v>146</v>
      </c>
      <c r="B2392" s="2682">
        <v>45252</v>
      </c>
      <c r="C2392" s="2682">
        <v>260</v>
      </c>
      <c r="D2392" s="2682">
        <v>400</v>
      </c>
      <c r="E2392" s="2682">
        <v>104</v>
      </c>
      <c r="F2392" s="2682">
        <v>1140</v>
      </c>
      <c r="G2392" s="2682">
        <v>2120</v>
      </c>
      <c r="H2392" s="2682">
        <v>610</v>
      </c>
      <c r="I2392" s="2682">
        <v>810</v>
      </c>
      <c r="J2392" s="2682">
        <v>48.1</v>
      </c>
      <c r="L2392" s="2682" t="s">
        <v>5922</v>
      </c>
    </row>
    <row r="2393" spans="1:12">
      <c r="A2393" s="2683" t="s">
        <v>146</v>
      </c>
      <c r="B2393" s="2683">
        <v>45352</v>
      </c>
      <c r="C2393" s="2683">
        <v>260</v>
      </c>
      <c r="D2393" s="2683">
        <v>400</v>
      </c>
      <c r="E2393" s="2683">
        <v>144</v>
      </c>
      <c r="F2393" s="2683">
        <v>1890</v>
      </c>
      <c r="G2393" s="2683">
        <v>3440</v>
      </c>
      <c r="H2393" s="2683">
        <v>560</v>
      </c>
      <c r="I2393" s="2683">
        <v>750</v>
      </c>
      <c r="J2393" s="2683">
        <v>92.2</v>
      </c>
      <c r="K2393" s="2684"/>
      <c r="L2393" s="2683" t="s">
        <v>5922</v>
      </c>
    </row>
    <row r="2394" spans="1:12">
      <c r="A2394" s="2682" t="s">
        <v>146</v>
      </c>
      <c r="B2394" s="2682">
        <v>45256</v>
      </c>
      <c r="C2394" s="2682">
        <v>280</v>
      </c>
      <c r="D2394" s="2682">
        <v>420</v>
      </c>
      <c r="E2394" s="2682">
        <v>106</v>
      </c>
      <c r="F2394" s="2682">
        <v>1190</v>
      </c>
      <c r="G2394" s="2682">
        <v>2470</v>
      </c>
      <c r="H2394" s="2682">
        <v>560</v>
      </c>
      <c r="I2394" s="2682">
        <v>750</v>
      </c>
      <c r="J2394" s="2682">
        <v>51.9</v>
      </c>
      <c r="L2394" s="2682" t="s">
        <v>5922</v>
      </c>
    </row>
    <row r="2395" spans="1:12">
      <c r="A2395" s="2683" t="s">
        <v>146</v>
      </c>
      <c r="B2395" s="2683">
        <v>45356</v>
      </c>
      <c r="C2395" s="2683">
        <v>280</v>
      </c>
      <c r="D2395" s="2683">
        <v>460</v>
      </c>
      <c r="E2395" s="2683">
        <v>146</v>
      </c>
      <c r="F2395" s="2683">
        <v>1930</v>
      </c>
      <c r="G2395" s="2683">
        <v>3320</v>
      </c>
      <c r="H2395" s="2683">
        <v>520</v>
      </c>
      <c r="I2395" s="2683">
        <v>700</v>
      </c>
      <c r="J2395" s="2683">
        <v>93.1</v>
      </c>
      <c r="K2395" s="2684"/>
      <c r="L2395" s="2683" t="s">
        <v>5922</v>
      </c>
    </row>
    <row r="2396" spans="1:12">
      <c r="A2396" s="2682" t="s">
        <v>146</v>
      </c>
      <c r="B2396" s="2682">
        <v>45260</v>
      </c>
      <c r="C2396" s="2682">
        <v>300</v>
      </c>
      <c r="D2396" s="2682">
        <v>460</v>
      </c>
      <c r="E2396" s="2682">
        <v>118</v>
      </c>
      <c r="F2396" s="2682">
        <v>1610</v>
      </c>
      <c r="G2396" s="2682">
        <v>3150</v>
      </c>
      <c r="H2396" s="2682">
        <v>500</v>
      </c>
      <c r="I2396" s="2682">
        <v>670</v>
      </c>
      <c r="J2396" s="2682">
        <v>78.5</v>
      </c>
      <c r="L2396" s="2682" t="s">
        <v>5922</v>
      </c>
    </row>
    <row r="2397" spans="1:12">
      <c r="A2397" s="2683" t="s">
        <v>146</v>
      </c>
      <c r="B2397" s="2683">
        <v>45360</v>
      </c>
      <c r="C2397" s="2683">
        <v>300</v>
      </c>
      <c r="D2397" s="2683">
        <v>500</v>
      </c>
      <c r="E2397" s="2683">
        <v>160</v>
      </c>
      <c r="F2397" s="2683">
        <v>2120</v>
      </c>
      <c r="G2397" s="2683">
        <v>4240</v>
      </c>
      <c r="H2397" s="2683">
        <v>470</v>
      </c>
      <c r="I2397" s="2683">
        <v>630</v>
      </c>
      <c r="J2397" s="2683">
        <v>129</v>
      </c>
      <c r="K2397" s="2684"/>
      <c r="L2397" s="2683" t="s">
        <v>5922</v>
      </c>
    </row>
    <row r="2398" spans="1:12">
      <c r="A2398" s="2682" t="s">
        <v>146</v>
      </c>
      <c r="B2398" s="2682">
        <v>45264</v>
      </c>
      <c r="C2398" s="2682">
        <v>320</v>
      </c>
      <c r="D2398" s="2682">
        <v>480</v>
      </c>
      <c r="E2398" s="2682">
        <v>121</v>
      </c>
      <c r="F2398" s="2682">
        <v>1630</v>
      </c>
      <c r="G2398" s="2682">
        <v>3180</v>
      </c>
      <c r="H2398" s="2682">
        <v>470</v>
      </c>
      <c r="I2398" s="2682">
        <v>630</v>
      </c>
      <c r="J2398" s="2682">
        <v>77.8</v>
      </c>
      <c r="L2398" s="2682" t="s">
        <v>5922</v>
      </c>
    </row>
    <row r="2399" spans="1:12">
      <c r="A2399" s="2683" t="s">
        <v>146</v>
      </c>
      <c r="B2399" s="2683" t="s">
        <v>8578</v>
      </c>
      <c r="C2399" s="2683">
        <v>320</v>
      </c>
      <c r="D2399" s="2683">
        <v>540</v>
      </c>
      <c r="E2399" s="2683">
        <v>176</v>
      </c>
      <c r="F2399" s="2683">
        <v>2690</v>
      </c>
      <c r="G2399" s="2683">
        <v>5280</v>
      </c>
      <c r="H2399" s="2683">
        <v>430</v>
      </c>
      <c r="I2399" s="2683">
        <v>570</v>
      </c>
      <c r="J2399" s="2683">
        <v>167</v>
      </c>
      <c r="K2399" s="2684"/>
      <c r="L2399" s="2683" t="s">
        <v>5922</v>
      </c>
    </row>
    <row r="2400" spans="1:12">
      <c r="A2400" s="2682" t="s">
        <v>146</v>
      </c>
      <c r="B2400" s="2682">
        <v>45268</v>
      </c>
      <c r="C2400" s="2682">
        <v>340</v>
      </c>
      <c r="D2400" s="2682">
        <v>520</v>
      </c>
      <c r="E2400" s="2682">
        <v>133</v>
      </c>
      <c r="F2400" s="2682">
        <v>1880</v>
      </c>
      <c r="G2400" s="2682">
        <v>3850</v>
      </c>
      <c r="H2400" s="2682">
        <v>420</v>
      </c>
      <c r="I2400" s="2682">
        <v>570</v>
      </c>
      <c r="J2400" s="2682">
        <v>104</v>
      </c>
      <c r="L2400" s="2682" t="s">
        <v>5922</v>
      </c>
    </row>
    <row r="2401" spans="1:12">
      <c r="A2401" s="2683" t="s">
        <v>146</v>
      </c>
      <c r="B2401" s="2683">
        <v>45368</v>
      </c>
      <c r="C2401" s="2683">
        <v>340</v>
      </c>
      <c r="D2401" s="2683">
        <v>580</v>
      </c>
      <c r="E2401" s="2683">
        <v>190</v>
      </c>
      <c r="F2401" s="2683">
        <v>3290</v>
      </c>
      <c r="G2401" s="2683">
        <v>5470</v>
      </c>
      <c r="H2401" s="2683">
        <v>390</v>
      </c>
      <c r="I2401" s="2683">
        <v>510</v>
      </c>
      <c r="J2401" s="2683">
        <v>202</v>
      </c>
      <c r="K2401" s="2684"/>
      <c r="L2401" s="2683" t="s">
        <v>5922</v>
      </c>
    </row>
    <row r="2402" spans="1:12">
      <c r="A2402" s="2682" t="s">
        <v>146</v>
      </c>
      <c r="B2402" s="2682">
        <v>45272</v>
      </c>
      <c r="C2402" s="2682">
        <v>360</v>
      </c>
      <c r="D2402" s="2682">
        <v>540</v>
      </c>
      <c r="E2402" s="2682">
        <v>134</v>
      </c>
      <c r="F2402" s="2682">
        <v>2050</v>
      </c>
      <c r="G2402" s="2682">
        <v>3910</v>
      </c>
      <c r="H2402" s="2682">
        <v>400</v>
      </c>
      <c r="I2402" s="2682">
        <v>540</v>
      </c>
      <c r="J2402" s="2682">
        <v>101</v>
      </c>
      <c r="L2402" s="2682" t="s">
        <v>5922</v>
      </c>
    </row>
    <row r="2403" spans="1:12">
      <c r="A2403" s="2683" t="s">
        <v>146</v>
      </c>
      <c r="B2403" s="2683">
        <v>45372</v>
      </c>
      <c r="C2403" s="2683">
        <v>360</v>
      </c>
      <c r="D2403" s="2683">
        <v>600</v>
      </c>
      <c r="E2403" s="2683">
        <v>192</v>
      </c>
      <c r="F2403" s="2683">
        <v>3360</v>
      </c>
      <c r="G2403" s="2683">
        <v>6750</v>
      </c>
      <c r="H2403" s="2683">
        <v>360</v>
      </c>
      <c r="I2403" s="2683">
        <v>490</v>
      </c>
      <c r="J2403" s="2683">
        <v>228</v>
      </c>
      <c r="K2403" s="2684"/>
      <c r="L2403" s="2683" t="s">
        <v>5922</v>
      </c>
    </row>
    <row r="2404" spans="1:12">
      <c r="A2404" s="2682" t="s">
        <v>146</v>
      </c>
      <c r="B2404" s="2682">
        <v>45276</v>
      </c>
      <c r="C2404" s="2682">
        <v>380</v>
      </c>
      <c r="D2404" s="2682">
        <v>560</v>
      </c>
      <c r="E2404" s="2682">
        <v>135</v>
      </c>
      <c r="F2404" s="2682">
        <v>2060</v>
      </c>
      <c r="G2404" s="2682">
        <v>3790</v>
      </c>
      <c r="H2404" s="2682">
        <v>380</v>
      </c>
      <c r="I2404" s="2682">
        <v>500</v>
      </c>
      <c r="J2404" s="2682">
        <v>112</v>
      </c>
      <c r="L2404" s="2682" t="s">
        <v>5922</v>
      </c>
    </row>
    <row r="2405" spans="1:12">
      <c r="A2405" s="2683" t="s">
        <v>146</v>
      </c>
      <c r="B2405" s="2683">
        <v>45376</v>
      </c>
      <c r="C2405" s="2683">
        <v>380</v>
      </c>
      <c r="D2405" s="2683">
        <v>620</v>
      </c>
      <c r="E2405" s="2683">
        <v>194</v>
      </c>
      <c r="F2405" s="2683">
        <v>3070</v>
      </c>
      <c r="G2405" s="2683">
        <v>6360</v>
      </c>
      <c r="H2405" s="2683">
        <v>340</v>
      </c>
      <c r="I2405" s="2683">
        <v>450</v>
      </c>
      <c r="J2405" s="2683">
        <v>234</v>
      </c>
      <c r="K2405" s="2684"/>
      <c r="L2405" s="2683" t="s">
        <v>5922</v>
      </c>
    </row>
    <row r="2406" spans="1:12">
      <c r="A2406" s="2682" t="s">
        <v>146</v>
      </c>
      <c r="B2406" s="2682">
        <v>45280</v>
      </c>
      <c r="C2406" s="2682">
        <v>400</v>
      </c>
      <c r="D2406" s="2682">
        <v>600</v>
      </c>
      <c r="E2406" s="2682">
        <v>148</v>
      </c>
      <c r="F2406" s="2682">
        <v>2410</v>
      </c>
      <c r="G2406" s="2682">
        <v>4960</v>
      </c>
      <c r="H2406" s="2682">
        <v>340</v>
      </c>
      <c r="I2406" s="2682">
        <v>450</v>
      </c>
      <c r="J2406" s="2682">
        <v>143</v>
      </c>
      <c r="L2406" s="2682" t="s">
        <v>5922</v>
      </c>
    </row>
    <row r="2407" spans="1:12">
      <c r="A2407" s="2683" t="s">
        <v>146</v>
      </c>
      <c r="B2407" s="2683">
        <v>45380</v>
      </c>
      <c r="C2407" s="2683">
        <v>400</v>
      </c>
      <c r="D2407" s="2683">
        <v>650</v>
      </c>
      <c r="E2407" s="2683">
        <v>200</v>
      </c>
      <c r="F2407" s="2683">
        <v>3850</v>
      </c>
      <c r="G2407" s="2683">
        <v>7810</v>
      </c>
      <c r="H2407" s="2683">
        <v>320</v>
      </c>
      <c r="I2407" s="2683">
        <v>420</v>
      </c>
      <c r="J2407" s="2683">
        <v>265</v>
      </c>
      <c r="K2407" s="2684"/>
      <c r="L2407" s="2683" t="s">
        <v>5922</v>
      </c>
    </row>
    <row r="2408" spans="1:12">
      <c r="A2408" s="2682" t="s">
        <v>146</v>
      </c>
      <c r="B2408" s="2682">
        <v>45284</v>
      </c>
      <c r="C2408" s="2682">
        <v>420</v>
      </c>
      <c r="D2408" s="2682">
        <v>620</v>
      </c>
      <c r="E2408" s="2682">
        <v>150</v>
      </c>
      <c r="F2408" s="2682">
        <v>2600</v>
      </c>
      <c r="G2408" s="2682">
        <v>5200</v>
      </c>
      <c r="H2408" s="2682">
        <v>320</v>
      </c>
      <c r="I2408" s="2682">
        <v>430</v>
      </c>
      <c r="J2408" s="2682">
        <v>152</v>
      </c>
      <c r="L2408" s="2682" t="s">
        <v>5922</v>
      </c>
    </row>
    <row r="2409" spans="1:12">
      <c r="A2409" s="2683" t="s">
        <v>146</v>
      </c>
      <c r="B2409" s="2683">
        <v>45384</v>
      </c>
      <c r="C2409" s="2683">
        <v>420</v>
      </c>
      <c r="D2409" s="2683">
        <v>700</v>
      </c>
      <c r="E2409" s="2683">
        <v>224</v>
      </c>
      <c r="F2409" s="2683">
        <v>4710</v>
      </c>
      <c r="G2409" s="2683">
        <v>8380</v>
      </c>
      <c r="H2409" s="2683">
        <v>280</v>
      </c>
      <c r="I2409" s="2683">
        <v>380</v>
      </c>
      <c r="J2409" s="2683">
        <v>352</v>
      </c>
      <c r="K2409" s="2684"/>
      <c r="L2409" s="2683" t="s">
        <v>5922</v>
      </c>
    </row>
    <row r="2410" spans="1:12">
      <c r="A2410" s="2682" t="s">
        <v>146</v>
      </c>
      <c r="B2410" s="2682">
        <v>45288</v>
      </c>
      <c r="C2410" s="2682">
        <v>440</v>
      </c>
      <c r="D2410" s="2682">
        <v>650</v>
      </c>
      <c r="E2410" s="2682">
        <v>157</v>
      </c>
      <c r="F2410" s="2682">
        <v>2750</v>
      </c>
      <c r="G2410" s="2682">
        <v>5500</v>
      </c>
      <c r="H2410" s="2682">
        <v>300</v>
      </c>
      <c r="I2410" s="2682">
        <v>390</v>
      </c>
      <c r="J2410" s="2682">
        <v>182</v>
      </c>
      <c r="L2410" s="2682" t="s">
        <v>5922</v>
      </c>
    </row>
    <row r="2411" spans="1:12">
      <c r="A2411" s="2683" t="s">
        <v>146</v>
      </c>
      <c r="B2411" s="2683">
        <v>45388</v>
      </c>
      <c r="C2411" s="2683">
        <v>440</v>
      </c>
      <c r="D2411" s="2683">
        <v>720</v>
      </c>
      <c r="E2411" s="2683">
        <v>226</v>
      </c>
      <c r="F2411" s="2683">
        <v>4990</v>
      </c>
      <c r="G2411" s="2683">
        <v>9130</v>
      </c>
      <c r="H2411" s="2683">
        <v>270</v>
      </c>
      <c r="I2411" s="2683">
        <v>360</v>
      </c>
      <c r="J2411" s="2683">
        <v>367</v>
      </c>
      <c r="K2411" s="2684"/>
      <c r="L2411" s="2683" t="s">
        <v>5922</v>
      </c>
    </row>
    <row r="2412" spans="1:12">
      <c r="A2412" s="2682" t="s">
        <v>146</v>
      </c>
      <c r="B2412" s="2682">
        <v>45292</v>
      </c>
      <c r="C2412" s="2682">
        <v>460</v>
      </c>
      <c r="D2412" s="2682">
        <v>680</v>
      </c>
      <c r="E2412" s="2682">
        <v>163</v>
      </c>
      <c r="F2412" s="2682">
        <v>3000</v>
      </c>
      <c r="G2412" s="2682">
        <v>5660</v>
      </c>
      <c r="H2412" s="2682">
        <v>280</v>
      </c>
      <c r="I2412" s="2682">
        <v>370</v>
      </c>
      <c r="J2412" s="2682">
        <v>197</v>
      </c>
      <c r="L2412" s="2682" t="s">
        <v>5922</v>
      </c>
    </row>
    <row r="2413" spans="1:12">
      <c r="A2413" s="2683" t="s">
        <v>146</v>
      </c>
      <c r="B2413" s="2683">
        <v>45392</v>
      </c>
      <c r="C2413" s="2683">
        <v>460</v>
      </c>
      <c r="D2413" s="2683">
        <v>760</v>
      </c>
      <c r="E2413" s="2683">
        <v>240</v>
      </c>
      <c r="F2413" s="2683">
        <v>5230</v>
      </c>
      <c r="G2413" s="2683">
        <v>10400</v>
      </c>
      <c r="H2413" s="2683">
        <v>250</v>
      </c>
      <c r="I2413" s="2683">
        <v>330</v>
      </c>
      <c r="J2413" s="2683">
        <v>444</v>
      </c>
      <c r="K2413" s="2684"/>
      <c r="L2413" s="2683" t="s">
        <v>5922</v>
      </c>
    </row>
    <row r="2414" spans="1:12">
      <c r="A2414" s="2682" t="s">
        <v>146</v>
      </c>
      <c r="B2414" s="2682">
        <v>45296</v>
      </c>
      <c r="C2414" s="2682">
        <v>480</v>
      </c>
      <c r="D2414" s="2682">
        <v>700</v>
      </c>
      <c r="E2414" s="2682">
        <v>165</v>
      </c>
      <c r="F2414" s="2682">
        <v>3060</v>
      </c>
      <c r="G2414" s="2682">
        <v>6710</v>
      </c>
      <c r="H2414" s="2682">
        <v>260</v>
      </c>
      <c r="I2414" s="2682">
        <v>350</v>
      </c>
      <c r="J2414" s="2682">
        <v>215</v>
      </c>
      <c r="L2414" s="2682" t="s">
        <v>5922</v>
      </c>
    </row>
    <row r="2415" spans="1:12">
      <c r="A2415" s="2683" t="s">
        <v>146</v>
      </c>
      <c r="B2415" s="2683">
        <v>45396</v>
      </c>
      <c r="C2415" s="2683">
        <v>480</v>
      </c>
      <c r="D2415" s="2683">
        <v>790</v>
      </c>
      <c r="E2415" s="2683">
        <v>248</v>
      </c>
      <c r="F2415" s="2683">
        <v>5710</v>
      </c>
      <c r="G2415" s="2683">
        <v>11600</v>
      </c>
      <c r="H2415" s="2683">
        <v>230</v>
      </c>
      <c r="I2415" s="2683">
        <v>310</v>
      </c>
      <c r="J2415" s="2683">
        <v>494</v>
      </c>
      <c r="K2415" s="2684"/>
      <c r="L2415" s="2683" t="s">
        <v>5922</v>
      </c>
    </row>
    <row r="2416" spans="1:12">
      <c r="A2416" s="2682" t="s">
        <v>146</v>
      </c>
      <c r="B2416" s="2682" t="s">
        <v>8579</v>
      </c>
      <c r="C2416" s="2682">
        <v>500</v>
      </c>
      <c r="D2416" s="2682">
        <v>720</v>
      </c>
      <c r="E2416" s="2682">
        <v>167</v>
      </c>
      <c r="F2416" s="2682">
        <v>3430</v>
      </c>
      <c r="G2416" s="2682">
        <v>7350</v>
      </c>
      <c r="H2416" s="2682">
        <v>250</v>
      </c>
      <c r="I2416" s="2682">
        <v>330</v>
      </c>
      <c r="J2416" s="2682">
        <v>222</v>
      </c>
      <c r="L2416" s="2682" t="s">
        <v>5922</v>
      </c>
    </row>
    <row r="2417" spans="1:12">
      <c r="A2417" s="2683" t="s">
        <v>146</v>
      </c>
      <c r="B2417" s="2683" t="s">
        <v>8580</v>
      </c>
      <c r="C2417" s="2683">
        <v>500</v>
      </c>
      <c r="D2417" s="2683">
        <v>830</v>
      </c>
      <c r="E2417" s="2683">
        <v>264</v>
      </c>
      <c r="F2417" s="2683">
        <v>6280</v>
      </c>
      <c r="G2417" s="2683">
        <v>12300</v>
      </c>
      <c r="H2417" s="2683">
        <v>210</v>
      </c>
      <c r="I2417" s="2683">
        <v>280</v>
      </c>
      <c r="J2417" s="2683">
        <v>586</v>
      </c>
      <c r="K2417" s="2684"/>
      <c r="L2417" s="2683" t="s">
        <v>5922</v>
      </c>
    </row>
    <row r="2418" spans="1:12">
      <c r="A2418" s="2682" t="s">
        <v>146</v>
      </c>
      <c r="B2418" s="2682" t="s">
        <v>8581</v>
      </c>
      <c r="C2418" s="2682">
        <v>25</v>
      </c>
      <c r="D2418" s="2682">
        <v>62</v>
      </c>
      <c r="E2418" s="2682">
        <v>40</v>
      </c>
      <c r="F2418" s="2682">
        <v>61.3</v>
      </c>
      <c r="G2418" s="2682">
        <v>73.599999999999994</v>
      </c>
      <c r="H2418" s="2682">
        <v>4500</v>
      </c>
      <c r="I2418" s="2682">
        <v>6400</v>
      </c>
      <c r="J2418" s="2682">
        <v>0.59499999999999997</v>
      </c>
      <c r="L2418" s="2682" t="s">
        <v>5922</v>
      </c>
    </row>
    <row r="2419" spans="1:12">
      <c r="A2419" s="2683" t="s">
        <v>146</v>
      </c>
      <c r="B2419" s="2683" t="s">
        <v>8582</v>
      </c>
      <c r="C2419" s="2683">
        <v>30</v>
      </c>
      <c r="D2419" s="2683">
        <v>72</v>
      </c>
      <c r="E2419" s="2683">
        <v>45</v>
      </c>
      <c r="F2419" s="2683">
        <v>82.9</v>
      </c>
      <c r="G2419" s="2683">
        <v>102</v>
      </c>
      <c r="H2419" s="2683">
        <v>3900</v>
      </c>
      <c r="I2419" s="2683">
        <v>5400</v>
      </c>
      <c r="J2419" s="2683">
        <v>0.89100000000000001</v>
      </c>
      <c r="K2419" s="2684"/>
      <c r="L2419" s="2683" t="s">
        <v>5922</v>
      </c>
    </row>
    <row r="2420" spans="1:12">
      <c r="A2420" s="2682" t="s">
        <v>146</v>
      </c>
      <c r="B2420" s="2682" t="s">
        <v>8583</v>
      </c>
      <c r="C2420" s="2682">
        <v>35</v>
      </c>
      <c r="D2420" s="2682">
        <v>80</v>
      </c>
      <c r="E2420" s="2682">
        <v>51</v>
      </c>
      <c r="F2420" s="2682">
        <v>92.6</v>
      </c>
      <c r="G2420" s="2682">
        <v>112</v>
      </c>
      <c r="H2420" s="2682">
        <v>3400</v>
      </c>
      <c r="I2420" s="2682">
        <v>4800</v>
      </c>
      <c r="J2420" s="2682">
        <v>1.22</v>
      </c>
      <c r="L2420" s="2682" t="s">
        <v>5922</v>
      </c>
    </row>
    <row r="2421" spans="1:12">
      <c r="A2421" s="2683" t="s">
        <v>146</v>
      </c>
      <c r="B2421" s="2683" t="s">
        <v>8584</v>
      </c>
      <c r="C2421" s="2683">
        <v>40</v>
      </c>
      <c r="D2421" s="2683">
        <v>80</v>
      </c>
      <c r="E2421" s="2683">
        <v>45</v>
      </c>
      <c r="F2421" s="2683">
        <v>93.2</v>
      </c>
      <c r="G2421" s="2683">
        <v>114</v>
      </c>
      <c r="H2421" s="2683">
        <v>4000</v>
      </c>
      <c r="I2421" s="2683">
        <v>5300</v>
      </c>
      <c r="J2421" s="2683">
        <v>1</v>
      </c>
      <c r="K2421" s="2684"/>
      <c r="L2421" s="2683" t="s">
        <v>5922</v>
      </c>
    </row>
    <row r="2422" spans="1:12">
      <c r="A2422" s="2682" t="s">
        <v>146</v>
      </c>
      <c r="B2422" s="2682" t="s">
        <v>8585</v>
      </c>
      <c r="C2422" s="2682">
        <v>40</v>
      </c>
      <c r="D2422" s="2682">
        <v>80</v>
      </c>
      <c r="E2422" s="2682">
        <v>55</v>
      </c>
      <c r="F2422" s="2682">
        <v>115</v>
      </c>
      <c r="G2422" s="2682">
        <v>150</v>
      </c>
      <c r="H2422" s="2682">
        <v>4000</v>
      </c>
      <c r="I2422" s="2682">
        <v>5300</v>
      </c>
      <c r="J2422" s="2682">
        <v>1.22</v>
      </c>
      <c r="L2422" s="2682" t="s">
        <v>5922</v>
      </c>
    </row>
    <row r="2423" spans="1:12">
      <c r="A2423" s="2683" t="s">
        <v>146</v>
      </c>
      <c r="B2423" s="2683" t="s">
        <v>8586</v>
      </c>
      <c r="C2423" s="2683">
        <v>40</v>
      </c>
      <c r="D2423" s="2683">
        <v>90</v>
      </c>
      <c r="E2423" s="2683">
        <v>56</v>
      </c>
      <c r="F2423" s="2683">
        <v>118</v>
      </c>
      <c r="G2423" s="2683">
        <v>147</v>
      </c>
      <c r="H2423" s="2683">
        <v>3000</v>
      </c>
      <c r="I2423" s="2683">
        <v>4200</v>
      </c>
      <c r="J2423" s="2683">
        <v>1.68</v>
      </c>
      <c r="K2423" s="2684"/>
      <c r="L2423" s="2683" t="s">
        <v>5922</v>
      </c>
    </row>
    <row r="2424" spans="1:12">
      <c r="A2424" s="2682" t="s">
        <v>146</v>
      </c>
      <c r="B2424" s="2682" t="s">
        <v>8587</v>
      </c>
      <c r="C2424" s="2682">
        <v>40</v>
      </c>
      <c r="D2424" s="2682">
        <v>90</v>
      </c>
      <c r="E2424" s="2682">
        <v>56</v>
      </c>
      <c r="F2424" s="2682">
        <v>133</v>
      </c>
      <c r="G2424" s="2682">
        <v>164</v>
      </c>
      <c r="H2424" s="2682">
        <v>3600</v>
      </c>
      <c r="I2424" s="2682">
        <v>4900</v>
      </c>
      <c r="J2424" s="2682">
        <v>1.68</v>
      </c>
      <c r="L2424" s="2682" t="s">
        <v>5922</v>
      </c>
    </row>
    <row r="2425" spans="1:12">
      <c r="A2425" s="2683" t="s">
        <v>146</v>
      </c>
      <c r="B2425" s="2683" t="s">
        <v>8588</v>
      </c>
      <c r="C2425" s="2683">
        <v>45</v>
      </c>
      <c r="D2425" s="2683">
        <v>85</v>
      </c>
      <c r="E2425" s="2683">
        <v>47</v>
      </c>
      <c r="F2425" s="2683">
        <v>105</v>
      </c>
      <c r="G2425" s="2683">
        <v>138</v>
      </c>
      <c r="H2425" s="2683">
        <v>3700</v>
      </c>
      <c r="I2425" s="2683">
        <v>4900</v>
      </c>
      <c r="J2425" s="2683">
        <v>1.1299999999999999</v>
      </c>
      <c r="K2425" s="2684"/>
      <c r="L2425" s="2683" t="s">
        <v>5922</v>
      </c>
    </row>
    <row r="2426" spans="1:12">
      <c r="A2426" s="2682" t="s">
        <v>146</v>
      </c>
      <c r="B2426" s="2682" t="s">
        <v>8589</v>
      </c>
      <c r="C2426" s="2682">
        <v>45</v>
      </c>
      <c r="D2426" s="2682">
        <v>85</v>
      </c>
      <c r="E2426" s="2682">
        <v>55</v>
      </c>
      <c r="F2426" s="2682">
        <v>123</v>
      </c>
      <c r="G2426" s="2682">
        <v>167</v>
      </c>
      <c r="H2426" s="2682">
        <v>3700</v>
      </c>
      <c r="I2426" s="2682">
        <v>4900</v>
      </c>
      <c r="J2426" s="2682">
        <v>1.32</v>
      </c>
      <c r="L2426" s="2682" t="s">
        <v>5922</v>
      </c>
    </row>
    <row r="2427" spans="1:12">
      <c r="A2427" s="2683" t="s">
        <v>146</v>
      </c>
      <c r="B2427" s="2683" t="s">
        <v>8590</v>
      </c>
      <c r="C2427" s="2683">
        <v>45</v>
      </c>
      <c r="D2427" s="2683">
        <v>100</v>
      </c>
      <c r="E2427" s="2683">
        <v>60</v>
      </c>
      <c r="F2427" s="2683">
        <v>140</v>
      </c>
      <c r="G2427" s="2683">
        <v>174</v>
      </c>
      <c r="H2427" s="2683">
        <v>2700</v>
      </c>
      <c r="I2427" s="2683">
        <v>3800</v>
      </c>
      <c r="J2427" s="2683">
        <v>2.21</v>
      </c>
      <c r="K2427" s="2684"/>
      <c r="L2427" s="2683" t="s">
        <v>5922</v>
      </c>
    </row>
    <row r="2428" spans="1:12">
      <c r="A2428" s="2682" t="s">
        <v>146</v>
      </c>
      <c r="B2428" s="2682" t="s">
        <v>8591</v>
      </c>
      <c r="C2428" s="2682">
        <v>45</v>
      </c>
      <c r="D2428" s="2682">
        <v>100</v>
      </c>
      <c r="E2428" s="2682">
        <v>60</v>
      </c>
      <c r="F2428" s="2682">
        <v>166</v>
      </c>
      <c r="G2428" s="2682">
        <v>208</v>
      </c>
      <c r="H2428" s="2682">
        <v>3300</v>
      </c>
      <c r="I2428" s="2682">
        <v>4300</v>
      </c>
      <c r="J2428" s="2682">
        <v>2.21</v>
      </c>
      <c r="L2428" s="2682" t="s">
        <v>5922</v>
      </c>
    </row>
    <row r="2429" spans="1:12">
      <c r="A2429" s="2683" t="s">
        <v>146</v>
      </c>
      <c r="B2429" s="2683" t="s">
        <v>8592</v>
      </c>
      <c r="C2429" s="2683">
        <v>50</v>
      </c>
      <c r="D2429" s="2683">
        <v>90</v>
      </c>
      <c r="E2429" s="2683">
        <v>49</v>
      </c>
      <c r="F2429" s="2683">
        <v>115</v>
      </c>
      <c r="G2429" s="2683">
        <v>154</v>
      </c>
      <c r="H2429" s="2683">
        <v>3400</v>
      </c>
      <c r="I2429" s="2683">
        <v>4600</v>
      </c>
      <c r="J2429" s="2683">
        <v>1.27</v>
      </c>
      <c r="K2429" s="2684"/>
      <c r="L2429" s="2683" t="s">
        <v>5922</v>
      </c>
    </row>
    <row r="2430" spans="1:12">
      <c r="A2430" s="2682" t="s">
        <v>146</v>
      </c>
      <c r="B2430" s="2682" t="s">
        <v>8593</v>
      </c>
      <c r="C2430" s="2682">
        <v>50</v>
      </c>
      <c r="D2430" s="2682">
        <v>90</v>
      </c>
      <c r="E2430" s="2682">
        <v>55</v>
      </c>
      <c r="F2430" s="2682">
        <v>128</v>
      </c>
      <c r="G2430" s="2682">
        <v>177</v>
      </c>
      <c r="H2430" s="2682">
        <v>2500</v>
      </c>
      <c r="I2430" s="2682">
        <v>4600</v>
      </c>
      <c r="J2430" s="2682">
        <v>1.42</v>
      </c>
      <c r="L2430" s="2682" t="s">
        <v>5922</v>
      </c>
    </row>
    <row r="2431" spans="1:12">
      <c r="A2431" s="2683" t="s">
        <v>146</v>
      </c>
      <c r="B2431" s="2683" t="s">
        <v>8594</v>
      </c>
      <c r="C2431" s="2683">
        <v>50</v>
      </c>
      <c r="D2431" s="2683">
        <v>110</v>
      </c>
      <c r="E2431" s="2683">
        <v>64</v>
      </c>
      <c r="F2431" s="2683">
        <v>179</v>
      </c>
      <c r="G2431" s="2683">
        <v>233</v>
      </c>
      <c r="H2431" s="2683">
        <v>2500</v>
      </c>
      <c r="I2431" s="2683">
        <v>3500</v>
      </c>
      <c r="J2431" s="2683">
        <v>2.84</v>
      </c>
      <c r="K2431" s="2684"/>
      <c r="L2431" s="2683" t="s">
        <v>5922</v>
      </c>
    </row>
    <row r="2432" spans="1:12">
      <c r="A2432" s="2682" t="s">
        <v>146</v>
      </c>
      <c r="B2432" s="2682" t="s">
        <v>8595</v>
      </c>
      <c r="C2432" s="2682">
        <v>50</v>
      </c>
      <c r="D2432" s="2682">
        <v>110</v>
      </c>
      <c r="E2432" s="2682">
        <v>64</v>
      </c>
      <c r="F2432" s="2682">
        <v>212</v>
      </c>
      <c r="G2432" s="2682">
        <v>264</v>
      </c>
      <c r="H2432" s="2682">
        <v>3000</v>
      </c>
      <c r="I2432" s="2682">
        <v>4000</v>
      </c>
      <c r="J2432" s="2682">
        <v>2.84</v>
      </c>
      <c r="L2432" s="2682" t="s">
        <v>5922</v>
      </c>
    </row>
    <row r="2433" spans="1:12">
      <c r="A2433" s="2683" t="s">
        <v>146</v>
      </c>
      <c r="B2433" s="2683" t="s">
        <v>8596</v>
      </c>
      <c r="C2433" s="2683">
        <v>50</v>
      </c>
      <c r="D2433" s="2683">
        <v>110</v>
      </c>
      <c r="E2433" s="2683">
        <v>90</v>
      </c>
      <c r="F2433" s="2683">
        <v>259</v>
      </c>
      <c r="G2433" s="2683">
        <v>358</v>
      </c>
      <c r="H2433" s="2683">
        <v>3000</v>
      </c>
      <c r="I2433" s="2683">
        <v>4000</v>
      </c>
      <c r="J2433" s="2683">
        <v>3.99</v>
      </c>
      <c r="K2433" s="2684"/>
      <c r="L2433" s="2683" t="s">
        <v>5922</v>
      </c>
    </row>
    <row r="2434" spans="1:12">
      <c r="A2434" s="2682" t="s">
        <v>146</v>
      </c>
      <c r="B2434" s="2682" t="s">
        <v>8597</v>
      </c>
      <c r="C2434" s="2682">
        <v>55</v>
      </c>
      <c r="D2434" s="2682">
        <v>400</v>
      </c>
      <c r="E2434" s="2682">
        <v>51</v>
      </c>
      <c r="F2434" s="2682">
        <v>149</v>
      </c>
      <c r="G2434" s="2682">
        <v>202</v>
      </c>
      <c r="H2434" s="2682">
        <v>3100</v>
      </c>
      <c r="I2434" s="2682">
        <v>4100</v>
      </c>
      <c r="J2434" s="2682">
        <v>1.64</v>
      </c>
      <c r="L2434" s="2682" t="s">
        <v>5922</v>
      </c>
    </row>
    <row r="2435" spans="1:12">
      <c r="A2435" s="2683" t="s">
        <v>146</v>
      </c>
      <c r="B2435" s="2683" t="s">
        <v>8598</v>
      </c>
      <c r="C2435" s="2683">
        <v>55</v>
      </c>
      <c r="D2435" s="2683">
        <v>100</v>
      </c>
      <c r="E2435" s="2683">
        <v>60</v>
      </c>
      <c r="F2435" s="2683">
        <v>162</v>
      </c>
      <c r="G2435" s="2683">
        <v>224</v>
      </c>
      <c r="H2435" s="2683">
        <v>3100</v>
      </c>
      <c r="I2435" s="2683">
        <v>4100</v>
      </c>
      <c r="J2435" s="2683">
        <v>1.94</v>
      </c>
      <c r="K2435" s="2684"/>
      <c r="L2435" s="2683" t="s">
        <v>5922</v>
      </c>
    </row>
    <row r="2436" spans="1:12">
      <c r="A2436" s="2682" t="s">
        <v>146</v>
      </c>
      <c r="B2436" s="2682" t="s">
        <v>8599</v>
      </c>
      <c r="C2436" s="2682">
        <v>55</v>
      </c>
      <c r="D2436" s="2682">
        <v>120</v>
      </c>
      <c r="E2436" s="2682">
        <v>70</v>
      </c>
      <c r="F2436" s="2682">
        <v>189</v>
      </c>
      <c r="G2436" s="2682">
        <v>241</v>
      </c>
      <c r="H2436" s="2682">
        <v>2300</v>
      </c>
      <c r="I2436" s="2682">
        <v>3200</v>
      </c>
      <c r="J2436" s="2682">
        <v>3.68</v>
      </c>
      <c r="L2436" s="2682" t="s">
        <v>5922</v>
      </c>
    </row>
    <row r="2437" spans="1:12">
      <c r="A2437" s="2683" t="s">
        <v>146</v>
      </c>
      <c r="B2437" s="2683" t="s">
        <v>8600</v>
      </c>
      <c r="C2437" s="2683">
        <v>55</v>
      </c>
      <c r="D2437" s="2683">
        <v>120</v>
      </c>
      <c r="E2437" s="2683">
        <v>70</v>
      </c>
      <c r="F2437" s="2683">
        <v>219</v>
      </c>
      <c r="G2437" s="2683">
        <v>277</v>
      </c>
      <c r="H2437" s="2683">
        <v>2700</v>
      </c>
      <c r="I2437" s="2683">
        <v>3600</v>
      </c>
      <c r="J2437" s="2683">
        <v>3.68</v>
      </c>
      <c r="K2437" s="2684"/>
      <c r="L2437" s="2683" t="s">
        <v>5922</v>
      </c>
    </row>
    <row r="2438" spans="1:12">
      <c r="A2438" s="2682" t="s">
        <v>146</v>
      </c>
      <c r="B2438" s="2682" t="s">
        <v>8601</v>
      </c>
      <c r="C2438" s="2682">
        <v>55</v>
      </c>
      <c r="D2438" s="2682">
        <v>120</v>
      </c>
      <c r="E2438" s="2682">
        <v>97</v>
      </c>
      <c r="F2438" s="2682">
        <v>293</v>
      </c>
      <c r="G2438" s="2682">
        <v>406</v>
      </c>
      <c r="H2438" s="2682">
        <v>2700</v>
      </c>
      <c r="I2438" s="2682">
        <v>3600</v>
      </c>
      <c r="J2438" s="2682">
        <v>5.0999999999999996</v>
      </c>
      <c r="L2438" s="2682" t="s">
        <v>5922</v>
      </c>
    </row>
    <row r="2439" spans="1:12">
      <c r="A2439" s="2683" t="s">
        <v>146</v>
      </c>
      <c r="B2439" s="2683" t="s">
        <v>8602</v>
      </c>
      <c r="C2439" s="2683">
        <v>60</v>
      </c>
      <c r="D2439" s="2683">
        <v>110</v>
      </c>
      <c r="E2439" s="2683">
        <v>53</v>
      </c>
      <c r="F2439" s="2683">
        <v>168</v>
      </c>
      <c r="G2439" s="2683">
        <v>227</v>
      </c>
      <c r="H2439" s="2683">
        <v>2800</v>
      </c>
      <c r="I2439" s="2683">
        <v>3800</v>
      </c>
      <c r="J2439" s="2683">
        <v>2.08</v>
      </c>
      <c r="K2439" s="2684"/>
      <c r="L2439" s="2683" t="s">
        <v>5922</v>
      </c>
    </row>
    <row r="2440" spans="1:12">
      <c r="A2440" s="2682" t="s">
        <v>146</v>
      </c>
      <c r="B2440" s="2682" t="s">
        <v>8603</v>
      </c>
      <c r="C2440" s="2682">
        <v>60</v>
      </c>
      <c r="D2440" s="2682">
        <v>110</v>
      </c>
      <c r="E2440" s="2682">
        <v>66</v>
      </c>
      <c r="F2440" s="2682">
        <v>198</v>
      </c>
      <c r="G2440" s="2682">
        <v>282</v>
      </c>
      <c r="H2440" s="2682">
        <v>2800</v>
      </c>
      <c r="I2440" s="2682">
        <v>3800</v>
      </c>
      <c r="J2440" s="2682">
        <v>2.59</v>
      </c>
      <c r="L2440" s="2682" t="s">
        <v>5922</v>
      </c>
    </row>
    <row r="2441" spans="1:12">
      <c r="A2441" s="2683" t="s">
        <v>146</v>
      </c>
      <c r="B2441" s="2683" t="s">
        <v>8604</v>
      </c>
      <c r="C2441" s="2683">
        <v>60</v>
      </c>
      <c r="D2441" s="2683">
        <v>130</v>
      </c>
      <c r="E2441" s="2683">
        <v>74</v>
      </c>
      <c r="F2441" s="2683">
        <v>137</v>
      </c>
      <c r="G2441" s="2683">
        <v>314</v>
      </c>
      <c r="H2441" s="2683">
        <v>2100</v>
      </c>
      <c r="I2441" s="2683">
        <v>2900</v>
      </c>
      <c r="J2441" s="2683">
        <v>4.55</v>
      </c>
      <c r="K2441" s="2684"/>
      <c r="L2441" s="2683" t="s">
        <v>5922</v>
      </c>
    </row>
    <row r="2442" spans="1:12">
      <c r="A2442" s="2682" t="s">
        <v>146</v>
      </c>
      <c r="B2442" s="2682" t="s">
        <v>8605</v>
      </c>
      <c r="C2442" s="2682">
        <v>60</v>
      </c>
      <c r="D2442" s="2682">
        <v>130</v>
      </c>
      <c r="E2442" s="2682">
        <v>74</v>
      </c>
      <c r="F2442" s="2682">
        <v>254</v>
      </c>
      <c r="G2442" s="2682">
        <v>326</v>
      </c>
      <c r="H2442" s="2682">
        <v>2500</v>
      </c>
      <c r="I2442" s="2682">
        <v>3300</v>
      </c>
      <c r="J2442" s="2682">
        <v>4.55</v>
      </c>
      <c r="L2442" s="2682" t="s">
        <v>5922</v>
      </c>
    </row>
    <row r="2443" spans="1:12">
      <c r="A2443" s="2683" t="s">
        <v>146</v>
      </c>
      <c r="B2443" s="2683" t="s">
        <v>8606</v>
      </c>
      <c r="C2443" s="2683">
        <v>60</v>
      </c>
      <c r="D2443" s="2683">
        <v>130</v>
      </c>
      <c r="E2443" s="2683">
        <v>104</v>
      </c>
      <c r="F2443" s="2683">
        <v>379</v>
      </c>
      <c r="G2443" s="2683">
        <v>551</v>
      </c>
      <c r="H2443" s="2683">
        <v>2500</v>
      </c>
      <c r="I2443" s="2683">
        <v>3300</v>
      </c>
      <c r="J2443" s="2683">
        <v>6.4</v>
      </c>
      <c r="K2443" s="2684"/>
      <c r="L2443" s="2683" t="s">
        <v>5922</v>
      </c>
    </row>
    <row r="2444" spans="1:12">
      <c r="A2444" s="2682" t="s">
        <v>146</v>
      </c>
      <c r="B2444" s="2682" t="s">
        <v>8607</v>
      </c>
      <c r="C2444" s="2682">
        <v>65</v>
      </c>
      <c r="D2444" s="2682">
        <v>120</v>
      </c>
      <c r="E2444" s="2682">
        <v>56</v>
      </c>
      <c r="F2444" s="2682">
        <v>202</v>
      </c>
      <c r="G2444" s="2682">
        <v>278</v>
      </c>
      <c r="H2444" s="2682">
        <v>2600</v>
      </c>
      <c r="I2444" s="2682">
        <v>3400</v>
      </c>
      <c r="J2444" s="2682">
        <v>2.63</v>
      </c>
      <c r="L2444" s="2682" t="s">
        <v>5922</v>
      </c>
    </row>
    <row r="2445" spans="1:12">
      <c r="A2445" s="2683" t="s">
        <v>146</v>
      </c>
      <c r="B2445" s="2683" t="s">
        <v>8608</v>
      </c>
      <c r="C2445" s="2683">
        <v>65</v>
      </c>
      <c r="D2445" s="2683">
        <v>120</v>
      </c>
      <c r="E2445" s="2683">
        <v>73</v>
      </c>
      <c r="F2445" s="2683">
        <v>237</v>
      </c>
      <c r="G2445" s="2683">
        <v>342</v>
      </c>
      <c r="H2445" s="2683">
        <v>2600</v>
      </c>
      <c r="I2445" s="2683">
        <v>3400</v>
      </c>
      <c r="J2445" s="2683">
        <v>3.43</v>
      </c>
      <c r="K2445" s="2684"/>
      <c r="L2445" s="2683" t="s">
        <v>5922</v>
      </c>
    </row>
    <row r="2446" spans="1:12">
      <c r="A2446" s="2682" t="s">
        <v>146</v>
      </c>
      <c r="B2446" s="2682" t="s">
        <v>8609</v>
      </c>
      <c r="C2446" s="2682">
        <v>65</v>
      </c>
      <c r="D2446" s="2682">
        <v>140</v>
      </c>
      <c r="E2446" s="2682">
        <v>79</v>
      </c>
      <c r="F2446" s="2682">
        <v>273</v>
      </c>
      <c r="G2446" s="2682">
        <v>365</v>
      </c>
      <c r="H2446" s="2682">
        <v>1900</v>
      </c>
      <c r="I2446" s="2682">
        <v>2700</v>
      </c>
      <c r="J2446" s="2682">
        <v>5.62</v>
      </c>
      <c r="L2446" s="2682" t="s">
        <v>5922</v>
      </c>
    </row>
    <row r="2447" spans="1:12">
      <c r="A2447" s="2683" t="s">
        <v>146</v>
      </c>
      <c r="B2447" s="2683" t="s">
        <v>8610</v>
      </c>
      <c r="C2447" s="2683">
        <v>65</v>
      </c>
      <c r="D2447" s="2683">
        <v>140</v>
      </c>
      <c r="E2447" s="2683">
        <v>79</v>
      </c>
      <c r="F2447" s="2683">
        <v>316</v>
      </c>
      <c r="G2447" s="2683">
        <v>419</v>
      </c>
      <c r="H2447" s="2683">
        <v>2300</v>
      </c>
      <c r="I2447" s="2683">
        <v>3000</v>
      </c>
      <c r="J2447" s="2683">
        <v>5.62</v>
      </c>
      <c r="K2447" s="2684"/>
      <c r="L2447" s="2683" t="s">
        <v>5922</v>
      </c>
    </row>
    <row r="2448" spans="1:12">
      <c r="A2448" s="2682" t="s">
        <v>146</v>
      </c>
      <c r="B2448" s="2682" t="s">
        <v>8611</v>
      </c>
      <c r="C2448" s="2682">
        <v>65</v>
      </c>
      <c r="D2448" s="2682">
        <v>140</v>
      </c>
      <c r="E2448" s="2682">
        <v>108</v>
      </c>
      <c r="F2448" s="2682">
        <v>429</v>
      </c>
      <c r="G2448" s="2682">
        <v>625</v>
      </c>
      <c r="H2448" s="2682">
        <v>2300</v>
      </c>
      <c r="I2448" s="2682">
        <v>3100</v>
      </c>
      <c r="J2448" s="2682">
        <v>7.68</v>
      </c>
      <c r="L2448" s="2682" t="s">
        <v>5922</v>
      </c>
    </row>
    <row r="2449" spans="1:12">
      <c r="A2449" s="2683" t="s">
        <v>146</v>
      </c>
      <c r="B2449" s="2683" t="s">
        <v>8612</v>
      </c>
      <c r="C2449" s="2683">
        <v>70</v>
      </c>
      <c r="D2449" s="2683">
        <v>125</v>
      </c>
      <c r="E2449" s="2683">
        <v>59</v>
      </c>
      <c r="F2449" s="2683">
        <v>219</v>
      </c>
      <c r="G2449" s="2683">
        <v>311</v>
      </c>
      <c r="H2449" s="2683">
        <v>2400</v>
      </c>
      <c r="I2449" s="2683">
        <v>3300</v>
      </c>
      <c r="J2449" s="2683">
        <v>2.93</v>
      </c>
      <c r="K2449" s="2684"/>
      <c r="L2449" s="2683" t="s">
        <v>5922</v>
      </c>
    </row>
    <row r="2450" spans="1:12">
      <c r="A2450" s="2682" t="s">
        <v>146</v>
      </c>
      <c r="B2450" s="2682" t="s">
        <v>8613</v>
      </c>
      <c r="C2450" s="2682">
        <v>70</v>
      </c>
      <c r="D2450" s="2682">
        <v>125</v>
      </c>
      <c r="E2450" s="2682">
        <v>74</v>
      </c>
      <c r="F2450" s="2682">
        <v>268</v>
      </c>
      <c r="G2450" s="2682">
        <v>405</v>
      </c>
      <c r="H2450" s="2682">
        <v>2400</v>
      </c>
      <c r="I2450" s="2682">
        <v>3300</v>
      </c>
      <c r="J2450" s="2682">
        <v>3.67</v>
      </c>
      <c r="L2450" s="2682" t="s">
        <v>5922</v>
      </c>
    </row>
    <row r="2451" spans="1:12">
      <c r="A2451" s="2683" t="s">
        <v>146</v>
      </c>
      <c r="B2451" s="2683" t="s">
        <v>8614</v>
      </c>
      <c r="C2451" s="2683">
        <v>70</v>
      </c>
      <c r="D2451" s="2683">
        <v>150</v>
      </c>
      <c r="E2451" s="2683">
        <v>83</v>
      </c>
      <c r="F2451" s="2683">
        <v>306</v>
      </c>
      <c r="G2451" s="2683">
        <v>412</v>
      </c>
      <c r="H2451" s="2683">
        <v>1800</v>
      </c>
      <c r="I2451" s="2683">
        <v>2500</v>
      </c>
      <c r="J2451" s="2683">
        <v>6.75</v>
      </c>
      <c r="K2451" s="2684"/>
      <c r="L2451" s="2683" t="s">
        <v>5922</v>
      </c>
    </row>
    <row r="2452" spans="1:12">
      <c r="A2452" s="2682" t="s">
        <v>146</v>
      </c>
      <c r="B2452" s="2682" t="s">
        <v>8615</v>
      </c>
      <c r="C2452" s="2682">
        <v>70</v>
      </c>
      <c r="D2452" s="2682">
        <v>150</v>
      </c>
      <c r="E2452" s="2682">
        <v>83</v>
      </c>
      <c r="F2452" s="2682">
        <v>357</v>
      </c>
      <c r="G2452" s="2682">
        <v>478</v>
      </c>
      <c r="H2452" s="2682">
        <v>2100</v>
      </c>
      <c r="I2452" s="2682">
        <v>2800</v>
      </c>
      <c r="J2452" s="2682">
        <v>6.75</v>
      </c>
      <c r="L2452" s="2682" t="s">
        <v>5922</v>
      </c>
    </row>
    <row r="2453" spans="1:12">
      <c r="A2453" s="2683" t="s">
        <v>146</v>
      </c>
      <c r="B2453" s="2683" t="s">
        <v>8616</v>
      </c>
      <c r="C2453" s="2683">
        <v>70</v>
      </c>
      <c r="D2453" s="2683">
        <v>150</v>
      </c>
      <c r="E2453" s="2683">
        <v>116</v>
      </c>
      <c r="F2453" s="2683">
        <v>491</v>
      </c>
      <c r="G2453" s="2683">
        <v>725</v>
      </c>
      <c r="H2453" s="2683">
        <v>2200</v>
      </c>
      <c r="I2453" s="2683">
        <v>2900</v>
      </c>
      <c r="J2453" s="2683">
        <v>9.44</v>
      </c>
      <c r="K2453" s="2684"/>
      <c r="L2453" s="2683" t="s">
        <v>5922</v>
      </c>
    </row>
    <row r="2454" spans="1:12">
      <c r="A2454" s="2682" t="s">
        <v>146</v>
      </c>
      <c r="B2454" s="2682">
        <v>46215</v>
      </c>
      <c r="C2454" s="2682">
        <v>75</v>
      </c>
      <c r="D2454" s="2682">
        <v>115</v>
      </c>
      <c r="E2454" s="2682">
        <v>60</v>
      </c>
      <c r="F2454" s="2682">
        <v>71.7</v>
      </c>
      <c r="G2454" s="2682">
        <v>105</v>
      </c>
      <c r="H2454" s="2682">
        <v>2500</v>
      </c>
      <c r="I2454" s="2682">
        <v>3300</v>
      </c>
      <c r="J2454" s="2682">
        <v>0.99399999999999999</v>
      </c>
      <c r="L2454" s="2682" t="s">
        <v>5922</v>
      </c>
    </row>
    <row r="2455" spans="1:12">
      <c r="A2455" s="2683" t="s">
        <v>146</v>
      </c>
      <c r="B2455" s="2683" t="s">
        <v>8617</v>
      </c>
      <c r="C2455" s="2683">
        <v>75</v>
      </c>
      <c r="D2455" s="2683">
        <v>115</v>
      </c>
      <c r="E2455" s="2683">
        <v>38</v>
      </c>
      <c r="F2455" s="2683">
        <v>122</v>
      </c>
      <c r="G2455" s="2683">
        <v>207</v>
      </c>
      <c r="H2455" s="2683">
        <v>2500</v>
      </c>
      <c r="I2455" s="2683">
        <v>3300</v>
      </c>
      <c r="J2455" s="2683">
        <v>1.32</v>
      </c>
      <c r="K2455" s="2684"/>
      <c r="L2455" s="2683" t="s">
        <v>5922</v>
      </c>
    </row>
    <row r="2456" spans="1:12">
      <c r="A2456" s="2682" t="s">
        <v>146</v>
      </c>
      <c r="B2456" s="2682" t="s">
        <v>8618</v>
      </c>
      <c r="C2456" s="2682">
        <v>75</v>
      </c>
      <c r="D2456" s="2682">
        <v>130</v>
      </c>
      <c r="E2456" s="2682">
        <v>62</v>
      </c>
      <c r="F2456" s="2682">
        <v>225</v>
      </c>
      <c r="G2456" s="2682">
        <v>326</v>
      </c>
      <c r="H2456" s="2682">
        <v>2300</v>
      </c>
      <c r="I2456" s="2682">
        <v>3100</v>
      </c>
      <c r="J2456" s="2682">
        <v>3.23</v>
      </c>
      <c r="L2456" s="2682" t="s">
        <v>5922</v>
      </c>
    </row>
    <row r="2457" spans="1:12">
      <c r="A2457" s="2683" t="s">
        <v>146</v>
      </c>
      <c r="B2457" s="2683" t="s">
        <v>8619</v>
      </c>
      <c r="C2457" s="2683">
        <v>75</v>
      </c>
      <c r="D2457" s="2683">
        <v>130</v>
      </c>
      <c r="E2457" s="2683">
        <v>74</v>
      </c>
      <c r="F2457" s="2683">
        <v>275</v>
      </c>
      <c r="G2457" s="2683">
        <v>422</v>
      </c>
      <c r="H2457" s="2683">
        <v>2300</v>
      </c>
      <c r="I2457" s="2683">
        <v>3100</v>
      </c>
      <c r="J2457" s="2683">
        <v>3.86</v>
      </c>
      <c r="K2457" s="2684"/>
      <c r="L2457" s="2683" t="s">
        <v>5922</v>
      </c>
    </row>
    <row r="2458" spans="1:12">
      <c r="A2458" s="2682" t="s">
        <v>146</v>
      </c>
      <c r="B2458" s="2682" t="s">
        <v>8620</v>
      </c>
      <c r="C2458" s="2682">
        <v>75</v>
      </c>
      <c r="D2458" s="2682">
        <v>160</v>
      </c>
      <c r="E2458" s="2682">
        <v>87</v>
      </c>
      <c r="F2458" s="2682">
        <v>403</v>
      </c>
      <c r="G2458" s="2682">
        <v>544</v>
      </c>
      <c r="H2458" s="2682">
        <v>2000</v>
      </c>
      <c r="I2458" s="2682">
        <v>2600</v>
      </c>
      <c r="J2458" s="2682">
        <v>8.0399999999999991</v>
      </c>
      <c r="L2458" s="2682" t="s">
        <v>5922</v>
      </c>
    </row>
    <row r="2459" spans="1:12">
      <c r="A2459" s="2683" t="s">
        <v>146</v>
      </c>
      <c r="B2459" s="2683" t="s">
        <v>8621</v>
      </c>
      <c r="C2459" s="2683">
        <v>75</v>
      </c>
      <c r="D2459" s="2683">
        <v>160</v>
      </c>
      <c r="E2459" s="2683">
        <v>125</v>
      </c>
      <c r="F2459" s="2683">
        <v>563</v>
      </c>
      <c r="G2459" s="2683">
        <v>843</v>
      </c>
      <c r="H2459" s="2683">
        <v>2000</v>
      </c>
      <c r="I2459" s="2683">
        <v>2700</v>
      </c>
      <c r="J2459" s="2683">
        <v>11.5</v>
      </c>
      <c r="K2459" s="2684"/>
      <c r="L2459" s="2683" t="s">
        <v>5922</v>
      </c>
    </row>
    <row r="2460" spans="1:12">
      <c r="A2460" s="2682" t="s">
        <v>146</v>
      </c>
      <c r="B2460" s="2682">
        <v>46216</v>
      </c>
      <c r="C2460" s="2682">
        <v>80</v>
      </c>
      <c r="D2460" s="2682">
        <v>125</v>
      </c>
      <c r="E2460" s="2682">
        <v>34</v>
      </c>
      <c r="F2460" s="2682">
        <v>108</v>
      </c>
      <c r="G2460" s="2682">
        <v>155</v>
      </c>
      <c r="H2460" s="2682">
        <v>2300</v>
      </c>
      <c r="I2460" s="2682">
        <v>3100</v>
      </c>
      <c r="J2460" s="2682">
        <v>1.38</v>
      </c>
      <c r="L2460" s="2682" t="s">
        <v>5922</v>
      </c>
    </row>
    <row r="2461" spans="1:12">
      <c r="A2461" s="2683" t="s">
        <v>146</v>
      </c>
      <c r="B2461" s="2683" t="s">
        <v>8622</v>
      </c>
      <c r="C2461" s="2683">
        <v>80</v>
      </c>
      <c r="D2461" s="2683">
        <v>140</v>
      </c>
      <c r="E2461" s="2683">
        <v>64</v>
      </c>
      <c r="F2461" s="2683">
        <v>256</v>
      </c>
      <c r="G2461" s="2683">
        <v>364</v>
      </c>
      <c r="H2461" s="2683">
        <v>2200</v>
      </c>
      <c r="I2461" s="2683">
        <v>2900</v>
      </c>
      <c r="J2461" s="2683">
        <v>3.91</v>
      </c>
      <c r="K2461" s="2684"/>
      <c r="L2461" s="2683" t="s">
        <v>5922</v>
      </c>
    </row>
    <row r="2462" spans="1:12">
      <c r="A2462" s="2682" t="s">
        <v>146</v>
      </c>
      <c r="B2462" s="2682" t="s">
        <v>8623</v>
      </c>
      <c r="C2462" s="2682">
        <v>80</v>
      </c>
      <c r="D2462" s="2682">
        <v>140</v>
      </c>
      <c r="E2462" s="2682">
        <v>78</v>
      </c>
      <c r="F2462" s="2682">
        <v>321</v>
      </c>
      <c r="G2462" s="2682">
        <v>488</v>
      </c>
      <c r="H2462" s="2682">
        <v>2200</v>
      </c>
      <c r="I2462" s="2682">
        <v>2900</v>
      </c>
      <c r="J2462" s="2682">
        <v>4.76</v>
      </c>
      <c r="L2462" s="2682" t="s">
        <v>5922</v>
      </c>
    </row>
    <row r="2463" spans="1:12">
      <c r="A2463" s="2683" t="s">
        <v>146</v>
      </c>
      <c r="B2463" s="2683" t="s">
        <v>8624</v>
      </c>
      <c r="C2463" s="2683">
        <v>80</v>
      </c>
      <c r="D2463" s="2683">
        <v>170</v>
      </c>
      <c r="E2463" s="2683">
        <v>92</v>
      </c>
      <c r="F2463" s="2683">
        <v>456</v>
      </c>
      <c r="G2463" s="2683">
        <v>622</v>
      </c>
      <c r="H2463" s="2683">
        <v>1800</v>
      </c>
      <c r="I2463" s="2683">
        <v>2500</v>
      </c>
      <c r="J2463" s="2683">
        <v>9.57</v>
      </c>
      <c r="K2463" s="2684"/>
      <c r="L2463" s="2683" t="s">
        <v>5922</v>
      </c>
    </row>
    <row r="2464" spans="1:12">
      <c r="A2464" s="2682" t="s">
        <v>146</v>
      </c>
      <c r="B2464" s="2682" t="s">
        <v>8625</v>
      </c>
      <c r="C2464" s="2682">
        <v>80</v>
      </c>
      <c r="D2464" s="2682">
        <v>170</v>
      </c>
      <c r="E2464" s="2682">
        <v>131</v>
      </c>
      <c r="F2464" s="2682">
        <v>595</v>
      </c>
      <c r="G2464" s="2682">
        <v>881</v>
      </c>
      <c r="H2464" s="2682">
        <v>1900</v>
      </c>
      <c r="I2464" s="2682">
        <v>2500</v>
      </c>
      <c r="J2464" s="2682">
        <v>13.6</v>
      </c>
      <c r="L2464" s="2682" t="s">
        <v>5922</v>
      </c>
    </row>
    <row r="2465" spans="1:12">
      <c r="A2465" s="2683" t="s">
        <v>146</v>
      </c>
      <c r="B2465" s="2683" t="s">
        <v>8626</v>
      </c>
      <c r="C2465" s="2683">
        <v>85</v>
      </c>
      <c r="D2465" s="2683">
        <v>150</v>
      </c>
      <c r="E2465" s="2683">
        <v>70</v>
      </c>
      <c r="F2465" s="2683">
        <v>289</v>
      </c>
      <c r="G2465" s="2683">
        <v>416</v>
      </c>
      <c r="H2465" s="2683">
        <v>2000</v>
      </c>
      <c r="I2465" s="2683">
        <v>2700</v>
      </c>
      <c r="J2465" s="2683">
        <v>4.9400000000000004</v>
      </c>
      <c r="K2465" s="2684"/>
      <c r="L2465" s="2683" t="s">
        <v>5922</v>
      </c>
    </row>
    <row r="2466" spans="1:12">
      <c r="A2466" s="2682" t="s">
        <v>146</v>
      </c>
      <c r="B2466" s="2682" t="s">
        <v>8627</v>
      </c>
      <c r="C2466" s="2682">
        <v>85</v>
      </c>
      <c r="D2466" s="2682">
        <v>150</v>
      </c>
      <c r="E2466" s="2682">
        <v>86</v>
      </c>
      <c r="F2466" s="2682">
        <v>368</v>
      </c>
      <c r="G2466" s="2682">
        <v>567</v>
      </c>
      <c r="H2466" s="2682">
        <v>2000</v>
      </c>
      <c r="I2466" s="2682">
        <v>2700</v>
      </c>
      <c r="J2466" s="2682">
        <v>6.07</v>
      </c>
      <c r="L2466" s="2682" t="s">
        <v>5922</v>
      </c>
    </row>
    <row r="2467" spans="1:12">
      <c r="A2467" s="2683" t="s">
        <v>146</v>
      </c>
      <c r="B2467" s="2683" t="s">
        <v>8628</v>
      </c>
      <c r="C2467" s="2683">
        <v>85</v>
      </c>
      <c r="D2467" s="2683">
        <v>180</v>
      </c>
      <c r="E2467" s="2683">
        <v>98</v>
      </c>
      <c r="F2467" s="2683">
        <v>491</v>
      </c>
      <c r="G2467" s="2683">
        <v>672</v>
      </c>
      <c r="H2467" s="2683">
        <v>1700</v>
      </c>
      <c r="I2467" s="2683">
        <v>2300</v>
      </c>
      <c r="J2467" s="2683">
        <v>11.4</v>
      </c>
      <c r="K2467" s="2684"/>
      <c r="L2467" s="2683" t="s">
        <v>5922</v>
      </c>
    </row>
    <row r="2468" spans="1:12">
      <c r="A2468" s="2682" t="s">
        <v>146</v>
      </c>
      <c r="B2468" s="2682" t="s">
        <v>8629</v>
      </c>
      <c r="C2468" s="2682">
        <v>85</v>
      </c>
      <c r="D2468" s="2682">
        <v>180</v>
      </c>
      <c r="E2468" s="2682">
        <v>137</v>
      </c>
      <c r="F2468" s="2682">
        <v>680</v>
      </c>
      <c r="G2468" s="2682">
        <v>1030</v>
      </c>
      <c r="H2468" s="2682">
        <v>1800</v>
      </c>
      <c r="I2468" s="2682">
        <v>2400</v>
      </c>
      <c r="J2468" s="2682">
        <v>15.9</v>
      </c>
      <c r="L2468" s="2682" t="s">
        <v>5922</v>
      </c>
    </row>
    <row r="2469" spans="1:12">
      <c r="A2469" s="2683" t="s">
        <v>146</v>
      </c>
      <c r="B2469" s="2683">
        <v>46218</v>
      </c>
      <c r="C2469" s="2683">
        <v>90</v>
      </c>
      <c r="D2469" s="2683">
        <v>140</v>
      </c>
      <c r="E2469" s="2683">
        <v>37</v>
      </c>
      <c r="F2469" s="2683">
        <v>136</v>
      </c>
      <c r="G2469" s="2683">
        <v>199</v>
      </c>
      <c r="H2469" s="2683">
        <v>2100</v>
      </c>
      <c r="I2469" s="2683">
        <v>2800</v>
      </c>
      <c r="J2469" s="2683">
        <v>1.89</v>
      </c>
      <c r="K2469" s="2684"/>
      <c r="L2469" s="2683" t="s">
        <v>5922</v>
      </c>
    </row>
    <row r="2470" spans="1:12">
      <c r="A2470" s="2682" t="s">
        <v>146</v>
      </c>
      <c r="B2470" s="2682" t="s">
        <v>8630</v>
      </c>
      <c r="C2470" s="2682">
        <v>90</v>
      </c>
      <c r="D2470" s="2682">
        <v>140</v>
      </c>
      <c r="E2470" s="2682">
        <v>46</v>
      </c>
      <c r="F2470" s="2682">
        <v>157</v>
      </c>
      <c r="G2470" s="2682">
        <v>266</v>
      </c>
      <c r="H2470" s="2682">
        <v>2000</v>
      </c>
      <c r="I2470" s="2682">
        <v>2700</v>
      </c>
      <c r="J2470" s="2682">
        <v>2.37</v>
      </c>
      <c r="L2470" s="2682" t="s">
        <v>5922</v>
      </c>
    </row>
    <row r="2471" spans="1:12">
      <c r="A2471" s="2683" t="s">
        <v>146</v>
      </c>
      <c r="B2471" s="2683" t="s">
        <v>8631</v>
      </c>
      <c r="C2471" s="2683">
        <v>90</v>
      </c>
      <c r="D2471" s="2683">
        <v>160</v>
      </c>
      <c r="E2471" s="2683">
        <v>74</v>
      </c>
      <c r="F2471" s="2683">
        <v>324</v>
      </c>
      <c r="G2471" s="2683">
        <v>470</v>
      </c>
      <c r="H2471" s="2683">
        <v>1900</v>
      </c>
      <c r="I2471" s="2683">
        <v>2500</v>
      </c>
      <c r="J2471" s="2683">
        <v>5.99</v>
      </c>
      <c r="K2471" s="2684"/>
      <c r="L2471" s="2683" t="s">
        <v>5922</v>
      </c>
    </row>
    <row r="2472" spans="1:12">
      <c r="A2472" s="2682" t="s">
        <v>146</v>
      </c>
      <c r="B2472" s="2682" t="s">
        <v>8632</v>
      </c>
      <c r="C2472" s="2682">
        <v>90</v>
      </c>
      <c r="D2472" s="2682">
        <v>160</v>
      </c>
      <c r="E2472" s="2682">
        <v>94</v>
      </c>
      <c r="F2472" s="2682">
        <v>417</v>
      </c>
      <c r="G2472" s="2682">
        <v>651</v>
      </c>
      <c r="H2472" s="2682">
        <v>1900</v>
      </c>
      <c r="I2472" s="2682">
        <v>2500</v>
      </c>
      <c r="J2472" s="2682">
        <v>7.61</v>
      </c>
      <c r="L2472" s="2682" t="s">
        <v>5922</v>
      </c>
    </row>
    <row r="2473" spans="1:12">
      <c r="A2473" s="2683" t="s">
        <v>146</v>
      </c>
      <c r="B2473" s="2683" t="s">
        <v>8633</v>
      </c>
      <c r="C2473" s="2683">
        <v>90</v>
      </c>
      <c r="D2473" s="2683">
        <v>190</v>
      </c>
      <c r="E2473" s="2683">
        <v>102</v>
      </c>
      <c r="F2473" s="2683">
        <v>536</v>
      </c>
      <c r="G2473" s="2683">
        <v>736</v>
      </c>
      <c r="H2473" s="2683">
        <v>1600</v>
      </c>
      <c r="I2473" s="2683">
        <v>2200</v>
      </c>
      <c r="J2473" s="2683">
        <v>13.2</v>
      </c>
      <c r="K2473" s="2684"/>
      <c r="L2473" s="2683" t="s">
        <v>5922</v>
      </c>
    </row>
    <row r="2474" spans="1:12">
      <c r="A2474" s="2682" t="s">
        <v>146</v>
      </c>
      <c r="B2474" s="2682" t="s">
        <v>8634</v>
      </c>
      <c r="C2474" s="2682">
        <v>90</v>
      </c>
      <c r="D2474" s="2682">
        <v>190</v>
      </c>
      <c r="E2474" s="2682">
        <v>144</v>
      </c>
      <c r="F2474" s="2682">
        <v>715</v>
      </c>
      <c r="G2474" s="2682">
        <v>1070</v>
      </c>
      <c r="H2474" s="2682">
        <v>1700</v>
      </c>
      <c r="I2474" s="2682">
        <v>2200</v>
      </c>
      <c r="J2474" s="2682">
        <v>18.600000000000001</v>
      </c>
      <c r="L2474" s="2682" t="s">
        <v>5922</v>
      </c>
    </row>
    <row r="2475" spans="1:12">
      <c r="A2475" s="2683" t="s">
        <v>146</v>
      </c>
      <c r="B2475" s="2683" t="s">
        <v>8635</v>
      </c>
      <c r="C2475" s="2683">
        <v>95</v>
      </c>
      <c r="D2475" s="2683">
        <v>170</v>
      </c>
      <c r="E2475" s="2683">
        <v>78</v>
      </c>
      <c r="F2475" s="2683">
        <v>366</v>
      </c>
      <c r="G2475" s="2683">
        <v>538</v>
      </c>
      <c r="H2475" s="2683">
        <v>1800</v>
      </c>
      <c r="I2475" s="2683">
        <v>2400</v>
      </c>
      <c r="J2475" s="2683">
        <v>7.17</v>
      </c>
      <c r="K2475" s="2684"/>
      <c r="L2475" s="2683" t="s">
        <v>5922</v>
      </c>
    </row>
    <row r="2476" spans="1:12">
      <c r="A2476" s="2682" t="s">
        <v>146</v>
      </c>
      <c r="B2476" s="2682" t="s">
        <v>8636</v>
      </c>
      <c r="C2476" s="2682">
        <v>95</v>
      </c>
      <c r="D2476" s="2682">
        <v>170</v>
      </c>
      <c r="E2476" s="2682">
        <v>100</v>
      </c>
      <c r="F2476" s="2682">
        <v>493</v>
      </c>
      <c r="G2476" s="2682">
        <v>790</v>
      </c>
      <c r="H2476" s="2682">
        <v>1800</v>
      </c>
      <c r="I2476" s="2682">
        <v>2400</v>
      </c>
      <c r="J2476" s="2682">
        <v>9.19</v>
      </c>
      <c r="L2476" s="2682" t="s">
        <v>5922</v>
      </c>
    </row>
    <row r="2477" spans="1:12">
      <c r="A2477" s="2683" t="s">
        <v>146</v>
      </c>
      <c r="B2477" s="2683" t="s">
        <v>8637</v>
      </c>
      <c r="C2477" s="2683">
        <v>95</v>
      </c>
      <c r="D2477" s="2683">
        <v>200</v>
      </c>
      <c r="E2477" s="2683">
        <v>108</v>
      </c>
      <c r="F2477" s="2683">
        <v>577</v>
      </c>
      <c r="G2477" s="2683">
        <v>796</v>
      </c>
      <c r="H2477" s="2683">
        <v>1600</v>
      </c>
      <c r="I2477" s="2683">
        <v>2100</v>
      </c>
      <c r="J2477" s="2683">
        <v>15.5</v>
      </c>
      <c r="K2477" s="2684"/>
      <c r="L2477" s="2683" t="s">
        <v>5922</v>
      </c>
    </row>
    <row r="2478" spans="1:12">
      <c r="A2478" s="2682" t="s">
        <v>146</v>
      </c>
      <c r="B2478" s="2682" t="s">
        <v>8638</v>
      </c>
      <c r="C2478" s="2682">
        <v>95</v>
      </c>
      <c r="D2478" s="2682">
        <v>200</v>
      </c>
      <c r="E2478" s="2682">
        <v>151</v>
      </c>
      <c r="F2478" s="2682">
        <v>801</v>
      </c>
      <c r="G2478" s="2682">
        <v>1220</v>
      </c>
      <c r="H2478" s="2682">
        <v>1600</v>
      </c>
      <c r="I2478" s="2682">
        <v>2100</v>
      </c>
      <c r="J2478" s="2682">
        <v>21.6</v>
      </c>
      <c r="L2478" s="2682" t="s">
        <v>5922</v>
      </c>
    </row>
    <row r="2479" spans="1:12">
      <c r="A2479" s="2683" t="s">
        <v>146</v>
      </c>
      <c r="B2479" s="2683" t="s">
        <v>8639</v>
      </c>
      <c r="C2479" s="2683">
        <v>100</v>
      </c>
      <c r="D2479" s="2683">
        <v>150</v>
      </c>
      <c r="E2479" s="2683">
        <v>46</v>
      </c>
      <c r="F2479" s="2683">
        <v>180</v>
      </c>
      <c r="G2479" s="2683">
        <v>293</v>
      </c>
      <c r="H2479" s="2683">
        <v>1900</v>
      </c>
      <c r="I2479" s="2683">
        <v>2500</v>
      </c>
      <c r="J2479" s="2683">
        <v>2.5299999999999998</v>
      </c>
      <c r="K2479" s="2684"/>
      <c r="L2479" s="2683" t="s">
        <v>5922</v>
      </c>
    </row>
    <row r="2480" spans="1:12">
      <c r="A2480" s="2682" t="s">
        <v>146</v>
      </c>
      <c r="B2480" s="2682">
        <v>46320</v>
      </c>
      <c r="C2480" s="2682">
        <v>100</v>
      </c>
      <c r="D2480" s="2682">
        <v>165</v>
      </c>
      <c r="E2480" s="2682">
        <v>52</v>
      </c>
      <c r="F2480" s="2682">
        <v>198</v>
      </c>
      <c r="G2480" s="2682">
        <v>305</v>
      </c>
      <c r="H2480" s="2682">
        <v>1700</v>
      </c>
      <c r="I2480" s="2682">
        <v>2300</v>
      </c>
      <c r="J2480" s="2682">
        <v>4.03</v>
      </c>
      <c r="L2480" s="2682" t="s">
        <v>5922</v>
      </c>
    </row>
    <row r="2481" spans="1:12">
      <c r="A2481" s="2683" t="s">
        <v>146</v>
      </c>
      <c r="B2481" s="2683" t="s">
        <v>8640</v>
      </c>
      <c r="C2481" s="2683">
        <v>100</v>
      </c>
      <c r="D2481" s="2683">
        <v>165</v>
      </c>
      <c r="E2481" s="2683">
        <v>65</v>
      </c>
      <c r="F2481" s="2683">
        <v>265</v>
      </c>
      <c r="G2481" s="2683">
        <v>443</v>
      </c>
      <c r="H2481" s="2683">
        <v>1800</v>
      </c>
      <c r="I2481" s="2683">
        <v>2300</v>
      </c>
      <c r="J2481" s="2683">
        <v>4.97</v>
      </c>
      <c r="K2481" s="2684"/>
      <c r="L2481" s="2683" t="s">
        <v>5922</v>
      </c>
    </row>
    <row r="2482" spans="1:12">
      <c r="A2482" s="2682" t="s">
        <v>146</v>
      </c>
      <c r="B2482" s="2682" t="s">
        <v>8641</v>
      </c>
      <c r="C2482" s="2682">
        <v>100</v>
      </c>
      <c r="D2482" s="2682">
        <v>180</v>
      </c>
      <c r="E2482" s="2682">
        <v>83</v>
      </c>
      <c r="F2482" s="2682">
        <v>409</v>
      </c>
      <c r="G2482" s="2682">
        <v>608</v>
      </c>
      <c r="H2482" s="2682">
        <v>1700</v>
      </c>
      <c r="I2482" s="2682">
        <v>2200</v>
      </c>
      <c r="J2482" s="2682">
        <v>8.6</v>
      </c>
      <c r="L2482" s="2682" t="s">
        <v>5922</v>
      </c>
    </row>
    <row r="2483" spans="1:12">
      <c r="A2483" s="2683" t="s">
        <v>146</v>
      </c>
      <c r="B2483" s="2683" t="s">
        <v>8642</v>
      </c>
      <c r="C2483" s="2683">
        <v>100</v>
      </c>
      <c r="D2483" s="2683">
        <v>180</v>
      </c>
      <c r="E2483" s="2683">
        <v>107</v>
      </c>
      <c r="F2483" s="2683">
        <v>550</v>
      </c>
      <c r="G2483" s="2683">
        <v>891</v>
      </c>
      <c r="H2483" s="2683">
        <v>1700</v>
      </c>
      <c r="I2483" s="2683">
        <v>2200</v>
      </c>
      <c r="J2483" s="2683">
        <v>11.1</v>
      </c>
      <c r="K2483" s="2684"/>
      <c r="L2483" s="2683" t="s">
        <v>5922</v>
      </c>
    </row>
    <row r="2484" spans="1:12">
      <c r="A2484" s="2682" t="s">
        <v>146</v>
      </c>
      <c r="B2484" s="2682" t="s">
        <v>8643</v>
      </c>
      <c r="C2484" s="2682">
        <v>100</v>
      </c>
      <c r="D2484" s="2682">
        <v>215</v>
      </c>
      <c r="E2484" s="2682">
        <v>112</v>
      </c>
      <c r="F2484" s="2682">
        <v>655</v>
      </c>
      <c r="G2484" s="2682">
        <v>912</v>
      </c>
      <c r="H2484" s="2682">
        <v>1500</v>
      </c>
      <c r="I2484" s="2682">
        <v>1900</v>
      </c>
      <c r="J2484" s="2682">
        <v>18.8</v>
      </c>
      <c r="L2484" s="2682" t="s">
        <v>5922</v>
      </c>
    </row>
    <row r="2485" spans="1:12">
      <c r="A2485" s="2683" t="s">
        <v>146</v>
      </c>
      <c r="B2485" s="2683" t="s">
        <v>8644</v>
      </c>
      <c r="C2485" s="2683">
        <v>100</v>
      </c>
      <c r="D2485" s="2683">
        <v>215</v>
      </c>
      <c r="E2485" s="2683">
        <v>162</v>
      </c>
      <c r="F2485" s="2683">
        <v>892</v>
      </c>
      <c r="G2485" s="2683">
        <v>1360</v>
      </c>
      <c r="H2485" s="2683">
        <v>1500</v>
      </c>
      <c r="I2485" s="2683">
        <v>2000</v>
      </c>
      <c r="J2485" s="2683">
        <v>27.1</v>
      </c>
      <c r="K2485" s="2684"/>
      <c r="L2485" s="2683" t="s">
        <v>5922</v>
      </c>
    </row>
    <row r="2486" spans="1:12">
      <c r="A2486" s="2682" t="s">
        <v>146</v>
      </c>
      <c r="B2486" s="2682" t="s">
        <v>8645</v>
      </c>
      <c r="C2486" s="2682">
        <v>105</v>
      </c>
      <c r="D2486" s="2682">
        <v>190</v>
      </c>
      <c r="E2486" s="2682">
        <v>88</v>
      </c>
      <c r="F2486" s="2682">
        <v>456</v>
      </c>
      <c r="G2486" s="2682">
        <v>685</v>
      </c>
      <c r="H2486" s="2682">
        <v>1600</v>
      </c>
      <c r="I2486" s="2682">
        <v>2100</v>
      </c>
      <c r="J2486" s="2682">
        <v>10.199999999999999</v>
      </c>
      <c r="L2486" s="2682" t="s">
        <v>5922</v>
      </c>
    </row>
    <row r="2487" spans="1:12">
      <c r="A2487" s="2683" t="s">
        <v>146</v>
      </c>
      <c r="B2487" s="2683" t="s">
        <v>8646</v>
      </c>
      <c r="C2487" s="2683">
        <v>105</v>
      </c>
      <c r="D2487" s="2683">
        <v>190</v>
      </c>
      <c r="E2487" s="2683">
        <v>115</v>
      </c>
      <c r="F2487" s="2683">
        <v>620</v>
      </c>
      <c r="G2487" s="2683">
        <v>1020</v>
      </c>
      <c r="H2487" s="2683">
        <v>1600</v>
      </c>
      <c r="I2487" s="2683">
        <v>2100</v>
      </c>
      <c r="J2487" s="2683">
        <v>13.3</v>
      </c>
      <c r="K2487" s="2684"/>
      <c r="L2487" s="2683" t="s">
        <v>5922</v>
      </c>
    </row>
    <row r="2488" spans="1:12">
      <c r="A2488" s="2682" t="s">
        <v>146</v>
      </c>
      <c r="B2488" s="2682" t="s">
        <v>8647</v>
      </c>
      <c r="C2488" s="2682">
        <v>105</v>
      </c>
      <c r="D2488" s="2682">
        <v>225</v>
      </c>
      <c r="E2488" s="2682">
        <v>116</v>
      </c>
      <c r="F2488" s="2682">
        <v>720</v>
      </c>
      <c r="G2488" s="2682">
        <v>1010</v>
      </c>
      <c r="H2488" s="2682">
        <v>1400</v>
      </c>
      <c r="I2488" s="2682">
        <v>1800</v>
      </c>
      <c r="J2488" s="2682">
        <v>21.2</v>
      </c>
      <c r="L2488" s="2682" t="s">
        <v>5922</v>
      </c>
    </row>
    <row r="2489" spans="1:12">
      <c r="A2489" s="2683" t="s">
        <v>146</v>
      </c>
      <c r="B2489" s="2683" t="s">
        <v>8648</v>
      </c>
      <c r="C2489" s="2683">
        <v>105</v>
      </c>
      <c r="D2489" s="2683">
        <v>225</v>
      </c>
      <c r="E2489" s="2683">
        <v>170</v>
      </c>
      <c r="F2489" s="2683">
        <v>977</v>
      </c>
      <c r="G2489" s="2683">
        <v>1500</v>
      </c>
      <c r="H2489" s="2683">
        <v>1400</v>
      </c>
      <c r="I2489" s="2683">
        <v>1900</v>
      </c>
      <c r="J2489" s="2683">
        <v>31.1</v>
      </c>
      <c r="K2489" s="2684"/>
      <c r="L2489" s="2683" t="s">
        <v>5922</v>
      </c>
    </row>
    <row r="2490" spans="1:12">
      <c r="A2490" s="2682" t="s">
        <v>146</v>
      </c>
      <c r="B2490" s="2682">
        <v>46222</v>
      </c>
      <c r="C2490" s="2682">
        <v>110</v>
      </c>
      <c r="D2490" s="2682">
        <v>170</v>
      </c>
      <c r="E2490" s="2682">
        <v>45</v>
      </c>
      <c r="F2490" s="2682">
        <v>175</v>
      </c>
      <c r="G2490" s="2682">
        <v>304</v>
      </c>
      <c r="H2490" s="2682">
        <v>1700</v>
      </c>
      <c r="I2490" s="2682">
        <v>2200</v>
      </c>
      <c r="J2490" s="2682">
        <v>3.58</v>
      </c>
      <c r="L2490" s="2682" t="s">
        <v>5922</v>
      </c>
    </row>
    <row r="2491" spans="1:12">
      <c r="A2491" s="2683" t="s">
        <v>146</v>
      </c>
      <c r="B2491" s="2683">
        <v>46322</v>
      </c>
      <c r="C2491" s="2683">
        <v>110</v>
      </c>
      <c r="D2491" s="2683">
        <v>180</v>
      </c>
      <c r="E2491" s="2683">
        <v>56</v>
      </c>
      <c r="F2491" s="2683">
        <v>245</v>
      </c>
      <c r="G2491" s="2683">
        <v>388</v>
      </c>
      <c r="H2491" s="2683">
        <v>1600</v>
      </c>
      <c r="I2491" s="2683">
        <v>2100</v>
      </c>
      <c r="J2491" s="2683">
        <v>5.13</v>
      </c>
      <c r="K2491" s="2684"/>
      <c r="L2491" s="2683" t="s">
        <v>5922</v>
      </c>
    </row>
    <row r="2492" spans="1:12">
      <c r="A2492" s="2682" t="s">
        <v>146</v>
      </c>
      <c r="B2492" s="2682" t="s">
        <v>8649</v>
      </c>
      <c r="C2492" s="2682">
        <v>110</v>
      </c>
      <c r="D2492" s="2682">
        <v>180</v>
      </c>
      <c r="E2492" s="2682">
        <v>70</v>
      </c>
      <c r="F2492" s="2682">
        <v>324</v>
      </c>
      <c r="G2492" s="2682">
        <v>533</v>
      </c>
      <c r="H2492" s="2682">
        <v>1600</v>
      </c>
      <c r="I2492" s="2682">
        <v>2100</v>
      </c>
      <c r="J2492" s="2682">
        <v>6.43</v>
      </c>
      <c r="L2492" s="2682" t="s">
        <v>5922</v>
      </c>
    </row>
    <row r="2493" spans="1:12">
      <c r="A2493" s="2683" t="s">
        <v>146</v>
      </c>
      <c r="B2493" s="2683" t="s">
        <v>8650</v>
      </c>
      <c r="C2493" s="2683">
        <v>110</v>
      </c>
      <c r="D2493" s="2683">
        <v>200</v>
      </c>
      <c r="E2493" s="2683">
        <v>92</v>
      </c>
      <c r="F2493" s="2683">
        <v>513</v>
      </c>
      <c r="G2493" s="2683">
        <v>781</v>
      </c>
      <c r="H2493" s="2683">
        <v>1500</v>
      </c>
      <c r="I2493" s="2683">
        <v>2000</v>
      </c>
      <c r="J2493" s="2683">
        <v>11.9</v>
      </c>
      <c r="K2493" s="2684"/>
      <c r="L2493" s="2683" t="s">
        <v>5922</v>
      </c>
    </row>
    <row r="2494" spans="1:12">
      <c r="A2494" s="2682" t="s">
        <v>146</v>
      </c>
      <c r="B2494" s="2682" t="s">
        <v>8651</v>
      </c>
      <c r="C2494" s="2682">
        <v>110</v>
      </c>
      <c r="D2494" s="2682">
        <v>200</v>
      </c>
      <c r="E2494" s="2682">
        <v>121</v>
      </c>
      <c r="F2494" s="2682">
        <v>693</v>
      </c>
      <c r="G2494" s="2682">
        <v>1150</v>
      </c>
      <c r="H2494" s="2682">
        <v>1500</v>
      </c>
      <c r="I2494" s="2682">
        <v>2000</v>
      </c>
      <c r="J2494" s="2682">
        <v>15.6</v>
      </c>
      <c r="L2494" s="2682" t="s">
        <v>5922</v>
      </c>
    </row>
    <row r="2495" spans="1:12">
      <c r="A2495" s="2683" t="s">
        <v>146</v>
      </c>
      <c r="B2495" s="2683" t="s">
        <v>8652</v>
      </c>
      <c r="C2495" s="2683">
        <v>110</v>
      </c>
      <c r="D2495" s="2683">
        <v>240</v>
      </c>
      <c r="E2495" s="2683">
        <v>118</v>
      </c>
      <c r="F2495" s="2683">
        <v>746</v>
      </c>
      <c r="G2495" s="2683">
        <v>1030</v>
      </c>
      <c r="H2495" s="2683">
        <v>1300</v>
      </c>
      <c r="I2495" s="2683">
        <v>1700</v>
      </c>
      <c r="J2495" s="2683">
        <v>24.8</v>
      </c>
      <c r="K2495" s="2684"/>
      <c r="L2495" s="2683" t="s">
        <v>5922</v>
      </c>
    </row>
    <row r="2496" spans="1:12">
      <c r="A2496" s="2682" t="s">
        <v>146</v>
      </c>
      <c r="B2496" s="2682" t="s">
        <v>8653</v>
      </c>
      <c r="C2496" s="2682">
        <v>110</v>
      </c>
      <c r="D2496" s="2682">
        <v>240</v>
      </c>
      <c r="E2496" s="2682">
        <v>181</v>
      </c>
      <c r="F2496" s="2682">
        <v>1060</v>
      </c>
      <c r="G2496" s="2682">
        <v>1630</v>
      </c>
      <c r="H2496" s="2682">
        <v>1300</v>
      </c>
      <c r="I2496" s="2682">
        <v>1700</v>
      </c>
      <c r="J2496" s="2682">
        <v>38.1</v>
      </c>
      <c r="L2496" s="2682" t="s">
        <v>5922</v>
      </c>
    </row>
    <row r="2497" spans="1:12">
      <c r="A2497" s="2683" t="s">
        <v>146</v>
      </c>
      <c r="B2497" s="2683">
        <v>46224</v>
      </c>
      <c r="C2497" s="2683">
        <v>120</v>
      </c>
      <c r="D2497" s="2683">
        <v>180</v>
      </c>
      <c r="E2497" s="2683">
        <v>46</v>
      </c>
      <c r="F2497" s="2683">
        <v>185</v>
      </c>
      <c r="G2497" s="2683">
        <v>317</v>
      </c>
      <c r="H2497" s="2683">
        <v>1500</v>
      </c>
      <c r="I2497" s="2683">
        <v>2000</v>
      </c>
      <c r="J2497" s="2683">
        <v>3.81</v>
      </c>
      <c r="K2497" s="2684"/>
      <c r="L2497" s="2683" t="s">
        <v>5922</v>
      </c>
    </row>
    <row r="2498" spans="1:12">
      <c r="A2498" s="2682" t="s">
        <v>146</v>
      </c>
      <c r="B2498" s="2682" t="s">
        <v>8654</v>
      </c>
      <c r="C2498" s="2682">
        <v>120</v>
      </c>
      <c r="D2498" s="2682">
        <v>180</v>
      </c>
      <c r="E2498" s="2682">
        <v>58</v>
      </c>
      <c r="F2498" s="2682">
        <v>247</v>
      </c>
      <c r="G2498" s="2682">
        <v>460</v>
      </c>
      <c r="H2498" s="2682">
        <v>1500</v>
      </c>
      <c r="I2498" s="2682">
        <v>2100</v>
      </c>
      <c r="J2498" s="2682">
        <v>4.66</v>
      </c>
      <c r="L2498" s="2682" t="s">
        <v>5922</v>
      </c>
    </row>
    <row r="2499" spans="1:12">
      <c r="A2499" s="2683" t="s">
        <v>146</v>
      </c>
      <c r="B2499" s="2683">
        <v>46324</v>
      </c>
      <c r="C2499" s="2683">
        <v>120</v>
      </c>
      <c r="D2499" s="2683">
        <v>200</v>
      </c>
      <c r="E2499" s="2683">
        <v>62</v>
      </c>
      <c r="F2499" s="2683">
        <v>292</v>
      </c>
      <c r="G2499" s="2683">
        <v>470</v>
      </c>
      <c r="H2499" s="2683">
        <v>1400</v>
      </c>
      <c r="I2499" s="2683">
        <v>1900</v>
      </c>
      <c r="J2499" s="2683">
        <v>7.28</v>
      </c>
      <c r="K2499" s="2684"/>
      <c r="L2499" s="2683" t="s">
        <v>5922</v>
      </c>
    </row>
    <row r="2500" spans="1:12">
      <c r="A2500" s="2682" t="s">
        <v>146</v>
      </c>
      <c r="B2500" s="2682" t="s">
        <v>8655</v>
      </c>
      <c r="C2500" s="2682">
        <v>15</v>
      </c>
      <c r="D2500" s="2682">
        <v>42</v>
      </c>
      <c r="E2500" s="2682">
        <v>13</v>
      </c>
      <c r="F2500" s="2682">
        <v>21.9</v>
      </c>
      <c r="G2500" s="2682">
        <v>19.2</v>
      </c>
      <c r="H2500" s="2682">
        <v>10000</v>
      </c>
      <c r="I2500" s="2682">
        <v>14000</v>
      </c>
      <c r="J2500" s="2682">
        <v>9.8000000000000004E-2</v>
      </c>
      <c r="L2500" s="2682" t="s">
        <v>5922</v>
      </c>
    </row>
    <row r="2501" spans="1:12">
      <c r="A2501" s="2683" t="s">
        <v>146</v>
      </c>
      <c r="B2501" s="2683" t="s">
        <v>8656</v>
      </c>
      <c r="C2501" s="2683">
        <v>17</v>
      </c>
      <c r="D2501" s="2683">
        <v>40</v>
      </c>
      <c r="E2501" s="2683">
        <v>12</v>
      </c>
      <c r="F2501" s="2683">
        <v>20.8</v>
      </c>
      <c r="G2501" s="2683">
        <v>20.7</v>
      </c>
      <c r="H2501" s="2683">
        <v>10000</v>
      </c>
      <c r="I2501" s="2683">
        <v>14000</v>
      </c>
      <c r="J2501" s="2683">
        <v>8.1000000000000003E-2</v>
      </c>
      <c r="K2501" s="2684"/>
      <c r="L2501" s="2683" t="s">
        <v>5922</v>
      </c>
    </row>
    <row r="2502" spans="1:12">
      <c r="A2502" s="2682" t="s">
        <v>146</v>
      </c>
      <c r="B2502" s="2682" t="s">
        <v>8657</v>
      </c>
      <c r="C2502" s="2682">
        <v>17</v>
      </c>
      <c r="D2502" s="2682">
        <v>40</v>
      </c>
      <c r="E2502" s="2682">
        <v>16</v>
      </c>
      <c r="F2502" s="2682">
        <v>27.4</v>
      </c>
      <c r="G2502" s="2682">
        <v>27.5</v>
      </c>
      <c r="H2502" s="2682">
        <v>10000</v>
      </c>
      <c r="I2502" s="2682">
        <v>14000</v>
      </c>
      <c r="J2502" s="2682">
        <v>0.104</v>
      </c>
      <c r="L2502" s="2682" t="s">
        <v>5922</v>
      </c>
    </row>
    <row r="2503" spans="1:12">
      <c r="A2503" s="2683" t="s">
        <v>146</v>
      </c>
      <c r="B2503" s="2683" t="s">
        <v>8658</v>
      </c>
      <c r="C2503" s="2683">
        <v>17</v>
      </c>
      <c r="D2503" s="2683">
        <v>47</v>
      </c>
      <c r="E2503" s="2683">
        <v>14</v>
      </c>
      <c r="F2503" s="2683">
        <v>27.4</v>
      </c>
      <c r="G2503" s="2683">
        <v>24.5</v>
      </c>
      <c r="H2503" s="2683">
        <v>9200</v>
      </c>
      <c r="I2503" s="2683">
        <v>12000</v>
      </c>
      <c r="J2503" s="2683">
        <v>0.13300000000000001</v>
      </c>
      <c r="K2503" s="2684"/>
      <c r="L2503" s="2683" t="s">
        <v>5922</v>
      </c>
    </row>
    <row r="2504" spans="1:12">
      <c r="A2504" s="2682" t="s">
        <v>146</v>
      </c>
      <c r="B2504" s="2682" t="s">
        <v>8659</v>
      </c>
      <c r="C2504" s="2682">
        <v>17</v>
      </c>
      <c r="D2504" s="2682">
        <v>47</v>
      </c>
      <c r="E2504" s="2682">
        <v>14</v>
      </c>
      <c r="F2504" s="2682">
        <v>27.4</v>
      </c>
      <c r="G2504" s="2682">
        <v>24.5</v>
      </c>
      <c r="H2504" s="2682">
        <v>9200</v>
      </c>
      <c r="I2504" s="2682">
        <v>12000</v>
      </c>
      <c r="J2504" s="2682">
        <v>0.127</v>
      </c>
      <c r="L2504" s="2682" t="s">
        <v>5922</v>
      </c>
    </row>
    <row r="2505" spans="1:12">
      <c r="A2505" s="2683" t="s">
        <v>146</v>
      </c>
      <c r="B2505" s="2683" t="s">
        <v>8660</v>
      </c>
      <c r="C2505" s="2683">
        <v>17</v>
      </c>
      <c r="D2505" s="2683">
        <v>47</v>
      </c>
      <c r="E2505" s="2683">
        <v>19</v>
      </c>
      <c r="F2505" s="2683">
        <v>36.6</v>
      </c>
      <c r="G2505" s="2683">
        <v>35.9</v>
      </c>
      <c r="H2505" s="2683">
        <v>9400</v>
      </c>
      <c r="I2505" s="2683">
        <v>13000</v>
      </c>
      <c r="J2505" s="2683">
        <v>0.17599999999999999</v>
      </c>
      <c r="K2505" s="2684"/>
      <c r="L2505" s="2683" t="s">
        <v>5922</v>
      </c>
    </row>
    <row r="2506" spans="1:12">
      <c r="A2506" s="2682" t="s">
        <v>146</v>
      </c>
      <c r="B2506" s="2682" t="s">
        <v>8661</v>
      </c>
      <c r="C2506" s="2682">
        <v>20</v>
      </c>
      <c r="D2506" s="2682">
        <v>42</v>
      </c>
      <c r="E2506" s="2682">
        <v>15</v>
      </c>
      <c r="F2506" s="2682">
        <v>27.3</v>
      </c>
      <c r="G2506" s="2682">
        <v>31.5</v>
      </c>
      <c r="H2506" s="2682">
        <v>9700</v>
      </c>
      <c r="I2506" s="2682">
        <v>13000</v>
      </c>
      <c r="J2506" s="2682">
        <v>0.10199999999999999</v>
      </c>
      <c r="L2506" s="2682" t="s">
        <v>5922</v>
      </c>
    </row>
    <row r="2507" spans="1:12">
      <c r="A2507" s="2683" t="s">
        <v>146</v>
      </c>
      <c r="B2507" s="2683" t="s">
        <v>8662</v>
      </c>
      <c r="C2507" s="2683">
        <v>20</v>
      </c>
      <c r="D2507" s="2683">
        <v>47</v>
      </c>
      <c r="E2507" s="2683">
        <v>14</v>
      </c>
      <c r="F2507" s="2683">
        <v>25.8</v>
      </c>
      <c r="G2507" s="2683">
        <v>25.5</v>
      </c>
      <c r="H2507" s="2683">
        <v>9000</v>
      </c>
      <c r="I2507" s="2683">
        <v>12000</v>
      </c>
      <c r="J2507" s="2683">
        <v>0.125</v>
      </c>
      <c r="K2507" s="2684"/>
      <c r="L2507" s="2683" t="s">
        <v>5922</v>
      </c>
    </row>
    <row r="2508" spans="1:12">
      <c r="A2508" s="2682" t="s">
        <v>146</v>
      </c>
      <c r="B2508" s="2682" t="s">
        <v>8663</v>
      </c>
      <c r="C2508" s="2682">
        <v>20</v>
      </c>
      <c r="D2508" s="2682">
        <v>47</v>
      </c>
      <c r="E2508" s="2682">
        <v>14</v>
      </c>
      <c r="F2508" s="2682">
        <v>27</v>
      </c>
      <c r="G2508" s="2682">
        <v>27.2</v>
      </c>
      <c r="H2508" s="2682">
        <v>8700</v>
      </c>
      <c r="I2508" s="2682">
        <v>12000</v>
      </c>
      <c r="J2508" s="2682">
        <v>0.127</v>
      </c>
      <c r="L2508" s="2682" t="s">
        <v>5922</v>
      </c>
    </row>
    <row r="2509" spans="1:12">
      <c r="A2509" s="2683" t="s">
        <v>146</v>
      </c>
      <c r="B2509" s="2683" t="s">
        <v>8664</v>
      </c>
      <c r="C2509" s="2683">
        <v>20</v>
      </c>
      <c r="D2509" s="2683">
        <v>47</v>
      </c>
      <c r="E2509" s="2683">
        <v>18</v>
      </c>
      <c r="F2509" s="2683">
        <v>33.1</v>
      </c>
      <c r="G2509" s="2683">
        <v>34.700000000000003</v>
      </c>
      <c r="H2509" s="2683">
        <v>8900</v>
      </c>
      <c r="I2509" s="2683">
        <v>12000</v>
      </c>
      <c r="J2509" s="2683">
        <v>0.159</v>
      </c>
      <c r="K2509" s="2684"/>
      <c r="L2509" s="2683" t="s">
        <v>5922</v>
      </c>
    </row>
    <row r="2510" spans="1:12">
      <c r="A2510" s="2682" t="s">
        <v>146</v>
      </c>
      <c r="B2510" s="2682" t="s">
        <v>8665</v>
      </c>
      <c r="C2510" s="2682">
        <v>20</v>
      </c>
      <c r="D2510" s="2682">
        <v>47</v>
      </c>
      <c r="E2510" s="2682">
        <v>18</v>
      </c>
      <c r="F2510" s="2682">
        <v>33.299999999999997</v>
      </c>
      <c r="G2510" s="2682">
        <v>37</v>
      </c>
      <c r="H2510" s="2682">
        <v>9100</v>
      </c>
      <c r="I2510" s="2682">
        <v>12000</v>
      </c>
      <c r="J2510" s="2682">
        <v>0.17</v>
      </c>
      <c r="L2510" s="2682" t="s">
        <v>5922</v>
      </c>
    </row>
    <row r="2511" spans="1:12">
      <c r="A2511" s="2683" t="s">
        <v>146</v>
      </c>
      <c r="B2511" s="2683" t="s">
        <v>8666</v>
      </c>
      <c r="C2511" s="2683">
        <v>20</v>
      </c>
      <c r="D2511" s="2683">
        <v>52</v>
      </c>
      <c r="E2511" s="2683">
        <v>16</v>
      </c>
      <c r="F2511" s="2683">
        <v>36.200000000000003</v>
      </c>
      <c r="G2511" s="2683">
        <v>35.1</v>
      </c>
      <c r="H2511" s="2683">
        <v>8300</v>
      </c>
      <c r="I2511" s="2683">
        <v>11000</v>
      </c>
      <c r="J2511" s="2683">
        <v>0.17899999999999999</v>
      </c>
      <c r="K2511" s="2684"/>
      <c r="L2511" s="2683" t="s">
        <v>5922</v>
      </c>
    </row>
    <row r="2512" spans="1:12">
      <c r="A2512" s="2682" t="s">
        <v>146</v>
      </c>
      <c r="B2512" s="2682" t="s">
        <v>8667</v>
      </c>
      <c r="C2512" s="2682">
        <v>20</v>
      </c>
      <c r="D2512" s="2682">
        <v>52</v>
      </c>
      <c r="E2512" s="2682">
        <v>21</v>
      </c>
      <c r="F2512" s="2682">
        <v>41.8</v>
      </c>
      <c r="G2512" s="2682">
        <v>44.9</v>
      </c>
      <c r="H2512" s="2682">
        <v>8600</v>
      </c>
      <c r="I2512" s="2682">
        <v>12000</v>
      </c>
      <c r="J2512" s="2682">
        <v>0.25</v>
      </c>
      <c r="L2512" s="2682" t="s">
        <v>5922</v>
      </c>
    </row>
    <row r="2513" spans="1:12">
      <c r="A2513" s="2683" t="s">
        <v>146</v>
      </c>
      <c r="B2513" s="2683" t="s">
        <v>8668</v>
      </c>
      <c r="C2513" s="2683">
        <v>20</v>
      </c>
      <c r="D2513" s="2683">
        <v>52</v>
      </c>
      <c r="E2513" s="2683">
        <v>21</v>
      </c>
      <c r="F2513" s="2683">
        <v>45.1</v>
      </c>
      <c r="G2513" s="2683">
        <v>46.7</v>
      </c>
      <c r="H2513" s="2683">
        <v>8400</v>
      </c>
      <c r="I2513" s="2683">
        <v>11000</v>
      </c>
      <c r="J2513" s="2683">
        <v>0.24399999999999999</v>
      </c>
      <c r="K2513" s="2684"/>
      <c r="L2513" s="2683" t="s">
        <v>5922</v>
      </c>
    </row>
    <row r="2514" spans="1:12">
      <c r="A2514" s="2682" t="s">
        <v>146</v>
      </c>
      <c r="B2514" s="2682" t="s">
        <v>8669</v>
      </c>
      <c r="C2514" s="2682">
        <v>22</v>
      </c>
      <c r="D2514" s="2682">
        <v>44</v>
      </c>
      <c r="E2514" s="2682">
        <v>15</v>
      </c>
      <c r="F2514" s="2682">
        <v>28.3</v>
      </c>
      <c r="G2514" s="2682">
        <v>33.6</v>
      </c>
      <c r="H2514" s="2682">
        <v>9100</v>
      </c>
      <c r="I2514" s="2682">
        <v>12000</v>
      </c>
      <c r="J2514" s="2682">
        <v>0.108</v>
      </c>
      <c r="L2514" s="2682" t="s">
        <v>5922</v>
      </c>
    </row>
    <row r="2515" spans="1:12">
      <c r="A2515" s="2683" t="s">
        <v>146</v>
      </c>
      <c r="B2515" s="2683" t="s">
        <v>8670</v>
      </c>
      <c r="C2515" s="2683">
        <v>22</v>
      </c>
      <c r="D2515" s="2683">
        <v>47</v>
      </c>
      <c r="E2515" s="2683">
        <v>13.5</v>
      </c>
      <c r="F2515" s="2683">
        <v>32.700000000000003</v>
      </c>
      <c r="G2515" s="2683">
        <v>35.9</v>
      </c>
      <c r="H2515" s="2683">
        <v>8700</v>
      </c>
      <c r="I2515" s="2683">
        <v>12000</v>
      </c>
      <c r="J2515" s="2683">
        <v>0.13800000000000001</v>
      </c>
      <c r="K2515" s="2684"/>
      <c r="L2515" s="2683" t="s">
        <v>5922</v>
      </c>
    </row>
    <row r="2516" spans="1:12">
      <c r="A2516" s="2682" t="s">
        <v>146</v>
      </c>
      <c r="B2516" s="2682" t="s">
        <v>8671</v>
      </c>
      <c r="C2516" s="2682">
        <v>22</v>
      </c>
      <c r="D2516" s="2682">
        <v>50</v>
      </c>
      <c r="E2516" s="2682">
        <v>14</v>
      </c>
      <c r="F2516" s="2682">
        <v>29.2</v>
      </c>
      <c r="G2516" s="2682">
        <v>28.6</v>
      </c>
      <c r="H2516" s="2682">
        <v>8400</v>
      </c>
      <c r="I2516" s="2682">
        <v>11000</v>
      </c>
      <c r="J2516" s="2682">
        <v>0.14000000000000001</v>
      </c>
      <c r="L2516" s="2682" t="s">
        <v>5922</v>
      </c>
    </row>
    <row r="2517" spans="1:12">
      <c r="A2517" s="2683" t="s">
        <v>146</v>
      </c>
      <c r="B2517" s="2683" t="s">
        <v>8672</v>
      </c>
      <c r="C2517" s="2683">
        <v>22</v>
      </c>
      <c r="D2517" s="2683">
        <v>50</v>
      </c>
      <c r="E2517" s="2683">
        <v>14</v>
      </c>
      <c r="F2517" s="2683">
        <v>29.3</v>
      </c>
      <c r="G2517" s="2683">
        <v>30.9</v>
      </c>
      <c r="H2517" s="2683">
        <v>8100</v>
      </c>
      <c r="I2517" s="2683">
        <v>11000</v>
      </c>
      <c r="J2517" s="2683">
        <v>0.14399999999999999</v>
      </c>
      <c r="K2517" s="2684"/>
      <c r="L2517" s="2683" t="s">
        <v>5922</v>
      </c>
    </row>
    <row r="2518" spans="1:12">
      <c r="A2518" s="2682" t="s">
        <v>146</v>
      </c>
      <c r="B2518" s="2682" t="s">
        <v>8673</v>
      </c>
      <c r="C2518" s="2682">
        <v>22</v>
      </c>
      <c r="D2518" s="2682">
        <v>50</v>
      </c>
      <c r="E2518" s="2682">
        <v>18</v>
      </c>
      <c r="F2518" s="2682">
        <v>35.1</v>
      </c>
      <c r="G2518" s="2682">
        <v>39.1</v>
      </c>
      <c r="H2518" s="2682">
        <v>8400</v>
      </c>
      <c r="I2518" s="2682">
        <v>11000</v>
      </c>
      <c r="J2518" s="2682">
        <v>0.17</v>
      </c>
      <c r="L2518" s="2682" t="s">
        <v>5922</v>
      </c>
    </row>
    <row r="2519" spans="1:12">
      <c r="A2519" s="2683" t="s">
        <v>146</v>
      </c>
      <c r="B2519" s="2683" t="s">
        <v>8674</v>
      </c>
      <c r="C2519" s="2683">
        <v>22</v>
      </c>
      <c r="D2519" s="2683">
        <v>50</v>
      </c>
      <c r="E2519" s="2683">
        <v>18</v>
      </c>
      <c r="F2519" s="2683">
        <v>36.799999999999997</v>
      </c>
      <c r="G2519" s="2683">
        <v>41.6</v>
      </c>
      <c r="H2519" s="2683">
        <v>8100</v>
      </c>
      <c r="I2519" s="2683">
        <v>11000</v>
      </c>
      <c r="J2519" s="2683">
        <v>0.17799999999999999</v>
      </c>
      <c r="K2519" s="2684"/>
      <c r="L2519" s="2683" t="s">
        <v>5922</v>
      </c>
    </row>
    <row r="2520" spans="1:12">
      <c r="A2520" s="2682" t="s">
        <v>146</v>
      </c>
      <c r="B2520" s="2682" t="s">
        <v>8675</v>
      </c>
      <c r="C2520" s="2682">
        <v>22</v>
      </c>
      <c r="D2520" s="2682">
        <v>56</v>
      </c>
      <c r="E2520" s="2682">
        <v>16</v>
      </c>
      <c r="F2520" s="2682">
        <v>36.299999999999997</v>
      </c>
      <c r="G2520" s="2682">
        <v>36.6</v>
      </c>
      <c r="H2520" s="2682">
        <v>7700</v>
      </c>
      <c r="I2520" s="2682">
        <v>10000</v>
      </c>
      <c r="J2520" s="2682">
        <v>0.21</v>
      </c>
      <c r="L2520" s="2682" t="s">
        <v>5922</v>
      </c>
    </row>
    <row r="2521" spans="1:12">
      <c r="A2521" s="2683" t="s">
        <v>146</v>
      </c>
      <c r="B2521" s="2683" t="s">
        <v>8676</v>
      </c>
      <c r="C2521" s="2683">
        <v>22</v>
      </c>
      <c r="D2521" s="2683">
        <v>56</v>
      </c>
      <c r="E2521" s="2683">
        <v>16</v>
      </c>
      <c r="F2521" s="2683">
        <v>41.7</v>
      </c>
      <c r="G2521" s="2683">
        <v>41.1</v>
      </c>
      <c r="H2521" s="2683">
        <v>7500</v>
      </c>
      <c r="I2521" s="2683">
        <v>10000</v>
      </c>
      <c r="J2521" s="2683">
        <v>0.216</v>
      </c>
      <c r="K2521" s="2684"/>
      <c r="L2521" s="2683" t="s">
        <v>5922</v>
      </c>
    </row>
    <row r="2522" spans="1:12">
      <c r="A2522" s="2682" t="s">
        <v>146</v>
      </c>
      <c r="B2522" s="2682" t="s">
        <v>8677</v>
      </c>
      <c r="C2522" s="2682">
        <v>22</v>
      </c>
      <c r="D2522" s="2682">
        <v>56</v>
      </c>
      <c r="E2522" s="2682">
        <v>21</v>
      </c>
      <c r="F2522" s="2682">
        <v>48.3</v>
      </c>
      <c r="G2522" s="2682">
        <v>50.6</v>
      </c>
      <c r="H2522" s="2682">
        <v>8000</v>
      </c>
      <c r="I2522" s="2682">
        <v>11000</v>
      </c>
      <c r="J2522" s="2682">
        <v>0.28999999999999998</v>
      </c>
      <c r="L2522" s="2682" t="s">
        <v>5922</v>
      </c>
    </row>
    <row r="2523" spans="1:12">
      <c r="A2523" s="2683" t="s">
        <v>146</v>
      </c>
      <c r="B2523" s="2683" t="s">
        <v>8678</v>
      </c>
      <c r="C2523" s="2683">
        <v>22</v>
      </c>
      <c r="D2523" s="2683">
        <v>56</v>
      </c>
      <c r="E2523" s="2683">
        <v>21</v>
      </c>
      <c r="F2523" s="2683">
        <v>50.6</v>
      </c>
      <c r="G2523" s="2683">
        <v>52.7</v>
      </c>
      <c r="H2523" s="2683">
        <v>7600</v>
      </c>
      <c r="I2523" s="2683">
        <v>10000</v>
      </c>
      <c r="J2523" s="2683">
        <v>0.27300000000000002</v>
      </c>
      <c r="K2523" s="2684"/>
      <c r="L2523" s="2683" t="s">
        <v>5922</v>
      </c>
    </row>
    <row r="2524" spans="1:12">
      <c r="A2524" s="2682" t="s">
        <v>146</v>
      </c>
      <c r="B2524" s="2682" t="s">
        <v>8679</v>
      </c>
      <c r="C2524" s="2682">
        <v>25</v>
      </c>
      <c r="D2524" s="2682">
        <v>47</v>
      </c>
      <c r="E2524" s="2682">
        <v>15</v>
      </c>
      <c r="F2524" s="2682">
        <v>30.2</v>
      </c>
      <c r="G2524" s="2682">
        <v>37.700000000000003</v>
      </c>
      <c r="H2524" s="2682">
        <v>8300</v>
      </c>
      <c r="I2524" s="2682">
        <v>11000</v>
      </c>
      <c r="J2524" s="2682">
        <v>0.11799999999999999</v>
      </c>
      <c r="L2524" s="2682" t="s">
        <v>5922</v>
      </c>
    </row>
    <row r="2525" spans="1:12">
      <c r="A2525" s="2683" t="s">
        <v>146</v>
      </c>
      <c r="B2525" s="2683" t="s">
        <v>8680</v>
      </c>
      <c r="C2525" s="2683">
        <v>25</v>
      </c>
      <c r="D2525" s="2683">
        <v>47</v>
      </c>
      <c r="E2525" s="2683">
        <v>17</v>
      </c>
      <c r="F2525" s="2683">
        <v>33.5</v>
      </c>
      <c r="G2525" s="2683">
        <v>42.3</v>
      </c>
      <c r="H2525" s="2683">
        <v>8300</v>
      </c>
      <c r="I2525" s="2683">
        <v>11000</v>
      </c>
      <c r="J2525" s="2683">
        <v>0.13100000000000001</v>
      </c>
      <c r="K2525" s="2684"/>
      <c r="L2525" s="2683" t="s">
        <v>5922</v>
      </c>
    </row>
    <row r="2526" spans="1:12">
      <c r="A2526" s="2682" t="s">
        <v>146</v>
      </c>
      <c r="B2526" s="2682" t="s">
        <v>8681</v>
      </c>
      <c r="C2526" s="2682">
        <v>25</v>
      </c>
      <c r="D2526" s="2682">
        <v>52</v>
      </c>
      <c r="E2526" s="2682">
        <v>15</v>
      </c>
      <c r="F2526" s="2682">
        <v>30.4</v>
      </c>
      <c r="G2526" s="2682">
        <v>32.4</v>
      </c>
      <c r="H2526" s="2682">
        <v>7900</v>
      </c>
      <c r="I2526" s="2682">
        <v>11000</v>
      </c>
      <c r="J2526" s="2682">
        <v>0.155</v>
      </c>
      <c r="L2526" s="2682" t="s">
        <v>5922</v>
      </c>
    </row>
    <row r="2527" spans="1:12">
      <c r="A2527" s="2683" t="s">
        <v>146</v>
      </c>
      <c r="B2527" s="2683" t="s">
        <v>8682</v>
      </c>
      <c r="C2527" s="2683">
        <v>25</v>
      </c>
      <c r="D2527" s="2683">
        <v>52</v>
      </c>
      <c r="E2527" s="2683">
        <v>15</v>
      </c>
      <c r="F2527" s="2683">
        <v>31.5</v>
      </c>
      <c r="G2527" s="2683">
        <v>33.700000000000003</v>
      </c>
      <c r="H2527" s="2683">
        <v>7800</v>
      </c>
      <c r="I2527" s="2683">
        <v>10000</v>
      </c>
      <c r="J2527" s="2683">
        <v>0.156</v>
      </c>
      <c r="K2527" s="2684"/>
      <c r="L2527" s="2683" t="s">
        <v>5922</v>
      </c>
    </row>
    <row r="2528" spans="1:12">
      <c r="A2528" s="2682" t="s">
        <v>146</v>
      </c>
      <c r="B2528" s="2682" t="s">
        <v>8683</v>
      </c>
      <c r="C2528" s="2682">
        <v>25</v>
      </c>
      <c r="D2528" s="2682">
        <v>52</v>
      </c>
      <c r="E2528" s="2682">
        <v>18</v>
      </c>
      <c r="F2528" s="2682">
        <v>36.4</v>
      </c>
      <c r="G2528" s="2682">
        <v>43.2</v>
      </c>
      <c r="H2528" s="2682">
        <v>7900</v>
      </c>
      <c r="I2528" s="2682">
        <v>11000</v>
      </c>
      <c r="J2528" s="2682">
        <v>0.2</v>
      </c>
      <c r="L2528" s="2682" t="s">
        <v>5922</v>
      </c>
    </row>
    <row r="2529" spans="1:12">
      <c r="A2529" s="2683" t="s">
        <v>146</v>
      </c>
      <c r="B2529" s="2683" t="s">
        <v>8684</v>
      </c>
      <c r="C2529" s="2683">
        <v>25</v>
      </c>
      <c r="D2529" s="2683">
        <v>52</v>
      </c>
      <c r="E2529" s="2683">
        <v>18</v>
      </c>
      <c r="F2529" s="2683">
        <v>39.799999999999997</v>
      </c>
      <c r="G2529" s="2683">
        <v>44.8</v>
      </c>
      <c r="H2529" s="2683">
        <v>7900</v>
      </c>
      <c r="I2529" s="2683">
        <v>11000</v>
      </c>
      <c r="J2529" s="2683">
        <v>0.188</v>
      </c>
      <c r="K2529" s="2684"/>
      <c r="L2529" s="2683" t="s">
        <v>5922</v>
      </c>
    </row>
    <row r="2530" spans="1:12">
      <c r="A2530" s="2682" t="s">
        <v>146</v>
      </c>
      <c r="B2530" s="2682" t="s">
        <v>8685</v>
      </c>
      <c r="C2530" s="2682">
        <v>25</v>
      </c>
      <c r="D2530" s="2682">
        <v>52</v>
      </c>
      <c r="E2530" s="2682">
        <v>22</v>
      </c>
      <c r="F2530" s="2682">
        <v>48.9</v>
      </c>
      <c r="G2530" s="2682">
        <v>58.5</v>
      </c>
      <c r="H2530" s="2682">
        <v>7900</v>
      </c>
      <c r="I2530" s="2682">
        <v>10000</v>
      </c>
      <c r="J2530" s="2682">
        <v>0.22500000000000001</v>
      </c>
      <c r="L2530" s="2682" t="s">
        <v>5922</v>
      </c>
    </row>
    <row r="2531" spans="1:12">
      <c r="A2531" s="2683" t="s">
        <v>146</v>
      </c>
      <c r="B2531" s="2683" t="s">
        <v>8686</v>
      </c>
      <c r="C2531" s="2683">
        <v>25</v>
      </c>
      <c r="D2531" s="2683">
        <v>62</v>
      </c>
      <c r="E2531" s="2683">
        <v>17</v>
      </c>
      <c r="F2531" s="2683">
        <v>39.799999999999997</v>
      </c>
      <c r="G2531" s="2683">
        <v>42.5</v>
      </c>
      <c r="H2531" s="2683">
        <v>5700</v>
      </c>
      <c r="I2531" s="2683">
        <v>8000</v>
      </c>
      <c r="J2531" s="2683">
        <v>0.26900000000000002</v>
      </c>
      <c r="K2531" s="2684"/>
      <c r="L2531" s="2683" t="s">
        <v>5922</v>
      </c>
    </row>
    <row r="2532" spans="1:12">
      <c r="A2532" s="2682" t="s">
        <v>146</v>
      </c>
      <c r="B2532" s="2682" t="s">
        <v>8687</v>
      </c>
      <c r="C2532" s="2682">
        <v>25</v>
      </c>
      <c r="D2532" s="2682">
        <v>62</v>
      </c>
      <c r="E2532" s="2682">
        <v>17</v>
      </c>
      <c r="F2532" s="2682">
        <v>45</v>
      </c>
      <c r="G2532" s="2682">
        <v>45.8</v>
      </c>
      <c r="H2532" s="2682">
        <v>6700</v>
      </c>
      <c r="I2532" s="2682">
        <v>9000</v>
      </c>
      <c r="J2532" s="2682">
        <v>0.27500000000000002</v>
      </c>
      <c r="L2532" s="2682" t="s">
        <v>5922</v>
      </c>
    </row>
    <row r="2533" spans="1:12">
      <c r="A2533" s="2683" t="s">
        <v>146</v>
      </c>
      <c r="B2533" s="2683" t="s">
        <v>8688</v>
      </c>
      <c r="C2533" s="2683">
        <v>25</v>
      </c>
      <c r="D2533" s="2683">
        <v>62</v>
      </c>
      <c r="E2533" s="2683">
        <v>17</v>
      </c>
      <c r="F2533" s="2683">
        <v>48.2</v>
      </c>
      <c r="G2533" s="2683">
        <v>46.9</v>
      </c>
      <c r="H2533" s="2683">
        <v>6800</v>
      </c>
      <c r="I2533" s="2683">
        <v>9000</v>
      </c>
      <c r="J2533" s="2683">
        <v>0.23699999999999999</v>
      </c>
      <c r="K2533" s="2684"/>
      <c r="L2533" s="2683" t="s">
        <v>5922</v>
      </c>
    </row>
    <row r="2534" spans="1:12">
      <c r="A2534" s="2682" t="s">
        <v>146</v>
      </c>
      <c r="B2534" s="2682" t="s">
        <v>8689</v>
      </c>
      <c r="C2534" s="2682">
        <v>25</v>
      </c>
      <c r="D2534" s="2682">
        <v>62</v>
      </c>
      <c r="E2534" s="2682">
        <v>24</v>
      </c>
      <c r="F2534" s="2682">
        <v>57.2</v>
      </c>
      <c r="G2534" s="2682">
        <v>65.8</v>
      </c>
      <c r="H2534" s="2682">
        <v>7000</v>
      </c>
      <c r="I2534" s="2682">
        <v>9300</v>
      </c>
      <c r="J2534" s="2682">
        <v>0.39</v>
      </c>
      <c r="L2534" s="2682" t="s">
        <v>5922</v>
      </c>
    </row>
    <row r="2535" spans="1:12">
      <c r="A2535" s="2683" t="s">
        <v>146</v>
      </c>
      <c r="B2535" s="2683" t="s">
        <v>8690</v>
      </c>
      <c r="C2535" s="2683">
        <v>25</v>
      </c>
      <c r="D2535" s="2683">
        <v>62</v>
      </c>
      <c r="E2535" s="2683">
        <v>24</v>
      </c>
      <c r="F2535" s="2683">
        <v>61.2</v>
      </c>
      <c r="G2535" s="2683">
        <v>64.099999999999994</v>
      </c>
      <c r="H2535" s="2683">
        <v>6900</v>
      </c>
      <c r="I2535" s="2683">
        <v>9100</v>
      </c>
      <c r="J2535" s="2683">
        <v>0.38600000000000001</v>
      </c>
      <c r="K2535" s="2684"/>
      <c r="L2535" s="2683" t="s">
        <v>5922</v>
      </c>
    </row>
    <row r="2536" spans="1:12">
      <c r="A2536" s="2682" t="s">
        <v>146</v>
      </c>
      <c r="B2536" s="2682" t="s">
        <v>8691</v>
      </c>
      <c r="C2536" s="2682">
        <v>28</v>
      </c>
      <c r="D2536" s="2682">
        <v>52</v>
      </c>
      <c r="E2536" s="2682">
        <v>16</v>
      </c>
      <c r="F2536" s="2682">
        <v>35.200000000000003</v>
      </c>
      <c r="G2536" s="2682">
        <v>44</v>
      </c>
      <c r="H2536" s="2682">
        <v>7500</v>
      </c>
      <c r="I2536" s="2682">
        <v>10000</v>
      </c>
      <c r="J2536" s="2682">
        <v>0.15</v>
      </c>
      <c r="L2536" s="2682" t="s">
        <v>5922</v>
      </c>
    </row>
    <row r="2537" spans="1:12">
      <c r="A2537" s="2683" t="s">
        <v>146</v>
      </c>
      <c r="B2537" s="2683" t="s">
        <v>8692</v>
      </c>
      <c r="C2537" s="2683">
        <v>28</v>
      </c>
      <c r="D2537" s="2683">
        <v>58</v>
      </c>
      <c r="E2537" s="2683">
        <v>16</v>
      </c>
      <c r="F2537" s="2683">
        <v>38.799999999999997</v>
      </c>
      <c r="G2537" s="2683">
        <v>41.7</v>
      </c>
      <c r="H2537" s="2683">
        <v>7000</v>
      </c>
      <c r="I2537" s="2683">
        <v>9300</v>
      </c>
      <c r="J2537" s="2683">
        <v>0.20499999999999999</v>
      </c>
      <c r="K2537" s="2684"/>
      <c r="L2537" s="2683" t="s">
        <v>5922</v>
      </c>
    </row>
    <row r="2538" spans="1:12">
      <c r="A2538" s="2682" t="s">
        <v>146</v>
      </c>
      <c r="B2538" s="2682" t="s">
        <v>8693</v>
      </c>
      <c r="C2538" s="2682">
        <v>28</v>
      </c>
      <c r="D2538" s="2682">
        <v>58</v>
      </c>
      <c r="E2538" s="2682">
        <v>16</v>
      </c>
      <c r="F2538" s="2682">
        <v>38.799999999999997</v>
      </c>
      <c r="G2538" s="2682">
        <v>42</v>
      </c>
      <c r="H2538" s="2682">
        <v>7000</v>
      </c>
      <c r="I2538" s="2682">
        <v>9300</v>
      </c>
      <c r="J2538" s="2682">
        <v>0.20899999999999999</v>
      </c>
      <c r="L2538" s="2682" t="s">
        <v>5922</v>
      </c>
    </row>
    <row r="2539" spans="1:12">
      <c r="A2539" s="2683" t="s">
        <v>146</v>
      </c>
      <c r="B2539" s="2683" t="s">
        <v>8694</v>
      </c>
      <c r="C2539" s="2683">
        <v>28</v>
      </c>
      <c r="D2539" s="2683">
        <v>58</v>
      </c>
      <c r="E2539" s="2683">
        <v>19</v>
      </c>
      <c r="F2539" s="2683">
        <v>44.9</v>
      </c>
      <c r="G2539" s="2683">
        <v>54.1</v>
      </c>
      <c r="H2539" s="2683">
        <v>7100</v>
      </c>
      <c r="I2539" s="2683">
        <v>9400</v>
      </c>
      <c r="J2539" s="2683">
        <v>0.255</v>
      </c>
      <c r="K2539" s="2684"/>
      <c r="L2539" s="2683" t="s">
        <v>5922</v>
      </c>
    </row>
    <row r="2540" spans="1:12">
      <c r="A2540" s="2682" t="s">
        <v>146</v>
      </c>
      <c r="B2540" s="2682" t="s">
        <v>8695</v>
      </c>
      <c r="C2540" s="2682">
        <v>25</v>
      </c>
      <c r="D2540" s="2682">
        <v>58</v>
      </c>
      <c r="E2540" s="2682">
        <v>19</v>
      </c>
      <c r="F2540" s="2682">
        <v>49.2</v>
      </c>
      <c r="G2540" s="2682">
        <v>55.2</v>
      </c>
      <c r="H2540" s="2682">
        <v>6900</v>
      </c>
      <c r="I2540" s="2682">
        <v>9100</v>
      </c>
      <c r="J2540" s="2682">
        <v>0.24399999999999999</v>
      </c>
      <c r="L2540" s="2682" t="s">
        <v>5922</v>
      </c>
    </row>
    <row r="2541" spans="1:12">
      <c r="A2541" s="2683" t="s">
        <v>146</v>
      </c>
      <c r="B2541" s="2683" t="s">
        <v>8696</v>
      </c>
      <c r="C2541" s="2683">
        <v>28</v>
      </c>
      <c r="D2541" s="2683">
        <v>58</v>
      </c>
      <c r="E2541" s="2683">
        <v>24</v>
      </c>
      <c r="F2541" s="2683">
        <v>57.6</v>
      </c>
      <c r="G2541" s="2683">
        <v>69.5</v>
      </c>
      <c r="H2541" s="2683">
        <v>7000</v>
      </c>
      <c r="I2541" s="2683">
        <v>9300</v>
      </c>
      <c r="J2541" s="2683">
        <v>0.30199999999999999</v>
      </c>
      <c r="K2541" s="2684"/>
      <c r="L2541" s="2683" t="s">
        <v>5922</v>
      </c>
    </row>
    <row r="2542" spans="1:12">
      <c r="A2542" s="2682" t="s">
        <v>146</v>
      </c>
      <c r="B2542" s="2682" t="s">
        <v>8697</v>
      </c>
      <c r="C2542" s="2682">
        <v>28</v>
      </c>
      <c r="D2542" s="2682">
        <v>68</v>
      </c>
      <c r="E2542" s="2682">
        <v>18</v>
      </c>
      <c r="F2542" s="2682">
        <v>51.7</v>
      </c>
      <c r="G2542" s="2682">
        <v>50.2</v>
      </c>
      <c r="H2542" s="2682">
        <v>6200</v>
      </c>
      <c r="I2542" s="2682">
        <v>8200</v>
      </c>
      <c r="J2542" s="2682">
        <v>0.33200000000000002</v>
      </c>
      <c r="L2542" s="2682" t="s">
        <v>5922</v>
      </c>
    </row>
    <row r="2543" spans="1:12">
      <c r="A2543" s="2683" t="s">
        <v>146</v>
      </c>
      <c r="B2543" s="2683" t="s">
        <v>8698</v>
      </c>
      <c r="C2543" s="2683">
        <v>28</v>
      </c>
      <c r="D2543" s="2683">
        <v>68</v>
      </c>
      <c r="E2543" s="2683">
        <v>18</v>
      </c>
      <c r="F2543" s="2683">
        <v>53.5</v>
      </c>
      <c r="G2543" s="2683">
        <v>54</v>
      </c>
      <c r="H2543" s="2683">
        <v>6100</v>
      </c>
      <c r="I2543" s="2683">
        <v>8200</v>
      </c>
      <c r="J2543" s="2683">
        <v>0.34499999999999997</v>
      </c>
      <c r="K2543" s="2684"/>
      <c r="L2543" s="2683" t="s">
        <v>5922</v>
      </c>
    </row>
    <row r="2544" spans="1:12">
      <c r="A2544" s="2682" t="s">
        <v>146</v>
      </c>
      <c r="B2544" s="2682" t="s">
        <v>8699</v>
      </c>
      <c r="C2544" s="2682">
        <v>28</v>
      </c>
      <c r="D2544" s="2682">
        <v>68</v>
      </c>
      <c r="E2544" s="2682">
        <v>24</v>
      </c>
      <c r="F2544" s="2682">
        <v>66.5</v>
      </c>
      <c r="G2544" s="2682">
        <v>72.900000000000006</v>
      </c>
      <c r="H2544" s="2682">
        <v>6300</v>
      </c>
      <c r="I2544" s="2682">
        <v>8500</v>
      </c>
      <c r="J2544" s="2682">
        <v>0.48</v>
      </c>
      <c r="L2544" s="2682" t="s">
        <v>5922</v>
      </c>
    </row>
    <row r="2545" spans="1:12">
      <c r="A2545" s="2683" t="s">
        <v>146</v>
      </c>
      <c r="B2545" s="2683" t="s">
        <v>8700</v>
      </c>
      <c r="C2545" s="2683">
        <v>30</v>
      </c>
      <c r="D2545" s="2683">
        <v>55</v>
      </c>
      <c r="E2545" s="2683">
        <v>17</v>
      </c>
      <c r="F2545" s="2683">
        <v>38.200000000000003</v>
      </c>
      <c r="G2545" s="2683">
        <v>48</v>
      </c>
      <c r="H2545" s="2683">
        <v>7000</v>
      </c>
      <c r="I2545" s="2683">
        <v>9400</v>
      </c>
      <c r="J2545" s="2683">
        <v>0.17699999999999999</v>
      </c>
      <c r="K2545" s="2684"/>
      <c r="L2545" s="2683" t="s">
        <v>5922</v>
      </c>
    </row>
    <row r="2546" spans="1:12">
      <c r="A2546" s="2682" t="s">
        <v>146</v>
      </c>
      <c r="B2546" s="2682" t="s">
        <v>8701</v>
      </c>
      <c r="C2546" s="2682">
        <v>30</v>
      </c>
      <c r="D2546" s="2682">
        <v>55</v>
      </c>
      <c r="E2546" s="2682">
        <v>20</v>
      </c>
      <c r="F2546" s="2682">
        <v>43.2</v>
      </c>
      <c r="G2546" s="2682">
        <v>55.1</v>
      </c>
      <c r="H2546" s="2682">
        <v>7000</v>
      </c>
      <c r="I2546" s="2682">
        <v>9400</v>
      </c>
      <c r="J2546" s="2682">
        <v>0.20300000000000001</v>
      </c>
      <c r="L2546" s="2682" t="s">
        <v>5922</v>
      </c>
    </row>
    <row r="2547" spans="1:12">
      <c r="A2547" s="2683" t="s">
        <v>146</v>
      </c>
      <c r="B2547" s="2683" t="s">
        <v>8702</v>
      </c>
      <c r="C2547" s="2683">
        <v>30</v>
      </c>
      <c r="D2547" s="2683">
        <v>62</v>
      </c>
      <c r="E2547" s="2683">
        <v>16</v>
      </c>
      <c r="F2547" s="2683">
        <v>42.3</v>
      </c>
      <c r="G2547" s="2683">
        <v>45.1</v>
      </c>
      <c r="H2547" s="2683">
        <v>6500</v>
      </c>
      <c r="I2547" s="2683">
        <v>8700</v>
      </c>
      <c r="J2547" s="2683">
        <v>0.23</v>
      </c>
      <c r="K2547" s="2684"/>
      <c r="L2547" s="2683" t="s">
        <v>5922</v>
      </c>
    </row>
    <row r="2548" spans="1:12">
      <c r="A2548" s="2682" t="s">
        <v>146</v>
      </c>
      <c r="B2548" s="2682" t="s">
        <v>8703</v>
      </c>
      <c r="C2548" s="2682">
        <v>30</v>
      </c>
      <c r="D2548" s="2682">
        <v>62</v>
      </c>
      <c r="E2548" s="2682">
        <v>16</v>
      </c>
      <c r="F2548" s="2682">
        <v>41.5</v>
      </c>
      <c r="G2548" s="2682">
        <v>44.8</v>
      </c>
      <c r="H2548" s="2682">
        <v>6500</v>
      </c>
      <c r="I2548" s="2682">
        <v>8700</v>
      </c>
      <c r="J2548" s="2682">
        <v>0.23599999999999999</v>
      </c>
      <c r="L2548" s="2682" t="s">
        <v>5922</v>
      </c>
    </row>
    <row r="2549" spans="1:12">
      <c r="A2549" s="2683" t="s">
        <v>146</v>
      </c>
      <c r="B2549" s="2683" t="s">
        <v>8704</v>
      </c>
      <c r="C2549" s="2683">
        <v>30</v>
      </c>
      <c r="D2549" s="2683">
        <v>62</v>
      </c>
      <c r="E2549" s="2683">
        <v>20</v>
      </c>
      <c r="F2549" s="2683">
        <v>51.7</v>
      </c>
      <c r="G2549" s="2683">
        <v>59</v>
      </c>
      <c r="H2549" s="2683">
        <v>6600</v>
      </c>
      <c r="I2549" s="2683">
        <v>8900</v>
      </c>
      <c r="J2549" s="2683">
        <v>0.3</v>
      </c>
      <c r="K2549" s="2684"/>
      <c r="L2549" s="2683" t="s">
        <v>5922</v>
      </c>
    </row>
    <row r="2550" spans="1:12">
      <c r="A2550" s="2682" t="s">
        <v>146</v>
      </c>
      <c r="B2550" s="2682" t="s">
        <v>8705</v>
      </c>
      <c r="C2550" s="2682">
        <v>30</v>
      </c>
      <c r="D2550" s="2682">
        <v>62</v>
      </c>
      <c r="E2550" s="2682">
        <v>20</v>
      </c>
      <c r="F2550" s="2682">
        <v>50.7</v>
      </c>
      <c r="G2550" s="2682">
        <v>57.9</v>
      </c>
      <c r="H2550" s="2682">
        <v>6500</v>
      </c>
      <c r="I2550" s="2682">
        <v>8700</v>
      </c>
      <c r="J2550" s="2682">
        <v>0.29199999999999998</v>
      </c>
      <c r="L2550" s="2682" t="s">
        <v>5922</v>
      </c>
    </row>
    <row r="2551" spans="1:12">
      <c r="A2551" s="2683" t="s">
        <v>146</v>
      </c>
      <c r="B2551" s="2683" t="s">
        <v>8706</v>
      </c>
      <c r="C2551" s="2683">
        <v>30</v>
      </c>
      <c r="D2551" s="2683">
        <v>62</v>
      </c>
      <c r="E2551" s="2683">
        <v>25</v>
      </c>
      <c r="F2551" s="2683">
        <v>66.400000000000006</v>
      </c>
      <c r="G2551" s="2683">
        <v>79.400000000000006</v>
      </c>
      <c r="H2551" s="2683">
        <v>6500</v>
      </c>
      <c r="I2551" s="2683">
        <v>8700</v>
      </c>
      <c r="J2551" s="2683">
        <v>0.35899999999999999</v>
      </c>
      <c r="K2551" s="2684"/>
      <c r="L2551" s="2683" t="s">
        <v>5922</v>
      </c>
    </row>
    <row r="2552" spans="1:12">
      <c r="A2552" s="2682" t="s">
        <v>146</v>
      </c>
      <c r="B2552" s="2682" t="s">
        <v>8707</v>
      </c>
      <c r="C2552" s="2682">
        <v>30</v>
      </c>
      <c r="D2552" s="2682">
        <v>72</v>
      </c>
      <c r="E2552" s="2682">
        <v>19</v>
      </c>
      <c r="F2552" s="2682">
        <v>50.9</v>
      </c>
      <c r="G2552" s="2682">
        <v>54.9</v>
      </c>
      <c r="H2552" s="2682">
        <v>4900</v>
      </c>
      <c r="I2552" s="2682">
        <v>6800</v>
      </c>
      <c r="J2552" s="2682">
        <v>0.4</v>
      </c>
      <c r="L2552" s="2682" t="s">
        <v>5922</v>
      </c>
    </row>
    <row r="2553" spans="1:12">
      <c r="A2553" s="2683" t="s">
        <v>146</v>
      </c>
      <c r="B2553" s="2683" t="s">
        <v>8708</v>
      </c>
      <c r="C2553" s="2683">
        <v>30</v>
      </c>
      <c r="D2553" s="2683">
        <v>72</v>
      </c>
      <c r="E2553" s="2683">
        <v>19</v>
      </c>
      <c r="F2553" s="2683">
        <v>56.5</v>
      </c>
      <c r="G2553" s="2683">
        <v>55.2</v>
      </c>
      <c r="H2553" s="2683">
        <v>5900</v>
      </c>
      <c r="I2553" s="2683">
        <v>7900</v>
      </c>
      <c r="J2553" s="2683">
        <v>0.40500000000000003</v>
      </c>
      <c r="K2553" s="2684"/>
      <c r="L2553" s="2683" t="s">
        <v>5922</v>
      </c>
    </row>
    <row r="2554" spans="1:12">
      <c r="A2554" s="2682" t="s">
        <v>146</v>
      </c>
      <c r="B2554" s="2682" t="s">
        <v>8709</v>
      </c>
      <c r="C2554" s="2682">
        <v>30</v>
      </c>
      <c r="D2554" s="2682">
        <v>72</v>
      </c>
      <c r="E2554" s="2682">
        <v>19</v>
      </c>
      <c r="F2554" s="2682">
        <v>59.6</v>
      </c>
      <c r="G2554" s="2682">
        <v>60.1</v>
      </c>
      <c r="H2554" s="2682">
        <v>5800</v>
      </c>
      <c r="I2554" s="2682">
        <v>7700</v>
      </c>
      <c r="J2554" s="2682">
        <v>0.41099999999999998</v>
      </c>
      <c r="L2554" s="2682" t="s">
        <v>5922</v>
      </c>
    </row>
    <row r="2555" spans="1:12">
      <c r="A2555" s="2683" t="s">
        <v>146</v>
      </c>
      <c r="B2555" s="2683" t="s">
        <v>8710</v>
      </c>
      <c r="C2555" s="2683">
        <v>30</v>
      </c>
      <c r="D2555" s="2683">
        <v>72</v>
      </c>
      <c r="E2555" s="2683">
        <v>27</v>
      </c>
      <c r="F2555" s="2683">
        <v>80</v>
      </c>
      <c r="G2555" s="2683">
        <v>93.8</v>
      </c>
      <c r="H2555" s="2683">
        <v>6000</v>
      </c>
      <c r="I2555" s="2683">
        <v>8000</v>
      </c>
      <c r="J2555" s="2683">
        <v>0.61</v>
      </c>
      <c r="K2555" s="2684"/>
      <c r="L2555" s="2683" t="s">
        <v>5922</v>
      </c>
    </row>
    <row r="2556" spans="1:12">
      <c r="A2556" s="2682" t="s">
        <v>146</v>
      </c>
      <c r="B2556" s="2682" t="s">
        <v>8711</v>
      </c>
      <c r="C2556" s="2682">
        <v>30</v>
      </c>
      <c r="D2556" s="2682">
        <v>72</v>
      </c>
      <c r="E2556" s="2682">
        <v>27</v>
      </c>
      <c r="F2556" s="2682">
        <v>82.2</v>
      </c>
      <c r="G2556" s="2682">
        <v>91.6</v>
      </c>
      <c r="H2556" s="2682">
        <v>5900</v>
      </c>
      <c r="I2556" s="2682">
        <v>7900</v>
      </c>
      <c r="J2556" s="2682">
        <v>0.58799999999999997</v>
      </c>
      <c r="L2556" s="2682" t="s">
        <v>5922</v>
      </c>
    </row>
    <row r="2557" spans="1:12">
      <c r="A2557" s="2683" t="s">
        <v>146</v>
      </c>
      <c r="B2557" s="2683" t="s">
        <v>8712</v>
      </c>
      <c r="C2557" s="2683">
        <v>32</v>
      </c>
      <c r="D2557" s="2683">
        <v>58</v>
      </c>
      <c r="E2557" s="2683">
        <v>17</v>
      </c>
      <c r="F2557" s="2683">
        <v>39.200000000000003</v>
      </c>
      <c r="G2557" s="2683">
        <v>50.6</v>
      </c>
      <c r="H2557" s="2683">
        <v>6700</v>
      </c>
      <c r="I2557" s="2683">
        <v>8900</v>
      </c>
      <c r="J2557" s="2683">
        <v>0.19600000000000001</v>
      </c>
      <c r="K2557" s="2684"/>
      <c r="L2557" s="2683" t="s">
        <v>5922</v>
      </c>
    </row>
    <row r="2558" spans="1:12">
      <c r="A2558" s="2682" t="s">
        <v>146</v>
      </c>
      <c r="B2558" s="2682" t="s">
        <v>8713</v>
      </c>
      <c r="C2558" s="2682">
        <v>32</v>
      </c>
      <c r="D2558" s="2682">
        <v>65</v>
      </c>
      <c r="E2558" s="2682">
        <v>17</v>
      </c>
      <c r="F2558" s="2682">
        <v>47.5</v>
      </c>
      <c r="G2558" s="2682">
        <v>51.5</v>
      </c>
      <c r="H2558" s="2682">
        <v>6200</v>
      </c>
      <c r="I2558" s="2682">
        <v>8300</v>
      </c>
      <c r="J2558" s="2682">
        <v>0.27500000000000002</v>
      </c>
      <c r="L2558" s="2682" t="s">
        <v>5922</v>
      </c>
    </row>
    <row r="2559" spans="1:12">
      <c r="A2559" s="2683" t="s">
        <v>146</v>
      </c>
      <c r="B2559" s="2683" t="s">
        <v>8714</v>
      </c>
      <c r="C2559" s="2683">
        <v>32</v>
      </c>
      <c r="D2559" s="2683">
        <v>65</v>
      </c>
      <c r="E2559" s="2683">
        <v>17</v>
      </c>
      <c r="F2559" s="2683">
        <v>48</v>
      </c>
      <c r="G2559" s="2683">
        <v>51.4</v>
      </c>
      <c r="H2559" s="2683">
        <v>6200</v>
      </c>
      <c r="I2559" s="2683">
        <v>8200</v>
      </c>
      <c r="J2559" s="2683">
        <v>0.26600000000000001</v>
      </c>
      <c r="K2559" s="2684"/>
      <c r="L2559" s="2683" t="s">
        <v>5922</v>
      </c>
    </row>
    <row r="2560" spans="1:12">
      <c r="A2560" s="2682" t="s">
        <v>146</v>
      </c>
      <c r="B2560" s="2682" t="s">
        <v>8715</v>
      </c>
      <c r="C2560" s="2682">
        <v>32</v>
      </c>
      <c r="D2560" s="2682">
        <v>65</v>
      </c>
      <c r="E2560" s="2682">
        <v>22</v>
      </c>
      <c r="F2560" s="2682">
        <v>55.8</v>
      </c>
      <c r="G2560" s="2682">
        <v>65.099999999999994</v>
      </c>
      <c r="H2560" s="2682">
        <v>6300</v>
      </c>
      <c r="I2560" s="2682">
        <v>8400</v>
      </c>
      <c r="J2560" s="2682">
        <v>0.34</v>
      </c>
      <c r="L2560" s="2682" t="s">
        <v>5922</v>
      </c>
    </row>
    <row r="2561" spans="1:12">
      <c r="A2561" s="2683" t="s">
        <v>146</v>
      </c>
      <c r="B2561" s="2683" t="s">
        <v>8716</v>
      </c>
      <c r="C2561" s="2683">
        <v>32</v>
      </c>
      <c r="D2561" s="2683">
        <v>65</v>
      </c>
      <c r="E2561" s="2683">
        <v>21</v>
      </c>
      <c r="F2561" s="2683">
        <v>51.6</v>
      </c>
      <c r="G2561" s="2683">
        <v>57.7</v>
      </c>
      <c r="H2561" s="2683">
        <v>6200</v>
      </c>
      <c r="I2561" s="2683">
        <v>8200</v>
      </c>
      <c r="J2561" s="2683">
        <v>0.33</v>
      </c>
      <c r="K2561" s="2684"/>
      <c r="L2561" s="2683" t="s">
        <v>5922</v>
      </c>
    </row>
    <row r="2562" spans="1:12">
      <c r="A2562" s="2682" t="s">
        <v>146</v>
      </c>
      <c r="B2562" s="2682" t="s">
        <v>8717</v>
      </c>
      <c r="C2562" s="2682">
        <v>32</v>
      </c>
      <c r="D2562" s="2682">
        <v>65</v>
      </c>
      <c r="E2562" s="2682">
        <v>26</v>
      </c>
      <c r="F2562" s="2682">
        <v>71.8</v>
      </c>
      <c r="G2562" s="2682">
        <v>86.9</v>
      </c>
      <c r="H2562" s="2682">
        <v>6200</v>
      </c>
      <c r="I2562" s="2682">
        <v>8300</v>
      </c>
      <c r="J2562" s="2682">
        <v>0.40400000000000003</v>
      </c>
      <c r="L2562" s="2682" t="s">
        <v>5922</v>
      </c>
    </row>
    <row r="2563" spans="1:12">
      <c r="A2563" s="2683" t="s">
        <v>146</v>
      </c>
      <c r="B2563" s="2683" t="s">
        <v>8718</v>
      </c>
      <c r="C2563" s="2683">
        <v>32</v>
      </c>
      <c r="D2563" s="2683">
        <v>75</v>
      </c>
      <c r="E2563" s="2683">
        <v>20</v>
      </c>
      <c r="F2563" s="2683">
        <v>63.4</v>
      </c>
      <c r="G2563" s="2683">
        <v>66.3</v>
      </c>
      <c r="H2563" s="2683">
        <v>5600</v>
      </c>
      <c r="I2563" s="2683">
        <v>7400</v>
      </c>
      <c r="J2563" s="2683">
        <v>0.46500000000000002</v>
      </c>
      <c r="K2563" s="2684"/>
      <c r="L2563" s="2683" t="s">
        <v>5922</v>
      </c>
    </row>
    <row r="2564" spans="1:12">
      <c r="A2564" s="2682" t="s">
        <v>146</v>
      </c>
      <c r="B2564" s="2682" t="s">
        <v>8719</v>
      </c>
      <c r="C2564" s="2682">
        <v>32</v>
      </c>
      <c r="D2564" s="2682">
        <v>75</v>
      </c>
      <c r="E2564" s="2682">
        <v>20</v>
      </c>
      <c r="F2564" s="2682">
        <v>64.400000000000006</v>
      </c>
      <c r="G2564" s="2682">
        <v>65.599999999999994</v>
      </c>
      <c r="H2564" s="2682">
        <v>5500</v>
      </c>
      <c r="I2564" s="2682">
        <v>7300</v>
      </c>
      <c r="J2564" s="2682">
        <v>0.46100000000000002</v>
      </c>
      <c r="L2564" s="2682" t="s">
        <v>5922</v>
      </c>
    </row>
    <row r="2565" spans="1:12">
      <c r="A2565" s="2683" t="s">
        <v>146</v>
      </c>
      <c r="B2565" s="2683" t="s">
        <v>8720</v>
      </c>
      <c r="C2565" s="2683">
        <v>32</v>
      </c>
      <c r="D2565" s="2683">
        <v>75</v>
      </c>
      <c r="E2565" s="2683">
        <v>28</v>
      </c>
      <c r="F2565" s="2683">
        <v>75.099999999999994</v>
      </c>
      <c r="G2565" s="2683">
        <v>87.1</v>
      </c>
      <c r="H2565" s="2683">
        <v>5600</v>
      </c>
      <c r="I2565" s="2683">
        <v>7400</v>
      </c>
      <c r="J2565" s="2683">
        <v>0.64900000000000002</v>
      </c>
      <c r="K2565" s="2684"/>
      <c r="L2565" s="2683" t="s">
        <v>5922</v>
      </c>
    </row>
    <row r="2566" spans="1:12">
      <c r="A2566" s="2682" t="s">
        <v>146</v>
      </c>
      <c r="B2566" s="2682" t="s">
        <v>8721</v>
      </c>
      <c r="C2566" s="2682">
        <v>32</v>
      </c>
      <c r="D2566" s="2682">
        <v>75</v>
      </c>
      <c r="E2566" s="2682">
        <v>28</v>
      </c>
      <c r="F2566" s="2682">
        <v>89.6</v>
      </c>
      <c r="G2566" s="2682">
        <v>101</v>
      </c>
      <c r="H2566" s="2682">
        <v>5600</v>
      </c>
      <c r="I2566" s="2682">
        <v>7400</v>
      </c>
      <c r="J2566" s="2682">
        <v>0.65</v>
      </c>
      <c r="L2566" s="2682" t="s">
        <v>5922</v>
      </c>
    </row>
    <row r="2567" spans="1:12">
      <c r="A2567" s="2683" t="s">
        <v>146</v>
      </c>
      <c r="B2567" s="2683" t="s">
        <v>8722</v>
      </c>
      <c r="C2567" s="2683">
        <v>35</v>
      </c>
      <c r="D2567" s="2683">
        <v>55</v>
      </c>
      <c r="E2567" s="2683">
        <v>14</v>
      </c>
      <c r="F2567" s="2683">
        <v>27.8</v>
      </c>
      <c r="G2567" s="2683">
        <v>39.6</v>
      </c>
      <c r="H2567" s="2683">
        <v>6600</v>
      </c>
      <c r="I2567" s="2683">
        <v>8800</v>
      </c>
      <c r="J2567" s="2683">
        <v>0.122</v>
      </c>
      <c r="K2567" s="2684"/>
      <c r="L2567" s="2683" t="s">
        <v>5922</v>
      </c>
    </row>
    <row r="2568" spans="1:12">
      <c r="A2568" s="2682" t="s">
        <v>146</v>
      </c>
      <c r="B2568" s="2682" t="s">
        <v>8722</v>
      </c>
      <c r="C2568" s="2682">
        <v>35</v>
      </c>
      <c r="D2568" s="2682">
        <v>55</v>
      </c>
      <c r="E2568" s="2682">
        <v>14</v>
      </c>
      <c r="F2568" s="2682">
        <v>27.8</v>
      </c>
      <c r="G2568" s="2682">
        <v>39.6</v>
      </c>
      <c r="H2568" s="2682">
        <v>6600</v>
      </c>
      <c r="I2568" s="2682">
        <v>8800</v>
      </c>
      <c r="J2568" s="2682">
        <v>0.122</v>
      </c>
      <c r="L2568" s="2682" t="s">
        <v>5922</v>
      </c>
    </row>
    <row r="2569" spans="1:12">
      <c r="A2569" s="2683" t="s">
        <v>146</v>
      </c>
      <c r="B2569" s="2683" t="s">
        <v>8723</v>
      </c>
      <c r="C2569" s="2683">
        <v>35</v>
      </c>
      <c r="D2569" s="2683">
        <v>62</v>
      </c>
      <c r="E2569" s="2683">
        <v>18</v>
      </c>
      <c r="F2569" s="2683">
        <v>45.5</v>
      </c>
      <c r="G2569" s="2683">
        <v>59.4</v>
      </c>
      <c r="H2569" s="2683">
        <v>6200</v>
      </c>
      <c r="I2569" s="2683">
        <v>8200</v>
      </c>
      <c r="J2569" s="2683">
        <v>0.23100000000000001</v>
      </c>
      <c r="K2569" s="2684"/>
      <c r="L2569" s="2683" t="s">
        <v>5922</v>
      </c>
    </row>
    <row r="2570" spans="1:12">
      <c r="A2570" s="2682" t="s">
        <v>146</v>
      </c>
      <c r="B2570" s="2682" t="s">
        <v>8724</v>
      </c>
      <c r="C2570" s="2682">
        <v>35</v>
      </c>
      <c r="D2570" s="2682">
        <v>62</v>
      </c>
      <c r="E2570" s="2682">
        <v>21</v>
      </c>
      <c r="F2570" s="2682">
        <v>51.3</v>
      </c>
      <c r="G2570" s="2682">
        <v>68</v>
      </c>
      <c r="H2570" s="2682">
        <v>6200</v>
      </c>
      <c r="I2570" s="2682">
        <v>8200</v>
      </c>
      <c r="J2570" s="2682">
        <v>0.26300000000000001</v>
      </c>
      <c r="L2570" s="2682" t="s">
        <v>5922</v>
      </c>
    </row>
    <row r="2571" spans="1:12">
      <c r="A2571" s="2683" t="s">
        <v>146</v>
      </c>
      <c r="B2571" s="2683" t="s">
        <v>8725</v>
      </c>
      <c r="C2571" s="2683">
        <v>35</v>
      </c>
      <c r="D2571" s="2683">
        <v>72</v>
      </c>
      <c r="E2571" s="2683">
        <v>17</v>
      </c>
      <c r="F2571" s="2683">
        <v>52.9</v>
      </c>
      <c r="G2571" s="2683">
        <v>56.2</v>
      </c>
      <c r="H2571" s="2683">
        <v>5700</v>
      </c>
      <c r="I2571" s="2683">
        <v>7600</v>
      </c>
      <c r="J2571" s="2683">
        <v>0.35</v>
      </c>
      <c r="K2571" s="2684"/>
      <c r="L2571" s="2683" t="s">
        <v>5922</v>
      </c>
    </row>
    <row r="2572" spans="1:12">
      <c r="A2572" s="2682" t="s">
        <v>146</v>
      </c>
      <c r="B2572" s="2682" t="s">
        <v>8726</v>
      </c>
      <c r="C2572" s="2682">
        <v>35</v>
      </c>
      <c r="D2572" s="2682">
        <v>72</v>
      </c>
      <c r="E2572" s="2682">
        <v>17</v>
      </c>
      <c r="F2572" s="2682">
        <v>55.1</v>
      </c>
      <c r="G2572" s="2682">
        <v>60.9</v>
      </c>
      <c r="H2572" s="2682">
        <v>5600</v>
      </c>
      <c r="I2572" s="2682">
        <v>7400</v>
      </c>
      <c r="J2572" s="2682">
        <v>0.34399999999999997</v>
      </c>
      <c r="L2572" s="2682" t="s">
        <v>5922</v>
      </c>
    </row>
    <row r="2573" spans="1:12">
      <c r="A2573" s="2683" t="s">
        <v>146</v>
      </c>
      <c r="B2573" s="2683" t="s">
        <v>8727</v>
      </c>
      <c r="C2573" s="2683">
        <v>35</v>
      </c>
      <c r="D2573" s="2683">
        <v>72</v>
      </c>
      <c r="E2573" s="2683">
        <v>23</v>
      </c>
      <c r="F2573" s="2683">
        <v>69</v>
      </c>
      <c r="G2573" s="2683">
        <v>86.6</v>
      </c>
      <c r="H2573" s="2683">
        <v>5700</v>
      </c>
      <c r="I2573" s="2683">
        <v>7600</v>
      </c>
      <c r="J2573" s="2683">
        <v>0.46500000000000002</v>
      </c>
      <c r="K2573" s="2684"/>
      <c r="L2573" s="2683" t="s">
        <v>5922</v>
      </c>
    </row>
    <row r="2574" spans="1:12">
      <c r="A2574" s="2682" t="s">
        <v>146</v>
      </c>
      <c r="B2574" s="2682" t="s">
        <v>8728</v>
      </c>
      <c r="C2574" s="2682">
        <v>35</v>
      </c>
      <c r="D2574" s="2682">
        <v>72</v>
      </c>
      <c r="E2574" s="2682">
        <v>23</v>
      </c>
      <c r="F2574" s="2682">
        <v>69.599999999999994</v>
      </c>
      <c r="G2574" s="2682">
        <v>82.4</v>
      </c>
      <c r="H2574" s="2682">
        <v>5600</v>
      </c>
      <c r="I2574" s="2682">
        <v>7500</v>
      </c>
      <c r="J2574" s="2682">
        <v>0.45300000000000001</v>
      </c>
      <c r="L2574" s="2682" t="s">
        <v>5922</v>
      </c>
    </row>
    <row r="2575" spans="1:12">
      <c r="A2575" s="2683" t="s">
        <v>146</v>
      </c>
      <c r="B2575" s="2683" t="s">
        <v>8729</v>
      </c>
      <c r="C2575" s="2683">
        <v>35</v>
      </c>
      <c r="D2575" s="2683">
        <v>72</v>
      </c>
      <c r="E2575" s="2683">
        <v>28</v>
      </c>
      <c r="F2575" s="2683">
        <v>87.6</v>
      </c>
      <c r="G2575" s="2683">
        <v>107</v>
      </c>
      <c r="H2575" s="2683">
        <v>5700</v>
      </c>
      <c r="I2575" s="2683">
        <v>7500</v>
      </c>
      <c r="J2575" s="2683">
        <v>0.55100000000000005</v>
      </c>
      <c r="K2575" s="2684"/>
      <c r="L2575" s="2683" t="s">
        <v>5922</v>
      </c>
    </row>
    <row r="2576" spans="1:12">
      <c r="A2576" s="2682" t="s">
        <v>146</v>
      </c>
      <c r="B2576" s="2682" t="s">
        <v>8730</v>
      </c>
      <c r="C2576" s="2682">
        <v>35</v>
      </c>
      <c r="D2576" s="2682">
        <v>80</v>
      </c>
      <c r="E2576" s="2682">
        <v>21</v>
      </c>
      <c r="F2576" s="2682">
        <v>63.1</v>
      </c>
      <c r="G2576" s="2682">
        <v>69.099999999999994</v>
      </c>
      <c r="H2576" s="2682">
        <v>4300</v>
      </c>
      <c r="I2576" s="2682">
        <v>6000</v>
      </c>
      <c r="J2576" s="2682">
        <v>0.53600000000000003</v>
      </c>
      <c r="L2576" s="2682" t="s">
        <v>5922</v>
      </c>
    </row>
    <row r="2577" spans="1:12">
      <c r="A2577" s="2683" t="s">
        <v>146</v>
      </c>
      <c r="B2577" s="2683" t="s">
        <v>8731</v>
      </c>
      <c r="C2577" s="2683">
        <v>35</v>
      </c>
      <c r="D2577" s="2683">
        <v>80</v>
      </c>
      <c r="E2577" s="2683">
        <v>21</v>
      </c>
      <c r="F2577" s="2683">
        <v>69.8</v>
      </c>
      <c r="G2577" s="2683">
        <v>77.8</v>
      </c>
      <c r="H2577" s="2683">
        <v>5200</v>
      </c>
      <c r="I2577" s="2683">
        <v>7000</v>
      </c>
      <c r="J2577" s="2683">
        <v>0.56000000000000005</v>
      </c>
      <c r="K2577" s="2684"/>
      <c r="L2577" s="2683" t="s">
        <v>5922</v>
      </c>
    </row>
    <row r="2578" spans="1:12">
      <c r="A2578" s="2682" t="s">
        <v>146</v>
      </c>
      <c r="B2578" s="2682" t="s">
        <v>8732</v>
      </c>
      <c r="C2578" s="2682">
        <v>35</v>
      </c>
      <c r="D2578" s="2682">
        <v>80</v>
      </c>
      <c r="E2578" s="2682">
        <v>21</v>
      </c>
      <c r="F2578" s="2682">
        <v>76.2</v>
      </c>
      <c r="G2578" s="2682">
        <v>78.900000000000006</v>
      </c>
      <c r="H2578" s="2682">
        <v>5200</v>
      </c>
      <c r="I2578" s="2682">
        <v>6900</v>
      </c>
      <c r="J2578" s="2682">
        <v>0.52700000000000002</v>
      </c>
      <c r="L2578" s="2682" t="s">
        <v>5922</v>
      </c>
    </row>
    <row r="2579" spans="1:12">
      <c r="A2579" s="2683" t="s">
        <v>146</v>
      </c>
      <c r="B2579" s="2683" t="s">
        <v>8733</v>
      </c>
      <c r="C2579" s="2683">
        <v>35</v>
      </c>
      <c r="D2579" s="2683">
        <v>80</v>
      </c>
      <c r="E2579" s="2683">
        <v>31</v>
      </c>
      <c r="F2579" s="2683">
        <v>96.9</v>
      </c>
      <c r="G2579" s="2683">
        <v>123</v>
      </c>
      <c r="H2579" s="2683">
        <v>5200</v>
      </c>
      <c r="I2579" s="2683">
        <v>7000</v>
      </c>
      <c r="J2579" s="2683">
        <v>0.83</v>
      </c>
      <c r="K2579" s="2684"/>
      <c r="L2579" s="2683" t="s">
        <v>5922</v>
      </c>
    </row>
    <row r="2580" spans="1:12">
      <c r="A2580" s="2682" t="s">
        <v>146</v>
      </c>
      <c r="B2580" s="2682" t="s">
        <v>8734</v>
      </c>
      <c r="C2580" s="2682">
        <v>35</v>
      </c>
      <c r="D2580" s="2682">
        <v>80</v>
      </c>
      <c r="E2580" s="2682">
        <v>31</v>
      </c>
      <c r="F2580" s="2682">
        <v>101</v>
      </c>
      <c r="G2580" s="2682">
        <v>114</v>
      </c>
      <c r="H2580" s="2682">
        <v>5300</v>
      </c>
      <c r="I2580" s="2682">
        <v>7000</v>
      </c>
      <c r="J2580" s="2682">
        <v>0.77600000000000002</v>
      </c>
      <c r="L2580" s="2682" t="s">
        <v>5922</v>
      </c>
    </row>
    <row r="2581" spans="1:12">
      <c r="A2581" s="2683" t="s">
        <v>146</v>
      </c>
      <c r="B2581" s="2683" t="s">
        <v>8735</v>
      </c>
      <c r="C2581" s="2683">
        <v>40</v>
      </c>
      <c r="D2581" s="2683">
        <v>62</v>
      </c>
      <c r="E2581" s="2683">
        <v>15</v>
      </c>
      <c r="F2581" s="2683">
        <v>33.5</v>
      </c>
      <c r="G2581" s="2683">
        <v>48.5</v>
      </c>
      <c r="H2581" s="2683">
        <v>5900</v>
      </c>
      <c r="I2581" s="2683">
        <v>7800</v>
      </c>
      <c r="J2581" s="2683">
        <v>0.16400000000000001</v>
      </c>
      <c r="K2581" s="2684"/>
      <c r="L2581" s="2683" t="s">
        <v>5922</v>
      </c>
    </row>
    <row r="2582" spans="1:12">
      <c r="A2582" s="2682" t="s">
        <v>146</v>
      </c>
      <c r="B2582" s="2682" t="s">
        <v>8736</v>
      </c>
      <c r="C2582" s="2682">
        <v>40</v>
      </c>
      <c r="D2582" s="2682">
        <v>68</v>
      </c>
      <c r="E2582" s="2682">
        <v>19</v>
      </c>
      <c r="F2582" s="2682">
        <v>53.5</v>
      </c>
      <c r="G2582" s="2682">
        <v>71.400000000000006</v>
      </c>
      <c r="H2582" s="2682">
        <v>5600</v>
      </c>
      <c r="I2582" s="2682">
        <v>7400</v>
      </c>
      <c r="J2582" s="2682">
        <v>0.28199999999999997</v>
      </c>
      <c r="L2582" s="2682" t="s">
        <v>5922</v>
      </c>
    </row>
    <row r="2583" spans="1:12">
      <c r="A2583" s="2683" t="s">
        <v>146</v>
      </c>
      <c r="B2583" s="2683" t="s">
        <v>8737</v>
      </c>
      <c r="C2583" s="2683">
        <v>40</v>
      </c>
      <c r="D2583" s="2683">
        <v>68</v>
      </c>
      <c r="E2583" s="2683">
        <v>22</v>
      </c>
      <c r="F2583" s="2683">
        <v>60.4</v>
      </c>
      <c r="G2583" s="2683">
        <v>84.6</v>
      </c>
      <c r="H2583" s="2683">
        <v>5500</v>
      </c>
      <c r="I2583" s="2683">
        <v>7400</v>
      </c>
      <c r="J2583" s="2683">
        <v>0.32600000000000001</v>
      </c>
      <c r="K2583" s="2684"/>
      <c r="L2583" s="2683" t="s">
        <v>5922</v>
      </c>
    </row>
    <row r="2584" spans="1:12">
      <c r="A2584" s="2682" t="s">
        <v>146</v>
      </c>
      <c r="B2584" s="2682" t="s">
        <v>8738</v>
      </c>
      <c r="C2584" s="2682">
        <v>40</v>
      </c>
      <c r="D2584" s="2682">
        <v>75</v>
      </c>
      <c r="E2584" s="2682">
        <v>26</v>
      </c>
      <c r="F2584" s="2682">
        <v>82.2</v>
      </c>
      <c r="G2584" s="2682">
        <v>108</v>
      </c>
      <c r="H2584" s="2682">
        <v>5200</v>
      </c>
      <c r="I2584" s="2682">
        <v>6900</v>
      </c>
      <c r="J2584" s="2682">
        <v>0.50800000000000001</v>
      </c>
      <c r="L2584" s="2682" t="s">
        <v>5922</v>
      </c>
    </row>
    <row r="2585" spans="1:12">
      <c r="A2585" s="2683" t="s">
        <v>146</v>
      </c>
      <c r="B2585" s="2683" t="s">
        <v>8739</v>
      </c>
      <c r="C2585" s="2683">
        <v>40</v>
      </c>
      <c r="D2585" s="2683">
        <v>80</v>
      </c>
      <c r="E2585" s="2683">
        <v>18</v>
      </c>
      <c r="F2585" s="2683">
        <v>61.4</v>
      </c>
      <c r="G2585" s="2683">
        <v>67.400000000000006</v>
      </c>
      <c r="H2585" s="2683">
        <v>5000</v>
      </c>
      <c r="I2585" s="2683">
        <v>6700</v>
      </c>
      <c r="J2585" s="2683">
        <v>0.44500000000000001</v>
      </c>
      <c r="K2585" s="2684"/>
      <c r="L2585" s="2683" t="s">
        <v>5922</v>
      </c>
    </row>
    <row r="2586" spans="1:12">
      <c r="A2586" s="2682" t="s">
        <v>146</v>
      </c>
      <c r="B2586" s="2682" t="s">
        <v>8740</v>
      </c>
      <c r="C2586" s="2682">
        <v>40</v>
      </c>
      <c r="D2586" s="2682">
        <v>80</v>
      </c>
      <c r="E2586" s="2682">
        <v>18</v>
      </c>
      <c r="F2586" s="2682">
        <v>62.9</v>
      </c>
      <c r="G2586" s="2682">
        <v>69.2</v>
      </c>
      <c r="H2586" s="2682">
        <v>5000</v>
      </c>
      <c r="I2586" s="2682">
        <v>6700</v>
      </c>
      <c r="J2586" s="2682">
        <v>0.434</v>
      </c>
      <c r="L2586" s="2682" t="s">
        <v>5922</v>
      </c>
    </row>
    <row r="2587" spans="1:12">
      <c r="A2587" s="2683" t="s">
        <v>146</v>
      </c>
      <c r="B2587" s="2683" t="s">
        <v>8741</v>
      </c>
      <c r="C2587" s="2683">
        <v>40</v>
      </c>
      <c r="D2587" s="2683">
        <v>80</v>
      </c>
      <c r="E2587" s="2683">
        <v>23</v>
      </c>
      <c r="F2587" s="2683">
        <v>78.5</v>
      </c>
      <c r="G2587" s="2683">
        <v>93.1</v>
      </c>
      <c r="H2587" s="2683">
        <v>5000</v>
      </c>
      <c r="I2587" s="2683">
        <v>6700</v>
      </c>
      <c r="J2587" s="2683">
        <v>0.56999999999999995</v>
      </c>
      <c r="K2587" s="2684"/>
      <c r="L2587" s="2683" t="s">
        <v>5922</v>
      </c>
    </row>
    <row r="2588" spans="1:12">
      <c r="A2588" s="2682" t="s">
        <v>146</v>
      </c>
      <c r="B2588" s="2682" t="s">
        <v>8742</v>
      </c>
      <c r="C2588" s="2682">
        <v>40</v>
      </c>
      <c r="D2588" s="2682">
        <v>80</v>
      </c>
      <c r="E2588" s="2682">
        <v>23</v>
      </c>
      <c r="F2588" s="2682">
        <v>77.7</v>
      </c>
      <c r="G2588" s="2682">
        <v>90.8</v>
      </c>
      <c r="H2588" s="2682">
        <v>5000</v>
      </c>
      <c r="I2588" s="2682">
        <v>6600</v>
      </c>
      <c r="J2588" s="2682">
        <v>0.55400000000000005</v>
      </c>
      <c r="L2588" s="2682" t="s">
        <v>5922</v>
      </c>
    </row>
    <row r="2589" spans="1:12">
      <c r="A2589" s="2683" t="s">
        <v>146</v>
      </c>
      <c r="B2589" s="2683" t="s">
        <v>8743</v>
      </c>
      <c r="C2589" s="2683">
        <v>40</v>
      </c>
      <c r="D2589" s="2683">
        <v>80</v>
      </c>
      <c r="E2589" s="2683">
        <v>32</v>
      </c>
      <c r="F2589" s="2683">
        <v>108</v>
      </c>
      <c r="G2589" s="2683">
        <v>139</v>
      </c>
      <c r="H2589" s="2683">
        <v>5000</v>
      </c>
      <c r="I2589" s="2683">
        <v>6700</v>
      </c>
      <c r="J2589" s="2683">
        <v>0.75800000000000001</v>
      </c>
      <c r="K2589" s="2684"/>
      <c r="L2589" s="2683" t="s">
        <v>5922</v>
      </c>
    </row>
    <row r="2590" spans="1:12">
      <c r="A2590" s="2682" t="s">
        <v>146</v>
      </c>
      <c r="B2590" s="2682" t="s">
        <v>8744</v>
      </c>
      <c r="C2590" s="2682">
        <v>40</v>
      </c>
      <c r="D2590" s="2682">
        <v>85</v>
      </c>
      <c r="E2590" s="2682">
        <v>33</v>
      </c>
      <c r="F2590" s="2682">
        <v>114</v>
      </c>
      <c r="G2590" s="2682">
        <v>143</v>
      </c>
      <c r="H2590" s="2682">
        <v>4800</v>
      </c>
      <c r="I2590" s="2682">
        <v>6400</v>
      </c>
      <c r="J2590" s="2682">
        <v>0.9</v>
      </c>
      <c r="L2590" s="2682" t="s">
        <v>5922</v>
      </c>
    </row>
    <row r="2591" spans="1:12">
      <c r="A2591" s="2683" t="s">
        <v>146</v>
      </c>
      <c r="B2591" s="2683" t="s">
        <v>8745</v>
      </c>
      <c r="C2591" s="2683">
        <v>40</v>
      </c>
      <c r="D2591" s="2683">
        <v>90</v>
      </c>
      <c r="E2591" s="2683">
        <v>23</v>
      </c>
      <c r="F2591" s="2683">
        <v>80.5</v>
      </c>
      <c r="G2591" s="2683">
        <v>90.2</v>
      </c>
      <c r="H2591" s="2683">
        <v>3800</v>
      </c>
      <c r="I2591" s="2683">
        <v>5300</v>
      </c>
      <c r="J2591" s="2683">
        <v>0.75700000000000001</v>
      </c>
      <c r="K2591" s="2684"/>
      <c r="L2591" s="2683" t="s">
        <v>5922</v>
      </c>
    </row>
    <row r="2592" spans="1:12">
      <c r="A2592" s="2682" t="s">
        <v>146</v>
      </c>
      <c r="B2592" s="2682" t="s">
        <v>8746</v>
      </c>
      <c r="C2592" s="2682">
        <v>40</v>
      </c>
      <c r="D2592" s="2682">
        <v>90</v>
      </c>
      <c r="E2592" s="2682">
        <v>23</v>
      </c>
      <c r="F2592" s="2682">
        <v>87.3</v>
      </c>
      <c r="G2592" s="2682">
        <v>98.5</v>
      </c>
      <c r="H2592" s="2682">
        <v>4600</v>
      </c>
      <c r="I2592" s="2682">
        <v>6100</v>
      </c>
      <c r="J2592" s="2682">
        <v>0.78</v>
      </c>
      <c r="L2592" s="2682" t="s">
        <v>5922</v>
      </c>
    </row>
    <row r="2593" spans="1:12">
      <c r="A2593" s="2683" t="s">
        <v>146</v>
      </c>
      <c r="B2593" s="2683" t="s">
        <v>8747</v>
      </c>
      <c r="C2593" s="2683">
        <v>40</v>
      </c>
      <c r="D2593" s="2683">
        <v>90</v>
      </c>
      <c r="E2593" s="2683">
        <v>23</v>
      </c>
      <c r="F2593" s="2683">
        <v>90.6</v>
      </c>
      <c r="G2593" s="2683">
        <v>101</v>
      </c>
      <c r="H2593" s="2683">
        <v>4500</v>
      </c>
      <c r="I2593" s="2683">
        <v>6100</v>
      </c>
      <c r="J2593" s="2683">
        <v>0.75700000000000001</v>
      </c>
      <c r="K2593" s="2684"/>
      <c r="L2593" s="2683" t="s">
        <v>5922</v>
      </c>
    </row>
    <row r="2594" spans="1:12">
      <c r="A2594" s="2682" t="s">
        <v>146</v>
      </c>
      <c r="B2594" s="2682" t="s">
        <v>8748</v>
      </c>
      <c r="C2594" s="2682">
        <v>40</v>
      </c>
      <c r="D2594" s="2682">
        <v>90</v>
      </c>
      <c r="E2594" s="2682">
        <v>33</v>
      </c>
      <c r="F2594" s="2682">
        <v>112</v>
      </c>
      <c r="G2594" s="2682">
        <v>138</v>
      </c>
      <c r="H2594" s="2682">
        <v>4700</v>
      </c>
      <c r="I2594" s="2682">
        <v>6200</v>
      </c>
      <c r="J2594" s="2682">
        <v>1.1000000000000001</v>
      </c>
      <c r="L2594" s="2682" t="s">
        <v>5922</v>
      </c>
    </row>
    <row r="2595" spans="1:12">
      <c r="A2595" s="2683" t="s">
        <v>146</v>
      </c>
      <c r="B2595" s="2683" t="s">
        <v>8749</v>
      </c>
      <c r="C2595" s="2683">
        <v>40</v>
      </c>
      <c r="D2595" s="2683">
        <v>90</v>
      </c>
      <c r="E2595" s="2683">
        <v>33</v>
      </c>
      <c r="F2595" s="2683">
        <v>116</v>
      </c>
      <c r="G2595" s="2683">
        <v>139</v>
      </c>
      <c r="H2595" s="2683">
        <v>4600</v>
      </c>
      <c r="I2595" s="2683">
        <v>6200</v>
      </c>
      <c r="J2595" s="2683">
        <v>1.06</v>
      </c>
      <c r="K2595" s="2684"/>
      <c r="L2595" s="2683" t="s">
        <v>5922</v>
      </c>
    </row>
    <row r="2596" spans="1:12">
      <c r="A2596" s="2682" t="s">
        <v>146</v>
      </c>
      <c r="B2596" s="2682" t="s">
        <v>8750</v>
      </c>
      <c r="C2596" s="2682">
        <v>45</v>
      </c>
      <c r="D2596" s="2682">
        <v>68</v>
      </c>
      <c r="E2596" s="2682">
        <v>15</v>
      </c>
      <c r="F2596" s="2682">
        <v>34.700000000000003</v>
      </c>
      <c r="G2596" s="2682">
        <v>52.4</v>
      </c>
      <c r="H2596" s="2682">
        <v>5300</v>
      </c>
      <c r="I2596" s="2682">
        <v>7100</v>
      </c>
      <c r="J2596" s="2682">
        <v>0.19</v>
      </c>
      <c r="L2596" s="2682" t="s">
        <v>5922</v>
      </c>
    </row>
    <row r="2597" spans="1:12">
      <c r="A2597" s="2683" t="s">
        <v>146</v>
      </c>
      <c r="B2597" s="2683" t="s">
        <v>8751</v>
      </c>
      <c r="C2597" s="2683">
        <v>45</v>
      </c>
      <c r="D2597" s="2683">
        <v>75</v>
      </c>
      <c r="E2597" s="2683">
        <v>20</v>
      </c>
      <c r="F2597" s="2683">
        <v>62.8</v>
      </c>
      <c r="G2597" s="2683">
        <v>86.5</v>
      </c>
      <c r="H2597" s="2683">
        <v>5000</v>
      </c>
      <c r="I2597" s="2683">
        <v>6600</v>
      </c>
      <c r="J2597" s="2683">
        <v>0.35399999999999998</v>
      </c>
      <c r="K2597" s="2684"/>
      <c r="L2597" s="2683" t="s">
        <v>5922</v>
      </c>
    </row>
    <row r="2598" spans="1:12">
      <c r="A2598" s="2682" t="s">
        <v>146</v>
      </c>
      <c r="B2598" s="2682" t="s">
        <v>8752</v>
      </c>
      <c r="C2598" s="2682">
        <v>45</v>
      </c>
      <c r="D2598" s="2682">
        <v>75</v>
      </c>
      <c r="E2598" s="2682">
        <v>24</v>
      </c>
      <c r="F2598" s="2682">
        <v>69.599999999999994</v>
      </c>
      <c r="G2598" s="2682">
        <v>101</v>
      </c>
      <c r="H2598" s="2682">
        <v>5000</v>
      </c>
      <c r="I2598" s="2682">
        <v>6700</v>
      </c>
      <c r="J2598" s="2682">
        <v>0.41599999999999998</v>
      </c>
      <c r="L2598" s="2682" t="s">
        <v>5922</v>
      </c>
    </row>
    <row r="2599" spans="1:12">
      <c r="A2599" s="2683" t="s">
        <v>146</v>
      </c>
      <c r="B2599" s="2683" t="s">
        <v>8753</v>
      </c>
      <c r="C2599" s="2683">
        <v>45</v>
      </c>
      <c r="D2599" s="2683">
        <v>80</v>
      </c>
      <c r="E2599" s="2683">
        <v>26</v>
      </c>
      <c r="F2599" s="2683">
        <v>87.5</v>
      </c>
      <c r="G2599" s="2683">
        <v>120</v>
      </c>
      <c r="H2599" s="2683">
        <v>4800</v>
      </c>
      <c r="I2599" s="2683">
        <v>6400</v>
      </c>
      <c r="J2599" s="2683">
        <v>0.56299999999999994</v>
      </c>
      <c r="K2599" s="2684"/>
      <c r="L2599" s="2683" t="s">
        <v>5922</v>
      </c>
    </row>
    <row r="2600" spans="1:12">
      <c r="A2600" s="2682" t="s">
        <v>146</v>
      </c>
      <c r="B2600" s="2682" t="s">
        <v>8754</v>
      </c>
      <c r="C2600" s="2682">
        <v>45</v>
      </c>
      <c r="D2600" s="2682">
        <v>85</v>
      </c>
      <c r="E2600" s="2682">
        <v>19</v>
      </c>
      <c r="F2600" s="2682">
        <v>69.400000000000006</v>
      </c>
      <c r="G2600" s="2682">
        <v>81.5</v>
      </c>
      <c r="H2600" s="2682">
        <v>4600</v>
      </c>
      <c r="I2600" s="2682">
        <v>6100</v>
      </c>
      <c r="J2600" s="2682">
        <v>0.5</v>
      </c>
      <c r="L2600" s="2682" t="s">
        <v>5922</v>
      </c>
    </row>
    <row r="2601" spans="1:12">
      <c r="A2601" s="2683" t="s">
        <v>146</v>
      </c>
      <c r="B2601" s="2683" t="s">
        <v>8755</v>
      </c>
      <c r="C2601" s="2683">
        <v>45</v>
      </c>
      <c r="D2601" s="2683">
        <v>85</v>
      </c>
      <c r="E2601" s="2683">
        <v>19</v>
      </c>
      <c r="F2601" s="2683">
        <v>67.2</v>
      </c>
      <c r="G2601" s="2683">
        <v>77.400000000000006</v>
      </c>
      <c r="H2601" s="2683">
        <v>4600</v>
      </c>
      <c r="I2601" s="2683">
        <v>6100</v>
      </c>
      <c r="J2601" s="2683">
        <v>0.502</v>
      </c>
      <c r="K2601" s="2684"/>
      <c r="L2601" s="2683" t="s">
        <v>5922</v>
      </c>
    </row>
    <row r="2602" spans="1:12">
      <c r="A2602" s="2682" t="s">
        <v>146</v>
      </c>
      <c r="B2602" s="2682" t="s">
        <v>8756</v>
      </c>
      <c r="C2602" s="2682">
        <v>45</v>
      </c>
      <c r="D2602" s="2682">
        <v>85</v>
      </c>
      <c r="E2602" s="2682">
        <v>23</v>
      </c>
      <c r="F2602" s="2682">
        <v>80.7</v>
      </c>
      <c r="G2602" s="2682">
        <v>102</v>
      </c>
      <c r="H2602" s="2682">
        <v>4600</v>
      </c>
      <c r="I2602" s="2682">
        <v>6200</v>
      </c>
      <c r="J2602" s="2682">
        <v>0.625</v>
      </c>
      <c r="L2602" s="2682" t="s">
        <v>5922</v>
      </c>
    </row>
    <row r="2603" spans="1:12">
      <c r="A2603" s="2683" t="s">
        <v>146</v>
      </c>
      <c r="B2603" s="2683" t="s">
        <v>8757</v>
      </c>
      <c r="C2603" s="2683">
        <v>45</v>
      </c>
      <c r="D2603" s="2683">
        <v>85</v>
      </c>
      <c r="E2603" s="2683">
        <v>23</v>
      </c>
      <c r="F2603" s="2683">
        <v>84.2</v>
      </c>
      <c r="G2603" s="2683">
        <v>104</v>
      </c>
      <c r="H2603" s="2683">
        <v>4600</v>
      </c>
      <c r="I2603" s="2683">
        <v>6100</v>
      </c>
      <c r="J2603" s="2683">
        <v>0.59699999999999998</v>
      </c>
      <c r="K2603" s="2684"/>
      <c r="L2603" s="2683" t="s">
        <v>5922</v>
      </c>
    </row>
    <row r="2604" spans="1:12">
      <c r="A2604" s="2682" t="s">
        <v>146</v>
      </c>
      <c r="B2604" s="2682" t="s">
        <v>8758</v>
      </c>
      <c r="C2604" s="2682">
        <v>45</v>
      </c>
      <c r="D2604" s="2682">
        <v>85</v>
      </c>
      <c r="E2604" s="2682">
        <v>32</v>
      </c>
      <c r="F2604" s="2682">
        <v>112</v>
      </c>
      <c r="G2604" s="2682">
        <v>149</v>
      </c>
      <c r="H2604" s="2682">
        <v>4600</v>
      </c>
      <c r="I2604" s="2682">
        <v>6200</v>
      </c>
      <c r="J2604" s="2682">
        <v>0.81799999999999995</v>
      </c>
      <c r="L2604" s="2682" t="s">
        <v>5922</v>
      </c>
    </row>
    <row r="2605" spans="1:12">
      <c r="A2605" s="2683" t="s">
        <v>146</v>
      </c>
      <c r="B2605" s="2683" t="s">
        <v>8759</v>
      </c>
      <c r="C2605" s="2683">
        <v>45</v>
      </c>
      <c r="D2605" s="2683">
        <v>95</v>
      </c>
      <c r="E2605" s="2683">
        <v>29</v>
      </c>
      <c r="F2605" s="2683">
        <v>94.1</v>
      </c>
      <c r="G2605" s="2683">
        <v>118</v>
      </c>
      <c r="H2605" s="2683">
        <v>3600</v>
      </c>
      <c r="I2605" s="2683" t="s">
        <v>5922</v>
      </c>
      <c r="J2605" s="2683">
        <v>0.94299999999999995</v>
      </c>
      <c r="K2605" s="2684"/>
      <c r="L2605" s="2683" t="s">
        <v>5922</v>
      </c>
    </row>
    <row r="2606" spans="1:12">
      <c r="A2606" s="2682" t="s">
        <v>146</v>
      </c>
      <c r="B2606" s="2682" t="s">
        <v>8760</v>
      </c>
      <c r="C2606" s="2682">
        <v>45</v>
      </c>
      <c r="D2606" s="2682">
        <v>95</v>
      </c>
      <c r="E2606" s="2682">
        <v>35</v>
      </c>
      <c r="F2606" s="2682">
        <v>140</v>
      </c>
      <c r="G2606" s="2682">
        <v>177</v>
      </c>
      <c r="H2606" s="2682">
        <v>4300</v>
      </c>
      <c r="I2606" s="2682">
        <v>5700</v>
      </c>
      <c r="J2606" s="2682">
        <v>1.2</v>
      </c>
      <c r="L2606" s="2682" t="s">
        <v>5922</v>
      </c>
    </row>
    <row r="2607" spans="1:12">
      <c r="A2607" s="2683" t="s">
        <v>146</v>
      </c>
      <c r="B2607" s="2683" t="s">
        <v>8761</v>
      </c>
      <c r="C2607" s="2683">
        <v>45</v>
      </c>
      <c r="D2607" s="2683">
        <v>100</v>
      </c>
      <c r="E2607" s="2683">
        <v>25</v>
      </c>
      <c r="F2607" s="2683">
        <v>95.1</v>
      </c>
      <c r="G2607" s="2683">
        <v>107</v>
      </c>
      <c r="H2607" s="2683">
        <v>3400</v>
      </c>
      <c r="I2607" s="2683">
        <v>4700</v>
      </c>
      <c r="J2607" s="2683">
        <v>0.97299999999999998</v>
      </c>
      <c r="K2607" s="2684"/>
      <c r="L2607" s="2683" t="s">
        <v>5922</v>
      </c>
    </row>
    <row r="2608" spans="1:12">
      <c r="A2608" s="2682" t="s">
        <v>146</v>
      </c>
      <c r="B2608" s="2682" t="s">
        <v>8762</v>
      </c>
      <c r="C2608" s="2682">
        <v>45</v>
      </c>
      <c r="D2608" s="2682">
        <v>100</v>
      </c>
      <c r="E2608" s="2682">
        <v>25</v>
      </c>
      <c r="F2608" s="2682">
        <v>109</v>
      </c>
      <c r="G2608" s="2682">
        <v>119</v>
      </c>
      <c r="H2608" s="2682">
        <v>4100</v>
      </c>
      <c r="I2608" s="2682">
        <v>5500</v>
      </c>
      <c r="J2608" s="2682">
        <v>1</v>
      </c>
      <c r="L2608" s="2682" t="s">
        <v>5922</v>
      </c>
    </row>
    <row r="2609" spans="1:12">
      <c r="A2609" s="2683" t="s">
        <v>146</v>
      </c>
      <c r="B2609" s="2683" t="s">
        <v>8763</v>
      </c>
      <c r="C2609" s="2683">
        <v>45</v>
      </c>
      <c r="D2609" s="2683">
        <v>100</v>
      </c>
      <c r="E2609" s="2683">
        <v>25</v>
      </c>
      <c r="F2609" s="2683">
        <v>113</v>
      </c>
      <c r="G2609" s="2683">
        <v>128</v>
      </c>
      <c r="H2609" s="2683">
        <v>4100</v>
      </c>
      <c r="I2609" s="2683">
        <v>5400</v>
      </c>
      <c r="J2609" s="2683">
        <v>1.01</v>
      </c>
      <c r="K2609" s="2684"/>
      <c r="L2609" s="2683" t="s">
        <v>5922</v>
      </c>
    </row>
    <row r="2610" spans="1:12">
      <c r="A2610" s="2682" t="s">
        <v>146</v>
      </c>
      <c r="B2610" s="2682" t="s">
        <v>8764</v>
      </c>
      <c r="C2610" s="2682">
        <v>45</v>
      </c>
      <c r="D2610" s="2682">
        <v>100</v>
      </c>
      <c r="E2610" s="2682">
        <v>36</v>
      </c>
      <c r="F2610" s="2682">
        <v>145</v>
      </c>
      <c r="G2610" s="2682">
        <v>182</v>
      </c>
      <c r="H2610" s="2682">
        <v>4200</v>
      </c>
      <c r="I2610" s="2682">
        <v>5600</v>
      </c>
      <c r="J2610" s="2682">
        <v>1.45</v>
      </c>
      <c r="L2610" s="2682" t="s">
        <v>5922</v>
      </c>
    </row>
    <row r="2611" spans="1:12">
      <c r="A2611" s="2683" t="s">
        <v>146</v>
      </c>
      <c r="B2611" s="2683" t="s">
        <v>8765</v>
      </c>
      <c r="C2611" s="2683">
        <v>45</v>
      </c>
      <c r="D2611" s="2683">
        <v>100</v>
      </c>
      <c r="E2611" s="2683">
        <v>38.25</v>
      </c>
      <c r="F2611" s="2683">
        <v>146</v>
      </c>
      <c r="G2611" s="2683">
        <v>180</v>
      </c>
      <c r="H2611" s="2683">
        <v>4100</v>
      </c>
      <c r="I2611" s="2683">
        <v>5500</v>
      </c>
      <c r="J2611" s="2683">
        <v>1.43</v>
      </c>
      <c r="K2611" s="2684"/>
      <c r="L2611" s="2683" t="s">
        <v>5922</v>
      </c>
    </row>
    <row r="2612" spans="1:12">
      <c r="A2612" s="2682" t="s">
        <v>146</v>
      </c>
      <c r="B2612" s="2682" t="s">
        <v>8766</v>
      </c>
      <c r="C2612" s="2682">
        <v>50</v>
      </c>
      <c r="D2612" s="2682">
        <v>72</v>
      </c>
      <c r="E2612" s="2682">
        <v>15</v>
      </c>
      <c r="F2612" s="2682">
        <v>35.9</v>
      </c>
      <c r="G2612" s="2682">
        <v>56.3</v>
      </c>
      <c r="H2612" s="2682">
        <v>4900</v>
      </c>
      <c r="I2612" s="2682">
        <v>6600</v>
      </c>
      <c r="J2612" s="2682">
        <v>0.19500000000000001</v>
      </c>
      <c r="L2612" s="2682" t="s">
        <v>5922</v>
      </c>
    </row>
    <row r="2613" spans="1:12">
      <c r="A2613" s="2683" t="s">
        <v>146</v>
      </c>
      <c r="B2613" s="2683" t="s">
        <v>8766</v>
      </c>
      <c r="C2613" s="2683">
        <v>50</v>
      </c>
      <c r="D2613" s="2683">
        <v>72</v>
      </c>
      <c r="E2613" s="2683">
        <v>15</v>
      </c>
      <c r="F2613" s="2683">
        <v>35.9</v>
      </c>
      <c r="G2613" s="2683">
        <v>56.3</v>
      </c>
      <c r="H2613" s="2683">
        <v>4900</v>
      </c>
      <c r="I2613" s="2683">
        <v>6600</v>
      </c>
      <c r="J2613" s="2683">
        <v>0.19500000000000001</v>
      </c>
      <c r="K2613" s="2684"/>
      <c r="L2613" s="2683" t="s">
        <v>5922</v>
      </c>
    </row>
    <row r="2614" spans="1:12">
      <c r="A2614" s="2682" t="s">
        <v>146</v>
      </c>
      <c r="B2614" s="2682" t="s">
        <v>8767</v>
      </c>
      <c r="C2614" s="2682">
        <v>50</v>
      </c>
      <c r="D2614" s="2682">
        <v>80</v>
      </c>
      <c r="E2614" s="2682">
        <v>20</v>
      </c>
      <c r="F2614" s="2682">
        <v>65.7</v>
      </c>
      <c r="G2614" s="2682">
        <v>94.5</v>
      </c>
      <c r="H2614" s="2682">
        <v>4600</v>
      </c>
      <c r="I2614" s="2682">
        <v>6100</v>
      </c>
      <c r="J2614" s="2682">
        <v>0.38900000000000001</v>
      </c>
      <c r="L2614" s="2682" t="s">
        <v>5922</v>
      </c>
    </row>
    <row r="2615" spans="1:12">
      <c r="A2615" s="2683" t="s">
        <v>146</v>
      </c>
      <c r="B2615" s="2683" t="s">
        <v>8768</v>
      </c>
      <c r="C2615" s="2683">
        <v>50</v>
      </c>
      <c r="D2615" s="2683">
        <v>80</v>
      </c>
      <c r="E2615" s="2683">
        <v>24</v>
      </c>
      <c r="F2615" s="2683">
        <v>73</v>
      </c>
      <c r="G2615" s="2683">
        <v>110</v>
      </c>
      <c r="H2615" s="2683">
        <v>4600</v>
      </c>
      <c r="I2615" s="2683">
        <v>6100</v>
      </c>
      <c r="J2615" s="2683">
        <v>0.45100000000000001</v>
      </c>
      <c r="K2615" s="2684"/>
      <c r="L2615" s="2683" t="s">
        <v>5922</v>
      </c>
    </row>
    <row r="2616" spans="1:12">
      <c r="A2616" s="2682" t="s">
        <v>146</v>
      </c>
      <c r="B2616" s="2682" t="s">
        <v>8769</v>
      </c>
      <c r="C2616" s="2682">
        <v>50</v>
      </c>
      <c r="D2616" s="2682">
        <v>85</v>
      </c>
      <c r="E2616" s="2682">
        <v>26</v>
      </c>
      <c r="F2616" s="2682">
        <v>89.4</v>
      </c>
      <c r="G2616" s="2682">
        <v>127</v>
      </c>
      <c r="H2616" s="2682">
        <v>4400</v>
      </c>
      <c r="I2616" s="2682">
        <v>5900</v>
      </c>
      <c r="J2616" s="2682">
        <v>0.59399999999999997</v>
      </c>
      <c r="L2616" s="2682" t="s">
        <v>5922</v>
      </c>
    </row>
    <row r="2617" spans="1:12">
      <c r="A2617" s="2683" t="s">
        <v>146</v>
      </c>
      <c r="B2617" s="2683" t="s">
        <v>8770</v>
      </c>
      <c r="C2617" s="2683">
        <v>50</v>
      </c>
      <c r="D2617" s="2683">
        <v>90</v>
      </c>
      <c r="E2617" s="2683">
        <v>20</v>
      </c>
      <c r="F2617" s="2683">
        <v>77.2</v>
      </c>
      <c r="G2617" s="2683">
        <v>95.8</v>
      </c>
      <c r="H2617" s="2683">
        <v>4300</v>
      </c>
      <c r="I2617" s="2683">
        <v>5700</v>
      </c>
      <c r="J2617" s="2683">
        <v>0.59</v>
      </c>
      <c r="K2617" s="2684"/>
      <c r="L2617" s="2683" t="s">
        <v>5922</v>
      </c>
    </row>
    <row r="2618" spans="1:12">
      <c r="A2618" s="2682" t="s">
        <v>146</v>
      </c>
      <c r="B2618" s="2682" t="s">
        <v>8771</v>
      </c>
      <c r="C2618" s="2682">
        <v>50</v>
      </c>
      <c r="D2618" s="2682">
        <v>90</v>
      </c>
      <c r="E2618" s="2682">
        <v>20</v>
      </c>
      <c r="F2618" s="2682">
        <v>76.5</v>
      </c>
      <c r="G2618" s="2682">
        <v>91.7</v>
      </c>
      <c r="H2618" s="2682">
        <v>4300</v>
      </c>
      <c r="I2618" s="2682">
        <v>5700</v>
      </c>
      <c r="J2618" s="2682">
        <v>0.56599999999999995</v>
      </c>
      <c r="L2618" s="2682" t="s">
        <v>5922</v>
      </c>
    </row>
    <row r="2619" spans="1:12">
      <c r="A2619" s="2683" t="s">
        <v>146</v>
      </c>
      <c r="B2619" s="2683" t="s">
        <v>8772</v>
      </c>
      <c r="C2619" s="2683">
        <v>50</v>
      </c>
      <c r="D2619" s="2683">
        <v>90</v>
      </c>
      <c r="E2619" s="2683">
        <v>23</v>
      </c>
      <c r="F2619" s="2683">
        <v>84.5</v>
      </c>
      <c r="G2619" s="2683">
        <v>113</v>
      </c>
      <c r="H2619" s="2683">
        <v>4300</v>
      </c>
      <c r="I2619" s="2683">
        <v>5700</v>
      </c>
      <c r="J2619" s="2683">
        <v>0.67500000000000004</v>
      </c>
      <c r="K2619" s="2684"/>
      <c r="L2619" s="2683" t="s">
        <v>5922</v>
      </c>
    </row>
    <row r="2620" spans="1:12">
      <c r="A2620" s="2682" t="s">
        <v>146</v>
      </c>
      <c r="B2620" s="2682" t="s">
        <v>8773</v>
      </c>
      <c r="C2620" s="2682">
        <v>50</v>
      </c>
      <c r="D2620" s="2682">
        <v>90</v>
      </c>
      <c r="E2620" s="2682">
        <v>23</v>
      </c>
      <c r="F2620" s="2682">
        <v>85</v>
      </c>
      <c r="G2620" s="2682">
        <v>105</v>
      </c>
      <c r="H2620" s="2682">
        <v>4300</v>
      </c>
      <c r="I2620" s="2682">
        <v>5700</v>
      </c>
      <c r="J2620" s="2682">
        <v>0.64300000000000002</v>
      </c>
      <c r="L2620" s="2682" t="s">
        <v>5922</v>
      </c>
    </row>
    <row r="2621" spans="1:12">
      <c r="A2621" s="2683" t="s">
        <v>146</v>
      </c>
      <c r="B2621" s="2683" t="s">
        <v>8774</v>
      </c>
      <c r="C2621" s="2683">
        <v>50</v>
      </c>
      <c r="D2621" s="2683">
        <v>90</v>
      </c>
      <c r="E2621" s="2683">
        <v>32</v>
      </c>
      <c r="F2621" s="2683">
        <v>119</v>
      </c>
      <c r="G2621" s="2683">
        <v>167</v>
      </c>
      <c r="H2621" s="2683">
        <v>4300</v>
      </c>
      <c r="I2621" s="2683">
        <v>5700</v>
      </c>
      <c r="J2621" s="2683">
        <v>0.88700000000000001</v>
      </c>
      <c r="K2621" s="2684"/>
      <c r="L2621" s="2683" t="s">
        <v>5922</v>
      </c>
    </row>
    <row r="2622" spans="1:12">
      <c r="A2622" s="2682" t="s">
        <v>146</v>
      </c>
      <c r="B2622" s="2682" t="s">
        <v>8775</v>
      </c>
      <c r="C2622" s="2682">
        <v>50</v>
      </c>
      <c r="D2622" s="2682">
        <v>100</v>
      </c>
      <c r="E2622" s="2682">
        <v>35</v>
      </c>
      <c r="F2622" s="2682">
        <v>157</v>
      </c>
      <c r="G2622" s="2682">
        <v>196</v>
      </c>
      <c r="H2622" s="2682">
        <v>4100</v>
      </c>
      <c r="I2622" s="2682">
        <v>5400</v>
      </c>
      <c r="J2622" s="2682">
        <v>1.28</v>
      </c>
      <c r="L2622" s="2682" t="s">
        <v>5922</v>
      </c>
    </row>
    <row r="2623" spans="1:12">
      <c r="A2623" s="2683" t="s">
        <v>146</v>
      </c>
      <c r="B2623" s="2683" t="s">
        <v>8776</v>
      </c>
      <c r="C2623" s="2683">
        <v>50</v>
      </c>
      <c r="D2623" s="2683">
        <v>105</v>
      </c>
      <c r="E2623" s="2683">
        <v>29</v>
      </c>
      <c r="F2623" s="2683">
        <v>113</v>
      </c>
      <c r="G2623" s="2683">
        <v>140</v>
      </c>
      <c r="H2623" s="2683">
        <v>3300</v>
      </c>
      <c r="I2623" s="2683">
        <v>4600</v>
      </c>
      <c r="J2623" s="2683">
        <v>1.25</v>
      </c>
      <c r="K2623" s="2684"/>
      <c r="L2623" s="2683" t="s">
        <v>5922</v>
      </c>
    </row>
    <row r="2624" spans="1:12">
      <c r="A2624" s="2682" t="s">
        <v>146</v>
      </c>
      <c r="B2624" s="2682" t="s">
        <v>8777</v>
      </c>
      <c r="C2624" s="2682">
        <v>50</v>
      </c>
      <c r="D2624" s="2682">
        <v>110</v>
      </c>
      <c r="E2624" s="2682">
        <v>27</v>
      </c>
      <c r="F2624" s="2682">
        <v>115</v>
      </c>
      <c r="G2624" s="2682">
        <v>133</v>
      </c>
      <c r="H2624" s="2682">
        <v>3100</v>
      </c>
      <c r="I2624" s="2682">
        <v>4300</v>
      </c>
      <c r="J2624" s="2682">
        <v>1.25</v>
      </c>
      <c r="L2624" s="2682" t="s">
        <v>5922</v>
      </c>
    </row>
    <row r="2625" spans="1:12">
      <c r="A2625" s="2683" t="s">
        <v>146</v>
      </c>
      <c r="B2625" s="2683" t="s">
        <v>8778</v>
      </c>
      <c r="C2625" s="2683">
        <v>50</v>
      </c>
      <c r="D2625" s="2683">
        <v>110</v>
      </c>
      <c r="E2625" s="2683">
        <v>27</v>
      </c>
      <c r="F2625" s="2683">
        <v>124</v>
      </c>
      <c r="G2625" s="2683">
        <v>143</v>
      </c>
      <c r="H2625" s="2683">
        <v>3700</v>
      </c>
      <c r="I2625" s="2683">
        <v>4900</v>
      </c>
      <c r="J2625" s="2683">
        <v>1.25</v>
      </c>
      <c r="K2625" s="2684"/>
      <c r="L2625" s="2683" t="s">
        <v>5922</v>
      </c>
    </row>
    <row r="2626" spans="1:12">
      <c r="A2626" s="2682" t="s">
        <v>146</v>
      </c>
      <c r="B2626" s="2682" t="s">
        <v>8779</v>
      </c>
      <c r="C2626" s="2682">
        <v>50</v>
      </c>
      <c r="D2626" s="2682">
        <v>110</v>
      </c>
      <c r="E2626" s="2682">
        <v>27</v>
      </c>
      <c r="F2626" s="2682">
        <v>137</v>
      </c>
      <c r="G2626" s="2682">
        <v>152</v>
      </c>
      <c r="H2626" s="2682">
        <v>3700</v>
      </c>
      <c r="I2626" s="2682">
        <v>4900</v>
      </c>
      <c r="J2626" s="2682">
        <v>1.32</v>
      </c>
      <c r="L2626" s="2682" t="s">
        <v>5922</v>
      </c>
    </row>
    <row r="2627" spans="1:12">
      <c r="A2627" s="2683" t="s">
        <v>146</v>
      </c>
      <c r="B2627" s="2683" t="s">
        <v>8780</v>
      </c>
      <c r="C2627" s="2683">
        <v>50</v>
      </c>
      <c r="D2627" s="2683">
        <v>110</v>
      </c>
      <c r="E2627" s="2683">
        <v>40</v>
      </c>
      <c r="F2627" s="2683">
        <v>171</v>
      </c>
      <c r="G2627" s="2683">
        <v>234</v>
      </c>
      <c r="H2627" s="2683">
        <v>3800</v>
      </c>
      <c r="I2627" s="2683">
        <v>5100</v>
      </c>
      <c r="J2627" s="2683">
        <v>2</v>
      </c>
      <c r="K2627" s="2684"/>
      <c r="L2627" s="2683" t="s">
        <v>5922</v>
      </c>
    </row>
    <row r="2628" spans="1:12">
      <c r="A2628" s="2682" t="s">
        <v>146</v>
      </c>
      <c r="B2628" s="2682" t="s">
        <v>8781</v>
      </c>
      <c r="C2628" s="2682">
        <v>50</v>
      </c>
      <c r="D2628" s="2682">
        <v>110</v>
      </c>
      <c r="E2628" s="2682">
        <v>33</v>
      </c>
      <c r="F2628" s="2682">
        <v>176</v>
      </c>
      <c r="G2628" s="2682">
        <v>220</v>
      </c>
      <c r="H2628" s="2682">
        <v>3700</v>
      </c>
      <c r="I2628" s="2682">
        <v>5000</v>
      </c>
      <c r="J2628" s="2682">
        <v>1.89</v>
      </c>
      <c r="L2628" s="2682" t="s">
        <v>5922</v>
      </c>
    </row>
    <row r="2629" spans="1:12">
      <c r="A2629" s="2683" t="s">
        <v>146</v>
      </c>
      <c r="B2629" s="2683" t="s">
        <v>8782</v>
      </c>
      <c r="C2629" s="2683">
        <v>55</v>
      </c>
      <c r="D2629" s="2683">
        <v>80</v>
      </c>
      <c r="E2629" s="2683">
        <v>17</v>
      </c>
      <c r="F2629" s="2683">
        <v>44.6</v>
      </c>
      <c r="G2629" s="2683">
        <v>73.3</v>
      </c>
      <c r="H2629" s="2683">
        <v>4400</v>
      </c>
      <c r="I2629" s="2683">
        <v>5900</v>
      </c>
      <c r="J2629" s="2683">
        <v>0.28499999999999998</v>
      </c>
      <c r="K2629" s="2684"/>
      <c r="L2629" s="2683" t="s">
        <v>5922</v>
      </c>
    </row>
    <row r="2630" spans="1:12">
      <c r="A2630" s="2682" t="s">
        <v>146</v>
      </c>
      <c r="B2630" s="2682" t="s">
        <v>8783</v>
      </c>
      <c r="C2630" s="2682">
        <v>55</v>
      </c>
      <c r="D2630" s="2682">
        <v>90</v>
      </c>
      <c r="E2630" s="2682">
        <v>23</v>
      </c>
      <c r="F2630" s="2682">
        <v>84.6</v>
      </c>
      <c r="G2630" s="2682">
        <v>121</v>
      </c>
      <c r="H2630" s="2682">
        <v>4100</v>
      </c>
      <c r="I2630" s="2682">
        <v>5500</v>
      </c>
      <c r="J2630" s="2682">
        <v>0.56899999999999995</v>
      </c>
      <c r="L2630" s="2682" t="s">
        <v>5922</v>
      </c>
    </row>
    <row r="2631" spans="1:12">
      <c r="A2631" s="2683" t="s">
        <v>146</v>
      </c>
      <c r="B2631" s="2683" t="s">
        <v>8784</v>
      </c>
      <c r="C2631" s="2683">
        <v>55</v>
      </c>
      <c r="D2631" s="2683">
        <v>90</v>
      </c>
      <c r="E2631" s="2683">
        <v>27</v>
      </c>
      <c r="F2631" s="2683">
        <v>96.5</v>
      </c>
      <c r="G2631" s="2683">
        <v>149</v>
      </c>
      <c r="H2631" s="2683">
        <v>4100</v>
      </c>
      <c r="I2631" s="2683">
        <v>5400</v>
      </c>
      <c r="J2631" s="2683">
        <v>0.67200000000000004</v>
      </c>
      <c r="K2631" s="2684"/>
      <c r="L2631" s="2683" t="s">
        <v>5922</v>
      </c>
    </row>
    <row r="2632" spans="1:12">
      <c r="A2632" s="2682" t="s">
        <v>146</v>
      </c>
      <c r="B2632" s="2682" t="s">
        <v>8785</v>
      </c>
      <c r="C2632" s="2682">
        <v>55</v>
      </c>
      <c r="D2632" s="2682">
        <v>95</v>
      </c>
      <c r="E2632" s="2682">
        <v>30</v>
      </c>
      <c r="F2632" s="2682">
        <v>116</v>
      </c>
      <c r="G2632" s="2682">
        <v>161</v>
      </c>
      <c r="H2632" s="2682">
        <v>4000</v>
      </c>
      <c r="I2632" s="2682">
        <v>5300</v>
      </c>
      <c r="J2632" s="2682">
        <v>0.86799999999999999</v>
      </c>
      <c r="L2632" s="2682" t="s">
        <v>5922</v>
      </c>
    </row>
    <row r="2633" spans="1:12">
      <c r="A2633" s="2683" t="s">
        <v>146</v>
      </c>
      <c r="B2633" s="2683" t="s">
        <v>8786</v>
      </c>
      <c r="C2633" s="2683">
        <v>55</v>
      </c>
      <c r="D2633" s="2683">
        <v>100</v>
      </c>
      <c r="E2633" s="2683">
        <v>21</v>
      </c>
      <c r="F2633" s="2683">
        <v>89.6</v>
      </c>
      <c r="G2633" s="2683">
        <v>108</v>
      </c>
      <c r="H2633" s="2683">
        <v>3900</v>
      </c>
      <c r="I2633" s="2683">
        <v>5200</v>
      </c>
      <c r="J2633" s="2683">
        <v>0.75</v>
      </c>
      <c r="K2633" s="2684"/>
      <c r="L2633" s="2683" t="s">
        <v>5922</v>
      </c>
    </row>
    <row r="2634" spans="1:12">
      <c r="A2634" s="2682" t="s">
        <v>146</v>
      </c>
      <c r="B2634" s="2682" t="s">
        <v>8787</v>
      </c>
      <c r="C2634" s="2682">
        <v>55</v>
      </c>
      <c r="D2634" s="2682">
        <v>100</v>
      </c>
      <c r="E2634" s="2682">
        <v>21</v>
      </c>
      <c r="F2634" s="2682">
        <v>94.6</v>
      </c>
      <c r="G2634" s="2682">
        <v>113</v>
      </c>
      <c r="H2634" s="2682">
        <v>3900</v>
      </c>
      <c r="I2634" s="2682">
        <v>5200</v>
      </c>
      <c r="J2634" s="2682">
        <v>0.73199999999999998</v>
      </c>
      <c r="L2634" s="2682" t="s">
        <v>5922</v>
      </c>
    </row>
    <row r="2635" spans="1:12">
      <c r="A2635" s="2683" t="s">
        <v>146</v>
      </c>
      <c r="B2635" s="2683" t="s">
        <v>8788</v>
      </c>
      <c r="C2635" s="2683">
        <v>55</v>
      </c>
      <c r="D2635" s="2683">
        <v>100</v>
      </c>
      <c r="E2635" s="2683">
        <v>25</v>
      </c>
      <c r="F2635" s="2683">
        <v>107</v>
      </c>
      <c r="G2635" s="2683">
        <v>135</v>
      </c>
      <c r="H2635" s="2683">
        <v>3900</v>
      </c>
      <c r="I2635" s="2683">
        <v>5200</v>
      </c>
      <c r="J2635" s="2683">
        <v>0.875</v>
      </c>
      <c r="K2635" s="2684"/>
      <c r="L2635" s="2683" t="s">
        <v>5922</v>
      </c>
    </row>
    <row r="2636" spans="1:12">
      <c r="A2636" s="2682" t="s">
        <v>146</v>
      </c>
      <c r="B2636" s="2682" t="s">
        <v>8789</v>
      </c>
      <c r="C2636" s="2682">
        <v>55</v>
      </c>
      <c r="D2636" s="2682">
        <v>100</v>
      </c>
      <c r="E2636" s="2682">
        <v>25</v>
      </c>
      <c r="F2636" s="2682">
        <v>107</v>
      </c>
      <c r="G2636" s="2682">
        <v>133</v>
      </c>
      <c r="H2636" s="2682">
        <v>3900</v>
      </c>
      <c r="I2636" s="2682">
        <v>5200</v>
      </c>
      <c r="J2636" s="2682">
        <v>0.86299999999999999</v>
      </c>
      <c r="L2636" s="2682" t="s">
        <v>5922</v>
      </c>
    </row>
    <row r="2637" spans="1:12">
      <c r="A2637" s="2683" t="s">
        <v>146</v>
      </c>
      <c r="B2637" s="2683" t="s">
        <v>8790</v>
      </c>
      <c r="C2637" s="2683">
        <v>55</v>
      </c>
      <c r="D2637" s="2683">
        <v>100</v>
      </c>
      <c r="E2637" s="2683">
        <v>35</v>
      </c>
      <c r="F2637" s="2683">
        <v>142</v>
      </c>
      <c r="G2637" s="2683">
        <v>189</v>
      </c>
      <c r="H2637" s="2683">
        <v>3900</v>
      </c>
      <c r="I2637" s="2683">
        <v>5200</v>
      </c>
      <c r="J2637" s="2683">
        <v>1.18</v>
      </c>
      <c r="K2637" s="2684"/>
      <c r="L2637" s="2683" t="s">
        <v>5922</v>
      </c>
    </row>
    <row r="2638" spans="1:12">
      <c r="A2638" s="2682" t="s">
        <v>146</v>
      </c>
      <c r="B2638" s="2682" t="s">
        <v>8791</v>
      </c>
      <c r="C2638" s="2682">
        <v>55</v>
      </c>
      <c r="D2638" s="2682">
        <v>115</v>
      </c>
      <c r="E2638" s="2682">
        <v>31</v>
      </c>
      <c r="F2638" s="2682">
        <v>129</v>
      </c>
      <c r="G2638" s="2682">
        <v>164</v>
      </c>
      <c r="H2638" s="2682">
        <v>3000</v>
      </c>
      <c r="I2638" s="2682">
        <v>4200</v>
      </c>
      <c r="J2638" s="2682">
        <v>1.59</v>
      </c>
      <c r="L2638" s="2682" t="s">
        <v>5922</v>
      </c>
    </row>
    <row r="2639" spans="1:12">
      <c r="A2639" s="2683" t="s">
        <v>146</v>
      </c>
      <c r="B2639" s="2683" t="s">
        <v>8792</v>
      </c>
      <c r="C2639" s="2683">
        <v>55</v>
      </c>
      <c r="D2639" s="2683">
        <v>120</v>
      </c>
      <c r="E2639" s="2683">
        <v>29</v>
      </c>
      <c r="F2639" s="2683">
        <v>129</v>
      </c>
      <c r="G2639" s="2683">
        <v>148</v>
      </c>
      <c r="H2639" s="2683">
        <v>2900</v>
      </c>
      <c r="I2639" s="2683">
        <v>4000</v>
      </c>
      <c r="J2639" s="2683">
        <v>1.59</v>
      </c>
      <c r="K2639" s="2684"/>
      <c r="L2639" s="2683" t="s">
        <v>5922</v>
      </c>
    </row>
    <row r="2640" spans="1:12">
      <c r="A2640" s="2682" t="s">
        <v>146</v>
      </c>
      <c r="B2640" s="2682" t="s">
        <v>8793</v>
      </c>
      <c r="C2640" s="2682">
        <v>55</v>
      </c>
      <c r="D2640" s="2682">
        <v>120</v>
      </c>
      <c r="E2640" s="2682">
        <v>29</v>
      </c>
      <c r="F2640" s="2682">
        <v>144</v>
      </c>
      <c r="G2640" s="2682">
        <v>161</v>
      </c>
      <c r="H2640" s="2682">
        <v>3400</v>
      </c>
      <c r="I2640" s="2682">
        <v>4500</v>
      </c>
      <c r="J2640" s="2682">
        <v>1.58</v>
      </c>
      <c r="L2640" s="2682" t="s">
        <v>5922</v>
      </c>
    </row>
    <row r="2641" spans="1:12">
      <c r="A2641" s="2683" t="s">
        <v>146</v>
      </c>
      <c r="B2641" s="2683" t="s">
        <v>8794</v>
      </c>
      <c r="C2641" s="2683">
        <v>55</v>
      </c>
      <c r="D2641" s="2683">
        <v>120</v>
      </c>
      <c r="E2641" s="2683">
        <v>29</v>
      </c>
      <c r="F2641" s="2683">
        <v>149</v>
      </c>
      <c r="G2641" s="2683">
        <v>170</v>
      </c>
      <c r="H2641" s="2683">
        <v>3300</v>
      </c>
      <c r="I2641" s="2683">
        <v>4500</v>
      </c>
      <c r="J2641" s="2683">
        <v>1.65</v>
      </c>
      <c r="K2641" s="2684"/>
      <c r="L2641" s="2683" t="s">
        <v>5922</v>
      </c>
    </row>
    <row r="2642" spans="1:12">
      <c r="A2642" s="2682" t="s">
        <v>146</v>
      </c>
      <c r="B2642" s="2682" t="s">
        <v>8795</v>
      </c>
      <c r="C2642" s="2682">
        <v>55</v>
      </c>
      <c r="D2642" s="2682">
        <v>120</v>
      </c>
      <c r="E2642" s="2682">
        <v>43</v>
      </c>
      <c r="F2642" s="2682">
        <v>184</v>
      </c>
      <c r="G2642" s="2682">
        <v>247</v>
      </c>
      <c r="H2642" s="2682">
        <v>3400</v>
      </c>
      <c r="I2642" s="2682">
        <v>4600</v>
      </c>
      <c r="J2642" s="2682">
        <v>2.4500000000000002</v>
      </c>
      <c r="L2642" s="2682" t="s">
        <v>5922</v>
      </c>
    </row>
    <row r="2643" spans="1:12">
      <c r="A2643" s="2683" t="s">
        <v>146</v>
      </c>
      <c r="B2643" s="2683" t="s">
        <v>8796</v>
      </c>
      <c r="C2643" s="2683">
        <v>55</v>
      </c>
      <c r="D2643" s="2683">
        <v>120</v>
      </c>
      <c r="E2643" s="2683">
        <v>43</v>
      </c>
      <c r="F2643" s="2683">
        <v>171</v>
      </c>
      <c r="G2643" s="2683">
        <v>203</v>
      </c>
      <c r="H2643" s="2683">
        <v>3400</v>
      </c>
      <c r="I2643" s="2683">
        <v>4500</v>
      </c>
      <c r="J2643" s="2683">
        <v>2.2400000000000002</v>
      </c>
      <c r="K2643" s="2684"/>
      <c r="L2643" s="2683" t="s">
        <v>5922</v>
      </c>
    </row>
    <row r="2644" spans="1:12">
      <c r="A2644" s="2682" t="s">
        <v>146</v>
      </c>
      <c r="B2644" s="2682" t="s">
        <v>8797</v>
      </c>
      <c r="C2644" s="2682">
        <v>55</v>
      </c>
      <c r="D2644" s="2682">
        <v>120</v>
      </c>
      <c r="E2644" s="2682">
        <v>43</v>
      </c>
      <c r="F2644" s="2682">
        <v>200</v>
      </c>
      <c r="G2644" s="2682">
        <v>250</v>
      </c>
      <c r="H2644" s="2682">
        <v>3400</v>
      </c>
      <c r="I2644" s="2682">
        <v>4500</v>
      </c>
      <c r="J2644" s="2682">
        <v>2.38</v>
      </c>
      <c r="L2644" s="2682" t="s">
        <v>5922</v>
      </c>
    </row>
    <row r="2645" spans="1:12">
      <c r="A2645" s="2683" t="s">
        <v>146</v>
      </c>
      <c r="B2645" s="2683" t="s">
        <v>8798</v>
      </c>
      <c r="C2645" s="2683">
        <v>55</v>
      </c>
      <c r="D2645" s="2683">
        <v>125</v>
      </c>
      <c r="E2645" s="2683">
        <v>36</v>
      </c>
      <c r="F2645" s="2683">
        <v>135</v>
      </c>
      <c r="G2645" s="2683">
        <v>172</v>
      </c>
      <c r="H2645" s="2683">
        <v>2800</v>
      </c>
      <c r="I2645" s="2683">
        <v>3800</v>
      </c>
      <c r="J2645" s="2683">
        <v>2.1</v>
      </c>
      <c r="K2645" s="2684"/>
      <c r="L2645" s="2683" t="s">
        <v>5922</v>
      </c>
    </row>
    <row r="2646" spans="1:12">
      <c r="A2646" s="2682" t="s">
        <v>146</v>
      </c>
      <c r="B2646" s="2682" t="s">
        <v>8799</v>
      </c>
      <c r="C2646" s="2682">
        <v>60</v>
      </c>
      <c r="D2646" s="2682">
        <v>85</v>
      </c>
      <c r="E2646" s="2682">
        <v>17</v>
      </c>
      <c r="F2646" s="2682">
        <v>46.2</v>
      </c>
      <c r="G2646" s="2682">
        <v>78.2</v>
      </c>
      <c r="H2646" s="2682">
        <v>4100</v>
      </c>
      <c r="I2646" s="2682">
        <v>5500</v>
      </c>
      <c r="J2646" s="2682">
        <v>0.30599999999999999</v>
      </c>
      <c r="L2646" s="2682" t="s">
        <v>5922</v>
      </c>
    </row>
    <row r="2647" spans="1:12">
      <c r="A2647" s="2683" t="s">
        <v>146</v>
      </c>
      <c r="B2647" s="2683" t="s">
        <v>8800</v>
      </c>
      <c r="C2647" s="2683">
        <v>60</v>
      </c>
      <c r="D2647" s="2683">
        <v>95</v>
      </c>
      <c r="E2647" s="2683">
        <v>23</v>
      </c>
      <c r="F2647" s="2683">
        <v>86.1</v>
      </c>
      <c r="G2647" s="2683">
        <v>127</v>
      </c>
      <c r="H2647" s="2683">
        <v>3900</v>
      </c>
      <c r="I2647" s="2683">
        <v>5200</v>
      </c>
      <c r="J2647" s="2683">
        <v>0.621</v>
      </c>
      <c r="K2647" s="2684"/>
      <c r="L2647" s="2683" t="s">
        <v>5922</v>
      </c>
    </row>
    <row r="2648" spans="1:12">
      <c r="A2648" s="2682" t="s">
        <v>146</v>
      </c>
      <c r="B2648" s="2682" t="s">
        <v>8801</v>
      </c>
      <c r="C2648" s="2682">
        <v>60</v>
      </c>
      <c r="D2648" s="2682">
        <v>95</v>
      </c>
      <c r="E2648" s="2682">
        <v>27</v>
      </c>
      <c r="F2648" s="2682">
        <v>101</v>
      </c>
      <c r="G2648" s="2682">
        <v>162</v>
      </c>
      <c r="H2648" s="2682">
        <v>3900</v>
      </c>
      <c r="I2648" s="2682">
        <v>5200</v>
      </c>
      <c r="J2648" s="2682">
        <v>0.71899999999999997</v>
      </c>
      <c r="L2648" s="2682" t="s">
        <v>5922</v>
      </c>
    </row>
    <row r="2649" spans="1:12">
      <c r="A2649" s="2683" t="s">
        <v>146</v>
      </c>
      <c r="B2649" s="2683" t="s">
        <v>8802</v>
      </c>
      <c r="C2649" s="2683">
        <v>60</v>
      </c>
      <c r="D2649" s="2683">
        <v>100</v>
      </c>
      <c r="E2649" s="2683">
        <v>30</v>
      </c>
      <c r="F2649" s="2683">
        <v>118</v>
      </c>
      <c r="G2649" s="2683">
        <v>170</v>
      </c>
      <c r="H2649" s="2683">
        <v>3700</v>
      </c>
      <c r="I2649" s="2683">
        <v>5000</v>
      </c>
      <c r="J2649" s="2683">
        <v>0.92300000000000004</v>
      </c>
      <c r="K2649" s="2684"/>
      <c r="L2649" s="2683" t="s">
        <v>5922</v>
      </c>
    </row>
    <row r="2650" spans="1:12">
      <c r="A2650" s="2682" t="s">
        <v>146</v>
      </c>
      <c r="B2650" s="2682" t="s">
        <v>8803</v>
      </c>
      <c r="C2650" s="2682">
        <v>60</v>
      </c>
      <c r="D2650" s="2682">
        <v>110</v>
      </c>
      <c r="E2650" s="2682">
        <v>22</v>
      </c>
      <c r="F2650" s="2682">
        <v>102</v>
      </c>
      <c r="G2650" s="2682">
        <v>123</v>
      </c>
      <c r="H2650" s="2682">
        <v>3500</v>
      </c>
      <c r="I2650" s="2682">
        <v>4700</v>
      </c>
      <c r="J2650" s="2682">
        <v>0.93</v>
      </c>
      <c r="L2650" s="2682" t="s">
        <v>5922</v>
      </c>
    </row>
    <row r="2651" spans="1:12">
      <c r="A2651" s="2683" t="s">
        <v>146</v>
      </c>
      <c r="B2651" s="2683" t="s">
        <v>8804</v>
      </c>
      <c r="C2651" s="2683">
        <v>60</v>
      </c>
      <c r="D2651" s="2683">
        <v>110</v>
      </c>
      <c r="E2651" s="2683">
        <v>22</v>
      </c>
      <c r="F2651" s="2683">
        <v>106</v>
      </c>
      <c r="G2651" s="2683">
        <v>127</v>
      </c>
      <c r="H2651" s="2683">
        <v>3500</v>
      </c>
      <c r="I2651" s="2683">
        <v>4700</v>
      </c>
      <c r="J2651" s="2683">
        <v>0.94499999999999995</v>
      </c>
      <c r="K2651" s="2684"/>
      <c r="L2651" s="2683" t="s">
        <v>5922</v>
      </c>
    </row>
    <row r="2652" spans="1:12">
      <c r="A2652" s="2682" t="s">
        <v>146</v>
      </c>
      <c r="B2652" s="2682" t="s">
        <v>8805</v>
      </c>
      <c r="C2652" s="2682">
        <v>60</v>
      </c>
      <c r="D2652" s="2682">
        <v>110</v>
      </c>
      <c r="E2652" s="2682">
        <v>28</v>
      </c>
      <c r="F2652" s="2682">
        <v>128</v>
      </c>
      <c r="G2652" s="2682">
        <v>164</v>
      </c>
      <c r="H2652" s="2682">
        <v>3600</v>
      </c>
      <c r="I2652" s="2682">
        <v>4700</v>
      </c>
      <c r="J2652" s="2682">
        <v>1.2</v>
      </c>
      <c r="L2652" s="2682" t="s">
        <v>5922</v>
      </c>
    </row>
    <row r="2653" spans="1:12">
      <c r="A2653" s="2683" t="s">
        <v>146</v>
      </c>
      <c r="B2653" s="2683" t="s">
        <v>8806</v>
      </c>
      <c r="C2653" s="2683">
        <v>60</v>
      </c>
      <c r="D2653" s="2683">
        <v>110</v>
      </c>
      <c r="E2653" s="2683">
        <v>28</v>
      </c>
      <c r="F2653" s="2683">
        <v>132</v>
      </c>
      <c r="G2653" s="2683">
        <v>167</v>
      </c>
      <c r="H2653" s="2683">
        <v>3500</v>
      </c>
      <c r="I2653" s="2683">
        <v>4700</v>
      </c>
      <c r="J2653" s="2683">
        <v>1.19</v>
      </c>
      <c r="K2653" s="2684"/>
      <c r="L2653" s="2683" t="s">
        <v>5922</v>
      </c>
    </row>
    <row r="2654" spans="1:12">
      <c r="A2654" s="2682" t="s">
        <v>146</v>
      </c>
      <c r="B2654" s="2682" t="s">
        <v>8807</v>
      </c>
      <c r="C2654" s="2682">
        <v>60</v>
      </c>
      <c r="D2654" s="2682">
        <v>110</v>
      </c>
      <c r="E2654" s="2682">
        <v>38</v>
      </c>
      <c r="F2654" s="2682">
        <v>174</v>
      </c>
      <c r="G2654" s="2682">
        <v>239</v>
      </c>
      <c r="H2654" s="2682">
        <v>3600</v>
      </c>
      <c r="I2654" s="2682">
        <v>4700</v>
      </c>
      <c r="J2654" s="2682">
        <v>1.57</v>
      </c>
      <c r="L2654" s="2682" t="s">
        <v>5922</v>
      </c>
    </row>
    <row r="2655" spans="1:12">
      <c r="A2655" s="2683" t="s">
        <v>146</v>
      </c>
      <c r="B2655" s="2683" t="s">
        <v>8808</v>
      </c>
      <c r="C2655" s="2683">
        <v>60</v>
      </c>
      <c r="D2655" s="2683">
        <v>115</v>
      </c>
      <c r="E2655" s="2683">
        <v>38</v>
      </c>
      <c r="F2655" s="2683">
        <v>158</v>
      </c>
      <c r="G2655" s="2683">
        <v>227</v>
      </c>
      <c r="H2655" s="2683">
        <v>3400</v>
      </c>
      <c r="I2655" s="2683">
        <v>4600</v>
      </c>
      <c r="J2655" s="2683">
        <v>1.81</v>
      </c>
      <c r="K2655" s="2684"/>
      <c r="L2655" s="2683" t="s">
        <v>5922</v>
      </c>
    </row>
    <row r="2656" spans="1:12">
      <c r="A2656" s="2682" t="s">
        <v>146</v>
      </c>
      <c r="B2656" s="2682" t="s">
        <v>8809</v>
      </c>
      <c r="C2656" s="2682">
        <v>60</v>
      </c>
      <c r="D2656" s="2682">
        <v>115</v>
      </c>
      <c r="E2656" s="2682">
        <v>39</v>
      </c>
      <c r="F2656" s="2682">
        <v>183</v>
      </c>
      <c r="G2656" s="2682">
        <v>242</v>
      </c>
      <c r="H2656" s="2682">
        <v>3400</v>
      </c>
      <c r="I2656" s="2682">
        <v>4600</v>
      </c>
      <c r="J2656" s="2682">
        <v>1.8</v>
      </c>
      <c r="L2656" s="2682" t="s">
        <v>5922</v>
      </c>
    </row>
    <row r="2657" spans="1:12">
      <c r="A2657" s="2683" t="s">
        <v>146</v>
      </c>
      <c r="B2657" s="2683" t="s">
        <v>8810</v>
      </c>
      <c r="C2657" s="2683">
        <v>60</v>
      </c>
      <c r="D2657" s="2683">
        <v>125</v>
      </c>
      <c r="E2657" s="2683">
        <v>26</v>
      </c>
      <c r="F2657" s="2683">
        <v>153</v>
      </c>
      <c r="G2657" s="2683">
        <v>194</v>
      </c>
      <c r="H2657" s="2683">
        <v>2800</v>
      </c>
      <c r="I2657" s="2683">
        <v>3900</v>
      </c>
      <c r="J2657" s="2683">
        <v>2.0299999999999998</v>
      </c>
      <c r="K2657" s="2684"/>
      <c r="L2657" s="2683" t="s">
        <v>5922</v>
      </c>
    </row>
    <row r="2658" spans="1:12">
      <c r="A2658" s="2682" t="s">
        <v>146</v>
      </c>
      <c r="B2658" s="2682" t="s">
        <v>8811</v>
      </c>
      <c r="C2658" s="2682">
        <v>60</v>
      </c>
      <c r="D2658" s="2682">
        <v>130</v>
      </c>
      <c r="E2658" s="2682">
        <v>31</v>
      </c>
      <c r="F2658" s="2682">
        <v>153</v>
      </c>
      <c r="G2658" s="2682">
        <v>179</v>
      </c>
      <c r="H2658" s="2682">
        <v>2600</v>
      </c>
      <c r="I2658" s="2682">
        <v>3700</v>
      </c>
      <c r="J2658" s="2682">
        <v>2.0099999999999998</v>
      </c>
      <c r="L2658" s="2682" t="s">
        <v>5922</v>
      </c>
    </row>
    <row r="2659" spans="1:12">
      <c r="A2659" s="2683" t="s">
        <v>146</v>
      </c>
      <c r="B2659" s="2683" t="s">
        <v>8812</v>
      </c>
      <c r="C2659" s="2683">
        <v>60</v>
      </c>
      <c r="D2659" s="2683">
        <v>130</v>
      </c>
      <c r="E2659" s="2683">
        <v>31</v>
      </c>
      <c r="F2659" s="2683">
        <v>169</v>
      </c>
      <c r="G2659" s="2683">
        <v>196</v>
      </c>
      <c r="H2659" s="2683">
        <v>3100</v>
      </c>
      <c r="I2659" s="2683">
        <v>4200</v>
      </c>
      <c r="J2659" s="2683">
        <v>1.99</v>
      </c>
      <c r="K2659" s="2684"/>
      <c r="L2659" s="2683" t="s">
        <v>5922</v>
      </c>
    </row>
    <row r="2660" spans="1:12">
      <c r="A2660" s="2682" t="s">
        <v>146</v>
      </c>
      <c r="B2660" s="2682" t="s">
        <v>8813</v>
      </c>
      <c r="C2660" s="2682">
        <v>60</v>
      </c>
      <c r="D2660" s="2682">
        <v>130</v>
      </c>
      <c r="E2660" s="2682">
        <v>31</v>
      </c>
      <c r="F2660" s="2682">
        <v>173</v>
      </c>
      <c r="G2660" s="2682">
        <v>201</v>
      </c>
      <c r="H2660" s="2682">
        <v>3100</v>
      </c>
      <c r="I2660" s="2682">
        <v>4100</v>
      </c>
      <c r="J2660" s="2682">
        <v>2.08</v>
      </c>
      <c r="L2660" s="2682" t="s">
        <v>5922</v>
      </c>
    </row>
    <row r="2661" spans="1:12">
      <c r="A2661" s="2683" t="s">
        <v>146</v>
      </c>
      <c r="B2661" s="2683" t="s">
        <v>8814</v>
      </c>
      <c r="C2661" s="2683">
        <v>60</v>
      </c>
      <c r="D2661" s="2683">
        <v>130</v>
      </c>
      <c r="E2661" s="2683">
        <v>46</v>
      </c>
      <c r="F2661" s="2683">
        <v>229</v>
      </c>
      <c r="G2661" s="2683">
        <v>310</v>
      </c>
      <c r="H2661" s="2683">
        <v>3200</v>
      </c>
      <c r="I2661" s="2683">
        <v>4300</v>
      </c>
      <c r="J2661" s="2683">
        <v>3.15</v>
      </c>
      <c r="K2661" s="2684"/>
      <c r="L2661" s="2683" t="s">
        <v>5922</v>
      </c>
    </row>
    <row r="2662" spans="1:12">
      <c r="A2662" s="2682" t="s">
        <v>146</v>
      </c>
      <c r="B2662" s="2682" t="s">
        <v>8815</v>
      </c>
      <c r="C2662" s="2682">
        <v>60</v>
      </c>
      <c r="D2662" s="2682">
        <v>130</v>
      </c>
      <c r="E2662" s="2682">
        <v>46</v>
      </c>
      <c r="F2662" s="2682">
        <v>221</v>
      </c>
      <c r="G2662" s="2682">
        <v>275</v>
      </c>
      <c r="H2662" s="2682">
        <v>3100</v>
      </c>
      <c r="I2662" s="2682">
        <v>4200</v>
      </c>
      <c r="J2662" s="2682">
        <v>2.87</v>
      </c>
      <c r="L2662" s="2682" t="s">
        <v>5922</v>
      </c>
    </row>
    <row r="2663" spans="1:12">
      <c r="A2663" s="2683" t="s">
        <v>146</v>
      </c>
      <c r="B2663" s="2683" t="s">
        <v>8816</v>
      </c>
      <c r="C2663" s="2683">
        <v>60</v>
      </c>
      <c r="D2663" s="2683">
        <v>130</v>
      </c>
      <c r="E2663" s="2683">
        <v>46</v>
      </c>
      <c r="F2663" s="2683">
        <v>244</v>
      </c>
      <c r="G2663" s="2683">
        <v>315</v>
      </c>
      <c r="H2663" s="2683">
        <v>3100</v>
      </c>
      <c r="I2663" s="2683">
        <v>4200</v>
      </c>
      <c r="J2663" s="2683">
        <v>2.99</v>
      </c>
      <c r="K2663" s="2684"/>
      <c r="L2663" s="2683" t="s">
        <v>5922</v>
      </c>
    </row>
    <row r="2664" spans="1:12">
      <c r="A2664" s="2682" t="s">
        <v>146</v>
      </c>
      <c r="B2664" s="2682" t="s">
        <v>8817</v>
      </c>
      <c r="C2664" s="2682">
        <v>65</v>
      </c>
      <c r="D2664" s="2682">
        <v>90</v>
      </c>
      <c r="E2664" s="2682">
        <v>17</v>
      </c>
      <c r="F2664" s="2682">
        <v>47.4</v>
      </c>
      <c r="G2664" s="2682">
        <v>83.1</v>
      </c>
      <c r="H2664" s="2682">
        <v>3900</v>
      </c>
      <c r="I2664" s="2682">
        <v>5200</v>
      </c>
      <c r="J2664" s="2682">
        <v>0.32700000000000001</v>
      </c>
      <c r="L2664" s="2682" t="s">
        <v>5922</v>
      </c>
    </row>
    <row r="2665" spans="1:12">
      <c r="A2665" s="2683" t="s">
        <v>146</v>
      </c>
      <c r="B2665" s="2683" t="s">
        <v>8818</v>
      </c>
      <c r="C2665" s="2683">
        <v>65</v>
      </c>
      <c r="D2665" s="2683">
        <v>100</v>
      </c>
      <c r="E2665" s="2683">
        <v>23</v>
      </c>
      <c r="F2665" s="2683">
        <v>90</v>
      </c>
      <c r="G2665" s="2683">
        <v>137</v>
      </c>
      <c r="H2665" s="2683">
        <v>3600</v>
      </c>
      <c r="I2665" s="2683">
        <v>4800</v>
      </c>
      <c r="J2665" s="2683">
        <v>0.66400000000000003</v>
      </c>
      <c r="K2665" s="2684"/>
      <c r="L2665" s="2683" t="s">
        <v>5922</v>
      </c>
    </row>
    <row r="2666" spans="1:12">
      <c r="A2666" s="2682" t="s">
        <v>146</v>
      </c>
      <c r="B2666" s="2682" t="s">
        <v>8819</v>
      </c>
      <c r="C2666" s="2682">
        <v>65</v>
      </c>
      <c r="D2666" s="2682">
        <v>100</v>
      </c>
      <c r="E2666" s="2682">
        <v>27</v>
      </c>
      <c r="F2666" s="2682">
        <v>103</v>
      </c>
      <c r="G2666" s="2682">
        <v>169</v>
      </c>
      <c r="H2666" s="2682">
        <v>3600</v>
      </c>
      <c r="I2666" s="2682">
        <v>4800</v>
      </c>
      <c r="J2666" s="2682">
        <v>0.76200000000000001</v>
      </c>
      <c r="L2666" s="2682" t="s">
        <v>5922</v>
      </c>
    </row>
    <row r="2667" spans="1:12">
      <c r="A2667" s="2683" t="s">
        <v>146</v>
      </c>
      <c r="B2667" s="2683" t="s">
        <v>8820</v>
      </c>
      <c r="C2667" s="2683">
        <v>65</v>
      </c>
      <c r="D2667" s="2683">
        <v>110</v>
      </c>
      <c r="E2667" s="2683">
        <v>34</v>
      </c>
      <c r="F2667" s="2683">
        <v>152</v>
      </c>
      <c r="G2667" s="2683">
        <v>223</v>
      </c>
      <c r="H2667" s="2683">
        <v>3400</v>
      </c>
      <c r="I2667" s="2683">
        <v>4600</v>
      </c>
      <c r="J2667" s="2683">
        <v>1.33</v>
      </c>
      <c r="K2667" s="2684"/>
      <c r="L2667" s="2683" t="s">
        <v>5922</v>
      </c>
    </row>
    <row r="2668" spans="1:12">
      <c r="A2668" s="2682" t="s">
        <v>146</v>
      </c>
      <c r="B2668" s="2682" t="s">
        <v>8821</v>
      </c>
      <c r="C2668" s="2682">
        <v>65</v>
      </c>
      <c r="D2668" s="2682">
        <v>120</v>
      </c>
      <c r="E2668" s="2682">
        <v>23</v>
      </c>
      <c r="F2668" s="2682">
        <v>116</v>
      </c>
      <c r="G2668" s="2682">
        <v>139</v>
      </c>
      <c r="H2668" s="2682">
        <v>3200</v>
      </c>
      <c r="I2668" s="2682">
        <v>4300</v>
      </c>
      <c r="J2668" s="2682">
        <v>1.1499999999999999</v>
      </c>
      <c r="L2668" s="2682" t="s">
        <v>5922</v>
      </c>
    </row>
    <row r="2669" spans="1:12">
      <c r="A2669" s="2683" t="s">
        <v>146</v>
      </c>
      <c r="B2669" s="2683" t="s">
        <v>8822</v>
      </c>
      <c r="C2669" s="2683">
        <v>65</v>
      </c>
      <c r="D2669" s="2683">
        <v>120</v>
      </c>
      <c r="E2669" s="2683">
        <v>23</v>
      </c>
      <c r="F2669" s="2683">
        <v>128</v>
      </c>
      <c r="G2669" s="2683">
        <v>156</v>
      </c>
      <c r="H2669" s="2683">
        <v>3200</v>
      </c>
      <c r="I2669" s="2683">
        <v>4300</v>
      </c>
      <c r="J2669" s="2683">
        <v>1.18</v>
      </c>
      <c r="K2669" s="2684"/>
      <c r="L2669" s="2683" t="s">
        <v>5922</v>
      </c>
    </row>
    <row r="2670" spans="1:12">
      <c r="A2670" s="2682" t="s">
        <v>146</v>
      </c>
      <c r="B2670" s="2682" t="s">
        <v>8823</v>
      </c>
      <c r="C2670" s="2682">
        <v>65</v>
      </c>
      <c r="D2670" s="2682">
        <v>120</v>
      </c>
      <c r="E2670" s="2682">
        <v>31</v>
      </c>
      <c r="F2670" s="2682">
        <v>151</v>
      </c>
      <c r="G2670" s="2682">
        <v>198</v>
      </c>
      <c r="H2670" s="2682">
        <v>3200</v>
      </c>
      <c r="I2670" s="2682">
        <v>4300</v>
      </c>
      <c r="J2670" s="2682">
        <v>1.55</v>
      </c>
      <c r="L2670" s="2682" t="s">
        <v>5922</v>
      </c>
    </row>
    <row r="2671" spans="1:12">
      <c r="A2671" s="2683" t="s">
        <v>146</v>
      </c>
      <c r="B2671" s="2683" t="s">
        <v>8824</v>
      </c>
      <c r="C2671" s="2683">
        <v>65</v>
      </c>
      <c r="D2671" s="2683">
        <v>120</v>
      </c>
      <c r="E2671" s="2683">
        <v>31</v>
      </c>
      <c r="F2671" s="2683">
        <v>157</v>
      </c>
      <c r="G2671" s="2683">
        <v>203</v>
      </c>
      <c r="H2671" s="2683">
        <v>3200</v>
      </c>
      <c r="I2671" s="2683">
        <v>4300</v>
      </c>
      <c r="J2671" s="2683">
        <v>1.58</v>
      </c>
      <c r="K2671" s="2684"/>
      <c r="L2671" s="2683" t="s">
        <v>5922</v>
      </c>
    </row>
    <row r="2672" spans="1:12">
      <c r="A2672" s="2682" t="s">
        <v>146</v>
      </c>
      <c r="B2672" s="2682" t="s">
        <v>8825</v>
      </c>
      <c r="C2672" s="2682">
        <v>65</v>
      </c>
      <c r="D2672" s="2682">
        <v>120</v>
      </c>
      <c r="E2672" s="2682">
        <v>39</v>
      </c>
      <c r="F2672" s="2682">
        <v>151</v>
      </c>
      <c r="G2672" s="2682">
        <v>232</v>
      </c>
      <c r="H2672" s="2682">
        <v>3200</v>
      </c>
      <c r="I2672" s="2682">
        <v>4300</v>
      </c>
      <c r="J2672" s="2682">
        <v>1.93</v>
      </c>
      <c r="L2672" s="2682" t="s">
        <v>5922</v>
      </c>
    </row>
    <row r="2673" spans="1:12">
      <c r="A2673" s="2683" t="s">
        <v>146</v>
      </c>
      <c r="B2673" s="2683" t="s">
        <v>8826</v>
      </c>
      <c r="C2673" s="2683">
        <v>65</v>
      </c>
      <c r="D2673" s="2683">
        <v>120</v>
      </c>
      <c r="E2673" s="2683">
        <v>41</v>
      </c>
      <c r="F2673" s="2683">
        <v>200</v>
      </c>
      <c r="G2673" s="2683">
        <v>277</v>
      </c>
      <c r="H2673" s="2683">
        <v>3200</v>
      </c>
      <c r="I2673" s="2683">
        <v>4300</v>
      </c>
      <c r="J2673" s="2683">
        <v>2.02</v>
      </c>
      <c r="K2673" s="2684"/>
      <c r="L2673" s="2683" t="s">
        <v>5922</v>
      </c>
    </row>
    <row r="2674" spans="1:12">
      <c r="A2674" s="2682" t="s">
        <v>146</v>
      </c>
      <c r="B2674" s="2682" t="s">
        <v>8827</v>
      </c>
      <c r="C2674" s="2682">
        <v>65</v>
      </c>
      <c r="D2674" s="2682">
        <v>130</v>
      </c>
      <c r="E2674" s="2682">
        <v>37</v>
      </c>
      <c r="F2674" s="2682">
        <v>148</v>
      </c>
      <c r="G2674" s="2682">
        <v>211</v>
      </c>
      <c r="H2674" s="2682">
        <v>2600</v>
      </c>
      <c r="I2674" s="2682">
        <v>3600</v>
      </c>
      <c r="J2674" s="2682">
        <v>2.17</v>
      </c>
      <c r="L2674" s="2682" t="s">
        <v>5922</v>
      </c>
    </row>
    <row r="2675" spans="1:12">
      <c r="A2675" s="2683" t="s">
        <v>146</v>
      </c>
      <c r="B2675" s="2683" t="s">
        <v>8828</v>
      </c>
      <c r="C2675" s="2683">
        <v>65</v>
      </c>
      <c r="D2675" s="2683">
        <v>140</v>
      </c>
      <c r="E2675" s="2683">
        <v>36</v>
      </c>
      <c r="F2675" s="2683">
        <v>176</v>
      </c>
      <c r="G2675" s="2683">
        <v>209</v>
      </c>
      <c r="H2675" s="2683">
        <v>2400</v>
      </c>
      <c r="I2675" s="2683">
        <v>3400</v>
      </c>
      <c r="J2675" s="2683">
        <v>2.44</v>
      </c>
      <c r="K2675" s="2684"/>
      <c r="L2675" s="2683" t="s">
        <v>5922</v>
      </c>
    </row>
    <row r="2676" spans="1:12">
      <c r="A2676" s="2682" t="s">
        <v>146</v>
      </c>
      <c r="B2676" s="2682" t="s">
        <v>8829</v>
      </c>
      <c r="C2676" s="2682">
        <v>65</v>
      </c>
      <c r="D2676" s="2682">
        <v>140</v>
      </c>
      <c r="E2676" s="2682">
        <v>36</v>
      </c>
      <c r="F2676" s="2682">
        <v>193</v>
      </c>
      <c r="G2676" s="2682">
        <v>227</v>
      </c>
      <c r="H2676" s="2682">
        <v>2900</v>
      </c>
      <c r="I2676" s="2682">
        <v>3900</v>
      </c>
      <c r="J2676" s="2682">
        <v>2.44</v>
      </c>
      <c r="L2676" s="2682" t="s">
        <v>5922</v>
      </c>
    </row>
    <row r="2677" spans="1:12">
      <c r="A2677" s="2683" t="s">
        <v>146</v>
      </c>
      <c r="B2677" s="2683" t="s">
        <v>8830</v>
      </c>
      <c r="C2677" s="2683">
        <v>65</v>
      </c>
      <c r="D2677" s="2683">
        <v>140</v>
      </c>
      <c r="E2677" s="2683">
        <v>36</v>
      </c>
      <c r="F2677" s="2683">
        <v>204</v>
      </c>
      <c r="G2677" s="2683">
        <v>239</v>
      </c>
      <c r="H2677" s="2683">
        <v>2800</v>
      </c>
      <c r="I2677" s="2683">
        <v>3800</v>
      </c>
      <c r="J2677" s="2683">
        <v>2.56</v>
      </c>
      <c r="K2677" s="2684"/>
      <c r="L2677" s="2683" t="s">
        <v>5922</v>
      </c>
    </row>
    <row r="2678" spans="1:12">
      <c r="A2678" s="2682" t="s">
        <v>146</v>
      </c>
      <c r="B2678" s="2682" t="s">
        <v>8831</v>
      </c>
      <c r="C2678" s="2682">
        <v>65</v>
      </c>
      <c r="D2678" s="2682">
        <v>140</v>
      </c>
      <c r="E2678" s="2682">
        <v>48</v>
      </c>
      <c r="F2678" s="2682">
        <v>258</v>
      </c>
      <c r="G2678" s="2682">
        <v>361</v>
      </c>
      <c r="H2678" s="2682">
        <v>2900</v>
      </c>
      <c r="I2678" s="2682">
        <v>3900</v>
      </c>
      <c r="J2678" s="2682">
        <v>3.85</v>
      </c>
      <c r="L2678" s="2682" t="s">
        <v>5922</v>
      </c>
    </row>
    <row r="2679" spans="1:12">
      <c r="A2679" s="2683" t="s">
        <v>146</v>
      </c>
      <c r="B2679" s="2683" t="s">
        <v>8832</v>
      </c>
      <c r="C2679" s="2683">
        <v>65</v>
      </c>
      <c r="D2679" s="2683">
        <v>140</v>
      </c>
      <c r="E2679" s="2683">
        <v>48</v>
      </c>
      <c r="F2679" s="2683">
        <v>250</v>
      </c>
      <c r="G2679" s="2683">
        <v>312</v>
      </c>
      <c r="H2679" s="2683">
        <v>2900</v>
      </c>
      <c r="I2679" s="2683">
        <v>3900</v>
      </c>
      <c r="J2679" s="2683">
        <v>3.49</v>
      </c>
      <c r="K2679" s="2684"/>
      <c r="L2679" s="2683" t="s">
        <v>5922</v>
      </c>
    </row>
    <row r="2680" spans="1:12">
      <c r="A2680" s="2682" t="s">
        <v>146</v>
      </c>
      <c r="B2680" s="2682" t="s">
        <v>8833</v>
      </c>
      <c r="C2680" s="2682">
        <v>65</v>
      </c>
      <c r="D2680" s="2682">
        <v>140</v>
      </c>
      <c r="E2680" s="2682">
        <v>48</v>
      </c>
      <c r="F2680" s="2682">
        <v>276</v>
      </c>
      <c r="G2680" s="2682">
        <v>357</v>
      </c>
      <c r="H2680" s="2682">
        <v>2900</v>
      </c>
      <c r="I2680" s="2682">
        <v>3900</v>
      </c>
      <c r="J2680" s="2682">
        <v>3.64</v>
      </c>
      <c r="L2680" s="2682" t="s">
        <v>5922</v>
      </c>
    </row>
    <row r="2681" spans="1:12">
      <c r="A2681" s="2683" t="s">
        <v>146</v>
      </c>
      <c r="B2681" s="2683">
        <v>807713</v>
      </c>
      <c r="C2681" s="2683">
        <v>65</v>
      </c>
      <c r="D2681" s="2683">
        <v>150</v>
      </c>
      <c r="E2681" s="2683">
        <v>54</v>
      </c>
      <c r="F2681" s="2683">
        <v>269</v>
      </c>
      <c r="G2681" s="2683">
        <v>390</v>
      </c>
      <c r="H2681" s="2683">
        <v>2400</v>
      </c>
      <c r="I2681" s="2683">
        <v>3400</v>
      </c>
      <c r="J2681" s="2683">
        <v>4.43</v>
      </c>
      <c r="K2681" s="2684"/>
      <c r="L2681" s="2683" t="s">
        <v>5922</v>
      </c>
    </row>
    <row r="2682" spans="1:12">
      <c r="A2682" s="2682" t="s">
        <v>146</v>
      </c>
      <c r="B2682" s="2682" t="s">
        <v>8834</v>
      </c>
      <c r="C2682" s="2682">
        <v>70</v>
      </c>
      <c r="D2682" s="2682">
        <v>100</v>
      </c>
      <c r="E2682" s="2682">
        <v>20</v>
      </c>
      <c r="F2682" s="2682">
        <v>71</v>
      </c>
      <c r="G2682" s="2682">
        <v>115</v>
      </c>
      <c r="H2682" s="2682">
        <v>3500</v>
      </c>
      <c r="I2682" s="2682">
        <v>4700</v>
      </c>
      <c r="J2682" s="2682">
        <v>0.496</v>
      </c>
      <c r="L2682" s="2682" t="s">
        <v>5922</v>
      </c>
    </row>
    <row r="2683" spans="1:12">
      <c r="A2683" s="2683" t="s">
        <v>146</v>
      </c>
      <c r="B2683" s="2683" t="s">
        <v>8835</v>
      </c>
      <c r="C2683" s="2683">
        <v>70</v>
      </c>
      <c r="D2683" s="2683">
        <v>110</v>
      </c>
      <c r="E2683" s="2683">
        <v>25</v>
      </c>
      <c r="F2683" s="2683">
        <v>108</v>
      </c>
      <c r="G2683" s="2683">
        <v>163</v>
      </c>
      <c r="H2683" s="2683">
        <v>3300</v>
      </c>
      <c r="I2683" s="2683">
        <v>4400</v>
      </c>
      <c r="J2683" s="2683">
        <v>0.88400000000000001</v>
      </c>
      <c r="K2683" s="2684"/>
      <c r="L2683" s="2683" t="s">
        <v>5922</v>
      </c>
    </row>
    <row r="2684" spans="1:12">
      <c r="A2684" s="2682" t="s">
        <v>146</v>
      </c>
      <c r="B2684" s="2682" t="s">
        <v>8836</v>
      </c>
      <c r="C2684" s="2682">
        <v>70</v>
      </c>
      <c r="D2684" s="2682">
        <v>110</v>
      </c>
      <c r="E2684" s="2682">
        <v>31</v>
      </c>
      <c r="F2684" s="2682">
        <v>134</v>
      </c>
      <c r="G2684" s="2682">
        <v>208</v>
      </c>
      <c r="H2684" s="2682">
        <v>3300</v>
      </c>
      <c r="I2684" s="2682">
        <v>4400</v>
      </c>
      <c r="J2684" s="2682">
        <v>1.0900000000000001</v>
      </c>
      <c r="L2684" s="2682" t="s">
        <v>5922</v>
      </c>
    </row>
    <row r="2685" spans="1:12">
      <c r="A2685" s="2683" t="s">
        <v>146</v>
      </c>
      <c r="B2685" s="2683" t="s">
        <v>8837</v>
      </c>
      <c r="C2685" s="2683">
        <v>70</v>
      </c>
      <c r="D2685" s="2683">
        <v>120</v>
      </c>
      <c r="E2685" s="2683">
        <v>37</v>
      </c>
      <c r="F2685" s="2683">
        <v>181</v>
      </c>
      <c r="G2685" s="2683">
        <v>266</v>
      </c>
      <c r="H2685" s="2683">
        <v>3100</v>
      </c>
      <c r="I2685" s="2683">
        <v>420</v>
      </c>
      <c r="J2685" s="2683">
        <v>1.71</v>
      </c>
      <c r="K2685" s="2684"/>
      <c r="L2685" s="2683" t="s">
        <v>5922</v>
      </c>
    </row>
    <row r="2686" spans="1:12">
      <c r="A2686" s="2682" t="s">
        <v>146</v>
      </c>
      <c r="B2686" s="2682" t="s">
        <v>8838</v>
      </c>
      <c r="C2686" s="2682">
        <v>70</v>
      </c>
      <c r="D2686" s="2682">
        <v>125</v>
      </c>
      <c r="E2686" s="2682">
        <v>24</v>
      </c>
      <c r="F2686" s="2682">
        <v>126</v>
      </c>
      <c r="G2686" s="2682">
        <v>158</v>
      </c>
      <c r="H2686" s="2682">
        <v>3000</v>
      </c>
      <c r="I2686" s="2682">
        <v>4000</v>
      </c>
      <c r="J2686" s="2682">
        <v>1.3</v>
      </c>
      <c r="L2686" s="2682" t="s">
        <v>5922</v>
      </c>
    </row>
    <row r="2687" spans="1:12">
      <c r="A2687" s="2683" t="s">
        <v>146</v>
      </c>
      <c r="B2687" s="2683" t="s">
        <v>8839</v>
      </c>
      <c r="C2687" s="2683">
        <v>70</v>
      </c>
      <c r="D2687" s="2683">
        <v>125</v>
      </c>
      <c r="E2687" s="2683">
        <v>24</v>
      </c>
      <c r="F2687" s="2683">
        <v>138</v>
      </c>
      <c r="G2687" s="2683">
        <v>173</v>
      </c>
      <c r="H2687" s="2683">
        <v>3100</v>
      </c>
      <c r="I2687" s="2683">
        <v>4100</v>
      </c>
      <c r="J2687" s="2683">
        <v>1.32</v>
      </c>
      <c r="K2687" s="2684"/>
      <c r="L2687" s="2683" t="s">
        <v>5922</v>
      </c>
    </row>
    <row r="2688" spans="1:12">
      <c r="A2688" s="2682" t="s">
        <v>146</v>
      </c>
      <c r="B2688" s="2682" t="s">
        <v>8840</v>
      </c>
      <c r="C2688" s="2682">
        <v>70</v>
      </c>
      <c r="D2688" s="2682">
        <v>125</v>
      </c>
      <c r="E2688" s="2682">
        <v>31</v>
      </c>
      <c r="F2688" s="2682">
        <v>157</v>
      </c>
      <c r="G2688" s="2682">
        <v>212</v>
      </c>
      <c r="H2688" s="2682">
        <v>3100</v>
      </c>
      <c r="I2688" s="2682">
        <v>4100</v>
      </c>
      <c r="J2688" s="2682">
        <v>1.65</v>
      </c>
      <c r="L2688" s="2682" t="s">
        <v>5922</v>
      </c>
    </row>
    <row r="2689" spans="1:12">
      <c r="A2689" s="2683" t="s">
        <v>146</v>
      </c>
      <c r="B2689" s="2683" t="s">
        <v>8841</v>
      </c>
      <c r="C2689" s="2683">
        <v>70</v>
      </c>
      <c r="D2689" s="2683">
        <v>125</v>
      </c>
      <c r="E2689" s="2683">
        <v>31</v>
      </c>
      <c r="F2689" s="2683">
        <v>169</v>
      </c>
      <c r="G2689" s="2683">
        <v>225</v>
      </c>
      <c r="H2689" s="2683">
        <v>3100</v>
      </c>
      <c r="I2689" s="2683">
        <v>4100</v>
      </c>
      <c r="J2689" s="2683">
        <v>1.71</v>
      </c>
      <c r="K2689" s="2684"/>
      <c r="L2689" s="2683" t="s">
        <v>5922</v>
      </c>
    </row>
    <row r="2690" spans="1:12">
      <c r="A2690" s="2682" t="s">
        <v>146</v>
      </c>
      <c r="B2690" s="2682" t="s">
        <v>8842</v>
      </c>
      <c r="C2690" s="2682">
        <v>70</v>
      </c>
      <c r="D2690" s="2682">
        <v>125</v>
      </c>
      <c r="E2690" s="2682">
        <v>41</v>
      </c>
      <c r="F2690" s="2682">
        <v>206</v>
      </c>
      <c r="G2690" s="2682">
        <v>294</v>
      </c>
      <c r="H2690" s="2682">
        <v>3100</v>
      </c>
      <c r="I2690" s="2682">
        <v>4100</v>
      </c>
      <c r="J2690" s="2682">
        <v>2.16</v>
      </c>
      <c r="L2690" s="2682" t="s">
        <v>5922</v>
      </c>
    </row>
    <row r="2691" spans="1:12">
      <c r="A2691" s="2683" t="s">
        <v>146</v>
      </c>
      <c r="B2691" s="2683" t="s">
        <v>8843</v>
      </c>
      <c r="C2691" s="2683">
        <v>70</v>
      </c>
      <c r="D2691" s="2683">
        <v>140</v>
      </c>
      <c r="E2691" s="2683">
        <v>35.5</v>
      </c>
      <c r="F2691" s="2683">
        <v>177</v>
      </c>
      <c r="G2691" s="2683">
        <v>242</v>
      </c>
      <c r="H2691" s="2683">
        <v>2400</v>
      </c>
      <c r="I2691" s="2683">
        <v>3400</v>
      </c>
      <c r="J2691" s="2683">
        <v>2.64</v>
      </c>
      <c r="K2691" s="2684"/>
      <c r="L2691" s="2683" t="s">
        <v>5922</v>
      </c>
    </row>
    <row r="2692" spans="1:12">
      <c r="A2692" s="2682" t="s">
        <v>146</v>
      </c>
      <c r="B2692" s="2682" t="s">
        <v>8844</v>
      </c>
      <c r="C2692" s="2682">
        <v>70</v>
      </c>
      <c r="D2692" s="2682">
        <v>140</v>
      </c>
      <c r="E2692" s="2682">
        <v>61</v>
      </c>
      <c r="F2692" s="2682">
        <v>264</v>
      </c>
      <c r="G2692" s="2682">
        <v>382</v>
      </c>
      <c r="H2692" s="2682">
        <v>2900</v>
      </c>
      <c r="I2692" s="2682">
        <v>3800</v>
      </c>
      <c r="J2692" s="2682">
        <v>3.69</v>
      </c>
      <c r="L2692" s="2682" t="s">
        <v>5922</v>
      </c>
    </row>
    <row r="2693" spans="1:12">
      <c r="A2693" s="2683" t="s">
        <v>146</v>
      </c>
      <c r="B2693" s="2683" t="s">
        <v>8845</v>
      </c>
      <c r="C2693" s="2683">
        <v>70</v>
      </c>
      <c r="D2693" s="2683">
        <v>150</v>
      </c>
      <c r="E2693" s="2683">
        <v>35</v>
      </c>
      <c r="F2693" s="2683">
        <v>197</v>
      </c>
      <c r="G2693" s="2683">
        <v>235</v>
      </c>
      <c r="H2693" s="2683">
        <v>2300</v>
      </c>
      <c r="I2693" s="2683">
        <v>3200</v>
      </c>
      <c r="J2693" s="2683">
        <v>2.97</v>
      </c>
      <c r="K2693" s="2684"/>
      <c r="L2693" s="2683" t="s">
        <v>5922</v>
      </c>
    </row>
    <row r="2694" spans="1:12">
      <c r="A2694" s="2682" t="s">
        <v>146</v>
      </c>
      <c r="B2694" s="2682" t="s">
        <v>8846</v>
      </c>
      <c r="C2694" s="2682">
        <v>70</v>
      </c>
      <c r="D2694" s="2682">
        <v>150</v>
      </c>
      <c r="E2694" s="2682">
        <v>35</v>
      </c>
      <c r="F2694" s="2682">
        <v>224</v>
      </c>
      <c r="G2694" s="2682">
        <v>256</v>
      </c>
      <c r="H2694" s="2682">
        <v>2700</v>
      </c>
      <c r="I2694" s="2682">
        <v>3600</v>
      </c>
      <c r="J2694" s="2682">
        <v>3.1</v>
      </c>
      <c r="L2694" s="2682" t="s">
        <v>5922</v>
      </c>
    </row>
    <row r="2695" spans="1:12">
      <c r="A2695" s="2683" t="s">
        <v>146</v>
      </c>
      <c r="B2695" s="2683" t="s">
        <v>8847</v>
      </c>
      <c r="C2695" s="2683">
        <v>70</v>
      </c>
      <c r="D2695" s="2683">
        <v>150</v>
      </c>
      <c r="E2695" s="2683">
        <v>38</v>
      </c>
      <c r="F2695" s="2683">
        <v>230</v>
      </c>
      <c r="G2695" s="2683">
        <v>273</v>
      </c>
      <c r="H2695" s="2683">
        <v>2600</v>
      </c>
      <c r="I2695" s="2683">
        <v>3500</v>
      </c>
      <c r="J2695" s="2683">
        <v>3.08</v>
      </c>
      <c r="K2695" s="2684"/>
      <c r="L2695" s="2683" t="s">
        <v>5922</v>
      </c>
    </row>
    <row r="2696" spans="1:12">
      <c r="A2696" s="2682" t="s">
        <v>146</v>
      </c>
      <c r="B2696" s="2682" t="s">
        <v>8848</v>
      </c>
      <c r="C2696" s="2682">
        <v>70</v>
      </c>
      <c r="D2696" s="2682">
        <v>150</v>
      </c>
      <c r="E2696" s="2682">
        <v>51</v>
      </c>
      <c r="F2696" s="2682">
        <v>297</v>
      </c>
      <c r="G2696" s="2682">
        <v>391</v>
      </c>
      <c r="H2696" s="2682">
        <v>2700</v>
      </c>
      <c r="I2696" s="2682">
        <v>3600</v>
      </c>
      <c r="J2696" s="2682">
        <v>4.5</v>
      </c>
      <c r="L2696" s="2682" t="s">
        <v>5922</v>
      </c>
    </row>
    <row r="2697" spans="1:12">
      <c r="A2697" s="2683" t="s">
        <v>146</v>
      </c>
      <c r="B2697" s="2683" t="s">
        <v>8849</v>
      </c>
      <c r="C2697" s="2683">
        <v>70</v>
      </c>
      <c r="D2697" s="2683">
        <v>150</v>
      </c>
      <c r="E2697" s="2683">
        <v>61</v>
      </c>
      <c r="F2697" s="2683">
        <v>317</v>
      </c>
      <c r="G2697" s="2683">
        <v>414</v>
      </c>
      <c r="H2697" s="2683">
        <v>2700</v>
      </c>
      <c r="I2697" s="2683">
        <v>3600</v>
      </c>
      <c r="J2697" s="2683">
        <v>4.5</v>
      </c>
      <c r="K2697" s="2684"/>
      <c r="L2697" s="2683" t="s">
        <v>5922</v>
      </c>
    </row>
    <row r="2698" spans="1:12">
      <c r="A2698" s="2682" t="s">
        <v>146</v>
      </c>
      <c r="B2698" s="2682" t="s">
        <v>8850</v>
      </c>
      <c r="C2698" s="2682">
        <v>75</v>
      </c>
      <c r="D2698" s="2682">
        <v>105</v>
      </c>
      <c r="E2698" s="2682">
        <v>20</v>
      </c>
      <c r="F2698" s="2682">
        <v>73.599999999999994</v>
      </c>
      <c r="G2698" s="2682">
        <v>123</v>
      </c>
      <c r="H2698" s="2682">
        <v>3300</v>
      </c>
      <c r="I2698" s="2682">
        <v>4400</v>
      </c>
      <c r="J2698" s="2682">
        <v>0.52600000000000002</v>
      </c>
      <c r="L2698" s="2682" t="s">
        <v>5922</v>
      </c>
    </row>
    <row r="2699" spans="1:12">
      <c r="A2699" s="2683" t="s">
        <v>146</v>
      </c>
      <c r="B2699" s="2683" t="s">
        <v>8851</v>
      </c>
      <c r="C2699" s="2683">
        <v>75</v>
      </c>
      <c r="D2699" s="2683">
        <v>115</v>
      </c>
      <c r="E2699" s="2683">
        <v>25</v>
      </c>
      <c r="F2699" s="2683">
        <v>110</v>
      </c>
      <c r="G2699" s="2683">
        <v>169</v>
      </c>
      <c r="H2699" s="2683">
        <v>3100</v>
      </c>
      <c r="I2699" s="2683">
        <v>4200</v>
      </c>
      <c r="J2699" s="2683">
        <v>0.93</v>
      </c>
      <c r="K2699" s="2684"/>
      <c r="L2699" s="2683" t="s">
        <v>5922</v>
      </c>
    </row>
    <row r="2700" spans="1:12">
      <c r="A2700" s="2682" t="s">
        <v>146</v>
      </c>
      <c r="B2700" s="2682" t="s">
        <v>8852</v>
      </c>
      <c r="C2700" s="2682">
        <v>75</v>
      </c>
      <c r="D2700" s="2682">
        <v>115</v>
      </c>
      <c r="E2700" s="2682">
        <v>31</v>
      </c>
      <c r="F2700" s="2682">
        <v>141</v>
      </c>
      <c r="G2700" s="2682">
        <v>225</v>
      </c>
      <c r="H2700" s="2682">
        <v>3200</v>
      </c>
      <c r="I2700" s="2682">
        <v>4200</v>
      </c>
      <c r="J2700" s="2682">
        <v>1.1599999999999999</v>
      </c>
      <c r="L2700" s="2682" t="s">
        <v>5922</v>
      </c>
    </row>
    <row r="2701" spans="1:12">
      <c r="A2701" s="2683" t="s">
        <v>146</v>
      </c>
      <c r="B2701" s="2683" t="s">
        <v>8853</v>
      </c>
      <c r="C2701" s="2683">
        <v>75</v>
      </c>
      <c r="D2701" s="2683">
        <v>125</v>
      </c>
      <c r="E2701" s="2683">
        <v>37</v>
      </c>
      <c r="F2701" s="2683">
        <v>186</v>
      </c>
      <c r="G2701" s="2683">
        <v>280</v>
      </c>
      <c r="H2701" s="2683">
        <v>3000</v>
      </c>
      <c r="I2701" s="2683">
        <v>4000</v>
      </c>
      <c r="J2701" s="2683">
        <v>1.84</v>
      </c>
      <c r="K2701" s="2684"/>
      <c r="L2701" s="2683" t="s">
        <v>5922</v>
      </c>
    </row>
    <row r="2702" spans="1:12">
      <c r="A2702" s="2682" t="s">
        <v>146</v>
      </c>
      <c r="B2702" s="2682" t="s">
        <v>8854</v>
      </c>
      <c r="C2702" s="2682">
        <v>75</v>
      </c>
      <c r="D2702" s="2682">
        <v>130</v>
      </c>
      <c r="E2702" s="2682">
        <v>25</v>
      </c>
      <c r="F2702" s="2682">
        <v>136</v>
      </c>
      <c r="G2702" s="2682">
        <v>178</v>
      </c>
      <c r="H2702" s="2682">
        <v>2900</v>
      </c>
      <c r="I2702" s="2682">
        <v>3800</v>
      </c>
      <c r="J2702" s="2682">
        <v>1.4</v>
      </c>
      <c r="L2702" s="2682" t="s">
        <v>5922</v>
      </c>
    </row>
    <row r="2703" spans="1:12">
      <c r="A2703" s="2683" t="s">
        <v>146</v>
      </c>
      <c r="B2703" s="2683" t="s">
        <v>8855</v>
      </c>
      <c r="C2703" s="2683">
        <v>75</v>
      </c>
      <c r="D2703" s="2683">
        <v>130</v>
      </c>
      <c r="E2703" s="2683">
        <v>25</v>
      </c>
      <c r="F2703" s="2683">
        <v>142</v>
      </c>
      <c r="G2703" s="2683">
        <v>181</v>
      </c>
      <c r="H2703" s="2683">
        <v>2900</v>
      </c>
      <c r="I2703" s="2683">
        <v>3900</v>
      </c>
      <c r="J2703" s="2683">
        <v>1.42</v>
      </c>
      <c r="K2703" s="2684"/>
      <c r="L2703" s="2683" t="s">
        <v>5922</v>
      </c>
    </row>
    <row r="2704" spans="1:12">
      <c r="A2704" s="2682" t="s">
        <v>146</v>
      </c>
      <c r="B2704" s="2682" t="s">
        <v>8856</v>
      </c>
      <c r="C2704" s="2682">
        <v>75</v>
      </c>
      <c r="D2704" s="2682">
        <v>130</v>
      </c>
      <c r="E2704" s="2682">
        <v>31</v>
      </c>
      <c r="F2704" s="2682">
        <v>163</v>
      </c>
      <c r="G2704" s="2682">
        <v>225</v>
      </c>
      <c r="H2704" s="2682">
        <v>2900</v>
      </c>
      <c r="I2704" s="2682">
        <v>3900</v>
      </c>
      <c r="J2704" s="2682">
        <v>1.75</v>
      </c>
      <c r="L2704" s="2682" t="s">
        <v>5922</v>
      </c>
    </row>
    <row r="2705" spans="1:12">
      <c r="A2705" s="2683" t="s">
        <v>146</v>
      </c>
      <c r="B2705" s="2683" t="s">
        <v>8857</v>
      </c>
      <c r="C2705" s="2683">
        <v>75</v>
      </c>
      <c r="D2705" s="2683">
        <v>130</v>
      </c>
      <c r="E2705" s="2683">
        <v>31</v>
      </c>
      <c r="F2705" s="2683">
        <v>174</v>
      </c>
      <c r="G2705" s="2683">
        <v>234</v>
      </c>
      <c r="H2705" s="2683">
        <v>2900</v>
      </c>
      <c r="I2705" s="2683">
        <v>3900</v>
      </c>
      <c r="J2705" s="2683">
        <v>1.77</v>
      </c>
      <c r="K2705" s="2684"/>
      <c r="L2705" s="2683" t="s">
        <v>5922</v>
      </c>
    </row>
    <row r="2706" spans="1:12">
      <c r="A2706" s="2682" t="s">
        <v>146</v>
      </c>
      <c r="B2706" s="2682" t="s">
        <v>8858</v>
      </c>
      <c r="C2706" s="2682">
        <v>75</v>
      </c>
      <c r="D2706" s="2682">
        <v>130</v>
      </c>
      <c r="E2706" s="2682">
        <v>41</v>
      </c>
      <c r="F2706" s="2682">
        <v>212</v>
      </c>
      <c r="G2706" s="2682">
        <v>310</v>
      </c>
      <c r="H2706" s="2682">
        <v>2900</v>
      </c>
      <c r="I2706" s="2682">
        <v>3900</v>
      </c>
      <c r="J2706" s="2682">
        <v>2.2599999999999998</v>
      </c>
      <c r="L2706" s="2682" t="s">
        <v>5922</v>
      </c>
    </row>
    <row r="2707" spans="1:12">
      <c r="A2707" s="2683" t="s">
        <v>146</v>
      </c>
      <c r="B2707" s="2683" t="s">
        <v>8859</v>
      </c>
      <c r="C2707" s="2683">
        <v>75</v>
      </c>
      <c r="D2707" s="2683">
        <v>150</v>
      </c>
      <c r="E2707" s="2683">
        <v>38</v>
      </c>
      <c r="F2707" s="2683">
        <v>191</v>
      </c>
      <c r="G2707" s="2683">
        <v>270</v>
      </c>
      <c r="H2707" s="2683">
        <v>2200</v>
      </c>
      <c r="I2707" s="2683">
        <v>3100</v>
      </c>
      <c r="J2707" s="2683">
        <v>3.24</v>
      </c>
      <c r="K2707" s="2684"/>
      <c r="L2707" s="2683" t="s">
        <v>5922</v>
      </c>
    </row>
    <row r="2708" spans="1:12">
      <c r="A2708" s="2682" t="s">
        <v>146</v>
      </c>
      <c r="B2708" s="2682" t="s">
        <v>8860</v>
      </c>
      <c r="C2708" s="2682">
        <v>75</v>
      </c>
      <c r="D2708" s="2682">
        <v>160</v>
      </c>
      <c r="E2708" s="2682">
        <v>40</v>
      </c>
      <c r="F2708" s="2682">
        <v>213</v>
      </c>
      <c r="G2708" s="2682">
        <v>254</v>
      </c>
      <c r="H2708" s="2682">
        <v>2100</v>
      </c>
      <c r="I2708" s="2682">
        <v>2900</v>
      </c>
      <c r="J2708" s="2682">
        <v>3.45</v>
      </c>
      <c r="L2708" s="2682" t="s">
        <v>5922</v>
      </c>
    </row>
    <row r="2709" spans="1:12">
      <c r="A2709" s="2683" t="s">
        <v>146</v>
      </c>
      <c r="B2709" s="2683" t="s">
        <v>8861</v>
      </c>
      <c r="C2709" s="2683">
        <v>75</v>
      </c>
      <c r="D2709" s="2683">
        <v>160</v>
      </c>
      <c r="E2709" s="2683">
        <v>37</v>
      </c>
      <c r="F2709" s="2683">
        <v>222</v>
      </c>
      <c r="G2709" s="2683">
        <v>266</v>
      </c>
      <c r="H2709" s="2683">
        <v>2100</v>
      </c>
      <c r="I2709" s="2683">
        <v>2900</v>
      </c>
      <c r="J2709" s="2683">
        <v>3.48</v>
      </c>
      <c r="K2709" s="2684"/>
      <c r="L2709" s="2683" t="s">
        <v>5922</v>
      </c>
    </row>
    <row r="2710" spans="1:12">
      <c r="A2710" s="2682" t="s">
        <v>146</v>
      </c>
      <c r="B2710" s="2682" t="s">
        <v>8862</v>
      </c>
      <c r="C2710" s="2682">
        <v>75</v>
      </c>
      <c r="D2710" s="2682">
        <v>160</v>
      </c>
      <c r="E2710" s="2682">
        <v>37</v>
      </c>
      <c r="F2710" s="2682">
        <v>248</v>
      </c>
      <c r="G2710" s="2682">
        <v>296</v>
      </c>
      <c r="H2710" s="2682">
        <v>2500</v>
      </c>
      <c r="I2710" s="2682">
        <v>3400</v>
      </c>
      <c r="J2710" s="2682">
        <v>3.8</v>
      </c>
      <c r="L2710" s="2682" t="s">
        <v>5922</v>
      </c>
    </row>
    <row r="2711" spans="1:12">
      <c r="A2711" s="2683" t="s">
        <v>146</v>
      </c>
      <c r="B2711" s="2683" t="s">
        <v>8863</v>
      </c>
      <c r="C2711" s="2683">
        <v>75</v>
      </c>
      <c r="D2711" s="2683">
        <v>160</v>
      </c>
      <c r="E2711" s="2683">
        <v>37</v>
      </c>
      <c r="F2711" s="2683">
        <v>260</v>
      </c>
      <c r="G2711" s="2683">
        <v>311</v>
      </c>
      <c r="H2711" s="2683">
        <v>2500</v>
      </c>
      <c r="I2711" s="2683">
        <v>3300</v>
      </c>
      <c r="J2711" s="2683">
        <v>3.65</v>
      </c>
      <c r="K2711" s="2684"/>
      <c r="L2711" s="2683" t="s">
        <v>5922</v>
      </c>
    </row>
    <row r="2712" spans="1:12">
      <c r="A2712" s="2682" t="s">
        <v>146</v>
      </c>
      <c r="B2712" s="2682" t="s">
        <v>8864</v>
      </c>
      <c r="C2712" s="2682">
        <v>75</v>
      </c>
      <c r="D2712" s="2682">
        <v>160</v>
      </c>
      <c r="E2712" s="2682">
        <v>37</v>
      </c>
      <c r="F2712" s="2682">
        <v>251</v>
      </c>
      <c r="G2712" s="2682">
        <v>298</v>
      </c>
      <c r="H2712" s="2682">
        <v>2500</v>
      </c>
      <c r="I2712" s="2682">
        <v>3300</v>
      </c>
      <c r="J2712" s="2682">
        <v>3.52</v>
      </c>
      <c r="L2712" s="2682" t="s">
        <v>5922</v>
      </c>
    </row>
    <row r="2713" spans="1:12">
      <c r="A2713" s="2683" t="s">
        <v>146</v>
      </c>
      <c r="B2713" s="2683" t="s">
        <v>8865</v>
      </c>
      <c r="C2713" s="2683">
        <v>75</v>
      </c>
      <c r="D2713" s="2683">
        <v>160</v>
      </c>
      <c r="E2713" s="2683">
        <v>55</v>
      </c>
      <c r="F2713" s="2683">
        <v>357</v>
      </c>
      <c r="G2713" s="2683">
        <v>474</v>
      </c>
      <c r="H2713" s="2683">
        <v>2500</v>
      </c>
      <c r="I2713" s="2683">
        <v>3400</v>
      </c>
      <c r="J2713" s="2683">
        <v>5.5</v>
      </c>
      <c r="K2713" s="2684"/>
      <c r="L2713" s="2683" t="s">
        <v>5922</v>
      </c>
    </row>
    <row r="2714" spans="1:12">
      <c r="A2714" s="2682" t="s">
        <v>146</v>
      </c>
      <c r="B2714" s="2682" t="s">
        <v>8866</v>
      </c>
      <c r="C2714" s="2682">
        <v>75</v>
      </c>
      <c r="D2714" s="2682">
        <v>160</v>
      </c>
      <c r="E2714" s="2682">
        <v>55</v>
      </c>
      <c r="F2714" s="2682">
        <v>363</v>
      </c>
      <c r="G2714" s="2682">
        <v>481</v>
      </c>
      <c r="H2714" s="2682">
        <v>2500</v>
      </c>
      <c r="I2714" s="2682">
        <v>3300</v>
      </c>
      <c r="J2714" s="2682">
        <v>5.41</v>
      </c>
      <c r="L2714" s="2682" t="s">
        <v>5922</v>
      </c>
    </row>
    <row r="2715" spans="1:12">
      <c r="A2715" s="2683" t="s">
        <v>146</v>
      </c>
      <c r="B2715" s="2683" t="s">
        <v>8867</v>
      </c>
      <c r="C2715" s="2683">
        <v>75</v>
      </c>
      <c r="D2715" s="2683">
        <v>160</v>
      </c>
      <c r="E2715" s="2683">
        <v>55</v>
      </c>
      <c r="F2715" s="2683">
        <v>340</v>
      </c>
      <c r="G2715" s="2683">
        <v>444</v>
      </c>
      <c r="H2715" s="2683">
        <v>2500</v>
      </c>
      <c r="I2715" s="2683">
        <v>3300</v>
      </c>
      <c r="J2715" s="2683">
        <v>5.3</v>
      </c>
      <c r="K2715" s="2684"/>
      <c r="L2715" s="2683" t="s">
        <v>5922</v>
      </c>
    </row>
    <row r="2716" spans="1:12">
      <c r="A2716" s="2682" t="s">
        <v>146</v>
      </c>
      <c r="B2716" s="2682" t="s">
        <v>8868</v>
      </c>
      <c r="C2716" s="2682">
        <v>80</v>
      </c>
      <c r="D2716" s="2682">
        <v>110</v>
      </c>
      <c r="E2716" s="2682">
        <v>20</v>
      </c>
      <c r="F2716" s="2682">
        <v>76.099999999999994</v>
      </c>
      <c r="G2716" s="2682">
        <v>131</v>
      </c>
      <c r="H2716" s="2682">
        <v>3100</v>
      </c>
      <c r="I2716" s="2682">
        <v>4200</v>
      </c>
      <c r="J2716" s="2682">
        <v>0.55600000000000005</v>
      </c>
      <c r="L2716" s="2682" t="s">
        <v>5922</v>
      </c>
    </row>
    <row r="2717" spans="1:12">
      <c r="A2717" s="2683" t="s">
        <v>146</v>
      </c>
      <c r="B2717" s="2683" t="s">
        <v>8869</v>
      </c>
      <c r="C2717" s="2683">
        <v>80</v>
      </c>
      <c r="D2717" s="2683">
        <v>125</v>
      </c>
      <c r="E2717" s="2683">
        <v>29</v>
      </c>
      <c r="F2717" s="2683">
        <v>147</v>
      </c>
      <c r="G2717" s="2683">
        <v>225</v>
      </c>
      <c r="H2717" s="2683">
        <v>2900</v>
      </c>
      <c r="I2717" s="2683">
        <v>3900</v>
      </c>
      <c r="J2717" s="2683">
        <v>1.32</v>
      </c>
      <c r="K2717" s="2684"/>
      <c r="L2717" s="2683" t="s">
        <v>5922</v>
      </c>
    </row>
    <row r="2718" spans="1:12">
      <c r="A2718" s="2682" t="s">
        <v>146</v>
      </c>
      <c r="B2718" s="2682" t="s">
        <v>8870</v>
      </c>
      <c r="C2718" s="2682">
        <v>80</v>
      </c>
      <c r="D2718" s="2682">
        <v>125</v>
      </c>
      <c r="E2718" s="2682">
        <v>36</v>
      </c>
      <c r="F2718" s="2682">
        <v>173</v>
      </c>
      <c r="G2718" s="2682">
        <v>288</v>
      </c>
      <c r="H2718" s="2682">
        <v>2900</v>
      </c>
      <c r="I2718" s="2682">
        <v>3900</v>
      </c>
      <c r="J2718" s="2682">
        <v>1.63</v>
      </c>
      <c r="L2718" s="2682" t="s">
        <v>5922</v>
      </c>
    </row>
    <row r="2719" spans="1:12">
      <c r="A2719" s="2683" t="s">
        <v>146</v>
      </c>
      <c r="B2719" s="2683" t="s">
        <v>8871</v>
      </c>
      <c r="C2719" s="2683">
        <v>80</v>
      </c>
      <c r="D2719" s="2683">
        <v>130</v>
      </c>
      <c r="E2719" s="2683">
        <v>37</v>
      </c>
      <c r="F2719" s="2683">
        <v>191</v>
      </c>
      <c r="G2719" s="2683">
        <v>294</v>
      </c>
      <c r="H2719" s="2683">
        <v>2800</v>
      </c>
      <c r="I2719" s="2683">
        <v>3800</v>
      </c>
      <c r="J2719" s="2683">
        <v>1.93</v>
      </c>
      <c r="K2719" s="2684"/>
      <c r="L2719" s="2683" t="s">
        <v>5922</v>
      </c>
    </row>
    <row r="2720" spans="1:12">
      <c r="A2720" s="2682" t="s">
        <v>146</v>
      </c>
      <c r="B2720" s="2682" t="s">
        <v>8872</v>
      </c>
      <c r="C2720" s="2682">
        <v>70</v>
      </c>
      <c r="D2720" s="2682">
        <v>140</v>
      </c>
      <c r="E2720" s="2682">
        <v>26</v>
      </c>
      <c r="F2720" s="2682">
        <v>161</v>
      </c>
      <c r="G2720" s="2682">
        <v>202</v>
      </c>
      <c r="H2720" s="2682">
        <v>2700</v>
      </c>
      <c r="I2720" s="2682">
        <v>3600</v>
      </c>
      <c r="J2720" s="2682">
        <v>1.72</v>
      </c>
      <c r="L2720" s="2682" t="s">
        <v>5922</v>
      </c>
    </row>
    <row r="2721" spans="1:12">
      <c r="A2721" s="2683" t="s">
        <v>146</v>
      </c>
      <c r="B2721" s="2683" t="s">
        <v>8873</v>
      </c>
      <c r="C2721" s="2683">
        <v>70</v>
      </c>
      <c r="D2721" s="2683">
        <v>140</v>
      </c>
      <c r="E2721" s="2683">
        <v>33</v>
      </c>
      <c r="F2721" s="2683">
        <v>203</v>
      </c>
      <c r="G2721" s="2683">
        <v>271</v>
      </c>
      <c r="H2721" s="2683">
        <v>2700</v>
      </c>
      <c r="I2721" s="2683">
        <v>3600</v>
      </c>
      <c r="J2721" s="2683">
        <v>2.17</v>
      </c>
      <c r="K2721" s="2684"/>
      <c r="L2721" s="2683" t="s">
        <v>5922</v>
      </c>
    </row>
    <row r="2722" spans="1:12">
      <c r="A2722" s="2682" t="s">
        <v>146</v>
      </c>
      <c r="B2722" s="2682" t="s">
        <v>8874</v>
      </c>
      <c r="C2722" s="2682">
        <v>80</v>
      </c>
      <c r="D2722" s="2682">
        <v>140</v>
      </c>
      <c r="E2722" s="2682">
        <v>46</v>
      </c>
      <c r="F2722" s="2682">
        <v>250</v>
      </c>
      <c r="G2722" s="2682">
        <v>371</v>
      </c>
      <c r="H2722" s="2682">
        <v>2700</v>
      </c>
      <c r="I2722" s="2682">
        <v>3600</v>
      </c>
      <c r="J2722" s="2682">
        <v>2.99</v>
      </c>
      <c r="L2722" s="2682" t="s">
        <v>5922</v>
      </c>
    </row>
    <row r="2723" spans="1:12">
      <c r="A2723" s="2683" t="s">
        <v>146</v>
      </c>
      <c r="B2723" s="2683" t="s">
        <v>8875</v>
      </c>
      <c r="C2723" s="2683">
        <v>80</v>
      </c>
      <c r="D2723" s="2683">
        <v>145</v>
      </c>
      <c r="E2723" s="2683">
        <v>45</v>
      </c>
      <c r="F2723" s="2683">
        <v>266</v>
      </c>
      <c r="G2723" s="2683">
        <v>381</v>
      </c>
      <c r="H2723" s="2683">
        <v>2600</v>
      </c>
      <c r="I2723" s="2683">
        <v>3500</v>
      </c>
      <c r="J2723" s="2683">
        <v>3.2</v>
      </c>
      <c r="K2723" s="2684"/>
      <c r="L2723" s="2683" t="s">
        <v>5922</v>
      </c>
    </row>
    <row r="2724" spans="1:12">
      <c r="A2724" s="2682" t="s">
        <v>146</v>
      </c>
      <c r="B2724" s="2682" t="s">
        <v>8876</v>
      </c>
      <c r="C2724" s="2682">
        <v>80</v>
      </c>
      <c r="D2724" s="2682">
        <v>170</v>
      </c>
      <c r="E2724" s="2682">
        <v>39</v>
      </c>
      <c r="F2724" s="2682">
        <v>236</v>
      </c>
      <c r="G2724" s="2682">
        <v>282</v>
      </c>
      <c r="H2724" s="2682">
        <v>2000</v>
      </c>
      <c r="I2724" s="2682">
        <v>2800</v>
      </c>
      <c r="J2724" s="2682">
        <v>4.12</v>
      </c>
      <c r="L2724" s="2682" t="s">
        <v>5922</v>
      </c>
    </row>
    <row r="2725" spans="1:12">
      <c r="A2725" s="2683" t="s">
        <v>146</v>
      </c>
      <c r="B2725" s="2683" t="s">
        <v>8877</v>
      </c>
      <c r="C2725" s="2683">
        <v>80</v>
      </c>
      <c r="D2725" s="2683">
        <v>170</v>
      </c>
      <c r="E2725" s="2683">
        <v>39</v>
      </c>
      <c r="F2725" s="2683">
        <v>294</v>
      </c>
      <c r="G2725" s="2683">
        <v>355</v>
      </c>
      <c r="H2725" s="2683">
        <v>2300</v>
      </c>
      <c r="I2725" s="2683">
        <v>3100</v>
      </c>
      <c r="J2725" s="2683">
        <v>4.46</v>
      </c>
      <c r="K2725" s="2684"/>
      <c r="L2725" s="2683" t="s">
        <v>5922</v>
      </c>
    </row>
    <row r="2726" spans="1:12">
      <c r="A2726" s="2682" t="s">
        <v>146</v>
      </c>
      <c r="B2726" s="2682" t="s">
        <v>8878</v>
      </c>
      <c r="C2726" s="2682">
        <v>80</v>
      </c>
      <c r="D2726" s="2682">
        <v>170</v>
      </c>
      <c r="E2726" s="2682">
        <v>39</v>
      </c>
      <c r="F2726" s="2682">
        <v>227</v>
      </c>
      <c r="G2726" s="2682">
        <v>330</v>
      </c>
      <c r="H2726" s="2682">
        <v>2300</v>
      </c>
      <c r="I2726" s="2682">
        <v>3100</v>
      </c>
      <c r="J2726" s="2682">
        <v>4.26</v>
      </c>
      <c r="L2726" s="2682" t="s">
        <v>5922</v>
      </c>
    </row>
    <row r="2727" spans="1:12">
      <c r="A2727" s="2683" t="s">
        <v>146</v>
      </c>
      <c r="B2727" s="2683" t="s">
        <v>8879</v>
      </c>
      <c r="C2727" s="2683">
        <v>80</v>
      </c>
      <c r="D2727" s="2683">
        <v>170</v>
      </c>
      <c r="E2727" s="2683">
        <v>58</v>
      </c>
      <c r="F2727" s="2683">
        <v>347</v>
      </c>
      <c r="G2727" s="2683">
        <v>440</v>
      </c>
      <c r="H2727" s="2683">
        <v>2300</v>
      </c>
      <c r="I2727" s="2683">
        <v>3100</v>
      </c>
      <c r="J2727" s="2683">
        <v>6.04</v>
      </c>
      <c r="K2727" s="2684"/>
      <c r="L2727" s="2683" t="s">
        <v>5922</v>
      </c>
    </row>
    <row r="2728" spans="1:12">
      <c r="A2728" s="2682" t="s">
        <v>146</v>
      </c>
      <c r="B2728" s="2682" t="s">
        <v>8880</v>
      </c>
      <c r="C2728" s="2682">
        <v>80</v>
      </c>
      <c r="D2728" s="2682">
        <v>170</v>
      </c>
      <c r="E2728" s="2682">
        <v>58</v>
      </c>
      <c r="F2728" s="2682">
        <v>383</v>
      </c>
      <c r="G2728" s="2682">
        <v>503</v>
      </c>
      <c r="H2728" s="2682">
        <v>2300</v>
      </c>
      <c r="I2728" s="2682">
        <v>3100</v>
      </c>
      <c r="J2728" s="2682">
        <v>6.31</v>
      </c>
      <c r="L2728" s="2682" t="s">
        <v>5922</v>
      </c>
    </row>
    <row r="2729" spans="1:12">
      <c r="A2729" s="2683" t="s">
        <v>146</v>
      </c>
      <c r="B2729" s="2683" t="s">
        <v>8881</v>
      </c>
      <c r="C2729" s="2683">
        <v>85</v>
      </c>
      <c r="D2729" s="2683">
        <v>120</v>
      </c>
      <c r="E2729" s="2683">
        <v>23</v>
      </c>
      <c r="F2729" s="2683">
        <v>97.1</v>
      </c>
      <c r="G2729" s="2683">
        <v>165</v>
      </c>
      <c r="H2729" s="2683">
        <v>2900</v>
      </c>
      <c r="I2729" s="2683">
        <v>3900</v>
      </c>
      <c r="J2729" s="2683">
        <v>0.79400000000000004</v>
      </c>
      <c r="K2729" s="2684"/>
      <c r="L2729" s="2683" t="s">
        <v>5922</v>
      </c>
    </row>
    <row r="2730" spans="1:12">
      <c r="A2730" s="2682" t="s">
        <v>146</v>
      </c>
      <c r="B2730" s="2682" t="s">
        <v>8882</v>
      </c>
      <c r="C2730" s="2682">
        <v>85</v>
      </c>
      <c r="D2730" s="2682">
        <v>130</v>
      </c>
      <c r="E2730" s="2682">
        <v>29</v>
      </c>
      <c r="F2730" s="2682">
        <v>150</v>
      </c>
      <c r="G2730" s="2682">
        <v>234</v>
      </c>
      <c r="H2730" s="2682">
        <v>2800</v>
      </c>
      <c r="I2730" s="2682">
        <v>3700</v>
      </c>
      <c r="J2730" s="2682">
        <v>1.38</v>
      </c>
      <c r="L2730" s="2682" t="s">
        <v>5922</v>
      </c>
    </row>
    <row r="2731" spans="1:12">
      <c r="A2731" s="2683" t="s">
        <v>146</v>
      </c>
      <c r="B2731" s="2683" t="s">
        <v>8883</v>
      </c>
      <c r="C2731" s="2683">
        <v>85</v>
      </c>
      <c r="D2731" s="2683">
        <v>130</v>
      </c>
      <c r="E2731" s="2683">
        <v>36</v>
      </c>
      <c r="F2731" s="2683">
        <v>177</v>
      </c>
      <c r="G2731" s="2683">
        <v>300</v>
      </c>
      <c r="H2731" s="2683">
        <v>2800</v>
      </c>
      <c r="I2731" s="2683">
        <v>3700</v>
      </c>
      <c r="J2731" s="2683">
        <v>1.72</v>
      </c>
      <c r="K2731" s="2684"/>
      <c r="L2731" s="2683" t="s">
        <v>5922</v>
      </c>
    </row>
    <row r="2732" spans="1:12">
      <c r="A2732" s="2682" t="s">
        <v>146</v>
      </c>
      <c r="B2732" s="2682" t="s">
        <v>8884</v>
      </c>
      <c r="C2732" s="2682">
        <v>85</v>
      </c>
      <c r="D2732" s="2682">
        <v>140</v>
      </c>
      <c r="E2732" s="2682">
        <v>41</v>
      </c>
      <c r="F2732" s="2682">
        <v>224</v>
      </c>
      <c r="G2732" s="2682">
        <v>346</v>
      </c>
      <c r="H2732" s="2682">
        <v>2600</v>
      </c>
      <c r="I2732" s="2682">
        <v>3500</v>
      </c>
      <c r="J2732" s="2682">
        <v>2.4300000000000002</v>
      </c>
      <c r="L2732" s="2682" t="s">
        <v>5922</v>
      </c>
    </row>
    <row r="2733" spans="1:12">
      <c r="A2733" s="2683" t="s">
        <v>146</v>
      </c>
      <c r="B2733" s="2683" t="s">
        <v>8885</v>
      </c>
      <c r="C2733" s="2683">
        <v>85</v>
      </c>
      <c r="D2733" s="2683">
        <v>150</v>
      </c>
      <c r="E2733" s="2683">
        <v>28</v>
      </c>
      <c r="F2733" s="2683">
        <v>182</v>
      </c>
      <c r="G2733" s="2683">
        <v>231</v>
      </c>
      <c r="H2733" s="2683">
        <v>2500</v>
      </c>
      <c r="I2733" s="2683">
        <v>3400</v>
      </c>
      <c r="J2733" s="2683">
        <v>2.17</v>
      </c>
      <c r="K2733" s="2684"/>
      <c r="L2733" s="2683" t="s">
        <v>5922</v>
      </c>
    </row>
    <row r="2734" spans="1:12">
      <c r="A2734" s="2682" t="s">
        <v>146</v>
      </c>
      <c r="B2734" s="2682" t="s">
        <v>8886</v>
      </c>
      <c r="C2734" s="2682">
        <v>85</v>
      </c>
      <c r="D2734" s="2682">
        <v>150</v>
      </c>
      <c r="E2734" s="2682">
        <v>36</v>
      </c>
      <c r="F2734" s="2682">
        <v>232</v>
      </c>
      <c r="G2734" s="2682">
        <v>315</v>
      </c>
      <c r="H2734" s="2682">
        <v>2500</v>
      </c>
      <c r="I2734" s="2682">
        <v>3400</v>
      </c>
      <c r="J2734" s="2682">
        <v>2.8</v>
      </c>
      <c r="L2734" s="2682" t="s">
        <v>5922</v>
      </c>
    </row>
    <row r="2735" spans="1:12">
      <c r="A2735" s="2683" t="s">
        <v>146</v>
      </c>
      <c r="B2735" s="2683" t="s">
        <v>8887</v>
      </c>
      <c r="C2735" s="2683">
        <v>85</v>
      </c>
      <c r="D2735" s="2683">
        <v>150</v>
      </c>
      <c r="E2735" s="2683">
        <v>49</v>
      </c>
      <c r="F2735" s="2683">
        <v>294</v>
      </c>
      <c r="G2735" s="2683">
        <v>439</v>
      </c>
      <c r="H2735" s="2683">
        <v>2500</v>
      </c>
      <c r="I2735" s="2683">
        <v>3400</v>
      </c>
      <c r="J2735" s="2683">
        <v>3.63</v>
      </c>
      <c r="K2735" s="2684"/>
      <c r="L2735" s="2683" t="s">
        <v>5922</v>
      </c>
    </row>
    <row r="2736" spans="1:12">
      <c r="A2736" s="2682" t="s">
        <v>146</v>
      </c>
      <c r="B2736" s="2682" t="s">
        <v>8888</v>
      </c>
      <c r="C2736" s="2682">
        <v>85</v>
      </c>
      <c r="D2736" s="2682">
        <v>180</v>
      </c>
      <c r="E2736" s="2682">
        <v>41</v>
      </c>
      <c r="F2736" s="2682">
        <v>231</v>
      </c>
      <c r="G2736" s="2682">
        <v>265</v>
      </c>
      <c r="H2736" s="2682">
        <v>1900</v>
      </c>
      <c r="I2736" s="2682">
        <v>2600</v>
      </c>
      <c r="J2736" s="2682">
        <v>4.54</v>
      </c>
      <c r="L2736" s="2682" t="s">
        <v>5922</v>
      </c>
    </row>
    <row r="2737" spans="1:12">
      <c r="A2737" s="2683" t="s">
        <v>146</v>
      </c>
      <c r="B2737" s="2683" t="s">
        <v>8889</v>
      </c>
      <c r="C2737" s="2683">
        <v>85</v>
      </c>
      <c r="D2737" s="2683">
        <v>180</v>
      </c>
      <c r="E2737" s="2683">
        <v>41</v>
      </c>
      <c r="F2737" s="2683">
        <v>263</v>
      </c>
      <c r="G2737" s="2683">
        <v>317</v>
      </c>
      <c r="H2737" s="2683">
        <v>1900</v>
      </c>
      <c r="I2737" s="2683">
        <v>2600</v>
      </c>
      <c r="J2737" s="2683">
        <v>4.8099999999999996</v>
      </c>
      <c r="K2737" s="2684"/>
      <c r="L2737" s="2683" t="s">
        <v>5922</v>
      </c>
    </row>
    <row r="2738" spans="1:12">
      <c r="A2738" s="2682" t="s">
        <v>146</v>
      </c>
      <c r="B2738" s="2682" t="s">
        <v>8890</v>
      </c>
      <c r="C2738" s="2682">
        <v>85</v>
      </c>
      <c r="D2738" s="2682">
        <v>180</v>
      </c>
      <c r="E2738" s="2682">
        <v>41</v>
      </c>
      <c r="F2738" s="2682">
        <v>316</v>
      </c>
      <c r="G2738" s="2682">
        <v>384</v>
      </c>
      <c r="H2738" s="2682">
        <v>2200</v>
      </c>
      <c r="I2738" s="2682">
        <v>2900</v>
      </c>
      <c r="J2738" s="2682">
        <v>5.15</v>
      </c>
      <c r="L2738" s="2682" t="s">
        <v>5922</v>
      </c>
    </row>
    <row r="2739" spans="1:12">
      <c r="A2739" s="2683" t="s">
        <v>146</v>
      </c>
      <c r="B2739" s="2683" t="s">
        <v>8891</v>
      </c>
      <c r="C2739" s="2683">
        <v>85</v>
      </c>
      <c r="D2739" s="2683">
        <v>180</v>
      </c>
      <c r="E2739" s="2683">
        <v>41</v>
      </c>
      <c r="F2739" s="2683">
        <v>305</v>
      </c>
      <c r="G2739" s="2683">
        <v>367</v>
      </c>
      <c r="H2739" s="2683">
        <v>2200</v>
      </c>
      <c r="I2739" s="2683">
        <v>2900</v>
      </c>
      <c r="J2739" s="2683">
        <v>4.97</v>
      </c>
      <c r="K2739" s="2684"/>
      <c r="L2739" s="2683" t="s">
        <v>5922</v>
      </c>
    </row>
    <row r="2740" spans="1:12">
      <c r="A2740" s="2682" t="s">
        <v>146</v>
      </c>
      <c r="B2740" s="2682" t="s">
        <v>8892</v>
      </c>
      <c r="C2740" s="2682">
        <v>85</v>
      </c>
      <c r="D2740" s="2682">
        <v>180</v>
      </c>
      <c r="E2740" s="2682">
        <v>60</v>
      </c>
      <c r="F2740" s="2682">
        <v>439</v>
      </c>
      <c r="G2740" s="2682">
        <v>587</v>
      </c>
      <c r="H2740" s="2682">
        <v>2200</v>
      </c>
      <c r="I2740" s="2682">
        <v>3000</v>
      </c>
      <c r="J2740" s="2682">
        <v>7.42</v>
      </c>
      <c r="L2740" s="2682" t="s">
        <v>5922</v>
      </c>
    </row>
    <row r="2741" spans="1:12">
      <c r="A2741" s="2683" t="s">
        <v>146</v>
      </c>
      <c r="B2741" s="2683" t="s">
        <v>8893</v>
      </c>
      <c r="C2741" s="2683">
        <v>90</v>
      </c>
      <c r="D2741" s="2683">
        <v>125</v>
      </c>
      <c r="E2741" s="2683">
        <v>23</v>
      </c>
      <c r="F2741" s="2683">
        <v>101</v>
      </c>
      <c r="G2741" s="2683">
        <v>175</v>
      </c>
      <c r="H2741" s="2683">
        <v>2800</v>
      </c>
      <c r="I2741" s="2683">
        <v>3700</v>
      </c>
      <c r="J2741" s="2683">
        <v>0.83399999999999996</v>
      </c>
      <c r="K2741" s="2684"/>
      <c r="L2741" s="2683" t="s">
        <v>5922</v>
      </c>
    </row>
    <row r="2742" spans="1:12">
      <c r="A2742" s="2682" t="s">
        <v>146</v>
      </c>
      <c r="B2742" s="2682" t="s">
        <v>8894</v>
      </c>
      <c r="C2742" s="2682">
        <v>90</v>
      </c>
      <c r="D2742" s="2682">
        <v>140</v>
      </c>
      <c r="E2742" s="2682">
        <v>32</v>
      </c>
      <c r="F2742" s="2682">
        <v>178</v>
      </c>
      <c r="G2742" s="2682">
        <v>276</v>
      </c>
      <c r="H2742" s="2682">
        <v>2600</v>
      </c>
      <c r="I2742" s="2682">
        <v>3500</v>
      </c>
      <c r="J2742" s="2682">
        <v>1.8</v>
      </c>
      <c r="L2742" s="2682" t="s">
        <v>5922</v>
      </c>
    </row>
    <row r="2743" spans="1:12">
      <c r="A2743" s="2683" t="s">
        <v>146</v>
      </c>
      <c r="B2743" s="2683" t="s">
        <v>8895</v>
      </c>
      <c r="C2743" s="2683">
        <v>90</v>
      </c>
      <c r="D2743" s="2683">
        <v>140</v>
      </c>
      <c r="E2743" s="2683">
        <v>39</v>
      </c>
      <c r="F2743" s="2683">
        <v>221</v>
      </c>
      <c r="G2743" s="2683">
        <v>367</v>
      </c>
      <c r="H2743" s="2683">
        <v>2600</v>
      </c>
      <c r="I2743" s="2683">
        <v>3400</v>
      </c>
      <c r="J2743" s="2683">
        <v>2.2200000000000002</v>
      </c>
      <c r="K2743" s="2684"/>
      <c r="L2743" s="2683" t="s">
        <v>5922</v>
      </c>
    </row>
    <row r="2744" spans="1:12">
      <c r="A2744" s="2682" t="s">
        <v>146</v>
      </c>
      <c r="B2744" s="2682" t="s">
        <v>8896</v>
      </c>
      <c r="C2744" s="2682">
        <v>90</v>
      </c>
      <c r="D2744" s="2682">
        <v>150</v>
      </c>
      <c r="E2744" s="2682">
        <v>45</v>
      </c>
      <c r="F2744" s="2682">
        <v>258</v>
      </c>
      <c r="G2744" s="2682">
        <v>413</v>
      </c>
      <c r="H2744" s="2682">
        <v>2500</v>
      </c>
      <c r="I2744" s="2682">
        <v>3300</v>
      </c>
      <c r="J2744" s="2682">
        <v>3.13</v>
      </c>
      <c r="L2744" s="2682" t="s">
        <v>5922</v>
      </c>
    </row>
    <row r="2745" spans="1:12">
      <c r="A2745" s="2683" t="s">
        <v>146</v>
      </c>
      <c r="B2745" s="2683" t="s">
        <v>8897</v>
      </c>
      <c r="C2745" s="2683">
        <v>90</v>
      </c>
      <c r="D2745" s="2683">
        <v>155</v>
      </c>
      <c r="E2745" s="2683">
        <v>46</v>
      </c>
      <c r="F2745" s="2683">
        <v>273</v>
      </c>
      <c r="G2745" s="2683">
        <v>405</v>
      </c>
      <c r="H2745" s="2683">
        <v>2400</v>
      </c>
      <c r="I2745" s="2683">
        <v>3200</v>
      </c>
      <c r="J2745" s="2683">
        <v>3.47</v>
      </c>
      <c r="K2745" s="2684"/>
      <c r="L2745" s="2683" t="s">
        <v>5922</v>
      </c>
    </row>
    <row r="2746" spans="1:12">
      <c r="A2746" s="2682" t="s">
        <v>146</v>
      </c>
      <c r="B2746" s="2682" t="s">
        <v>8898</v>
      </c>
      <c r="C2746" s="2682">
        <v>90</v>
      </c>
      <c r="D2746" s="2682">
        <v>160</v>
      </c>
      <c r="E2746" s="2682">
        <v>30</v>
      </c>
      <c r="F2746" s="2682">
        <v>204</v>
      </c>
      <c r="G2746" s="2682">
        <v>261</v>
      </c>
      <c r="H2746" s="2682">
        <v>2400</v>
      </c>
      <c r="I2746" s="2682">
        <v>3200</v>
      </c>
      <c r="J2746" s="2682">
        <v>2.65</v>
      </c>
      <c r="L2746" s="2682" t="s">
        <v>5922</v>
      </c>
    </row>
    <row r="2747" spans="1:12">
      <c r="A2747" s="2683" t="s">
        <v>146</v>
      </c>
      <c r="B2747" s="2683" t="s">
        <v>8899</v>
      </c>
      <c r="C2747" s="2683">
        <v>90</v>
      </c>
      <c r="D2747" s="2683">
        <v>160</v>
      </c>
      <c r="E2747" s="2683">
        <v>40</v>
      </c>
      <c r="F2747" s="2683">
        <v>263</v>
      </c>
      <c r="G2747" s="2683">
        <v>362</v>
      </c>
      <c r="H2747" s="2683">
        <v>2400</v>
      </c>
      <c r="I2747" s="2683">
        <v>3200</v>
      </c>
      <c r="J2747" s="2683">
        <v>3.47</v>
      </c>
      <c r="K2747" s="2684"/>
      <c r="L2747" s="2683" t="s">
        <v>5922</v>
      </c>
    </row>
    <row r="2748" spans="1:12">
      <c r="A2748" s="2682" t="s">
        <v>146</v>
      </c>
      <c r="B2748" s="2682" t="s">
        <v>8900</v>
      </c>
      <c r="C2748" s="2682">
        <v>90</v>
      </c>
      <c r="D2748" s="2682">
        <v>160</v>
      </c>
      <c r="E2748" s="2682">
        <v>55</v>
      </c>
      <c r="F2748" s="2682">
        <v>343</v>
      </c>
      <c r="G2748" s="2682">
        <v>527</v>
      </c>
      <c r="H2748" s="2682">
        <v>2400</v>
      </c>
      <c r="I2748" s="2682">
        <v>3200</v>
      </c>
      <c r="J2748" s="2682">
        <v>4.76</v>
      </c>
      <c r="L2748" s="2682" t="s">
        <v>5922</v>
      </c>
    </row>
    <row r="2749" spans="1:12">
      <c r="A2749" s="2683" t="s">
        <v>146</v>
      </c>
      <c r="B2749" s="2683" t="s">
        <v>8901</v>
      </c>
      <c r="C2749" s="2683">
        <v>90</v>
      </c>
      <c r="D2749" s="2683">
        <v>190</v>
      </c>
      <c r="E2749" s="2683">
        <v>43</v>
      </c>
      <c r="F2749" s="2683">
        <v>288</v>
      </c>
      <c r="G2749" s="2683">
        <v>350</v>
      </c>
      <c r="H2749" s="2683">
        <v>1700</v>
      </c>
      <c r="I2749" s="2683">
        <v>2400</v>
      </c>
      <c r="J2749" s="2683">
        <v>5.57</v>
      </c>
      <c r="K2749" s="2684"/>
      <c r="L2749" s="2683" t="s">
        <v>5922</v>
      </c>
    </row>
    <row r="2750" spans="1:12">
      <c r="A2750" s="2682" t="s">
        <v>146</v>
      </c>
      <c r="B2750" s="2682" t="s">
        <v>8902</v>
      </c>
      <c r="C2750" s="2682">
        <v>90</v>
      </c>
      <c r="D2750" s="2682">
        <v>190</v>
      </c>
      <c r="E2750" s="2682">
        <v>43</v>
      </c>
      <c r="F2750" s="2682">
        <v>282</v>
      </c>
      <c r="G2750" s="2682">
        <v>336</v>
      </c>
      <c r="H2750" s="2682">
        <v>1700</v>
      </c>
      <c r="I2750" s="2682">
        <v>2400</v>
      </c>
      <c r="J2750" s="2682">
        <v>5.6</v>
      </c>
      <c r="L2750" s="2682" t="s">
        <v>5922</v>
      </c>
    </row>
    <row r="2751" spans="1:12">
      <c r="A2751" s="2683" t="s">
        <v>146</v>
      </c>
      <c r="B2751" s="2683" t="s">
        <v>8903</v>
      </c>
      <c r="C2751" s="2683">
        <v>90</v>
      </c>
      <c r="D2751" s="2683">
        <v>190</v>
      </c>
      <c r="E2751" s="2683">
        <v>43</v>
      </c>
      <c r="F2751" s="2683">
        <v>345</v>
      </c>
      <c r="G2751" s="2683">
        <v>420</v>
      </c>
      <c r="H2751" s="2683">
        <v>2100</v>
      </c>
      <c r="I2751" s="2683">
        <v>2700</v>
      </c>
      <c r="J2751" s="2683">
        <v>6.04</v>
      </c>
      <c r="K2751" s="2684"/>
      <c r="L2751" s="2683" t="s">
        <v>5922</v>
      </c>
    </row>
    <row r="2752" spans="1:12">
      <c r="A2752" s="2682" t="s">
        <v>146</v>
      </c>
      <c r="B2752" s="2682" t="s">
        <v>8904</v>
      </c>
      <c r="C2752" s="2682">
        <v>90</v>
      </c>
      <c r="D2752" s="2682">
        <v>190</v>
      </c>
      <c r="E2752" s="2682">
        <v>43</v>
      </c>
      <c r="F2752" s="2682">
        <v>336</v>
      </c>
      <c r="G2752" s="2682">
        <v>407</v>
      </c>
      <c r="H2752" s="2682">
        <v>2100</v>
      </c>
      <c r="I2752" s="2682">
        <v>2700</v>
      </c>
      <c r="J2752" s="2682">
        <v>5.78</v>
      </c>
      <c r="L2752" s="2682" t="s">
        <v>5922</v>
      </c>
    </row>
    <row r="2753" spans="1:12">
      <c r="A2753" s="2683" t="s">
        <v>146</v>
      </c>
      <c r="B2753" s="2683" t="s">
        <v>8905</v>
      </c>
      <c r="C2753" s="2683">
        <v>90</v>
      </c>
      <c r="D2753" s="2683">
        <v>190</v>
      </c>
      <c r="E2753" s="2683">
        <v>64</v>
      </c>
      <c r="F2753" s="2683">
        <v>461</v>
      </c>
      <c r="G2753" s="2683">
        <v>614</v>
      </c>
      <c r="H2753" s="2683">
        <v>2100</v>
      </c>
      <c r="I2753" s="2683">
        <v>2800</v>
      </c>
      <c r="J2753" s="2683">
        <v>8.61</v>
      </c>
      <c r="K2753" s="2684"/>
      <c r="L2753" s="2683" t="s">
        <v>5922</v>
      </c>
    </row>
    <row r="2754" spans="1:12">
      <c r="A2754" s="2682" t="s">
        <v>146</v>
      </c>
      <c r="B2754" s="2682" t="s">
        <v>8906</v>
      </c>
      <c r="C2754" s="2682">
        <v>95</v>
      </c>
      <c r="D2754" s="2682">
        <v>130</v>
      </c>
      <c r="E2754" s="2682">
        <v>23</v>
      </c>
      <c r="F2754" s="2682">
        <v>104</v>
      </c>
      <c r="G2754" s="2682">
        <v>186</v>
      </c>
      <c r="H2754" s="2682">
        <v>2600</v>
      </c>
      <c r="I2754" s="2682">
        <v>3500</v>
      </c>
      <c r="J2754" s="2682">
        <v>0.876</v>
      </c>
      <c r="L2754" s="2682" t="s">
        <v>5922</v>
      </c>
    </row>
    <row r="2755" spans="1:12">
      <c r="A2755" s="2683" t="s">
        <v>146</v>
      </c>
      <c r="B2755" s="2683" t="s">
        <v>8907</v>
      </c>
      <c r="C2755" s="2683">
        <v>95</v>
      </c>
      <c r="D2755" s="2683">
        <v>145</v>
      </c>
      <c r="E2755" s="2683">
        <v>32</v>
      </c>
      <c r="F2755" s="2683">
        <v>182</v>
      </c>
      <c r="G2755" s="2683">
        <v>287</v>
      </c>
      <c r="H2755" s="2683">
        <v>2500</v>
      </c>
      <c r="I2755" s="2683">
        <v>3300</v>
      </c>
      <c r="J2755" s="2683">
        <v>1.88</v>
      </c>
      <c r="K2755" s="2684"/>
      <c r="L2755" s="2683" t="s">
        <v>5922</v>
      </c>
    </row>
    <row r="2756" spans="1:12">
      <c r="A2756" s="2682" t="s">
        <v>146</v>
      </c>
      <c r="B2756" s="2682" t="s">
        <v>8908</v>
      </c>
      <c r="C2756" s="2682">
        <v>95</v>
      </c>
      <c r="D2756" s="2682">
        <v>145</v>
      </c>
      <c r="E2756" s="2682">
        <v>39</v>
      </c>
      <c r="F2756" s="2682">
        <v>226</v>
      </c>
      <c r="G2756" s="2682">
        <v>382</v>
      </c>
      <c r="H2756" s="2682">
        <v>2500</v>
      </c>
      <c r="I2756" s="2682">
        <v>3300</v>
      </c>
      <c r="J2756" s="2682">
        <v>2.31</v>
      </c>
      <c r="L2756" s="2682" t="s">
        <v>5922</v>
      </c>
    </row>
    <row r="2757" spans="1:12">
      <c r="A2757" s="2683" t="s">
        <v>146</v>
      </c>
      <c r="B2757" s="2683" t="s">
        <v>8909</v>
      </c>
      <c r="C2757" s="2683">
        <v>95</v>
      </c>
      <c r="D2757" s="2683">
        <v>160</v>
      </c>
      <c r="E2757" s="2683">
        <v>46</v>
      </c>
      <c r="F2757" s="2683">
        <v>281</v>
      </c>
      <c r="G2757" s="2683">
        <v>427</v>
      </c>
      <c r="H2757" s="2683">
        <v>2300</v>
      </c>
      <c r="I2757" s="2683">
        <v>3100</v>
      </c>
      <c r="J2757" s="2683">
        <v>3.62</v>
      </c>
      <c r="K2757" s="2684"/>
      <c r="L2757" s="2683" t="s">
        <v>5922</v>
      </c>
    </row>
    <row r="2758" spans="1:12">
      <c r="A2758" s="2682" t="s">
        <v>146</v>
      </c>
      <c r="B2758" s="2682" t="s">
        <v>8910</v>
      </c>
      <c r="C2758" s="2682">
        <v>95</v>
      </c>
      <c r="D2758" s="2682">
        <v>160</v>
      </c>
      <c r="E2758" s="2682">
        <v>49</v>
      </c>
      <c r="F2758" s="2682">
        <v>304</v>
      </c>
      <c r="G2758" s="2682">
        <v>473</v>
      </c>
      <c r="H2758" s="2682">
        <v>2300</v>
      </c>
      <c r="I2758" s="2682">
        <v>3100</v>
      </c>
      <c r="J2758" s="2682">
        <v>3.89</v>
      </c>
      <c r="L2758" s="2682" t="s">
        <v>5922</v>
      </c>
    </row>
    <row r="2759" spans="1:12">
      <c r="A2759" s="2683" t="s">
        <v>146</v>
      </c>
      <c r="B2759" s="2683" t="s">
        <v>8911</v>
      </c>
      <c r="C2759" s="2683">
        <v>95</v>
      </c>
      <c r="D2759" s="2683">
        <v>170</v>
      </c>
      <c r="E2759" s="2683">
        <v>32</v>
      </c>
      <c r="F2759" s="2683">
        <v>231</v>
      </c>
      <c r="G2759" s="2683">
        <v>229</v>
      </c>
      <c r="H2759" s="2683">
        <v>2200</v>
      </c>
      <c r="I2759" s="2683">
        <v>3000</v>
      </c>
      <c r="J2759" s="2683">
        <v>3.2</v>
      </c>
      <c r="K2759" s="2684"/>
      <c r="L2759" s="2683" t="s">
        <v>5922</v>
      </c>
    </row>
    <row r="2760" spans="1:12">
      <c r="A2760" s="2682" t="s">
        <v>146</v>
      </c>
      <c r="B2760" s="2682" t="s">
        <v>8912</v>
      </c>
      <c r="C2760" s="2682">
        <v>95</v>
      </c>
      <c r="D2760" s="2682">
        <v>170</v>
      </c>
      <c r="E2760" s="2682">
        <v>43</v>
      </c>
      <c r="F2760" s="2682">
        <v>311</v>
      </c>
      <c r="G2760" s="2682">
        <v>439</v>
      </c>
      <c r="H2760" s="2682">
        <v>2200</v>
      </c>
      <c r="I2760" s="2682">
        <v>3000</v>
      </c>
      <c r="J2760" s="2682">
        <v>4.34</v>
      </c>
      <c r="L2760" s="2682" t="s">
        <v>5922</v>
      </c>
    </row>
    <row r="2761" spans="1:12">
      <c r="A2761" s="2683" t="s">
        <v>146</v>
      </c>
      <c r="B2761" s="2683" t="s">
        <v>8913</v>
      </c>
      <c r="C2761" s="2683">
        <v>95</v>
      </c>
      <c r="D2761" s="2683">
        <v>170</v>
      </c>
      <c r="E2761" s="2683">
        <v>58</v>
      </c>
      <c r="F2761" s="2683">
        <v>374</v>
      </c>
      <c r="G2761" s="2683">
        <v>582</v>
      </c>
      <c r="H2761" s="2683">
        <v>2200</v>
      </c>
      <c r="I2761" s="2683">
        <v>2900</v>
      </c>
      <c r="J2761" s="2683">
        <v>5.66</v>
      </c>
      <c r="K2761" s="2684"/>
      <c r="L2761" s="2683" t="s">
        <v>5922</v>
      </c>
    </row>
    <row r="2762" spans="1:12">
      <c r="A2762" s="2682" t="s">
        <v>146</v>
      </c>
      <c r="B2762" s="2682" t="s">
        <v>8914</v>
      </c>
      <c r="C2762" s="2682">
        <v>95</v>
      </c>
      <c r="D2762" s="2682">
        <v>200</v>
      </c>
      <c r="E2762" s="2682">
        <v>45</v>
      </c>
      <c r="F2762" s="2682">
        <v>319</v>
      </c>
      <c r="G2762" s="2682">
        <v>391</v>
      </c>
      <c r="H2762" s="2682">
        <v>1700</v>
      </c>
      <c r="I2762" s="2682">
        <v>2300</v>
      </c>
      <c r="J2762" s="2682">
        <v>6.68</v>
      </c>
      <c r="L2762" s="2682" t="s">
        <v>5922</v>
      </c>
    </row>
    <row r="2763" spans="1:12">
      <c r="A2763" s="2683" t="s">
        <v>146</v>
      </c>
      <c r="B2763" s="2683" t="s">
        <v>8915</v>
      </c>
      <c r="C2763" s="2683">
        <v>95</v>
      </c>
      <c r="D2763" s="2683">
        <v>200</v>
      </c>
      <c r="E2763" s="2683">
        <v>45</v>
      </c>
      <c r="F2763" s="2683">
        <v>317</v>
      </c>
      <c r="G2763" s="2683">
        <v>382</v>
      </c>
      <c r="H2763" s="2683">
        <v>1700</v>
      </c>
      <c r="I2763" s="2683">
        <v>2300</v>
      </c>
      <c r="J2763" s="2683">
        <v>6.84</v>
      </c>
      <c r="K2763" s="2684"/>
      <c r="L2763" s="2683" t="s">
        <v>5922</v>
      </c>
    </row>
    <row r="2764" spans="1:12">
      <c r="A2764" s="2682" t="s">
        <v>146</v>
      </c>
      <c r="B2764" s="2682" t="s">
        <v>8916</v>
      </c>
      <c r="C2764" s="2682">
        <v>95</v>
      </c>
      <c r="D2764" s="2682">
        <v>200</v>
      </c>
      <c r="E2764" s="2682">
        <v>45</v>
      </c>
      <c r="F2764" s="2682">
        <v>372</v>
      </c>
      <c r="G2764" s="2682">
        <v>455</v>
      </c>
      <c r="H2764" s="2682">
        <v>1000</v>
      </c>
      <c r="I2764" s="2682">
        <v>2600</v>
      </c>
      <c r="J2764" s="2682">
        <v>6.96</v>
      </c>
      <c r="L2764" s="2682" t="s">
        <v>5922</v>
      </c>
    </row>
    <row r="2765" spans="1:12">
      <c r="A2765" s="2683" t="s">
        <v>146</v>
      </c>
      <c r="B2765" s="2683" t="s">
        <v>8916</v>
      </c>
      <c r="C2765" s="2683">
        <v>95</v>
      </c>
      <c r="D2765" s="2683">
        <v>200</v>
      </c>
      <c r="E2765" s="2683">
        <v>45</v>
      </c>
      <c r="F2765" s="2683">
        <v>372</v>
      </c>
      <c r="G2765" s="2683">
        <v>455</v>
      </c>
      <c r="H2765" s="2683">
        <v>1000</v>
      </c>
      <c r="I2765" s="2683">
        <v>2600</v>
      </c>
      <c r="J2765" s="2683">
        <v>6.96</v>
      </c>
      <c r="K2765" s="2684"/>
      <c r="L2765" s="2683" t="s">
        <v>5922</v>
      </c>
    </row>
    <row r="2766" spans="1:12">
      <c r="A2766" s="2682" t="s">
        <v>146</v>
      </c>
      <c r="B2766" s="2682" t="s">
        <v>8917</v>
      </c>
      <c r="C2766" s="2682">
        <v>95</v>
      </c>
      <c r="D2766" s="2682">
        <v>200</v>
      </c>
      <c r="E2766" s="2682">
        <v>67</v>
      </c>
      <c r="F2766" s="2682">
        <v>517</v>
      </c>
      <c r="G2766" s="2682">
        <v>695</v>
      </c>
      <c r="H2766" s="2682">
        <v>2000</v>
      </c>
      <c r="I2766" s="2682">
        <v>2600</v>
      </c>
      <c r="J2766" s="2682">
        <v>10.1</v>
      </c>
      <c r="L2766" s="2682" t="s">
        <v>5922</v>
      </c>
    </row>
    <row r="2767" spans="1:12">
      <c r="A2767" s="2683" t="s">
        <v>146</v>
      </c>
      <c r="B2767" s="2683" t="s">
        <v>8918</v>
      </c>
      <c r="C2767" s="2683">
        <v>100</v>
      </c>
      <c r="D2767" s="2683">
        <v>140</v>
      </c>
      <c r="E2767" s="2683">
        <v>25</v>
      </c>
      <c r="F2767" s="2683">
        <v>126</v>
      </c>
      <c r="G2767" s="2683">
        <v>217</v>
      </c>
      <c r="H2767" s="2683">
        <v>2400</v>
      </c>
      <c r="I2767" s="2683">
        <v>3300</v>
      </c>
      <c r="J2767" s="2683">
        <v>1.19</v>
      </c>
      <c r="K2767" s="2684"/>
      <c r="L2767" s="2683" t="s">
        <v>5922</v>
      </c>
    </row>
    <row r="2768" spans="1:12">
      <c r="A2768" s="2682" t="s">
        <v>146</v>
      </c>
      <c r="B2768" s="2682" t="s">
        <v>8919</v>
      </c>
      <c r="C2768" s="2682">
        <v>100</v>
      </c>
      <c r="D2768" s="2682">
        <v>145</v>
      </c>
      <c r="E2768" s="2682">
        <v>22.5</v>
      </c>
      <c r="F2768" s="2682">
        <v>116</v>
      </c>
      <c r="G2768" s="2682">
        <v>167</v>
      </c>
      <c r="H2768" s="2682">
        <v>2400</v>
      </c>
      <c r="I2768" s="2682">
        <v>3200</v>
      </c>
      <c r="J2768" s="2682">
        <v>1.1200000000000001</v>
      </c>
      <c r="L2768" s="2682" t="s">
        <v>5922</v>
      </c>
    </row>
    <row r="2769" spans="1:12">
      <c r="A2769" s="2683" t="s">
        <v>146</v>
      </c>
      <c r="B2769" s="2683" t="s">
        <v>8920</v>
      </c>
      <c r="C2769" s="2683">
        <v>100</v>
      </c>
      <c r="D2769" s="2683">
        <v>150</v>
      </c>
      <c r="E2769" s="2683">
        <v>32</v>
      </c>
      <c r="F2769" s="2683">
        <v>185</v>
      </c>
      <c r="G2769" s="2683">
        <v>298</v>
      </c>
      <c r="H2769" s="2683">
        <v>2400</v>
      </c>
      <c r="I2769" s="2683">
        <v>3200</v>
      </c>
      <c r="J2769" s="2683">
        <v>1.95</v>
      </c>
      <c r="K2769" s="2684"/>
      <c r="L2769" s="2683" t="s">
        <v>5922</v>
      </c>
    </row>
    <row r="2770" spans="1:12">
      <c r="A2770" s="2682" t="s">
        <v>146</v>
      </c>
      <c r="B2770" s="2682" t="s">
        <v>8921</v>
      </c>
      <c r="C2770" s="2682">
        <v>100</v>
      </c>
      <c r="D2770" s="2682">
        <v>150</v>
      </c>
      <c r="E2770" s="2682">
        <v>39</v>
      </c>
      <c r="F2770" s="2682">
        <v>231</v>
      </c>
      <c r="G2770" s="2682">
        <v>397</v>
      </c>
      <c r="H2770" s="2682">
        <v>2400</v>
      </c>
      <c r="I2770" s="2682">
        <v>3200</v>
      </c>
      <c r="J2770" s="2682">
        <v>2.4</v>
      </c>
      <c r="L2770" s="2682" t="s">
        <v>5922</v>
      </c>
    </row>
    <row r="2771" spans="1:12">
      <c r="A2771" s="2683" t="s">
        <v>146</v>
      </c>
      <c r="B2771" s="2683" t="s">
        <v>8922</v>
      </c>
      <c r="C2771" s="2683">
        <v>100</v>
      </c>
      <c r="D2771" s="2683">
        <v>165</v>
      </c>
      <c r="E2771" s="2683">
        <v>46</v>
      </c>
      <c r="F2771" s="2683">
        <v>293</v>
      </c>
      <c r="G2771" s="2683">
        <v>458</v>
      </c>
      <c r="H2771" s="2683">
        <v>2200</v>
      </c>
      <c r="I2771" s="2683">
        <v>3000</v>
      </c>
      <c r="J2771" s="2683">
        <v>3.86</v>
      </c>
      <c r="K2771" s="2684"/>
      <c r="L2771" s="2683" t="s">
        <v>5922</v>
      </c>
    </row>
    <row r="2772" spans="1:12">
      <c r="A2772" s="2682" t="s">
        <v>146</v>
      </c>
      <c r="B2772" s="2682" t="s">
        <v>8923</v>
      </c>
      <c r="C2772" s="2682">
        <v>100</v>
      </c>
      <c r="D2772" s="2682">
        <v>165</v>
      </c>
      <c r="E2772" s="2682">
        <v>52</v>
      </c>
      <c r="F2772" s="2682">
        <v>325</v>
      </c>
      <c r="G2772" s="2682">
        <v>523</v>
      </c>
      <c r="H2772" s="2682">
        <v>2200</v>
      </c>
      <c r="I2772" s="2682">
        <v>3000</v>
      </c>
      <c r="J2772" s="2682">
        <v>4.29</v>
      </c>
      <c r="L2772" s="2682" t="s">
        <v>5922</v>
      </c>
    </row>
    <row r="2773" spans="1:12">
      <c r="A2773" s="2683" t="s">
        <v>146</v>
      </c>
      <c r="B2773" s="2683" t="s">
        <v>8924</v>
      </c>
      <c r="C2773" s="2683">
        <v>100</v>
      </c>
      <c r="D2773" s="2683">
        <v>180</v>
      </c>
      <c r="E2773" s="2683">
        <v>34</v>
      </c>
      <c r="F2773" s="2683">
        <v>258</v>
      </c>
      <c r="G2773" s="2683">
        <v>338</v>
      </c>
      <c r="H2773" s="2683">
        <v>2100</v>
      </c>
      <c r="I2773" s="2683">
        <v>2800</v>
      </c>
      <c r="J2773" s="2683">
        <v>3.83</v>
      </c>
      <c r="K2773" s="2684"/>
      <c r="L2773" s="2683" t="s">
        <v>5922</v>
      </c>
    </row>
    <row r="2774" spans="1:12">
      <c r="A2774" s="2682" t="s">
        <v>146</v>
      </c>
      <c r="B2774" s="2682" t="s">
        <v>8925</v>
      </c>
      <c r="C2774" s="2682">
        <v>100</v>
      </c>
      <c r="D2774" s="2682">
        <v>180</v>
      </c>
      <c r="E2774" s="2682">
        <v>46</v>
      </c>
      <c r="F2774" s="2682">
        <v>347</v>
      </c>
      <c r="G2774" s="2682">
        <v>495</v>
      </c>
      <c r="H2774" s="2682">
        <v>2100</v>
      </c>
      <c r="I2774" s="2682">
        <v>2800</v>
      </c>
      <c r="J2774" s="2682">
        <v>5.21</v>
      </c>
      <c r="L2774" s="2682" t="s">
        <v>5922</v>
      </c>
    </row>
    <row r="2775" spans="1:12">
      <c r="A2775" s="2683" t="s">
        <v>146</v>
      </c>
      <c r="B2775" s="2683" t="s">
        <v>8926</v>
      </c>
      <c r="C2775" s="2683">
        <v>100</v>
      </c>
      <c r="D2775" s="2683">
        <v>180</v>
      </c>
      <c r="E2775" s="2683">
        <v>63</v>
      </c>
      <c r="F2775" s="2683">
        <v>431</v>
      </c>
      <c r="G2775" s="2683">
        <v>680</v>
      </c>
      <c r="H2775" s="2683">
        <v>2100</v>
      </c>
      <c r="I2775" s="2683">
        <v>2800</v>
      </c>
      <c r="J2775" s="2683">
        <v>6.91</v>
      </c>
      <c r="K2775" s="2684"/>
      <c r="L2775" s="2683" t="s">
        <v>5922</v>
      </c>
    </row>
    <row r="2776" spans="1:12">
      <c r="A2776" s="2682" t="s">
        <v>146</v>
      </c>
      <c r="B2776" s="2682" t="s">
        <v>8927</v>
      </c>
      <c r="C2776" s="2682">
        <v>100</v>
      </c>
      <c r="D2776" s="2682">
        <v>215</v>
      </c>
      <c r="E2776" s="2682">
        <v>47</v>
      </c>
      <c r="F2776" s="2682">
        <v>318</v>
      </c>
      <c r="G2776" s="2682">
        <v>374</v>
      </c>
      <c r="H2776" s="2682">
        <v>1500</v>
      </c>
      <c r="I2776" s="2682">
        <v>2100</v>
      </c>
      <c r="J2776" s="2682">
        <v>8.02</v>
      </c>
      <c r="L2776" s="2682" t="s">
        <v>5922</v>
      </c>
    </row>
    <row r="2777" spans="1:12">
      <c r="A2777" s="2683" t="s">
        <v>146</v>
      </c>
      <c r="B2777" s="2683" t="s">
        <v>8928</v>
      </c>
      <c r="C2777" s="2683">
        <v>100</v>
      </c>
      <c r="D2777" s="2683">
        <v>215</v>
      </c>
      <c r="E2777" s="2683">
        <v>47</v>
      </c>
      <c r="F2777" s="2683">
        <v>422</v>
      </c>
      <c r="G2777" s="2683">
        <v>521</v>
      </c>
      <c r="H2777" s="2683">
        <v>1800</v>
      </c>
      <c r="I2777" s="2683">
        <v>2400</v>
      </c>
      <c r="J2777" s="2683">
        <v>8.49</v>
      </c>
      <c r="K2777" s="2684"/>
      <c r="L2777" s="2683" t="s">
        <v>5922</v>
      </c>
    </row>
    <row r="2778" spans="1:12">
      <c r="A2778" s="2682" t="s">
        <v>146</v>
      </c>
      <c r="B2778" s="2682" t="s">
        <v>8929</v>
      </c>
      <c r="C2778" s="2682">
        <v>100</v>
      </c>
      <c r="D2778" s="2682">
        <v>215</v>
      </c>
      <c r="E2778" s="2682">
        <v>51</v>
      </c>
      <c r="F2778" s="2682">
        <v>373</v>
      </c>
      <c r="G2778" s="2682">
        <v>459</v>
      </c>
      <c r="H2778" s="2682">
        <v>1500</v>
      </c>
      <c r="I2778" s="2682">
        <v>2200</v>
      </c>
      <c r="J2778" s="2682">
        <v>8.7200000000000006</v>
      </c>
      <c r="L2778" s="2682" t="s">
        <v>5922</v>
      </c>
    </row>
    <row r="2779" spans="1:12">
      <c r="A2779" s="2683" t="s">
        <v>146</v>
      </c>
      <c r="B2779" s="2683" t="s">
        <v>8930</v>
      </c>
      <c r="C2779" s="2683">
        <v>100</v>
      </c>
      <c r="D2779" s="2683">
        <v>215</v>
      </c>
      <c r="E2779" s="2683">
        <v>73</v>
      </c>
      <c r="F2779" s="2683">
        <v>579</v>
      </c>
      <c r="G2779" s="2683">
        <v>783</v>
      </c>
      <c r="H2779" s="2683">
        <v>1800</v>
      </c>
      <c r="I2779" s="2683">
        <v>2400</v>
      </c>
      <c r="J2779" s="2683">
        <v>13</v>
      </c>
      <c r="K2779" s="2684"/>
      <c r="L2779" s="2683" t="s">
        <v>5922</v>
      </c>
    </row>
    <row r="2780" spans="1:12">
      <c r="A2780" s="2682" t="s">
        <v>146</v>
      </c>
      <c r="B2780" s="2682" t="s">
        <v>8931</v>
      </c>
      <c r="C2780" s="2682">
        <v>105</v>
      </c>
      <c r="D2780" s="2682">
        <v>145</v>
      </c>
      <c r="E2780" s="2682">
        <v>25</v>
      </c>
      <c r="F2780" s="2682">
        <v>128</v>
      </c>
      <c r="G2780" s="2682">
        <v>224</v>
      </c>
      <c r="H2780" s="2682">
        <v>2400</v>
      </c>
      <c r="I2780" s="2682">
        <v>3100</v>
      </c>
      <c r="J2780" s="2682">
        <v>1.23</v>
      </c>
      <c r="L2780" s="2682" t="s">
        <v>5922</v>
      </c>
    </row>
    <row r="2781" spans="1:12">
      <c r="A2781" s="2683" t="s">
        <v>146</v>
      </c>
      <c r="B2781" s="2683" t="s">
        <v>8932</v>
      </c>
      <c r="C2781" s="2683">
        <v>105</v>
      </c>
      <c r="D2781" s="2683">
        <v>160</v>
      </c>
      <c r="E2781" s="2683">
        <v>35</v>
      </c>
      <c r="F2781" s="2683">
        <v>215</v>
      </c>
      <c r="G2781" s="2683">
        <v>344</v>
      </c>
      <c r="H2781" s="2683">
        <v>2200</v>
      </c>
      <c r="I2781" s="2683">
        <v>3000</v>
      </c>
      <c r="J2781" s="2683">
        <v>2.4500000000000002</v>
      </c>
      <c r="K2781" s="2684"/>
      <c r="L2781" s="2683" t="s">
        <v>5922</v>
      </c>
    </row>
    <row r="2782" spans="1:12">
      <c r="A2782" s="2682" t="s">
        <v>146</v>
      </c>
      <c r="B2782" s="2682" t="s">
        <v>8933</v>
      </c>
      <c r="C2782" s="2682">
        <v>105</v>
      </c>
      <c r="D2782" s="2682">
        <v>160</v>
      </c>
      <c r="E2782" s="2682">
        <v>43</v>
      </c>
      <c r="F2782" s="2682">
        <v>267</v>
      </c>
      <c r="G2782" s="2682">
        <v>461</v>
      </c>
      <c r="H2782" s="2682">
        <v>2200</v>
      </c>
      <c r="I2782" s="2682">
        <v>3000</v>
      </c>
      <c r="J2782" s="2682">
        <v>3.08</v>
      </c>
      <c r="L2782" s="2682" t="s">
        <v>5922</v>
      </c>
    </row>
    <row r="2783" spans="1:12">
      <c r="A2783" s="2683" t="s">
        <v>146</v>
      </c>
      <c r="B2783" s="2683" t="s">
        <v>8934</v>
      </c>
      <c r="C2783" s="2683">
        <v>105</v>
      </c>
      <c r="D2783" s="2683">
        <v>175</v>
      </c>
      <c r="E2783" s="2683">
        <v>56</v>
      </c>
      <c r="F2783" s="2683">
        <v>360</v>
      </c>
      <c r="G2783" s="2683">
        <v>607</v>
      </c>
      <c r="H2783" s="2683">
        <v>2100</v>
      </c>
      <c r="I2783" s="2683">
        <v>2800</v>
      </c>
      <c r="J2783" s="2683">
        <v>5.33</v>
      </c>
      <c r="K2783" s="2684"/>
      <c r="L2783" s="2683" t="s">
        <v>5922</v>
      </c>
    </row>
    <row r="2784" spans="1:12">
      <c r="A2784" s="2682" t="s">
        <v>146</v>
      </c>
      <c r="B2784" s="2682" t="s">
        <v>8935</v>
      </c>
      <c r="C2784" s="2682">
        <v>105</v>
      </c>
      <c r="D2784" s="2682">
        <v>190</v>
      </c>
      <c r="E2784" s="2682">
        <v>36</v>
      </c>
      <c r="F2784" s="2682">
        <v>288</v>
      </c>
      <c r="G2784" s="2682">
        <v>380</v>
      </c>
      <c r="H2784" s="2682">
        <v>2000</v>
      </c>
      <c r="I2784" s="2682">
        <v>2600</v>
      </c>
      <c r="J2784" s="2682">
        <v>4.49</v>
      </c>
      <c r="L2784" s="2682" t="s">
        <v>5922</v>
      </c>
    </row>
    <row r="2785" spans="1:12">
      <c r="A2785" s="2683" t="s">
        <v>146</v>
      </c>
      <c r="B2785" s="2683" t="s">
        <v>8936</v>
      </c>
      <c r="C2785" s="2683">
        <v>105</v>
      </c>
      <c r="D2785" s="2683">
        <v>190</v>
      </c>
      <c r="E2785" s="2683">
        <v>50</v>
      </c>
      <c r="F2785" s="2683">
        <v>392</v>
      </c>
      <c r="G2785" s="2683">
        <v>567</v>
      </c>
      <c r="H2785" s="2683">
        <v>2000</v>
      </c>
      <c r="I2785" s="2683">
        <v>2700</v>
      </c>
      <c r="J2785" s="2683">
        <v>6.37</v>
      </c>
      <c r="K2785" s="2684"/>
      <c r="L2785" s="2683" t="s">
        <v>5922</v>
      </c>
    </row>
    <row r="2786" spans="1:12">
      <c r="A2786" s="2682" t="s">
        <v>146</v>
      </c>
      <c r="B2786" s="2682" t="s">
        <v>8937</v>
      </c>
      <c r="C2786" s="2682">
        <v>105</v>
      </c>
      <c r="D2786" s="2682">
        <v>190</v>
      </c>
      <c r="E2786" s="2682">
        <v>68</v>
      </c>
      <c r="F2786" s="2682">
        <v>497</v>
      </c>
      <c r="G2786" s="2682">
        <v>790</v>
      </c>
      <c r="H2786" s="2682">
        <v>2000</v>
      </c>
      <c r="I2786" s="2682">
        <v>2600</v>
      </c>
      <c r="J2786" s="2682">
        <v>8.43</v>
      </c>
      <c r="L2786" s="2682" t="s">
        <v>5922</v>
      </c>
    </row>
    <row r="2787" spans="1:12">
      <c r="A2787" s="2683" t="s">
        <v>146</v>
      </c>
      <c r="B2787" s="2683" t="s">
        <v>8938</v>
      </c>
      <c r="C2787" s="2683">
        <v>105</v>
      </c>
      <c r="D2787" s="2683">
        <v>225</v>
      </c>
      <c r="E2787" s="2683">
        <v>49</v>
      </c>
      <c r="F2787" s="2683">
        <v>339</v>
      </c>
      <c r="G2787" s="2683">
        <v>396</v>
      </c>
      <c r="H2787" s="2683">
        <v>1400</v>
      </c>
      <c r="I2787" s="2683">
        <v>2000</v>
      </c>
      <c r="J2787" s="2683">
        <v>8.76</v>
      </c>
      <c r="K2787" s="2684"/>
      <c r="L2787" s="2683" t="s">
        <v>5922</v>
      </c>
    </row>
    <row r="2788" spans="1:12">
      <c r="A2788" s="2682" t="s">
        <v>146</v>
      </c>
      <c r="B2788" s="2682" t="s">
        <v>8939</v>
      </c>
      <c r="C2788" s="2682">
        <v>105</v>
      </c>
      <c r="D2788" s="2682">
        <v>225</v>
      </c>
      <c r="E2788" s="2682">
        <v>49</v>
      </c>
      <c r="F2788" s="2682">
        <v>464</v>
      </c>
      <c r="G2788" s="2682">
        <v>578</v>
      </c>
      <c r="H2788" s="2682">
        <v>1700</v>
      </c>
      <c r="I2788" s="2682">
        <v>2300</v>
      </c>
      <c r="J2788" s="2682">
        <v>9.73</v>
      </c>
      <c r="L2788" s="2682" t="s">
        <v>5922</v>
      </c>
    </row>
    <row r="2789" spans="1:12">
      <c r="A2789" s="2683" t="s">
        <v>146</v>
      </c>
      <c r="B2789" s="2683" t="s">
        <v>8940</v>
      </c>
      <c r="C2789" s="2683">
        <v>105</v>
      </c>
      <c r="D2789" s="2683">
        <v>225</v>
      </c>
      <c r="E2789" s="2683">
        <v>53</v>
      </c>
      <c r="F2789" s="2683">
        <v>397</v>
      </c>
      <c r="G2789" s="2683">
        <v>489</v>
      </c>
      <c r="H2789" s="2683">
        <v>1500</v>
      </c>
      <c r="I2789" s="2683">
        <v>2100</v>
      </c>
      <c r="J2789" s="2683">
        <v>9.7200000000000006</v>
      </c>
      <c r="K2789" s="2684"/>
      <c r="L2789" s="2683" t="s">
        <v>5922</v>
      </c>
    </row>
    <row r="2790" spans="1:12">
      <c r="A2790" s="2682" t="s">
        <v>146</v>
      </c>
      <c r="B2790" s="2682" t="s">
        <v>8941</v>
      </c>
      <c r="C2790" s="2682">
        <v>105</v>
      </c>
      <c r="D2790" s="2682">
        <v>225</v>
      </c>
      <c r="E2790" s="2682">
        <v>77</v>
      </c>
      <c r="F2790" s="2682">
        <v>635</v>
      </c>
      <c r="G2790" s="2682">
        <v>866</v>
      </c>
      <c r="H2790" s="2682">
        <v>1800</v>
      </c>
      <c r="I2790" s="2682">
        <v>2300</v>
      </c>
      <c r="J2790" s="2682">
        <v>14.9</v>
      </c>
      <c r="L2790" s="2682" t="s">
        <v>5922</v>
      </c>
    </row>
    <row r="2791" spans="1:12">
      <c r="A2791" s="2683" t="s">
        <v>146</v>
      </c>
      <c r="B2791" s="2683" t="s">
        <v>8942</v>
      </c>
      <c r="C2791" s="2683">
        <v>110</v>
      </c>
      <c r="D2791" s="2683">
        <v>150</v>
      </c>
      <c r="E2791" s="2683">
        <v>25</v>
      </c>
      <c r="F2791" s="2683">
        <v>129</v>
      </c>
      <c r="G2791" s="2683">
        <v>231</v>
      </c>
      <c r="H2791" s="2683">
        <v>2300</v>
      </c>
      <c r="I2791" s="2683">
        <v>3000</v>
      </c>
      <c r="J2791" s="2683">
        <v>1.28</v>
      </c>
      <c r="K2791" s="2684"/>
      <c r="L2791" s="2683" t="s">
        <v>5922</v>
      </c>
    </row>
    <row r="2792" spans="1:12">
      <c r="A2792" s="2682" t="s">
        <v>146</v>
      </c>
      <c r="B2792" s="2682" t="s">
        <v>8943</v>
      </c>
      <c r="C2792" s="2682">
        <v>110</v>
      </c>
      <c r="D2792" s="2682">
        <v>160</v>
      </c>
      <c r="E2792" s="2682">
        <v>25.5</v>
      </c>
      <c r="F2792" s="2682">
        <v>146</v>
      </c>
      <c r="G2792" s="2682">
        <v>225</v>
      </c>
      <c r="H2792" s="2682">
        <v>2200</v>
      </c>
      <c r="I2792" s="2682">
        <v>2900</v>
      </c>
      <c r="J2792" s="2682">
        <v>1.63</v>
      </c>
      <c r="L2792" s="2682" t="s">
        <v>5922</v>
      </c>
    </row>
    <row r="2793" spans="1:12">
      <c r="A2793" s="2683" t="s">
        <v>146</v>
      </c>
      <c r="B2793" s="2683" t="s">
        <v>8944</v>
      </c>
      <c r="C2793" s="2683">
        <v>110</v>
      </c>
      <c r="D2793" s="2683">
        <v>170</v>
      </c>
      <c r="E2793" s="2683">
        <v>38</v>
      </c>
      <c r="F2793" s="2683">
        <v>248</v>
      </c>
      <c r="G2793" s="2683">
        <v>395</v>
      </c>
      <c r="H2793" s="2683">
        <v>2100</v>
      </c>
      <c r="I2793" s="2683">
        <v>2800</v>
      </c>
      <c r="J2793" s="2683">
        <v>3.12</v>
      </c>
      <c r="K2793" s="2684"/>
      <c r="L2793" s="2683" t="s">
        <v>5922</v>
      </c>
    </row>
    <row r="2794" spans="1:12">
      <c r="A2794" s="2682" t="s">
        <v>146</v>
      </c>
      <c r="B2794" s="2682" t="s">
        <v>8945</v>
      </c>
      <c r="C2794" s="2682">
        <v>110</v>
      </c>
      <c r="D2794" s="2682">
        <v>170</v>
      </c>
      <c r="E2794" s="2682">
        <v>47</v>
      </c>
      <c r="F2794" s="2682">
        <v>287</v>
      </c>
      <c r="G2794" s="2682">
        <v>502</v>
      </c>
      <c r="H2794" s="2682">
        <v>2100</v>
      </c>
      <c r="I2794" s="2682">
        <v>2800</v>
      </c>
      <c r="J2794" s="2682">
        <v>3.81</v>
      </c>
      <c r="L2794" s="2682" t="s">
        <v>5922</v>
      </c>
    </row>
    <row r="2795" spans="1:12">
      <c r="A2795" s="2683" t="s">
        <v>146</v>
      </c>
      <c r="B2795" s="2683" t="s">
        <v>8946</v>
      </c>
      <c r="C2795" s="2683">
        <v>110</v>
      </c>
      <c r="D2795" s="2683">
        <v>180</v>
      </c>
      <c r="E2795" s="2683">
        <v>56</v>
      </c>
      <c r="F2795" s="2683">
        <v>369</v>
      </c>
      <c r="G2795" s="2683">
        <v>634</v>
      </c>
      <c r="H2795" s="2683">
        <v>2000</v>
      </c>
      <c r="I2795" s="2683">
        <v>2700</v>
      </c>
      <c r="J2795" s="2683">
        <v>5.52</v>
      </c>
      <c r="K2795" s="2684"/>
      <c r="L2795" s="2683" t="s">
        <v>5922</v>
      </c>
    </row>
    <row r="2796" spans="1:12">
      <c r="A2796" s="2682" t="s">
        <v>146</v>
      </c>
      <c r="B2796" s="2682" t="s">
        <v>8947</v>
      </c>
      <c r="C2796" s="2682">
        <v>110</v>
      </c>
      <c r="D2796" s="2682">
        <v>200</v>
      </c>
      <c r="E2796" s="2682">
        <v>53</v>
      </c>
      <c r="F2796" s="2682">
        <v>438</v>
      </c>
      <c r="G2796" s="2682">
        <v>640</v>
      </c>
      <c r="H2796" s="2682">
        <v>1900</v>
      </c>
      <c r="I2796" s="2682">
        <v>2500</v>
      </c>
      <c r="J2796" s="2682">
        <v>7.45</v>
      </c>
      <c r="L2796" s="2682" t="s">
        <v>5922</v>
      </c>
    </row>
    <row r="2797" spans="1:12">
      <c r="A2797" s="2683" t="s">
        <v>146</v>
      </c>
      <c r="B2797" s="2683" t="s">
        <v>8948</v>
      </c>
      <c r="C2797" s="2683">
        <v>110</v>
      </c>
      <c r="D2797" s="2683">
        <v>240</v>
      </c>
      <c r="E2797" s="2683">
        <v>50</v>
      </c>
      <c r="F2797" s="2683">
        <v>365</v>
      </c>
      <c r="G2797" s="2683">
        <v>429</v>
      </c>
      <c r="H2797" s="2683">
        <v>1400</v>
      </c>
      <c r="I2797" s="2683">
        <v>1900</v>
      </c>
      <c r="J2797" s="2683">
        <v>10.199999999999999</v>
      </c>
      <c r="K2797" s="2684"/>
      <c r="L2797" s="2683" t="s">
        <v>5922</v>
      </c>
    </row>
    <row r="2798" spans="1:12">
      <c r="A2798" s="2682" t="s">
        <v>146</v>
      </c>
      <c r="B2798" s="2682" t="s">
        <v>8949</v>
      </c>
      <c r="C2798" s="2682">
        <v>110</v>
      </c>
      <c r="D2798" s="2682">
        <v>240</v>
      </c>
      <c r="E2798" s="2682">
        <v>50</v>
      </c>
      <c r="F2798" s="2682">
        <v>481</v>
      </c>
      <c r="G2798" s="2682">
        <v>590</v>
      </c>
      <c r="H2798" s="2682">
        <v>1600</v>
      </c>
      <c r="I2798" s="2682">
        <v>2100</v>
      </c>
      <c r="J2798" s="2682">
        <v>11.4</v>
      </c>
      <c r="L2798" s="2682" t="s">
        <v>5922</v>
      </c>
    </row>
    <row r="2799" spans="1:12">
      <c r="A2799" s="2683" t="s">
        <v>146</v>
      </c>
      <c r="B2799" s="2683" t="s">
        <v>8950</v>
      </c>
      <c r="C2799" s="2683">
        <v>110</v>
      </c>
      <c r="D2799" s="2683">
        <v>240</v>
      </c>
      <c r="E2799" s="2683">
        <v>57</v>
      </c>
      <c r="F2799" s="2683">
        <v>452</v>
      </c>
      <c r="G2799" s="2683">
        <v>563</v>
      </c>
      <c r="H2799" s="2683">
        <v>1400</v>
      </c>
      <c r="I2799" s="2683">
        <v>1900</v>
      </c>
      <c r="J2799" s="2683">
        <v>12.2</v>
      </c>
      <c r="K2799" s="2684"/>
      <c r="L2799" s="2683" t="s">
        <v>5922</v>
      </c>
    </row>
    <row r="2800" spans="1:12">
      <c r="A2800" s="2682" t="s">
        <v>146</v>
      </c>
      <c r="B2800" s="2682" t="s">
        <v>8951</v>
      </c>
      <c r="C2800" s="2682">
        <v>110</v>
      </c>
      <c r="D2800" s="2682">
        <v>240</v>
      </c>
      <c r="E2800" s="2682">
        <v>80</v>
      </c>
      <c r="F2800" s="2682">
        <v>691</v>
      </c>
      <c r="G2800" s="2682">
        <v>943</v>
      </c>
      <c r="H2800" s="2682">
        <v>1600</v>
      </c>
      <c r="I2800" s="2682">
        <v>2200</v>
      </c>
      <c r="J2800" s="2682">
        <v>17.8</v>
      </c>
      <c r="L2800" s="2682" t="s">
        <v>5922</v>
      </c>
    </row>
    <row r="2801" spans="1:12">
      <c r="A2801" s="2683" t="s">
        <v>146</v>
      </c>
      <c r="B2801" s="2683">
        <v>7723</v>
      </c>
      <c r="C2801" s="2683">
        <v>115</v>
      </c>
      <c r="D2801" s="2683">
        <v>190</v>
      </c>
      <c r="E2801" s="2683">
        <v>49</v>
      </c>
      <c r="F2801" s="2683">
        <v>156</v>
      </c>
      <c r="G2801" s="2683">
        <v>439</v>
      </c>
      <c r="H2801" s="2683">
        <v>1600</v>
      </c>
      <c r="I2801" s="2683">
        <v>2200</v>
      </c>
      <c r="J2801" s="2683">
        <v>5.13</v>
      </c>
      <c r="K2801" s="2684"/>
      <c r="L2801" s="2683" t="s">
        <v>5922</v>
      </c>
    </row>
    <row r="2802" spans="1:12">
      <c r="A2802" s="2682" t="s">
        <v>146</v>
      </c>
      <c r="B2802" s="2682" t="s">
        <v>8952</v>
      </c>
      <c r="C2802" s="2682">
        <v>120</v>
      </c>
      <c r="D2802" s="2682">
        <v>165</v>
      </c>
      <c r="E2802" s="2682">
        <v>29</v>
      </c>
      <c r="F2802" s="2682">
        <v>172</v>
      </c>
      <c r="G2802" s="2682">
        <v>298</v>
      </c>
      <c r="H2802" s="2682">
        <v>2100</v>
      </c>
      <c r="I2802" s="2682">
        <v>2700</v>
      </c>
      <c r="J2802" s="2682">
        <v>1.77</v>
      </c>
      <c r="L2802" s="2682" t="s">
        <v>5922</v>
      </c>
    </row>
    <row r="2803" spans="1:12">
      <c r="A2803" s="2683" t="s">
        <v>146</v>
      </c>
      <c r="B2803" s="2683" t="s">
        <v>8953</v>
      </c>
      <c r="C2803" s="2683">
        <v>120</v>
      </c>
      <c r="D2803" s="2683">
        <v>170</v>
      </c>
      <c r="E2803" s="2683">
        <v>25</v>
      </c>
      <c r="F2803" s="2683">
        <v>164</v>
      </c>
      <c r="G2803" s="2683">
        <v>262</v>
      </c>
      <c r="H2803" s="2683">
        <v>2000</v>
      </c>
      <c r="I2803" s="2683">
        <v>2700</v>
      </c>
      <c r="J2803" s="2683">
        <v>1.76</v>
      </c>
      <c r="K2803" s="2684"/>
      <c r="L2803" s="2683" t="s">
        <v>5922</v>
      </c>
    </row>
    <row r="2804" spans="1:12">
      <c r="A2804" s="2682" t="s">
        <v>146</v>
      </c>
      <c r="B2804" s="2682" t="s">
        <v>8954</v>
      </c>
      <c r="C2804" s="2682">
        <v>120</v>
      </c>
      <c r="D2804" s="2682">
        <v>180</v>
      </c>
      <c r="E2804" s="2682">
        <v>38</v>
      </c>
      <c r="F2804" s="2682">
        <v>258</v>
      </c>
      <c r="G2804" s="2682">
        <v>427</v>
      </c>
      <c r="H2804" s="2682">
        <v>2000</v>
      </c>
      <c r="I2804" s="2682">
        <v>2600</v>
      </c>
      <c r="J2804" s="2682">
        <v>3.34</v>
      </c>
      <c r="L2804" s="2682" t="s">
        <v>5922</v>
      </c>
    </row>
    <row r="2805" spans="1:12">
      <c r="A2805" s="2683" t="s">
        <v>146</v>
      </c>
      <c r="B2805" s="2683" t="s">
        <v>8955</v>
      </c>
      <c r="C2805" s="2683">
        <v>120</v>
      </c>
      <c r="D2805" s="2683">
        <v>180</v>
      </c>
      <c r="E2805" s="2683">
        <v>48</v>
      </c>
      <c r="F2805" s="2683">
        <v>299</v>
      </c>
      <c r="G2805" s="2683">
        <v>540</v>
      </c>
      <c r="H2805" s="2683">
        <v>2000</v>
      </c>
      <c r="I2805" s="2683">
        <v>2600</v>
      </c>
      <c r="J2805" s="2683">
        <v>4.16</v>
      </c>
      <c r="K2805" s="2684"/>
      <c r="L2805" s="2683" t="s">
        <v>5922</v>
      </c>
    </row>
    <row r="2806" spans="1:12">
      <c r="A2806" s="2682" t="s">
        <v>146</v>
      </c>
      <c r="B2806" s="2682" t="s">
        <v>8956</v>
      </c>
      <c r="C2806" s="2682">
        <v>120</v>
      </c>
      <c r="D2806" s="2682">
        <v>200</v>
      </c>
      <c r="E2806" s="2682">
        <v>62</v>
      </c>
      <c r="F2806" s="2682">
        <v>462</v>
      </c>
      <c r="G2806" s="2682">
        <v>785</v>
      </c>
      <c r="H2806" s="2682">
        <v>1800</v>
      </c>
      <c r="I2806" s="2682">
        <v>2400</v>
      </c>
      <c r="J2806" s="2682">
        <v>7.73</v>
      </c>
      <c r="L2806" s="2682" t="s">
        <v>5922</v>
      </c>
    </row>
    <row r="2807" spans="1:12">
      <c r="A2807" s="2683" t="s">
        <v>146</v>
      </c>
      <c r="B2807" s="2683" t="s">
        <v>8956</v>
      </c>
      <c r="C2807" s="2683">
        <v>120</v>
      </c>
      <c r="D2807" s="2683">
        <v>200</v>
      </c>
      <c r="E2807" s="2683">
        <v>62</v>
      </c>
      <c r="F2807" s="2683">
        <v>462</v>
      </c>
      <c r="G2807" s="2683">
        <v>785</v>
      </c>
      <c r="H2807" s="2683">
        <v>1800</v>
      </c>
      <c r="I2807" s="2683">
        <v>2400</v>
      </c>
      <c r="J2807" s="2683">
        <v>7.73</v>
      </c>
      <c r="K2807" s="2684"/>
      <c r="L2807" s="2683" t="s">
        <v>5922</v>
      </c>
    </row>
    <row r="2808" spans="1:12">
      <c r="A2808" s="2682" t="s">
        <v>146</v>
      </c>
      <c r="B2808" s="2682" t="s">
        <v>8957</v>
      </c>
      <c r="C2808" s="2682">
        <v>120</v>
      </c>
      <c r="D2808" s="2682">
        <v>215</v>
      </c>
      <c r="E2808" s="2682">
        <v>40</v>
      </c>
      <c r="F2808" s="2682">
        <v>347</v>
      </c>
      <c r="G2808" s="2682">
        <v>473</v>
      </c>
      <c r="H2808" s="2682">
        <v>1700</v>
      </c>
      <c r="I2808" s="2682">
        <v>2300</v>
      </c>
      <c r="J2808" s="2682">
        <v>6.36</v>
      </c>
      <c r="L2808" s="2682" t="s">
        <v>5922</v>
      </c>
    </row>
    <row r="2809" spans="1:12">
      <c r="A2809" s="2683" t="s">
        <v>146</v>
      </c>
      <c r="B2809" s="2683" t="s">
        <v>8958</v>
      </c>
      <c r="C2809" s="2683">
        <v>120</v>
      </c>
      <c r="D2809" s="2683">
        <v>215</v>
      </c>
      <c r="E2809" s="2683">
        <v>58</v>
      </c>
      <c r="F2809" s="2683">
        <v>470</v>
      </c>
      <c r="G2809" s="2683">
        <v>691</v>
      </c>
      <c r="H2809" s="2683">
        <v>1700</v>
      </c>
      <c r="I2809" s="2683">
        <v>2300</v>
      </c>
      <c r="J2809" s="2683">
        <v>9.0399999999999991</v>
      </c>
      <c r="K2809" s="2684"/>
      <c r="L2809" s="2683" t="s">
        <v>5922</v>
      </c>
    </row>
    <row r="2810" spans="1:12">
      <c r="A2810" s="2682" t="s">
        <v>146</v>
      </c>
      <c r="B2810" s="2682" t="s">
        <v>8959</v>
      </c>
      <c r="C2810" s="2682">
        <v>120</v>
      </c>
      <c r="D2810" s="2682">
        <v>260</v>
      </c>
      <c r="E2810" s="2682">
        <v>55</v>
      </c>
      <c r="F2810" s="2682">
        <v>430</v>
      </c>
      <c r="G2810" s="2682">
        <v>512</v>
      </c>
      <c r="H2810" s="2682">
        <v>1200</v>
      </c>
      <c r="I2810" s="2682">
        <v>1700</v>
      </c>
      <c r="J2810" s="2682">
        <v>13</v>
      </c>
      <c r="L2810" s="2682" t="s">
        <v>5922</v>
      </c>
    </row>
    <row r="2811" spans="1:12">
      <c r="A2811" s="2683" t="s">
        <v>146</v>
      </c>
      <c r="B2811" s="2683" t="s">
        <v>8960</v>
      </c>
      <c r="C2811" s="2683">
        <v>120</v>
      </c>
      <c r="D2811" s="2683">
        <v>260</v>
      </c>
      <c r="E2811" s="2683">
        <v>55</v>
      </c>
      <c r="F2811" s="2683">
        <v>569</v>
      </c>
      <c r="G2811" s="2683">
        <v>714</v>
      </c>
      <c r="H2811" s="2683">
        <v>1500</v>
      </c>
      <c r="I2811" s="2683">
        <v>2000</v>
      </c>
      <c r="J2811" s="2683">
        <v>14.5</v>
      </c>
      <c r="K2811" s="2684"/>
      <c r="L2811" s="2683" t="s">
        <v>5922</v>
      </c>
    </row>
    <row r="2812" spans="1:12">
      <c r="A2812" s="2682" t="s">
        <v>146</v>
      </c>
      <c r="B2812" s="2682" t="s">
        <v>8961</v>
      </c>
      <c r="C2812" s="2682">
        <v>120</v>
      </c>
      <c r="D2812" s="2682">
        <v>260</v>
      </c>
      <c r="E2812" s="2682">
        <v>62</v>
      </c>
      <c r="F2812" s="2682">
        <v>526</v>
      </c>
      <c r="G2812" s="2682">
        <v>665</v>
      </c>
      <c r="H2812" s="2682">
        <v>1300</v>
      </c>
      <c r="I2812" s="2682">
        <v>1800</v>
      </c>
      <c r="J2812" s="2682">
        <v>15.4</v>
      </c>
      <c r="L2812" s="2682" t="s">
        <v>5922</v>
      </c>
    </row>
    <row r="2813" spans="1:12">
      <c r="A2813" s="2683" t="s">
        <v>146</v>
      </c>
      <c r="B2813" s="2683" t="s">
        <v>8962</v>
      </c>
      <c r="C2813" s="2683">
        <v>120</v>
      </c>
      <c r="D2813" s="2683">
        <v>260</v>
      </c>
      <c r="E2813" s="2683">
        <v>86</v>
      </c>
      <c r="F2813" s="2683">
        <v>800</v>
      </c>
      <c r="G2813" s="2683">
        <v>1110</v>
      </c>
      <c r="H2813" s="2683">
        <v>1500</v>
      </c>
      <c r="I2813" s="2683">
        <v>2000</v>
      </c>
      <c r="J2813" s="2683">
        <v>22.2</v>
      </c>
      <c r="K2813" s="2684"/>
      <c r="L2813" s="2683" t="s">
        <v>5922</v>
      </c>
    </row>
    <row r="2814" spans="1:12">
      <c r="A2814" s="2682" t="s">
        <v>146</v>
      </c>
      <c r="B2814" s="2682" t="s">
        <v>8963</v>
      </c>
      <c r="C2814" s="2682">
        <v>120</v>
      </c>
      <c r="D2814" s="2682">
        <v>260</v>
      </c>
      <c r="E2814" s="2682">
        <v>86</v>
      </c>
      <c r="F2814" s="2682">
        <v>797</v>
      </c>
      <c r="G2814" s="2682">
        <v>1110</v>
      </c>
      <c r="H2814" s="2682">
        <v>1500</v>
      </c>
      <c r="I2814" s="2682">
        <v>2000</v>
      </c>
      <c r="J2814" s="2682">
        <v>21.8</v>
      </c>
      <c r="L2814" s="2682" t="s">
        <v>5922</v>
      </c>
    </row>
    <row r="2815" spans="1:12">
      <c r="A2815" s="2683" t="s">
        <v>146</v>
      </c>
      <c r="B2815" s="2683" t="s">
        <v>8964</v>
      </c>
      <c r="C2815" s="2683">
        <v>130</v>
      </c>
      <c r="D2815" s="2683">
        <v>180</v>
      </c>
      <c r="E2815" s="2683">
        <v>32</v>
      </c>
      <c r="F2815" s="2683">
        <v>200</v>
      </c>
      <c r="G2815" s="2683">
        <v>368</v>
      </c>
      <c r="H2815" s="2683">
        <v>1900</v>
      </c>
      <c r="I2815" s="2683">
        <v>2500</v>
      </c>
      <c r="J2815" s="2683">
        <v>2.42</v>
      </c>
      <c r="K2815" s="2684"/>
      <c r="L2815" s="2683" t="s">
        <v>5922</v>
      </c>
    </row>
    <row r="2816" spans="1:12">
      <c r="A2816" s="2682" t="s">
        <v>146</v>
      </c>
      <c r="B2816" s="2682" t="s">
        <v>8965</v>
      </c>
      <c r="C2816" s="2682">
        <v>130</v>
      </c>
      <c r="D2816" s="2682">
        <v>185</v>
      </c>
      <c r="E2816" s="2682">
        <v>27</v>
      </c>
      <c r="F2816" s="2682">
        <v>183</v>
      </c>
      <c r="G2816" s="2682">
        <v>282</v>
      </c>
      <c r="H2816" s="2682">
        <v>1800</v>
      </c>
      <c r="I2816" s="2682">
        <v>2500</v>
      </c>
      <c r="J2816" s="2682">
        <v>2.2200000000000002</v>
      </c>
      <c r="L2816" s="2682" t="s">
        <v>5922</v>
      </c>
    </row>
    <row r="2817" spans="1:12">
      <c r="A2817" s="2683" t="s">
        <v>146</v>
      </c>
      <c r="B2817" s="2683" t="s">
        <v>8966</v>
      </c>
      <c r="C2817" s="2683">
        <v>130</v>
      </c>
      <c r="D2817" s="2683">
        <v>200</v>
      </c>
      <c r="E2817" s="2683">
        <v>45</v>
      </c>
      <c r="F2817" s="2683">
        <v>340</v>
      </c>
      <c r="G2817" s="2683">
        <v>563</v>
      </c>
      <c r="H2817" s="2683">
        <v>1800</v>
      </c>
      <c r="I2817" s="2683">
        <v>2300</v>
      </c>
      <c r="J2817" s="2683">
        <v>5.04</v>
      </c>
      <c r="K2817" s="2684"/>
      <c r="L2817" s="2683" t="s">
        <v>5922</v>
      </c>
    </row>
    <row r="2818" spans="1:12">
      <c r="A2818" s="2682" t="s">
        <v>146</v>
      </c>
      <c r="B2818" s="2682" t="s">
        <v>8967</v>
      </c>
      <c r="C2818" s="2682">
        <v>130</v>
      </c>
      <c r="D2818" s="2682">
        <v>200</v>
      </c>
      <c r="E2818" s="2682">
        <v>55</v>
      </c>
      <c r="F2818" s="2682">
        <v>390</v>
      </c>
      <c r="G2818" s="2682">
        <v>705</v>
      </c>
      <c r="H2818" s="2682">
        <v>1700</v>
      </c>
      <c r="I2818" s="2682">
        <v>2300</v>
      </c>
      <c r="J2818" s="2682">
        <v>6.19</v>
      </c>
      <c r="L2818" s="2682" t="s">
        <v>5922</v>
      </c>
    </row>
    <row r="2819" spans="1:12">
      <c r="A2819" s="2683" t="s">
        <v>146</v>
      </c>
      <c r="B2819" s="2683" t="s">
        <v>8968</v>
      </c>
      <c r="C2819" s="2683">
        <v>130</v>
      </c>
      <c r="D2819" s="2683">
        <v>230</v>
      </c>
      <c r="E2819" s="2683">
        <v>40</v>
      </c>
      <c r="F2819" s="2683">
        <v>377</v>
      </c>
      <c r="G2819" s="2683">
        <v>511</v>
      </c>
      <c r="H2819" s="2683">
        <v>1600</v>
      </c>
      <c r="I2819" s="2683">
        <v>2100</v>
      </c>
      <c r="J2819" s="2683">
        <v>7.24</v>
      </c>
      <c r="K2819" s="2684"/>
      <c r="L2819" s="2683" t="s">
        <v>5922</v>
      </c>
    </row>
    <row r="2820" spans="1:12">
      <c r="A2820" s="2682" t="s">
        <v>146</v>
      </c>
      <c r="B2820" s="2682" t="s">
        <v>8969</v>
      </c>
      <c r="C2820" s="2682">
        <v>130</v>
      </c>
      <c r="D2820" s="2682">
        <v>230</v>
      </c>
      <c r="E2820" s="2682">
        <v>64</v>
      </c>
      <c r="F2820" s="2682">
        <v>554</v>
      </c>
      <c r="G2820" s="2682">
        <v>830</v>
      </c>
      <c r="H2820" s="2682">
        <v>1600</v>
      </c>
      <c r="I2820" s="2682">
        <v>2200</v>
      </c>
      <c r="J2820" s="2682">
        <v>11.5</v>
      </c>
      <c r="L2820" s="2682" t="s">
        <v>5922</v>
      </c>
    </row>
    <row r="2821" spans="1:12">
      <c r="A2821" s="2683" t="s">
        <v>146</v>
      </c>
      <c r="B2821" s="2683" t="s">
        <v>8970</v>
      </c>
      <c r="C2821" s="2683">
        <v>130</v>
      </c>
      <c r="D2821" s="2683">
        <v>280</v>
      </c>
      <c r="E2821" s="2683">
        <v>58</v>
      </c>
      <c r="F2821" s="2683">
        <v>485</v>
      </c>
      <c r="G2821" s="2683">
        <v>582</v>
      </c>
      <c r="H2821" s="2683">
        <v>1200</v>
      </c>
      <c r="I2821" s="2683">
        <v>1600</v>
      </c>
      <c r="J2821" s="2683">
        <v>16.3</v>
      </c>
      <c r="K2821" s="2684"/>
      <c r="L2821" s="2683" t="s">
        <v>5922</v>
      </c>
    </row>
    <row r="2822" spans="1:12">
      <c r="A2822" s="2682" t="s">
        <v>146</v>
      </c>
      <c r="B2822" s="2682" t="s">
        <v>8971</v>
      </c>
      <c r="C2822" s="2682">
        <v>130</v>
      </c>
      <c r="D2822" s="2682">
        <v>280</v>
      </c>
      <c r="E2822" s="2682">
        <v>58</v>
      </c>
      <c r="F2822" s="2682">
        <v>657</v>
      </c>
      <c r="G2822" s="2682">
        <v>834</v>
      </c>
      <c r="H2822" s="2682">
        <v>1400</v>
      </c>
      <c r="I2822" s="2682">
        <v>1800</v>
      </c>
      <c r="J2822" s="2682">
        <v>18.100000000000001</v>
      </c>
      <c r="L2822" s="2682" t="s">
        <v>5922</v>
      </c>
    </row>
    <row r="2823" spans="1:12">
      <c r="A2823" s="2683" t="s">
        <v>146</v>
      </c>
      <c r="B2823" s="2683" t="s">
        <v>8972</v>
      </c>
      <c r="C2823" s="2683">
        <v>130</v>
      </c>
      <c r="D2823" s="2683">
        <v>280</v>
      </c>
      <c r="E2823" s="2683">
        <v>66</v>
      </c>
      <c r="F2823" s="2683">
        <v>589</v>
      </c>
      <c r="G2823" s="2683">
        <v>748</v>
      </c>
      <c r="H2823" s="2683">
        <v>1200</v>
      </c>
      <c r="I2823" s="2683">
        <v>1600</v>
      </c>
      <c r="J2823" s="2683">
        <v>18.899999999999999</v>
      </c>
      <c r="K2823" s="2684"/>
      <c r="L2823" s="2683" t="s">
        <v>5922</v>
      </c>
    </row>
    <row r="2824" spans="1:12">
      <c r="A2824" s="2682" t="s">
        <v>146</v>
      </c>
      <c r="B2824" s="2682" t="s">
        <v>8973</v>
      </c>
      <c r="C2824" s="2682">
        <v>140</v>
      </c>
      <c r="D2824" s="2682">
        <v>190</v>
      </c>
      <c r="E2824" s="2682">
        <v>32</v>
      </c>
      <c r="F2824" s="2682">
        <v>206</v>
      </c>
      <c r="G2824" s="2682">
        <v>390</v>
      </c>
      <c r="H2824" s="2682">
        <v>1800</v>
      </c>
      <c r="I2824" s="2682">
        <v>2300</v>
      </c>
      <c r="J2824" s="2682">
        <v>2.57</v>
      </c>
      <c r="L2824" s="2682" t="s">
        <v>5922</v>
      </c>
    </row>
    <row r="2825" spans="1:12">
      <c r="A2825" s="2683" t="s">
        <v>146</v>
      </c>
      <c r="B2825" s="2683" t="s">
        <v>8974</v>
      </c>
      <c r="C2825" s="2683">
        <v>140</v>
      </c>
      <c r="D2825" s="2683">
        <v>195</v>
      </c>
      <c r="E2825" s="2683">
        <v>27</v>
      </c>
      <c r="F2825" s="2683">
        <v>185</v>
      </c>
      <c r="G2825" s="2683">
        <v>293</v>
      </c>
      <c r="H2825" s="2683">
        <v>1700</v>
      </c>
      <c r="I2825" s="2683">
        <v>2300</v>
      </c>
      <c r="J2825" s="2683">
        <v>2.36</v>
      </c>
      <c r="K2825" s="2684"/>
      <c r="L2825" s="2683" t="s">
        <v>5922</v>
      </c>
    </row>
    <row r="2826" spans="1:12">
      <c r="A2826" s="2682" t="s">
        <v>146</v>
      </c>
      <c r="B2826" s="2682" t="s">
        <v>8975</v>
      </c>
      <c r="C2826" s="2682">
        <v>140</v>
      </c>
      <c r="D2826" s="2682">
        <v>210</v>
      </c>
      <c r="E2826" s="2682">
        <v>45</v>
      </c>
      <c r="F2826" s="2682">
        <v>346</v>
      </c>
      <c r="G2826" s="2682">
        <v>585</v>
      </c>
      <c r="H2826" s="2682">
        <v>1700</v>
      </c>
      <c r="I2826" s="2682">
        <v>2200</v>
      </c>
      <c r="J2826" s="2682">
        <v>5.28</v>
      </c>
      <c r="L2826" s="2682" t="s">
        <v>5922</v>
      </c>
    </row>
    <row r="2827" spans="1:12">
      <c r="A2827" s="2683" t="s">
        <v>146</v>
      </c>
      <c r="B2827" s="2683" t="s">
        <v>8976</v>
      </c>
      <c r="C2827" s="2683">
        <v>140</v>
      </c>
      <c r="D2827" s="2683">
        <v>210</v>
      </c>
      <c r="E2827" s="2683">
        <v>56</v>
      </c>
      <c r="F2827" s="2683">
        <v>406</v>
      </c>
      <c r="G2827" s="2683">
        <v>758</v>
      </c>
      <c r="H2827" s="2683">
        <v>1600</v>
      </c>
      <c r="I2827" s="2683">
        <v>2200</v>
      </c>
      <c r="J2827" s="2683">
        <v>6.61</v>
      </c>
      <c r="K2827" s="2684"/>
      <c r="L2827" s="2683" t="s">
        <v>5922</v>
      </c>
    </row>
    <row r="2828" spans="1:12">
      <c r="A2828" s="2682" t="s">
        <v>146</v>
      </c>
      <c r="B2828" s="2682" t="s">
        <v>8977</v>
      </c>
      <c r="C2828" s="2682">
        <v>140</v>
      </c>
      <c r="D2828" s="2682">
        <v>250</v>
      </c>
      <c r="E2828" s="2682">
        <v>42</v>
      </c>
      <c r="F2828" s="2682">
        <v>420</v>
      </c>
      <c r="G2828" s="2682">
        <v>570</v>
      </c>
      <c r="H2828" s="2682">
        <v>1500</v>
      </c>
      <c r="I2828" s="2682">
        <v>1900</v>
      </c>
      <c r="J2828" s="2682">
        <v>8.9700000000000006</v>
      </c>
      <c r="L2828" s="2682" t="s">
        <v>5922</v>
      </c>
    </row>
    <row r="2829" spans="1:12">
      <c r="A2829" s="2683" t="s">
        <v>146</v>
      </c>
      <c r="B2829" s="2683" t="s">
        <v>8978</v>
      </c>
      <c r="C2829" s="2683">
        <v>140</v>
      </c>
      <c r="D2829" s="2683">
        <v>250</v>
      </c>
      <c r="E2829" s="2683">
        <v>68</v>
      </c>
      <c r="F2829" s="2683">
        <v>363</v>
      </c>
      <c r="G2829" s="2683">
        <v>961</v>
      </c>
      <c r="H2829" s="2683">
        <v>1500</v>
      </c>
      <c r="I2829" s="2683">
        <v>2000</v>
      </c>
      <c r="J2829" s="2683">
        <v>14.7</v>
      </c>
      <c r="K2829" s="2684"/>
      <c r="L2829" s="2683" t="s">
        <v>5922</v>
      </c>
    </row>
    <row r="2830" spans="1:12">
      <c r="A2830" s="2682" t="s">
        <v>146</v>
      </c>
      <c r="B2830" s="2682" t="s">
        <v>8979</v>
      </c>
      <c r="C2830" s="2682">
        <v>140</v>
      </c>
      <c r="D2830" s="2682">
        <v>300</v>
      </c>
      <c r="E2830" s="2682">
        <v>62</v>
      </c>
      <c r="F2830" s="2682">
        <v>525</v>
      </c>
      <c r="G2830" s="2682">
        <v>627</v>
      </c>
      <c r="H2830" s="2682">
        <v>1100</v>
      </c>
      <c r="I2830" s="2682">
        <v>1500</v>
      </c>
      <c r="J2830" s="2682">
        <v>20</v>
      </c>
      <c r="L2830" s="2682" t="s">
        <v>5922</v>
      </c>
    </row>
    <row r="2831" spans="1:12">
      <c r="A2831" s="2683" t="s">
        <v>146</v>
      </c>
      <c r="B2831" s="2683" t="s">
        <v>8980</v>
      </c>
      <c r="C2831" s="2683">
        <v>140</v>
      </c>
      <c r="D2831" s="2683">
        <v>300</v>
      </c>
      <c r="E2831" s="2683">
        <v>62</v>
      </c>
      <c r="F2831" s="2683">
        <v>749</v>
      </c>
      <c r="G2831" s="2683">
        <v>962</v>
      </c>
      <c r="H2831" s="2683">
        <v>1300</v>
      </c>
      <c r="I2831" s="2683">
        <v>1700</v>
      </c>
      <c r="J2831" s="2683">
        <v>22.6</v>
      </c>
      <c r="K2831" s="2684"/>
      <c r="L2831" s="2683" t="s">
        <v>5922</v>
      </c>
    </row>
    <row r="2832" spans="1:12">
      <c r="A2832" s="2682" t="s">
        <v>146</v>
      </c>
      <c r="B2832" s="2682" t="s">
        <v>8981</v>
      </c>
      <c r="C2832" s="2682">
        <v>140</v>
      </c>
      <c r="D2832" s="2682">
        <v>300</v>
      </c>
      <c r="E2832" s="2682">
        <v>70</v>
      </c>
      <c r="F2832" s="2682">
        <v>674</v>
      </c>
      <c r="G2832" s="2682">
        <v>865</v>
      </c>
      <c r="H2832" s="2682">
        <v>1100</v>
      </c>
      <c r="I2832" s="2682">
        <v>1500</v>
      </c>
      <c r="J2832" s="2682">
        <v>23.3</v>
      </c>
      <c r="L2832" s="2682" t="s">
        <v>5922</v>
      </c>
    </row>
    <row r="2833" spans="1:12">
      <c r="A2833" s="2683" t="s">
        <v>146</v>
      </c>
      <c r="B2833" s="2683" t="s">
        <v>8982</v>
      </c>
      <c r="C2833" s="2683">
        <v>140</v>
      </c>
      <c r="D2833" s="2683">
        <v>300</v>
      </c>
      <c r="E2833" s="2683">
        <v>102</v>
      </c>
      <c r="F2833" s="2683">
        <v>1110</v>
      </c>
      <c r="G2833" s="2683">
        <v>1570</v>
      </c>
      <c r="H2833" s="2683">
        <v>1300</v>
      </c>
      <c r="I2833" s="2683">
        <v>1700</v>
      </c>
      <c r="J2833" s="2683">
        <v>35.1</v>
      </c>
      <c r="K2833" s="2684"/>
      <c r="L2833" s="2683" t="s">
        <v>5922</v>
      </c>
    </row>
    <row r="2834" spans="1:12">
      <c r="A2834" s="2682" t="s">
        <v>146</v>
      </c>
      <c r="B2834" s="2682" t="s">
        <v>8983</v>
      </c>
      <c r="C2834" s="2682">
        <v>150</v>
      </c>
      <c r="D2834" s="2682">
        <v>210</v>
      </c>
      <c r="E2834" s="2682">
        <v>38</v>
      </c>
      <c r="F2834" s="2682">
        <v>286</v>
      </c>
      <c r="G2834" s="2682">
        <v>536</v>
      </c>
      <c r="H2834" s="2682">
        <v>1600</v>
      </c>
      <c r="I2834" s="2682">
        <v>2100</v>
      </c>
      <c r="J2834" s="2682">
        <v>3.96</v>
      </c>
      <c r="L2834" s="2682" t="s">
        <v>5922</v>
      </c>
    </row>
    <row r="2835" spans="1:12">
      <c r="A2835" s="2683" t="s">
        <v>146</v>
      </c>
      <c r="B2835" s="2683" t="s">
        <v>8984</v>
      </c>
      <c r="C2835" s="2683">
        <v>150</v>
      </c>
      <c r="D2835" s="2683">
        <v>225</v>
      </c>
      <c r="E2835" s="2683">
        <v>48</v>
      </c>
      <c r="F2835" s="2683">
        <v>391</v>
      </c>
      <c r="G2835" s="2683">
        <v>668</v>
      </c>
      <c r="H2835" s="2683">
        <v>1500</v>
      </c>
      <c r="I2835" s="2683">
        <v>2000</v>
      </c>
      <c r="J2835" s="2683">
        <v>6.41</v>
      </c>
      <c r="K2835" s="2684"/>
      <c r="L2835" s="2683" t="s">
        <v>5922</v>
      </c>
    </row>
    <row r="2836" spans="1:12">
      <c r="A2836" s="2682" t="s">
        <v>146</v>
      </c>
      <c r="B2836" s="2682" t="s">
        <v>8985</v>
      </c>
      <c r="C2836" s="2682">
        <v>150</v>
      </c>
      <c r="D2836" s="2682">
        <v>225</v>
      </c>
      <c r="E2836" s="2682">
        <v>59</v>
      </c>
      <c r="F2836" s="2682">
        <v>459</v>
      </c>
      <c r="G2836" s="2682">
        <v>869</v>
      </c>
      <c r="H2836" s="2682">
        <v>1500</v>
      </c>
      <c r="I2836" s="2682">
        <v>2000</v>
      </c>
      <c r="J2836" s="2682">
        <v>8.09</v>
      </c>
      <c r="L2836" s="2682" t="s">
        <v>5922</v>
      </c>
    </row>
    <row r="2837" spans="1:12">
      <c r="A2837" s="2683" t="s">
        <v>146</v>
      </c>
      <c r="B2837" s="2683" t="s">
        <v>8986</v>
      </c>
      <c r="C2837" s="2683">
        <v>150</v>
      </c>
      <c r="D2837" s="2683">
        <v>270</v>
      </c>
      <c r="E2837" s="2683">
        <v>45</v>
      </c>
      <c r="F2837" s="2683">
        <v>483</v>
      </c>
      <c r="G2837" s="2683">
        <v>664</v>
      </c>
      <c r="H2837" s="2683">
        <v>1300</v>
      </c>
      <c r="I2837" s="2683">
        <v>1800</v>
      </c>
      <c r="J2837" s="2683">
        <v>11.6</v>
      </c>
      <c r="K2837" s="2684"/>
      <c r="L2837" s="2683" t="s">
        <v>5922</v>
      </c>
    </row>
    <row r="2838" spans="1:12">
      <c r="A2838" s="2682" t="s">
        <v>146</v>
      </c>
      <c r="B2838" s="2682" t="s">
        <v>8987</v>
      </c>
      <c r="C2838" s="2682">
        <v>150</v>
      </c>
      <c r="D2838" s="2682">
        <v>270</v>
      </c>
      <c r="E2838" s="2682">
        <v>73</v>
      </c>
      <c r="F2838" s="2682">
        <v>704</v>
      </c>
      <c r="G2838" s="2682">
        <v>1070</v>
      </c>
      <c r="H2838" s="2682">
        <v>1300</v>
      </c>
      <c r="I2838" s="2682">
        <v>1800</v>
      </c>
      <c r="J2838" s="2682">
        <v>18.2</v>
      </c>
      <c r="L2838" s="2682" t="s">
        <v>5922</v>
      </c>
    </row>
    <row r="2839" spans="1:12">
      <c r="A2839" s="2683" t="s">
        <v>146</v>
      </c>
      <c r="B2839" s="2683" t="s">
        <v>8988</v>
      </c>
      <c r="C2839" s="2683">
        <v>150</v>
      </c>
      <c r="D2839" s="2683">
        <v>320</v>
      </c>
      <c r="E2839" s="2683">
        <v>65</v>
      </c>
      <c r="F2839" s="2683">
        <v>616</v>
      </c>
      <c r="G2839" s="2683">
        <v>750</v>
      </c>
      <c r="H2839" s="2683">
        <v>970</v>
      </c>
      <c r="I2839" s="2683">
        <v>1400</v>
      </c>
      <c r="J2839" s="2683">
        <v>23.9</v>
      </c>
      <c r="K2839" s="2684"/>
      <c r="L2839" s="2683" t="s">
        <v>5922</v>
      </c>
    </row>
    <row r="2840" spans="1:12">
      <c r="A2840" s="2682" t="s">
        <v>146</v>
      </c>
      <c r="B2840" s="2682" t="s">
        <v>8989</v>
      </c>
      <c r="C2840" s="2682">
        <v>150</v>
      </c>
      <c r="D2840" s="2682">
        <v>320</v>
      </c>
      <c r="E2840" s="2682">
        <v>65</v>
      </c>
      <c r="F2840" s="2682">
        <v>837</v>
      </c>
      <c r="G2840" s="2682">
        <v>1080</v>
      </c>
      <c r="H2840" s="2682">
        <v>1200</v>
      </c>
      <c r="I2840" s="2682">
        <v>1500</v>
      </c>
      <c r="J2840" s="2682">
        <v>26.6</v>
      </c>
      <c r="L2840" s="2682" t="s">
        <v>5922</v>
      </c>
    </row>
    <row r="2841" spans="1:12">
      <c r="A2841" s="2683" t="s">
        <v>146</v>
      </c>
      <c r="B2841" s="2683" t="s">
        <v>8990</v>
      </c>
      <c r="C2841" s="2683">
        <v>150</v>
      </c>
      <c r="D2841" s="2683">
        <v>320</v>
      </c>
      <c r="E2841" s="2683">
        <v>75</v>
      </c>
      <c r="F2841" s="2683">
        <v>763</v>
      </c>
      <c r="G2841" s="2683">
        <v>989</v>
      </c>
      <c r="H2841" s="2683">
        <v>980</v>
      </c>
      <c r="I2841" s="2683">
        <v>1400</v>
      </c>
      <c r="J2841" s="2683">
        <v>28</v>
      </c>
      <c r="K2841" s="2684"/>
      <c r="L2841" s="2683" t="s">
        <v>5922</v>
      </c>
    </row>
    <row r="2842" spans="1:12">
      <c r="A2842" s="2682" t="s">
        <v>146</v>
      </c>
      <c r="B2842" s="2682" t="s">
        <v>8991</v>
      </c>
      <c r="C2842" s="2682">
        <v>150</v>
      </c>
      <c r="D2842" s="2682">
        <v>320</v>
      </c>
      <c r="E2842" s="2682">
        <v>108</v>
      </c>
      <c r="F2842" s="2682">
        <v>1240</v>
      </c>
      <c r="G2842" s="2682">
        <v>1790</v>
      </c>
      <c r="H2842" s="2682">
        <v>1200</v>
      </c>
      <c r="I2842" s="2682">
        <v>1600</v>
      </c>
      <c r="J2842" s="2682">
        <v>42</v>
      </c>
      <c r="L2842" s="2682" t="s">
        <v>5922</v>
      </c>
    </row>
    <row r="2843" spans="1:12">
      <c r="A2843" s="2683" t="s">
        <v>146</v>
      </c>
      <c r="B2843" s="2683" t="s">
        <v>8992</v>
      </c>
      <c r="C2843" s="2683">
        <v>160</v>
      </c>
      <c r="D2843" s="2683">
        <v>220</v>
      </c>
      <c r="E2843" s="2683">
        <v>30</v>
      </c>
      <c r="F2843" s="2683">
        <v>225</v>
      </c>
      <c r="G2843" s="2683">
        <v>379</v>
      </c>
      <c r="H2843" s="2683">
        <v>1500</v>
      </c>
      <c r="I2843" s="2683">
        <v>2000</v>
      </c>
      <c r="J2843" s="2683">
        <v>3.23</v>
      </c>
      <c r="K2843" s="2684"/>
      <c r="L2843" s="2683" t="s">
        <v>5922</v>
      </c>
    </row>
    <row r="2844" spans="1:12">
      <c r="A2844" s="2682" t="s">
        <v>146</v>
      </c>
      <c r="B2844" s="2682" t="s">
        <v>8993</v>
      </c>
      <c r="C2844" s="2682">
        <v>160</v>
      </c>
      <c r="D2844" s="2682">
        <v>220</v>
      </c>
      <c r="E2844" s="2682">
        <v>38</v>
      </c>
      <c r="F2844" s="2682">
        <v>295</v>
      </c>
      <c r="G2844" s="2682">
        <v>568</v>
      </c>
      <c r="H2844" s="2682">
        <v>1500</v>
      </c>
      <c r="I2844" s="2682">
        <v>2000</v>
      </c>
      <c r="J2844" s="2682">
        <v>4.1900000000000004</v>
      </c>
      <c r="L2844" s="2682" t="s">
        <v>5922</v>
      </c>
    </row>
    <row r="2845" spans="1:12">
      <c r="A2845" s="2683" t="s">
        <v>146</v>
      </c>
      <c r="B2845" s="2683" t="s">
        <v>8994</v>
      </c>
      <c r="C2845" s="2683">
        <v>160</v>
      </c>
      <c r="D2845" s="2683">
        <v>240</v>
      </c>
      <c r="E2845" s="2683">
        <v>51</v>
      </c>
      <c r="F2845" s="2683">
        <v>440</v>
      </c>
      <c r="G2845" s="2683">
        <v>758</v>
      </c>
      <c r="H2845" s="2683">
        <v>1400</v>
      </c>
      <c r="I2845" s="2683">
        <v>1900</v>
      </c>
      <c r="J2845" s="2683">
        <v>7.75</v>
      </c>
      <c r="K2845" s="2684"/>
      <c r="L2845" s="2683" t="s">
        <v>5922</v>
      </c>
    </row>
    <row r="2846" spans="1:12">
      <c r="A2846" s="2682" t="s">
        <v>146</v>
      </c>
      <c r="B2846" s="2682" t="s">
        <v>8995</v>
      </c>
      <c r="C2846" s="2682">
        <v>160</v>
      </c>
      <c r="D2846" s="2682">
        <v>290</v>
      </c>
      <c r="E2846" s="2682">
        <v>40</v>
      </c>
      <c r="F2846" s="2682">
        <v>542</v>
      </c>
      <c r="G2846" s="2682">
        <v>750</v>
      </c>
      <c r="H2846" s="2682">
        <v>1200</v>
      </c>
      <c r="I2846" s="2682">
        <v>1600</v>
      </c>
      <c r="J2846" s="2682">
        <v>14.1</v>
      </c>
      <c r="L2846" s="2682" t="s">
        <v>5922</v>
      </c>
    </row>
    <row r="2847" spans="1:12">
      <c r="A2847" s="2683" t="s">
        <v>146</v>
      </c>
      <c r="B2847" s="2683" t="s">
        <v>8996</v>
      </c>
      <c r="C2847" s="2683">
        <v>160</v>
      </c>
      <c r="D2847" s="2683">
        <v>290</v>
      </c>
      <c r="E2847" s="2683">
        <v>80</v>
      </c>
      <c r="F2847" s="2683">
        <v>795</v>
      </c>
      <c r="G2847" s="2683">
        <v>1210</v>
      </c>
      <c r="H2847" s="2683">
        <v>1200</v>
      </c>
      <c r="I2847" s="2683">
        <v>1700</v>
      </c>
      <c r="J2847" s="2683">
        <v>23.2</v>
      </c>
      <c r="K2847" s="2684"/>
      <c r="L2847" s="2683" t="s">
        <v>5922</v>
      </c>
    </row>
    <row r="2848" spans="1:12">
      <c r="A2848" s="2682" t="s">
        <v>146</v>
      </c>
      <c r="B2848" s="2682" t="s">
        <v>8997</v>
      </c>
      <c r="C2848" s="2682">
        <v>160</v>
      </c>
      <c r="D2848" s="2682">
        <v>340</v>
      </c>
      <c r="E2848" s="2682">
        <v>68</v>
      </c>
      <c r="F2848" s="2682">
        <v>742</v>
      </c>
      <c r="G2848" s="2682">
        <v>933</v>
      </c>
      <c r="H2848" s="2682">
        <v>900</v>
      </c>
      <c r="I2848" s="2682">
        <v>1300</v>
      </c>
      <c r="J2848" s="2682">
        <v>29.1</v>
      </c>
      <c r="L2848" s="2682" t="s">
        <v>5922</v>
      </c>
    </row>
    <row r="2849" spans="1:12">
      <c r="A2849" s="2683" t="s">
        <v>146</v>
      </c>
      <c r="B2849" s="2683" t="s">
        <v>8998</v>
      </c>
      <c r="C2849" s="2683">
        <v>160</v>
      </c>
      <c r="D2849" s="2683">
        <v>340</v>
      </c>
      <c r="E2849" s="2683">
        <v>68</v>
      </c>
      <c r="F2849" s="2683">
        <v>938</v>
      </c>
      <c r="G2849" s="2683">
        <v>1220</v>
      </c>
      <c r="H2849" s="2683">
        <v>1100</v>
      </c>
      <c r="I2849" s="2683">
        <v>1400</v>
      </c>
      <c r="J2849" s="2683">
        <v>31.8</v>
      </c>
      <c r="K2849" s="2684"/>
      <c r="L2849" s="2683" t="s">
        <v>5922</v>
      </c>
    </row>
    <row r="2850" spans="1:12">
      <c r="A2850" s="2682" t="s">
        <v>146</v>
      </c>
      <c r="B2850" s="2682">
        <v>7832</v>
      </c>
      <c r="C2850" s="2682">
        <v>160</v>
      </c>
      <c r="D2850" s="2682">
        <v>375</v>
      </c>
      <c r="E2850" s="2682">
        <v>79.400000000000006</v>
      </c>
      <c r="F2850" s="2682">
        <v>790</v>
      </c>
      <c r="G2850" s="2682">
        <v>1057</v>
      </c>
      <c r="H2850" s="2682">
        <v>1000</v>
      </c>
      <c r="I2850" s="2682">
        <v>1500</v>
      </c>
      <c r="J2850" s="2682">
        <v>40.700000000000003</v>
      </c>
      <c r="L2850" s="2682" t="s">
        <v>5922</v>
      </c>
    </row>
    <row r="2851" spans="1:12">
      <c r="A2851" s="2683" t="s">
        <v>146</v>
      </c>
      <c r="B2851" s="2683" t="s">
        <v>8999</v>
      </c>
      <c r="C2851" s="2683">
        <v>170</v>
      </c>
      <c r="D2851" s="2683">
        <v>230</v>
      </c>
      <c r="E2851" s="2683">
        <v>38</v>
      </c>
      <c r="F2851" s="2683">
        <v>296</v>
      </c>
      <c r="G2851" s="2683">
        <v>606</v>
      </c>
      <c r="H2851" s="2683">
        <v>1400</v>
      </c>
      <c r="I2851" s="2683">
        <v>1900</v>
      </c>
      <c r="J2851" s="2683">
        <v>4.49</v>
      </c>
      <c r="K2851" s="2684"/>
      <c r="L2851" s="2683" t="s">
        <v>5922</v>
      </c>
    </row>
    <row r="2852" spans="1:12">
      <c r="A2852" s="2682" t="s">
        <v>146</v>
      </c>
      <c r="B2852" s="2682" t="s">
        <v>9000</v>
      </c>
      <c r="C2852" s="2682">
        <v>170</v>
      </c>
      <c r="D2852" s="2682">
        <v>260</v>
      </c>
      <c r="E2852" s="2682">
        <v>57</v>
      </c>
      <c r="F2852" s="2682">
        <v>526</v>
      </c>
      <c r="G2852" s="2682">
        <v>905</v>
      </c>
      <c r="H2852" s="2682">
        <v>1300</v>
      </c>
      <c r="I2852" s="2682">
        <v>1700</v>
      </c>
      <c r="J2852" s="2682">
        <v>10.5</v>
      </c>
      <c r="L2852" s="2682" t="s">
        <v>5922</v>
      </c>
    </row>
    <row r="2853" spans="1:12">
      <c r="A2853" s="2683" t="s">
        <v>146</v>
      </c>
      <c r="B2853" s="2683" t="s">
        <v>8960</v>
      </c>
      <c r="C2853" s="2683">
        <v>170</v>
      </c>
      <c r="D2853" s="2683">
        <v>310</v>
      </c>
      <c r="E2853" s="2683">
        <v>52</v>
      </c>
      <c r="F2853" s="2683">
        <v>620</v>
      </c>
      <c r="G2853" s="2683">
        <v>867</v>
      </c>
      <c r="H2853" s="2683">
        <v>1100</v>
      </c>
      <c r="I2853" s="2683">
        <v>1500</v>
      </c>
      <c r="J2853" s="2683">
        <v>17.8</v>
      </c>
      <c r="K2853" s="2684"/>
      <c r="L2853" s="2683" t="s">
        <v>5922</v>
      </c>
    </row>
    <row r="2854" spans="1:12">
      <c r="A2854" s="2682" t="s">
        <v>146</v>
      </c>
      <c r="B2854" s="2682" t="s">
        <v>9001</v>
      </c>
      <c r="C2854" s="2682">
        <v>170</v>
      </c>
      <c r="D2854" s="2682">
        <v>310</v>
      </c>
      <c r="E2854" s="2682">
        <v>86</v>
      </c>
      <c r="F2854" s="2682">
        <v>898</v>
      </c>
      <c r="G2854" s="2682">
        <v>1380</v>
      </c>
      <c r="H2854" s="2682">
        <v>1100</v>
      </c>
      <c r="I2854" s="2682">
        <v>1500</v>
      </c>
      <c r="J2854" s="2682">
        <v>28.9</v>
      </c>
      <c r="L2854" s="2682" t="s">
        <v>5922</v>
      </c>
    </row>
    <row r="2855" spans="1:12">
      <c r="A2855" s="2683" t="s">
        <v>146</v>
      </c>
      <c r="B2855" s="2683" t="s">
        <v>9002</v>
      </c>
      <c r="C2855" s="2683">
        <v>170</v>
      </c>
      <c r="D2855" s="2683">
        <v>360</v>
      </c>
      <c r="E2855" s="2683">
        <v>72</v>
      </c>
      <c r="F2855" s="2683">
        <v>762</v>
      </c>
      <c r="G2855" s="2683">
        <v>1040</v>
      </c>
      <c r="H2855" s="2683">
        <v>830</v>
      </c>
      <c r="I2855" s="2683">
        <v>1200</v>
      </c>
      <c r="J2855" s="2683">
        <v>34.299999999999997</v>
      </c>
      <c r="K2855" s="2684"/>
      <c r="L2855" s="2683" t="s">
        <v>5922</v>
      </c>
    </row>
    <row r="2856" spans="1:12">
      <c r="A2856" s="2682" t="s">
        <v>146</v>
      </c>
      <c r="B2856" s="2682" t="s">
        <v>9003</v>
      </c>
      <c r="C2856" s="2682">
        <v>170</v>
      </c>
      <c r="D2856" s="2682">
        <v>360</v>
      </c>
      <c r="E2856" s="2682">
        <v>72</v>
      </c>
      <c r="F2856" s="2682">
        <v>1040</v>
      </c>
      <c r="G2856" s="2682">
        <v>1370</v>
      </c>
      <c r="H2856" s="2682">
        <v>1000</v>
      </c>
      <c r="I2856" s="2682">
        <v>1300</v>
      </c>
      <c r="J2856" s="2682">
        <v>37.5</v>
      </c>
      <c r="L2856" s="2682" t="s">
        <v>5922</v>
      </c>
    </row>
    <row r="2857" spans="1:12">
      <c r="A2857" s="2683" t="s">
        <v>146</v>
      </c>
      <c r="B2857" s="2683" t="s">
        <v>9004</v>
      </c>
      <c r="C2857" s="2683">
        <v>180</v>
      </c>
      <c r="D2857" s="2683">
        <v>250</v>
      </c>
      <c r="E2857" s="2683">
        <v>45</v>
      </c>
      <c r="F2857" s="2683">
        <v>357</v>
      </c>
      <c r="G2857" s="2683">
        <v>735</v>
      </c>
      <c r="H2857" s="2683">
        <v>1300</v>
      </c>
      <c r="I2857" s="2683">
        <v>1700</v>
      </c>
      <c r="J2857" s="2683">
        <v>6.46</v>
      </c>
      <c r="K2857" s="2684"/>
      <c r="L2857" s="2683" t="s">
        <v>5922</v>
      </c>
    </row>
    <row r="2858" spans="1:12">
      <c r="A2858" s="2682" t="s">
        <v>146</v>
      </c>
      <c r="B2858" s="2682" t="s">
        <v>9005</v>
      </c>
      <c r="C2858" s="2682">
        <v>180</v>
      </c>
      <c r="D2858" s="2682">
        <v>280</v>
      </c>
      <c r="E2858" s="2682">
        <v>64</v>
      </c>
      <c r="F2858" s="2682">
        <v>644</v>
      </c>
      <c r="G2858" s="2682">
        <v>1100</v>
      </c>
      <c r="H2858" s="2682">
        <v>1200</v>
      </c>
      <c r="I2858" s="2682">
        <v>1600</v>
      </c>
      <c r="J2858" s="2682">
        <v>14.1</v>
      </c>
      <c r="L2858" s="2682" t="s">
        <v>5922</v>
      </c>
    </row>
    <row r="2859" spans="1:12">
      <c r="A2859" s="2683" t="s">
        <v>146</v>
      </c>
      <c r="B2859" s="2683" t="s">
        <v>9006</v>
      </c>
      <c r="C2859" s="2683">
        <v>180</v>
      </c>
      <c r="D2859" s="2683">
        <v>320</v>
      </c>
      <c r="E2859" s="2683">
        <v>52</v>
      </c>
      <c r="F2859" s="2683">
        <v>615</v>
      </c>
      <c r="G2859" s="2683">
        <v>870</v>
      </c>
      <c r="H2859" s="2683">
        <v>1100</v>
      </c>
      <c r="I2859" s="2683">
        <v>1400</v>
      </c>
      <c r="J2859" s="2683">
        <v>18.3</v>
      </c>
      <c r="K2859" s="2684"/>
      <c r="L2859" s="2683" t="s">
        <v>5922</v>
      </c>
    </row>
    <row r="2860" spans="1:12">
      <c r="A2860" s="2682" t="s">
        <v>146</v>
      </c>
      <c r="B2860" s="2682" t="s">
        <v>9007</v>
      </c>
      <c r="C2860" s="2682">
        <v>180</v>
      </c>
      <c r="D2860" s="2682">
        <v>320</v>
      </c>
      <c r="E2860" s="2682">
        <v>86</v>
      </c>
      <c r="F2860" s="2682">
        <v>957</v>
      </c>
      <c r="G2860" s="2682">
        <v>1520</v>
      </c>
      <c r="H2860" s="2682">
        <v>1100</v>
      </c>
      <c r="I2860" s="2682">
        <v>1500</v>
      </c>
      <c r="J2860" s="2682">
        <v>29.9</v>
      </c>
      <c r="L2860" s="2682" t="s">
        <v>5922</v>
      </c>
    </row>
    <row r="2861" spans="1:12">
      <c r="A2861" s="2683" t="s">
        <v>146</v>
      </c>
      <c r="B2861" s="2683" t="s">
        <v>9008</v>
      </c>
      <c r="C2861" s="2683">
        <v>180</v>
      </c>
      <c r="D2861" s="2683">
        <v>380</v>
      </c>
      <c r="E2861" s="2683">
        <v>75</v>
      </c>
      <c r="F2861" s="2683">
        <v>833</v>
      </c>
      <c r="G2861" s="2683">
        <v>1150</v>
      </c>
      <c r="H2861" s="2683">
        <v>780</v>
      </c>
      <c r="I2861" s="2683">
        <v>1100</v>
      </c>
      <c r="J2861" s="2683">
        <v>40.1</v>
      </c>
      <c r="K2861" s="2684"/>
      <c r="L2861" s="2683" t="s">
        <v>5922</v>
      </c>
    </row>
    <row r="2862" spans="1:12">
      <c r="A2862" s="2682" t="s">
        <v>146</v>
      </c>
      <c r="B2862" s="2682" t="s">
        <v>9009</v>
      </c>
      <c r="C2862" s="2682">
        <v>190</v>
      </c>
      <c r="D2862" s="2682">
        <v>260</v>
      </c>
      <c r="E2862" s="2682">
        <v>45</v>
      </c>
      <c r="F2862" s="2682">
        <v>366</v>
      </c>
      <c r="G2862" s="2682">
        <v>789</v>
      </c>
      <c r="H2862" s="2682">
        <v>1200</v>
      </c>
      <c r="I2862" s="2682">
        <v>1600</v>
      </c>
      <c r="J2862" s="2682">
        <v>6.89</v>
      </c>
      <c r="L2862" s="2682" t="s">
        <v>5922</v>
      </c>
    </row>
    <row r="2863" spans="1:12">
      <c r="A2863" s="2683" t="s">
        <v>146</v>
      </c>
      <c r="B2863" s="2683" t="s">
        <v>9010</v>
      </c>
      <c r="C2863" s="2683">
        <v>190</v>
      </c>
      <c r="D2863" s="2683">
        <v>290</v>
      </c>
      <c r="E2863" s="2683">
        <v>64</v>
      </c>
      <c r="F2863" s="2683">
        <v>654</v>
      </c>
      <c r="G2863" s="2683">
        <v>1170</v>
      </c>
      <c r="H2863" s="2683">
        <v>1100</v>
      </c>
      <c r="I2863" s="2683">
        <v>1500</v>
      </c>
      <c r="J2863" s="2683">
        <v>14.7</v>
      </c>
      <c r="K2863" s="2684"/>
      <c r="L2863" s="2683" t="s">
        <v>5922</v>
      </c>
    </row>
    <row r="2864" spans="1:12">
      <c r="A2864" s="2682" t="s">
        <v>146</v>
      </c>
      <c r="B2864" s="2682" t="s">
        <v>9011</v>
      </c>
      <c r="C2864" s="2682">
        <v>190</v>
      </c>
      <c r="D2864" s="2682">
        <v>340</v>
      </c>
      <c r="E2864" s="2682">
        <v>55</v>
      </c>
      <c r="F2864" s="2682">
        <v>729</v>
      </c>
      <c r="G2864" s="2682">
        <v>1030</v>
      </c>
      <c r="H2864" s="2682">
        <v>1000</v>
      </c>
      <c r="I2864" s="2682">
        <v>1300</v>
      </c>
      <c r="J2864" s="2682">
        <v>21.9</v>
      </c>
      <c r="L2864" s="2682" t="s">
        <v>5922</v>
      </c>
    </row>
    <row r="2865" spans="1:12">
      <c r="A2865" s="2683" t="s">
        <v>146</v>
      </c>
      <c r="B2865" s="2683" t="s">
        <v>9012</v>
      </c>
      <c r="C2865" s="2683">
        <v>190</v>
      </c>
      <c r="D2865" s="2683">
        <v>340</v>
      </c>
      <c r="E2865" s="2683">
        <v>92</v>
      </c>
      <c r="F2865" s="2683">
        <v>1090</v>
      </c>
      <c r="G2865" s="2683">
        <v>1740</v>
      </c>
      <c r="H2865" s="2683">
        <v>1000</v>
      </c>
      <c r="I2865" s="2683">
        <v>1300</v>
      </c>
      <c r="J2865" s="2683">
        <v>36.6</v>
      </c>
      <c r="K2865" s="2684"/>
      <c r="L2865" s="2683" t="s">
        <v>5922</v>
      </c>
    </row>
    <row r="2866" spans="1:12">
      <c r="A2866" s="2682" t="s">
        <v>146</v>
      </c>
      <c r="B2866" s="2682" t="s">
        <v>9013</v>
      </c>
      <c r="C2866" s="2682">
        <v>190</v>
      </c>
      <c r="D2866" s="2682">
        <v>400</v>
      </c>
      <c r="E2866" s="2682">
        <v>78</v>
      </c>
      <c r="F2866" s="2682">
        <v>950</v>
      </c>
      <c r="G2866" s="2682">
        <v>1210</v>
      </c>
      <c r="H2866" s="2682">
        <v>740</v>
      </c>
      <c r="I2866" s="2682">
        <v>1000</v>
      </c>
      <c r="J2866" s="2682">
        <v>44.8</v>
      </c>
      <c r="L2866" s="2682" t="s">
        <v>5922</v>
      </c>
    </row>
    <row r="2867" spans="1:12">
      <c r="A2867" s="2683" t="s">
        <v>146</v>
      </c>
      <c r="B2867" s="2683" t="s">
        <v>9014</v>
      </c>
      <c r="C2867" s="2683">
        <v>200</v>
      </c>
      <c r="D2867" s="2683">
        <v>280</v>
      </c>
      <c r="E2867" s="2683">
        <v>51</v>
      </c>
      <c r="F2867" s="2683">
        <v>486</v>
      </c>
      <c r="G2867" s="2683">
        <v>958</v>
      </c>
      <c r="H2867" s="2683">
        <v>1100</v>
      </c>
      <c r="I2867" s="2683">
        <v>1500</v>
      </c>
      <c r="J2867" s="2683">
        <v>9.44</v>
      </c>
      <c r="K2867" s="2684"/>
      <c r="L2867" s="2683" t="s">
        <v>5922</v>
      </c>
    </row>
    <row r="2868" spans="1:12">
      <c r="A2868" s="2682" t="s">
        <v>146</v>
      </c>
      <c r="B2868" s="2682" t="s">
        <v>9015</v>
      </c>
      <c r="C2868" s="2682">
        <v>200</v>
      </c>
      <c r="D2868" s="2682">
        <v>310</v>
      </c>
      <c r="E2868" s="2682">
        <v>70</v>
      </c>
      <c r="F2868" s="2682">
        <v>755</v>
      </c>
      <c r="G2868" s="2682">
        <v>1340</v>
      </c>
      <c r="H2868" s="2682">
        <v>1100</v>
      </c>
      <c r="I2868" s="2682">
        <v>1400</v>
      </c>
      <c r="J2868" s="2682">
        <v>19.100000000000001</v>
      </c>
      <c r="L2868" s="2682" t="s">
        <v>5922</v>
      </c>
    </row>
    <row r="2869" spans="1:12">
      <c r="A2869" s="2683" t="s">
        <v>146</v>
      </c>
      <c r="B2869" s="2683" t="s">
        <v>9016</v>
      </c>
      <c r="C2869" s="2683">
        <v>200</v>
      </c>
      <c r="D2869" s="2683">
        <v>360</v>
      </c>
      <c r="E2869" s="2683">
        <v>58</v>
      </c>
      <c r="F2869" s="2683">
        <v>792</v>
      </c>
      <c r="G2869" s="2683">
        <v>1120</v>
      </c>
      <c r="H2869" s="2683">
        <v>940</v>
      </c>
      <c r="I2869" s="2683">
        <v>1200</v>
      </c>
      <c r="J2869" s="2683">
        <v>26.4</v>
      </c>
      <c r="K2869" s="2684"/>
      <c r="L2869" s="2683" t="s">
        <v>5922</v>
      </c>
    </row>
    <row r="2870" spans="1:12">
      <c r="A2870" s="2682" t="s">
        <v>146</v>
      </c>
      <c r="B2870" s="2682" t="s">
        <v>9017</v>
      </c>
      <c r="C2870" s="2682">
        <v>200</v>
      </c>
      <c r="D2870" s="2682">
        <v>360</v>
      </c>
      <c r="E2870" s="2682">
        <v>98</v>
      </c>
      <c r="F2870" s="2682">
        <v>1240</v>
      </c>
      <c r="G2870" s="2682">
        <v>1880</v>
      </c>
      <c r="H2870" s="2682">
        <v>960</v>
      </c>
      <c r="I2870" s="2682">
        <v>1300</v>
      </c>
      <c r="J2870" s="2682">
        <v>44.2</v>
      </c>
      <c r="L2870" s="2682" t="s">
        <v>5922</v>
      </c>
    </row>
    <row r="2871" spans="1:12">
      <c r="A2871" s="2683" t="s">
        <v>146</v>
      </c>
      <c r="B2871" s="2683" t="s">
        <v>9018</v>
      </c>
      <c r="C2871" s="2683">
        <v>200</v>
      </c>
      <c r="D2871" s="2683">
        <v>420</v>
      </c>
      <c r="E2871" s="2683">
        <v>80</v>
      </c>
      <c r="F2871" s="2683">
        <v>904</v>
      </c>
      <c r="G2871" s="2683">
        <v>1230</v>
      </c>
      <c r="H2871" s="2683">
        <v>690</v>
      </c>
      <c r="I2871" s="2683">
        <v>970</v>
      </c>
      <c r="J2871" s="2683">
        <v>50.6</v>
      </c>
      <c r="K2871" s="2684"/>
      <c r="L2871" s="2683" t="s">
        <v>5922</v>
      </c>
    </row>
    <row r="2872" spans="1:12">
      <c r="A2872" s="2682" t="s">
        <v>146</v>
      </c>
      <c r="B2872" s="2682" t="s">
        <v>9019</v>
      </c>
      <c r="C2872" s="2682">
        <v>220</v>
      </c>
      <c r="D2872" s="2682">
        <v>300</v>
      </c>
      <c r="E2872" s="2682">
        <v>51</v>
      </c>
      <c r="F2872" s="2682">
        <v>498</v>
      </c>
      <c r="G2872" s="2682">
        <v>1010</v>
      </c>
      <c r="H2872" s="2682">
        <v>1000</v>
      </c>
      <c r="I2872" s="2682">
        <v>1400</v>
      </c>
      <c r="J2872" s="2682">
        <v>10.1</v>
      </c>
      <c r="L2872" s="2682" t="s">
        <v>5922</v>
      </c>
    </row>
    <row r="2873" spans="1:12">
      <c r="A2873" s="2683" t="s">
        <v>146</v>
      </c>
      <c r="B2873" s="2683" t="s">
        <v>9020</v>
      </c>
      <c r="C2873" s="2683">
        <v>220</v>
      </c>
      <c r="D2873" s="2683">
        <v>340</v>
      </c>
      <c r="E2873" s="2683">
        <v>76</v>
      </c>
      <c r="F2873" s="2683">
        <v>894</v>
      </c>
      <c r="G2873" s="2683">
        <v>1620</v>
      </c>
      <c r="H2873" s="2683">
        <v>940</v>
      </c>
      <c r="I2873" s="2683">
        <v>1300</v>
      </c>
      <c r="J2873" s="2683">
        <v>25.2</v>
      </c>
      <c r="K2873" s="2684"/>
      <c r="L2873" s="2683" t="s">
        <v>5922</v>
      </c>
    </row>
    <row r="2874" spans="1:12">
      <c r="A2874" s="2682" t="s">
        <v>146</v>
      </c>
      <c r="B2874" s="2682" t="s">
        <v>9021</v>
      </c>
      <c r="C2874" s="2682">
        <v>220</v>
      </c>
      <c r="D2874" s="2682">
        <v>400</v>
      </c>
      <c r="E2874" s="2682">
        <v>65</v>
      </c>
      <c r="F2874" s="2682">
        <v>1010</v>
      </c>
      <c r="G2874" s="2682">
        <v>1440</v>
      </c>
      <c r="H2874" s="2682">
        <v>830</v>
      </c>
      <c r="I2874" s="2682">
        <v>1100</v>
      </c>
      <c r="J2874" s="2682">
        <v>35.9</v>
      </c>
      <c r="L2874" s="2682" t="s">
        <v>5922</v>
      </c>
    </row>
    <row r="2875" spans="1:12">
      <c r="A2875" s="2683" t="s">
        <v>146</v>
      </c>
      <c r="B2875" s="2683" t="s">
        <v>9022</v>
      </c>
      <c r="C2875" s="2683">
        <v>240</v>
      </c>
      <c r="D2875" s="2683">
        <v>320</v>
      </c>
      <c r="E2875" s="2683">
        <v>51</v>
      </c>
      <c r="F2875" s="2683">
        <v>515</v>
      </c>
      <c r="G2875" s="2683">
        <v>1090</v>
      </c>
      <c r="H2875" s="2683">
        <v>940</v>
      </c>
      <c r="I2875" s="2683">
        <v>1300</v>
      </c>
      <c r="J2875" s="2683">
        <v>10.9</v>
      </c>
      <c r="K2875" s="2684"/>
      <c r="L2875" s="2683" t="s">
        <v>5922</v>
      </c>
    </row>
    <row r="2876" spans="1:12">
      <c r="A2876" s="2682" t="s">
        <v>146</v>
      </c>
      <c r="B2876" s="2682" t="s">
        <v>9023</v>
      </c>
      <c r="C2876" s="2682">
        <v>240</v>
      </c>
      <c r="D2876" s="2682">
        <v>360</v>
      </c>
      <c r="E2876" s="2682">
        <v>76</v>
      </c>
      <c r="F2876" s="2682">
        <v>924</v>
      </c>
      <c r="G2876" s="2682">
        <v>1720</v>
      </c>
      <c r="H2876" s="2682">
        <v>870</v>
      </c>
      <c r="I2876" s="2682">
        <v>1200</v>
      </c>
      <c r="J2876" s="2682">
        <v>26.8</v>
      </c>
      <c r="L2876" s="2682" t="s">
        <v>5922</v>
      </c>
    </row>
    <row r="2877" spans="1:12">
      <c r="A2877" s="2683" t="s">
        <v>146</v>
      </c>
      <c r="B2877" s="2683" t="s">
        <v>9024</v>
      </c>
      <c r="C2877" s="2683">
        <v>240</v>
      </c>
      <c r="D2877" s="2683">
        <v>440</v>
      </c>
      <c r="E2877" s="2683">
        <v>72</v>
      </c>
      <c r="F2877" s="2683">
        <v>1230</v>
      </c>
      <c r="G2877" s="2683">
        <v>1790</v>
      </c>
      <c r="H2877" s="2683">
        <v>730</v>
      </c>
      <c r="I2877" s="2683">
        <v>980</v>
      </c>
      <c r="J2877" s="2683">
        <v>49.5</v>
      </c>
      <c r="K2877" s="2684"/>
      <c r="L2877" s="2683" t="s">
        <v>5922</v>
      </c>
    </row>
    <row r="2878" spans="1:12">
      <c r="A2878" s="2682" t="s">
        <v>146</v>
      </c>
      <c r="B2878" s="2682" t="s">
        <v>9025</v>
      </c>
      <c r="C2878" s="2682">
        <v>260</v>
      </c>
      <c r="D2878" s="2682">
        <v>360</v>
      </c>
      <c r="E2878" s="2682">
        <v>63.5</v>
      </c>
      <c r="F2878" s="2682">
        <v>741</v>
      </c>
      <c r="G2878" s="2682">
        <v>1550</v>
      </c>
      <c r="H2878" s="2682">
        <v>830</v>
      </c>
      <c r="I2878" s="2682">
        <v>1100</v>
      </c>
      <c r="J2878" s="2682">
        <v>18.899999999999999</v>
      </c>
      <c r="L2878" s="2682" t="s">
        <v>5922</v>
      </c>
    </row>
    <row r="2879" spans="1:12">
      <c r="A2879" s="2683" t="s">
        <v>146</v>
      </c>
      <c r="B2879" s="2683" t="s">
        <v>9026</v>
      </c>
      <c r="C2879" s="2683">
        <v>260</v>
      </c>
      <c r="D2879" s="2683">
        <v>400</v>
      </c>
      <c r="E2879" s="2683">
        <v>87</v>
      </c>
      <c r="F2879" s="2683">
        <v>1170</v>
      </c>
      <c r="G2879" s="2683">
        <v>2170</v>
      </c>
      <c r="H2879" s="2683">
        <v>770</v>
      </c>
      <c r="I2879" s="2683">
        <v>1000</v>
      </c>
      <c r="J2879" s="2683">
        <v>39.5</v>
      </c>
      <c r="K2879" s="2684"/>
      <c r="L2879" s="2683" t="s">
        <v>5922</v>
      </c>
    </row>
    <row r="2880" spans="1:12">
      <c r="A2880" s="2682" t="s">
        <v>146</v>
      </c>
      <c r="B2880" s="2682" t="s">
        <v>9027</v>
      </c>
      <c r="C2880" s="2682">
        <v>280</v>
      </c>
      <c r="D2880" s="2682">
        <v>380</v>
      </c>
      <c r="E2880" s="2682">
        <v>63.5</v>
      </c>
      <c r="F2880" s="2682">
        <v>760</v>
      </c>
      <c r="G2880" s="2682">
        <v>1630</v>
      </c>
      <c r="H2880" s="2682">
        <v>770</v>
      </c>
      <c r="I2880" s="2682">
        <v>1000</v>
      </c>
      <c r="J2880" s="2682">
        <v>20.100000000000001</v>
      </c>
      <c r="L2880" s="2682" t="s">
        <v>5922</v>
      </c>
    </row>
    <row r="2881" spans="1:12">
      <c r="A2881" s="2683" t="s">
        <v>146</v>
      </c>
      <c r="B2881" s="2683" t="s">
        <v>9028</v>
      </c>
      <c r="C2881" s="2683">
        <v>280</v>
      </c>
      <c r="D2881" s="2683">
        <v>420</v>
      </c>
      <c r="E2881" s="2683">
        <v>87</v>
      </c>
      <c r="F2881" s="2683">
        <v>1200</v>
      </c>
      <c r="G2881" s="2683">
        <v>2280</v>
      </c>
      <c r="H2881" s="2683">
        <v>720</v>
      </c>
      <c r="I2881" s="2683">
        <v>960</v>
      </c>
      <c r="J2881" s="2683">
        <v>417</v>
      </c>
      <c r="K2881" s="2684"/>
      <c r="L2881" s="2683" t="s">
        <v>5922</v>
      </c>
    </row>
    <row r="2882" spans="1:12">
      <c r="A2882" s="2682" t="s">
        <v>146</v>
      </c>
      <c r="B2882" s="2682" t="s">
        <v>9029</v>
      </c>
      <c r="C2882" s="2682">
        <v>300</v>
      </c>
      <c r="D2882" s="2682">
        <v>420</v>
      </c>
      <c r="E2882" s="2682">
        <v>76</v>
      </c>
      <c r="F2882" s="2682">
        <v>1050</v>
      </c>
      <c r="G2882" s="2682">
        <v>2210</v>
      </c>
      <c r="H2882" s="2682">
        <v>680</v>
      </c>
      <c r="I2882" s="2682">
        <v>910</v>
      </c>
      <c r="J2882" s="2682">
        <v>32.4</v>
      </c>
      <c r="L2882" s="2682" t="s">
        <v>5922</v>
      </c>
    </row>
    <row r="2883" spans="1:12">
      <c r="A2883" s="2683" t="s">
        <v>146</v>
      </c>
      <c r="B2883" s="2683" t="s">
        <v>9030</v>
      </c>
      <c r="C2883" s="2683">
        <v>300</v>
      </c>
      <c r="D2883" s="2683">
        <v>460</v>
      </c>
      <c r="E2883" s="2683">
        <v>100</v>
      </c>
      <c r="F2883" s="2683">
        <v>1430</v>
      </c>
      <c r="G2883" s="2683">
        <v>2660</v>
      </c>
      <c r="H2883" s="2683">
        <v>640</v>
      </c>
      <c r="I2883" s="2683">
        <v>850</v>
      </c>
      <c r="J2883" s="2683">
        <v>57.5</v>
      </c>
      <c r="K2883" s="2684"/>
      <c r="L2883" s="2683" t="s">
        <v>5922</v>
      </c>
    </row>
    <row r="2884" spans="1:12">
      <c r="A2884" s="2682" t="s">
        <v>146</v>
      </c>
      <c r="B2884" s="2682">
        <v>30260</v>
      </c>
      <c r="C2884" s="2682">
        <v>300</v>
      </c>
      <c r="D2884" s="2682">
        <v>540</v>
      </c>
      <c r="E2884" s="2682">
        <v>85</v>
      </c>
      <c r="F2884" s="2682">
        <v>1510</v>
      </c>
      <c r="G2884" s="2682">
        <v>2360</v>
      </c>
      <c r="H2884" s="2682">
        <v>550</v>
      </c>
      <c r="I2884" s="2682">
        <v>730</v>
      </c>
      <c r="J2884" s="2682">
        <v>84.7</v>
      </c>
      <c r="L2884" s="2682" t="s">
        <v>5922</v>
      </c>
    </row>
    <row r="2885" spans="1:12">
      <c r="A2885" s="2683" t="s">
        <v>146</v>
      </c>
      <c r="B2885" s="2683" t="s">
        <v>9031</v>
      </c>
      <c r="C2885" s="2683">
        <v>320</v>
      </c>
      <c r="D2885" s="2683">
        <v>440</v>
      </c>
      <c r="E2885" s="2683">
        <v>76</v>
      </c>
      <c r="F2885" s="2683">
        <v>1060</v>
      </c>
      <c r="G2885" s="2683">
        <v>2270</v>
      </c>
      <c r="H2885" s="2683">
        <v>640</v>
      </c>
      <c r="I2885" s="2683">
        <v>850</v>
      </c>
      <c r="J2885" s="2683">
        <v>34</v>
      </c>
      <c r="K2885" s="2684"/>
      <c r="L2885" s="2683" t="s">
        <v>5922</v>
      </c>
    </row>
    <row r="2886" spans="1:12">
      <c r="A2886" s="2682" t="s">
        <v>146</v>
      </c>
      <c r="B2886" s="2682" t="s">
        <v>9032</v>
      </c>
      <c r="C2886" s="2682">
        <v>320</v>
      </c>
      <c r="D2886" s="2682">
        <v>480</v>
      </c>
      <c r="E2886" s="2682">
        <v>100</v>
      </c>
      <c r="F2886" s="2682">
        <v>1510</v>
      </c>
      <c r="G2886" s="2682">
        <v>2810</v>
      </c>
      <c r="H2886" s="2682">
        <v>600</v>
      </c>
      <c r="I2886" s="2682">
        <v>800</v>
      </c>
      <c r="J2886" s="2682">
        <v>58.7</v>
      </c>
      <c r="L2886" s="2682" t="s">
        <v>5922</v>
      </c>
    </row>
    <row r="2887" spans="1:12">
      <c r="A2887" s="2683" t="s">
        <v>146</v>
      </c>
      <c r="B2887" s="2683">
        <v>30264</v>
      </c>
      <c r="C2887" s="2683">
        <v>320</v>
      </c>
      <c r="D2887" s="2683">
        <v>580</v>
      </c>
      <c r="E2887" s="2683">
        <v>92</v>
      </c>
      <c r="F2887" s="2683">
        <v>1740</v>
      </c>
      <c r="G2887" s="2683">
        <v>2770</v>
      </c>
      <c r="H2887" s="2683">
        <v>490</v>
      </c>
      <c r="I2887" s="2683">
        <v>660</v>
      </c>
      <c r="J2887" s="2683">
        <v>108</v>
      </c>
      <c r="K2887" s="2684"/>
      <c r="L2887" s="2683" t="s">
        <v>5922</v>
      </c>
    </row>
    <row r="2888" spans="1:12">
      <c r="A2888" s="2682" t="s">
        <v>146</v>
      </c>
      <c r="B2888" s="2682" t="s">
        <v>9033</v>
      </c>
      <c r="C2888" s="2682">
        <v>340</v>
      </c>
      <c r="D2888" s="2682">
        <v>460</v>
      </c>
      <c r="E2888" s="2682">
        <v>75</v>
      </c>
      <c r="F2888" s="2682">
        <v>1070</v>
      </c>
      <c r="G2888" s="2682">
        <v>2340</v>
      </c>
      <c r="H2888" s="2682">
        <v>590</v>
      </c>
      <c r="I2888" s="2682">
        <v>790</v>
      </c>
      <c r="J2888" s="2682">
        <v>35.6</v>
      </c>
      <c r="L2888" s="2682" t="s">
        <v>5922</v>
      </c>
    </row>
    <row r="2889" spans="1:12">
      <c r="A2889" s="2683" t="s">
        <v>146</v>
      </c>
      <c r="B2889" s="2683" t="s">
        <v>9034</v>
      </c>
      <c r="C2889" s="2683">
        <v>360</v>
      </c>
      <c r="D2889" s="2683">
        <v>480</v>
      </c>
      <c r="E2889" s="2683">
        <v>76</v>
      </c>
      <c r="F2889" s="2683">
        <v>1080</v>
      </c>
      <c r="G2889" s="2683">
        <v>2400</v>
      </c>
      <c r="H2889" s="2683">
        <v>560</v>
      </c>
      <c r="I2889" s="2683">
        <v>740</v>
      </c>
      <c r="J2889" s="2683">
        <v>37.1</v>
      </c>
      <c r="K2889" s="2684"/>
      <c r="L2889" s="2683" t="s">
        <v>5922</v>
      </c>
    </row>
    <row r="2890" spans="1:12">
      <c r="A2890" s="2682" t="s">
        <v>146</v>
      </c>
      <c r="B2890" s="2682">
        <v>7880</v>
      </c>
      <c r="C2890" s="2682">
        <v>400</v>
      </c>
      <c r="D2890" s="2682">
        <v>500</v>
      </c>
      <c r="E2890" s="2682">
        <v>57</v>
      </c>
      <c r="F2890" s="2682">
        <v>421</v>
      </c>
      <c r="G2890" s="2682">
        <v>954</v>
      </c>
      <c r="H2890" s="2682">
        <v>400</v>
      </c>
      <c r="I2890" s="2682">
        <v>500</v>
      </c>
      <c r="J2890" s="2682">
        <v>25.1</v>
      </c>
      <c r="L2890" s="2682" t="s">
        <v>5922</v>
      </c>
    </row>
    <row r="2891" spans="1:12">
      <c r="A2891" s="2683" t="s">
        <v>146</v>
      </c>
      <c r="B2891" s="2683" t="s">
        <v>9035</v>
      </c>
      <c r="C2891" s="2683">
        <v>420</v>
      </c>
      <c r="D2891" s="2683">
        <v>620</v>
      </c>
      <c r="E2891" s="2683">
        <v>90</v>
      </c>
      <c r="F2891" s="2683">
        <v>1050</v>
      </c>
      <c r="G2891" s="2683">
        <v>2130</v>
      </c>
      <c r="H2891" s="2683">
        <v>380</v>
      </c>
      <c r="I2891" s="2683">
        <v>480</v>
      </c>
      <c r="J2891" s="2683">
        <v>88.3</v>
      </c>
      <c r="K2891" s="2684"/>
      <c r="L2891" s="2683" t="s">
        <v>5922</v>
      </c>
    </row>
    <row r="2892" spans="1:12">
      <c r="A2892" s="2682" t="s">
        <v>146</v>
      </c>
      <c r="B2892" s="2682" t="s">
        <v>6283</v>
      </c>
      <c r="C2892" s="2682">
        <v>760</v>
      </c>
      <c r="D2892" s="2682">
        <v>890</v>
      </c>
      <c r="E2892" s="2682">
        <v>75</v>
      </c>
      <c r="F2892" s="2682">
        <v>1241</v>
      </c>
      <c r="G2892" s="2682">
        <v>3519</v>
      </c>
      <c r="H2892" s="2682">
        <v>130</v>
      </c>
      <c r="I2892" s="2682">
        <v>170</v>
      </c>
      <c r="J2892" s="2682">
        <v>78.3</v>
      </c>
      <c r="L2892" s="2682" t="s">
        <v>5922</v>
      </c>
    </row>
    <row r="2893" spans="1:12">
      <c r="A2893" s="2683" t="s">
        <v>146</v>
      </c>
      <c r="B2893" s="2683" t="s">
        <v>6246</v>
      </c>
      <c r="C2893" s="2683">
        <v>900</v>
      </c>
      <c r="D2893" s="2683">
        <v>1280</v>
      </c>
      <c r="E2893" s="2683">
        <v>170</v>
      </c>
      <c r="F2893" s="2683">
        <v>5860</v>
      </c>
      <c r="G2893" s="2683">
        <v>14607</v>
      </c>
      <c r="H2893" s="2683">
        <v>95</v>
      </c>
      <c r="I2893" s="2683">
        <v>130</v>
      </c>
      <c r="J2893" s="2683">
        <v>71.8</v>
      </c>
      <c r="K2893" s="2684"/>
      <c r="L2893" s="2683" t="s">
        <v>5922</v>
      </c>
    </row>
    <row r="2894" spans="1:12">
      <c r="A2894" s="2682" t="s">
        <v>146</v>
      </c>
      <c r="B2894" s="2682">
        <v>350210</v>
      </c>
      <c r="C2894" s="2682">
        <v>50</v>
      </c>
      <c r="D2894" s="2682">
        <v>90</v>
      </c>
      <c r="E2894" s="2682">
        <v>20</v>
      </c>
      <c r="F2894" s="2682">
        <v>101</v>
      </c>
      <c r="G2894" s="2682">
        <v>140</v>
      </c>
      <c r="H2894" s="2682">
        <v>3400</v>
      </c>
      <c r="I2894" s="2682">
        <v>4500</v>
      </c>
      <c r="J2894" s="2682">
        <v>1.24</v>
      </c>
      <c r="L2894" s="2682">
        <v>97210</v>
      </c>
    </row>
    <row r="2895" spans="1:12">
      <c r="A2895" s="2683" t="s">
        <v>146</v>
      </c>
      <c r="B2895" s="2683" t="s">
        <v>9036</v>
      </c>
      <c r="C2895" s="2683">
        <v>120</v>
      </c>
      <c r="D2895" s="2683">
        <v>200</v>
      </c>
      <c r="E2895" s="2683">
        <v>78</v>
      </c>
      <c r="F2895" s="2683">
        <v>387</v>
      </c>
      <c r="G2895" s="2683">
        <v>672</v>
      </c>
      <c r="H2895" s="2683">
        <v>1400</v>
      </c>
      <c r="I2895" s="2683">
        <v>1900</v>
      </c>
      <c r="J2895" s="2683">
        <v>9.14</v>
      </c>
      <c r="K2895" s="2684"/>
      <c r="L2895" s="2683" t="s">
        <v>5922</v>
      </c>
    </row>
    <row r="2896" spans="1:12">
      <c r="A2896" s="2682" t="s">
        <v>146</v>
      </c>
      <c r="B2896" s="2682" t="s">
        <v>9037</v>
      </c>
      <c r="C2896" s="2682">
        <v>120</v>
      </c>
      <c r="D2896" s="2682">
        <v>200</v>
      </c>
      <c r="E2896" s="2682">
        <v>100</v>
      </c>
      <c r="F2896" s="2682">
        <v>533</v>
      </c>
      <c r="G2896" s="2682">
        <v>1010</v>
      </c>
      <c r="H2896" s="2682">
        <v>1400</v>
      </c>
      <c r="I2896" s="2682">
        <v>1900</v>
      </c>
      <c r="J2896" s="2682">
        <v>12</v>
      </c>
      <c r="L2896" s="2682" t="s">
        <v>5922</v>
      </c>
    </row>
    <row r="2897" spans="1:12">
      <c r="A2897" s="2683" t="s">
        <v>146</v>
      </c>
      <c r="B2897" s="2683" t="s">
        <v>9038</v>
      </c>
      <c r="C2897" s="2683">
        <v>120</v>
      </c>
      <c r="D2897" s="2683">
        <v>215</v>
      </c>
      <c r="E2897" s="2683">
        <v>97</v>
      </c>
      <c r="F2897" s="2683">
        <v>550</v>
      </c>
      <c r="G2897" s="2683">
        <v>851</v>
      </c>
      <c r="H2897" s="2683">
        <v>1400</v>
      </c>
      <c r="I2897" s="2683">
        <v>1800</v>
      </c>
      <c r="J2897" s="2683">
        <v>14.3</v>
      </c>
      <c r="K2897" s="2684"/>
      <c r="L2897" s="2683" t="s">
        <v>5922</v>
      </c>
    </row>
    <row r="2898" spans="1:12">
      <c r="A2898" s="2682" t="s">
        <v>146</v>
      </c>
      <c r="B2898" s="2682" t="s">
        <v>9039</v>
      </c>
      <c r="C2898" s="2682">
        <v>120</v>
      </c>
      <c r="D2898" s="2682">
        <v>215</v>
      </c>
      <c r="E2898" s="2682">
        <v>132</v>
      </c>
      <c r="F2898" s="2682">
        <v>742</v>
      </c>
      <c r="G2898" s="2682">
        <v>1240</v>
      </c>
      <c r="H2898" s="2682">
        <v>1400</v>
      </c>
      <c r="I2898" s="2682">
        <v>1900</v>
      </c>
      <c r="J2898" s="2682">
        <v>19.399999999999999</v>
      </c>
      <c r="L2898" s="2682" t="s">
        <v>5922</v>
      </c>
    </row>
    <row r="2899" spans="1:12">
      <c r="A2899" s="2683" t="s">
        <v>146</v>
      </c>
      <c r="B2899" s="2683" t="s">
        <v>9040</v>
      </c>
      <c r="C2899" s="2683">
        <v>120</v>
      </c>
      <c r="D2899" s="2683">
        <v>260</v>
      </c>
      <c r="E2899" s="2683">
        <v>128</v>
      </c>
      <c r="F2899" s="2683">
        <v>883</v>
      </c>
      <c r="G2899" s="2683">
        <v>1250</v>
      </c>
      <c r="H2899" s="2683">
        <v>1200</v>
      </c>
      <c r="I2899" s="2683">
        <v>1600</v>
      </c>
      <c r="J2899" s="2683">
        <v>37.9</v>
      </c>
      <c r="K2899" s="2684"/>
      <c r="L2899" s="2683" t="s">
        <v>5922</v>
      </c>
    </row>
    <row r="2900" spans="1:12">
      <c r="A2900" s="2682" t="s">
        <v>146</v>
      </c>
      <c r="B2900" s="2682" t="s">
        <v>9041</v>
      </c>
      <c r="C2900" s="2682">
        <v>120</v>
      </c>
      <c r="D2900" s="2682">
        <v>260</v>
      </c>
      <c r="E2900" s="2682">
        <v>188</v>
      </c>
      <c r="F2900" s="2682">
        <v>1230</v>
      </c>
      <c r="G2900" s="2682">
        <v>1920</v>
      </c>
      <c r="H2900" s="2682">
        <v>1200</v>
      </c>
      <c r="I2900" s="2682">
        <v>1600</v>
      </c>
      <c r="J2900" s="2682">
        <v>46.2</v>
      </c>
      <c r="L2900" s="2682" t="s">
        <v>5922</v>
      </c>
    </row>
    <row r="2901" spans="1:12">
      <c r="A2901" s="2683" t="s">
        <v>146</v>
      </c>
      <c r="B2901" s="2683" t="s">
        <v>9042</v>
      </c>
      <c r="C2901" s="2683">
        <v>130</v>
      </c>
      <c r="D2901" s="2683">
        <v>200</v>
      </c>
      <c r="E2901" s="2683">
        <v>65</v>
      </c>
      <c r="F2901" s="2683">
        <v>319</v>
      </c>
      <c r="G2901" s="2683">
        <v>618</v>
      </c>
      <c r="H2901" s="2683">
        <v>1400</v>
      </c>
      <c r="I2901" s="2683">
        <v>1900</v>
      </c>
      <c r="J2901" s="2683">
        <v>7.06</v>
      </c>
      <c r="K2901" s="2684"/>
      <c r="L2901" s="2683" t="s">
        <v>5922</v>
      </c>
    </row>
    <row r="2902" spans="1:12">
      <c r="A2902" s="2682" t="s">
        <v>146</v>
      </c>
      <c r="B2902" s="2682" t="s">
        <v>9043</v>
      </c>
      <c r="C2902" s="2682">
        <v>130</v>
      </c>
      <c r="D2902" s="2682">
        <v>210</v>
      </c>
      <c r="E2902" s="2682">
        <v>80</v>
      </c>
      <c r="F2902" s="2682">
        <v>424</v>
      </c>
      <c r="G2902" s="2682">
        <v>723</v>
      </c>
      <c r="H2902" s="2682">
        <v>1300</v>
      </c>
      <c r="I2902" s="2682">
        <v>1800</v>
      </c>
      <c r="J2902" s="2682">
        <v>9.57</v>
      </c>
      <c r="L2902" s="2682" t="s">
        <v>5922</v>
      </c>
    </row>
    <row r="2903" spans="1:12">
      <c r="A2903" s="2683" t="s">
        <v>146</v>
      </c>
      <c r="B2903" s="2683" t="s">
        <v>9044</v>
      </c>
      <c r="C2903" s="2683">
        <v>130</v>
      </c>
      <c r="D2903" s="2683">
        <v>230</v>
      </c>
      <c r="E2903" s="2683">
        <v>98</v>
      </c>
      <c r="F2903" s="2683">
        <v>596</v>
      </c>
      <c r="G2903" s="2683">
        <v>917</v>
      </c>
      <c r="H2903" s="2683">
        <v>1300</v>
      </c>
      <c r="I2903" s="2683">
        <v>1700</v>
      </c>
      <c r="J2903" s="2683">
        <v>16.3</v>
      </c>
      <c r="K2903" s="2684"/>
      <c r="L2903" s="2683" t="s">
        <v>5922</v>
      </c>
    </row>
    <row r="2904" spans="1:12">
      <c r="A2904" s="2682" t="s">
        <v>146</v>
      </c>
      <c r="B2904" s="2682" t="s">
        <v>9045</v>
      </c>
      <c r="C2904" s="2682">
        <v>130</v>
      </c>
      <c r="D2904" s="2682">
        <v>230</v>
      </c>
      <c r="E2904" s="2682">
        <v>145</v>
      </c>
      <c r="F2904" s="2682">
        <v>873</v>
      </c>
      <c r="G2904" s="2682">
        <v>1490</v>
      </c>
      <c r="H2904" s="2682">
        <v>1300</v>
      </c>
      <c r="I2904" s="2682">
        <v>1700</v>
      </c>
      <c r="J2904" s="2682">
        <v>24.1</v>
      </c>
      <c r="L2904" s="2682" t="s">
        <v>5922</v>
      </c>
    </row>
    <row r="2905" spans="1:12">
      <c r="A2905" s="2683" t="s">
        <v>146</v>
      </c>
      <c r="B2905" s="2683" t="s">
        <v>9046</v>
      </c>
      <c r="C2905" s="2683">
        <v>130</v>
      </c>
      <c r="D2905" s="2683">
        <v>280</v>
      </c>
      <c r="E2905" s="2683">
        <v>137</v>
      </c>
      <c r="F2905" s="2683">
        <v>1020</v>
      </c>
      <c r="G2905" s="2683">
        <v>1460</v>
      </c>
      <c r="H2905" s="2683">
        <v>1100</v>
      </c>
      <c r="I2905" s="2683">
        <v>1400</v>
      </c>
      <c r="J2905" s="2683">
        <v>39</v>
      </c>
      <c r="K2905" s="2684"/>
      <c r="L2905" s="2683" t="s">
        <v>5922</v>
      </c>
    </row>
    <row r="2906" spans="1:12">
      <c r="A2906" s="2682" t="s">
        <v>146</v>
      </c>
      <c r="B2906" s="2682" t="s">
        <v>9047</v>
      </c>
      <c r="C2906" s="2682">
        <v>130</v>
      </c>
      <c r="D2906" s="2682">
        <v>280</v>
      </c>
      <c r="E2906" s="2682">
        <v>205</v>
      </c>
      <c r="F2906" s="2682">
        <v>1450</v>
      </c>
      <c r="G2906" s="2682">
        <v>2290</v>
      </c>
      <c r="H2906" s="2682">
        <v>1100</v>
      </c>
      <c r="I2906" s="2682">
        <v>1500</v>
      </c>
      <c r="J2906" s="2682">
        <v>58.3</v>
      </c>
      <c r="L2906" s="2682" t="s">
        <v>5922</v>
      </c>
    </row>
    <row r="2907" spans="1:12">
      <c r="A2907" s="2683" t="s">
        <v>146</v>
      </c>
      <c r="B2907" s="2683" t="s">
        <v>9048</v>
      </c>
      <c r="C2907" s="2683">
        <v>140</v>
      </c>
      <c r="D2907" s="2683">
        <v>210</v>
      </c>
      <c r="E2907" s="2683">
        <v>66</v>
      </c>
      <c r="F2907" s="2683">
        <v>360</v>
      </c>
      <c r="G2907" s="2683">
        <v>639</v>
      </c>
      <c r="H2907" s="2683">
        <v>1300</v>
      </c>
      <c r="I2907" s="2683">
        <v>1800</v>
      </c>
      <c r="J2907" s="2683">
        <v>7.18</v>
      </c>
      <c r="K2907" s="2684"/>
      <c r="L2907" s="2683" t="s">
        <v>5922</v>
      </c>
    </row>
  </sheetData>
  <mergeCells count="4">
    <mergeCell ref="A1:L1"/>
    <mergeCell ref="A2:A3"/>
    <mergeCell ref="B2:B3"/>
    <mergeCell ref="L2:L3"/>
  </mergeCells>
  <phoneticPr fontId="214" type="noConversion"/>
  <pageMargins left="0.75" right="0.75" top="1" bottom="1" header="0.5" footer="0.5"/>
  <headerFooter scaleWithDoc="0"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tabColor indexed="33"/>
  </sheetPr>
  <dimension ref="A1:BB1000"/>
  <sheetViews>
    <sheetView zoomScale="115" zoomScaleNormal="115" workbookViewId="0">
      <pane xSplit="3" ySplit="3" topLeftCell="D175" activePane="bottomRight" state="frozen"/>
      <selection pane="topRight"/>
      <selection pane="bottomLeft"/>
      <selection pane="bottomRight"/>
    </sheetView>
  </sheetViews>
  <sheetFormatPr defaultColWidth="8" defaultRowHeight="12.75"/>
  <cols>
    <col min="1" max="1" width="8.25" style="2640"/>
    <col min="2" max="2" width="16.5" style="2640" customWidth="1"/>
    <col min="3" max="9" width="8.25" style="2640"/>
    <col min="10" max="10" width="4.125" style="2640" customWidth="1"/>
    <col min="11" max="17" width="8.25" style="2640"/>
    <col min="18" max="18" width="9.875" style="2640"/>
    <col min="19" max="53" width="8.25" style="2640"/>
    <col min="54" max="54" width="8.25" style="2640" hidden="1" customWidth="1"/>
    <col min="55" max="256" width="8.25" style="2640"/>
    <col min="257" max="16384" width="8" style="2640"/>
  </cols>
  <sheetData>
    <row r="1" spans="1:54" ht="19.5">
      <c r="A1" s="2641" t="s">
        <v>234</v>
      </c>
      <c r="B1" s="2641"/>
      <c r="C1" s="4860" t="s">
        <v>9049</v>
      </c>
      <c r="D1" s="4861"/>
      <c r="E1" s="4861"/>
      <c r="F1" s="4861"/>
      <c r="G1" s="4861"/>
      <c r="H1" s="4861"/>
      <c r="I1" s="4862"/>
      <c r="J1" s="2641"/>
      <c r="K1" s="4860" t="s">
        <v>9050</v>
      </c>
      <c r="L1" s="4861"/>
      <c r="M1" s="4861"/>
      <c r="N1" s="4861"/>
      <c r="O1" s="4861"/>
      <c r="P1" s="4861"/>
      <c r="Q1" s="4861"/>
      <c r="R1" s="4862"/>
      <c r="BB1" s="2640" t="s">
        <v>9051</v>
      </c>
    </row>
    <row r="2" spans="1:54" ht="16.5">
      <c r="A2" s="2642"/>
      <c r="B2" s="2642"/>
      <c r="C2" s="2643"/>
      <c r="D2" s="4863" t="s">
        <v>9052</v>
      </c>
      <c r="E2" s="4864"/>
      <c r="F2" s="4863" t="s">
        <v>9053</v>
      </c>
      <c r="G2" s="4864"/>
      <c r="H2" s="4863" t="s">
        <v>9054</v>
      </c>
      <c r="I2" s="4865"/>
      <c r="J2" s="2642"/>
      <c r="K2" s="2643"/>
      <c r="L2" s="4863" t="s">
        <v>9054</v>
      </c>
      <c r="M2" s="4864"/>
      <c r="N2" s="4863" t="s">
        <v>9055</v>
      </c>
      <c r="O2" s="4864"/>
      <c r="P2" s="4863" t="s">
        <v>9056</v>
      </c>
      <c r="Q2" s="4864"/>
      <c r="R2" s="2663" t="s">
        <v>9057</v>
      </c>
      <c r="BB2" s="2640" t="s">
        <v>234</v>
      </c>
    </row>
    <row r="3" spans="1:54">
      <c r="A3" s="2644" t="s">
        <v>9058</v>
      </c>
      <c r="B3" s="2644" t="s">
        <v>9059</v>
      </c>
      <c r="C3" s="2645" t="s">
        <v>9060</v>
      </c>
      <c r="D3" s="2646" t="s">
        <v>9061</v>
      </c>
      <c r="E3" s="2647" t="s">
        <v>9062</v>
      </c>
      <c r="F3" s="2646" t="s">
        <v>9061</v>
      </c>
      <c r="G3" s="2647" t="s">
        <v>9062</v>
      </c>
      <c r="H3" s="2646" t="s">
        <v>9061</v>
      </c>
      <c r="I3" s="2660" t="s">
        <v>9062</v>
      </c>
      <c r="J3" s="2644"/>
      <c r="K3" s="2645" t="s">
        <v>9060</v>
      </c>
      <c r="L3" s="2646" t="s">
        <v>9062</v>
      </c>
      <c r="M3" s="2647" t="s">
        <v>9061</v>
      </c>
      <c r="N3" s="2646" t="s">
        <v>9062</v>
      </c>
      <c r="O3" s="2647" t="s">
        <v>9061</v>
      </c>
      <c r="P3" s="2646" t="s">
        <v>9062</v>
      </c>
      <c r="Q3" s="2647" t="s">
        <v>9061</v>
      </c>
      <c r="R3" s="2664" t="s">
        <v>9063</v>
      </c>
    </row>
    <row r="4" spans="1:54">
      <c r="A4" s="2648">
        <v>0.25</v>
      </c>
      <c r="B4" s="2649" t="s">
        <v>9064</v>
      </c>
      <c r="C4" s="2649" t="s">
        <v>9065</v>
      </c>
      <c r="D4" s="2650">
        <v>0.25</v>
      </c>
      <c r="E4" s="2650">
        <v>0.23499999999999999</v>
      </c>
      <c r="F4" s="2650">
        <v>0.20100000000000001</v>
      </c>
      <c r="G4" s="2650">
        <v>0.187</v>
      </c>
      <c r="H4" s="2650">
        <v>0.16</v>
      </c>
      <c r="I4" s="2650">
        <v>0.14000000000000001</v>
      </c>
      <c r="J4" s="2661"/>
      <c r="K4" s="2661" t="s">
        <v>9066</v>
      </c>
      <c r="L4" s="2650">
        <v>0.17199999999999999</v>
      </c>
      <c r="M4" s="2650">
        <v>0.20799999999999999</v>
      </c>
      <c r="N4" s="2650">
        <v>0.20100000000000001</v>
      </c>
      <c r="O4" s="2650">
        <v>0.215</v>
      </c>
      <c r="P4" s="2650">
        <v>0.255</v>
      </c>
      <c r="Q4" s="2650">
        <v>0.27600000000000002</v>
      </c>
      <c r="R4" s="2665">
        <v>0.17499999999999999</v>
      </c>
    </row>
    <row r="5" spans="1:54">
      <c r="A5" s="2651"/>
      <c r="B5" s="2652" t="s">
        <v>9064</v>
      </c>
      <c r="C5" s="2652" t="s">
        <v>9067</v>
      </c>
      <c r="D5" s="2653">
        <v>0.25</v>
      </c>
      <c r="E5" s="2653">
        <v>0.23499999999999999</v>
      </c>
      <c r="F5" s="2653">
        <v>0.20100000000000001</v>
      </c>
      <c r="G5" s="2653">
        <v>0.193</v>
      </c>
      <c r="H5" s="2653">
        <v>0.16</v>
      </c>
      <c r="I5" s="2653">
        <v>0.152</v>
      </c>
      <c r="J5" s="2659"/>
      <c r="K5" s="2659"/>
      <c r="L5" s="2653"/>
      <c r="M5" s="2653"/>
      <c r="N5" s="2653"/>
      <c r="O5" s="2653"/>
      <c r="P5" s="2653"/>
      <c r="Q5" s="2653"/>
      <c r="R5" s="2666"/>
    </row>
    <row r="6" spans="1:54">
      <c r="A6" s="2651">
        <v>0.3</v>
      </c>
      <c r="B6" s="2652" t="s">
        <v>9068</v>
      </c>
      <c r="C6" s="2652" t="s">
        <v>9065</v>
      </c>
      <c r="D6" s="2653">
        <v>0.3</v>
      </c>
      <c r="E6" s="2653">
        <v>0.28399999999999997</v>
      </c>
      <c r="F6" s="2653">
        <v>0.248</v>
      </c>
      <c r="G6" s="2653">
        <v>0.23400000000000001</v>
      </c>
      <c r="H6" s="2653">
        <v>0.20399999999999999</v>
      </c>
      <c r="I6" s="2653">
        <v>0.183</v>
      </c>
      <c r="J6" s="2659"/>
      <c r="K6" s="2659" t="s">
        <v>9066</v>
      </c>
      <c r="L6" s="2653">
        <v>0.217</v>
      </c>
      <c r="M6" s="2653">
        <v>0.254</v>
      </c>
      <c r="N6" s="2653">
        <v>0.248</v>
      </c>
      <c r="O6" s="2653">
        <v>0.26200000000000001</v>
      </c>
      <c r="P6" s="2653">
        <v>0.30599999999999999</v>
      </c>
      <c r="Q6" s="2653">
        <v>0.32700000000000001</v>
      </c>
      <c r="R6" s="2666">
        <v>0.21</v>
      </c>
    </row>
    <row r="7" spans="1:54">
      <c r="A7" s="2651"/>
      <c r="B7" s="2652" t="s">
        <v>9068</v>
      </c>
      <c r="C7" s="2652" t="s">
        <v>9067</v>
      </c>
      <c r="D7" s="2653">
        <v>0.3</v>
      </c>
      <c r="E7" s="2653">
        <v>0.28399999999999997</v>
      </c>
      <c r="F7" s="2653">
        <v>0.248</v>
      </c>
      <c r="G7" s="2653">
        <v>0.23899999999999999</v>
      </c>
      <c r="H7" s="2653">
        <v>0.20399999999999999</v>
      </c>
      <c r="I7" s="2653">
        <v>0.19500000000000001</v>
      </c>
      <c r="J7" s="2659"/>
      <c r="K7" s="2659"/>
      <c r="L7" s="2653"/>
      <c r="M7" s="2653"/>
      <c r="N7" s="2653"/>
      <c r="O7" s="2653"/>
      <c r="P7" s="2653"/>
      <c r="Q7" s="2653"/>
      <c r="R7" s="2666"/>
    </row>
    <row r="8" spans="1:54">
      <c r="A8" s="2651"/>
      <c r="B8" s="2652" t="s">
        <v>9069</v>
      </c>
      <c r="C8" s="2652" t="s">
        <v>9065</v>
      </c>
      <c r="D8" s="2653">
        <v>0.3</v>
      </c>
      <c r="E8" s="2653">
        <v>0.28299999999999997</v>
      </c>
      <c r="F8" s="2653">
        <v>0.24199999999999999</v>
      </c>
      <c r="G8" s="2653">
        <v>0.22600000000000001</v>
      </c>
      <c r="H8" s="2653">
        <v>0.192</v>
      </c>
      <c r="I8" s="2653">
        <v>0.17</v>
      </c>
      <c r="J8" s="2659"/>
      <c r="K8" s="2659" t="s">
        <v>9066</v>
      </c>
      <c r="L8" s="2653">
        <v>0.20599999999999999</v>
      </c>
      <c r="M8" s="2653">
        <v>0.247</v>
      </c>
      <c r="N8" s="2653">
        <v>0.24199999999999999</v>
      </c>
      <c r="O8" s="2653">
        <v>0.25700000000000001</v>
      </c>
      <c r="P8" s="2653">
        <v>0.30599999999999999</v>
      </c>
      <c r="Q8" s="2653">
        <v>0.33</v>
      </c>
      <c r="R8" s="2666"/>
    </row>
    <row r="9" spans="1:54">
      <c r="A9" s="2651"/>
      <c r="B9" s="2652" t="s">
        <v>9069</v>
      </c>
      <c r="C9" s="2652" t="s">
        <v>9067</v>
      </c>
      <c r="D9" s="2653">
        <v>0.3</v>
      </c>
      <c r="E9" s="2653">
        <v>0.28299999999999997</v>
      </c>
      <c r="F9" s="2653">
        <v>0.24199999999999999</v>
      </c>
      <c r="G9" s="2653">
        <v>0.23300000000000001</v>
      </c>
      <c r="H9" s="2653">
        <v>0.192</v>
      </c>
      <c r="I9" s="2653">
        <v>0.183</v>
      </c>
      <c r="J9" s="2659"/>
      <c r="K9" s="2659"/>
      <c r="L9" s="2653"/>
      <c r="M9" s="2653"/>
      <c r="N9" s="2653"/>
      <c r="O9" s="2653"/>
      <c r="P9" s="2653"/>
      <c r="Q9" s="2653"/>
      <c r="R9" s="2666"/>
    </row>
    <row r="10" spans="1:54">
      <c r="A10" s="2651">
        <v>0.35</v>
      </c>
      <c r="B10" s="2652" t="s">
        <v>9070</v>
      </c>
      <c r="C10" s="2652" t="s">
        <v>9065</v>
      </c>
      <c r="D10" s="2653">
        <v>0.35</v>
      </c>
      <c r="E10" s="2653">
        <v>0.33300000000000002</v>
      </c>
      <c r="F10" s="2653">
        <v>0.29199999999999998</v>
      </c>
      <c r="G10" s="2653">
        <v>0.27700000000000002</v>
      </c>
      <c r="H10" s="2653">
        <v>0.24199999999999999</v>
      </c>
      <c r="I10" s="2653">
        <v>0.22</v>
      </c>
      <c r="J10" s="2659"/>
      <c r="K10" s="2659" t="s">
        <v>9066</v>
      </c>
      <c r="L10" s="2653">
        <v>0.25600000000000001</v>
      </c>
      <c r="M10" s="2653">
        <v>0.29699999999999999</v>
      </c>
      <c r="N10" s="2653">
        <v>0.29199999999999998</v>
      </c>
      <c r="O10" s="2653">
        <v>0.307</v>
      </c>
      <c r="P10" s="2653">
        <v>0.35599999999999998</v>
      </c>
      <c r="Q10" s="2653">
        <v>0.38</v>
      </c>
      <c r="R10" s="2666">
        <v>0.245</v>
      </c>
    </row>
    <row r="11" spans="1:54">
      <c r="A11" s="2651"/>
      <c r="B11" s="2652" t="s">
        <v>9070</v>
      </c>
      <c r="C11" s="2652" t="s">
        <v>9067</v>
      </c>
      <c r="D11" s="2653">
        <v>0.35</v>
      </c>
      <c r="E11" s="2653">
        <v>0.33300000000000002</v>
      </c>
      <c r="F11" s="2653">
        <v>0.29199999999999998</v>
      </c>
      <c r="G11" s="2653">
        <v>0.28299999999999997</v>
      </c>
      <c r="H11" s="2653">
        <v>0.24199999999999999</v>
      </c>
      <c r="I11" s="2653">
        <v>0.23300000000000001</v>
      </c>
      <c r="J11" s="2659"/>
      <c r="K11" s="2659"/>
      <c r="L11" s="2653"/>
      <c r="M11" s="2653"/>
      <c r="N11" s="2653"/>
      <c r="O11" s="2653"/>
      <c r="P11" s="2653"/>
      <c r="Q11" s="2653"/>
      <c r="R11" s="2666"/>
    </row>
    <row r="12" spans="1:54">
      <c r="A12" s="2651">
        <v>0.4</v>
      </c>
      <c r="B12" s="2652" t="s">
        <v>9071</v>
      </c>
      <c r="C12" s="2652" t="s">
        <v>9065</v>
      </c>
      <c r="D12" s="2653">
        <v>0.4</v>
      </c>
      <c r="E12" s="2653">
        <v>0.38200000000000001</v>
      </c>
      <c r="F12" s="2653">
        <v>0.33500000000000002</v>
      </c>
      <c r="G12" s="2653">
        <v>0.31900000000000001</v>
      </c>
      <c r="H12" s="2653">
        <v>0.28000000000000003</v>
      </c>
      <c r="I12" s="2653">
        <v>0.25600000000000001</v>
      </c>
      <c r="J12" s="2659"/>
      <c r="K12" s="2659" t="s">
        <v>9066</v>
      </c>
      <c r="L12" s="2653">
        <v>0.29599999999999999</v>
      </c>
      <c r="M12" s="2653">
        <v>0.34</v>
      </c>
      <c r="N12" s="2653">
        <v>0.33500000000000002</v>
      </c>
      <c r="O12" s="2653">
        <v>0.35099999999999998</v>
      </c>
      <c r="P12" s="2653">
        <v>0.40699999999999997</v>
      </c>
      <c r="Q12" s="2653">
        <v>0.432</v>
      </c>
      <c r="R12" s="2666">
        <v>0.28000000000000003</v>
      </c>
    </row>
    <row r="13" spans="1:54">
      <c r="A13" s="2651"/>
      <c r="B13" s="2652" t="s">
        <v>9071</v>
      </c>
      <c r="C13" s="2652" t="s">
        <v>9067</v>
      </c>
      <c r="D13" s="2653">
        <v>0.4</v>
      </c>
      <c r="E13" s="2653">
        <v>0.38200000000000001</v>
      </c>
      <c r="F13" s="2653">
        <v>0.33500000000000002</v>
      </c>
      <c r="G13" s="2653">
        <v>0.32500000000000001</v>
      </c>
      <c r="H13" s="2653">
        <v>0.28000000000000003</v>
      </c>
      <c r="I13" s="2653">
        <v>0.27</v>
      </c>
      <c r="J13" s="2659"/>
      <c r="K13" s="2659"/>
      <c r="L13" s="2653"/>
      <c r="M13" s="2653"/>
      <c r="N13" s="2653"/>
      <c r="O13" s="2653"/>
      <c r="P13" s="2653"/>
      <c r="Q13" s="2653"/>
      <c r="R13" s="2666"/>
    </row>
    <row r="14" spans="1:54">
      <c r="A14" s="2651">
        <v>0.45</v>
      </c>
      <c r="B14" s="2652" t="s">
        <v>9072</v>
      </c>
      <c r="C14" s="2652" t="s">
        <v>9065</v>
      </c>
      <c r="D14" s="2653">
        <v>0.45</v>
      </c>
      <c r="E14" s="2653">
        <v>0.432</v>
      </c>
      <c r="F14" s="2653">
        <v>0.38500000000000001</v>
      </c>
      <c r="G14" s="2653">
        <v>0.36899999999999999</v>
      </c>
      <c r="H14" s="2653">
        <v>0.33</v>
      </c>
      <c r="I14" s="2653">
        <v>0.30599999999999999</v>
      </c>
      <c r="J14" s="2659"/>
      <c r="K14" s="2659" t="s">
        <v>9066</v>
      </c>
      <c r="L14" s="2653">
        <v>0.34599999999999997</v>
      </c>
      <c r="M14" s="2653">
        <v>0.39</v>
      </c>
      <c r="N14" s="2653">
        <v>0.38500000000000001</v>
      </c>
      <c r="O14" s="2653">
        <v>0.40100000000000002</v>
      </c>
      <c r="P14" s="2653">
        <v>0.45700000000000002</v>
      </c>
      <c r="Q14" s="2653">
        <v>0.48199999999999998</v>
      </c>
      <c r="R14" s="2666">
        <v>0.315</v>
      </c>
    </row>
    <row r="15" spans="1:54">
      <c r="A15" s="2651"/>
      <c r="B15" s="2652" t="s">
        <v>9072</v>
      </c>
      <c r="C15" s="2652" t="s">
        <v>9067</v>
      </c>
      <c r="D15" s="2653">
        <v>0.45</v>
      </c>
      <c r="E15" s="2653">
        <v>0.432</v>
      </c>
      <c r="F15" s="2653">
        <v>0.38500000000000001</v>
      </c>
      <c r="G15" s="2653">
        <v>0.375</v>
      </c>
      <c r="H15" s="2653">
        <v>0.33</v>
      </c>
      <c r="I15" s="2653">
        <v>0.32</v>
      </c>
      <c r="J15" s="2659"/>
      <c r="K15" s="2659"/>
      <c r="L15" s="2653"/>
      <c r="M15" s="2653"/>
      <c r="N15" s="2653"/>
      <c r="O15" s="2653"/>
      <c r="P15" s="2653"/>
      <c r="Q15" s="2653"/>
      <c r="R15" s="2666"/>
    </row>
    <row r="16" spans="1:54">
      <c r="A16" s="2651">
        <v>0.5</v>
      </c>
      <c r="B16" s="2652" t="s">
        <v>9073</v>
      </c>
      <c r="C16" s="2652" t="s">
        <v>9065</v>
      </c>
      <c r="D16" s="2653">
        <v>0.5</v>
      </c>
      <c r="E16" s="2653">
        <v>0.47899999999999998</v>
      </c>
      <c r="F16" s="2653">
        <v>0.41899999999999998</v>
      </c>
      <c r="G16" s="2653">
        <v>0.40100000000000002</v>
      </c>
      <c r="H16" s="2653">
        <v>0.35</v>
      </c>
      <c r="I16" s="2653">
        <v>0.32200000000000001</v>
      </c>
      <c r="J16" s="2659"/>
      <c r="K16" s="2659" t="s">
        <v>9066</v>
      </c>
      <c r="L16" s="2653">
        <v>0.37</v>
      </c>
      <c r="M16" s="2653">
        <v>0.42199999999999999</v>
      </c>
      <c r="N16" s="2653">
        <v>0.41899999999999998</v>
      </c>
      <c r="O16" s="2653">
        <v>0.437</v>
      </c>
      <c r="P16" s="2653">
        <v>0.50900000000000001</v>
      </c>
      <c r="Q16" s="2653">
        <v>0.53800000000000003</v>
      </c>
      <c r="R16" s="2666">
        <v>0.35</v>
      </c>
    </row>
    <row r="17" spans="1:18">
      <c r="A17" s="2651"/>
      <c r="B17" s="2652" t="s">
        <v>9073</v>
      </c>
      <c r="C17" s="2652" t="s">
        <v>9067</v>
      </c>
      <c r="D17" s="2653">
        <v>0.5</v>
      </c>
      <c r="E17" s="2653">
        <v>0.47899999999999998</v>
      </c>
      <c r="F17" s="2653">
        <v>0.41899999999999998</v>
      </c>
      <c r="G17" s="2653">
        <v>0.40799999999999997</v>
      </c>
      <c r="H17" s="2653">
        <v>0.35</v>
      </c>
      <c r="I17" s="2653">
        <v>0.33900000000000002</v>
      </c>
      <c r="J17" s="2659"/>
      <c r="K17" s="2659"/>
      <c r="L17" s="2653"/>
      <c r="M17" s="2653"/>
      <c r="N17" s="2653"/>
      <c r="O17" s="2653"/>
      <c r="P17" s="2653"/>
      <c r="Q17" s="2653"/>
      <c r="R17" s="2666"/>
    </row>
    <row r="18" spans="1:18">
      <c r="A18" s="2651">
        <v>0.55000000000000004</v>
      </c>
      <c r="B18" s="2652" t="s">
        <v>9074</v>
      </c>
      <c r="C18" s="2652" t="s">
        <v>9065</v>
      </c>
      <c r="D18" s="2653">
        <v>0.55000000000000004</v>
      </c>
      <c r="E18" s="2653">
        <v>0.52900000000000003</v>
      </c>
      <c r="F18" s="2653">
        <v>0.46899999999999997</v>
      </c>
      <c r="G18" s="2653">
        <v>0.45100000000000001</v>
      </c>
      <c r="H18" s="2653">
        <v>0.4</v>
      </c>
      <c r="I18" s="2653">
        <v>0.372</v>
      </c>
      <c r="J18" s="2659"/>
      <c r="K18" s="2659" t="s">
        <v>9066</v>
      </c>
      <c r="L18" s="2653">
        <v>0.42</v>
      </c>
      <c r="M18" s="2653">
        <v>0.47199999999999998</v>
      </c>
      <c r="N18" s="2653">
        <v>0.46899999999999997</v>
      </c>
      <c r="O18" s="2653">
        <v>0.48699999999999999</v>
      </c>
      <c r="P18" s="2653">
        <v>0.55900000000000005</v>
      </c>
      <c r="Q18" s="2653">
        <v>0.58799999999999997</v>
      </c>
      <c r="R18" s="2666">
        <v>0.38</v>
      </c>
    </row>
    <row r="19" spans="1:18">
      <c r="A19" s="2651"/>
      <c r="B19" s="2652" t="s">
        <v>9074</v>
      </c>
      <c r="C19" s="2652" t="s">
        <v>9067</v>
      </c>
      <c r="D19" s="2653">
        <v>0.55000000000000004</v>
      </c>
      <c r="E19" s="2653">
        <v>0.52900000000000003</v>
      </c>
      <c r="F19" s="2653">
        <v>0.46899999999999997</v>
      </c>
      <c r="G19" s="2653">
        <v>0.45800000000000002</v>
      </c>
      <c r="H19" s="2653">
        <v>0.4</v>
      </c>
      <c r="I19" s="2653">
        <v>0.38900000000000001</v>
      </c>
      <c r="J19" s="2659"/>
      <c r="K19" s="2659"/>
      <c r="L19" s="2653"/>
      <c r="M19" s="2653"/>
      <c r="N19" s="2653"/>
      <c r="O19" s="2653"/>
      <c r="P19" s="2653"/>
      <c r="Q19" s="2653"/>
      <c r="R19" s="2666"/>
    </row>
    <row r="20" spans="1:18">
      <c r="A20" s="2651">
        <v>0.6</v>
      </c>
      <c r="B20" s="2652" t="s">
        <v>9075</v>
      </c>
      <c r="C20" s="2652" t="s">
        <v>9065</v>
      </c>
      <c r="D20" s="2653">
        <v>0.6</v>
      </c>
      <c r="E20" s="2653">
        <v>0.57599999999999996</v>
      </c>
      <c r="F20" s="2653">
        <v>0.503</v>
      </c>
      <c r="G20" s="2653">
        <v>0.48299999999999998</v>
      </c>
      <c r="H20" s="2653">
        <v>0.42</v>
      </c>
      <c r="I20" s="2653">
        <v>0.38800000000000001</v>
      </c>
      <c r="J20" s="2659"/>
      <c r="K20" s="2659" t="s">
        <v>9066</v>
      </c>
      <c r="L20" s="2653">
        <v>0.44400000000000001</v>
      </c>
      <c r="M20" s="2653">
        <v>0.504</v>
      </c>
      <c r="N20" s="2653">
        <v>0.503</v>
      </c>
      <c r="O20" s="2653">
        <v>0.52300000000000002</v>
      </c>
      <c r="P20" s="2653">
        <v>0.61099999999999999</v>
      </c>
      <c r="Q20" s="2653">
        <v>0.64400000000000002</v>
      </c>
      <c r="R20" s="2666">
        <v>0.42</v>
      </c>
    </row>
    <row r="21" spans="1:18">
      <c r="A21" s="2651"/>
      <c r="B21" s="2652" t="s">
        <v>9075</v>
      </c>
      <c r="C21" s="2652" t="s">
        <v>9067</v>
      </c>
      <c r="D21" s="2653">
        <v>0.6</v>
      </c>
      <c r="E21" s="2653">
        <v>0.57599999999999996</v>
      </c>
      <c r="F21" s="2653">
        <v>0.503</v>
      </c>
      <c r="G21" s="2653">
        <v>0.49</v>
      </c>
      <c r="H21" s="2653">
        <v>0.42</v>
      </c>
      <c r="I21" s="2653">
        <v>0.40699999999999997</v>
      </c>
      <c r="J21" s="2659"/>
      <c r="K21" s="2659"/>
      <c r="L21" s="2653"/>
      <c r="M21" s="2653"/>
      <c r="N21" s="2653"/>
      <c r="O21" s="2653"/>
      <c r="P21" s="2653"/>
      <c r="Q21" s="2653"/>
      <c r="R21" s="2666"/>
    </row>
    <row r="22" spans="1:18">
      <c r="A22" s="2651">
        <v>0.7</v>
      </c>
      <c r="B22" s="2652" t="s">
        <v>9076</v>
      </c>
      <c r="C22" s="2652" t="s">
        <v>9065</v>
      </c>
      <c r="D22" s="2653">
        <v>0.7</v>
      </c>
      <c r="E22" s="2653">
        <v>0.67300000000000004</v>
      </c>
      <c r="F22" s="2653">
        <v>0.58599999999999997</v>
      </c>
      <c r="G22" s="2653">
        <v>0.56399999999999995</v>
      </c>
      <c r="H22" s="2653">
        <v>0.49</v>
      </c>
      <c r="I22" s="2653">
        <v>0.45400000000000001</v>
      </c>
      <c r="J22" s="2659"/>
      <c r="K22" s="2659" t="s">
        <v>9066</v>
      </c>
      <c r="L22" s="2653">
        <v>0.51800000000000002</v>
      </c>
      <c r="M22" s="2653">
        <v>0.58599999999999997</v>
      </c>
      <c r="N22" s="2653">
        <v>0.58599999999999997</v>
      </c>
      <c r="O22" s="2653">
        <v>0.60799999999999998</v>
      </c>
      <c r="P22" s="2653">
        <v>0.71299999999999997</v>
      </c>
      <c r="Q22" s="2653">
        <v>0.75</v>
      </c>
      <c r="R22" s="2666">
        <v>0.5</v>
      </c>
    </row>
    <row r="23" spans="1:18">
      <c r="A23" s="2651"/>
      <c r="B23" s="2652" t="s">
        <v>9076</v>
      </c>
      <c r="C23" s="2652" t="s">
        <v>9067</v>
      </c>
      <c r="D23" s="2653">
        <v>0.7</v>
      </c>
      <c r="E23" s="2653">
        <v>0.67300000000000004</v>
      </c>
      <c r="F23" s="2653">
        <v>0.58599999999999997</v>
      </c>
      <c r="G23" s="2653">
        <v>0.57199999999999995</v>
      </c>
      <c r="H23" s="2653">
        <v>0.49</v>
      </c>
      <c r="I23" s="2653">
        <v>0.47599999999999998</v>
      </c>
      <c r="J23" s="2659"/>
      <c r="K23" s="2659"/>
      <c r="L23" s="2653"/>
      <c r="M23" s="2653"/>
      <c r="N23" s="2653"/>
      <c r="O23" s="2653"/>
      <c r="P23" s="2653"/>
      <c r="Q23" s="2653"/>
      <c r="R23" s="2666"/>
    </row>
    <row r="24" spans="1:18">
      <c r="A24" s="2651">
        <v>0.8</v>
      </c>
      <c r="B24" s="2652" t="s">
        <v>9077</v>
      </c>
      <c r="C24" s="2652" t="s">
        <v>9065</v>
      </c>
      <c r="D24" s="2653">
        <v>0.8</v>
      </c>
      <c r="E24" s="2653">
        <v>0.77</v>
      </c>
      <c r="F24" s="2653">
        <v>0.67</v>
      </c>
      <c r="G24" s="2653">
        <v>0.64600000000000002</v>
      </c>
      <c r="H24" s="2653">
        <v>0.56000000000000005</v>
      </c>
      <c r="I24" s="2653">
        <v>0.52</v>
      </c>
      <c r="J24" s="2659"/>
      <c r="K24" s="2659" t="s">
        <v>9066</v>
      </c>
      <c r="L24" s="2653">
        <v>0.59199999999999997</v>
      </c>
      <c r="M24" s="2653">
        <v>0.66800000000000004</v>
      </c>
      <c r="N24" s="2653">
        <v>0.67</v>
      </c>
      <c r="O24" s="2653">
        <v>0.69399999999999995</v>
      </c>
      <c r="P24" s="2653">
        <v>0.81399999999999995</v>
      </c>
      <c r="Q24" s="2653">
        <v>0.85599999999999998</v>
      </c>
      <c r="R24" s="2666">
        <v>0.56000000000000005</v>
      </c>
    </row>
    <row r="25" spans="1:18">
      <c r="A25" s="2651"/>
      <c r="B25" s="2652" t="s">
        <v>9077</v>
      </c>
      <c r="C25" s="2652" t="s">
        <v>9067</v>
      </c>
      <c r="D25" s="2653">
        <v>0.8</v>
      </c>
      <c r="E25" s="2653">
        <v>0.77</v>
      </c>
      <c r="F25" s="2653">
        <v>0.67</v>
      </c>
      <c r="G25" s="2653">
        <v>0.65500000000000003</v>
      </c>
      <c r="H25" s="2653">
        <v>0.56000000000000005</v>
      </c>
      <c r="I25" s="2653">
        <v>0.54500000000000004</v>
      </c>
      <c r="J25" s="2659"/>
      <c r="K25" s="2659"/>
      <c r="L25" s="2653"/>
      <c r="M25" s="2653"/>
      <c r="N25" s="2653"/>
      <c r="O25" s="2653"/>
      <c r="P25" s="2653"/>
      <c r="Q25" s="2653"/>
      <c r="R25" s="2666"/>
    </row>
    <row r="26" spans="1:18">
      <c r="A26" s="2651">
        <v>0.9</v>
      </c>
      <c r="B26" s="2652" t="s">
        <v>9078</v>
      </c>
      <c r="C26" s="2652" t="s">
        <v>9065</v>
      </c>
      <c r="D26" s="2653">
        <v>0.9</v>
      </c>
      <c r="E26" s="2653">
        <v>0.86699999999999999</v>
      </c>
      <c r="F26" s="2653">
        <v>0.754</v>
      </c>
      <c r="G26" s="2653">
        <v>0.72799999999999998</v>
      </c>
      <c r="H26" s="2653">
        <v>0.63</v>
      </c>
      <c r="I26" s="2653">
        <v>0.58599999999999997</v>
      </c>
      <c r="J26" s="2659"/>
      <c r="K26" s="2659" t="s">
        <v>9066</v>
      </c>
      <c r="L26" s="2653">
        <v>0.66600000000000004</v>
      </c>
      <c r="M26" s="2653">
        <v>0.75</v>
      </c>
      <c r="N26" s="2653">
        <v>0.754</v>
      </c>
      <c r="O26" s="2653">
        <v>0.78</v>
      </c>
      <c r="P26" s="2653">
        <v>0.91600000000000004</v>
      </c>
      <c r="Q26" s="2653">
        <v>0.96199999999999997</v>
      </c>
      <c r="R26" s="2666">
        <v>0.63</v>
      </c>
    </row>
    <row r="27" spans="1:18">
      <c r="A27" s="2651"/>
      <c r="B27" s="2652" t="s">
        <v>9078</v>
      </c>
      <c r="C27" s="2652" t="s">
        <v>9067</v>
      </c>
      <c r="D27" s="2653">
        <v>0.9</v>
      </c>
      <c r="E27" s="2653">
        <v>0.86699999999999999</v>
      </c>
      <c r="F27" s="2653">
        <v>0.754</v>
      </c>
      <c r="G27" s="2653">
        <v>0.73799999999999999</v>
      </c>
      <c r="H27" s="2653">
        <v>0.63</v>
      </c>
      <c r="I27" s="2653">
        <v>0.61399999999999999</v>
      </c>
      <c r="J27" s="2659"/>
      <c r="K27" s="2659"/>
      <c r="L27" s="2653"/>
      <c r="M27" s="2653"/>
      <c r="N27" s="2653"/>
      <c r="O27" s="2653"/>
      <c r="P27" s="2653"/>
      <c r="Q27" s="2653"/>
      <c r="R27" s="2666"/>
    </row>
    <row r="28" spans="1:18">
      <c r="A28" s="2651">
        <v>1</v>
      </c>
      <c r="B28" s="2654" t="s">
        <v>9079</v>
      </c>
      <c r="C28" s="2655" t="s">
        <v>9065</v>
      </c>
      <c r="D28" s="2656">
        <v>0.98199999999999998</v>
      </c>
      <c r="E28" s="2656">
        <v>0.91500000000000004</v>
      </c>
      <c r="F28" s="2657">
        <v>0.81962025000000005</v>
      </c>
      <c r="G28" s="2657">
        <v>0.76662025</v>
      </c>
      <c r="H28" s="2657">
        <v>0.71136699999999997</v>
      </c>
      <c r="I28" s="2656">
        <v>0.61261399999999999</v>
      </c>
      <c r="J28" s="2662"/>
      <c r="K28" s="2659" t="s">
        <v>9066</v>
      </c>
      <c r="L28" s="2653">
        <v>0.72936699999999999</v>
      </c>
      <c r="M28" s="2653">
        <v>0.80936699999999995</v>
      </c>
      <c r="N28" s="2653">
        <v>0.83762024999999996</v>
      </c>
      <c r="O28" s="2653">
        <v>0.90862025000000002</v>
      </c>
      <c r="P28" s="2653">
        <v>1</v>
      </c>
      <c r="Q28" s="2653">
        <v>1.1070845</v>
      </c>
      <c r="R28" s="2666">
        <v>0.7</v>
      </c>
    </row>
    <row r="29" spans="1:18">
      <c r="A29" s="2651"/>
      <c r="B29" s="2654" t="s">
        <v>9079</v>
      </c>
      <c r="C29" s="2655" t="s">
        <v>9067</v>
      </c>
      <c r="D29" s="2656">
        <v>0.98199999999999998</v>
      </c>
      <c r="E29" s="2656">
        <v>0.91500000000000004</v>
      </c>
      <c r="F29" s="2657">
        <v>0.81962025000000005</v>
      </c>
      <c r="G29" s="2657">
        <v>0.78662025000000002</v>
      </c>
      <c r="H29" s="2657">
        <v>0.71136699999999997</v>
      </c>
      <c r="I29" s="2656">
        <v>0.63261400000000001</v>
      </c>
      <c r="J29" s="2662"/>
      <c r="K29" s="2659"/>
      <c r="L29" s="2653"/>
      <c r="M29" s="2653"/>
      <c r="N29" s="2653"/>
      <c r="O29" s="2653"/>
      <c r="P29" s="2653"/>
      <c r="Q29" s="2653"/>
      <c r="R29" s="2666"/>
    </row>
    <row r="30" spans="1:18">
      <c r="A30" s="2651"/>
      <c r="B30" s="2654" t="s">
        <v>9080</v>
      </c>
      <c r="C30" s="2655" t="s">
        <v>9065</v>
      </c>
      <c r="D30" s="2656">
        <v>0.98299999999999998</v>
      </c>
      <c r="E30" s="2656">
        <v>0.92700000000000005</v>
      </c>
      <c r="F30" s="2657">
        <v>0.85309619999999997</v>
      </c>
      <c r="G30" s="2657">
        <v>0.80509620000000004</v>
      </c>
      <c r="H30" s="2657">
        <v>0.7664936</v>
      </c>
      <c r="I30" s="2656">
        <v>0.68189120000000003</v>
      </c>
      <c r="J30" s="2662"/>
      <c r="K30" s="2659" t="s">
        <v>9066</v>
      </c>
      <c r="L30" s="2653">
        <v>0.78349360000000001</v>
      </c>
      <c r="M30" s="2653">
        <v>0.85849359999999997</v>
      </c>
      <c r="N30" s="2653">
        <v>0.87009619999999999</v>
      </c>
      <c r="O30" s="2653">
        <v>0.93345619999999996</v>
      </c>
      <c r="P30" s="2653">
        <v>1</v>
      </c>
      <c r="Q30" s="2653">
        <v>1.0922276</v>
      </c>
      <c r="R30" s="2666">
        <v>0.7</v>
      </c>
    </row>
    <row r="31" spans="1:18">
      <c r="A31" s="2651"/>
      <c r="B31" s="2654" t="s">
        <v>9080</v>
      </c>
      <c r="C31" s="2655" t="s">
        <v>9067</v>
      </c>
      <c r="D31" s="2656">
        <v>0.98299999999999998</v>
      </c>
      <c r="E31" s="2656">
        <v>0.92700000000000005</v>
      </c>
      <c r="F31" s="2657">
        <v>0.85309619999999997</v>
      </c>
      <c r="G31" s="2657">
        <v>0.82309619999999994</v>
      </c>
      <c r="H31" s="2657">
        <v>0.7664936</v>
      </c>
      <c r="I31" s="2656">
        <v>0.69989120000000005</v>
      </c>
      <c r="J31" s="2662"/>
      <c r="K31" s="2659"/>
      <c r="L31" s="2653"/>
      <c r="M31" s="2653"/>
      <c r="N31" s="2653"/>
      <c r="O31" s="2653"/>
      <c r="P31" s="2653"/>
      <c r="Q31" s="2653"/>
      <c r="R31" s="2666"/>
    </row>
    <row r="32" spans="1:18">
      <c r="A32" s="2651">
        <v>1.1000000000000001</v>
      </c>
      <c r="B32" s="2654" t="s">
        <v>9081</v>
      </c>
      <c r="C32" s="2655" t="s">
        <v>9065</v>
      </c>
      <c r="D32" s="2656">
        <v>1.0820000000000001</v>
      </c>
      <c r="E32" s="2656">
        <v>1.0149999999999999</v>
      </c>
      <c r="F32" s="2657">
        <v>0.91962025000000003</v>
      </c>
      <c r="G32" s="2657">
        <v>0.86662024999999998</v>
      </c>
      <c r="H32" s="2657">
        <v>0.81136699999999995</v>
      </c>
      <c r="I32" s="2656">
        <v>0.71261399999999997</v>
      </c>
      <c r="J32" s="2662"/>
      <c r="K32" s="2659" t="s">
        <v>9066</v>
      </c>
      <c r="L32" s="2653">
        <v>0.82936699999999997</v>
      </c>
      <c r="M32" s="2653">
        <v>0.90936700000000004</v>
      </c>
      <c r="N32" s="2653">
        <v>0.93762025000000004</v>
      </c>
      <c r="O32" s="2653">
        <v>1.0086202500000001</v>
      </c>
      <c r="P32" s="2653">
        <v>1.1000000000000001</v>
      </c>
      <c r="Q32" s="2653">
        <v>1.2070844999999999</v>
      </c>
      <c r="R32" s="2666">
        <v>0.8</v>
      </c>
    </row>
    <row r="33" spans="1:18">
      <c r="A33" s="2651"/>
      <c r="B33" s="2654" t="s">
        <v>9081</v>
      </c>
      <c r="C33" s="2655" t="s">
        <v>9067</v>
      </c>
      <c r="D33" s="2656">
        <v>1.0820000000000001</v>
      </c>
      <c r="E33" s="2656">
        <v>1.0149999999999999</v>
      </c>
      <c r="F33" s="2657">
        <v>0.91962025000000003</v>
      </c>
      <c r="G33" s="2657">
        <v>0.88762025</v>
      </c>
      <c r="H33" s="2657">
        <v>0.81136699999999995</v>
      </c>
      <c r="I33" s="2656">
        <v>0.73361399999999999</v>
      </c>
      <c r="J33" s="2662"/>
      <c r="K33" s="2659"/>
      <c r="L33" s="2653"/>
      <c r="M33" s="2653"/>
      <c r="N33" s="2653"/>
      <c r="O33" s="2653"/>
      <c r="P33" s="2653"/>
      <c r="Q33" s="2653"/>
      <c r="R33" s="2666"/>
    </row>
    <row r="34" spans="1:18">
      <c r="A34" s="2651"/>
      <c r="B34" s="2654" t="s">
        <v>9082</v>
      </c>
      <c r="C34" s="2655" t="s">
        <v>9065</v>
      </c>
      <c r="D34" s="2656">
        <v>1.083</v>
      </c>
      <c r="E34" s="2656">
        <v>1.0269999999999999</v>
      </c>
      <c r="F34" s="2657">
        <v>0.95309619999999995</v>
      </c>
      <c r="G34" s="2657">
        <v>0.90509620000000002</v>
      </c>
      <c r="H34" s="2657">
        <v>0.86649359999999997</v>
      </c>
      <c r="I34" s="2656">
        <v>0.78189120000000001</v>
      </c>
      <c r="J34" s="2662"/>
      <c r="K34" s="2659" t="s">
        <v>9066</v>
      </c>
      <c r="L34" s="2653">
        <v>0.88349359999999999</v>
      </c>
      <c r="M34" s="2653">
        <v>0.95849359999999995</v>
      </c>
      <c r="N34" s="2653">
        <v>0.97009619999999996</v>
      </c>
      <c r="O34" s="2653">
        <v>1.0334562</v>
      </c>
      <c r="P34" s="2653">
        <v>1.1000000000000001</v>
      </c>
      <c r="Q34" s="2653">
        <v>1.1922276000000001</v>
      </c>
      <c r="R34" s="2666">
        <v>0.8</v>
      </c>
    </row>
    <row r="35" spans="1:18">
      <c r="A35" s="2651"/>
      <c r="B35" s="2654" t="s">
        <v>9082</v>
      </c>
      <c r="C35" s="2655" t="s">
        <v>9067</v>
      </c>
      <c r="D35" s="2656">
        <v>1.083</v>
      </c>
      <c r="E35" s="2656">
        <v>1.0269999999999999</v>
      </c>
      <c r="F35" s="2657">
        <v>0.95309619999999995</v>
      </c>
      <c r="G35" s="2657">
        <v>0.92309620000000003</v>
      </c>
      <c r="H35" s="2657">
        <v>0.86649359999999997</v>
      </c>
      <c r="I35" s="2656">
        <v>0.79989120000000002</v>
      </c>
      <c r="J35" s="2662"/>
      <c r="K35" s="2659"/>
      <c r="L35" s="2653"/>
      <c r="M35" s="2653"/>
      <c r="N35" s="2653"/>
      <c r="O35" s="2653"/>
      <c r="P35" s="2653"/>
      <c r="Q35" s="2653"/>
      <c r="R35" s="2666"/>
    </row>
    <row r="36" spans="1:18">
      <c r="A36" s="2651">
        <v>1.2</v>
      </c>
      <c r="B36" s="2654" t="s">
        <v>9083</v>
      </c>
      <c r="C36" s="2655" t="s">
        <v>9065</v>
      </c>
      <c r="D36" s="2656">
        <v>1.1819999999999999</v>
      </c>
      <c r="E36" s="2656">
        <v>1.115</v>
      </c>
      <c r="F36" s="2657">
        <v>1.01962025</v>
      </c>
      <c r="G36" s="2657">
        <v>0.96662024999999996</v>
      </c>
      <c r="H36" s="2657">
        <v>0.91136700000000004</v>
      </c>
      <c r="I36" s="2656">
        <v>0.81261399999999995</v>
      </c>
      <c r="J36" s="2662"/>
      <c r="K36" s="2659" t="s">
        <v>9066</v>
      </c>
      <c r="L36" s="2653">
        <v>0.92936700000000005</v>
      </c>
      <c r="M36" s="2653">
        <v>1.0093669999999999</v>
      </c>
      <c r="N36" s="2653">
        <v>1.03762025</v>
      </c>
      <c r="O36" s="2653">
        <v>1.10862025</v>
      </c>
      <c r="P36" s="2653">
        <v>1.2</v>
      </c>
      <c r="Q36" s="2653">
        <v>1.3070845</v>
      </c>
      <c r="R36" s="2666">
        <v>0.9</v>
      </c>
    </row>
    <row r="37" spans="1:18">
      <c r="A37" s="2651"/>
      <c r="B37" s="2654" t="s">
        <v>9083</v>
      </c>
      <c r="C37" s="2655" t="s">
        <v>9067</v>
      </c>
      <c r="D37" s="2656">
        <v>1.1819999999999999</v>
      </c>
      <c r="E37" s="2656">
        <v>1.115</v>
      </c>
      <c r="F37" s="2657">
        <v>1.01962025</v>
      </c>
      <c r="G37" s="2657">
        <v>0.98662024999999998</v>
      </c>
      <c r="H37" s="2657">
        <v>0.91136700000000004</v>
      </c>
      <c r="I37" s="2656">
        <v>0.83261399999999997</v>
      </c>
      <c r="J37" s="2662"/>
      <c r="K37" s="2659"/>
      <c r="L37" s="2653"/>
      <c r="M37" s="2653"/>
      <c r="N37" s="2653"/>
      <c r="O37" s="2653"/>
      <c r="P37" s="2653"/>
      <c r="Q37" s="2653"/>
      <c r="R37" s="2666"/>
    </row>
    <row r="38" spans="1:18">
      <c r="A38" s="2651"/>
      <c r="B38" s="2654" t="s">
        <v>9084</v>
      </c>
      <c r="C38" s="2655" t="s">
        <v>9065</v>
      </c>
      <c r="D38" s="2656">
        <v>1.1830000000000001</v>
      </c>
      <c r="E38" s="2656">
        <v>1.127</v>
      </c>
      <c r="F38" s="2657">
        <v>1.0530961999999999</v>
      </c>
      <c r="G38" s="2657">
        <v>1.0050962000000001</v>
      </c>
      <c r="H38" s="2657">
        <v>0.96649359999999995</v>
      </c>
      <c r="I38" s="2656">
        <v>0.88189119999999999</v>
      </c>
      <c r="J38" s="2662"/>
      <c r="K38" s="2659" t="s">
        <v>9066</v>
      </c>
      <c r="L38" s="2653">
        <v>0.98349359999999997</v>
      </c>
      <c r="M38" s="2653">
        <v>1.0584936</v>
      </c>
      <c r="N38" s="2653">
        <v>1.0700962000000001</v>
      </c>
      <c r="O38" s="2653">
        <v>1.1334561999999999</v>
      </c>
      <c r="P38" s="2653">
        <v>1.2</v>
      </c>
      <c r="Q38" s="2653">
        <v>1.2922275999999999</v>
      </c>
      <c r="R38" s="2666">
        <v>0.9</v>
      </c>
    </row>
    <row r="39" spans="1:18">
      <c r="A39" s="2651"/>
      <c r="B39" s="2654" t="s">
        <v>9084</v>
      </c>
      <c r="C39" s="2655" t="s">
        <v>9067</v>
      </c>
      <c r="D39" s="2656">
        <v>1.1830000000000001</v>
      </c>
      <c r="E39" s="2656">
        <v>1.127</v>
      </c>
      <c r="F39" s="2657">
        <v>1.0530961999999999</v>
      </c>
      <c r="G39" s="2657">
        <v>1.0230961999999999</v>
      </c>
      <c r="H39" s="2657">
        <v>0.96649359999999995</v>
      </c>
      <c r="I39" s="2656">
        <v>0.8998912</v>
      </c>
      <c r="J39" s="2662"/>
      <c r="K39" s="2659"/>
      <c r="L39" s="2653"/>
      <c r="M39" s="2653"/>
      <c r="N39" s="2653"/>
      <c r="O39" s="2653"/>
      <c r="P39" s="2653"/>
      <c r="Q39" s="2653"/>
      <c r="R39" s="2666"/>
    </row>
    <row r="40" spans="1:18">
      <c r="A40" s="2651">
        <v>1.4</v>
      </c>
      <c r="B40" s="2654" t="s">
        <v>9085</v>
      </c>
      <c r="C40" s="2655" t="s">
        <v>9065</v>
      </c>
      <c r="D40" s="2656">
        <v>1.383</v>
      </c>
      <c r="E40" s="2656">
        <v>1.3080000000000001</v>
      </c>
      <c r="F40" s="2657">
        <v>1.2530962000000001</v>
      </c>
      <c r="G40" s="2657">
        <v>1.1930962000000001</v>
      </c>
      <c r="H40" s="2657">
        <v>1.1664935999999999</v>
      </c>
      <c r="I40" s="2656">
        <v>1.0698912</v>
      </c>
      <c r="J40" s="2662"/>
      <c r="K40" s="2659" t="s">
        <v>9066</v>
      </c>
      <c r="L40" s="2653">
        <v>1.1834936</v>
      </c>
      <c r="M40" s="2653">
        <v>1.2584936</v>
      </c>
      <c r="N40" s="2653">
        <v>1.2700962</v>
      </c>
      <c r="O40" s="2653">
        <v>1.3500962000000001</v>
      </c>
      <c r="P40" s="2653">
        <v>1.4</v>
      </c>
      <c r="Q40" s="2653">
        <v>1.5088676000000001</v>
      </c>
      <c r="R40" s="2666">
        <v>1.2</v>
      </c>
    </row>
    <row r="41" spans="1:18">
      <c r="A41" s="2651"/>
      <c r="B41" s="2654" t="s">
        <v>9085</v>
      </c>
      <c r="C41" s="2655" t="s">
        <v>9067</v>
      </c>
      <c r="D41" s="2656">
        <v>1.383</v>
      </c>
      <c r="E41" s="2656">
        <v>1.3080000000000001</v>
      </c>
      <c r="F41" s="2657">
        <v>1.2530962000000001</v>
      </c>
      <c r="G41" s="2657">
        <v>1.2150962000000001</v>
      </c>
      <c r="H41" s="2657">
        <v>1.1664935999999999</v>
      </c>
      <c r="I41" s="2656">
        <v>1.0918912000000001</v>
      </c>
      <c r="J41" s="2662"/>
      <c r="K41" s="2659"/>
      <c r="L41" s="2653"/>
      <c r="M41" s="2653"/>
      <c r="N41" s="2653"/>
      <c r="O41" s="2653"/>
      <c r="P41" s="2653"/>
      <c r="Q41" s="2653"/>
      <c r="R41" s="2666"/>
    </row>
    <row r="42" spans="1:18">
      <c r="A42" s="2651"/>
      <c r="B42" s="2654" t="s">
        <v>9086</v>
      </c>
      <c r="C42" s="2655" t="s">
        <v>9065</v>
      </c>
      <c r="D42" s="2656">
        <v>1.383</v>
      </c>
      <c r="E42" s="2656">
        <v>1.327</v>
      </c>
      <c r="F42" s="2657">
        <v>1.2530962000000001</v>
      </c>
      <c r="G42" s="2657">
        <v>1.2050962000000001</v>
      </c>
      <c r="H42" s="2657">
        <v>1.1664935999999999</v>
      </c>
      <c r="I42" s="2656">
        <v>1.0818912000000001</v>
      </c>
      <c r="J42" s="2662"/>
      <c r="K42" s="2659" t="s">
        <v>9066</v>
      </c>
      <c r="L42" s="2653">
        <v>1.1834936</v>
      </c>
      <c r="M42" s="2653">
        <v>1.2584936</v>
      </c>
      <c r="N42" s="2653">
        <v>1.2700962</v>
      </c>
      <c r="O42" s="2653">
        <v>1.3334562000000001</v>
      </c>
      <c r="P42" s="2653">
        <v>1.4</v>
      </c>
      <c r="Q42" s="2653">
        <v>1.4922276000000001</v>
      </c>
      <c r="R42" s="2666">
        <v>1.2</v>
      </c>
    </row>
    <row r="43" spans="1:18">
      <c r="A43" s="2651"/>
      <c r="B43" s="2654" t="s">
        <v>9086</v>
      </c>
      <c r="C43" s="2655" t="s">
        <v>9067</v>
      </c>
      <c r="D43" s="2656">
        <v>1.383</v>
      </c>
      <c r="E43" s="2656">
        <v>1.327</v>
      </c>
      <c r="F43" s="2657">
        <v>1.2530962000000001</v>
      </c>
      <c r="G43" s="2657">
        <v>1.2230962000000001</v>
      </c>
      <c r="H43" s="2657">
        <v>1.1664935999999999</v>
      </c>
      <c r="I43" s="2656">
        <v>1.0998912000000001</v>
      </c>
      <c r="J43" s="2662"/>
      <c r="K43" s="2659"/>
      <c r="L43" s="2653"/>
      <c r="M43" s="2653"/>
      <c r="N43" s="2653"/>
      <c r="O43" s="2653"/>
      <c r="P43" s="2653"/>
      <c r="Q43" s="2653"/>
      <c r="R43" s="2666"/>
    </row>
    <row r="44" spans="1:18">
      <c r="A44" s="2651">
        <v>1.6</v>
      </c>
      <c r="B44" s="2658" t="s">
        <v>9087</v>
      </c>
      <c r="C44" s="2658" t="s">
        <v>9065</v>
      </c>
      <c r="D44" s="2659">
        <v>1.581</v>
      </c>
      <c r="E44" s="2659">
        <v>1.496</v>
      </c>
      <c r="F44" s="2659">
        <v>1.3540000000000001</v>
      </c>
      <c r="G44" s="2659">
        <v>1.2909999999999999</v>
      </c>
      <c r="H44" s="2659">
        <v>1.202</v>
      </c>
      <c r="I44" s="2659">
        <v>1.075</v>
      </c>
      <c r="J44" s="2659"/>
      <c r="K44" s="2659" t="s">
        <v>9066</v>
      </c>
      <c r="L44" s="2659">
        <v>1.2210000000000001</v>
      </c>
      <c r="M44" s="2659">
        <v>1.321</v>
      </c>
      <c r="N44" s="2659">
        <v>1.373</v>
      </c>
      <c r="O44" s="2659">
        <v>1.458</v>
      </c>
      <c r="P44" s="2659">
        <v>1.6</v>
      </c>
      <c r="Q44" s="2659">
        <v>1.736</v>
      </c>
      <c r="R44" s="2667">
        <v>1.25</v>
      </c>
    </row>
    <row r="45" spans="1:18">
      <c r="A45" s="2651"/>
      <c r="B45" s="2658" t="s">
        <v>9087</v>
      </c>
      <c r="C45" s="2658" t="s">
        <v>9067</v>
      </c>
      <c r="D45" s="2659">
        <v>1.581</v>
      </c>
      <c r="E45" s="2659">
        <v>1.496</v>
      </c>
      <c r="F45" s="2659">
        <v>1.3540000000000001</v>
      </c>
      <c r="G45" s="2659">
        <v>1.3140000000000001</v>
      </c>
      <c r="H45" s="2659">
        <v>1.202</v>
      </c>
      <c r="I45" s="2659">
        <v>1.0980000000000001</v>
      </c>
      <c r="J45" s="2659"/>
      <c r="K45" s="2659"/>
      <c r="L45" s="2659"/>
      <c r="M45" s="2659"/>
      <c r="N45" s="2659"/>
      <c r="O45" s="2659"/>
      <c r="P45" s="2659"/>
      <c r="Q45" s="2659"/>
      <c r="R45" s="2667"/>
    </row>
    <row r="46" spans="1:18">
      <c r="A46" s="2651"/>
      <c r="B46" s="2658" t="s">
        <v>9088</v>
      </c>
      <c r="C46" s="2658" t="s">
        <v>9065</v>
      </c>
      <c r="D46" s="2659">
        <v>1.5820000000000001</v>
      </c>
      <c r="E46" s="2659">
        <v>1.5069999999999999</v>
      </c>
      <c r="F46" s="2659">
        <v>1.3871443000000001</v>
      </c>
      <c r="G46" s="2659">
        <v>1.3421443</v>
      </c>
      <c r="H46" s="2659">
        <v>1.2572403999999999</v>
      </c>
      <c r="I46" s="2659">
        <v>1.1573367999999999</v>
      </c>
      <c r="J46" s="2659"/>
      <c r="K46" s="2659" t="s">
        <v>9066</v>
      </c>
      <c r="L46" s="2659">
        <v>1.2752403999999999</v>
      </c>
      <c r="M46" s="2659">
        <v>1.3602403999999999</v>
      </c>
      <c r="N46" s="2659">
        <v>1.4051442999999999</v>
      </c>
      <c r="O46" s="2659">
        <v>1.4651443</v>
      </c>
      <c r="P46" s="2659">
        <v>1.6</v>
      </c>
      <c r="Q46" s="2659">
        <v>1.7033014</v>
      </c>
      <c r="R46" s="2667">
        <v>1.25</v>
      </c>
    </row>
    <row r="47" spans="1:18">
      <c r="A47" s="2651"/>
      <c r="B47" s="2658" t="s">
        <v>9088</v>
      </c>
      <c r="C47" s="2658" t="s">
        <v>9067</v>
      </c>
      <c r="D47" s="2659">
        <v>1.5820000000000001</v>
      </c>
      <c r="E47" s="2659">
        <v>1.5069999999999999</v>
      </c>
      <c r="F47" s="2659">
        <v>1.3871443000000001</v>
      </c>
      <c r="G47" s="2659">
        <v>1.3591443000000001</v>
      </c>
      <c r="H47" s="2659">
        <v>1.2572403999999999</v>
      </c>
      <c r="I47" s="2659">
        <v>1.1743368000000001</v>
      </c>
      <c r="J47" s="2659"/>
      <c r="K47" s="2659"/>
      <c r="L47" s="2659"/>
      <c r="M47" s="2659"/>
      <c r="N47" s="2659"/>
      <c r="O47" s="2659"/>
      <c r="P47" s="2659"/>
      <c r="Q47" s="2659"/>
      <c r="R47" s="2667"/>
    </row>
    <row r="48" spans="1:18">
      <c r="A48" s="2651"/>
      <c r="B48" s="2654" t="s">
        <v>9089</v>
      </c>
      <c r="C48" s="2659" t="s">
        <v>9065</v>
      </c>
      <c r="D48" s="2653">
        <v>1.583</v>
      </c>
      <c r="E48" s="2653">
        <v>1.5269999999999999</v>
      </c>
      <c r="F48" s="2653">
        <v>1.4530962000000001</v>
      </c>
      <c r="G48" s="2653">
        <v>1.4030962</v>
      </c>
      <c r="H48" s="2653">
        <v>1.3664936000000001</v>
      </c>
      <c r="I48" s="2653">
        <v>1.2798912</v>
      </c>
      <c r="J48" s="2653"/>
      <c r="K48" s="2652" t="s">
        <v>9066</v>
      </c>
      <c r="L48" s="2652">
        <v>1.3834936</v>
      </c>
      <c r="M48" s="2652">
        <v>1.4584935999999999</v>
      </c>
      <c r="N48" s="2652">
        <v>1.4700962</v>
      </c>
      <c r="O48" s="2652">
        <v>1.5370961999999999</v>
      </c>
      <c r="P48" s="2652">
        <v>1.6</v>
      </c>
      <c r="Q48" s="2652">
        <v>1.6958675999999999</v>
      </c>
      <c r="R48" s="2668">
        <v>1.25</v>
      </c>
    </row>
    <row r="49" spans="1:18">
      <c r="A49" s="2651"/>
      <c r="B49" s="2654" t="s">
        <v>9089</v>
      </c>
      <c r="C49" s="2659" t="s">
        <v>9067</v>
      </c>
      <c r="D49" s="2653">
        <v>1.583</v>
      </c>
      <c r="E49" s="2653">
        <v>1.5269999999999999</v>
      </c>
      <c r="F49" s="2653">
        <v>1.4530962000000001</v>
      </c>
      <c r="G49" s="2653">
        <v>1.4210962</v>
      </c>
      <c r="H49" s="2653">
        <v>1.3664936000000001</v>
      </c>
      <c r="I49" s="2653">
        <v>1.2978912</v>
      </c>
      <c r="J49" s="2653"/>
      <c r="K49" s="2652"/>
      <c r="L49" s="2652"/>
      <c r="M49" s="2652"/>
      <c r="N49" s="2652"/>
      <c r="O49" s="2652"/>
      <c r="P49" s="2652"/>
      <c r="Q49" s="2652"/>
      <c r="R49" s="2668"/>
    </row>
    <row r="50" spans="1:18">
      <c r="A50" s="2651">
        <v>1.7</v>
      </c>
      <c r="B50" s="2654" t="s">
        <v>9090</v>
      </c>
      <c r="C50" s="2658" t="s">
        <v>9065</v>
      </c>
      <c r="D50" s="2659">
        <v>1.681</v>
      </c>
      <c r="E50" s="2659">
        <v>1.5960000000000001</v>
      </c>
      <c r="F50" s="2659">
        <v>1.4536683500000001</v>
      </c>
      <c r="G50" s="2659">
        <v>1.3906683500000001</v>
      </c>
      <c r="H50" s="2659">
        <v>1.3021138000000001</v>
      </c>
      <c r="I50" s="2659">
        <v>1.1750596</v>
      </c>
      <c r="J50" s="2659"/>
      <c r="K50" s="2659" t="s">
        <v>9066</v>
      </c>
      <c r="L50" s="2659">
        <v>1.3211138</v>
      </c>
      <c r="M50" s="2659">
        <v>1.4211138000000001</v>
      </c>
      <c r="N50" s="2659">
        <v>1.47266835</v>
      </c>
      <c r="O50" s="2659">
        <v>1.5576683499999999</v>
      </c>
      <c r="P50" s="2659">
        <v>1.7</v>
      </c>
      <c r="Q50" s="2659">
        <v>1.8355182999999999</v>
      </c>
      <c r="R50" s="2667">
        <v>1.3</v>
      </c>
    </row>
    <row r="51" spans="1:18">
      <c r="A51" s="2651"/>
      <c r="B51" s="2654" t="s">
        <v>9090</v>
      </c>
      <c r="C51" s="2658" t="s">
        <v>9067</v>
      </c>
      <c r="D51" s="2659">
        <v>1.681</v>
      </c>
      <c r="E51" s="2659">
        <v>1.5960000000000001</v>
      </c>
      <c r="F51" s="2659">
        <v>1.4536683500000001</v>
      </c>
      <c r="G51" s="2659">
        <v>1.41366835</v>
      </c>
      <c r="H51" s="2659">
        <v>1.3021138000000001</v>
      </c>
      <c r="I51" s="2659">
        <v>1.1980595999999999</v>
      </c>
      <c r="J51" s="2659"/>
      <c r="K51" s="2659"/>
      <c r="L51" s="2659"/>
      <c r="M51" s="2659"/>
      <c r="N51" s="2659"/>
      <c r="O51" s="2659"/>
      <c r="P51" s="2659"/>
      <c r="Q51" s="2659"/>
      <c r="R51" s="2667"/>
    </row>
    <row r="52" spans="1:18">
      <c r="A52" s="2651">
        <v>1.8</v>
      </c>
      <c r="B52" s="2654" t="s">
        <v>9091</v>
      </c>
      <c r="C52" s="2658" t="s">
        <v>9065</v>
      </c>
      <c r="D52" s="2659">
        <v>1.7809999999999999</v>
      </c>
      <c r="E52" s="2659">
        <v>1.696</v>
      </c>
      <c r="F52" s="2659">
        <v>1.5536683499999999</v>
      </c>
      <c r="G52" s="2659">
        <v>1.49066835</v>
      </c>
      <c r="H52" s="2659">
        <v>1.4021138</v>
      </c>
      <c r="I52" s="2659">
        <v>1.2750596000000001</v>
      </c>
      <c r="J52" s="2659"/>
      <c r="K52" s="2659" t="s">
        <v>9066</v>
      </c>
      <c r="L52" s="2659">
        <v>1.4211138000000001</v>
      </c>
      <c r="M52" s="2659">
        <v>1.5211138</v>
      </c>
      <c r="N52" s="2659">
        <v>1.57266835</v>
      </c>
      <c r="O52" s="2659">
        <v>1.65766835</v>
      </c>
      <c r="P52" s="2659">
        <v>1.8</v>
      </c>
      <c r="Q52" s="2659">
        <v>1.9355183</v>
      </c>
      <c r="R52" s="2667">
        <v>1.5</v>
      </c>
    </row>
    <row r="53" spans="1:18">
      <c r="A53" s="2651"/>
      <c r="B53" s="2654" t="s">
        <v>9091</v>
      </c>
      <c r="C53" s="2658" t="s">
        <v>9067</v>
      </c>
      <c r="D53" s="2659">
        <v>1.7809999999999999</v>
      </c>
      <c r="E53" s="2659">
        <v>1.696</v>
      </c>
      <c r="F53" s="2659">
        <v>1.5536683499999999</v>
      </c>
      <c r="G53" s="2659">
        <v>1.5139783499999999</v>
      </c>
      <c r="H53" s="2659">
        <v>1.4021138</v>
      </c>
      <c r="I53" s="2659">
        <v>1.2983696</v>
      </c>
      <c r="J53" s="2659"/>
      <c r="K53" s="2659"/>
      <c r="L53" s="2659"/>
      <c r="M53" s="2659"/>
      <c r="N53" s="2659"/>
      <c r="O53" s="2659"/>
      <c r="P53" s="2659"/>
      <c r="Q53" s="2659"/>
      <c r="R53" s="2667"/>
    </row>
    <row r="54" spans="1:18">
      <c r="A54" s="2651"/>
      <c r="B54" s="2654" t="s">
        <v>9092</v>
      </c>
      <c r="C54" s="2658" t="s">
        <v>9065</v>
      </c>
      <c r="D54" s="2659">
        <v>1.7829999999999999</v>
      </c>
      <c r="E54" s="2659">
        <v>1.7270000000000001</v>
      </c>
      <c r="F54" s="2659">
        <v>1.6530962</v>
      </c>
      <c r="G54" s="2659">
        <v>1.6030962</v>
      </c>
      <c r="H54" s="2659">
        <v>1.5664936</v>
      </c>
      <c r="I54" s="2659">
        <v>1.4798912</v>
      </c>
      <c r="J54" s="2659"/>
      <c r="K54" s="2659" t="s">
        <v>9066</v>
      </c>
      <c r="L54" s="2659">
        <v>1.5834935999999999</v>
      </c>
      <c r="M54" s="2659">
        <v>1.6584935999999999</v>
      </c>
      <c r="N54" s="2659">
        <v>1.6700961999999999</v>
      </c>
      <c r="O54" s="2659">
        <v>1.7370962000000001</v>
      </c>
      <c r="P54" s="2659">
        <v>1.8</v>
      </c>
      <c r="Q54" s="2659">
        <v>1.8958676000000001</v>
      </c>
      <c r="R54" s="2667">
        <v>1.5</v>
      </c>
    </row>
    <row r="55" spans="1:18">
      <c r="A55" s="2651"/>
      <c r="B55" s="2654" t="s">
        <v>9092</v>
      </c>
      <c r="C55" s="2658" t="s">
        <v>9067</v>
      </c>
      <c r="D55" s="2659">
        <v>1.7829999999999999</v>
      </c>
      <c r="E55" s="2659">
        <v>1.7270000000000001</v>
      </c>
      <c r="F55" s="2659">
        <v>1.6530962</v>
      </c>
      <c r="G55" s="2659">
        <v>1.6210962</v>
      </c>
      <c r="H55" s="2659">
        <v>1.5664936</v>
      </c>
      <c r="I55" s="2659">
        <v>1.4978912</v>
      </c>
      <c r="J55" s="2659"/>
      <c r="K55" s="2659"/>
      <c r="L55" s="2659"/>
      <c r="M55" s="2659"/>
      <c r="N55" s="2659"/>
      <c r="O55" s="2659"/>
      <c r="P55" s="2659"/>
      <c r="Q55" s="2659"/>
      <c r="R55" s="2667"/>
    </row>
    <row r="56" spans="1:18">
      <c r="A56" s="2651">
        <v>2</v>
      </c>
      <c r="B56" s="2658" t="s">
        <v>9093</v>
      </c>
      <c r="C56" s="2658" t="s">
        <v>9065</v>
      </c>
      <c r="D56" s="2659">
        <v>1.9810000000000001</v>
      </c>
      <c r="E56" s="2659">
        <v>1.8859999999999999</v>
      </c>
      <c r="F56" s="2659">
        <v>1.7210000000000001</v>
      </c>
      <c r="G56" s="2659">
        <v>1.6539999999999999</v>
      </c>
      <c r="H56" s="2659">
        <v>1.548</v>
      </c>
      <c r="I56" s="2659">
        <v>1.4079999999999999</v>
      </c>
      <c r="J56" s="2659"/>
      <c r="K56" s="2659" t="s">
        <v>9066</v>
      </c>
      <c r="L56" s="2659">
        <v>1.5669999999999999</v>
      </c>
      <c r="M56" s="2659">
        <v>1.679</v>
      </c>
      <c r="N56" s="2659">
        <v>1.74</v>
      </c>
      <c r="O56" s="2659">
        <v>1.83</v>
      </c>
      <c r="P56" s="2659">
        <v>2</v>
      </c>
      <c r="Q56" s="2659">
        <v>2.1480000000000001</v>
      </c>
      <c r="R56" s="2667">
        <v>1.6</v>
      </c>
    </row>
    <row r="57" spans="1:18">
      <c r="A57" s="2651"/>
      <c r="B57" s="2658" t="s">
        <v>9093</v>
      </c>
      <c r="C57" s="2658" t="s">
        <v>9067</v>
      </c>
      <c r="D57" s="2659">
        <v>1.9810000000000001</v>
      </c>
      <c r="E57" s="2659">
        <v>1.8859999999999999</v>
      </c>
      <c r="F57" s="2659">
        <v>1.7210000000000001</v>
      </c>
      <c r="G57" s="2659">
        <v>1.679</v>
      </c>
      <c r="H57" s="2659">
        <v>1.548</v>
      </c>
      <c r="I57" s="2659">
        <v>1.4330000000000001</v>
      </c>
      <c r="J57" s="2659"/>
      <c r="K57" s="2659"/>
      <c r="L57" s="2659"/>
      <c r="M57" s="2659"/>
      <c r="N57" s="2659"/>
      <c r="O57" s="2659"/>
      <c r="P57" s="2659"/>
      <c r="Q57" s="2659"/>
      <c r="R57" s="2667"/>
    </row>
    <row r="58" spans="1:18">
      <c r="A58" s="2651"/>
      <c r="B58" s="2654" t="s">
        <v>9094</v>
      </c>
      <c r="C58" s="2658" t="s">
        <v>9065</v>
      </c>
      <c r="D58" s="2659">
        <v>1.982</v>
      </c>
      <c r="E58" s="2659">
        <v>1.915</v>
      </c>
      <c r="F58" s="2659">
        <v>1.8196202500000001</v>
      </c>
      <c r="G58" s="2659">
        <v>1.76362025</v>
      </c>
      <c r="H58" s="2659">
        <v>1.7113670000000001</v>
      </c>
      <c r="I58" s="2659">
        <v>1.6096140000000001</v>
      </c>
      <c r="J58" s="2659"/>
      <c r="K58" s="2659" t="s">
        <v>9066</v>
      </c>
      <c r="L58" s="2659">
        <v>1.7293670000000001</v>
      </c>
      <c r="M58" s="2659">
        <v>1.8093669999999999</v>
      </c>
      <c r="N58" s="2659">
        <v>1.8376202500000001</v>
      </c>
      <c r="O58" s="2659">
        <v>1.91262025</v>
      </c>
      <c r="P58" s="2659">
        <v>2</v>
      </c>
      <c r="Q58" s="2659">
        <v>2.1110845</v>
      </c>
      <c r="R58" s="2667">
        <v>1.6</v>
      </c>
    </row>
    <row r="59" spans="1:18">
      <c r="A59" s="2651"/>
      <c r="B59" s="2654" t="s">
        <v>9094</v>
      </c>
      <c r="C59" s="2658" t="s">
        <v>9067</v>
      </c>
      <c r="D59" s="2659">
        <v>1.982</v>
      </c>
      <c r="E59" s="2659">
        <v>1.915</v>
      </c>
      <c r="F59" s="2659">
        <v>1.8196202500000001</v>
      </c>
      <c r="G59" s="2659">
        <v>1.78362025</v>
      </c>
      <c r="H59" s="2659">
        <v>1.7113670000000001</v>
      </c>
      <c r="I59" s="2659">
        <v>1.6296139999999999</v>
      </c>
      <c r="J59" s="2659"/>
      <c r="K59" s="2659"/>
      <c r="L59" s="2659"/>
      <c r="M59" s="2659"/>
      <c r="N59" s="2659"/>
      <c r="O59" s="2659"/>
      <c r="P59" s="2659"/>
      <c r="Q59" s="2659"/>
      <c r="R59" s="2667"/>
    </row>
    <row r="60" spans="1:18">
      <c r="A60" s="2651">
        <v>2.2000000000000002</v>
      </c>
      <c r="B60" s="2654" t="s">
        <v>9095</v>
      </c>
      <c r="C60" s="2658" t="s">
        <v>9065</v>
      </c>
      <c r="D60" s="2659">
        <v>2.1800000000000002</v>
      </c>
      <c r="E60" s="2659">
        <v>2.08</v>
      </c>
      <c r="F60" s="2659">
        <v>1.8877164500000001</v>
      </c>
      <c r="G60" s="2659">
        <v>1.8167164499999999</v>
      </c>
      <c r="H60" s="2659">
        <v>1.6928605999999999</v>
      </c>
      <c r="I60" s="2659">
        <v>1.5395052</v>
      </c>
      <c r="J60" s="2659"/>
      <c r="K60" s="2659" t="s">
        <v>9066</v>
      </c>
      <c r="L60" s="2659">
        <v>1.7128606</v>
      </c>
      <c r="M60" s="2659">
        <v>1.8378606</v>
      </c>
      <c r="N60" s="2659">
        <v>1.9077164499999999</v>
      </c>
      <c r="O60" s="2659">
        <v>2.0027164499999999</v>
      </c>
      <c r="P60" s="2659">
        <v>2.2000000000000002</v>
      </c>
      <c r="Q60" s="2659">
        <v>2.3599521000000001</v>
      </c>
      <c r="R60" s="2667">
        <v>1.7</v>
      </c>
    </row>
    <row r="61" spans="1:18">
      <c r="A61" s="2651"/>
      <c r="B61" s="2654" t="s">
        <v>9095</v>
      </c>
      <c r="C61" s="2658" t="s">
        <v>9067</v>
      </c>
      <c r="D61" s="2659">
        <v>2.1800000000000002</v>
      </c>
      <c r="E61" s="2659">
        <v>2.08</v>
      </c>
      <c r="F61" s="2659">
        <v>1.8877164500000001</v>
      </c>
      <c r="G61" s="2659">
        <v>1.84271645</v>
      </c>
      <c r="H61" s="2659">
        <v>1.6928605999999999</v>
      </c>
      <c r="I61" s="2659">
        <v>1.5655052</v>
      </c>
      <c r="J61" s="2659"/>
      <c r="K61" s="2659"/>
      <c r="L61" s="2659"/>
      <c r="M61" s="2659"/>
      <c r="N61" s="2659"/>
      <c r="O61" s="2659"/>
      <c r="P61" s="2659"/>
      <c r="Q61" s="2659"/>
      <c r="R61" s="2667"/>
    </row>
    <row r="62" spans="1:18">
      <c r="A62" s="2651"/>
      <c r="B62" s="2654" t="s">
        <v>9096</v>
      </c>
      <c r="C62" s="2658" t="s">
        <v>9065</v>
      </c>
      <c r="D62" s="2659">
        <v>2.1819999999999999</v>
      </c>
      <c r="E62" s="2659">
        <v>2.1150000000000002</v>
      </c>
      <c r="F62" s="2659">
        <v>2.01962025</v>
      </c>
      <c r="G62" s="2659">
        <v>1.96362025</v>
      </c>
      <c r="H62" s="2659">
        <v>1.911367</v>
      </c>
      <c r="I62" s="2659">
        <v>1.8096140000000001</v>
      </c>
      <c r="J62" s="2659"/>
      <c r="K62" s="2659" t="s">
        <v>9066</v>
      </c>
      <c r="L62" s="2659">
        <v>1.9293670000000001</v>
      </c>
      <c r="M62" s="2659">
        <v>2.0093670000000001</v>
      </c>
      <c r="N62" s="2659">
        <v>2.0376202499999998</v>
      </c>
      <c r="O62" s="2659">
        <v>2.11262025</v>
      </c>
      <c r="P62" s="2659">
        <v>2.2000000000000002</v>
      </c>
      <c r="Q62" s="2659">
        <v>2.3110845000000002</v>
      </c>
      <c r="R62" s="2667">
        <v>1.7</v>
      </c>
    </row>
    <row r="63" spans="1:18">
      <c r="A63" s="2651"/>
      <c r="B63" s="2654" t="s">
        <v>9096</v>
      </c>
      <c r="C63" s="2658" t="s">
        <v>9067</v>
      </c>
      <c r="D63" s="2659">
        <v>2.1819999999999999</v>
      </c>
      <c r="E63" s="2659">
        <v>2.1150000000000002</v>
      </c>
      <c r="F63" s="2659">
        <v>2.01962025</v>
      </c>
      <c r="G63" s="2659">
        <v>1.98362025</v>
      </c>
      <c r="H63" s="2659">
        <v>1.911367</v>
      </c>
      <c r="I63" s="2659">
        <v>1.8296140000000001</v>
      </c>
      <c r="J63" s="2659"/>
      <c r="K63" s="2659"/>
      <c r="L63" s="2659"/>
      <c r="M63" s="2659"/>
      <c r="N63" s="2659"/>
      <c r="O63" s="2659"/>
      <c r="P63" s="2659"/>
      <c r="Q63" s="2659"/>
      <c r="R63" s="2667"/>
    </row>
    <row r="64" spans="1:18">
      <c r="A64" s="2651">
        <v>2.2999999999999998</v>
      </c>
      <c r="B64" s="2654" t="s">
        <v>9097</v>
      </c>
      <c r="C64" s="2658" t="s">
        <v>9065</v>
      </c>
      <c r="D64" s="2659">
        <v>2.2799999999999998</v>
      </c>
      <c r="E64" s="2659">
        <v>2.1800000000000002</v>
      </c>
      <c r="F64" s="2659">
        <v>1.98771645</v>
      </c>
      <c r="G64" s="2659">
        <v>1.91671645</v>
      </c>
      <c r="H64" s="2659">
        <v>1.7928606</v>
      </c>
      <c r="I64" s="2659">
        <v>1.6395052000000001</v>
      </c>
      <c r="J64" s="2659"/>
      <c r="K64" s="2659" t="s">
        <v>9066</v>
      </c>
      <c r="L64" s="2659">
        <v>1.8128606</v>
      </c>
      <c r="M64" s="2659">
        <v>1.9378606</v>
      </c>
      <c r="N64" s="2659">
        <v>2.0077164500000002</v>
      </c>
      <c r="O64" s="2659">
        <v>2.10271645</v>
      </c>
      <c r="P64" s="2659">
        <v>2.2999999999999998</v>
      </c>
      <c r="Q64" s="2659">
        <v>2.4599521000000002</v>
      </c>
      <c r="R64" s="2667">
        <v>1.7</v>
      </c>
    </row>
    <row r="65" spans="1:18">
      <c r="A65" s="2651"/>
      <c r="B65" s="2654" t="s">
        <v>9097</v>
      </c>
      <c r="C65" s="2658" t="s">
        <v>9067</v>
      </c>
      <c r="D65" s="2659">
        <v>2.2799999999999998</v>
      </c>
      <c r="E65" s="2659">
        <v>2.1800000000000002</v>
      </c>
      <c r="F65" s="2659">
        <v>1.98771645</v>
      </c>
      <c r="G65" s="2659">
        <v>1.94271645</v>
      </c>
      <c r="H65" s="2659">
        <v>1.7928606</v>
      </c>
      <c r="I65" s="2659">
        <v>1.6655051999999999</v>
      </c>
      <c r="J65" s="2659"/>
      <c r="K65" s="2659"/>
      <c r="L65" s="2659"/>
      <c r="M65" s="2659"/>
      <c r="N65" s="2659"/>
      <c r="O65" s="2659"/>
      <c r="P65" s="2659"/>
      <c r="Q65" s="2659"/>
      <c r="R65" s="2667"/>
    </row>
    <row r="66" spans="1:18">
      <c r="A66" s="2651"/>
      <c r="B66" s="2654" t="s">
        <v>9098</v>
      </c>
      <c r="C66" s="2658" t="s">
        <v>9065</v>
      </c>
      <c r="D66" s="2659">
        <v>2.2810000000000001</v>
      </c>
      <c r="E66" s="2659">
        <v>2.1859999999999999</v>
      </c>
      <c r="F66" s="2659">
        <v>2.0211923999999999</v>
      </c>
      <c r="G66" s="2659">
        <v>1.9541923999999999</v>
      </c>
      <c r="H66" s="2659">
        <v>1.8479871999999999</v>
      </c>
      <c r="I66" s="2659">
        <v>1.7077823999999999</v>
      </c>
      <c r="J66" s="2659"/>
      <c r="K66" s="2659" t="s">
        <v>9066</v>
      </c>
      <c r="L66" s="2659">
        <v>1.8669872000000001</v>
      </c>
      <c r="M66" s="2659">
        <v>1.9789871999999999</v>
      </c>
      <c r="N66" s="2659">
        <v>2.0401924</v>
      </c>
      <c r="O66" s="2659">
        <v>2.1301923999999999</v>
      </c>
      <c r="P66" s="2659">
        <v>2.2999999999999998</v>
      </c>
      <c r="Q66" s="2659">
        <v>2.4477351999999999</v>
      </c>
      <c r="R66" s="2667">
        <v>1.7</v>
      </c>
    </row>
    <row r="67" spans="1:18">
      <c r="A67" s="2651"/>
      <c r="B67" s="2654" t="s">
        <v>9098</v>
      </c>
      <c r="C67" s="2658" t="s">
        <v>9067</v>
      </c>
      <c r="D67" s="2659">
        <v>2.2810000000000001</v>
      </c>
      <c r="E67" s="2659">
        <v>2.1859999999999999</v>
      </c>
      <c r="F67" s="2659">
        <v>2.0211923999999999</v>
      </c>
      <c r="G67" s="2659">
        <v>1.9791924000000001</v>
      </c>
      <c r="H67" s="2659">
        <v>1.8479871999999999</v>
      </c>
      <c r="I67" s="2659">
        <v>1.7327824000000001</v>
      </c>
      <c r="J67" s="2659"/>
      <c r="K67" s="2659"/>
      <c r="L67" s="2659"/>
      <c r="M67" s="2659"/>
      <c r="N67" s="2659"/>
      <c r="O67" s="2659"/>
      <c r="P67" s="2659"/>
      <c r="Q67" s="2659"/>
      <c r="R67" s="2667"/>
    </row>
    <row r="68" spans="1:18">
      <c r="A68" s="2651">
        <v>2.5</v>
      </c>
      <c r="B68" s="2658" t="s">
        <v>9099</v>
      </c>
      <c r="C68" s="2658" t="s">
        <v>9065</v>
      </c>
      <c r="D68" s="2659">
        <v>2.48</v>
      </c>
      <c r="E68" s="2659">
        <v>2.38</v>
      </c>
      <c r="F68" s="2659">
        <v>2.1880000000000002</v>
      </c>
      <c r="G68" s="2659">
        <v>2.117</v>
      </c>
      <c r="H68" s="2659">
        <v>1.9930000000000001</v>
      </c>
      <c r="I68" s="2659">
        <v>1.84</v>
      </c>
      <c r="J68" s="2659"/>
      <c r="K68" s="2659" t="s">
        <v>9066</v>
      </c>
      <c r="L68" s="2659">
        <v>2.0129999999999999</v>
      </c>
      <c r="M68" s="2659">
        <v>2.1379999999999999</v>
      </c>
      <c r="N68" s="2659">
        <v>2.2080000000000002</v>
      </c>
      <c r="O68" s="2659">
        <v>2.3029999999999999</v>
      </c>
      <c r="P68" s="2659">
        <v>2.5</v>
      </c>
      <c r="Q68" s="2659">
        <v>2.66</v>
      </c>
      <c r="R68" s="2667">
        <v>2.0499999999999998</v>
      </c>
    </row>
    <row r="69" spans="1:18">
      <c r="A69" s="2651"/>
      <c r="B69" s="2658" t="s">
        <v>9099</v>
      </c>
      <c r="C69" s="2658" t="s">
        <v>9067</v>
      </c>
      <c r="D69" s="2659">
        <v>2.48</v>
      </c>
      <c r="E69" s="2659">
        <v>2.38</v>
      </c>
      <c r="F69" s="2659">
        <v>2.1880000000000002</v>
      </c>
      <c r="G69" s="2659">
        <v>2.1429999999999998</v>
      </c>
      <c r="H69" s="2659">
        <v>1.9930000000000001</v>
      </c>
      <c r="I69" s="2659">
        <v>1.8660000000000001</v>
      </c>
      <c r="J69" s="2659"/>
      <c r="K69" s="2659"/>
      <c r="L69" s="2659"/>
      <c r="M69" s="2659"/>
      <c r="N69" s="2659"/>
      <c r="O69" s="2659"/>
      <c r="P69" s="2659"/>
      <c r="Q69" s="2659"/>
      <c r="R69" s="2667"/>
    </row>
    <row r="70" spans="1:18">
      <c r="A70" s="2651"/>
      <c r="B70" s="2654" t="s">
        <v>9100</v>
      </c>
      <c r="C70" s="2658" t="s">
        <v>9065</v>
      </c>
      <c r="D70" s="2659">
        <v>2.4809999999999999</v>
      </c>
      <c r="E70" s="2659">
        <v>2.3959999999999999</v>
      </c>
      <c r="F70" s="2659">
        <v>2.2536683499999999</v>
      </c>
      <c r="G70" s="2659">
        <v>2.1906683500000002</v>
      </c>
      <c r="H70" s="2659">
        <v>2.1021138000000001</v>
      </c>
      <c r="I70" s="2659">
        <v>1.9750596</v>
      </c>
      <c r="J70" s="2659"/>
      <c r="K70" s="2659" t="s">
        <v>9066</v>
      </c>
      <c r="L70" s="2659">
        <v>2.1211137999999998</v>
      </c>
      <c r="M70" s="2659">
        <v>2.2211137999999999</v>
      </c>
      <c r="N70" s="2659">
        <v>2.27266835</v>
      </c>
      <c r="O70" s="2659">
        <v>2.35766835</v>
      </c>
      <c r="P70" s="2659">
        <v>2.5</v>
      </c>
      <c r="Q70" s="2659">
        <v>2.6355183000000002</v>
      </c>
      <c r="R70" s="2667">
        <v>2.0499999999999998</v>
      </c>
    </row>
    <row r="71" spans="1:18">
      <c r="A71" s="2651"/>
      <c r="B71" s="2654" t="s">
        <v>9100</v>
      </c>
      <c r="C71" s="2658" t="s">
        <v>9067</v>
      </c>
      <c r="D71" s="2659">
        <v>2.4809999999999999</v>
      </c>
      <c r="E71" s="2659">
        <v>2.3959999999999999</v>
      </c>
      <c r="F71" s="2659">
        <v>2.2536683499999999</v>
      </c>
      <c r="G71" s="2659">
        <v>2.2136683499999998</v>
      </c>
      <c r="H71" s="2659">
        <v>2.1021138000000001</v>
      </c>
      <c r="I71" s="2659">
        <v>1.9980595999999999</v>
      </c>
      <c r="J71" s="2659"/>
      <c r="K71" s="2659"/>
      <c r="L71" s="2659"/>
      <c r="M71" s="2659"/>
      <c r="N71" s="2659"/>
      <c r="O71" s="2659"/>
      <c r="P71" s="2659"/>
      <c r="Q71" s="2659"/>
      <c r="R71" s="2667"/>
    </row>
    <row r="72" spans="1:18">
      <c r="A72" s="2651">
        <v>2.6</v>
      </c>
      <c r="B72" s="2654" t="s">
        <v>9101</v>
      </c>
      <c r="C72" s="2658" t="s">
        <v>9065</v>
      </c>
      <c r="D72" s="2659">
        <v>2.58</v>
      </c>
      <c r="E72" s="2659">
        <v>2.48</v>
      </c>
      <c r="F72" s="2659">
        <v>2.28771645</v>
      </c>
      <c r="G72" s="2659">
        <v>2.2167164499999998</v>
      </c>
      <c r="H72" s="2659">
        <v>2.0928605999999998</v>
      </c>
      <c r="I72" s="2659">
        <v>1.9395051999999999</v>
      </c>
      <c r="J72" s="2659"/>
      <c r="K72" s="2659" t="s">
        <v>9066</v>
      </c>
      <c r="L72" s="2659">
        <v>2.1128605999999999</v>
      </c>
      <c r="M72" s="2659">
        <v>2.2378605999999999</v>
      </c>
      <c r="N72" s="2659">
        <v>2.30771645</v>
      </c>
      <c r="O72" s="2659">
        <v>2.39271645</v>
      </c>
      <c r="P72" s="2659">
        <v>2.6</v>
      </c>
      <c r="Q72" s="2659">
        <v>2.7499520999999998</v>
      </c>
      <c r="R72" s="2667">
        <v>2.0499999999999998</v>
      </c>
    </row>
    <row r="73" spans="1:18">
      <c r="A73" s="2651"/>
      <c r="B73" s="2654" t="s">
        <v>9101</v>
      </c>
      <c r="C73" s="2658" t="s">
        <v>9067</v>
      </c>
      <c r="D73" s="2659">
        <v>2.58</v>
      </c>
      <c r="E73" s="2659">
        <v>2.48</v>
      </c>
      <c r="F73" s="2659">
        <v>2.28771645</v>
      </c>
      <c r="G73" s="2659">
        <v>2.2427164500000001</v>
      </c>
      <c r="H73" s="2659">
        <v>2.0928605999999998</v>
      </c>
      <c r="I73" s="2659">
        <v>1.9655052</v>
      </c>
      <c r="J73" s="2659"/>
      <c r="K73" s="2659"/>
      <c r="L73" s="2659"/>
      <c r="M73" s="2659"/>
      <c r="N73" s="2659"/>
      <c r="O73" s="2659"/>
      <c r="P73" s="2659"/>
      <c r="Q73" s="2659"/>
      <c r="R73" s="2667"/>
    </row>
    <row r="74" spans="1:18">
      <c r="A74" s="2651">
        <v>3</v>
      </c>
      <c r="B74" s="2658" t="s">
        <v>9102</v>
      </c>
      <c r="C74" s="2658" t="s">
        <v>9065</v>
      </c>
      <c r="D74" s="2659">
        <v>2.98</v>
      </c>
      <c r="E74" s="2659">
        <v>2.8740000000000001</v>
      </c>
      <c r="F74" s="2659">
        <v>2.6549999999999998</v>
      </c>
      <c r="G74" s="2659">
        <v>2.58</v>
      </c>
      <c r="H74" s="2659">
        <v>2.4390000000000001</v>
      </c>
      <c r="I74" s="2659">
        <v>2.2719999999999998</v>
      </c>
      <c r="J74" s="2659"/>
      <c r="K74" s="2659" t="s">
        <v>9066</v>
      </c>
      <c r="L74" s="2659">
        <v>2.4590000000000001</v>
      </c>
      <c r="M74" s="2659">
        <v>2.5990000000000002</v>
      </c>
      <c r="N74" s="2659">
        <v>2.6749999999999998</v>
      </c>
      <c r="O74" s="2659">
        <v>2.7749999999999999</v>
      </c>
      <c r="P74" s="2659">
        <v>3</v>
      </c>
      <c r="Q74" s="2659">
        <v>3.1720000000000002</v>
      </c>
      <c r="R74" s="2667">
        <v>2.5</v>
      </c>
    </row>
    <row r="75" spans="1:18">
      <c r="A75" s="2651"/>
      <c r="B75" s="2658" t="s">
        <v>9102</v>
      </c>
      <c r="C75" s="2658" t="s">
        <v>9067</v>
      </c>
      <c r="D75" s="2659">
        <v>2.98</v>
      </c>
      <c r="E75" s="2659">
        <v>2.8740000000000001</v>
      </c>
      <c r="F75" s="2659">
        <v>2.6549999999999998</v>
      </c>
      <c r="G75" s="2659">
        <v>2.6070000000000002</v>
      </c>
      <c r="H75" s="2659">
        <v>2.4390000000000001</v>
      </c>
      <c r="I75" s="2659">
        <v>2.2989999999999999</v>
      </c>
      <c r="J75" s="2659"/>
      <c r="K75" s="2659"/>
      <c r="L75" s="2659"/>
      <c r="M75" s="2659"/>
      <c r="N75" s="2659"/>
      <c r="O75" s="2659"/>
      <c r="P75" s="2659"/>
      <c r="Q75" s="2659"/>
      <c r="R75" s="2667"/>
    </row>
    <row r="76" spans="1:18">
      <c r="A76" s="2651"/>
      <c r="B76" s="2654" t="s">
        <v>9103</v>
      </c>
      <c r="C76" s="2658" t="s">
        <v>9065</v>
      </c>
      <c r="D76" s="2659">
        <v>2.9809999999999999</v>
      </c>
      <c r="E76" s="2659">
        <v>2.8959999999999999</v>
      </c>
      <c r="F76" s="2659">
        <v>2.7536683499999999</v>
      </c>
      <c r="G76" s="2659">
        <v>2.6866683500000001</v>
      </c>
      <c r="H76" s="2659">
        <v>2.6021138000000001</v>
      </c>
      <c r="I76" s="2659">
        <v>2.4710595999999998</v>
      </c>
      <c r="J76" s="2659"/>
      <c r="K76" s="2659" t="s">
        <v>9066</v>
      </c>
      <c r="L76" s="2659">
        <v>2.6211137999999998</v>
      </c>
      <c r="M76" s="2659">
        <v>2.7211137999999999</v>
      </c>
      <c r="N76" s="2659">
        <v>2.77266835</v>
      </c>
      <c r="O76" s="2659">
        <v>2.8626683499999999</v>
      </c>
      <c r="P76" s="2659">
        <v>3</v>
      </c>
      <c r="Q76" s="2659">
        <v>3.1405183000000001</v>
      </c>
      <c r="R76" s="2667">
        <v>2.5</v>
      </c>
    </row>
    <row r="77" spans="1:18">
      <c r="A77" s="2651"/>
      <c r="B77" s="2654" t="s">
        <v>9103</v>
      </c>
      <c r="C77" s="2658" t="s">
        <v>9067</v>
      </c>
      <c r="D77" s="2659">
        <v>2.9809999999999999</v>
      </c>
      <c r="E77" s="2659">
        <v>2.8959999999999999</v>
      </c>
      <c r="F77" s="2659">
        <v>2.7536683499999999</v>
      </c>
      <c r="G77" s="2659">
        <v>2.7116683500000001</v>
      </c>
      <c r="H77" s="2659">
        <v>2.6021138000000001</v>
      </c>
      <c r="I77" s="2659">
        <v>2.4960596000000002</v>
      </c>
      <c r="J77" s="2659"/>
      <c r="K77" s="2659"/>
      <c r="L77" s="2659"/>
      <c r="M77" s="2659"/>
      <c r="N77" s="2659"/>
      <c r="O77" s="2659"/>
      <c r="P77" s="2659"/>
      <c r="Q77" s="2659"/>
      <c r="R77" s="2667"/>
    </row>
    <row r="78" spans="1:18">
      <c r="A78" s="2651">
        <v>3.5</v>
      </c>
      <c r="B78" s="2658" t="s">
        <v>9104</v>
      </c>
      <c r="C78" s="2658" t="s">
        <v>9065</v>
      </c>
      <c r="D78" s="2659">
        <v>3.4790000000000001</v>
      </c>
      <c r="E78" s="2659">
        <v>3.3540000000000001</v>
      </c>
      <c r="F78" s="2659">
        <v>3.089</v>
      </c>
      <c r="G78" s="2659">
        <v>3.004</v>
      </c>
      <c r="H78" s="2659">
        <v>2.8290000000000002</v>
      </c>
      <c r="I78" s="2659">
        <v>2.6349999999999998</v>
      </c>
      <c r="J78" s="2659"/>
      <c r="K78" s="2659" t="s">
        <v>9066</v>
      </c>
      <c r="L78" s="2659">
        <v>2.85</v>
      </c>
      <c r="M78" s="2659">
        <v>3.01</v>
      </c>
      <c r="N78" s="2659">
        <v>3.11</v>
      </c>
      <c r="O78" s="2659">
        <v>3.222</v>
      </c>
      <c r="P78" s="2659">
        <v>3.5</v>
      </c>
      <c r="Q78" s="2659">
        <v>3.6989999999999998</v>
      </c>
      <c r="R78" s="2667">
        <v>2.9</v>
      </c>
    </row>
    <row r="79" spans="1:18">
      <c r="A79" s="2651"/>
      <c r="B79" s="2658" t="s">
        <v>9104</v>
      </c>
      <c r="C79" s="2658" t="s">
        <v>9067</v>
      </c>
      <c r="D79" s="2659">
        <v>3.4790000000000001</v>
      </c>
      <c r="E79" s="2659">
        <v>3.3540000000000001</v>
      </c>
      <c r="F79" s="2659">
        <v>3.089</v>
      </c>
      <c r="G79" s="2659">
        <v>3.036</v>
      </c>
      <c r="H79" s="2659">
        <v>2.8290000000000002</v>
      </c>
      <c r="I79" s="2659">
        <v>2.6669999999999998</v>
      </c>
      <c r="J79" s="2659"/>
      <c r="K79" s="2659"/>
      <c r="L79" s="2659"/>
      <c r="M79" s="2659"/>
      <c r="N79" s="2659"/>
      <c r="O79" s="2659"/>
      <c r="P79" s="2659"/>
      <c r="Q79" s="2659"/>
      <c r="R79" s="2667"/>
    </row>
    <row r="80" spans="1:18">
      <c r="A80" s="2651"/>
      <c r="B80" s="2654" t="s">
        <v>9105</v>
      </c>
      <c r="C80" s="2658" t="s">
        <v>9065</v>
      </c>
      <c r="D80" s="2659">
        <v>3.4809999999999999</v>
      </c>
      <c r="E80" s="2659">
        <v>3.3959999999999999</v>
      </c>
      <c r="F80" s="2659">
        <v>3.2536683499999999</v>
      </c>
      <c r="G80" s="2659">
        <v>3.1866683500000001</v>
      </c>
      <c r="H80" s="2659">
        <v>3.1021138000000001</v>
      </c>
      <c r="I80" s="2659">
        <v>2.9710595999999998</v>
      </c>
      <c r="J80" s="2659"/>
      <c r="K80" s="2659" t="s">
        <v>9066</v>
      </c>
      <c r="L80" s="2659">
        <v>3.1211137999999998</v>
      </c>
      <c r="M80" s="2659">
        <v>3.2211137999999999</v>
      </c>
      <c r="N80" s="2659">
        <v>3.27266835</v>
      </c>
      <c r="O80" s="2659">
        <v>3.3626683499999999</v>
      </c>
      <c r="P80" s="2659">
        <v>3.5</v>
      </c>
      <c r="Q80" s="2659">
        <v>3.6405183000000001</v>
      </c>
      <c r="R80" s="2667">
        <v>2.9</v>
      </c>
    </row>
    <row r="81" spans="1:18">
      <c r="A81" s="2651"/>
      <c r="B81" s="2654" t="s">
        <v>9105</v>
      </c>
      <c r="C81" s="2658" t="s">
        <v>9067</v>
      </c>
      <c r="D81" s="2659">
        <v>3.4809999999999999</v>
      </c>
      <c r="E81" s="2659">
        <v>3.3959999999999999</v>
      </c>
      <c r="F81" s="2659">
        <v>3.2536683499999999</v>
      </c>
      <c r="G81" s="2659">
        <v>3.2116683500000001</v>
      </c>
      <c r="H81" s="2659">
        <v>3.1021138000000001</v>
      </c>
      <c r="I81" s="2659">
        <v>2.9960596000000002</v>
      </c>
      <c r="J81" s="2659"/>
      <c r="K81" s="2659"/>
      <c r="L81" s="2659"/>
      <c r="M81" s="2659"/>
      <c r="N81" s="2659"/>
      <c r="O81" s="2659"/>
      <c r="P81" s="2659"/>
      <c r="Q81" s="2659"/>
      <c r="R81" s="2667"/>
    </row>
    <row r="82" spans="1:18">
      <c r="A82" s="2651">
        <v>4</v>
      </c>
      <c r="B82" s="2658" t="s">
        <v>9106</v>
      </c>
      <c r="C82" s="2658" t="s">
        <v>9065</v>
      </c>
      <c r="D82" s="2659">
        <v>3.9780000000000002</v>
      </c>
      <c r="E82" s="2659">
        <v>3.8380000000000001</v>
      </c>
      <c r="F82" s="2659">
        <v>3.5230000000000001</v>
      </c>
      <c r="G82" s="2659">
        <v>3.4329999999999998</v>
      </c>
      <c r="H82" s="2659">
        <v>3.22</v>
      </c>
      <c r="I82" s="2659">
        <v>3.0019999999999998</v>
      </c>
      <c r="J82" s="2659"/>
      <c r="K82" s="2659" t="s">
        <v>9066</v>
      </c>
      <c r="L82" s="2659">
        <v>3.242</v>
      </c>
      <c r="M82" s="2659">
        <v>3.4220000000000002</v>
      </c>
      <c r="N82" s="2659">
        <v>3.5449999999999999</v>
      </c>
      <c r="O82" s="2659">
        <v>3.6629999999999998</v>
      </c>
      <c r="P82" s="2659">
        <v>4</v>
      </c>
      <c r="Q82" s="2659">
        <v>4.2190000000000003</v>
      </c>
      <c r="R82" s="2667">
        <v>3.3</v>
      </c>
    </row>
    <row r="83" spans="1:18">
      <c r="A83" s="2651"/>
      <c r="B83" s="2658" t="s">
        <v>9106</v>
      </c>
      <c r="C83" s="2658" t="s">
        <v>9067</v>
      </c>
      <c r="D83" s="2659">
        <v>3.9780000000000002</v>
      </c>
      <c r="E83" s="2659">
        <v>3.8380000000000001</v>
      </c>
      <c r="F83" s="2659">
        <v>3.5230000000000001</v>
      </c>
      <c r="G83" s="2659">
        <v>3.4670000000000001</v>
      </c>
      <c r="H83" s="2659">
        <v>3.22</v>
      </c>
      <c r="I83" s="2659">
        <v>3.036</v>
      </c>
      <c r="J83" s="2659"/>
      <c r="K83" s="2659"/>
      <c r="L83" s="2659"/>
      <c r="M83" s="2659"/>
      <c r="N83" s="2659"/>
      <c r="O83" s="2659"/>
      <c r="P83" s="2659"/>
      <c r="Q83" s="2659"/>
      <c r="R83" s="2667"/>
    </row>
    <row r="84" spans="1:18">
      <c r="A84" s="2651"/>
      <c r="B84" s="2654" t="s">
        <v>9107</v>
      </c>
      <c r="C84" s="2658" t="s">
        <v>9065</v>
      </c>
      <c r="D84" s="2659">
        <v>3.98</v>
      </c>
      <c r="E84" s="2659">
        <v>3.8740000000000001</v>
      </c>
      <c r="F84" s="2659">
        <v>3.6552405000000001</v>
      </c>
      <c r="G84" s="2659">
        <v>3.5802404999999999</v>
      </c>
      <c r="H84" s="2659">
        <v>3.4387340000000002</v>
      </c>
      <c r="I84" s="2659">
        <v>3.2722280000000001</v>
      </c>
      <c r="J84" s="2659"/>
      <c r="K84" s="2659" t="s">
        <v>9066</v>
      </c>
      <c r="L84" s="2659">
        <v>3.4587340000000002</v>
      </c>
      <c r="M84" s="2659">
        <v>3.5987339999999999</v>
      </c>
      <c r="N84" s="2659">
        <v>3.6752405000000001</v>
      </c>
      <c r="O84" s="2659">
        <v>3.7752405000000002</v>
      </c>
      <c r="P84" s="2659">
        <v>4</v>
      </c>
      <c r="Q84" s="2659">
        <v>4.1721690000000002</v>
      </c>
      <c r="R84" s="2667">
        <v>3.3</v>
      </c>
    </row>
    <row r="85" spans="1:18">
      <c r="A85" s="2651"/>
      <c r="B85" s="2654" t="s">
        <v>9107</v>
      </c>
      <c r="C85" s="2658" t="s">
        <v>9067</v>
      </c>
      <c r="D85" s="2659">
        <v>3.98</v>
      </c>
      <c r="E85" s="2659">
        <v>3.8740000000000001</v>
      </c>
      <c r="F85" s="2659">
        <v>3.6552405000000001</v>
      </c>
      <c r="G85" s="2659">
        <v>3.6072405000000001</v>
      </c>
      <c r="H85" s="2659">
        <v>3.4387340000000002</v>
      </c>
      <c r="I85" s="2659">
        <v>3.2992279999999998</v>
      </c>
      <c r="J85" s="2659"/>
      <c r="K85" s="2659"/>
      <c r="L85" s="2659"/>
      <c r="M85" s="2659"/>
      <c r="N85" s="2659"/>
      <c r="O85" s="2659"/>
      <c r="P85" s="2659"/>
      <c r="Q85" s="2659"/>
      <c r="R85" s="2667"/>
    </row>
    <row r="86" spans="1:18">
      <c r="A86" s="2651">
        <v>4.5</v>
      </c>
      <c r="B86" s="2654" t="s">
        <v>9108</v>
      </c>
      <c r="C86" s="2658" t="s">
        <v>9065</v>
      </c>
      <c r="D86" s="2659">
        <v>4.4779999999999998</v>
      </c>
      <c r="E86" s="2659">
        <v>4.3380000000000001</v>
      </c>
      <c r="F86" s="2659">
        <v>3.99086075</v>
      </c>
      <c r="G86" s="2659">
        <v>3.9008607500000001</v>
      </c>
      <c r="H86" s="2659">
        <v>3.6661009999999998</v>
      </c>
      <c r="I86" s="2659">
        <v>3.4388420000000002</v>
      </c>
      <c r="J86" s="2659"/>
      <c r="K86" s="2659" t="s">
        <v>9066</v>
      </c>
      <c r="L86" s="2659">
        <v>3.6881010000000001</v>
      </c>
      <c r="M86" s="2659">
        <v>3.878101</v>
      </c>
      <c r="N86" s="2659">
        <v>4.0128607499999998</v>
      </c>
      <c r="O86" s="2659">
        <v>4.1308607500000001</v>
      </c>
      <c r="P86" s="2659">
        <v>4.5</v>
      </c>
      <c r="Q86" s="2659">
        <v>4.7262535000000003</v>
      </c>
      <c r="R86" s="2667">
        <v>3.5</v>
      </c>
    </row>
    <row r="87" spans="1:18">
      <c r="A87" s="2651"/>
      <c r="B87" s="2654" t="s">
        <v>9108</v>
      </c>
      <c r="C87" s="2658" t="s">
        <v>9067</v>
      </c>
      <c r="D87" s="2659">
        <v>4.4779999999999998</v>
      </c>
      <c r="E87" s="2659">
        <v>4.3380000000000001</v>
      </c>
      <c r="F87" s="2659">
        <v>3.99086075</v>
      </c>
      <c r="G87" s="2659">
        <v>3.9348607499999999</v>
      </c>
      <c r="H87" s="2659">
        <v>3.6661009999999998</v>
      </c>
      <c r="I87" s="2659">
        <v>3.472842</v>
      </c>
      <c r="J87" s="2659"/>
      <c r="K87" s="2659"/>
      <c r="L87" s="2659"/>
      <c r="M87" s="2659"/>
      <c r="N87" s="2659"/>
      <c r="O87" s="2659"/>
      <c r="P87" s="2659"/>
      <c r="Q87" s="2659"/>
      <c r="R87" s="2667"/>
    </row>
    <row r="88" spans="1:18">
      <c r="A88" s="2651"/>
      <c r="B88" s="2654" t="s">
        <v>9109</v>
      </c>
      <c r="C88" s="2658" t="s">
        <v>9065</v>
      </c>
      <c r="D88" s="2659">
        <v>4.4800000000000004</v>
      </c>
      <c r="E88" s="2659">
        <v>4.3739999999999997</v>
      </c>
      <c r="F88" s="2659">
        <v>4.1552404999999997</v>
      </c>
      <c r="G88" s="2659">
        <v>4.0802405000000004</v>
      </c>
      <c r="H88" s="2659">
        <v>3.9387340000000002</v>
      </c>
      <c r="I88" s="2659">
        <v>3.7722280000000001</v>
      </c>
      <c r="J88" s="2659"/>
      <c r="K88" s="2659" t="s">
        <v>9066</v>
      </c>
      <c r="L88" s="2659">
        <v>3.9587340000000002</v>
      </c>
      <c r="M88" s="2659">
        <v>4.0987340000000003</v>
      </c>
      <c r="N88" s="2659">
        <v>4.1752405000000001</v>
      </c>
      <c r="O88" s="2659">
        <v>4.2752404999999998</v>
      </c>
      <c r="P88" s="2659">
        <v>4.5</v>
      </c>
      <c r="Q88" s="2659">
        <v>4.6721690000000002</v>
      </c>
      <c r="R88" s="2667">
        <v>3.5</v>
      </c>
    </row>
    <row r="89" spans="1:18">
      <c r="A89" s="2651"/>
      <c r="B89" s="2654" t="s">
        <v>9109</v>
      </c>
      <c r="C89" s="2658" t="s">
        <v>9067</v>
      </c>
      <c r="D89" s="2659">
        <v>4.4800000000000004</v>
      </c>
      <c r="E89" s="2659">
        <v>4.3739999999999997</v>
      </c>
      <c r="F89" s="2659">
        <v>4.1552404999999997</v>
      </c>
      <c r="G89" s="2659">
        <v>4.1072404999999996</v>
      </c>
      <c r="H89" s="2659">
        <v>3.9387340000000002</v>
      </c>
      <c r="I89" s="2659">
        <v>3.7992279999999998</v>
      </c>
      <c r="J89" s="2659"/>
      <c r="K89" s="2659"/>
      <c r="L89" s="2659"/>
      <c r="M89" s="2659"/>
      <c r="N89" s="2659"/>
      <c r="O89" s="2659"/>
      <c r="P89" s="2659"/>
      <c r="Q89" s="2659"/>
      <c r="R89" s="2667"/>
    </row>
    <row r="90" spans="1:18">
      <c r="A90" s="2651">
        <v>5</v>
      </c>
      <c r="B90" s="2658" t="s">
        <v>9110</v>
      </c>
      <c r="C90" s="2658" t="s">
        <v>9065</v>
      </c>
      <c r="D90" s="2659">
        <v>4.976</v>
      </c>
      <c r="E90" s="2659">
        <v>4.8259999999999996</v>
      </c>
      <c r="F90" s="2659">
        <v>4.4560000000000004</v>
      </c>
      <c r="G90" s="2659">
        <v>4.3609999999999998</v>
      </c>
      <c r="H90" s="2659">
        <v>4.1100000000000003</v>
      </c>
      <c r="I90" s="2659">
        <v>3.8690000000000002</v>
      </c>
      <c r="J90" s="2659"/>
      <c r="K90" s="2659" t="s">
        <v>9066</v>
      </c>
      <c r="L90" s="2659">
        <v>4.1340000000000003</v>
      </c>
      <c r="M90" s="2659">
        <v>4.3339999999999996</v>
      </c>
      <c r="N90" s="2659">
        <v>4.4800000000000004</v>
      </c>
      <c r="O90" s="2659">
        <v>4.6050000000000004</v>
      </c>
      <c r="P90" s="2659">
        <v>5</v>
      </c>
      <c r="Q90" s="2659">
        <v>5.24</v>
      </c>
      <c r="R90" s="2667">
        <v>4.2</v>
      </c>
    </row>
    <row r="91" spans="1:18">
      <c r="A91" s="2651"/>
      <c r="B91" s="2658" t="s">
        <v>9110</v>
      </c>
      <c r="C91" s="2658" t="s">
        <v>9067</v>
      </c>
      <c r="D91" s="2659">
        <v>4.976</v>
      </c>
      <c r="E91" s="2659">
        <v>4.8259999999999996</v>
      </c>
      <c r="F91" s="2659">
        <v>4.4560000000000004</v>
      </c>
      <c r="G91" s="2659">
        <v>4.3959999999999999</v>
      </c>
      <c r="H91" s="2659">
        <v>4.1100000000000003</v>
      </c>
      <c r="I91" s="2659">
        <v>3.9039999999999999</v>
      </c>
      <c r="J91" s="2659"/>
      <c r="K91" s="2659"/>
      <c r="L91" s="2659"/>
      <c r="M91" s="2659"/>
      <c r="N91" s="2659"/>
      <c r="O91" s="2659"/>
      <c r="P91" s="2659"/>
      <c r="Q91" s="2659"/>
      <c r="R91" s="2667"/>
    </row>
    <row r="92" spans="1:18">
      <c r="A92" s="2651"/>
      <c r="B92" s="2654" t="s">
        <v>9111</v>
      </c>
      <c r="C92" s="2658" t="s">
        <v>9065</v>
      </c>
      <c r="D92" s="2659">
        <v>4.9800000000000004</v>
      </c>
      <c r="E92" s="2659">
        <v>4.8739999999999997</v>
      </c>
      <c r="F92" s="2659">
        <v>4.6552404999999997</v>
      </c>
      <c r="G92" s="2659">
        <v>4.5802405000000004</v>
      </c>
      <c r="H92" s="2659">
        <v>4.4387340000000002</v>
      </c>
      <c r="I92" s="2659">
        <v>4.2722280000000001</v>
      </c>
      <c r="J92" s="2659"/>
      <c r="K92" s="2659" t="s">
        <v>9066</v>
      </c>
      <c r="L92" s="2659">
        <v>4.4587339999999998</v>
      </c>
      <c r="M92" s="2659">
        <v>4.5987340000000003</v>
      </c>
      <c r="N92" s="2659">
        <v>4.6752405000000001</v>
      </c>
      <c r="O92" s="2659">
        <v>4.7752404999999998</v>
      </c>
      <c r="P92" s="2659">
        <v>5</v>
      </c>
      <c r="Q92" s="2659">
        <v>5.1721690000000002</v>
      </c>
      <c r="R92" s="2667">
        <v>4.2</v>
      </c>
    </row>
    <row r="93" spans="1:18">
      <c r="A93" s="2651"/>
      <c r="B93" s="2654" t="s">
        <v>9111</v>
      </c>
      <c r="C93" s="2658" t="s">
        <v>9067</v>
      </c>
      <c r="D93" s="2659">
        <v>4.9800000000000004</v>
      </c>
      <c r="E93" s="2659">
        <v>4.8739999999999997</v>
      </c>
      <c r="F93" s="2659">
        <v>4.6552404999999997</v>
      </c>
      <c r="G93" s="2659">
        <v>4.6072404999999996</v>
      </c>
      <c r="H93" s="2659">
        <v>4.4387340000000002</v>
      </c>
      <c r="I93" s="2659">
        <v>4.2992280000000003</v>
      </c>
      <c r="J93" s="2659"/>
      <c r="K93" s="2659"/>
      <c r="L93" s="2659"/>
      <c r="M93" s="2659"/>
      <c r="N93" s="2659"/>
      <c r="O93" s="2659"/>
      <c r="P93" s="2659"/>
      <c r="Q93" s="2659"/>
      <c r="R93" s="2667"/>
    </row>
    <row r="94" spans="1:18">
      <c r="A94" s="2651">
        <v>5.5</v>
      </c>
      <c r="B94" s="2654" t="s">
        <v>9112</v>
      </c>
      <c r="C94" s="2658" t="s">
        <v>9065</v>
      </c>
      <c r="D94" s="2659">
        <v>5.48</v>
      </c>
      <c r="E94" s="2659">
        <v>5.3739999999999997</v>
      </c>
      <c r="F94" s="2659">
        <v>5.1552404999999997</v>
      </c>
      <c r="G94" s="2659">
        <v>5.0652404999999998</v>
      </c>
      <c r="H94" s="2659">
        <v>4.9387340000000002</v>
      </c>
      <c r="I94" s="2659">
        <v>4.7572279999999996</v>
      </c>
      <c r="J94" s="2659"/>
      <c r="K94" s="2659" t="s">
        <v>9066</v>
      </c>
      <c r="L94" s="2659">
        <v>4.9587339999999998</v>
      </c>
      <c r="M94" s="2659">
        <v>5.0987340000000003</v>
      </c>
      <c r="N94" s="2659">
        <v>5.1752405000000001</v>
      </c>
      <c r="O94" s="2659">
        <v>5.2952405000000002</v>
      </c>
      <c r="P94" s="2659">
        <v>5.5</v>
      </c>
      <c r="Q94" s="2659">
        <v>5.6921689999999998</v>
      </c>
      <c r="R94" s="2667">
        <v>4.8</v>
      </c>
    </row>
    <row r="95" spans="1:18">
      <c r="A95" s="2651"/>
      <c r="B95" s="2654" t="s">
        <v>9112</v>
      </c>
      <c r="C95" s="2658" t="s">
        <v>9067</v>
      </c>
      <c r="D95" s="2659">
        <v>5.48</v>
      </c>
      <c r="E95" s="2659">
        <v>5.3739999999999997</v>
      </c>
      <c r="F95" s="2659">
        <v>5.1552404999999997</v>
      </c>
      <c r="G95" s="2659">
        <v>5.0992404999999996</v>
      </c>
      <c r="H95" s="2659">
        <v>4.9387340000000002</v>
      </c>
      <c r="I95" s="2659">
        <v>4.7912280000000003</v>
      </c>
      <c r="J95" s="2659"/>
      <c r="K95" s="2659"/>
      <c r="L95" s="2659"/>
      <c r="M95" s="2659"/>
      <c r="N95" s="2659"/>
      <c r="O95" s="2659"/>
      <c r="P95" s="2659"/>
      <c r="Q95" s="2659"/>
      <c r="R95" s="2667"/>
    </row>
    <row r="96" spans="1:18">
      <c r="A96" s="2651">
        <v>6</v>
      </c>
      <c r="B96" s="2658" t="s">
        <v>9113</v>
      </c>
      <c r="C96" s="2658" t="s">
        <v>9065</v>
      </c>
      <c r="D96" s="2659">
        <v>5.9740000000000002</v>
      </c>
      <c r="E96" s="2659">
        <v>5.7939999999999996</v>
      </c>
      <c r="F96" s="2659">
        <v>5.3239999999999998</v>
      </c>
      <c r="G96" s="2659">
        <v>5.2119999999999997</v>
      </c>
      <c r="H96" s="2659">
        <v>4.891</v>
      </c>
      <c r="I96" s="2659">
        <v>4.5960000000000001</v>
      </c>
      <c r="J96" s="2659"/>
      <c r="K96" s="2659" t="s">
        <v>9066</v>
      </c>
      <c r="L96" s="2659">
        <v>4.9169999999999998</v>
      </c>
      <c r="M96" s="2659">
        <v>5.1529999999999996</v>
      </c>
      <c r="N96" s="2659">
        <v>5.35</v>
      </c>
      <c r="O96" s="2659">
        <v>5.5</v>
      </c>
      <c r="P96" s="2659">
        <v>6</v>
      </c>
      <c r="Q96" s="2659">
        <v>6.2939999999999996</v>
      </c>
      <c r="R96" s="2667">
        <v>5</v>
      </c>
    </row>
    <row r="97" spans="1:18">
      <c r="A97" s="2651"/>
      <c r="B97" s="2658" t="s">
        <v>9113</v>
      </c>
      <c r="C97" s="2658" t="s">
        <v>9067</v>
      </c>
      <c r="D97" s="2659">
        <v>5.9740000000000002</v>
      </c>
      <c r="E97" s="2659">
        <v>5.7939999999999996</v>
      </c>
      <c r="F97" s="2659">
        <v>5.3239999999999998</v>
      </c>
      <c r="G97" s="2659">
        <v>5.2530000000000001</v>
      </c>
      <c r="H97" s="2659">
        <v>4.891</v>
      </c>
      <c r="I97" s="2659">
        <v>4.6369999999999996</v>
      </c>
      <c r="J97" s="2659"/>
      <c r="K97" s="2659"/>
      <c r="L97" s="2659"/>
      <c r="M97" s="2659"/>
      <c r="N97" s="2659"/>
      <c r="O97" s="2659"/>
      <c r="P97" s="2659"/>
      <c r="Q97" s="2659"/>
      <c r="R97" s="2667"/>
    </row>
    <row r="98" spans="1:18">
      <c r="A98" s="2651"/>
      <c r="B98" s="2654" t="s">
        <v>9114</v>
      </c>
      <c r="C98" s="2658" t="s">
        <v>9065</v>
      </c>
      <c r="D98" s="2659">
        <v>5.976</v>
      </c>
      <c r="E98" s="2659">
        <v>5.8259999999999996</v>
      </c>
      <c r="F98" s="2659">
        <v>5.4563848000000004</v>
      </c>
      <c r="G98" s="2659">
        <v>5.3763848000000003</v>
      </c>
      <c r="H98" s="2659">
        <v>5.1099743999999996</v>
      </c>
      <c r="I98" s="2659">
        <v>4.8835648000000003</v>
      </c>
      <c r="J98" s="2659"/>
      <c r="K98" s="2659" t="s">
        <v>9066</v>
      </c>
      <c r="L98" s="2659">
        <v>5.1339743999999996</v>
      </c>
      <c r="M98" s="2659">
        <v>5.3339743999999998</v>
      </c>
      <c r="N98" s="2659">
        <v>5.4803848000000004</v>
      </c>
      <c r="O98" s="2659">
        <v>5.5863848000000003</v>
      </c>
      <c r="P98" s="2659">
        <v>6</v>
      </c>
      <c r="Q98" s="2659">
        <v>6.2214704000000003</v>
      </c>
      <c r="R98" s="2667">
        <v>5</v>
      </c>
    </row>
    <row r="99" spans="1:18">
      <c r="A99" s="2651"/>
      <c r="B99" s="2654" t="s">
        <v>9114</v>
      </c>
      <c r="C99" s="2658" t="s">
        <v>9067</v>
      </c>
      <c r="D99" s="2659">
        <v>5.976</v>
      </c>
      <c r="E99" s="2659">
        <v>5.8259999999999996</v>
      </c>
      <c r="F99" s="2659">
        <v>5.4563848000000004</v>
      </c>
      <c r="G99" s="2659">
        <v>5.4063847999999997</v>
      </c>
      <c r="H99" s="2659">
        <v>5.1099743999999996</v>
      </c>
      <c r="I99" s="2659">
        <v>4.9135647999999996</v>
      </c>
      <c r="J99" s="2659"/>
      <c r="K99" s="2659"/>
      <c r="L99" s="2659"/>
      <c r="M99" s="2659"/>
      <c r="N99" s="2659"/>
      <c r="O99" s="2659"/>
      <c r="P99" s="2659"/>
      <c r="Q99" s="2659"/>
      <c r="R99" s="2667"/>
    </row>
    <row r="100" spans="1:18">
      <c r="A100" s="2651"/>
      <c r="B100" s="2654" t="s">
        <v>9115</v>
      </c>
      <c r="C100" s="2658" t="s">
        <v>9065</v>
      </c>
      <c r="D100" s="2659">
        <v>5.9779999999999998</v>
      </c>
      <c r="E100" s="2659">
        <v>5.8380000000000001</v>
      </c>
      <c r="F100" s="2659">
        <v>5.4908607500000004</v>
      </c>
      <c r="G100" s="2659">
        <v>5.3908607499999999</v>
      </c>
      <c r="H100" s="2659">
        <v>5.1661010000000003</v>
      </c>
      <c r="I100" s="2659">
        <v>4.9288420000000004</v>
      </c>
      <c r="J100" s="2659"/>
      <c r="K100" s="2659" t="s">
        <v>9066</v>
      </c>
      <c r="L100" s="2659">
        <v>5.1881009999999996</v>
      </c>
      <c r="M100" s="2659">
        <v>5.378101</v>
      </c>
      <c r="N100" s="2659">
        <v>5.5128607499999998</v>
      </c>
      <c r="O100" s="2659">
        <v>5.6448607500000003</v>
      </c>
      <c r="P100" s="2659">
        <v>6</v>
      </c>
      <c r="Q100" s="2659">
        <v>6.2402534999999997</v>
      </c>
      <c r="R100" s="2667">
        <v>5</v>
      </c>
    </row>
    <row r="101" spans="1:18">
      <c r="A101" s="2651"/>
      <c r="B101" s="2654" t="s">
        <v>9115</v>
      </c>
      <c r="C101" s="2658" t="s">
        <v>9067</v>
      </c>
      <c r="D101" s="2659">
        <v>5.9779999999999998</v>
      </c>
      <c r="E101" s="2659">
        <v>5.8380000000000001</v>
      </c>
      <c r="F101" s="2659">
        <v>5.4908607500000004</v>
      </c>
      <c r="G101" s="2659">
        <v>5.4278607499999998</v>
      </c>
      <c r="H101" s="2659">
        <v>5.1661010000000003</v>
      </c>
      <c r="I101" s="2659">
        <v>4.9658420000000003</v>
      </c>
      <c r="J101" s="2659"/>
      <c r="K101" s="2659"/>
      <c r="L101" s="2659"/>
      <c r="M101" s="2659"/>
      <c r="N101" s="2659"/>
      <c r="O101" s="2659"/>
      <c r="P101" s="2659"/>
      <c r="Q101" s="2659"/>
      <c r="R101" s="2667"/>
    </row>
    <row r="102" spans="1:18">
      <c r="A102" s="2651"/>
      <c r="B102" s="2654" t="s">
        <v>9116</v>
      </c>
      <c r="C102" s="2658" t="s">
        <v>9065</v>
      </c>
      <c r="D102" s="2659">
        <v>5.9779999999999998</v>
      </c>
      <c r="E102" s="2659">
        <v>5.8380000000000001</v>
      </c>
      <c r="F102" s="2659">
        <v>5.5233366999999998</v>
      </c>
      <c r="G102" s="2659">
        <v>5.4283367</v>
      </c>
      <c r="H102" s="2659">
        <v>5.2202276000000003</v>
      </c>
      <c r="I102" s="2659">
        <v>4.9971192000000002</v>
      </c>
      <c r="J102" s="2659"/>
      <c r="K102" s="2659" t="s">
        <v>9066</v>
      </c>
      <c r="L102" s="2659">
        <v>5.2422275999999997</v>
      </c>
      <c r="M102" s="2659">
        <v>5.4222276000000003</v>
      </c>
      <c r="N102" s="2659">
        <v>5.5453367</v>
      </c>
      <c r="O102" s="2659">
        <v>5.6707367</v>
      </c>
      <c r="P102" s="2659">
        <v>6</v>
      </c>
      <c r="Q102" s="2659">
        <v>6.2264366000000004</v>
      </c>
      <c r="R102" s="2667">
        <v>5</v>
      </c>
    </row>
    <row r="103" spans="1:18">
      <c r="A103" s="2651"/>
      <c r="B103" s="2654" t="s">
        <v>9116</v>
      </c>
      <c r="C103" s="2658" t="s">
        <v>9067</v>
      </c>
      <c r="D103" s="2659">
        <v>5.9779999999999998</v>
      </c>
      <c r="E103" s="2659">
        <v>5.8380000000000001</v>
      </c>
      <c r="F103" s="2659">
        <v>5.5233366999999998</v>
      </c>
      <c r="G103" s="2659">
        <v>5.4633367000000002</v>
      </c>
      <c r="H103" s="2659">
        <v>5.2202276000000003</v>
      </c>
      <c r="I103" s="2659">
        <v>5.0321192000000003</v>
      </c>
      <c r="J103" s="2659"/>
      <c r="K103" s="2659"/>
      <c r="L103" s="2659"/>
      <c r="M103" s="2659"/>
      <c r="N103" s="2659"/>
      <c r="O103" s="2659"/>
      <c r="P103" s="2659"/>
      <c r="Q103" s="2659"/>
      <c r="R103" s="2667"/>
    </row>
    <row r="104" spans="1:18">
      <c r="A104" s="2651"/>
      <c r="B104" s="2654" t="s">
        <v>9117</v>
      </c>
      <c r="C104" s="2658" t="s">
        <v>9065</v>
      </c>
      <c r="D104" s="2659">
        <v>5.98</v>
      </c>
      <c r="E104" s="2659">
        <v>5.8739999999999997</v>
      </c>
      <c r="F104" s="2659">
        <v>5.6552404999999997</v>
      </c>
      <c r="G104" s="2659">
        <v>5.5702404999999997</v>
      </c>
      <c r="H104" s="2659">
        <v>5.4387340000000002</v>
      </c>
      <c r="I104" s="2659">
        <v>5.2622280000000003</v>
      </c>
      <c r="J104" s="2659"/>
      <c r="K104" s="2659" t="s">
        <v>9066</v>
      </c>
      <c r="L104" s="2659">
        <v>5.4587339999999998</v>
      </c>
      <c r="M104" s="2659">
        <v>5.5987340000000003</v>
      </c>
      <c r="N104" s="2659">
        <v>5.6752405000000001</v>
      </c>
      <c r="O104" s="2659">
        <v>5.7874404999999998</v>
      </c>
      <c r="P104" s="2659">
        <v>6</v>
      </c>
      <c r="Q104" s="2659">
        <v>6.1843690000000002</v>
      </c>
      <c r="R104" s="2667">
        <v>5</v>
      </c>
    </row>
    <row r="105" spans="1:18">
      <c r="A105" s="2651"/>
      <c r="B105" s="2654" t="s">
        <v>9117</v>
      </c>
      <c r="C105" s="2658" t="s">
        <v>9067</v>
      </c>
      <c r="D105" s="2659">
        <v>5.98</v>
      </c>
      <c r="E105" s="2659">
        <v>5.8739999999999997</v>
      </c>
      <c r="F105" s="2659">
        <v>5.6552404999999997</v>
      </c>
      <c r="G105" s="2659">
        <v>5.6022404999999997</v>
      </c>
      <c r="H105" s="2659">
        <v>5.4387340000000002</v>
      </c>
      <c r="I105" s="2659">
        <v>5.2942280000000004</v>
      </c>
      <c r="J105" s="2659"/>
      <c r="K105" s="2659"/>
      <c r="L105" s="2659"/>
      <c r="M105" s="2659"/>
      <c r="N105" s="2659"/>
      <c r="O105" s="2659"/>
      <c r="P105" s="2659"/>
      <c r="Q105" s="2659"/>
      <c r="R105" s="2667"/>
    </row>
    <row r="106" spans="1:18">
      <c r="A106" s="2651">
        <v>7</v>
      </c>
      <c r="B106" s="2654" t="s">
        <v>9118</v>
      </c>
      <c r="C106" s="2658" t="s">
        <v>9065</v>
      </c>
      <c r="D106" s="2659">
        <v>6.9740000000000002</v>
      </c>
      <c r="E106" s="2659">
        <v>6.7939999999999996</v>
      </c>
      <c r="F106" s="2659">
        <v>6.3244809999999996</v>
      </c>
      <c r="G106" s="2659">
        <v>6.2124810000000004</v>
      </c>
      <c r="H106" s="2659">
        <v>5.8914679999999997</v>
      </c>
      <c r="I106" s="2659">
        <v>5.5964559999999999</v>
      </c>
      <c r="J106" s="2659"/>
      <c r="K106" s="2659" t="s">
        <v>9066</v>
      </c>
      <c r="L106" s="2659">
        <v>5.9174680000000004</v>
      </c>
      <c r="M106" s="2659">
        <v>6.1534680000000002</v>
      </c>
      <c r="N106" s="2659">
        <v>6.3504810000000003</v>
      </c>
      <c r="O106" s="2659">
        <v>6.5004809999999997</v>
      </c>
      <c r="P106" s="2659">
        <v>7</v>
      </c>
      <c r="Q106" s="2659">
        <v>7.2943379999999998</v>
      </c>
      <c r="R106" s="2667">
        <v>6.3</v>
      </c>
    </row>
    <row r="107" spans="1:18">
      <c r="A107" s="2651"/>
      <c r="B107" s="2654" t="s">
        <v>9118</v>
      </c>
      <c r="C107" s="2658" t="s">
        <v>9067</v>
      </c>
      <c r="D107" s="2659">
        <v>6.9740000000000002</v>
      </c>
      <c r="E107" s="2659">
        <v>6.7939999999999996</v>
      </c>
      <c r="F107" s="2659">
        <v>6.3244809999999996</v>
      </c>
      <c r="G107" s="2659">
        <v>6.2534809999999998</v>
      </c>
      <c r="H107" s="2659">
        <v>5.8914679999999997</v>
      </c>
      <c r="I107" s="2659">
        <v>5.6374560000000002</v>
      </c>
      <c r="J107" s="2659"/>
      <c r="K107" s="2659"/>
      <c r="L107" s="2659"/>
      <c r="M107" s="2659"/>
      <c r="N107" s="2659"/>
      <c r="O107" s="2659"/>
      <c r="P107" s="2659"/>
      <c r="Q107" s="2659"/>
      <c r="R107" s="2667"/>
    </row>
    <row r="108" spans="1:18">
      <c r="A108" s="2651"/>
      <c r="B108" s="2654" t="s">
        <v>9119</v>
      </c>
      <c r="C108" s="2658" t="s">
        <v>9065</v>
      </c>
      <c r="D108" s="2659">
        <v>6.9779999999999998</v>
      </c>
      <c r="E108" s="2659">
        <v>6.8380000000000001</v>
      </c>
      <c r="F108" s="2659">
        <v>6.4908607500000004</v>
      </c>
      <c r="G108" s="2659">
        <v>6.3908607499999999</v>
      </c>
      <c r="H108" s="2659">
        <v>6.1661010000000003</v>
      </c>
      <c r="I108" s="2659">
        <v>5.9288420000000004</v>
      </c>
      <c r="J108" s="2659"/>
      <c r="K108" s="2659" t="s">
        <v>9066</v>
      </c>
      <c r="L108" s="2659">
        <v>6.1881009999999996</v>
      </c>
      <c r="M108" s="2659">
        <v>6.378101</v>
      </c>
      <c r="N108" s="2659">
        <v>6.5128607499999998</v>
      </c>
      <c r="O108" s="2659">
        <v>6.6448607500000003</v>
      </c>
      <c r="P108" s="2659">
        <v>7</v>
      </c>
      <c r="Q108" s="2659">
        <v>7.2402534999999997</v>
      </c>
      <c r="R108" s="2667">
        <v>6.3</v>
      </c>
    </row>
    <row r="109" spans="1:18">
      <c r="A109" s="2651"/>
      <c r="B109" s="2654" t="s">
        <v>9119</v>
      </c>
      <c r="C109" s="2658" t="s">
        <v>9067</v>
      </c>
      <c r="D109" s="2659">
        <v>6.9779999999999998</v>
      </c>
      <c r="E109" s="2659">
        <v>6.8380000000000001</v>
      </c>
      <c r="F109" s="2659">
        <v>6.4908607500000004</v>
      </c>
      <c r="G109" s="2659">
        <v>6.4278607499999998</v>
      </c>
      <c r="H109" s="2659">
        <v>6.1661010000000003</v>
      </c>
      <c r="I109" s="2659">
        <v>5.9658420000000003</v>
      </c>
      <c r="J109" s="2659"/>
      <c r="K109" s="2659"/>
      <c r="L109" s="2659"/>
      <c r="M109" s="2659"/>
      <c r="N109" s="2659"/>
      <c r="O109" s="2659"/>
      <c r="P109" s="2659"/>
      <c r="Q109" s="2659"/>
      <c r="R109" s="2667"/>
    </row>
    <row r="110" spans="1:18">
      <c r="A110" s="2651"/>
      <c r="B110" s="2654" t="s">
        <v>9120</v>
      </c>
      <c r="C110" s="2658" t="s">
        <v>9065</v>
      </c>
      <c r="D110" s="2659">
        <v>6.98</v>
      </c>
      <c r="E110" s="2659">
        <v>6.8739999999999997</v>
      </c>
      <c r="F110" s="2659">
        <v>6.6552404999999997</v>
      </c>
      <c r="G110" s="2659">
        <v>6.5702404999999997</v>
      </c>
      <c r="H110" s="2659">
        <v>6.4387340000000002</v>
      </c>
      <c r="I110" s="2659">
        <v>6.2622280000000003</v>
      </c>
      <c r="J110" s="2659"/>
      <c r="K110" s="2659" t="s">
        <v>9066</v>
      </c>
      <c r="L110" s="2659">
        <v>6.4587339999999998</v>
      </c>
      <c r="M110" s="2659">
        <v>6.5987340000000003</v>
      </c>
      <c r="N110" s="2659">
        <v>6.6752405000000001</v>
      </c>
      <c r="O110" s="2659">
        <v>6.7874404999999998</v>
      </c>
      <c r="P110" s="2659">
        <v>7</v>
      </c>
      <c r="Q110" s="2659">
        <v>7.1843690000000002</v>
      </c>
      <c r="R110" s="2667">
        <v>6.3</v>
      </c>
    </row>
    <row r="111" spans="1:18">
      <c r="A111" s="2651"/>
      <c r="B111" s="2654" t="s">
        <v>9120</v>
      </c>
      <c r="C111" s="2658" t="s">
        <v>9067</v>
      </c>
      <c r="D111" s="2659">
        <v>6.98</v>
      </c>
      <c r="E111" s="2659">
        <v>6.8739999999999997</v>
      </c>
      <c r="F111" s="2659">
        <v>6.6552404999999997</v>
      </c>
      <c r="G111" s="2659">
        <v>6.6022404999999997</v>
      </c>
      <c r="H111" s="2659">
        <v>6.4387340000000002</v>
      </c>
      <c r="I111" s="2659">
        <v>6.2942280000000004</v>
      </c>
      <c r="J111" s="2659"/>
      <c r="K111" s="2659"/>
      <c r="L111" s="2659"/>
      <c r="M111" s="2659"/>
      <c r="N111" s="2659"/>
      <c r="O111" s="2659"/>
      <c r="P111" s="2659"/>
      <c r="Q111" s="2659"/>
      <c r="R111" s="2667"/>
    </row>
    <row r="112" spans="1:18">
      <c r="A112" s="2669">
        <v>8</v>
      </c>
      <c r="B112" s="2670" t="s">
        <v>9121</v>
      </c>
      <c r="C112" s="2670" t="s">
        <v>9065</v>
      </c>
      <c r="D112" s="2671">
        <v>7.9720000000000004</v>
      </c>
      <c r="E112" s="2671">
        <v>7.76</v>
      </c>
      <c r="F112" s="2671">
        <v>7.16</v>
      </c>
      <c r="G112" s="2671">
        <v>7.0419999999999998</v>
      </c>
      <c r="H112" s="2671">
        <v>6.6189999999999998</v>
      </c>
      <c r="I112" s="2671">
        <v>6.2720000000000002</v>
      </c>
      <c r="J112" s="2671"/>
      <c r="K112" s="2671" t="s">
        <v>9066</v>
      </c>
      <c r="L112" s="2671">
        <v>6.6470000000000002</v>
      </c>
      <c r="M112" s="2671">
        <v>6.9119999999999999</v>
      </c>
      <c r="N112" s="2671">
        <v>7.1879999999999997</v>
      </c>
      <c r="O112" s="2671">
        <v>7.3479999999999999</v>
      </c>
      <c r="P112" s="2671">
        <v>8</v>
      </c>
      <c r="Q112" s="2671">
        <v>8.34</v>
      </c>
      <c r="R112" s="2672">
        <v>6.8</v>
      </c>
    </row>
    <row r="113" spans="1:18">
      <c r="A113" s="2651"/>
      <c r="B113" s="2658" t="s">
        <v>9121</v>
      </c>
      <c r="C113" s="2658" t="s">
        <v>9067</v>
      </c>
      <c r="D113" s="2659">
        <v>7.9720000000000004</v>
      </c>
      <c r="E113" s="2659">
        <v>7.76</v>
      </c>
      <c r="F113" s="2659">
        <v>7.16</v>
      </c>
      <c r="G113" s="2659">
        <v>7.085</v>
      </c>
      <c r="H113" s="2659">
        <v>6.6189999999999998</v>
      </c>
      <c r="I113" s="2659">
        <v>6.3150000000000004</v>
      </c>
      <c r="J113" s="2659"/>
      <c r="K113" s="2659"/>
      <c r="L113" s="2659"/>
      <c r="M113" s="2659"/>
      <c r="N113" s="2659"/>
      <c r="O113" s="2659"/>
      <c r="P113" s="2659"/>
      <c r="Q113" s="2659"/>
      <c r="R113" s="2667"/>
    </row>
    <row r="114" spans="1:18">
      <c r="A114" s="2651"/>
      <c r="B114" s="2658" t="s">
        <v>9122</v>
      </c>
      <c r="C114" s="2658" t="s">
        <v>9065</v>
      </c>
      <c r="D114" s="2659">
        <v>7.9740000000000002</v>
      </c>
      <c r="E114" s="2659">
        <v>7.7939999999999996</v>
      </c>
      <c r="F114" s="2659">
        <v>7.3239999999999998</v>
      </c>
      <c r="G114" s="2659">
        <v>7.2119999999999997</v>
      </c>
      <c r="H114" s="2659">
        <v>6.891</v>
      </c>
      <c r="I114" s="2659">
        <v>6.5960000000000001</v>
      </c>
      <c r="J114" s="2659"/>
      <c r="K114" s="2659" t="s">
        <v>9066</v>
      </c>
      <c r="L114" s="2659">
        <v>6.9169999999999998</v>
      </c>
      <c r="M114" s="2659">
        <v>7.1529999999999996</v>
      </c>
      <c r="N114" s="2659">
        <v>7.35</v>
      </c>
      <c r="O114" s="2659">
        <v>7.5</v>
      </c>
      <c r="P114" s="2659">
        <v>8</v>
      </c>
      <c r="Q114" s="2659">
        <v>8.2940000000000005</v>
      </c>
      <c r="R114" s="2667">
        <v>6.8</v>
      </c>
    </row>
    <row r="115" spans="1:18">
      <c r="A115" s="2651"/>
      <c r="B115" s="2658" t="s">
        <v>9122</v>
      </c>
      <c r="C115" s="2658" t="s">
        <v>9067</v>
      </c>
      <c r="D115" s="2659">
        <v>7.9740000000000002</v>
      </c>
      <c r="E115" s="2659">
        <v>7.7939999999999996</v>
      </c>
      <c r="F115" s="2659">
        <v>7.3239999999999998</v>
      </c>
      <c r="G115" s="2659">
        <v>7.2530000000000001</v>
      </c>
      <c r="H115" s="2659">
        <v>6.891</v>
      </c>
      <c r="I115" s="2659">
        <v>6.6369999999999996</v>
      </c>
      <c r="J115" s="2659"/>
      <c r="K115" s="2659"/>
      <c r="L115" s="2659"/>
      <c r="M115" s="2659"/>
      <c r="N115" s="2659"/>
      <c r="O115" s="2659"/>
      <c r="P115" s="2659"/>
      <c r="Q115" s="2659"/>
      <c r="R115" s="2667"/>
    </row>
    <row r="116" spans="1:18">
      <c r="A116" s="2651"/>
      <c r="B116" s="2654" t="s">
        <v>9123</v>
      </c>
      <c r="C116" s="2658" t="s">
        <v>9065</v>
      </c>
      <c r="D116" s="2659">
        <v>7.976</v>
      </c>
      <c r="E116" s="2659">
        <v>7.8259999999999996</v>
      </c>
      <c r="F116" s="2659">
        <v>7.4563848000000004</v>
      </c>
      <c r="G116" s="2659">
        <v>7.3503847999999996</v>
      </c>
      <c r="H116" s="2659">
        <v>7.1099743999999996</v>
      </c>
      <c r="I116" s="2659">
        <v>6.8575647999999996</v>
      </c>
      <c r="J116" s="2659"/>
      <c r="K116" s="2659" t="s">
        <v>9066</v>
      </c>
      <c r="L116" s="2659">
        <v>7.1339743999999996</v>
      </c>
      <c r="M116" s="2659">
        <v>7.3339743999999998</v>
      </c>
      <c r="N116" s="2659">
        <v>7.4803848000000004</v>
      </c>
      <c r="O116" s="2659">
        <v>7.6203048000000004</v>
      </c>
      <c r="P116" s="2659">
        <v>8</v>
      </c>
      <c r="Q116" s="2659">
        <v>8.2553903999999996</v>
      </c>
      <c r="R116" s="2667">
        <v>6.8</v>
      </c>
    </row>
    <row r="117" spans="1:18">
      <c r="A117" s="2651"/>
      <c r="B117" s="2654" t="s">
        <v>9123</v>
      </c>
      <c r="C117" s="2658" t="s">
        <v>9067</v>
      </c>
      <c r="D117" s="2659">
        <v>7.976</v>
      </c>
      <c r="E117" s="2659">
        <v>7.8259999999999996</v>
      </c>
      <c r="F117" s="2659">
        <v>7.4563848000000004</v>
      </c>
      <c r="G117" s="2659">
        <v>7.3893848000000002</v>
      </c>
      <c r="H117" s="2659">
        <v>7.1099743999999996</v>
      </c>
      <c r="I117" s="2659">
        <v>6.8965648000000002</v>
      </c>
      <c r="J117" s="2659"/>
      <c r="K117" s="2659"/>
      <c r="L117" s="2659"/>
      <c r="M117" s="2659"/>
      <c r="N117" s="2659"/>
      <c r="O117" s="2659"/>
      <c r="P117" s="2659"/>
      <c r="Q117" s="2659"/>
      <c r="R117" s="2667"/>
    </row>
    <row r="118" spans="1:18">
      <c r="A118" s="2651"/>
      <c r="B118" s="2654" t="s">
        <v>9124</v>
      </c>
      <c r="C118" s="2658" t="s">
        <v>9065</v>
      </c>
      <c r="D118" s="2659">
        <v>7.9779999999999998</v>
      </c>
      <c r="E118" s="2659">
        <v>7.8380000000000001</v>
      </c>
      <c r="F118" s="2659">
        <v>7.4908607500000004</v>
      </c>
      <c r="G118" s="2659">
        <v>7.3908607499999999</v>
      </c>
      <c r="H118" s="2659">
        <v>7.1661010000000003</v>
      </c>
      <c r="I118" s="2659">
        <v>6.9288420000000004</v>
      </c>
      <c r="J118" s="2659"/>
      <c r="K118" s="2659" t="s">
        <v>9066</v>
      </c>
      <c r="L118" s="2659">
        <v>7.1881009999999996</v>
      </c>
      <c r="M118" s="2659">
        <v>7.378101</v>
      </c>
      <c r="N118" s="2659">
        <v>7.5128607499999998</v>
      </c>
      <c r="O118" s="2659">
        <v>7.6448607500000003</v>
      </c>
      <c r="P118" s="2659">
        <v>8</v>
      </c>
      <c r="Q118" s="2659">
        <v>8.2402534999999997</v>
      </c>
      <c r="R118" s="2667">
        <v>6.8</v>
      </c>
    </row>
    <row r="119" spans="1:18">
      <c r="A119" s="2651"/>
      <c r="B119" s="2654" t="s">
        <v>9124</v>
      </c>
      <c r="C119" s="2658" t="s">
        <v>9067</v>
      </c>
      <c r="D119" s="2659">
        <v>7.9779999999999998</v>
      </c>
      <c r="E119" s="2659">
        <v>7.8380000000000001</v>
      </c>
      <c r="F119" s="2659">
        <v>7.4908607500000004</v>
      </c>
      <c r="G119" s="2659">
        <v>7.4278607499999998</v>
      </c>
      <c r="H119" s="2659">
        <v>7.1661010000000003</v>
      </c>
      <c r="I119" s="2659">
        <v>6.9658420000000003</v>
      </c>
      <c r="J119" s="2659"/>
      <c r="K119" s="2659"/>
      <c r="L119" s="2659"/>
      <c r="M119" s="2659"/>
      <c r="N119" s="2659"/>
      <c r="O119" s="2659"/>
      <c r="P119" s="2659"/>
      <c r="Q119" s="2659"/>
      <c r="R119" s="2667"/>
    </row>
    <row r="120" spans="1:18">
      <c r="A120" s="2651"/>
      <c r="B120" s="2654" t="s">
        <v>9125</v>
      </c>
      <c r="C120" s="2658" t="s">
        <v>9065</v>
      </c>
      <c r="D120" s="2659">
        <v>7.98</v>
      </c>
      <c r="E120" s="2659">
        <v>7.8739999999999997</v>
      </c>
      <c r="F120" s="2659">
        <v>7.6552404999999997</v>
      </c>
      <c r="G120" s="2659">
        <v>7.5702404999999997</v>
      </c>
      <c r="H120" s="2659">
        <v>7.4387340000000002</v>
      </c>
      <c r="I120" s="2659">
        <v>7.2622280000000003</v>
      </c>
      <c r="J120" s="2659"/>
      <c r="K120" s="2659" t="s">
        <v>9066</v>
      </c>
      <c r="L120" s="2659">
        <v>7.4587339999999998</v>
      </c>
      <c r="M120" s="2659">
        <v>7.5987340000000003</v>
      </c>
      <c r="N120" s="2659">
        <v>7.6752405000000001</v>
      </c>
      <c r="O120" s="2659">
        <v>7.7874404999999998</v>
      </c>
      <c r="P120" s="2659">
        <v>8</v>
      </c>
      <c r="Q120" s="2659">
        <v>8.1843690000000002</v>
      </c>
      <c r="R120" s="2667">
        <v>6.8</v>
      </c>
    </row>
    <row r="121" spans="1:18">
      <c r="A121" s="2651"/>
      <c r="B121" s="2654" t="s">
        <v>9125</v>
      </c>
      <c r="C121" s="2658" t="s">
        <v>9067</v>
      </c>
      <c r="D121" s="2659">
        <v>7.98</v>
      </c>
      <c r="E121" s="2659">
        <v>7.8739999999999997</v>
      </c>
      <c r="F121" s="2659">
        <v>7.6552404999999997</v>
      </c>
      <c r="G121" s="2659">
        <v>7.6022404999999997</v>
      </c>
      <c r="H121" s="2659">
        <v>7.4387340000000002</v>
      </c>
      <c r="I121" s="2659">
        <v>7.2942280000000004</v>
      </c>
      <c r="J121" s="2659"/>
      <c r="K121" s="2659"/>
      <c r="L121" s="2659"/>
      <c r="M121" s="2659"/>
      <c r="N121" s="2659"/>
      <c r="O121" s="2659"/>
      <c r="P121" s="2659"/>
      <c r="Q121" s="2659"/>
      <c r="R121" s="2667"/>
    </row>
    <row r="122" spans="1:18">
      <c r="A122" s="2651">
        <v>9</v>
      </c>
      <c r="B122" s="2654" t="s">
        <v>9126</v>
      </c>
      <c r="C122" s="2658" t="s">
        <v>9065</v>
      </c>
      <c r="D122" s="2659">
        <v>8.9719999999999995</v>
      </c>
      <c r="E122" s="2659">
        <v>8.76</v>
      </c>
      <c r="F122" s="2659">
        <v>8.1601012500000003</v>
      </c>
      <c r="G122" s="2659">
        <v>8.04210125</v>
      </c>
      <c r="H122" s="2659">
        <v>7.6188349999999998</v>
      </c>
      <c r="I122" s="2659">
        <v>7.2720700000000003</v>
      </c>
      <c r="J122" s="2659"/>
      <c r="K122" s="2659" t="s">
        <v>9066</v>
      </c>
      <c r="L122" s="2659">
        <v>7.6468350000000003</v>
      </c>
      <c r="M122" s="2659">
        <v>7.911835</v>
      </c>
      <c r="N122" s="2659">
        <v>8.1881012500000008</v>
      </c>
      <c r="O122" s="2659">
        <v>8.3481012499999991</v>
      </c>
      <c r="P122" s="2659">
        <v>9</v>
      </c>
      <c r="Q122" s="2659">
        <v>9.3404225000000007</v>
      </c>
      <c r="R122" s="2667">
        <v>7.1</v>
      </c>
    </row>
    <row r="123" spans="1:18">
      <c r="A123" s="2651"/>
      <c r="B123" s="2654" t="s">
        <v>9126</v>
      </c>
      <c r="C123" s="2658" t="s">
        <v>9067</v>
      </c>
      <c r="D123" s="2659">
        <v>8.9719999999999995</v>
      </c>
      <c r="E123" s="2659">
        <v>8.76</v>
      </c>
      <c r="F123" s="2659">
        <v>8.1601012500000003</v>
      </c>
      <c r="G123" s="2659">
        <v>8.0851012499999992</v>
      </c>
      <c r="H123" s="2659">
        <v>7.6188349999999998</v>
      </c>
      <c r="I123" s="2659">
        <v>7.3150700000000004</v>
      </c>
      <c r="J123" s="2659"/>
      <c r="K123" s="2659"/>
      <c r="L123" s="2659"/>
      <c r="M123" s="2659"/>
      <c r="N123" s="2659"/>
      <c r="O123" s="2659"/>
      <c r="P123" s="2659"/>
      <c r="Q123" s="2659"/>
      <c r="R123" s="2667"/>
    </row>
    <row r="124" spans="1:18">
      <c r="A124" s="2651"/>
      <c r="B124" s="2654" t="s">
        <v>9127</v>
      </c>
      <c r="C124" s="2658" t="s">
        <v>9065</v>
      </c>
      <c r="D124" s="2659">
        <v>8.9740000000000002</v>
      </c>
      <c r="E124" s="2659">
        <v>8.7940000000000005</v>
      </c>
      <c r="F124" s="2659">
        <v>8.3244810000000005</v>
      </c>
      <c r="G124" s="2659">
        <v>8.2124810000000004</v>
      </c>
      <c r="H124" s="2659">
        <v>7.8914679999999997</v>
      </c>
      <c r="I124" s="2659">
        <v>7.5964559999999999</v>
      </c>
      <c r="J124" s="2659"/>
      <c r="K124" s="2659" t="s">
        <v>9066</v>
      </c>
      <c r="L124" s="2659">
        <v>7.9174680000000004</v>
      </c>
      <c r="M124" s="2659">
        <v>8.1534680000000002</v>
      </c>
      <c r="N124" s="2659">
        <v>8.3504810000000003</v>
      </c>
      <c r="O124" s="2659">
        <v>8.4983210000000007</v>
      </c>
      <c r="P124" s="2659">
        <v>9</v>
      </c>
      <c r="Q124" s="2659">
        <v>9.2921779999999998</v>
      </c>
      <c r="R124" s="2667">
        <v>7.1</v>
      </c>
    </row>
    <row r="125" spans="1:18">
      <c r="A125" s="2651"/>
      <c r="B125" s="2654" t="s">
        <v>9127</v>
      </c>
      <c r="C125" s="2658" t="s">
        <v>9067</v>
      </c>
      <c r="D125" s="2659">
        <v>8.9740000000000002</v>
      </c>
      <c r="E125" s="2659">
        <v>8.7940000000000005</v>
      </c>
      <c r="F125" s="2659">
        <v>8.3244810000000005</v>
      </c>
      <c r="G125" s="2659">
        <v>8.2534810000000007</v>
      </c>
      <c r="H125" s="2659">
        <v>7.8914679999999997</v>
      </c>
      <c r="I125" s="2659">
        <v>7.6374560000000002</v>
      </c>
      <c r="J125" s="2659"/>
      <c r="K125" s="2659"/>
      <c r="L125" s="2659"/>
      <c r="M125" s="2659"/>
      <c r="N125" s="2659"/>
      <c r="O125" s="2659"/>
      <c r="P125" s="2659"/>
      <c r="Q125" s="2659"/>
      <c r="R125" s="2667"/>
    </row>
    <row r="126" spans="1:18">
      <c r="A126" s="2651"/>
      <c r="B126" s="2654" t="s">
        <v>9128</v>
      </c>
      <c r="C126" s="2658" t="s">
        <v>9065</v>
      </c>
      <c r="D126" s="2659">
        <v>8.9779999999999998</v>
      </c>
      <c r="E126" s="2659">
        <v>8.8379999999999992</v>
      </c>
      <c r="F126" s="2659">
        <v>8.4908607499999995</v>
      </c>
      <c r="G126" s="2659">
        <v>8.3908607499999999</v>
      </c>
      <c r="H126" s="2659">
        <v>8.1661009999999994</v>
      </c>
      <c r="I126" s="2659">
        <v>7.9288420000000004</v>
      </c>
      <c r="J126" s="2659"/>
      <c r="K126" s="2659" t="s">
        <v>9066</v>
      </c>
      <c r="L126" s="2659">
        <v>8.1881009999999996</v>
      </c>
      <c r="M126" s="2659">
        <v>8.3781009999999991</v>
      </c>
      <c r="N126" s="2659">
        <v>8.5128607499999998</v>
      </c>
      <c r="O126" s="2659">
        <v>8.6448607499999994</v>
      </c>
      <c r="P126" s="2659">
        <v>9</v>
      </c>
      <c r="Q126" s="2659">
        <v>9.2402534999999997</v>
      </c>
      <c r="R126" s="2667">
        <v>7.1</v>
      </c>
    </row>
    <row r="127" spans="1:18">
      <c r="A127" s="2651"/>
      <c r="B127" s="2654" t="s">
        <v>9128</v>
      </c>
      <c r="C127" s="2658" t="s">
        <v>9067</v>
      </c>
      <c r="D127" s="2659">
        <v>8.9779999999999998</v>
      </c>
      <c r="E127" s="2659">
        <v>8.8379999999999992</v>
      </c>
      <c r="F127" s="2659">
        <v>8.4908607499999995</v>
      </c>
      <c r="G127" s="2659">
        <v>8.4278607500000007</v>
      </c>
      <c r="H127" s="2659">
        <v>8.1661009999999994</v>
      </c>
      <c r="I127" s="2659">
        <v>7.9658420000000003</v>
      </c>
      <c r="J127" s="2659"/>
      <c r="K127" s="2659"/>
      <c r="L127" s="2659"/>
      <c r="M127" s="2659"/>
      <c r="N127" s="2659"/>
      <c r="O127" s="2659"/>
      <c r="P127" s="2659"/>
      <c r="Q127" s="2659"/>
      <c r="R127" s="2667"/>
    </row>
    <row r="128" spans="1:18">
      <c r="A128" s="2651"/>
      <c r="B128" s="2654" t="s">
        <v>9129</v>
      </c>
      <c r="C128" s="2658" t="s">
        <v>9065</v>
      </c>
      <c r="D128" s="2659">
        <v>8.98</v>
      </c>
      <c r="E128" s="2659">
        <v>8.8740000000000006</v>
      </c>
      <c r="F128" s="2659">
        <v>8.6552404999999997</v>
      </c>
      <c r="G128" s="2659">
        <v>8.5702405000000006</v>
      </c>
      <c r="H128" s="2659">
        <v>8.4387340000000002</v>
      </c>
      <c r="I128" s="2659">
        <v>8.2622280000000003</v>
      </c>
      <c r="J128" s="2659"/>
      <c r="K128" s="2659" t="s">
        <v>9066</v>
      </c>
      <c r="L128" s="2659">
        <v>8.4587339999999998</v>
      </c>
      <c r="M128" s="2659">
        <v>8.5987340000000003</v>
      </c>
      <c r="N128" s="2659">
        <v>8.6752404999999992</v>
      </c>
      <c r="O128" s="2659">
        <v>8.7874405000000007</v>
      </c>
      <c r="P128" s="2659">
        <v>9</v>
      </c>
      <c r="Q128" s="2659">
        <v>9.1843690000000002</v>
      </c>
      <c r="R128" s="2667">
        <v>7.1</v>
      </c>
    </row>
    <row r="129" spans="1:18">
      <c r="A129" s="2651"/>
      <c r="B129" s="2654" t="s">
        <v>9129</v>
      </c>
      <c r="C129" s="2658" t="s">
        <v>9067</v>
      </c>
      <c r="D129" s="2659">
        <v>8.98</v>
      </c>
      <c r="E129" s="2659">
        <v>8.8740000000000006</v>
      </c>
      <c r="F129" s="2659">
        <v>8.6552404999999997</v>
      </c>
      <c r="G129" s="2659">
        <v>8.6022405000000006</v>
      </c>
      <c r="H129" s="2659">
        <v>8.4387340000000002</v>
      </c>
      <c r="I129" s="2659">
        <v>8.2942280000000004</v>
      </c>
      <c r="J129" s="2659"/>
      <c r="K129" s="2659"/>
      <c r="L129" s="2659"/>
      <c r="M129" s="2659"/>
      <c r="N129" s="2659"/>
      <c r="O129" s="2659"/>
      <c r="P129" s="2659"/>
      <c r="Q129" s="2659"/>
      <c r="R129" s="2667"/>
    </row>
    <row r="130" spans="1:18">
      <c r="A130" s="2651">
        <v>10</v>
      </c>
      <c r="B130" s="2658" t="s">
        <v>9130</v>
      </c>
      <c r="C130" s="2658" t="s">
        <v>9065</v>
      </c>
      <c r="D130" s="2659">
        <v>9.968</v>
      </c>
      <c r="E130" s="2659">
        <v>9.7319999999999993</v>
      </c>
      <c r="F130" s="2659">
        <v>8.9939999999999998</v>
      </c>
      <c r="G130" s="2659">
        <v>8.8620000000000001</v>
      </c>
      <c r="H130" s="2659">
        <v>8.3439999999999994</v>
      </c>
      <c r="I130" s="2659">
        <v>7.9379999999999997</v>
      </c>
      <c r="J130" s="2659"/>
      <c r="K130" s="2659" t="s">
        <v>9066</v>
      </c>
      <c r="L130" s="2659">
        <v>8.3759999999999994</v>
      </c>
      <c r="M130" s="2659">
        <v>8.6760000000000002</v>
      </c>
      <c r="N130" s="2659">
        <v>9.0259999999999998</v>
      </c>
      <c r="O130" s="2659">
        <v>9.2059999999999995</v>
      </c>
      <c r="P130" s="2659">
        <v>10</v>
      </c>
      <c r="Q130" s="2659">
        <v>10.396000000000001</v>
      </c>
      <c r="R130" s="2667">
        <v>8.5</v>
      </c>
    </row>
    <row r="131" spans="1:18">
      <c r="A131" s="2651"/>
      <c r="B131" s="2658" t="s">
        <v>9130</v>
      </c>
      <c r="C131" s="2658" t="s">
        <v>9067</v>
      </c>
      <c r="D131" s="2659">
        <v>9.968</v>
      </c>
      <c r="E131" s="2659">
        <v>9.7319999999999993</v>
      </c>
      <c r="F131" s="2659">
        <v>8.9939999999999998</v>
      </c>
      <c r="G131" s="2659">
        <v>8.9090000000000007</v>
      </c>
      <c r="H131" s="2659">
        <v>8.3439999999999994</v>
      </c>
      <c r="I131" s="2659">
        <v>7.9850000000000003</v>
      </c>
      <c r="J131" s="2659"/>
      <c r="K131" s="2659"/>
      <c r="L131" s="2659"/>
      <c r="M131" s="2659"/>
      <c r="N131" s="2659"/>
      <c r="O131" s="2659"/>
      <c r="P131" s="2659"/>
      <c r="Q131" s="2659"/>
      <c r="R131" s="2667"/>
    </row>
    <row r="132" spans="1:18">
      <c r="A132" s="2651"/>
      <c r="B132" s="2658" t="s">
        <v>9131</v>
      </c>
      <c r="C132" s="2652" t="s">
        <v>9065</v>
      </c>
      <c r="D132" s="2659">
        <v>9.9719999999999995</v>
      </c>
      <c r="E132" s="2659">
        <v>9.76</v>
      </c>
      <c r="F132" s="2659">
        <v>9.16</v>
      </c>
      <c r="G132" s="2659">
        <v>9.0419999999999998</v>
      </c>
      <c r="H132" s="2659">
        <v>8.6189999999999998</v>
      </c>
      <c r="I132" s="2659">
        <v>8.2720000000000002</v>
      </c>
      <c r="J132" s="2659"/>
      <c r="K132" s="2659" t="s">
        <v>9066</v>
      </c>
      <c r="L132" s="2659">
        <v>8.6470000000000002</v>
      </c>
      <c r="M132" s="2659">
        <v>8.9120000000000008</v>
      </c>
      <c r="N132" s="2659">
        <v>9.1880000000000006</v>
      </c>
      <c r="O132" s="2659">
        <v>9.3480000000000008</v>
      </c>
      <c r="P132" s="2659">
        <v>10</v>
      </c>
      <c r="Q132" s="2659">
        <v>10.34</v>
      </c>
      <c r="R132" s="2667">
        <v>8.5</v>
      </c>
    </row>
    <row r="133" spans="1:18">
      <c r="A133" s="2651"/>
      <c r="B133" s="2658" t="s">
        <v>9131</v>
      </c>
      <c r="C133" s="2658" t="s">
        <v>9067</v>
      </c>
      <c r="D133" s="2659">
        <v>9.9719999999999995</v>
      </c>
      <c r="E133" s="2659">
        <v>9.76</v>
      </c>
      <c r="F133" s="2659">
        <v>9.16</v>
      </c>
      <c r="G133" s="2659">
        <v>9.0850000000000009</v>
      </c>
      <c r="H133" s="2659">
        <v>8.6189999999999998</v>
      </c>
      <c r="I133" s="2659">
        <v>8.3149999999999995</v>
      </c>
      <c r="J133" s="2659"/>
      <c r="K133" s="2659"/>
      <c r="L133" s="2659"/>
      <c r="M133" s="2659"/>
      <c r="N133" s="2659"/>
      <c r="O133" s="2659"/>
      <c r="P133" s="2659"/>
      <c r="Q133" s="2659"/>
      <c r="R133" s="2667"/>
    </row>
    <row r="134" spans="1:18">
      <c r="A134" s="2651"/>
      <c r="B134" s="2654" t="s">
        <v>9132</v>
      </c>
      <c r="C134" s="2658" t="s">
        <v>9065</v>
      </c>
      <c r="D134" s="2659">
        <v>9.9730000000000008</v>
      </c>
      <c r="E134" s="2659">
        <v>9.7829999999999995</v>
      </c>
      <c r="F134" s="2659">
        <v>9.2455387200000008</v>
      </c>
      <c r="G134" s="2659">
        <v>9.1275387200000004</v>
      </c>
      <c r="H134" s="2659">
        <v>8.7605641599999995</v>
      </c>
      <c r="I134" s="2659">
        <v>8.4375907199999993</v>
      </c>
      <c r="J134" s="2659"/>
      <c r="K134" s="2659" t="s">
        <v>9066</v>
      </c>
      <c r="L134" s="2659">
        <v>8.7875641600000005</v>
      </c>
      <c r="M134" s="2659">
        <v>9.0375641600000005</v>
      </c>
      <c r="N134" s="2659">
        <v>9.27253872</v>
      </c>
      <c r="O134" s="2659">
        <v>9.4325387200000002</v>
      </c>
      <c r="P134" s="2659">
        <v>10</v>
      </c>
      <c r="Q134" s="2659">
        <v>10.321658559999999</v>
      </c>
      <c r="R134" s="2667">
        <v>8.5</v>
      </c>
    </row>
    <row r="135" spans="1:18">
      <c r="A135" s="2651"/>
      <c r="B135" s="2654" t="s">
        <v>9132</v>
      </c>
      <c r="C135" s="2658" t="s">
        <v>9067</v>
      </c>
      <c r="D135" s="2659">
        <v>9.9730000000000008</v>
      </c>
      <c r="E135" s="2659">
        <v>9.7829999999999995</v>
      </c>
      <c r="F135" s="2659">
        <v>9.2455387200000008</v>
      </c>
      <c r="G135" s="2659">
        <v>9.1705387199999997</v>
      </c>
      <c r="H135" s="2659">
        <v>8.7605641599999995</v>
      </c>
      <c r="I135" s="2659">
        <v>8.4805907200000004</v>
      </c>
      <c r="J135" s="2659"/>
      <c r="K135" s="2659"/>
      <c r="L135" s="2659"/>
      <c r="M135" s="2659"/>
      <c r="N135" s="2659"/>
      <c r="O135" s="2659"/>
      <c r="P135" s="2659"/>
      <c r="Q135" s="2659"/>
      <c r="R135" s="2667"/>
    </row>
    <row r="136" spans="1:18">
      <c r="A136" s="2651"/>
      <c r="B136" s="2654" t="s">
        <v>9133</v>
      </c>
      <c r="C136" s="2658" t="s">
        <v>9065</v>
      </c>
      <c r="D136" s="2659">
        <v>9.9740000000000002</v>
      </c>
      <c r="E136" s="2659">
        <v>9.7940000000000005</v>
      </c>
      <c r="F136" s="2659">
        <v>9.3244810000000005</v>
      </c>
      <c r="G136" s="2659">
        <v>9.2124810000000004</v>
      </c>
      <c r="H136" s="2659">
        <v>8.8914679999999997</v>
      </c>
      <c r="I136" s="2659">
        <v>8.5964559999999999</v>
      </c>
      <c r="J136" s="2659"/>
      <c r="K136" s="2659" t="s">
        <v>9066</v>
      </c>
      <c r="L136" s="2659">
        <v>8.9174679999999995</v>
      </c>
      <c r="M136" s="2659">
        <v>9.1534680000000002</v>
      </c>
      <c r="N136" s="2659">
        <v>9.3504810000000003</v>
      </c>
      <c r="O136" s="2659">
        <v>9.5004810000000006</v>
      </c>
      <c r="P136" s="2659">
        <v>10</v>
      </c>
      <c r="Q136" s="2659">
        <v>10.294338</v>
      </c>
      <c r="R136" s="2667">
        <v>8.5</v>
      </c>
    </row>
    <row r="137" spans="1:18">
      <c r="A137" s="2651"/>
      <c r="B137" s="2654" t="s">
        <v>9133</v>
      </c>
      <c r="C137" s="2658" t="s">
        <v>9067</v>
      </c>
      <c r="D137" s="2659">
        <v>9.9740000000000002</v>
      </c>
      <c r="E137" s="2659">
        <v>9.7940000000000005</v>
      </c>
      <c r="F137" s="2659">
        <v>9.3244810000000005</v>
      </c>
      <c r="G137" s="2659">
        <v>9.2534810000000007</v>
      </c>
      <c r="H137" s="2659">
        <v>8.8914679999999997</v>
      </c>
      <c r="I137" s="2659">
        <v>8.6374560000000002</v>
      </c>
      <c r="J137" s="2659"/>
      <c r="K137" s="2659"/>
      <c r="L137" s="2659"/>
      <c r="M137" s="2659"/>
      <c r="N137" s="2659"/>
      <c r="O137" s="2659"/>
      <c r="P137" s="2659"/>
      <c r="Q137" s="2659"/>
      <c r="R137" s="2667"/>
    </row>
    <row r="138" spans="1:18">
      <c r="A138" s="2651"/>
      <c r="B138" s="2658" t="s">
        <v>9134</v>
      </c>
      <c r="C138" s="2658" t="s">
        <v>9065</v>
      </c>
      <c r="D138" s="2659">
        <v>9.9779999999999998</v>
      </c>
      <c r="E138" s="2659">
        <v>9.8379999999999992</v>
      </c>
      <c r="F138" s="2659">
        <v>9.4909999999999997</v>
      </c>
      <c r="G138" s="2659">
        <v>9.391</v>
      </c>
      <c r="H138" s="2659">
        <v>9.1660000000000004</v>
      </c>
      <c r="I138" s="2659">
        <v>8.9290000000000003</v>
      </c>
      <c r="J138" s="2659"/>
      <c r="K138" s="2659" t="s">
        <v>9066</v>
      </c>
      <c r="L138" s="2659">
        <v>9.1880000000000006</v>
      </c>
      <c r="M138" s="2659">
        <v>9.3780000000000001</v>
      </c>
      <c r="N138" s="2659">
        <v>9.5129999999999999</v>
      </c>
      <c r="O138" s="2659">
        <v>9.6449999999999996</v>
      </c>
      <c r="P138" s="2659">
        <v>10</v>
      </c>
      <c r="Q138" s="2659">
        <v>10.24</v>
      </c>
      <c r="R138" s="2667">
        <v>8.5</v>
      </c>
    </row>
    <row r="139" spans="1:18">
      <c r="A139" s="2651"/>
      <c r="B139" s="2658" t="s">
        <v>9134</v>
      </c>
      <c r="C139" s="2658" t="s">
        <v>9067</v>
      </c>
      <c r="D139" s="2659">
        <v>9.9779999999999998</v>
      </c>
      <c r="E139" s="2659">
        <v>9.8379999999999992</v>
      </c>
      <c r="F139" s="2659">
        <v>9.4909999999999997</v>
      </c>
      <c r="G139" s="2659">
        <v>9.4280000000000008</v>
      </c>
      <c r="H139" s="2659">
        <v>9.1660000000000004</v>
      </c>
      <c r="I139" s="2659">
        <v>8.9659999999999993</v>
      </c>
      <c r="J139" s="2659"/>
      <c r="K139" s="2659"/>
      <c r="L139" s="2659"/>
      <c r="M139" s="2659"/>
      <c r="N139" s="2659"/>
      <c r="O139" s="2659"/>
      <c r="P139" s="2659"/>
      <c r="Q139" s="2659"/>
      <c r="R139" s="2667"/>
    </row>
    <row r="140" spans="1:18">
      <c r="A140" s="2651"/>
      <c r="B140" s="2654" t="s">
        <v>9135</v>
      </c>
      <c r="C140" s="2658" t="s">
        <v>9065</v>
      </c>
      <c r="D140" s="2659">
        <v>9.98</v>
      </c>
      <c r="E140" s="2659">
        <v>9.8740000000000006</v>
      </c>
      <c r="F140" s="2659">
        <v>9.6552404999999997</v>
      </c>
      <c r="G140" s="2659">
        <v>9.5702405000000006</v>
      </c>
      <c r="H140" s="2659">
        <v>9.4387340000000002</v>
      </c>
      <c r="I140" s="2659">
        <v>9.2622280000000003</v>
      </c>
      <c r="J140" s="2659"/>
      <c r="K140" s="2659" t="s">
        <v>9066</v>
      </c>
      <c r="L140" s="2659">
        <v>9.4587339999999998</v>
      </c>
      <c r="M140" s="2659">
        <v>9.5987340000000003</v>
      </c>
      <c r="N140" s="2659">
        <v>9.6752404999999992</v>
      </c>
      <c r="O140" s="2659">
        <v>9.7874405000000007</v>
      </c>
      <c r="P140" s="2659">
        <v>10</v>
      </c>
      <c r="Q140" s="2659">
        <v>10.184369</v>
      </c>
      <c r="R140" s="2667">
        <v>8.5</v>
      </c>
    </row>
    <row r="141" spans="1:18">
      <c r="A141" s="2651"/>
      <c r="B141" s="2654" t="s">
        <v>9135</v>
      </c>
      <c r="C141" s="2658" t="s">
        <v>9067</v>
      </c>
      <c r="D141" s="2659">
        <v>9.98</v>
      </c>
      <c r="E141" s="2659">
        <v>9.8740000000000006</v>
      </c>
      <c r="F141" s="2659">
        <v>9.6552404999999997</v>
      </c>
      <c r="G141" s="2659">
        <v>9.6022405000000006</v>
      </c>
      <c r="H141" s="2659">
        <v>9.4387340000000002</v>
      </c>
      <c r="I141" s="2659">
        <v>9.2942280000000004</v>
      </c>
      <c r="J141" s="2659"/>
      <c r="K141" s="2659"/>
      <c r="L141" s="2659"/>
      <c r="M141" s="2659"/>
      <c r="N141" s="2659"/>
      <c r="O141" s="2659"/>
      <c r="P141" s="2659"/>
      <c r="Q141" s="2659"/>
      <c r="R141" s="2667"/>
    </row>
    <row r="142" spans="1:18">
      <c r="A142" s="2651">
        <v>11</v>
      </c>
      <c r="B142" s="2654" t="s">
        <v>9136</v>
      </c>
      <c r="C142" s="2658" t="s">
        <v>9065</v>
      </c>
      <c r="D142" s="2659">
        <v>10.968</v>
      </c>
      <c r="E142" s="2659">
        <v>10.731999999999999</v>
      </c>
      <c r="F142" s="2659">
        <v>9.9937214999999995</v>
      </c>
      <c r="G142" s="2659">
        <v>9.8617214999999998</v>
      </c>
      <c r="H142" s="2659">
        <v>9.3442019999999992</v>
      </c>
      <c r="I142" s="2659">
        <v>8.9376840000000009</v>
      </c>
      <c r="J142" s="2659"/>
      <c r="K142" s="2659" t="s">
        <v>9066</v>
      </c>
      <c r="L142" s="2659">
        <v>9.3762019999999993</v>
      </c>
      <c r="M142" s="2659">
        <v>9.676202</v>
      </c>
      <c r="N142" s="2659">
        <v>10.0257215</v>
      </c>
      <c r="O142" s="2659">
        <v>10.195721499999999</v>
      </c>
      <c r="P142" s="2659">
        <v>11</v>
      </c>
      <c r="Q142" s="2659">
        <v>11.386507</v>
      </c>
      <c r="R142" s="2667">
        <v>9</v>
      </c>
    </row>
    <row r="143" spans="1:18">
      <c r="A143" s="2651"/>
      <c r="B143" s="2654" t="s">
        <v>9136</v>
      </c>
      <c r="C143" s="2658" t="s">
        <v>9067</v>
      </c>
      <c r="D143" s="2659">
        <v>10.968</v>
      </c>
      <c r="E143" s="2659">
        <v>10.731999999999999</v>
      </c>
      <c r="F143" s="2659">
        <v>9.9937214999999995</v>
      </c>
      <c r="G143" s="2659">
        <v>9.9107214999999993</v>
      </c>
      <c r="H143" s="2659">
        <v>9.3442019999999992</v>
      </c>
      <c r="I143" s="2659">
        <v>8.9866840000000003</v>
      </c>
      <c r="J143" s="2659"/>
      <c r="K143" s="2659"/>
      <c r="L143" s="2659"/>
      <c r="M143" s="2659"/>
      <c r="N143" s="2659"/>
      <c r="O143" s="2659"/>
      <c r="P143" s="2659"/>
      <c r="Q143" s="2659"/>
      <c r="R143" s="2667"/>
    </row>
    <row r="144" spans="1:18">
      <c r="A144" s="2651"/>
      <c r="B144" s="2654" t="s">
        <v>9137</v>
      </c>
      <c r="C144" s="2658" t="s">
        <v>9065</v>
      </c>
      <c r="D144" s="2659">
        <v>10.974</v>
      </c>
      <c r="E144" s="2659">
        <v>10.794</v>
      </c>
      <c r="F144" s="2659">
        <v>10.324481</v>
      </c>
      <c r="G144" s="2659">
        <v>10.212481</v>
      </c>
      <c r="H144" s="2659">
        <v>9.8914679999999997</v>
      </c>
      <c r="I144" s="2659">
        <v>9.5964559999999999</v>
      </c>
      <c r="J144" s="2659"/>
      <c r="K144" s="2659" t="s">
        <v>9066</v>
      </c>
      <c r="L144" s="2659">
        <v>9.9174679999999995</v>
      </c>
      <c r="M144" s="2659">
        <v>10.153468</v>
      </c>
      <c r="N144" s="2659">
        <v>10.350481</v>
      </c>
      <c r="O144" s="2659">
        <v>10.500481000000001</v>
      </c>
      <c r="P144" s="2659">
        <v>11</v>
      </c>
      <c r="Q144" s="2659">
        <v>11.294338</v>
      </c>
      <c r="R144" s="2667">
        <v>9</v>
      </c>
    </row>
    <row r="145" spans="1:18">
      <c r="A145" s="2651"/>
      <c r="B145" s="2654" t="s">
        <v>9137</v>
      </c>
      <c r="C145" s="2658" t="s">
        <v>9067</v>
      </c>
      <c r="D145" s="2659">
        <v>10.974</v>
      </c>
      <c r="E145" s="2659">
        <v>10.794</v>
      </c>
      <c r="F145" s="2659">
        <v>10.324481</v>
      </c>
      <c r="G145" s="2659">
        <v>10.253481000000001</v>
      </c>
      <c r="H145" s="2659">
        <v>9.8914679999999997</v>
      </c>
      <c r="I145" s="2659">
        <v>9.6374560000000002</v>
      </c>
      <c r="J145" s="2659"/>
      <c r="K145" s="2659"/>
      <c r="L145" s="2659"/>
      <c r="M145" s="2659"/>
      <c r="N145" s="2659"/>
      <c r="O145" s="2659"/>
      <c r="P145" s="2659"/>
      <c r="Q145" s="2659"/>
      <c r="R145" s="2667"/>
    </row>
    <row r="146" spans="1:18">
      <c r="A146" s="2651"/>
      <c r="B146" s="2654" t="s">
        <v>9138</v>
      </c>
      <c r="C146" s="2658" t="s">
        <v>9065</v>
      </c>
      <c r="D146" s="2659">
        <v>10.978</v>
      </c>
      <c r="E146" s="2659">
        <v>10.837999999999999</v>
      </c>
      <c r="F146" s="2659">
        <v>10.49086075</v>
      </c>
      <c r="G146" s="2659">
        <v>10.39086075</v>
      </c>
      <c r="H146" s="2659">
        <v>10.166100999999999</v>
      </c>
      <c r="I146" s="2659">
        <v>9.9288419999999995</v>
      </c>
      <c r="J146" s="2659"/>
      <c r="K146" s="2659" t="s">
        <v>9066</v>
      </c>
      <c r="L146" s="2659">
        <v>10.188101</v>
      </c>
      <c r="M146" s="2659">
        <v>10.378100999999999</v>
      </c>
      <c r="N146" s="2659">
        <v>10.51286075</v>
      </c>
      <c r="O146" s="2659">
        <v>10.644860749999999</v>
      </c>
      <c r="P146" s="2659">
        <v>11</v>
      </c>
      <c r="Q146" s="2659">
        <v>11.2402535</v>
      </c>
      <c r="R146" s="2667">
        <v>9</v>
      </c>
    </row>
    <row r="147" spans="1:18">
      <c r="A147" s="2651"/>
      <c r="B147" s="2654" t="s">
        <v>9138</v>
      </c>
      <c r="C147" s="2658" t="s">
        <v>9067</v>
      </c>
      <c r="D147" s="2659">
        <v>10.978</v>
      </c>
      <c r="E147" s="2659">
        <v>10.837999999999999</v>
      </c>
      <c r="F147" s="2659">
        <v>10.49086075</v>
      </c>
      <c r="G147" s="2659">
        <v>10.427860750000001</v>
      </c>
      <c r="H147" s="2659">
        <v>10.166100999999999</v>
      </c>
      <c r="I147" s="2659">
        <v>9.9658420000000003</v>
      </c>
      <c r="J147" s="2659"/>
      <c r="K147" s="2659"/>
      <c r="L147" s="2659"/>
      <c r="M147" s="2659"/>
      <c r="N147" s="2659"/>
      <c r="O147" s="2659"/>
      <c r="P147" s="2659"/>
      <c r="Q147" s="2659"/>
      <c r="R147" s="2667"/>
    </row>
    <row r="148" spans="1:18">
      <c r="A148" s="2651"/>
      <c r="B148" s="2654" t="s">
        <v>9139</v>
      </c>
      <c r="C148" s="2658" t="s">
        <v>9065</v>
      </c>
      <c r="D148" s="2659">
        <v>10.98</v>
      </c>
      <c r="E148" s="2659">
        <v>10.874000000000001</v>
      </c>
      <c r="F148" s="2659">
        <v>10.6552405</v>
      </c>
      <c r="G148" s="2659">
        <v>10.570240500000001</v>
      </c>
      <c r="H148" s="2659">
        <v>10.438734</v>
      </c>
      <c r="I148" s="2659">
        <v>10.262228</v>
      </c>
      <c r="J148" s="2659"/>
      <c r="K148" s="2659" t="s">
        <v>9066</v>
      </c>
      <c r="L148" s="2659">
        <v>10.458734</v>
      </c>
      <c r="M148" s="2659">
        <v>10.598734</v>
      </c>
      <c r="N148" s="2659">
        <v>10.675240499999999</v>
      </c>
      <c r="O148" s="2659">
        <v>10.787440500000001</v>
      </c>
      <c r="P148" s="2659">
        <v>11</v>
      </c>
      <c r="Q148" s="2659">
        <v>11.184369</v>
      </c>
      <c r="R148" s="2667">
        <v>9</v>
      </c>
    </row>
    <row r="149" spans="1:18">
      <c r="A149" s="2651"/>
      <c r="B149" s="2654" t="s">
        <v>9139</v>
      </c>
      <c r="C149" s="2658" t="s">
        <v>9067</v>
      </c>
      <c r="D149" s="2659">
        <v>10.98</v>
      </c>
      <c r="E149" s="2659">
        <v>10.874000000000001</v>
      </c>
      <c r="F149" s="2659">
        <v>10.6552405</v>
      </c>
      <c r="G149" s="2659">
        <v>10.602240500000001</v>
      </c>
      <c r="H149" s="2659">
        <v>10.438734</v>
      </c>
      <c r="I149" s="2659">
        <v>10.294228</v>
      </c>
      <c r="J149" s="2659"/>
      <c r="K149" s="2659"/>
      <c r="L149" s="2659"/>
      <c r="M149" s="2659"/>
      <c r="N149" s="2659"/>
      <c r="O149" s="2659"/>
      <c r="P149" s="2659"/>
      <c r="Q149" s="2659"/>
      <c r="R149" s="2667"/>
    </row>
    <row r="150" spans="1:18">
      <c r="A150" s="2651">
        <v>12</v>
      </c>
      <c r="B150" s="2658" t="s">
        <v>9140</v>
      </c>
      <c r="C150" s="2658" t="s">
        <v>9065</v>
      </c>
      <c r="D150" s="2659">
        <v>11.965999999999999</v>
      </c>
      <c r="E150" s="2659">
        <v>11.701000000000001</v>
      </c>
      <c r="F150" s="2659">
        <v>10.829000000000001</v>
      </c>
      <c r="G150" s="2659">
        <v>10.679</v>
      </c>
      <c r="H150" s="2659">
        <v>10.071999999999999</v>
      </c>
      <c r="I150" s="2659">
        <v>9.6010000000000009</v>
      </c>
      <c r="J150" s="2659"/>
      <c r="K150" s="2659" t="s">
        <v>9066</v>
      </c>
      <c r="L150" s="2659">
        <v>10.106</v>
      </c>
      <c r="M150" s="2659">
        <v>10.441000000000001</v>
      </c>
      <c r="N150" s="2659">
        <v>10.863</v>
      </c>
      <c r="O150" s="2659">
        <v>11.063000000000001</v>
      </c>
      <c r="P150" s="2659">
        <v>12</v>
      </c>
      <c r="Q150" s="2659">
        <v>12.452999999999999</v>
      </c>
      <c r="R150" s="2667">
        <v>10.199999999999999</v>
      </c>
    </row>
    <row r="151" spans="1:18">
      <c r="A151" s="2651"/>
      <c r="B151" s="2658" t="s">
        <v>9140</v>
      </c>
      <c r="C151" s="2658" t="s">
        <v>9067</v>
      </c>
      <c r="D151" s="2659">
        <v>11.965999999999999</v>
      </c>
      <c r="E151" s="2659">
        <v>11.701000000000001</v>
      </c>
      <c r="F151" s="2659">
        <v>10.829000000000001</v>
      </c>
      <c r="G151" s="2659">
        <v>10.734</v>
      </c>
      <c r="H151" s="2659">
        <v>10.071999999999999</v>
      </c>
      <c r="I151" s="2659">
        <v>9.6560000000000006</v>
      </c>
      <c r="J151" s="2659"/>
      <c r="K151" s="2659"/>
      <c r="L151" s="2659"/>
      <c r="M151" s="2659"/>
      <c r="N151" s="2659"/>
      <c r="O151" s="2659"/>
      <c r="P151" s="2659"/>
      <c r="Q151" s="2659"/>
      <c r="R151" s="2667"/>
    </row>
    <row r="152" spans="1:18">
      <c r="A152" s="2651"/>
      <c r="B152" s="2658" t="s">
        <v>9141</v>
      </c>
      <c r="C152" s="2658" t="s">
        <v>9065</v>
      </c>
      <c r="D152" s="2659">
        <v>11.968</v>
      </c>
      <c r="E152" s="2659">
        <v>11.731999999999999</v>
      </c>
      <c r="F152" s="2659">
        <v>10.994</v>
      </c>
      <c r="G152" s="2659">
        <v>10.853999999999999</v>
      </c>
      <c r="H152" s="2659">
        <v>10.343999999999999</v>
      </c>
      <c r="I152" s="2659">
        <v>9.93</v>
      </c>
      <c r="J152" s="2659"/>
      <c r="K152" s="2659" t="s">
        <v>9066</v>
      </c>
      <c r="L152" s="2659">
        <v>10.375999999999999</v>
      </c>
      <c r="M152" s="2659">
        <v>10.676</v>
      </c>
      <c r="N152" s="2659">
        <v>11.026</v>
      </c>
      <c r="O152" s="2659">
        <v>11.215999999999999</v>
      </c>
      <c r="P152" s="2659">
        <v>12</v>
      </c>
      <c r="Q152" s="2659">
        <v>12.406000000000001</v>
      </c>
      <c r="R152" s="2667">
        <v>10.199999999999999</v>
      </c>
    </row>
    <row r="153" spans="1:18">
      <c r="A153" s="2651"/>
      <c r="B153" s="2658" t="s">
        <v>9142</v>
      </c>
      <c r="C153" s="2658" t="s">
        <v>9065</v>
      </c>
      <c r="D153" s="2659">
        <v>11.972</v>
      </c>
      <c r="E153" s="2659">
        <v>11.76</v>
      </c>
      <c r="F153" s="2659">
        <v>11.16</v>
      </c>
      <c r="G153" s="2659">
        <v>11.028</v>
      </c>
      <c r="H153" s="2659">
        <v>10.619</v>
      </c>
      <c r="I153" s="2659">
        <v>10.257999999999999</v>
      </c>
      <c r="J153" s="2659"/>
      <c r="K153" s="2659" t="s">
        <v>9066</v>
      </c>
      <c r="L153" s="2659">
        <v>10.647</v>
      </c>
      <c r="M153" s="2659">
        <v>10.912000000000001</v>
      </c>
      <c r="N153" s="2659">
        <v>11.188000000000001</v>
      </c>
      <c r="O153" s="2659">
        <v>11.368</v>
      </c>
      <c r="P153" s="2659">
        <v>12</v>
      </c>
      <c r="Q153" s="2659">
        <v>12.36</v>
      </c>
      <c r="R153" s="2667">
        <v>10.199999999999999</v>
      </c>
    </row>
    <row r="154" spans="1:18">
      <c r="A154" s="2651"/>
      <c r="B154" s="2658" t="s">
        <v>9142</v>
      </c>
      <c r="C154" s="2658" t="s">
        <v>9067</v>
      </c>
      <c r="D154" s="2659">
        <v>11.972</v>
      </c>
      <c r="E154" s="2659">
        <v>11.76</v>
      </c>
      <c r="F154" s="2659">
        <v>11.16</v>
      </c>
      <c r="G154" s="2659">
        <v>11.074999999999999</v>
      </c>
      <c r="H154" s="2659">
        <v>10.619</v>
      </c>
      <c r="I154" s="2659">
        <v>10.305</v>
      </c>
      <c r="J154" s="2659"/>
      <c r="K154" s="2659"/>
      <c r="L154" s="2659"/>
      <c r="M154" s="2659"/>
      <c r="N154" s="2659"/>
      <c r="O154" s="2659"/>
      <c r="P154" s="2659"/>
      <c r="Q154" s="2659"/>
      <c r="R154" s="2667"/>
    </row>
    <row r="155" spans="1:18">
      <c r="A155" s="2651"/>
      <c r="B155" s="2658" t="s">
        <v>9143</v>
      </c>
      <c r="C155" s="2658" t="s">
        <v>9065</v>
      </c>
      <c r="D155" s="2659">
        <v>11.974</v>
      </c>
      <c r="E155" s="2659">
        <v>11.794</v>
      </c>
      <c r="F155" s="2659">
        <v>11.324</v>
      </c>
      <c r="G155" s="2659">
        <v>11.206</v>
      </c>
      <c r="H155" s="2659">
        <v>10.891</v>
      </c>
      <c r="I155" s="2659">
        <v>10.59</v>
      </c>
      <c r="J155" s="2659"/>
      <c r="K155" s="2659" t="s">
        <v>9066</v>
      </c>
      <c r="L155" s="2659">
        <v>10.917</v>
      </c>
      <c r="M155" s="2659">
        <v>11.153</v>
      </c>
      <c r="N155" s="2659">
        <v>11.35</v>
      </c>
      <c r="O155" s="2659">
        <v>11.51</v>
      </c>
      <c r="P155" s="2659">
        <v>12</v>
      </c>
      <c r="Q155" s="2659">
        <v>12.304</v>
      </c>
      <c r="R155" s="2667">
        <v>10.199999999999999</v>
      </c>
    </row>
    <row r="156" spans="1:18">
      <c r="A156" s="2651"/>
      <c r="B156" s="2658" t="s">
        <v>9143</v>
      </c>
      <c r="C156" s="2658" t="s">
        <v>9067</v>
      </c>
      <c r="D156" s="2659">
        <v>11.974</v>
      </c>
      <c r="E156" s="2659">
        <v>11.794</v>
      </c>
      <c r="F156" s="2659">
        <v>11.324</v>
      </c>
      <c r="G156" s="2659">
        <v>11.249000000000001</v>
      </c>
      <c r="H156" s="2659">
        <v>10.891</v>
      </c>
      <c r="I156" s="2659">
        <v>10.632999999999999</v>
      </c>
      <c r="J156" s="2659"/>
      <c r="K156" s="2659"/>
      <c r="L156" s="2659"/>
      <c r="M156" s="2659"/>
      <c r="N156" s="2659"/>
      <c r="O156" s="2659"/>
      <c r="P156" s="2659"/>
      <c r="Q156" s="2659"/>
      <c r="R156" s="2667"/>
    </row>
    <row r="157" spans="1:18">
      <c r="A157" s="2651"/>
      <c r="B157" s="2654" t="s">
        <v>9144</v>
      </c>
      <c r="C157" s="2658" t="s">
        <v>9065</v>
      </c>
      <c r="D157" s="2659">
        <v>11.978</v>
      </c>
      <c r="E157" s="2659">
        <v>11.837999999999999</v>
      </c>
      <c r="F157" s="2659">
        <v>11.49086075</v>
      </c>
      <c r="G157" s="2659">
        <v>11.38486075</v>
      </c>
      <c r="H157" s="2659">
        <v>11.166100999999999</v>
      </c>
      <c r="I157" s="2659">
        <v>10.922841999999999</v>
      </c>
      <c r="J157" s="2659"/>
      <c r="K157" s="2659" t="s">
        <v>9066</v>
      </c>
      <c r="L157" s="2659">
        <v>11.188101</v>
      </c>
      <c r="M157" s="2659">
        <v>11.378100999999999</v>
      </c>
      <c r="N157" s="2659">
        <v>11.51286075</v>
      </c>
      <c r="O157" s="2659">
        <v>11.65278075</v>
      </c>
      <c r="P157" s="2659">
        <v>12</v>
      </c>
      <c r="Q157" s="2659">
        <v>12.2481735</v>
      </c>
      <c r="R157" s="2667">
        <v>10.199999999999999</v>
      </c>
    </row>
    <row r="158" spans="1:18">
      <c r="A158" s="2651"/>
      <c r="B158" s="2654" t="s">
        <v>9144</v>
      </c>
      <c r="C158" s="2658" t="s">
        <v>9067</v>
      </c>
      <c r="D158" s="2659">
        <v>11.978</v>
      </c>
      <c r="E158" s="2659">
        <v>11.837999999999999</v>
      </c>
      <c r="F158" s="2659">
        <v>11.49086075</v>
      </c>
      <c r="G158" s="2659">
        <v>11.423860749999999</v>
      </c>
      <c r="H158" s="2659">
        <v>11.166100999999999</v>
      </c>
      <c r="I158" s="2659">
        <v>10.961842000000001</v>
      </c>
      <c r="J158" s="2659"/>
      <c r="K158" s="2659"/>
      <c r="L158" s="2659"/>
      <c r="M158" s="2659"/>
      <c r="N158" s="2659"/>
      <c r="O158" s="2659"/>
      <c r="P158" s="2659"/>
      <c r="Q158" s="2659"/>
      <c r="R158" s="2667"/>
    </row>
    <row r="159" spans="1:18">
      <c r="A159" s="2651"/>
      <c r="B159" s="2654" t="s">
        <v>9145</v>
      </c>
      <c r="C159" s="2658" t="s">
        <v>9065</v>
      </c>
      <c r="D159" s="2659">
        <v>11.98</v>
      </c>
      <c r="E159" s="2659">
        <v>11.874000000000001</v>
      </c>
      <c r="F159" s="2659">
        <v>11.6552405</v>
      </c>
      <c r="G159" s="2659">
        <v>11.5652405</v>
      </c>
      <c r="H159" s="2659">
        <v>11.438734</v>
      </c>
      <c r="I159" s="2659">
        <v>11.257228</v>
      </c>
      <c r="J159" s="2659"/>
      <c r="K159" s="2659" t="s">
        <v>9066</v>
      </c>
      <c r="L159" s="2659">
        <v>11.458734</v>
      </c>
      <c r="M159" s="2659">
        <v>11.598734</v>
      </c>
      <c r="N159" s="2659">
        <v>11.675240499999999</v>
      </c>
      <c r="O159" s="2659">
        <v>11.7952405</v>
      </c>
      <c r="P159" s="2659">
        <v>12</v>
      </c>
      <c r="Q159" s="2659">
        <v>12.192169</v>
      </c>
      <c r="R159" s="2667">
        <v>10.199999999999999</v>
      </c>
    </row>
    <row r="160" spans="1:18">
      <c r="A160" s="2651"/>
      <c r="B160" s="2654" t="s">
        <v>9145</v>
      </c>
      <c r="C160" s="2658" t="s">
        <v>9067</v>
      </c>
      <c r="D160" s="2659">
        <v>11.98</v>
      </c>
      <c r="E160" s="2659">
        <v>11.874000000000001</v>
      </c>
      <c r="F160" s="2659">
        <v>11.6552405</v>
      </c>
      <c r="G160" s="2659">
        <v>11.598240499999999</v>
      </c>
      <c r="H160" s="2659">
        <v>11.438734</v>
      </c>
      <c r="I160" s="2659">
        <v>11.290228000000001</v>
      </c>
      <c r="J160" s="2659"/>
      <c r="K160" s="2659"/>
      <c r="L160" s="2659"/>
      <c r="M160" s="2659"/>
      <c r="N160" s="2659"/>
      <c r="O160" s="2659"/>
      <c r="P160" s="2659"/>
      <c r="Q160" s="2659"/>
      <c r="R160" s="2667"/>
    </row>
    <row r="161" spans="1:18">
      <c r="A161" s="2651">
        <v>14</v>
      </c>
      <c r="B161" s="2658" t="s">
        <v>9146</v>
      </c>
      <c r="C161" s="2658" t="s">
        <v>9065</v>
      </c>
      <c r="D161" s="2659">
        <v>13.962</v>
      </c>
      <c r="E161" s="2659">
        <v>13.682</v>
      </c>
      <c r="F161" s="2659">
        <v>12.663</v>
      </c>
      <c r="G161" s="2659">
        <v>12.503</v>
      </c>
      <c r="H161" s="2659">
        <v>11.797000000000001</v>
      </c>
      <c r="I161" s="2659">
        <v>11.271000000000001</v>
      </c>
      <c r="J161" s="2659"/>
      <c r="K161" s="2659" t="s">
        <v>9066</v>
      </c>
      <c r="L161" s="2659">
        <v>11.835000000000001</v>
      </c>
      <c r="M161" s="2659">
        <v>12.21</v>
      </c>
      <c r="N161" s="2659">
        <v>12.701000000000001</v>
      </c>
      <c r="O161" s="2659">
        <v>12.913</v>
      </c>
      <c r="P161" s="2659">
        <v>14</v>
      </c>
      <c r="Q161" s="2659">
        <v>14.500999999999999</v>
      </c>
      <c r="R161" s="2667">
        <v>12</v>
      </c>
    </row>
    <row r="162" spans="1:18">
      <c r="A162" s="2651"/>
      <c r="B162" s="2658" t="s">
        <v>9146</v>
      </c>
      <c r="C162" s="2658" t="s">
        <v>9067</v>
      </c>
      <c r="D162" s="2659">
        <v>13.962</v>
      </c>
      <c r="E162" s="2659">
        <v>13.682</v>
      </c>
      <c r="F162" s="2659">
        <v>12.663</v>
      </c>
      <c r="G162" s="2659">
        <v>12.563000000000001</v>
      </c>
      <c r="H162" s="2659">
        <v>11.797000000000001</v>
      </c>
      <c r="I162" s="2659">
        <v>11.331</v>
      </c>
      <c r="J162" s="2659"/>
      <c r="K162" s="2659"/>
      <c r="L162" s="2659"/>
      <c r="M162" s="2659"/>
      <c r="N162" s="2659"/>
      <c r="O162" s="2659"/>
      <c r="P162" s="2659"/>
      <c r="Q162" s="2659"/>
      <c r="R162" s="2667"/>
    </row>
    <row r="163" spans="1:18">
      <c r="A163" s="2651"/>
      <c r="B163" s="2658" t="s">
        <v>9147</v>
      </c>
      <c r="C163" s="2658" t="s">
        <v>9065</v>
      </c>
      <c r="D163" s="2659">
        <v>13.968</v>
      </c>
      <c r="E163" s="2659">
        <v>13.731999999999999</v>
      </c>
      <c r="F163" s="2659">
        <v>12.994</v>
      </c>
      <c r="G163" s="2659">
        <v>12.853999999999999</v>
      </c>
      <c r="H163" s="2659">
        <v>12.343999999999999</v>
      </c>
      <c r="I163" s="2659">
        <v>11.93</v>
      </c>
      <c r="J163" s="2659"/>
      <c r="K163" s="2659" t="s">
        <v>9066</v>
      </c>
      <c r="L163" s="2659">
        <v>12.375999999999999</v>
      </c>
      <c r="M163" s="2659">
        <v>12.676</v>
      </c>
      <c r="N163" s="2659">
        <v>13.026</v>
      </c>
      <c r="O163" s="2659">
        <v>13.215999999999999</v>
      </c>
      <c r="P163" s="2659">
        <v>14</v>
      </c>
      <c r="Q163" s="2659">
        <v>14.406000000000001</v>
      </c>
      <c r="R163" s="2667">
        <v>12</v>
      </c>
    </row>
    <row r="164" spans="1:18">
      <c r="A164" s="2651"/>
      <c r="B164" s="2658" t="s">
        <v>9147</v>
      </c>
      <c r="C164" s="2658" t="s">
        <v>9067</v>
      </c>
      <c r="D164" s="2659">
        <v>13.968</v>
      </c>
      <c r="E164" s="2659">
        <v>13.731999999999999</v>
      </c>
      <c r="F164" s="2659">
        <v>12.994</v>
      </c>
      <c r="G164" s="2659">
        <v>12.904</v>
      </c>
      <c r="H164" s="2659">
        <v>12.343999999999999</v>
      </c>
      <c r="I164" s="2659">
        <v>11.98</v>
      </c>
      <c r="J164" s="2659"/>
      <c r="K164" s="2659"/>
      <c r="L164" s="2659"/>
      <c r="M164" s="2659"/>
      <c r="N164" s="2659"/>
      <c r="O164" s="2659"/>
      <c r="P164" s="2659"/>
      <c r="Q164" s="2659"/>
      <c r="R164" s="2667"/>
    </row>
    <row r="165" spans="1:18">
      <c r="A165" s="2651"/>
      <c r="B165" s="2654" t="s">
        <v>9148</v>
      </c>
      <c r="C165" s="2658" t="s">
        <v>9065</v>
      </c>
      <c r="D165" s="2659">
        <v>13.972</v>
      </c>
      <c r="E165" s="2659">
        <v>13.76</v>
      </c>
      <c r="F165" s="2659">
        <v>13.16010125</v>
      </c>
      <c r="G165" s="2659">
        <v>13.028101250000001</v>
      </c>
      <c r="H165" s="2659">
        <v>12.618835000000001</v>
      </c>
      <c r="I165" s="2659">
        <v>12.25807</v>
      </c>
      <c r="J165" s="2659"/>
      <c r="K165" s="2659" t="s">
        <v>9066</v>
      </c>
      <c r="L165" s="2659">
        <v>12.646834999999999</v>
      </c>
      <c r="M165" s="2659">
        <v>12.911835</v>
      </c>
      <c r="N165" s="2659">
        <v>13.188101250000001</v>
      </c>
      <c r="O165" s="2659">
        <v>13.358101250000001</v>
      </c>
      <c r="P165" s="2659">
        <v>14</v>
      </c>
      <c r="Q165" s="2659">
        <v>14.350422500000001</v>
      </c>
      <c r="R165" s="2667">
        <v>12</v>
      </c>
    </row>
    <row r="166" spans="1:18">
      <c r="A166" s="2651"/>
      <c r="B166" s="2654" t="s">
        <v>9148</v>
      </c>
      <c r="C166" s="2658" t="s">
        <v>9067</v>
      </c>
      <c r="D166" s="2659">
        <v>13.972</v>
      </c>
      <c r="E166" s="2659">
        <v>13.76</v>
      </c>
      <c r="F166" s="2659">
        <v>13.16010125</v>
      </c>
      <c r="G166" s="2659">
        <v>13.075101249999999</v>
      </c>
      <c r="H166" s="2659">
        <v>12.618835000000001</v>
      </c>
      <c r="I166" s="2659">
        <v>12.305070000000001</v>
      </c>
      <c r="J166" s="2659"/>
      <c r="K166" s="2659"/>
      <c r="L166" s="2659"/>
      <c r="M166" s="2659"/>
      <c r="N166" s="2659"/>
      <c r="O166" s="2659"/>
      <c r="P166" s="2659"/>
      <c r="Q166" s="2659"/>
      <c r="R166" s="2667"/>
    </row>
    <row r="167" spans="1:18">
      <c r="A167" s="2651"/>
      <c r="B167" s="2654" t="s">
        <v>9149</v>
      </c>
      <c r="C167" s="2658" t="s">
        <v>9065</v>
      </c>
      <c r="D167" s="2659">
        <v>13.974</v>
      </c>
      <c r="E167" s="2659">
        <v>13.794</v>
      </c>
      <c r="F167" s="2659">
        <v>13.324481</v>
      </c>
      <c r="G167" s="2659">
        <v>13.206481</v>
      </c>
      <c r="H167" s="2659">
        <v>12.891468</v>
      </c>
      <c r="I167" s="2659">
        <v>12.590456</v>
      </c>
      <c r="J167" s="2659"/>
      <c r="K167" s="2659" t="s">
        <v>9066</v>
      </c>
      <c r="L167" s="2659">
        <v>12.917468</v>
      </c>
      <c r="M167" s="2659">
        <v>13.153468</v>
      </c>
      <c r="N167" s="2659">
        <v>13.350481</v>
      </c>
      <c r="O167" s="2659">
        <v>13.510481</v>
      </c>
      <c r="P167" s="2659">
        <v>14</v>
      </c>
      <c r="Q167" s="2659">
        <v>14.304338</v>
      </c>
      <c r="R167" s="2667">
        <v>12</v>
      </c>
    </row>
    <row r="168" spans="1:18">
      <c r="A168" s="2651"/>
      <c r="B168" s="2654" t="s">
        <v>9149</v>
      </c>
      <c r="C168" s="2658" t="s">
        <v>9067</v>
      </c>
      <c r="D168" s="2659">
        <v>13.974</v>
      </c>
      <c r="E168" s="2659">
        <v>13.794</v>
      </c>
      <c r="F168" s="2659">
        <v>13.324481</v>
      </c>
      <c r="G168" s="2659">
        <v>13.250481000000001</v>
      </c>
      <c r="H168" s="2659">
        <v>12.891468</v>
      </c>
      <c r="I168" s="2659">
        <v>12.634456</v>
      </c>
      <c r="J168" s="2659"/>
      <c r="K168" s="2659"/>
      <c r="L168" s="2659"/>
      <c r="M168" s="2659"/>
      <c r="N168" s="2659"/>
      <c r="O168" s="2659"/>
      <c r="P168" s="2659"/>
      <c r="Q168" s="2659"/>
      <c r="R168" s="2667"/>
    </row>
    <row r="169" spans="1:18">
      <c r="A169" s="2651"/>
      <c r="B169" s="2654" t="s">
        <v>9150</v>
      </c>
      <c r="C169" s="2658" t="s">
        <v>9065</v>
      </c>
      <c r="D169" s="2659">
        <v>13.978</v>
      </c>
      <c r="E169" s="2659">
        <v>13.837999999999999</v>
      </c>
      <c r="F169" s="2659">
        <v>13.49086075</v>
      </c>
      <c r="G169" s="2659">
        <v>13.38486075</v>
      </c>
      <c r="H169" s="2659">
        <v>13.166100999999999</v>
      </c>
      <c r="I169" s="2659">
        <v>12.922841999999999</v>
      </c>
      <c r="J169" s="2659"/>
      <c r="K169" s="2659" t="s">
        <v>9066</v>
      </c>
      <c r="L169" s="2659">
        <v>13.188101</v>
      </c>
      <c r="M169" s="2659">
        <v>13.378100999999999</v>
      </c>
      <c r="N169" s="2659">
        <v>13.51286075</v>
      </c>
      <c r="O169" s="2659">
        <v>13.65278075</v>
      </c>
      <c r="P169" s="2659">
        <v>14</v>
      </c>
      <c r="Q169" s="2659">
        <v>14.2481735</v>
      </c>
      <c r="R169" s="2667">
        <v>12</v>
      </c>
    </row>
    <row r="170" spans="1:18">
      <c r="A170" s="2651"/>
      <c r="B170" s="2654" t="s">
        <v>9150</v>
      </c>
      <c r="C170" s="2658" t="s">
        <v>9067</v>
      </c>
      <c r="D170" s="2659">
        <v>13.978</v>
      </c>
      <c r="E170" s="2659">
        <v>13.837999999999999</v>
      </c>
      <c r="F170" s="2659">
        <v>13.49086075</v>
      </c>
      <c r="G170" s="2659">
        <v>13.423860749999999</v>
      </c>
      <c r="H170" s="2659">
        <v>13.166100999999999</v>
      </c>
      <c r="I170" s="2659">
        <v>12.961842000000001</v>
      </c>
      <c r="J170" s="2659"/>
      <c r="K170" s="2659"/>
      <c r="L170" s="2659"/>
      <c r="M170" s="2659"/>
      <c r="N170" s="2659"/>
      <c r="O170" s="2659"/>
      <c r="P170" s="2659"/>
      <c r="Q170" s="2659"/>
      <c r="R170" s="2667"/>
    </row>
    <row r="171" spans="1:18">
      <c r="A171" s="2651"/>
      <c r="B171" s="2654" t="s">
        <v>9151</v>
      </c>
      <c r="C171" s="2658" t="s">
        <v>9065</v>
      </c>
      <c r="D171" s="2659">
        <v>13.98</v>
      </c>
      <c r="E171" s="2659">
        <v>13.874000000000001</v>
      </c>
      <c r="F171" s="2659">
        <v>13.6552405</v>
      </c>
      <c r="G171" s="2659">
        <v>13.5652405</v>
      </c>
      <c r="H171" s="2659">
        <v>13.438734</v>
      </c>
      <c r="I171" s="2659">
        <v>13.257228</v>
      </c>
      <c r="J171" s="2659"/>
      <c r="K171" s="2659" t="s">
        <v>9066</v>
      </c>
      <c r="L171" s="2659">
        <v>13.458734</v>
      </c>
      <c r="M171" s="2659">
        <v>13.598734</v>
      </c>
      <c r="N171" s="2659">
        <v>13.675240499999999</v>
      </c>
      <c r="O171" s="2659">
        <v>13.7952405</v>
      </c>
      <c r="P171" s="2659">
        <v>14</v>
      </c>
      <c r="Q171" s="2659">
        <v>14.192169</v>
      </c>
      <c r="R171" s="2667">
        <v>12</v>
      </c>
    </row>
    <row r="172" spans="1:18">
      <c r="A172" s="2651"/>
      <c r="B172" s="2654" t="s">
        <v>9151</v>
      </c>
      <c r="C172" s="2658" t="s">
        <v>9067</v>
      </c>
      <c r="D172" s="2659">
        <v>13.98</v>
      </c>
      <c r="E172" s="2659">
        <v>13.874000000000001</v>
      </c>
      <c r="F172" s="2659">
        <v>13.6552405</v>
      </c>
      <c r="G172" s="2659">
        <v>13.598240499999999</v>
      </c>
      <c r="H172" s="2659">
        <v>13.438734</v>
      </c>
      <c r="I172" s="2659">
        <v>13.290228000000001</v>
      </c>
      <c r="J172" s="2659"/>
      <c r="K172" s="2659"/>
      <c r="L172" s="2659"/>
      <c r="M172" s="2659"/>
      <c r="N172" s="2659"/>
      <c r="O172" s="2659"/>
      <c r="P172" s="2659"/>
      <c r="Q172" s="2659"/>
      <c r="R172" s="2667"/>
    </row>
    <row r="173" spans="1:18">
      <c r="A173" s="2651">
        <v>15</v>
      </c>
      <c r="B173" s="2654" t="s">
        <v>9152</v>
      </c>
      <c r="C173" s="2658" t="s">
        <v>9065</v>
      </c>
      <c r="D173" s="2659">
        <v>14.968</v>
      </c>
      <c r="E173" s="2659">
        <v>14.731999999999999</v>
      </c>
      <c r="F173" s="2659">
        <v>13.993721499999999</v>
      </c>
      <c r="G173" s="2659">
        <v>13.853721500000001</v>
      </c>
      <c r="H173" s="2659">
        <v>13.344201999999999</v>
      </c>
      <c r="I173" s="2659">
        <v>12.929684</v>
      </c>
      <c r="J173" s="2659"/>
      <c r="K173" s="2659" t="s">
        <v>9066</v>
      </c>
      <c r="L173" s="2659">
        <v>13.376201999999999</v>
      </c>
      <c r="M173" s="2659">
        <v>13.676202</v>
      </c>
      <c r="N173" s="2659">
        <v>14.0257215</v>
      </c>
      <c r="O173" s="2659">
        <v>14.215721500000001</v>
      </c>
      <c r="P173" s="2659">
        <v>15</v>
      </c>
      <c r="Q173" s="2659">
        <v>15.406507</v>
      </c>
      <c r="R173" s="2667">
        <v>13</v>
      </c>
    </row>
    <row r="174" spans="1:18">
      <c r="A174" s="2651"/>
      <c r="B174" s="2654" t="s">
        <v>9152</v>
      </c>
      <c r="C174" s="2658" t="s">
        <v>9067</v>
      </c>
      <c r="D174" s="2659">
        <v>14.968</v>
      </c>
      <c r="E174" s="2659">
        <v>14.731999999999999</v>
      </c>
      <c r="F174" s="2659">
        <v>13.993721499999999</v>
      </c>
      <c r="G174" s="2659">
        <v>13.9037215</v>
      </c>
      <c r="H174" s="2659">
        <v>13.344201999999999</v>
      </c>
      <c r="I174" s="2659">
        <v>12.979684000000001</v>
      </c>
      <c r="J174" s="2659"/>
      <c r="K174" s="2659"/>
      <c r="L174" s="2659"/>
      <c r="M174" s="2659"/>
      <c r="N174" s="2659"/>
      <c r="O174" s="2659"/>
      <c r="P174" s="2659"/>
      <c r="Q174" s="2659"/>
      <c r="R174" s="2667"/>
    </row>
    <row r="175" spans="1:18">
      <c r="A175" s="2651"/>
      <c r="B175" s="2658" t="s">
        <v>9153</v>
      </c>
      <c r="C175" s="2658" t="s">
        <v>9065</v>
      </c>
      <c r="D175" s="2659">
        <v>14.974</v>
      </c>
      <c r="E175" s="2659">
        <v>14.794</v>
      </c>
      <c r="F175" s="2659">
        <v>14.324</v>
      </c>
      <c r="G175" s="2659">
        <v>14.206</v>
      </c>
      <c r="H175" s="2659">
        <v>13.891</v>
      </c>
      <c r="I175" s="2659">
        <v>13.59</v>
      </c>
      <c r="J175" s="2659"/>
      <c r="K175" s="2659" t="s">
        <v>9066</v>
      </c>
      <c r="L175" s="2659">
        <v>13.917</v>
      </c>
      <c r="M175" s="2659">
        <v>14.153</v>
      </c>
      <c r="N175" s="2659">
        <v>14.35</v>
      </c>
      <c r="O175" s="2659">
        <v>14.51</v>
      </c>
      <c r="P175" s="2659">
        <v>15</v>
      </c>
      <c r="Q175" s="2659">
        <v>15.304</v>
      </c>
      <c r="R175" s="2667">
        <v>13</v>
      </c>
    </row>
    <row r="176" spans="1:18">
      <c r="A176" s="2651"/>
      <c r="B176" s="2658" t="s">
        <v>9153</v>
      </c>
      <c r="C176" s="2658" t="s">
        <v>9067</v>
      </c>
      <c r="D176" s="2659">
        <v>14.974</v>
      </c>
      <c r="E176" s="2659">
        <v>14.794</v>
      </c>
      <c r="F176" s="2659">
        <v>14.324</v>
      </c>
      <c r="G176" s="2659">
        <v>14.249000000000001</v>
      </c>
      <c r="H176" s="2659">
        <v>13.891</v>
      </c>
      <c r="I176" s="2659">
        <v>13.632999999999999</v>
      </c>
      <c r="J176" s="2659"/>
      <c r="K176" s="2659"/>
      <c r="L176" s="2659"/>
      <c r="M176" s="2659"/>
      <c r="N176" s="2659"/>
      <c r="O176" s="2659"/>
      <c r="P176" s="2659"/>
      <c r="Q176" s="2659"/>
      <c r="R176" s="2667"/>
    </row>
    <row r="177" spans="1:18">
      <c r="A177" s="2651">
        <v>16</v>
      </c>
      <c r="B177" s="2658" t="s">
        <v>9154</v>
      </c>
      <c r="C177" s="2658" t="s">
        <v>9065</v>
      </c>
      <c r="D177" s="2659">
        <v>15.962</v>
      </c>
      <c r="E177" s="2659">
        <v>15.682</v>
      </c>
      <c r="F177" s="2659">
        <v>14.663</v>
      </c>
      <c r="G177" s="2659">
        <v>14.503</v>
      </c>
      <c r="H177" s="2659">
        <v>13.797000000000001</v>
      </c>
      <c r="I177" s="2659">
        <v>13.271000000000001</v>
      </c>
      <c r="J177" s="2659"/>
      <c r="K177" s="2659" t="s">
        <v>9066</v>
      </c>
      <c r="L177" s="2659">
        <v>13.835000000000001</v>
      </c>
      <c r="M177" s="2659">
        <v>14.21</v>
      </c>
      <c r="N177" s="2659">
        <v>14.701000000000001</v>
      </c>
      <c r="O177" s="2659">
        <v>14.913</v>
      </c>
      <c r="P177" s="2659">
        <v>16</v>
      </c>
      <c r="Q177" s="2659">
        <v>16.501000000000001</v>
      </c>
      <c r="R177" s="2667">
        <v>12</v>
      </c>
    </row>
    <row r="178" spans="1:18">
      <c r="A178" s="2651"/>
      <c r="B178" s="2658" t="s">
        <v>9154</v>
      </c>
      <c r="C178" s="2658" t="s">
        <v>9067</v>
      </c>
      <c r="D178" s="2659">
        <v>15.962</v>
      </c>
      <c r="E178" s="2659">
        <v>15.682</v>
      </c>
      <c r="F178" s="2659">
        <v>14.663</v>
      </c>
      <c r="G178" s="2659">
        <v>14.563000000000001</v>
      </c>
      <c r="H178" s="2659">
        <v>13.797000000000001</v>
      </c>
      <c r="I178" s="2659">
        <v>13.331</v>
      </c>
      <c r="J178" s="2659"/>
      <c r="K178" s="2659"/>
      <c r="L178" s="2659"/>
      <c r="M178" s="2659"/>
      <c r="N178" s="2659"/>
      <c r="O178" s="2659"/>
      <c r="P178" s="2659"/>
      <c r="Q178" s="2659"/>
      <c r="R178" s="2667"/>
    </row>
    <row r="179" spans="1:18">
      <c r="A179" s="2651"/>
      <c r="B179" s="2658" t="s">
        <v>9155</v>
      </c>
      <c r="C179" s="2658" t="s">
        <v>9065</v>
      </c>
      <c r="D179" s="2659">
        <v>15.968</v>
      </c>
      <c r="E179" s="2659">
        <v>15.756</v>
      </c>
      <c r="F179" s="2659">
        <v>14.928769600000001</v>
      </c>
      <c r="G179" s="2659">
        <v>14.8237696</v>
      </c>
      <c r="H179" s="2659">
        <v>14.235948799999999</v>
      </c>
      <c r="I179" s="2659">
        <v>13.8381296</v>
      </c>
      <c r="J179" s="2659"/>
      <c r="K179" s="2659" t="s">
        <v>9066</v>
      </c>
      <c r="L179" s="2659">
        <v>14.267948799999999</v>
      </c>
      <c r="M179" s="2659">
        <v>14.5679488</v>
      </c>
      <c r="N179" s="2659">
        <v>14.960769600000001</v>
      </c>
      <c r="O179" s="2659">
        <v>15.1007696</v>
      </c>
      <c r="P179" s="2659">
        <v>16</v>
      </c>
      <c r="Q179" s="2659">
        <v>16.3709408</v>
      </c>
      <c r="R179" s="2667">
        <v>12</v>
      </c>
    </row>
    <row r="180" spans="1:18">
      <c r="A180" s="2651"/>
      <c r="B180" s="2658" t="s">
        <v>9155</v>
      </c>
      <c r="C180" s="2658" t="s">
        <v>9067</v>
      </c>
      <c r="D180" s="2659">
        <v>15.968</v>
      </c>
      <c r="E180" s="2659">
        <v>15.756</v>
      </c>
      <c r="F180" s="2659">
        <v>14.928769600000001</v>
      </c>
      <c r="G180" s="2659">
        <v>14.8627696</v>
      </c>
      <c r="H180" s="2659">
        <v>14.235948799999999</v>
      </c>
      <c r="I180" s="2659">
        <v>13.8771296</v>
      </c>
      <c r="J180" s="2659"/>
      <c r="K180" s="2659"/>
      <c r="L180" s="2659"/>
      <c r="M180" s="2659"/>
      <c r="N180" s="2659"/>
      <c r="O180" s="2659"/>
      <c r="P180" s="2659"/>
      <c r="Q180" s="2659"/>
      <c r="R180" s="2667"/>
    </row>
    <row r="181" spans="1:18">
      <c r="A181" s="2651"/>
      <c r="B181" s="2658" t="s">
        <v>9156</v>
      </c>
      <c r="C181" s="2658" t="s">
        <v>9065</v>
      </c>
      <c r="D181" s="2659">
        <v>15.968</v>
      </c>
      <c r="E181" s="2659">
        <v>15.731999999999999</v>
      </c>
      <c r="F181" s="2659">
        <v>14.994</v>
      </c>
      <c r="G181" s="2659">
        <v>14.853999999999999</v>
      </c>
      <c r="H181" s="2659">
        <v>14.343999999999999</v>
      </c>
      <c r="I181" s="2659">
        <v>13.93</v>
      </c>
      <c r="J181" s="2659"/>
      <c r="K181" s="2659" t="s">
        <v>9066</v>
      </c>
      <c r="L181" s="2659">
        <v>14.375999999999999</v>
      </c>
      <c r="M181" s="2659">
        <v>14.676</v>
      </c>
      <c r="N181" s="2659">
        <v>15.026</v>
      </c>
      <c r="O181" s="2659">
        <v>15.215999999999999</v>
      </c>
      <c r="P181" s="2659">
        <v>16</v>
      </c>
      <c r="Q181" s="2659">
        <v>16.405999999999999</v>
      </c>
      <c r="R181" s="2667">
        <v>12</v>
      </c>
    </row>
    <row r="182" spans="1:18">
      <c r="A182" s="2651"/>
      <c r="B182" s="2658" t="s">
        <v>9156</v>
      </c>
      <c r="C182" s="2658" t="s">
        <v>9067</v>
      </c>
      <c r="D182" s="2659">
        <v>15.968</v>
      </c>
      <c r="E182" s="2659">
        <v>15.731999999999999</v>
      </c>
      <c r="F182" s="2659">
        <v>14.994</v>
      </c>
      <c r="G182" s="2659">
        <v>14.904</v>
      </c>
      <c r="H182" s="2659">
        <v>14.343999999999999</v>
      </c>
      <c r="I182" s="2659">
        <v>13.98</v>
      </c>
      <c r="J182" s="2659"/>
      <c r="K182" s="2659"/>
      <c r="L182" s="2659"/>
      <c r="M182" s="2659"/>
      <c r="N182" s="2659"/>
      <c r="O182" s="2659"/>
      <c r="P182" s="2659"/>
      <c r="Q182" s="2659"/>
      <c r="R182" s="2667"/>
    </row>
    <row r="183" spans="1:18">
      <c r="A183" s="2651"/>
      <c r="B183" s="2654" t="s">
        <v>9157</v>
      </c>
      <c r="C183" s="2658" t="s">
        <v>9065</v>
      </c>
      <c r="D183" s="2659">
        <v>15.972</v>
      </c>
      <c r="E183" s="2659">
        <v>15.76</v>
      </c>
      <c r="F183" s="2659">
        <v>15.16010125</v>
      </c>
      <c r="G183" s="2659">
        <v>15.028101250000001</v>
      </c>
      <c r="H183" s="2659">
        <v>14.618835000000001</v>
      </c>
      <c r="I183" s="2659">
        <v>14.25807</v>
      </c>
      <c r="J183" s="2659"/>
      <c r="K183" s="2659" t="s">
        <v>9066</v>
      </c>
      <c r="L183" s="2659">
        <v>14.646834999999999</v>
      </c>
      <c r="M183" s="2659">
        <v>14.911835</v>
      </c>
      <c r="N183" s="2659">
        <v>15.188101250000001</v>
      </c>
      <c r="O183" s="2659">
        <v>15.358101250000001</v>
      </c>
      <c r="P183" s="2659">
        <v>16</v>
      </c>
      <c r="Q183" s="2659">
        <v>16.350422500000001</v>
      </c>
      <c r="R183" s="2667">
        <v>12</v>
      </c>
    </row>
    <row r="184" spans="1:18">
      <c r="A184" s="2651"/>
      <c r="B184" s="2654" t="s">
        <v>9157</v>
      </c>
      <c r="C184" s="2658" t="s">
        <v>9067</v>
      </c>
      <c r="D184" s="2659">
        <v>15.972</v>
      </c>
      <c r="E184" s="2659">
        <v>15.76</v>
      </c>
      <c r="F184" s="2659">
        <v>15.16010125</v>
      </c>
      <c r="G184" s="2659">
        <v>15.075101249999999</v>
      </c>
      <c r="H184" s="2659">
        <v>14.618835000000001</v>
      </c>
      <c r="I184" s="2659">
        <v>14.305070000000001</v>
      </c>
      <c r="J184" s="2659"/>
      <c r="K184" s="2659"/>
      <c r="L184" s="2659"/>
      <c r="M184" s="2659"/>
      <c r="N184" s="2659"/>
      <c r="O184" s="2659"/>
      <c r="P184" s="2659"/>
      <c r="Q184" s="2659"/>
      <c r="R184" s="2667"/>
    </row>
    <row r="185" spans="1:18">
      <c r="A185" s="2651"/>
      <c r="B185" s="2654" t="s">
        <v>9158</v>
      </c>
      <c r="C185" s="2658" t="s">
        <v>9065</v>
      </c>
      <c r="D185" s="2659">
        <v>15.974</v>
      </c>
      <c r="E185" s="2659">
        <v>15.794</v>
      </c>
      <c r="F185" s="2659">
        <v>15.324481</v>
      </c>
      <c r="G185" s="2659">
        <v>15.206481</v>
      </c>
      <c r="H185" s="2659">
        <v>14.891468</v>
      </c>
      <c r="I185" s="2659">
        <v>14.590456</v>
      </c>
      <c r="J185" s="2659"/>
      <c r="K185" s="2659" t="s">
        <v>9066</v>
      </c>
      <c r="L185" s="2659">
        <v>14.917468</v>
      </c>
      <c r="M185" s="2659">
        <v>15.153468</v>
      </c>
      <c r="N185" s="2659">
        <v>15.350481</v>
      </c>
      <c r="O185" s="2659">
        <v>15.510481</v>
      </c>
      <c r="P185" s="2659">
        <v>16</v>
      </c>
      <c r="Q185" s="2659">
        <v>16.304338000000001</v>
      </c>
      <c r="R185" s="2667">
        <v>13</v>
      </c>
    </row>
    <row r="186" spans="1:18">
      <c r="A186" s="2651"/>
      <c r="B186" s="2654" t="s">
        <v>9158</v>
      </c>
      <c r="C186" s="2658" t="s">
        <v>9067</v>
      </c>
      <c r="D186" s="2659">
        <v>15.974</v>
      </c>
      <c r="E186" s="2659">
        <v>15.794</v>
      </c>
      <c r="F186" s="2659">
        <v>15.324481</v>
      </c>
      <c r="G186" s="2659">
        <v>15.249480999999999</v>
      </c>
      <c r="H186" s="2659">
        <v>14.891468</v>
      </c>
      <c r="I186" s="2659">
        <v>14.633456000000001</v>
      </c>
      <c r="J186" s="2659"/>
      <c r="K186" s="2659"/>
      <c r="L186" s="2659"/>
      <c r="M186" s="2659"/>
      <c r="N186" s="2659"/>
      <c r="O186" s="2659"/>
      <c r="P186" s="2659"/>
      <c r="Q186" s="2659"/>
      <c r="R186" s="2667"/>
    </row>
    <row r="187" spans="1:18">
      <c r="A187" s="2651"/>
      <c r="B187" s="2654" t="s">
        <v>9159</v>
      </c>
      <c r="C187" s="2658" t="s">
        <v>9065</v>
      </c>
      <c r="D187" s="2659">
        <v>15.978</v>
      </c>
      <c r="E187" s="2659">
        <v>15.837999999999999</v>
      </c>
      <c r="F187" s="2659">
        <v>15.49086075</v>
      </c>
      <c r="G187" s="2659">
        <v>15.38486075</v>
      </c>
      <c r="H187" s="2659">
        <v>15.166100999999999</v>
      </c>
      <c r="I187" s="2659">
        <v>14.922841999999999</v>
      </c>
      <c r="J187" s="2659"/>
      <c r="K187" s="2659" t="s">
        <v>9066</v>
      </c>
      <c r="L187" s="2659">
        <v>15.188101</v>
      </c>
      <c r="M187" s="2659">
        <v>15.378100999999999</v>
      </c>
      <c r="N187" s="2659">
        <v>15.51286075</v>
      </c>
      <c r="O187" s="2659">
        <v>15.65278075</v>
      </c>
      <c r="P187" s="2659">
        <v>16</v>
      </c>
      <c r="Q187" s="2659">
        <v>16.2481735</v>
      </c>
      <c r="R187" s="2667">
        <v>14</v>
      </c>
    </row>
    <row r="188" spans="1:18">
      <c r="A188" s="2651"/>
      <c r="B188" s="2654" t="s">
        <v>9159</v>
      </c>
      <c r="C188" s="2658" t="s">
        <v>9067</v>
      </c>
      <c r="D188" s="2659">
        <v>15.978</v>
      </c>
      <c r="E188" s="2659">
        <v>15.837999999999999</v>
      </c>
      <c r="F188" s="2659">
        <v>15.49086075</v>
      </c>
      <c r="G188" s="2659">
        <v>15.423860749999999</v>
      </c>
      <c r="H188" s="2659">
        <v>15.166100999999999</v>
      </c>
      <c r="I188" s="2659">
        <v>14.961842000000001</v>
      </c>
      <c r="J188" s="2659"/>
      <c r="K188" s="2659"/>
      <c r="L188" s="2659"/>
      <c r="M188" s="2659"/>
      <c r="N188" s="2659"/>
      <c r="O188" s="2659"/>
      <c r="P188" s="2659"/>
      <c r="Q188" s="2659"/>
      <c r="R188" s="2667"/>
    </row>
    <row r="189" spans="1:18">
      <c r="A189" s="2651"/>
      <c r="B189" s="2654" t="s">
        <v>9160</v>
      </c>
      <c r="C189" s="2658" t="s">
        <v>9065</v>
      </c>
      <c r="D189" s="2659">
        <v>15.98</v>
      </c>
      <c r="E189" s="2659">
        <v>15.874000000000001</v>
      </c>
      <c r="F189" s="2659">
        <v>15.6552405</v>
      </c>
      <c r="G189" s="2659">
        <v>15.5652405</v>
      </c>
      <c r="H189" s="2659">
        <v>15.438734</v>
      </c>
      <c r="I189" s="2659">
        <v>15.257228</v>
      </c>
      <c r="J189" s="2659"/>
      <c r="K189" s="2659" t="s">
        <v>9066</v>
      </c>
      <c r="L189" s="2659">
        <v>15.458734</v>
      </c>
      <c r="M189" s="2659">
        <v>15.598734</v>
      </c>
      <c r="N189" s="2659">
        <v>15.675240499999999</v>
      </c>
      <c r="O189" s="2659">
        <v>15.7952405</v>
      </c>
      <c r="P189" s="2659">
        <v>16</v>
      </c>
      <c r="Q189" s="2659">
        <v>16.192169</v>
      </c>
      <c r="R189" s="2667">
        <v>14</v>
      </c>
    </row>
    <row r="190" spans="1:18">
      <c r="A190" s="2651"/>
      <c r="B190" s="2654" t="s">
        <v>9160</v>
      </c>
      <c r="C190" s="2658" t="s">
        <v>9067</v>
      </c>
      <c r="D190" s="2659">
        <v>15.98</v>
      </c>
      <c r="E190" s="2659">
        <v>15.874000000000001</v>
      </c>
      <c r="F190" s="2659">
        <v>15.6552405</v>
      </c>
      <c r="G190" s="2659">
        <v>15.599240500000001</v>
      </c>
      <c r="H190" s="2659">
        <v>15.438734</v>
      </c>
      <c r="I190" s="2659">
        <v>15.291228</v>
      </c>
      <c r="J190" s="2659"/>
      <c r="K190" s="2659"/>
      <c r="L190" s="2659"/>
      <c r="M190" s="2659"/>
      <c r="N190" s="2659"/>
      <c r="O190" s="2659"/>
      <c r="P190" s="2659"/>
      <c r="Q190" s="2659"/>
      <c r="R190" s="2667"/>
    </row>
    <row r="191" spans="1:18">
      <c r="A191" s="2651">
        <v>17</v>
      </c>
      <c r="B191" s="2654" t="s">
        <v>9161</v>
      </c>
      <c r="C191" s="2658" t="s">
        <v>9065</v>
      </c>
      <c r="D191" s="2659">
        <v>16.968</v>
      </c>
      <c r="E191" s="2659">
        <v>16.731999999999999</v>
      </c>
      <c r="F191" s="2659">
        <v>15.993721499999999</v>
      </c>
      <c r="G191" s="2659">
        <v>15.853721500000001</v>
      </c>
      <c r="H191" s="2659">
        <v>15.344201999999999</v>
      </c>
      <c r="I191" s="2659">
        <v>14.929684</v>
      </c>
      <c r="J191" s="2659"/>
      <c r="K191" s="2659" t="s">
        <v>9066</v>
      </c>
      <c r="L191" s="2659">
        <v>15.376201999999999</v>
      </c>
      <c r="M191" s="2659">
        <v>15.676202</v>
      </c>
      <c r="N191" s="2659">
        <v>16.0257215</v>
      </c>
      <c r="O191" s="2659">
        <v>16.215721500000001</v>
      </c>
      <c r="P191" s="2659">
        <v>17</v>
      </c>
      <c r="Q191" s="2659">
        <v>17.406507000000001</v>
      </c>
      <c r="R191" s="2667">
        <v>15</v>
      </c>
    </row>
    <row r="192" spans="1:18">
      <c r="A192" s="2651"/>
      <c r="B192" s="2654" t="s">
        <v>9161</v>
      </c>
      <c r="C192" s="2658" t="s">
        <v>9067</v>
      </c>
      <c r="D192" s="2659">
        <v>16.968</v>
      </c>
      <c r="E192" s="2659">
        <v>16.731999999999999</v>
      </c>
      <c r="F192" s="2659">
        <v>15.993721499999999</v>
      </c>
      <c r="G192" s="2659">
        <v>15.9037215</v>
      </c>
      <c r="H192" s="2659">
        <v>15.344201999999999</v>
      </c>
      <c r="I192" s="2659">
        <v>14.979684000000001</v>
      </c>
      <c r="J192" s="2659"/>
      <c r="K192" s="2659"/>
      <c r="L192" s="2659"/>
      <c r="M192" s="2659"/>
      <c r="N192" s="2659"/>
      <c r="O192" s="2659"/>
      <c r="P192" s="2659"/>
      <c r="Q192" s="2659"/>
      <c r="R192" s="2667"/>
    </row>
    <row r="193" spans="1:18">
      <c r="A193" s="2651"/>
      <c r="B193" s="2658" t="s">
        <v>9162</v>
      </c>
      <c r="C193" s="2658" t="s">
        <v>9065</v>
      </c>
      <c r="D193" s="2659">
        <v>16.974</v>
      </c>
      <c r="E193" s="2659">
        <v>16.794</v>
      </c>
      <c r="F193" s="2659">
        <v>16.324000000000002</v>
      </c>
      <c r="G193" s="2659">
        <v>16.206</v>
      </c>
      <c r="H193" s="2659">
        <v>15.891</v>
      </c>
      <c r="I193" s="2659">
        <v>15.59</v>
      </c>
      <c r="J193" s="2659"/>
      <c r="K193" s="2659" t="s">
        <v>9066</v>
      </c>
      <c r="L193" s="2659">
        <v>15.917</v>
      </c>
      <c r="M193" s="2659">
        <v>16.152999999999999</v>
      </c>
      <c r="N193" s="2659">
        <v>16.350000000000001</v>
      </c>
      <c r="O193" s="2659">
        <v>16.510000000000002</v>
      </c>
      <c r="P193" s="2659">
        <v>17</v>
      </c>
      <c r="Q193" s="2659">
        <v>17.303999999999998</v>
      </c>
      <c r="R193" s="2667">
        <v>15</v>
      </c>
    </row>
    <row r="194" spans="1:18">
      <c r="A194" s="2651"/>
      <c r="B194" s="2658" t="s">
        <v>9162</v>
      </c>
      <c r="C194" s="2658" t="s">
        <v>9067</v>
      </c>
      <c r="D194" s="2659">
        <v>16.974</v>
      </c>
      <c r="E194" s="2659">
        <v>16.794</v>
      </c>
      <c r="F194" s="2659">
        <v>16.324000000000002</v>
      </c>
      <c r="G194" s="2659">
        <v>16.248999999999999</v>
      </c>
      <c r="H194" s="2659">
        <v>15.891</v>
      </c>
      <c r="I194" s="2659">
        <v>15.632999999999999</v>
      </c>
      <c r="J194" s="2659"/>
      <c r="K194" s="2659"/>
      <c r="L194" s="2659"/>
      <c r="M194" s="2659"/>
      <c r="N194" s="2659"/>
      <c r="O194" s="2659"/>
      <c r="P194" s="2659"/>
      <c r="Q194" s="2659"/>
      <c r="R194" s="2667"/>
    </row>
    <row r="195" spans="1:18">
      <c r="A195" s="2651">
        <v>18</v>
      </c>
      <c r="B195" s="2654" t="s">
        <v>9163</v>
      </c>
      <c r="C195" s="2658" t="s">
        <v>9065</v>
      </c>
      <c r="D195" s="2659">
        <v>17.957999999999998</v>
      </c>
      <c r="E195" s="2659">
        <v>17.623000000000001</v>
      </c>
      <c r="F195" s="2659">
        <v>16.3342025</v>
      </c>
      <c r="G195" s="2659">
        <v>16.164202499999998</v>
      </c>
      <c r="H195" s="2659">
        <v>15.251670000000001</v>
      </c>
      <c r="I195" s="2659">
        <v>14.624140000000001</v>
      </c>
      <c r="J195" s="2659"/>
      <c r="K195" s="2659" t="s">
        <v>9066</v>
      </c>
      <c r="L195" s="2659">
        <v>15.293670000000001</v>
      </c>
      <c r="M195" s="2659">
        <v>15.74367</v>
      </c>
      <c r="N195" s="2659">
        <v>16.376202500000002</v>
      </c>
      <c r="O195" s="2659">
        <v>16.600602500000001</v>
      </c>
      <c r="P195" s="2659">
        <v>18</v>
      </c>
      <c r="Q195" s="2659">
        <v>18.585245</v>
      </c>
      <c r="R195" s="2667">
        <v>14</v>
      </c>
    </row>
    <row r="196" spans="1:18">
      <c r="A196" s="2651"/>
      <c r="B196" s="2654" t="s">
        <v>9163</v>
      </c>
      <c r="C196" s="2658" t="s">
        <v>9067</v>
      </c>
      <c r="D196" s="2659">
        <v>17.957999999999998</v>
      </c>
      <c r="E196" s="2659">
        <v>17.623000000000001</v>
      </c>
      <c r="F196" s="2659">
        <v>16.3342025</v>
      </c>
      <c r="G196" s="2659">
        <v>16.228202499999998</v>
      </c>
      <c r="H196" s="2659">
        <v>15.251670000000001</v>
      </c>
      <c r="I196" s="2659">
        <v>14.688140000000001</v>
      </c>
      <c r="J196" s="2659"/>
      <c r="K196" s="2659"/>
      <c r="L196" s="2659"/>
      <c r="M196" s="2659"/>
      <c r="N196" s="2659"/>
      <c r="O196" s="2659"/>
      <c r="P196" s="2659"/>
      <c r="Q196" s="2659"/>
      <c r="R196" s="2667"/>
    </row>
    <row r="197" spans="1:18">
      <c r="A197" s="2651"/>
      <c r="B197" s="2654" t="s">
        <v>9164</v>
      </c>
      <c r="C197" s="2658" t="s">
        <v>9065</v>
      </c>
      <c r="D197" s="2659">
        <v>17.962</v>
      </c>
      <c r="E197" s="2659">
        <v>17.681999999999999</v>
      </c>
      <c r="F197" s="2659">
        <v>16.662962</v>
      </c>
      <c r="G197" s="2659">
        <v>16.502962</v>
      </c>
      <c r="H197" s="2659">
        <v>15.796936000000001</v>
      </c>
      <c r="I197" s="2659">
        <v>15.270911999999999</v>
      </c>
      <c r="J197" s="2659"/>
      <c r="K197" s="2659" t="s">
        <v>9066</v>
      </c>
      <c r="L197" s="2659">
        <v>15.834936000000001</v>
      </c>
      <c r="M197" s="2659">
        <v>16.209935999999999</v>
      </c>
      <c r="N197" s="2659">
        <v>16.700962000000001</v>
      </c>
      <c r="O197" s="2659">
        <v>16.912962</v>
      </c>
      <c r="P197" s="2659">
        <v>18</v>
      </c>
      <c r="Q197" s="2659">
        <v>18.500675999999999</v>
      </c>
      <c r="R197" s="2667">
        <v>15</v>
      </c>
    </row>
    <row r="198" spans="1:18">
      <c r="A198" s="2651"/>
      <c r="B198" s="2654" t="s">
        <v>9164</v>
      </c>
      <c r="C198" s="2658" t="s">
        <v>9067</v>
      </c>
      <c r="D198" s="2659">
        <v>17.962</v>
      </c>
      <c r="E198" s="2659">
        <v>17.681999999999999</v>
      </c>
      <c r="F198" s="2659">
        <v>16.662962</v>
      </c>
      <c r="G198" s="2659">
        <v>16.562961999999999</v>
      </c>
      <c r="H198" s="2659">
        <v>15.796936000000001</v>
      </c>
      <c r="I198" s="2659">
        <v>15.330912</v>
      </c>
      <c r="J198" s="2659"/>
      <c r="K198" s="2659"/>
      <c r="L198" s="2659"/>
      <c r="M198" s="2659"/>
      <c r="N198" s="2659"/>
      <c r="O198" s="2659"/>
      <c r="P198" s="2659"/>
      <c r="Q198" s="2659"/>
      <c r="R198" s="2667"/>
    </row>
    <row r="199" spans="1:18">
      <c r="A199" s="2651"/>
      <c r="B199" s="2658" t="s">
        <v>9165</v>
      </c>
      <c r="C199" s="2658" t="s">
        <v>9065</v>
      </c>
      <c r="D199" s="2659">
        <v>17.968</v>
      </c>
      <c r="E199" s="2659">
        <v>17.731999999999999</v>
      </c>
      <c r="F199" s="2659">
        <v>16.994</v>
      </c>
      <c r="G199" s="2659">
        <v>16.853999999999999</v>
      </c>
      <c r="H199" s="2659">
        <v>16.344000000000001</v>
      </c>
      <c r="I199" s="2659">
        <v>15.93</v>
      </c>
      <c r="J199" s="2659"/>
      <c r="K199" s="2659" t="s">
        <v>9066</v>
      </c>
      <c r="L199" s="2659">
        <v>16.376000000000001</v>
      </c>
      <c r="M199" s="2659">
        <v>16.675999999999998</v>
      </c>
      <c r="N199" s="2659">
        <v>17.026</v>
      </c>
      <c r="O199" s="2659">
        <v>17.216000000000001</v>
      </c>
      <c r="P199" s="2659">
        <v>18</v>
      </c>
      <c r="Q199" s="2659">
        <v>18.405999999999999</v>
      </c>
      <c r="R199" s="2667">
        <v>15.5</v>
      </c>
    </row>
    <row r="200" spans="1:18">
      <c r="A200" s="2651"/>
      <c r="B200" s="2658" t="s">
        <v>9165</v>
      </c>
      <c r="C200" s="2658" t="s">
        <v>9067</v>
      </c>
      <c r="D200" s="2659">
        <v>17.968</v>
      </c>
      <c r="E200" s="2659">
        <v>17.731999999999999</v>
      </c>
      <c r="F200" s="2659">
        <v>16.994</v>
      </c>
      <c r="G200" s="2659">
        <v>16.904</v>
      </c>
      <c r="H200" s="2659">
        <v>16.344000000000001</v>
      </c>
      <c r="I200" s="2659">
        <v>15.98</v>
      </c>
      <c r="J200" s="2659"/>
      <c r="K200" s="2659"/>
      <c r="L200" s="2659"/>
      <c r="M200" s="2659"/>
      <c r="N200" s="2659"/>
      <c r="O200" s="2659"/>
      <c r="P200" s="2659"/>
      <c r="Q200" s="2659"/>
      <c r="R200" s="2667"/>
    </row>
    <row r="201" spans="1:18">
      <c r="A201" s="2651"/>
      <c r="B201" s="2654" t="s">
        <v>9166</v>
      </c>
      <c r="C201" s="2658" t="s">
        <v>9065</v>
      </c>
      <c r="D201" s="2659">
        <v>17.972000000000001</v>
      </c>
      <c r="E201" s="2659">
        <v>17.760000000000002</v>
      </c>
      <c r="F201" s="2659">
        <v>17.16010125</v>
      </c>
      <c r="G201" s="2659">
        <v>17.028101249999999</v>
      </c>
      <c r="H201" s="2659">
        <v>16.618835000000001</v>
      </c>
      <c r="I201" s="2659">
        <v>16.25807</v>
      </c>
      <c r="J201" s="2659"/>
      <c r="K201" s="2659" t="s">
        <v>9066</v>
      </c>
      <c r="L201" s="2659">
        <v>16.646834999999999</v>
      </c>
      <c r="M201" s="2659">
        <v>16.911835</v>
      </c>
      <c r="N201" s="2659">
        <v>17.188101249999999</v>
      </c>
      <c r="O201" s="2659">
        <v>17.358101250000001</v>
      </c>
      <c r="P201" s="2659">
        <v>18</v>
      </c>
      <c r="Q201" s="2659">
        <v>18.350422500000001</v>
      </c>
      <c r="R201" s="2667">
        <v>16</v>
      </c>
    </row>
    <row r="202" spans="1:18">
      <c r="A202" s="2651"/>
      <c r="B202" s="2654" t="s">
        <v>9166</v>
      </c>
      <c r="C202" s="2658" t="s">
        <v>9067</v>
      </c>
      <c r="D202" s="2659">
        <v>17.972000000000001</v>
      </c>
      <c r="E202" s="2659">
        <v>17.760000000000002</v>
      </c>
      <c r="F202" s="2659">
        <v>17.16010125</v>
      </c>
      <c r="G202" s="2659">
        <v>17.075101249999999</v>
      </c>
      <c r="H202" s="2659">
        <v>16.618835000000001</v>
      </c>
      <c r="I202" s="2659">
        <v>16.305070000000001</v>
      </c>
      <c r="J202" s="2659"/>
      <c r="K202" s="2659"/>
      <c r="L202" s="2659"/>
      <c r="M202" s="2659"/>
      <c r="N202" s="2659"/>
      <c r="O202" s="2659"/>
      <c r="P202" s="2659"/>
      <c r="Q202" s="2659"/>
      <c r="R202" s="2667"/>
    </row>
    <row r="203" spans="1:18">
      <c r="A203" s="2651"/>
      <c r="B203" s="2654" t="s">
        <v>9167</v>
      </c>
      <c r="C203" s="2658" t="s">
        <v>9065</v>
      </c>
      <c r="D203" s="2659">
        <v>17.974</v>
      </c>
      <c r="E203" s="2659">
        <v>17.794</v>
      </c>
      <c r="F203" s="2659">
        <v>17.324480999999999</v>
      </c>
      <c r="G203" s="2659">
        <v>17.206481</v>
      </c>
      <c r="H203" s="2659">
        <v>16.891468</v>
      </c>
      <c r="I203" s="2659">
        <v>16.590456</v>
      </c>
      <c r="J203" s="2659"/>
      <c r="K203" s="2659" t="s">
        <v>9066</v>
      </c>
      <c r="L203" s="2659">
        <v>16.917468</v>
      </c>
      <c r="M203" s="2659">
        <v>17.153468</v>
      </c>
      <c r="N203" s="2659">
        <v>17.350480999999998</v>
      </c>
      <c r="O203" s="2659">
        <v>17.510480999999999</v>
      </c>
      <c r="P203" s="2659">
        <v>18</v>
      </c>
      <c r="Q203" s="2659">
        <v>18.304338000000001</v>
      </c>
      <c r="R203" s="2667">
        <v>16</v>
      </c>
    </row>
    <row r="204" spans="1:18">
      <c r="A204" s="2651"/>
      <c r="B204" s="2654" t="s">
        <v>9167</v>
      </c>
      <c r="C204" s="2658" t="s">
        <v>9067</v>
      </c>
      <c r="D204" s="2659">
        <v>17.974</v>
      </c>
      <c r="E204" s="2659">
        <v>17.794</v>
      </c>
      <c r="F204" s="2659">
        <v>17.324480999999999</v>
      </c>
      <c r="G204" s="2659">
        <v>17.249480999999999</v>
      </c>
      <c r="H204" s="2659">
        <v>16.891468</v>
      </c>
      <c r="I204" s="2659">
        <v>16.633455999999999</v>
      </c>
      <c r="J204" s="2659"/>
      <c r="K204" s="2659"/>
      <c r="L204" s="2659"/>
      <c r="M204" s="2659"/>
      <c r="N204" s="2659"/>
      <c r="O204" s="2659"/>
      <c r="P204" s="2659"/>
      <c r="Q204" s="2659"/>
      <c r="R204" s="2667"/>
    </row>
    <row r="205" spans="1:18">
      <c r="A205" s="2651"/>
      <c r="B205" s="2654" t="s">
        <v>9168</v>
      </c>
      <c r="C205" s="2658" t="s">
        <v>9065</v>
      </c>
      <c r="D205" s="2659">
        <v>17.978000000000002</v>
      </c>
      <c r="E205" s="2659">
        <v>17.838000000000001</v>
      </c>
      <c r="F205" s="2659">
        <v>17.49086075</v>
      </c>
      <c r="G205" s="2659">
        <v>17.384860750000001</v>
      </c>
      <c r="H205" s="2659">
        <v>17.166101000000001</v>
      </c>
      <c r="I205" s="2659">
        <v>16.922841999999999</v>
      </c>
      <c r="J205" s="2659"/>
      <c r="K205" s="2659" t="s">
        <v>9066</v>
      </c>
      <c r="L205" s="2659">
        <v>17.188101</v>
      </c>
      <c r="M205" s="2659">
        <v>17.378101000000001</v>
      </c>
      <c r="N205" s="2659">
        <v>17.512860750000002</v>
      </c>
      <c r="O205" s="2659">
        <v>17.652780750000002</v>
      </c>
      <c r="P205" s="2659">
        <v>18</v>
      </c>
      <c r="Q205" s="2659">
        <v>18.2481735</v>
      </c>
      <c r="R205" s="2667">
        <v>16</v>
      </c>
    </row>
    <row r="206" spans="1:18">
      <c r="A206" s="2651"/>
      <c r="B206" s="2654" t="s">
        <v>9168</v>
      </c>
      <c r="C206" s="2658" t="s">
        <v>9067</v>
      </c>
      <c r="D206" s="2659">
        <v>17.978000000000002</v>
      </c>
      <c r="E206" s="2659">
        <v>17.838000000000001</v>
      </c>
      <c r="F206" s="2659">
        <v>17.49086075</v>
      </c>
      <c r="G206" s="2659">
        <v>17.423860749999999</v>
      </c>
      <c r="H206" s="2659">
        <v>17.166101000000001</v>
      </c>
      <c r="I206" s="2659">
        <v>16.961842000000001</v>
      </c>
      <c r="J206" s="2659"/>
      <c r="K206" s="2659"/>
      <c r="L206" s="2659"/>
      <c r="M206" s="2659"/>
      <c r="N206" s="2659"/>
      <c r="O206" s="2659"/>
      <c r="P206" s="2659"/>
      <c r="Q206" s="2659"/>
      <c r="R206" s="2667"/>
    </row>
    <row r="207" spans="1:18">
      <c r="A207" s="2651"/>
      <c r="B207" s="2654" t="s">
        <v>9169</v>
      </c>
      <c r="C207" s="2658" t="s">
        <v>9065</v>
      </c>
      <c r="D207" s="2659">
        <v>17.98</v>
      </c>
      <c r="E207" s="2659">
        <v>17.873999999999999</v>
      </c>
      <c r="F207" s="2659">
        <v>17.655240500000001</v>
      </c>
      <c r="G207" s="2659">
        <v>17.565240500000002</v>
      </c>
      <c r="H207" s="2659">
        <v>17.438734</v>
      </c>
      <c r="I207" s="2659">
        <v>17.257228000000001</v>
      </c>
      <c r="J207" s="2659"/>
      <c r="K207" s="2659" t="s">
        <v>9066</v>
      </c>
      <c r="L207" s="2659">
        <v>17.458734</v>
      </c>
      <c r="M207" s="2659">
        <v>17.598734</v>
      </c>
      <c r="N207" s="2659">
        <v>17.675240500000001</v>
      </c>
      <c r="O207" s="2659">
        <v>17.795240499999998</v>
      </c>
      <c r="P207" s="2659">
        <v>18</v>
      </c>
      <c r="Q207" s="2659">
        <v>18.192169</v>
      </c>
      <c r="R207" s="2667">
        <v>17</v>
      </c>
    </row>
    <row r="208" spans="1:18">
      <c r="A208" s="2651"/>
      <c r="B208" s="2654" t="s">
        <v>9169</v>
      </c>
      <c r="C208" s="2658" t="s">
        <v>9067</v>
      </c>
      <c r="D208" s="2659">
        <v>17.98</v>
      </c>
      <c r="E208" s="2659">
        <v>17.873999999999999</v>
      </c>
      <c r="F208" s="2659">
        <v>17.655240500000001</v>
      </c>
      <c r="G208" s="2659">
        <v>17.599240500000001</v>
      </c>
      <c r="H208" s="2659">
        <v>17.438734</v>
      </c>
      <c r="I208" s="2659">
        <v>17.291228</v>
      </c>
      <c r="J208" s="2659"/>
      <c r="K208" s="2659"/>
      <c r="L208" s="2659"/>
      <c r="M208" s="2659"/>
      <c r="N208" s="2659"/>
      <c r="O208" s="2659"/>
      <c r="P208" s="2659"/>
      <c r="Q208" s="2659"/>
      <c r="R208" s="2667"/>
    </row>
    <row r="209" spans="1:18">
      <c r="A209" s="2651">
        <v>20</v>
      </c>
      <c r="B209" s="2658" t="s">
        <v>9170</v>
      </c>
      <c r="C209" s="2658" t="s">
        <v>9065</v>
      </c>
      <c r="D209" s="2659">
        <v>19.957999999999998</v>
      </c>
      <c r="E209" s="2659">
        <v>19.623000000000001</v>
      </c>
      <c r="F209" s="2659">
        <v>18.334</v>
      </c>
      <c r="G209" s="2659">
        <v>18.164000000000001</v>
      </c>
      <c r="H209" s="2659">
        <v>17.251999999999999</v>
      </c>
      <c r="I209" s="2659">
        <v>16.623999999999999</v>
      </c>
      <c r="J209" s="2659"/>
      <c r="K209" s="2659" t="s">
        <v>9066</v>
      </c>
      <c r="L209" s="2659">
        <v>17.294</v>
      </c>
      <c r="M209" s="2659">
        <v>17.744</v>
      </c>
      <c r="N209" s="2659">
        <v>18.376000000000001</v>
      </c>
      <c r="O209" s="2659">
        <v>18.600000000000001</v>
      </c>
      <c r="P209" s="2659">
        <v>20</v>
      </c>
      <c r="Q209" s="2659">
        <v>20.585000000000001</v>
      </c>
      <c r="R209" s="2667">
        <v>17.5</v>
      </c>
    </row>
    <row r="210" spans="1:18">
      <c r="A210" s="2651"/>
      <c r="B210" s="2658" t="s">
        <v>9170</v>
      </c>
      <c r="C210" s="2658" t="s">
        <v>9067</v>
      </c>
      <c r="D210" s="2659">
        <v>19.957999999999998</v>
      </c>
      <c r="E210" s="2659">
        <v>19.623000000000001</v>
      </c>
      <c r="F210" s="2659">
        <v>18.334</v>
      </c>
      <c r="G210" s="2659">
        <v>18.228000000000002</v>
      </c>
      <c r="H210" s="2659">
        <v>17.251999999999999</v>
      </c>
      <c r="I210" s="2659">
        <v>16.687999999999999</v>
      </c>
      <c r="J210" s="2659"/>
      <c r="K210" s="2659"/>
      <c r="L210" s="2659"/>
      <c r="M210" s="2659"/>
      <c r="N210" s="2659"/>
      <c r="O210" s="2659"/>
      <c r="P210" s="2659"/>
      <c r="Q210" s="2659"/>
      <c r="R210" s="2667"/>
    </row>
    <row r="211" spans="1:18">
      <c r="A211" s="2651"/>
      <c r="B211" s="2654" t="s">
        <v>9171</v>
      </c>
      <c r="C211" s="2658" t="s">
        <v>9065</v>
      </c>
      <c r="D211" s="2659">
        <v>19.962</v>
      </c>
      <c r="E211" s="2659">
        <v>19.681999999999999</v>
      </c>
      <c r="F211" s="2659">
        <v>18.662962</v>
      </c>
      <c r="G211" s="2659">
        <v>18.502962</v>
      </c>
      <c r="H211" s="2659">
        <v>17.796935999999999</v>
      </c>
      <c r="I211" s="2659">
        <v>17.270911999999999</v>
      </c>
      <c r="J211" s="2659"/>
      <c r="K211" s="2659" t="s">
        <v>9066</v>
      </c>
      <c r="L211" s="2659">
        <v>17.834935999999999</v>
      </c>
      <c r="M211" s="2659">
        <v>18.209935999999999</v>
      </c>
      <c r="N211" s="2659">
        <v>18.700962000000001</v>
      </c>
      <c r="O211" s="2659">
        <v>18.912962</v>
      </c>
      <c r="P211" s="2659">
        <v>20</v>
      </c>
      <c r="Q211" s="2659">
        <v>20.500675999999999</v>
      </c>
      <c r="R211" s="2667">
        <v>17.5</v>
      </c>
    </row>
    <row r="212" spans="1:18">
      <c r="A212" s="2651"/>
      <c r="B212" s="2654" t="s">
        <v>9171</v>
      </c>
      <c r="C212" s="2658" t="s">
        <v>9067</v>
      </c>
      <c r="D212" s="2659">
        <v>19.962</v>
      </c>
      <c r="E212" s="2659">
        <v>19.681999999999999</v>
      </c>
      <c r="F212" s="2659">
        <v>18.662962</v>
      </c>
      <c r="G212" s="2659">
        <v>18.561962000000001</v>
      </c>
      <c r="H212" s="2659">
        <v>17.796935999999999</v>
      </c>
      <c r="I212" s="2659">
        <v>17.329912</v>
      </c>
      <c r="J212" s="2659"/>
      <c r="K212" s="2659"/>
      <c r="L212" s="2659"/>
      <c r="M212" s="2659"/>
      <c r="N212" s="2659"/>
      <c r="O212" s="2659"/>
      <c r="P212" s="2659"/>
      <c r="Q212" s="2659"/>
      <c r="R212" s="2667"/>
    </row>
    <row r="213" spans="1:18">
      <c r="A213" s="2651"/>
      <c r="B213" s="2658" t="s">
        <v>9172</v>
      </c>
      <c r="C213" s="2658" t="s">
        <v>9065</v>
      </c>
      <c r="D213" s="2659">
        <v>19.968</v>
      </c>
      <c r="E213" s="2659">
        <v>19.731999999999999</v>
      </c>
      <c r="F213" s="2659">
        <v>18.994</v>
      </c>
      <c r="G213" s="2659">
        <v>18.853999999999999</v>
      </c>
      <c r="H213" s="2659">
        <v>18.344000000000001</v>
      </c>
      <c r="I213" s="2659">
        <v>17.93</v>
      </c>
      <c r="J213" s="2659"/>
      <c r="K213" s="2659" t="s">
        <v>9066</v>
      </c>
      <c r="L213" s="2659">
        <v>18.376000000000001</v>
      </c>
      <c r="M213" s="2659">
        <v>18.675999999999998</v>
      </c>
      <c r="N213" s="2659">
        <v>19.026</v>
      </c>
      <c r="O213" s="2659">
        <v>19.216000000000001</v>
      </c>
      <c r="P213" s="2659">
        <v>20</v>
      </c>
      <c r="Q213" s="2659">
        <v>20.405999999999999</v>
      </c>
      <c r="R213" s="2667">
        <v>17.5</v>
      </c>
    </row>
    <row r="214" spans="1:18">
      <c r="A214" s="2651"/>
      <c r="B214" s="2658" t="s">
        <v>9172</v>
      </c>
      <c r="C214" s="2658" t="s">
        <v>9067</v>
      </c>
      <c r="D214" s="2659">
        <v>19.968</v>
      </c>
      <c r="E214" s="2659">
        <v>19.731999999999999</v>
      </c>
      <c r="F214" s="2659">
        <v>18.994</v>
      </c>
      <c r="G214" s="2659">
        <v>18.904</v>
      </c>
      <c r="H214" s="2659">
        <v>18.344000000000001</v>
      </c>
      <c r="I214" s="2659">
        <v>17.98</v>
      </c>
      <c r="J214" s="2659"/>
      <c r="K214" s="2659"/>
      <c r="L214" s="2659"/>
      <c r="M214" s="2659"/>
      <c r="N214" s="2659"/>
      <c r="O214" s="2659"/>
      <c r="P214" s="2659"/>
      <c r="Q214" s="2659"/>
      <c r="R214" s="2667"/>
    </row>
    <row r="215" spans="1:18">
      <c r="A215" s="2651"/>
      <c r="B215" s="2658" t="s">
        <v>9173</v>
      </c>
      <c r="C215" s="2658" t="s">
        <v>9065</v>
      </c>
      <c r="D215" s="2659">
        <v>19.974</v>
      </c>
      <c r="E215" s="2659">
        <v>19.794</v>
      </c>
      <c r="F215" s="2659">
        <v>19.324000000000002</v>
      </c>
      <c r="G215" s="2659">
        <v>19.206</v>
      </c>
      <c r="H215" s="2659">
        <v>18.890999999999998</v>
      </c>
      <c r="I215" s="2659">
        <v>18.59</v>
      </c>
      <c r="J215" s="2659"/>
      <c r="K215" s="2659" t="s">
        <v>9066</v>
      </c>
      <c r="L215" s="2659">
        <v>18.917000000000002</v>
      </c>
      <c r="M215" s="2659">
        <v>19.152999999999999</v>
      </c>
      <c r="N215" s="2659">
        <v>19.350000000000001</v>
      </c>
      <c r="O215" s="2659">
        <v>19.510000000000002</v>
      </c>
      <c r="P215" s="2659">
        <v>20</v>
      </c>
      <c r="Q215" s="2659">
        <v>20.303999999999998</v>
      </c>
      <c r="R215" s="2667">
        <v>17.5</v>
      </c>
    </row>
    <row r="216" spans="1:18">
      <c r="A216" s="2651"/>
      <c r="B216" s="2658" t="s">
        <v>9173</v>
      </c>
      <c r="C216" s="2658" t="s">
        <v>9067</v>
      </c>
      <c r="D216" s="2659">
        <v>19.974</v>
      </c>
      <c r="E216" s="2659">
        <v>19.794</v>
      </c>
      <c r="F216" s="2659">
        <v>19.324000000000002</v>
      </c>
      <c r="G216" s="2659">
        <v>19.248999999999999</v>
      </c>
      <c r="H216" s="2659">
        <v>18.890999999999998</v>
      </c>
      <c r="I216" s="2659">
        <v>18.632999999999999</v>
      </c>
      <c r="J216" s="2659"/>
      <c r="K216" s="2659"/>
      <c r="L216" s="2659"/>
      <c r="M216" s="2659"/>
      <c r="N216" s="2659"/>
      <c r="O216" s="2659"/>
      <c r="P216" s="2659"/>
      <c r="Q216" s="2659"/>
      <c r="R216" s="2667"/>
    </row>
    <row r="217" spans="1:18">
      <c r="A217" s="2651"/>
      <c r="B217" s="2654" t="s">
        <v>9174</v>
      </c>
      <c r="C217" s="2658" t="s">
        <v>9065</v>
      </c>
      <c r="D217" s="2659">
        <v>19.978000000000002</v>
      </c>
      <c r="E217" s="2659">
        <v>19.838000000000001</v>
      </c>
      <c r="F217" s="2659">
        <v>19.49086075</v>
      </c>
      <c r="G217" s="2659">
        <v>19.384860750000001</v>
      </c>
      <c r="H217" s="2659">
        <v>19.166101000000001</v>
      </c>
      <c r="I217" s="2659">
        <v>18.922841999999999</v>
      </c>
      <c r="J217" s="2659"/>
      <c r="K217" s="2659" t="s">
        <v>9066</v>
      </c>
      <c r="L217" s="2659">
        <v>19.188101</v>
      </c>
      <c r="M217" s="2659">
        <v>19.378101000000001</v>
      </c>
      <c r="N217" s="2659">
        <v>19.512860750000002</v>
      </c>
      <c r="O217" s="2659">
        <v>19.652780750000002</v>
      </c>
      <c r="P217" s="2659">
        <v>20</v>
      </c>
      <c r="Q217" s="2659">
        <v>20.2481735</v>
      </c>
      <c r="R217" s="2667">
        <v>18</v>
      </c>
    </row>
    <row r="218" spans="1:18">
      <c r="A218" s="2651"/>
      <c r="B218" s="2654" t="s">
        <v>9174</v>
      </c>
      <c r="C218" s="2658" t="s">
        <v>9067</v>
      </c>
      <c r="D218" s="2659">
        <v>19.978000000000002</v>
      </c>
      <c r="E218" s="2659">
        <v>19.838000000000001</v>
      </c>
      <c r="F218" s="2659">
        <v>19.49086075</v>
      </c>
      <c r="G218" s="2659">
        <v>19.423860749999999</v>
      </c>
      <c r="H218" s="2659">
        <v>19.166101000000001</v>
      </c>
      <c r="I218" s="2659">
        <v>18.961842000000001</v>
      </c>
      <c r="J218" s="2659"/>
      <c r="K218" s="2659"/>
      <c r="L218" s="2659"/>
      <c r="M218" s="2659"/>
      <c r="N218" s="2659"/>
      <c r="O218" s="2659"/>
      <c r="P218" s="2659"/>
      <c r="Q218" s="2659"/>
      <c r="R218" s="2667"/>
    </row>
    <row r="219" spans="1:18">
      <c r="A219" s="2651"/>
      <c r="B219" s="2654" t="s">
        <v>9175</v>
      </c>
      <c r="C219" s="2658" t="s">
        <v>9065</v>
      </c>
      <c r="D219" s="2659">
        <v>19.98</v>
      </c>
      <c r="E219" s="2659">
        <v>19.873999999999999</v>
      </c>
      <c r="F219" s="2659">
        <v>19.655240500000001</v>
      </c>
      <c r="G219" s="2659">
        <v>19.565240500000002</v>
      </c>
      <c r="H219" s="2659">
        <v>19.438734</v>
      </c>
      <c r="I219" s="2659">
        <v>19.257228000000001</v>
      </c>
      <c r="J219" s="2659"/>
      <c r="K219" s="2659" t="s">
        <v>9066</v>
      </c>
      <c r="L219" s="2659">
        <v>19.458734</v>
      </c>
      <c r="M219" s="2659">
        <v>19.598734</v>
      </c>
      <c r="N219" s="2659">
        <v>19.675240500000001</v>
      </c>
      <c r="O219" s="2659">
        <v>19.795240499999998</v>
      </c>
      <c r="P219" s="2659">
        <v>20</v>
      </c>
      <c r="Q219" s="2659">
        <v>20.192169</v>
      </c>
      <c r="R219" s="2667">
        <v>19</v>
      </c>
    </row>
    <row r="220" spans="1:18">
      <c r="A220" s="2651"/>
      <c r="B220" s="2654" t="s">
        <v>9175</v>
      </c>
      <c r="C220" s="2658" t="s">
        <v>9067</v>
      </c>
      <c r="D220" s="2659">
        <v>19.98</v>
      </c>
      <c r="E220" s="2659">
        <v>19.873999999999999</v>
      </c>
      <c r="F220" s="2659">
        <v>19.655240500000001</v>
      </c>
      <c r="G220" s="2659">
        <v>19.599240500000001</v>
      </c>
      <c r="H220" s="2659">
        <v>19.438734</v>
      </c>
      <c r="I220" s="2659">
        <v>19.291228</v>
      </c>
      <c r="J220" s="2659"/>
      <c r="K220" s="2659"/>
      <c r="L220" s="2659"/>
      <c r="M220" s="2659"/>
      <c r="N220" s="2659"/>
      <c r="O220" s="2659"/>
      <c r="P220" s="2659"/>
      <c r="Q220" s="2659"/>
      <c r="R220" s="2667"/>
    </row>
    <row r="221" spans="1:18">
      <c r="A221" s="2651">
        <v>22</v>
      </c>
      <c r="B221" s="2654" t="s">
        <v>9176</v>
      </c>
      <c r="C221" s="2658" t="s">
        <v>9065</v>
      </c>
      <c r="D221" s="2659">
        <v>21.952000000000002</v>
      </c>
      <c r="E221" s="2659">
        <v>21.577000000000002</v>
      </c>
      <c r="F221" s="2659">
        <v>20.003443000000001</v>
      </c>
      <c r="G221" s="2659">
        <v>19.818442999999998</v>
      </c>
      <c r="H221" s="2659">
        <v>18.704404</v>
      </c>
      <c r="I221" s="2659">
        <v>17.970368000000001</v>
      </c>
      <c r="J221" s="2659"/>
      <c r="K221" s="2659" t="s">
        <v>9066</v>
      </c>
      <c r="L221" s="2659">
        <v>18.752403999999999</v>
      </c>
      <c r="M221" s="2659">
        <v>19.252403999999999</v>
      </c>
      <c r="N221" s="2659">
        <v>20.051442999999999</v>
      </c>
      <c r="O221" s="2659">
        <v>20.295642999999998</v>
      </c>
      <c r="P221" s="2659">
        <v>22</v>
      </c>
      <c r="Q221" s="2659">
        <v>22.677213999999999</v>
      </c>
      <c r="R221" s="2667">
        <v>19.5</v>
      </c>
    </row>
    <row r="222" spans="1:18">
      <c r="A222" s="2651"/>
      <c r="B222" s="2654" t="s">
        <v>9176</v>
      </c>
      <c r="C222" s="2658" t="s">
        <v>9067</v>
      </c>
      <c r="D222" s="2659">
        <v>21.952000000000002</v>
      </c>
      <c r="E222" s="2659">
        <v>21.577000000000002</v>
      </c>
      <c r="F222" s="2659">
        <v>20.003443000000001</v>
      </c>
      <c r="G222" s="2659">
        <v>19.885442999999999</v>
      </c>
      <c r="H222" s="2659">
        <v>18.704404</v>
      </c>
      <c r="I222" s="2659">
        <v>18.037368000000001</v>
      </c>
      <c r="J222" s="2659"/>
      <c r="K222" s="2659"/>
      <c r="L222" s="2659"/>
      <c r="M222" s="2659"/>
      <c r="N222" s="2659"/>
      <c r="O222" s="2659"/>
      <c r="P222" s="2659"/>
      <c r="Q222" s="2659"/>
      <c r="R222" s="2667"/>
    </row>
    <row r="223" spans="1:18">
      <c r="A223" s="2651"/>
      <c r="B223" s="2658" t="s">
        <v>9177</v>
      </c>
      <c r="C223" s="2658" t="s">
        <v>9065</v>
      </c>
      <c r="D223" s="2659">
        <v>21.957999999999998</v>
      </c>
      <c r="E223" s="2659">
        <v>21.623000000000001</v>
      </c>
      <c r="F223" s="2659">
        <v>20.334</v>
      </c>
      <c r="G223" s="2659">
        <v>20.164000000000001</v>
      </c>
      <c r="H223" s="2659">
        <v>19.251999999999999</v>
      </c>
      <c r="I223" s="2659">
        <v>18.623999999999999</v>
      </c>
      <c r="J223" s="2659"/>
      <c r="K223" s="2659" t="s">
        <v>9066</v>
      </c>
      <c r="L223" s="2659">
        <v>19.294</v>
      </c>
      <c r="M223" s="2659">
        <v>19.744</v>
      </c>
      <c r="N223" s="2659">
        <v>20.376000000000001</v>
      </c>
      <c r="O223" s="2659">
        <v>20.6</v>
      </c>
      <c r="P223" s="2659">
        <v>22</v>
      </c>
      <c r="Q223" s="2659">
        <v>22.585000000000001</v>
      </c>
      <c r="R223" s="2667">
        <v>19.5</v>
      </c>
    </row>
    <row r="224" spans="1:18">
      <c r="A224" s="2651"/>
      <c r="B224" s="2658" t="s">
        <v>9177</v>
      </c>
      <c r="C224" s="2658" t="s">
        <v>9067</v>
      </c>
      <c r="D224" s="2659">
        <v>21.957999999999998</v>
      </c>
      <c r="E224" s="2659">
        <v>21.623000000000001</v>
      </c>
      <c r="F224" s="2659">
        <v>20.3342025</v>
      </c>
      <c r="G224" s="2659">
        <v>20.234202499999999</v>
      </c>
      <c r="H224" s="2659">
        <v>19.251670000000001</v>
      </c>
      <c r="I224" s="2659">
        <v>18.694140000000001</v>
      </c>
      <c r="J224" s="2659"/>
      <c r="K224" s="2659"/>
      <c r="L224" s="2659"/>
      <c r="M224" s="2659"/>
      <c r="N224" s="2659"/>
      <c r="O224" s="2659"/>
      <c r="P224" s="2659"/>
      <c r="Q224" s="2659"/>
      <c r="R224" s="2667"/>
    </row>
    <row r="225" spans="1:18">
      <c r="A225" s="2651"/>
      <c r="B225" s="2654" t="s">
        <v>9178</v>
      </c>
      <c r="C225" s="2658" t="s">
        <v>9065</v>
      </c>
      <c r="D225" s="2659">
        <v>21.962</v>
      </c>
      <c r="E225" s="2659">
        <v>21.681999999999999</v>
      </c>
      <c r="F225" s="2659">
        <v>20.662962</v>
      </c>
      <c r="G225" s="2659">
        <v>20.502962</v>
      </c>
      <c r="H225" s="2659">
        <v>19.796935999999999</v>
      </c>
      <c r="I225" s="2659">
        <v>19.270911999999999</v>
      </c>
      <c r="J225" s="2659"/>
      <c r="K225" s="2659" t="s">
        <v>9066</v>
      </c>
      <c r="L225" s="2659">
        <v>19.834935999999999</v>
      </c>
      <c r="M225" s="2659">
        <v>20.209935999999999</v>
      </c>
      <c r="N225" s="2659">
        <v>20.700962000000001</v>
      </c>
      <c r="O225" s="2659">
        <v>20.912962</v>
      </c>
      <c r="P225" s="2659">
        <v>22</v>
      </c>
      <c r="Q225" s="2659">
        <v>22.500675999999999</v>
      </c>
      <c r="R225" s="2667">
        <v>19.5</v>
      </c>
    </row>
    <row r="226" spans="1:18">
      <c r="A226" s="2651"/>
      <c r="B226" s="2654" t="s">
        <v>9178</v>
      </c>
      <c r="C226" s="2658" t="s">
        <v>9067</v>
      </c>
      <c r="D226" s="2659">
        <v>21.962</v>
      </c>
      <c r="E226" s="2659">
        <v>21.681999999999999</v>
      </c>
      <c r="F226" s="2659">
        <v>20.662962</v>
      </c>
      <c r="G226" s="2659">
        <v>20.562961999999999</v>
      </c>
      <c r="H226" s="2659">
        <v>19.796935999999999</v>
      </c>
      <c r="I226" s="2659">
        <v>19.330912000000001</v>
      </c>
      <c r="J226" s="2659"/>
      <c r="K226" s="2659"/>
      <c r="L226" s="2659"/>
      <c r="M226" s="2659"/>
      <c r="N226" s="2659"/>
      <c r="O226" s="2659"/>
      <c r="P226" s="2659"/>
      <c r="Q226" s="2659"/>
      <c r="R226" s="2667"/>
    </row>
    <row r="227" spans="1:18">
      <c r="A227" s="2651"/>
      <c r="B227" s="2658" t="s">
        <v>9179</v>
      </c>
      <c r="C227" s="2658" t="s">
        <v>9065</v>
      </c>
      <c r="D227" s="2659">
        <v>21.968</v>
      </c>
      <c r="E227" s="2659">
        <v>21.731999999999999</v>
      </c>
      <c r="F227" s="2659">
        <v>20.994</v>
      </c>
      <c r="G227" s="2659">
        <v>20.853999999999999</v>
      </c>
      <c r="H227" s="2659">
        <v>20.344000000000001</v>
      </c>
      <c r="I227" s="2659">
        <v>19.93</v>
      </c>
      <c r="J227" s="2659"/>
      <c r="K227" s="2659" t="s">
        <v>9066</v>
      </c>
      <c r="L227" s="2659">
        <v>20.376000000000001</v>
      </c>
      <c r="M227" s="2659">
        <v>20.675999999999998</v>
      </c>
      <c r="N227" s="2659">
        <v>21.026</v>
      </c>
      <c r="O227" s="2659">
        <v>21.216000000000001</v>
      </c>
      <c r="P227" s="2659">
        <v>22</v>
      </c>
      <c r="Q227" s="2659">
        <v>22.405999999999999</v>
      </c>
      <c r="R227" s="2667">
        <v>19.5</v>
      </c>
    </row>
    <row r="228" spans="1:18">
      <c r="A228" s="2651"/>
      <c r="B228" s="2658" t="s">
        <v>9179</v>
      </c>
      <c r="C228" s="2658" t="s">
        <v>9067</v>
      </c>
      <c r="D228" s="2659">
        <v>21.968</v>
      </c>
      <c r="E228" s="2659">
        <v>21.731999999999999</v>
      </c>
      <c r="F228" s="2659">
        <v>20.994</v>
      </c>
      <c r="G228" s="2659">
        <v>20.904</v>
      </c>
      <c r="H228" s="2659">
        <v>20.344000000000001</v>
      </c>
      <c r="I228" s="2659">
        <v>19.98</v>
      </c>
      <c r="J228" s="2659"/>
      <c r="K228" s="2659"/>
      <c r="L228" s="2659"/>
      <c r="M228" s="2659"/>
      <c r="N228" s="2659"/>
      <c r="O228" s="2659"/>
      <c r="P228" s="2659"/>
      <c r="Q228" s="2659"/>
      <c r="R228" s="2667"/>
    </row>
    <row r="229" spans="1:18">
      <c r="A229" s="2651"/>
      <c r="B229" s="2654" t="s">
        <v>9180</v>
      </c>
      <c r="C229" s="2658" t="s">
        <v>9065</v>
      </c>
      <c r="D229" s="2659">
        <v>21.974</v>
      </c>
      <c r="E229" s="2659">
        <v>21.794</v>
      </c>
      <c r="F229" s="2659">
        <v>21.324480999999999</v>
      </c>
      <c r="G229" s="2659">
        <v>21.206481</v>
      </c>
      <c r="H229" s="2659">
        <v>20.891468</v>
      </c>
      <c r="I229" s="2659">
        <v>20.590456</v>
      </c>
      <c r="J229" s="2659"/>
      <c r="K229" s="2659" t="s">
        <v>9066</v>
      </c>
      <c r="L229" s="2659">
        <v>20.917468</v>
      </c>
      <c r="M229" s="2659">
        <v>21.153468</v>
      </c>
      <c r="N229" s="2659">
        <v>21.350480999999998</v>
      </c>
      <c r="O229" s="2659">
        <v>21.510480999999999</v>
      </c>
      <c r="P229" s="2659">
        <v>22</v>
      </c>
      <c r="Q229" s="2659">
        <v>22.304338000000001</v>
      </c>
      <c r="R229" s="2667">
        <v>20</v>
      </c>
    </row>
    <row r="230" spans="1:18">
      <c r="A230" s="2651"/>
      <c r="B230" s="2654" t="s">
        <v>9180</v>
      </c>
      <c r="C230" s="2658" t="s">
        <v>9067</v>
      </c>
      <c r="D230" s="2659">
        <v>21.974</v>
      </c>
      <c r="E230" s="2659">
        <v>21.794</v>
      </c>
      <c r="F230" s="2659">
        <v>21.324480999999999</v>
      </c>
      <c r="G230" s="2659">
        <v>21.249480999999999</v>
      </c>
      <c r="H230" s="2659">
        <v>20.891468</v>
      </c>
      <c r="I230" s="2659">
        <v>20.633455999999999</v>
      </c>
      <c r="J230" s="2659"/>
      <c r="K230" s="2659"/>
      <c r="L230" s="2659"/>
      <c r="M230" s="2659"/>
      <c r="N230" s="2659"/>
      <c r="O230" s="2659"/>
      <c r="P230" s="2659"/>
      <c r="Q230" s="2659"/>
      <c r="R230" s="2667"/>
    </row>
    <row r="231" spans="1:18">
      <c r="A231" s="2651"/>
      <c r="B231" s="2654" t="s">
        <v>9181</v>
      </c>
      <c r="C231" s="2658" t="s">
        <v>9065</v>
      </c>
      <c r="D231" s="2659">
        <v>21.978000000000002</v>
      </c>
      <c r="E231" s="2659">
        <v>21.838000000000001</v>
      </c>
      <c r="F231" s="2659">
        <v>21.49086075</v>
      </c>
      <c r="G231" s="2659">
        <v>21.384860750000001</v>
      </c>
      <c r="H231" s="2659">
        <v>21.166101000000001</v>
      </c>
      <c r="I231" s="2659">
        <v>20.922841999999999</v>
      </c>
      <c r="J231" s="2659"/>
      <c r="K231" s="2659" t="s">
        <v>9066</v>
      </c>
      <c r="L231" s="2659">
        <v>21.188101</v>
      </c>
      <c r="M231" s="2659">
        <v>21.378101000000001</v>
      </c>
      <c r="N231" s="2659">
        <v>21.512860750000002</v>
      </c>
      <c r="O231" s="2659">
        <v>21.652780750000002</v>
      </c>
      <c r="P231" s="2659">
        <v>22</v>
      </c>
      <c r="Q231" s="2659">
        <v>22.2481735</v>
      </c>
      <c r="R231" s="2667">
        <v>20</v>
      </c>
    </row>
    <row r="232" spans="1:18">
      <c r="A232" s="2651"/>
      <c r="B232" s="2654" t="s">
        <v>9181</v>
      </c>
      <c r="C232" s="2658" t="s">
        <v>9067</v>
      </c>
      <c r="D232" s="2659">
        <v>21.978000000000002</v>
      </c>
      <c r="E232" s="2659">
        <v>21.838000000000001</v>
      </c>
      <c r="F232" s="2659">
        <v>21.49086075</v>
      </c>
      <c r="G232" s="2659">
        <v>21.423860749999999</v>
      </c>
      <c r="H232" s="2659">
        <v>21.166101000000001</v>
      </c>
      <c r="I232" s="2659">
        <v>20.961842000000001</v>
      </c>
      <c r="J232" s="2659"/>
      <c r="K232" s="2659"/>
      <c r="L232" s="2659"/>
      <c r="M232" s="2659"/>
      <c r="N232" s="2659"/>
      <c r="O232" s="2659"/>
      <c r="P232" s="2659"/>
      <c r="Q232" s="2659"/>
      <c r="R232" s="2667"/>
    </row>
    <row r="233" spans="1:18">
      <c r="A233" s="2651"/>
      <c r="B233" s="2654" t="s">
        <v>9182</v>
      </c>
      <c r="C233" s="2658" t="s">
        <v>9065</v>
      </c>
      <c r="D233" s="2659">
        <v>21.98</v>
      </c>
      <c r="E233" s="2659">
        <v>21.873999999999999</v>
      </c>
      <c r="F233" s="2659">
        <v>21.655240500000001</v>
      </c>
      <c r="G233" s="2659">
        <v>21.565240500000002</v>
      </c>
      <c r="H233" s="2659">
        <v>21.438734</v>
      </c>
      <c r="I233" s="2659">
        <v>21.257228000000001</v>
      </c>
      <c r="J233" s="2659"/>
      <c r="K233" s="2659" t="s">
        <v>9066</v>
      </c>
      <c r="L233" s="2659">
        <v>21.458734</v>
      </c>
      <c r="M233" s="2659">
        <v>21.598734</v>
      </c>
      <c r="N233" s="2659">
        <v>21.675240500000001</v>
      </c>
      <c r="O233" s="2659">
        <v>21.795240499999998</v>
      </c>
      <c r="P233" s="2659">
        <v>22</v>
      </c>
      <c r="Q233" s="2659">
        <v>22.192169</v>
      </c>
      <c r="R233" s="2667">
        <v>20</v>
      </c>
    </row>
    <row r="234" spans="1:18">
      <c r="A234" s="2651"/>
      <c r="B234" s="2654" t="s">
        <v>9182</v>
      </c>
      <c r="C234" s="2658" t="s">
        <v>9067</v>
      </c>
      <c r="D234" s="2659">
        <v>21.98</v>
      </c>
      <c r="E234" s="2659">
        <v>21.873999999999999</v>
      </c>
      <c r="F234" s="2659">
        <v>21.655240500000001</v>
      </c>
      <c r="G234" s="2659">
        <v>21.598240499999999</v>
      </c>
      <c r="H234" s="2659">
        <v>21.438734</v>
      </c>
      <c r="I234" s="2659">
        <v>21.290227999999999</v>
      </c>
      <c r="J234" s="2659"/>
      <c r="K234" s="2659"/>
      <c r="L234" s="2659"/>
      <c r="M234" s="2659"/>
      <c r="N234" s="2659"/>
      <c r="O234" s="2659"/>
      <c r="P234" s="2659"/>
      <c r="Q234" s="2659"/>
      <c r="R234" s="2667"/>
    </row>
    <row r="235" spans="1:18">
      <c r="A235" s="2651">
        <v>24</v>
      </c>
      <c r="B235" s="2658" t="s">
        <v>9183</v>
      </c>
      <c r="C235" s="2658" t="s">
        <v>9065</v>
      </c>
      <c r="D235" s="2659">
        <v>23.952000000000002</v>
      </c>
      <c r="E235" s="2659">
        <v>23.577000000000002</v>
      </c>
      <c r="F235" s="2659">
        <v>22.003</v>
      </c>
      <c r="G235" s="2659">
        <v>21.803000000000001</v>
      </c>
      <c r="H235" s="2659">
        <v>20.704000000000001</v>
      </c>
      <c r="I235" s="2659">
        <v>19.954999999999998</v>
      </c>
      <c r="J235" s="2659"/>
      <c r="K235" s="2659" t="s">
        <v>9066</v>
      </c>
      <c r="L235" s="2659">
        <v>20.751999999999999</v>
      </c>
      <c r="M235" s="2659">
        <v>21.251999999999999</v>
      </c>
      <c r="N235" s="2659">
        <v>22.050999999999998</v>
      </c>
      <c r="O235" s="2659">
        <v>22.315999999999999</v>
      </c>
      <c r="P235" s="2659">
        <v>24</v>
      </c>
      <c r="Q235" s="2659">
        <v>24.698</v>
      </c>
      <c r="R235" s="2667">
        <v>21</v>
      </c>
    </row>
    <row r="236" spans="1:18">
      <c r="A236" s="2651"/>
      <c r="B236" s="2658" t="s">
        <v>9183</v>
      </c>
      <c r="C236" s="2658" t="s">
        <v>9067</v>
      </c>
      <c r="D236" s="2659">
        <v>23.952000000000002</v>
      </c>
      <c r="E236" s="2659">
        <v>23.556999999999999</v>
      </c>
      <c r="F236" s="2659">
        <v>22.003</v>
      </c>
      <c r="G236" s="2659">
        <v>21.878</v>
      </c>
      <c r="H236" s="2659">
        <v>20.704000000000001</v>
      </c>
      <c r="I236" s="2659">
        <v>20.03</v>
      </c>
      <c r="J236" s="2659"/>
      <c r="K236" s="2659"/>
      <c r="L236" s="2659"/>
      <c r="M236" s="2659"/>
      <c r="N236" s="2659"/>
      <c r="O236" s="2659"/>
      <c r="P236" s="2659"/>
      <c r="Q236" s="2659"/>
      <c r="R236" s="2667"/>
    </row>
    <row r="237" spans="1:18">
      <c r="A237" s="2651"/>
      <c r="B237" s="2654" t="s">
        <v>9184</v>
      </c>
      <c r="C237" s="2658" t="s">
        <v>9065</v>
      </c>
      <c r="D237" s="2659">
        <v>23.957999999999998</v>
      </c>
      <c r="E237" s="2659">
        <v>23.623000000000001</v>
      </c>
      <c r="F237" s="2659">
        <v>22.3342025</v>
      </c>
      <c r="G237" s="2659">
        <v>22.144202499999999</v>
      </c>
      <c r="H237" s="2659">
        <v>21.251670000000001</v>
      </c>
      <c r="I237" s="2659">
        <v>20.604140000000001</v>
      </c>
      <c r="J237" s="2659"/>
      <c r="K237" s="2659" t="s">
        <v>9066</v>
      </c>
      <c r="L237" s="2659">
        <v>21.293669999999999</v>
      </c>
      <c r="M237" s="2659">
        <v>21.743670000000002</v>
      </c>
      <c r="N237" s="2659">
        <v>22.376202500000002</v>
      </c>
      <c r="O237" s="2659">
        <v>22.626202500000002</v>
      </c>
      <c r="P237" s="2659">
        <v>24</v>
      </c>
      <c r="Q237" s="2659">
        <v>24.610845000000001</v>
      </c>
      <c r="R237" s="2667">
        <v>21</v>
      </c>
    </row>
    <row r="238" spans="1:18">
      <c r="A238" s="2651"/>
      <c r="B238" s="2654" t="s">
        <v>9184</v>
      </c>
      <c r="C238" s="2658" t="s">
        <v>9067</v>
      </c>
      <c r="D238" s="2659">
        <v>23.957999999999998</v>
      </c>
      <c r="E238" s="2659">
        <v>23.623000000000001</v>
      </c>
      <c r="F238" s="2659">
        <v>22.3342025</v>
      </c>
      <c r="G238" s="2659">
        <v>22.214202499999999</v>
      </c>
      <c r="H238" s="2659">
        <v>21.251670000000001</v>
      </c>
      <c r="I238" s="2659">
        <v>20.674140000000001</v>
      </c>
      <c r="J238" s="2659"/>
      <c r="K238" s="2659"/>
      <c r="L238" s="2659"/>
      <c r="M238" s="2659"/>
      <c r="N238" s="2659"/>
      <c r="O238" s="2659"/>
      <c r="P238" s="2659"/>
      <c r="Q238" s="2659"/>
      <c r="R238" s="2667"/>
    </row>
    <row r="239" spans="1:18">
      <c r="A239" s="2651"/>
      <c r="B239" s="2658" t="s">
        <v>9185</v>
      </c>
      <c r="C239" s="2658" t="s">
        <v>9065</v>
      </c>
      <c r="D239" s="2659">
        <v>23.962</v>
      </c>
      <c r="E239" s="2659">
        <v>23.681999999999999</v>
      </c>
      <c r="F239" s="2659">
        <v>22.663</v>
      </c>
      <c r="G239" s="2659">
        <v>22.492999999999999</v>
      </c>
      <c r="H239" s="2659">
        <v>21.797000000000001</v>
      </c>
      <c r="I239" s="2659">
        <v>21.260999999999999</v>
      </c>
      <c r="J239" s="2659"/>
      <c r="K239" s="2659" t="s">
        <v>9066</v>
      </c>
      <c r="L239" s="2659">
        <v>21.835000000000001</v>
      </c>
      <c r="M239" s="2659">
        <v>22.21</v>
      </c>
      <c r="N239" s="2659">
        <v>22.701000000000001</v>
      </c>
      <c r="O239" s="2659">
        <v>22.925000000000001</v>
      </c>
      <c r="P239" s="2659">
        <v>24</v>
      </c>
      <c r="Q239" s="2659">
        <v>24.513000000000002</v>
      </c>
      <c r="R239" s="2667">
        <v>21</v>
      </c>
    </row>
    <row r="240" spans="1:18">
      <c r="A240" s="2651"/>
      <c r="B240" s="2658" t="s">
        <v>9185</v>
      </c>
      <c r="C240" s="2658" t="s">
        <v>9067</v>
      </c>
      <c r="D240" s="2659">
        <v>23.962</v>
      </c>
      <c r="E240" s="2659">
        <v>23.681999999999999</v>
      </c>
      <c r="F240" s="2659">
        <v>22.663</v>
      </c>
      <c r="G240" s="2659">
        <v>22.556999999999999</v>
      </c>
      <c r="H240" s="2659">
        <v>21.797000000000001</v>
      </c>
      <c r="I240" s="2659">
        <v>21.324999999999999</v>
      </c>
      <c r="J240" s="2659"/>
      <c r="K240" s="2659"/>
      <c r="L240" s="2659"/>
      <c r="M240" s="2659"/>
      <c r="N240" s="2659"/>
      <c r="O240" s="2659"/>
      <c r="P240" s="2659"/>
      <c r="Q240" s="2659"/>
      <c r="R240" s="2667"/>
    </row>
    <row r="241" spans="1:18">
      <c r="A241" s="2651"/>
      <c r="B241" s="2654" t="s">
        <v>9186</v>
      </c>
      <c r="C241" s="2658" t="s">
        <v>9065</v>
      </c>
      <c r="D241" s="2659">
        <v>23.968</v>
      </c>
      <c r="E241" s="2659">
        <v>23.731999999999999</v>
      </c>
      <c r="F241" s="2659">
        <v>22.993721499999999</v>
      </c>
      <c r="G241" s="2659">
        <v>22.843721500000001</v>
      </c>
      <c r="H241" s="2659">
        <v>22.344201999999999</v>
      </c>
      <c r="I241" s="2659">
        <v>21.919684</v>
      </c>
      <c r="J241" s="2659"/>
      <c r="K241" s="2659" t="s">
        <v>9066</v>
      </c>
      <c r="L241" s="2659">
        <v>22.376201999999999</v>
      </c>
      <c r="M241" s="2659">
        <v>22.676202</v>
      </c>
      <c r="N241" s="2659">
        <v>23.0257215</v>
      </c>
      <c r="O241" s="2659">
        <v>23.225721499999999</v>
      </c>
      <c r="P241" s="2659">
        <v>24</v>
      </c>
      <c r="Q241" s="2659">
        <v>24.416506999999999</v>
      </c>
      <c r="R241" s="2667">
        <v>21</v>
      </c>
    </row>
    <row r="242" spans="1:18">
      <c r="A242" s="2651"/>
      <c r="B242" s="2654" t="s">
        <v>9186</v>
      </c>
      <c r="C242" s="2658" t="s">
        <v>9067</v>
      </c>
      <c r="D242" s="2659">
        <v>23.968</v>
      </c>
      <c r="E242" s="2659">
        <v>23.731999999999999</v>
      </c>
      <c r="F242" s="2659">
        <v>22.993721499999999</v>
      </c>
      <c r="G242" s="2659">
        <v>22.898721500000001</v>
      </c>
      <c r="H242" s="2659">
        <v>22.344201999999999</v>
      </c>
      <c r="I242" s="2659">
        <v>21.974684</v>
      </c>
      <c r="J242" s="2659"/>
      <c r="K242" s="2659"/>
      <c r="L242" s="2659"/>
      <c r="M242" s="2659"/>
      <c r="N242" s="2659"/>
      <c r="O242" s="2659"/>
      <c r="P242" s="2659"/>
      <c r="Q242" s="2659"/>
      <c r="R242" s="2667"/>
    </row>
    <row r="243" spans="1:18">
      <c r="A243" s="2651"/>
      <c r="B243" s="2654" t="s">
        <v>9187</v>
      </c>
      <c r="C243" s="2658" t="s">
        <v>9065</v>
      </c>
      <c r="D243" s="2659">
        <v>23.974</v>
      </c>
      <c r="E243" s="2659">
        <v>23.794</v>
      </c>
      <c r="F243" s="2659">
        <v>23.324480999999999</v>
      </c>
      <c r="G243" s="2659">
        <v>23.199480999999999</v>
      </c>
      <c r="H243" s="2659">
        <v>22.891468</v>
      </c>
      <c r="I243" s="2659">
        <v>22.583456000000002</v>
      </c>
      <c r="J243" s="2659"/>
      <c r="K243" s="2659" t="s">
        <v>9066</v>
      </c>
      <c r="L243" s="2659">
        <v>22.917468</v>
      </c>
      <c r="M243" s="2659">
        <v>23.153468</v>
      </c>
      <c r="N243" s="2659">
        <v>23.350480999999998</v>
      </c>
      <c r="O243" s="2659">
        <v>23.520481</v>
      </c>
      <c r="P243" s="2659">
        <v>24</v>
      </c>
      <c r="Q243" s="2659">
        <v>24.314337999999999</v>
      </c>
      <c r="R243" s="2667">
        <v>21</v>
      </c>
    </row>
    <row r="244" spans="1:18">
      <c r="A244" s="2651"/>
      <c r="B244" s="2654" t="s">
        <v>9187</v>
      </c>
      <c r="C244" s="2658" t="s">
        <v>9067</v>
      </c>
      <c r="D244" s="2659">
        <v>23.974</v>
      </c>
      <c r="E244" s="2659">
        <v>23.794</v>
      </c>
      <c r="F244" s="2659">
        <v>23.324480999999999</v>
      </c>
      <c r="G244" s="2659">
        <v>23.244481</v>
      </c>
      <c r="H244" s="2659">
        <v>22.891468</v>
      </c>
      <c r="I244" s="2659">
        <v>22.628456</v>
      </c>
      <c r="J244" s="2659"/>
      <c r="K244" s="2659"/>
      <c r="L244" s="2659"/>
      <c r="M244" s="2659"/>
      <c r="N244" s="2659"/>
      <c r="O244" s="2659"/>
      <c r="P244" s="2659"/>
      <c r="Q244" s="2659"/>
      <c r="R244" s="2667"/>
    </row>
    <row r="245" spans="1:18">
      <c r="A245" s="2651"/>
      <c r="B245" s="2654" t="s">
        <v>9188</v>
      </c>
      <c r="C245" s="2658" t="s">
        <v>9065</v>
      </c>
      <c r="D245" s="2659">
        <v>23.978000000000002</v>
      </c>
      <c r="E245" s="2659">
        <v>23.838000000000001</v>
      </c>
      <c r="F245" s="2659">
        <v>23.49086075</v>
      </c>
      <c r="G245" s="2659">
        <v>23.378860750000001</v>
      </c>
      <c r="H245" s="2659">
        <v>23.166101000000001</v>
      </c>
      <c r="I245" s="2659">
        <v>22.916841999999999</v>
      </c>
      <c r="J245" s="2659"/>
      <c r="K245" s="2659" t="s">
        <v>9066</v>
      </c>
      <c r="L245" s="2659">
        <v>23.188101</v>
      </c>
      <c r="M245" s="2659">
        <v>23.378101000000001</v>
      </c>
      <c r="N245" s="2659">
        <v>23.512860750000002</v>
      </c>
      <c r="O245" s="2659">
        <v>23.66286075</v>
      </c>
      <c r="P245" s="2659">
        <v>24</v>
      </c>
      <c r="Q245" s="2659">
        <v>24.258253499999999</v>
      </c>
      <c r="R245" s="2667">
        <v>21</v>
      </c>
    </row>
    <row r="246" spans="1:18">
      <c r="A246" s="2651"/>
      <c r="B246" s="2654" t="s">
        <v>9188</v>
      </c>
      <c r="C246" s="2658" t="s">
        <v>9067</v>
      </c>
      <c r="D246" s="2659">
        <v>23.978000000000002</v>
      </c>
      <c r="E246" s="2659">
        <v>23.838000000000001</v>
      </c>
      <c r="F246" s="2659">
        <v>23.49086075</v>
      </c>
      <c r="G246" s="2659">
        <v>23.419860750000002</v>
      </c>
      <c r="H246" s="2659">
        <v>23.166101000000001</v>
      </c>
      <c r="I246" s="2659">
        <v>22.957841999999999</v>
      </c>
      <c r="J246" s="2659"/>
      <c r="K246" s="2659"/>
      <c r="L246" s="2659"/>
      <c r="M246" s="2659"/>
      <c r="N246" s="2659"/>
      <c r="O246" s="2659"/>
      <c r="P246" s="2659"/>
      <c r="Q246" s="2659"/>
      <c r="R246" s="2667"/>
    </row>
    <row r="247" spans="1:18">
      <c r="A247" s="2651">
        <v>25</v>
      </c>
      <c r="B247" s="2654" t="s">
        <v>9189</v>
      </c>
      <c r="C247" s="2658" t="s">
        <v>9065</v>
      </c>
      <c r="D247" s="2659">
        <v>24.962</v>
      </c>
      <c r="E247" s="2659">
        <v>24.681999999999999</v>
      </c>
      <c r="F247" s="2659">
        <v>23.662962</v>
      </c>
      <c r="G247" s="2659">
        <v>23.492961999999999</v>
      </c>
      <c r="H247" s="2659">
        <v>22.796935999999999</v>
      </c>
      <c r="I247" s="2659">
        <v>22.260912000000001</v>
      </c>
      <c r="J247" s="2659"/>
      <c r="K247" s="2659" t="s">
        <v>9066</v>
      </c>
      <c r="L247" s="2659">
        <v>22.834935999999999</v>
      </c>
      <c r="M247" s="2659">
        <v>23.209935999999999</v>
      </c>
      <c r="N247" s="2659">
        <v>23.700962000000001</v>
      </c>
      <c r="O247" s="2659">
        <v>23.925362</v>
      </c>
      <c r="P247" s="2659">
        <v>25</v>
      </c>
      <c r="Q247" s="2659">
        <v>25.513076000000002</v>
      </c>
      <c r="R247" s="2667">
        <v>22</v>
      </c>
    </row>
    <row r="248" spans="1:18">
      <c r="A248" s="2651"/>
      <c r="B248" s="2654" t="s">
        <v>9189</v>
      </c>
      <c r="C248" s="2658" t="s">
        <v>9067</v>
      </c>
      <c r="D248" s="2659">
        <v>24.962</v>
      </c>
      <c r="E248" s="2659">
        <v>24.681999999999999</v>
      </c>
      <c r="F248" s="2659">
        <v>23.662962</v>
      </c>
      <c r="G248" s="2659">
        <v>23.556961999999999</v>
      </c>
      <c r="H248" s="2659">
        <v>22.796935999999999</v>
      </c>
      <c r="I248" s="2659">
        <v>22.324912000000001</v>
      </c>
      <c r="J248" s="2659"/>
      <c r="K248" s="2659"/>
      <c r="L248" s="2659"/>
      <c r="M248" s="2659"/>
      <c r="N248" s="2659"/>
      <c r="O248" s="2659"/>
      <c r="P248" s="2659"/>
      <c r="Q248" s="2659"/>
      <c r="R248" s="2667"/>
    </row>
    <row r="249" spans="1:18">
      <c r="A249" s="2651"/>
      <c r="B249" s="2658" t="s">
        <v>9190</v>
      </c>
      <c r="C249" s="2658" t="s">
        <v>9065</v>
      </c>
      <c r="D249" s="2659">
        <v>24.968</v>
      </c>
      <c r="E249" s="2659">
        <v>24.731999999999999</v>
      </c>
      <c r="F249" s="2659">
        <v>23.994</v>
      </c>
      <c r="G249" s="2659">
        <v>23.844000000000001</v>
      </c>
      <c r="H249" s="2659">
        <v>23.344000000000001</v>
      </c>
      <c r="I249" s="2659">
        <v>22.92</v>
      </c>
      <c r="J249" s="2659"/>
      <c r="K249" s="2659" t="s">
        <v>9066</v>
      </c>
      <c r="L249" s="2659">
        <v>23.376000000000001</v>
      </c>
      <c r="M249" s="2659">
        <v>23.675999999999998</v>
      </c>
      <c r="N249" s="2659">
        <v>24.026</v>
      </c>
      <c r="O249" s="2659">
        <v>24.225999999999999</v>
      </c>
      <c r="P249" s="2659">
        <v>25</v>
      </c>
      <c r="Q249" s="2659">
        <v>25.416</v>
      </c>
      <c r="R249" s="2667">
        <v>22</v>
      </c>
    </row>
    <row r="250" spans="1:18">
      <c r="A250" s="2651"/>
      <c r="B250" s="2658" t="s">
        <v>9190</v>
      </c>
      <c r="C250" s="2658" t="s">
        <v>9067</v>
      </c>
      <c r="D250" s="2659">
        <v>24.968</v>
      </c>
      <c r="E250" s="2659">
        <v>24.731999999999999</v>
      </c>
      <c r="F250" s="2659">
        <v>23.994</v>
      </c>
      <c r="G250" s="2659">
        <v>23.899000000000001</v>
      </c>
      <c r="H250" s="2659">
        <v>23.344000000000001</v>
      </c>
      <c r="I250" s="2659">
        <v>22.975000000000001</v>
      </c>
      <c r="J250" s="2659"/>
      <c r="K250" s="2659"/>
      <c r="L250" s="2659"/>
      <c r="M250" s="2659"/>
      <c r="N250" s="2659"/>
      <c r="O250" s="2659"/>
      <c r="P250" s="2659"/>
      <c r="Q250" s="2659"/>
      <c r="R250" s="2667"/>
    </row>
    <row r="251" spans="1:18">
      <c r="A251" s="2651"/>
      <c r="B251" s="2654" t="s">
        <v>9191</v>
      </c>
      <c r="C251" s="2658" t="s">
        <v>9065</v>
      </c>
      <c r="D251" s="2659">
        <v>24.974</v>
      </c>
      <c r="E251" s="2659">
        <v>24.794</v>
      </c>
      <c r="F251" s="2659">
        <v>24.324480999999999</v>
      </c>
      <c r="G251" s="2659">
        <v>24.199480999999999</v>
      </c>
      <c r="H251" s="2659">
        <v>23.891468</v>
      </c>
      <c r="I251" s="2659">
        <v>23.583456000000002</v>
      </c>
      <c r="J251" s="2659"/>
      <c r="K251" s="2659" t="s">
        <v>9066</v>
      </c>
      <c r="L251" s="2659">
        <v>23.917468</v>
      </c>
      <c r="M251" s="2659">
        <v>24.153468</v>
      </c>
      <c r="N251" s="2659">
        <v>24.350480999999998</v>
      </c>
      <c r="O251" s="2659">
        <v>24.520481</v>
      </c>
      <c r="P251" s="2659">
        <v>25</v>
      </c>
      <c r="Q251" s="2659">
        <v>25.314337999999999</v>
      </c>
      <c r="R251" s="2667">
        <v>22</v>
      </c>
    </row>
    <row r="252" spans="1:18">
      <c r="A252" s="2651"/>
      <c r="B252" s="2654" t="s">
        <v>9191</v>
      </c>
      <c r="C252" s="2658" t="s">
        <v>9067</v>
      </c>
      <c r="D252" s="2659">
        <v>24.974</v>
      </c>
      <c r="E252" s="2659">
        <v>24.794</v>
      </c>
      <c r="F252" s="2659">
        <v>24.324480999999999</v>
      </c>
      <c r="G252" s="2659">
        <v>24.244481</v>
      </c>
      <c r="H252" s="2659">
        <v>23.891468</v>
      </c>
      <c r="I252" s="2659">
        <v>23.628456</v>
      </c>
      <c r="J252" s="2659"/>
      <c r="K252" s="2659"/>
      <c r="L252" s="2659"/>
      <c r="M252" s="2659"/>
      <c r="N252" s="2659"/>
      <c r="O252" s="2659"/>
      <c r="P252" s="2659"/>
      <c r="Q252" s="2659"/>
      <c r="R252" s="2667"/>
    </row>
    <row r="253" spans="1:18">
      <c r="A253" s="2651">
        <v>26</v>
      </c>
      <c r="B253" s="2654" t="s">
        <v>9192</v>
      </c>
      <c r="C253" s="2658" t="s">
        <v>9065</v>
      </c>
      <c r="D253" s="2659">
        <v>25.968</v>
      </c>
      <c r="E253" s="2659">
        <v>25.731999999999999</v>
      </c>
      <c r="F253" s="2659">
        <v>24.993721499999999</v>
      </c>
      <c r="G253" s="2659">
        <v>24.843721500000001</v>
      </c>
      <c r="H253" s="2659">
        <v>24.344201999999999</v>
      </c>
      <c r="I253" s="2659">
        <v>23.919684</v>
      </c>
      <c r="J253" s="2659"/>
      <c r="K253" s="2659" t="s">
        <v>9066</v>
      </c>
      <c r="L253" s="2659">
        <v>24.376201999999999</v>
      </c>
      <c r="M253" s="2659">
        <v>24.676202</v>
      </c>
      <c r="N253" s="2659">
        <v>25.0257215</v>
      </c>
      <c r="O253" s="2659">
        <v>25.225721499999999</v>
      </c>
      <c r="P253" s="2659">
        <v>26</v>
      </c>
      <c r="Q253" s="2659">
        <v>26.416506999999999</v>
      </c>
      <c r="R253" s="2667">
        <v>24</v>
      </c>
    </row>
    <row r="254" spans="1:18">
      <c r="A254" s="2651"/>
      <c r="B254" s="2654" t="s">
        <v>9192</v>
      </c>
      <c r="C254" s="2658" t="s">
        <v>9067</v>
      </c>
      <c r="D254" s="2659">
        <v>25.968</v>
      </c>
      <c r="E254" s="2659">
        <v>25.731999999999999</v>
      </c>
      <c r="F254" s="2659">
        <v>24.993721499999999</v>
      </c>
      <c r="G254" s="2659">
        <v>24.898721500000001</v>
      </c>
      <c r="H254" s="2659">
        <v>24.344201999999999</v>
      </c>
      <c r="I254" s="2659">
        <v>23.974684</v>
      </c>
      <c r="J254" s="2659"/>
      <c r="K254" s="2659"/>
      <c r="L254" s="2659"/>
      <c r="M254" s="2659"/>
      <c r="N254" s="2659"/>
      <c r="O254" s="2659"/>
      <c r="P254" s="2659"/>
      <c r="Q254" s="2659"/>
      <c r="R254" s="2667"/>
    </row>
    <row r="255" spans="1:18">
      <c r="A255" s="2651">
        <v>27</v>
      </c>
      <c r="B255" s="2658" t="s">
        <v>9193</v>
      </c>
      <c r="C255" s="2658" t="s">
        <v>9065</v>
      </c>
      <c r="D255" s="2659">
        <v>26.952000000000002</v>
      </c>
      <c r="E255" s="2659">
        <v>26.577000000000002</v>
      </c>
      <c r="F255" s="2659">
        <v>25.003</v>
      </c>
      <c r="G255" s="2659">
        <v>24.803000000000001</v>
      </c>
      <c r="H255" s="2659">
        <v>23.704000000000001</v>
      </c>
      <c r="I255" s="2659">
        <v>22.954999999999998</v>
      </c>
      <c r="J255" s="2659"/>
      <c r="K255" s="2659" t="s">
        <v>9066</v>
      </c>
      <c r="L255" s="2659">
        <v>23.751999999999999</v>
      </c>
      <c r="M255" s="2659">
        <v>24.251999999999999</v>
      </c>
      <c r="N255" s="2659">
        <v>25.050999999999998</v>
      </c>
      <c r="O255" s="2659">
        <v>25.315999999999999</v>
      </c>
      <c r="P255" s="2659">
        <v>27</v>
      </c>
      <c r="Q255" s="2659">
        <v>27.698</v>
      </c>
      <c r="R255" s="2667">
        <v>24</v>
      </c>
    </row>
    <row r="256" spans="1:18">
      <c r="A256" s="2651"/>
      <c r="B256" s="2658" t="s">
        <v>9193</v>
      </c>
      <c r="C256" s="2658" t="s">
        <v>9067</v>
      </c>
      <c r="D256" s="2659">
        <v>26.952000000000002</v>
      </c>
      <c r="E256" s="2659">
        <v>26.577000000000002</v>
      </c>
      <c r="F256" s="2659">
        <v>25.003443000000001</v>
      </c>
      <c r="G256" s="2659">
        <v>24.878443000000001</v>
      </c>
      <c r="H256" s="2659">
        <v>23.704404</v>
      </c>
      <c r="I256" s="2659">
        <v>23.030367999999999</v>
      </c>
      <c r="J256" s="2659"/>
      <c r="K256" s="2659"/>
      <c r="L256" s="2659"/>
      <c r="M256" s="2659"/>
      <c r="N256" s="2659"/>
      <c r="O256" s="2659"/>
      <c r="P256" s="2659"/>
      <c r="Q256" s="2659"/>
      <c r="R256" s="2667"/>
    </row>
    <row r="257" spans="1:18">
      <c r="A257" s="2651"/>
      <c r="B257" s="2658" t="s">
        <v>9194</v>
      </c>
      <c r="C257" s="2658" t="s">
        <v>9065</v>
      </c>
      <c r="D257" s="2659">
        <v>26.962</v>
      </c>
      <c r="E257" s="2659">
        <v>26.681999999999999</v>
      </c>
      <c r="F257" s="2659">
        <v>25.663</v>
      </c>
      <c r="G257" s="2659">
        <v>25.492999999999999</v>
      </c>
      <c r="H257" s="2659">
        <v>24.797000000000001</v>
      </c>
      <c r="I257" s="2659">
        <v>24.260999999999999</v>
      </c>
      <c r="J257" s="2659"/>
      <c r="K257" s="2659" t="s">
        <v>9066</v>
      </c>
      <c r="L257" s="2659">
        <v>24.835000000000001</v>
      </c>
      <c r="M257" s="2659">
        <v>25.21</v>
      </c>
      <c r="N257" s="2659">
        <v>25.701000000000001</v>
      </c>
      <c r="O257" s="2659">
        <v>25.925000000000001</v>
      </c>
      <c r="P257" s="2659">
        <v>27</v>
      </c>
      <c r="Q257" s="2659">
        <v>27.513000000000002</v>
      </c>
      <c r="R257" s="2667">
        <v>24</v>
      </c>
    </row>
    <row r="258" spans="1:18">
      <c r="A258" s="2651"/>
      <c r="B258" s="2658" t="s">
        <v>9194</v>
      </c>
      <c r="C258" s="2658" t="s">
        <v>9067</v>
      </c>
      <c r="D258" s="2659">
        <v>29.962</v>
      </c>
      <c r="E258" s="2659">
        <v>26.681999999999999</v>
      </c>
      <c r="F258" s="2659">
        <v>25.663</v>
      </c>
      <c r="G258" s="2659">
        <v>25.556999999999999</v>
      </c>
      <c r="H258" s="2659">
        <v>24.797000000000001</v>
      </c>
      <c r="I258" s="2659">
        <v>24.324999999999999</v>
      </c>
      <c r="J258" s="2659"/>
      <c r="K258" s="2659"/>
      <c r="L258" s="2659"/>
      <c r="M258" s="2659"/>
      <c r="N258" s="2659"/>
      <c r="O258" s="2659"/>
      <c r="P258" s="2659"/>
      <c r="Q258" s="2659"/>
      <c r="R258" s="2667"/>
    </row>
    <row r="259" spans="1:18">
      <c r="A259" s="2651"/>
      <c r="B259" s="2654" t="s">
        <v>9195</v>
      </c>
      <c r="C259" s="2658" t="s">
        <v>9065</v>
      </c>
      <c r="D259" s="2659">
        <v>26.968</v>
      </c>
      <c r="E259" s="2659">
        <v>26.731999999999999</v>
      </c>
      <c r="F259" s="2659">
        <v>25.993721499999999</v>
      </c>
      <c r="G259" s="2659">
        <v>25.843721500000001</v>
      </c>
      <c r="H259" s="2659">
        <v>25.344201999999999</v>
      </c>
      <c r="I259" s="2659">
        <v>24.919684</v>
      </c>
      <c r="J259" s="2659"/>
      <c r="K259" s="2659" t="s">
        <v>9066</v>
      </c>
      <c r="L259" s="2659">
        <v>25.376201999999999</v>
      </c>
      <c r="M259" s="2659">
        <v>25.676202</v>
      </c>
      <c r="N259" s="2659">
        <v>26.0257215</v>
      </c>
      <c r="O259" s="2659">
        <v>26.225721499999999</v>
      </c>
      <c r="P259" s="2659">
        <v>27</v>
      </c>
      <c r="Q259" s="2659">
        <v>27.416506999999999</v>
      </c>
      <c r="R259" s="2667">
        <v>24</v>
      </c>
    </row>
    <row r="260" spans="1:18">
      <c r="A260" s="2651"/>
      <c r="B260" s="2654" t="s">
        <v>9195</v>
      </c>
      <c r="C260" s="2658" t="s">
        <v>9067</v>
      </c>
      <c r="D260" s="2659">
        <v>26.968</v>
      </c>
      <c r="E260" s="2659">
        <v>26.731999999999999</v>
      </c>
      <c r="F260" s="2659">
        <v>25.993721499999999</v>
      </c>
      <c r="G260" s="2659">
        <v>25.898721500000001</v>
      </c>
      <c r="H260" s="2659">
        <v>25.344201999999999</v>
      </c>
      <c r="I260" s="2659">
        <v>24.974684</v>
      </c>
      <c r="J260" s="2659"/>
      <c r="K260" s="2659"/>
      <c r="L260" s="2659"/>
      <c r="M260" s="2659"/>
      <c r="N260" s="2659"/>
      <c r="O260" s="2659"/>
      <c r="P260" s="2659"/>
      <c r="Q260" s="2659"/>
      <c r="R260" s="2667"/>
    </row>
    <row r="261" spans="1:18">
      <c r="A261" s="2651"/>
      <c r="B261" s="2654" t="s">
        <v>9196</v>
      </c>
      <c r="C261" s="2658" t="s">
        <v>9065</v>
      </c>
      <c r="D261" s="2659">
        <v>26.974</v>
      </c>
      <c r="E261" s="2659">
        <v>26.794</v>
      </c>
      <c r="F261" s="2659">
        <v>26.324480999999999</v>
      </c>
      <c r="G261" s="2659">
        <v>26.199480999999999</v>
      </c>
      <c r="H261" s="2659">
        <v>25.891468</v>
      </c>
      <c r="I261" s="2659">
        <v>25.583456000000002</v>
      </c>
      <c r="J261" s="2659"/>
      <c r="K261" s="2659" t="s">
        <v>9066</v>
      </c>
      <c r="L261" s="2659">
        <v>25.917468</v>
      </c>
      <c r="M261" s="2659">
        <v>26.153468</v>
      </c>
      <c r="N261" s="2659">
        <v>26.350480999999998</v>
      </c>
      <c r="O261" s="2659">
        <v>26.520481</v>
      </c>
      <c r="P261" s="2659">
        <v>27</v>
      </c>
      <c r="Q261" s="2659">
        <v>27.314337999999999</v>
      </c>
      <c r="R261" s="2667">
        <v>24</v>
      </c>
    </row>
    <row r="262" spans="1:18">
      <c r="A262" s="2651"/>
      <c r="B262" s="2654" t="s">
        <v>9196</v>
      </c>
      <c r="C262" s="2658" t="s">
        <v>9067</v>
      </c>
      <c r="D262" s="2659">
        <v>26.974</v>
      </c>
      <c r="E262" s="2659">
        <v>26.794</v>
      </c>
      <c r="F262" s="2659">
        <v>26.324480999999999</v>
      </c>
      <c r="G262" s="2659">
        <v>26.244481</v>
      </c>
      <c r="H262" s="2659">
        <v>25.891468</v>
      </c>
      <c r="I262" s="2659">
        <v>25.628456</v>
      </c>
      <c r="J262" s="2659"/>
      <c r="K262" s="2659"/>
      <c r="L262" s="2659"/>
      <c r="M262" s="2659"/>
      <c r="N262" s="2659"/>
      <c r="O262" s="2659"/>
      <c r="P262" s="2659"/>
      <c r="Q262" s="2659"/>
      <c r="R262" s="2667"/>
    </row>
    <row r="263" spans="1:18">
      <c r="A263" s="2651"/>
      <c r="B263" s="2654" t="s">
        <v>9197</v>
      </c>
      <c r="C263" s="2658" t="s">
        <v>9065</v>
      </c>
      <c r="D263" s="2659">
        <v>26.978000000000002</v>
      </c>
      <c r="E263" s="2659">
        <v>26.838000000000001</v>
      </c>
      <c r="F263" s="2659">
        <v>26.49086075</v>
      </c>
      <c r="G263" s="2659">
        <v>26.378860750000001</v>
      </c>
      <c r="H263" s="2659">
        <v>26.166101000000001</v>
      </c>
      <c r="I263" s="2659">
        <v>25.916841999999999</v>
      </c>
      <c r="J263" s="2659"/>
      <c r="K263" s="2659" t="s">
        <v>9066</v>
      </c>
      <c r="L263" s="2659">
        <v>26.188101</v>
      </c>
      <c r="M263" s="2659">
        <v>26.378101000000001</v>
      </c>
      <c r="N263" s="2659">
        <v>26.512860750000002</v>
      </c>
      <c r="O263" s="2659">
        <v>26.66286075</v>
      </c>
      <c r="P263" s="2659">
        <v>27</v>
      </c>
      <c r="Q263" s="2659">
        <v>27.258253499999999</v>
      </c>
      <c r="R263" s="2667">
        <v>24</v>
      </c>
    </row>
    <row r="264" spans="1:18">
      <c r="A264" s="2651"/>
      <c r="B264" s="2654" t="s">
        <v>9197</v>
      </c>
      <c r="C264" s="2658" t="s">
        <v>9067</v>
      </c>
      <c r="D264" s="2659">
        <v>26.978000000000002</v>
      </c>
      <c r="E264" s="2659">
        <v>26.838000000000001</v>
      </c>
      <c r="F264" s="2659">
        <v>26.49086075</v>
      </c>
      <c r="G264" s="2659">
        <v>26.419860750000002</v>
      </c>
      <c r="H264" s="2659">
        <v>26.166101000000001</v>
      </c>
      <c r="I264" s="2659">
        <v>25.957841999999999</v>
      </c>
      <c r="J264" s="2659"/>
      <c r="K264" s="2659"/>
      <c r="L264" s="2659"/>
      <c r="M264" s="2659"/>
      <c r="N264" s="2659"/>
      <c r="O264" s="2659"/>
      <c r="P264" s="2659"/>
      <c r="Q264" s="2659"/>
      <c r="R264" s="2667"/>
    </row>
    <row r="265" spans="1:18">
      <c r="A265" s="2651">
        <v>28</v>
      </c>
      <c r="B265" s="2654" t="s">
        <v>9198</v>
      </c>
      <c r="C265" s="2658" t="s">
        <v>9065</v>
      </c>
      <c r="D265" s="2659">
        <v>27.962</v>
      </c>
      <c r="E265" s="2659">
        <v>27.681999999999999</v>
      </c>
      <c r="F265" s="2659">
        <v>26.662962</v>
      </c>
      <c r="G265" s="2659">
        <v>26.492961999999999</v>
      </c>
      <c r="H265" s="2659">
        <v>25.796935999999999</v>
      </c>
      <c r="I265" s="2659">
        <v>25.260912000000001</v>
      </c>
      <c r="J265" s="2659"/>
      <c r="K265" s="2659" t="s">
        <v>9066</v>
      </c>
      <c r="L265" s="2659">
        <v>25.834935999999999</v>
      </c>
      <c r="M265" s="2659">
        <v>26.209935999999999</v>
      </c>
      <c r="N265" s="2659">
        <v>26.700962000000001</v>
      </c>
      <c r="O265" s="2659">
        <v>26.925362</v>
      </c>
      <c r="P265" s="2659">
        <v>28</v>
      </c>
      <c r="Q265" s="2659">
        <v>28.513076000000002</v>
      </c>
      <c r="R265" s="2667">
        <v>25</v>
      </c>
    </row>
    <row r="266" spans="1:18">
      <c r="A266" s="2651"/>
      <c r="B266" s="2654" t="s">
        <v>9198</v>
      </c>
      <c r="C266" s="2658" t="s">
        <v>9067</v>
      </c>
      <c r="D266" s="2659">
        <v>27.962</v>
      </c>
      <c r="E266" s="2659">
        <v>27.681999999999999</v>
      </c>
      <c r="F266" s="2659">
        <v>26.662962</v>
      </c>
      <c r="G266" s="2659">
        <v>26.556961999999999</v>
      </c>
      <c r="H266" s="2659">
        <v>25.796935999999999</v>
      </c>
      <c r="I266" s="2659">
        <v>25.324912000000001</v>
      </c>
      <c r="J266" s="2659"/>
      <c r="K266" s="2659"/>
      <c r="L266" s="2659"/>
      <c r="M266" s="2659"/>
      <c r="N266" s="2659"/>
      <c r="O266" s="2659"/>
      <c r="P266" s="2659"/>
      <c r="Q266" s="2659"/>
      <c r="R266" s="2667"/>
    </row>
    <row r="267" spans="1:18">
      <c r="A267" s="2651"/>
      <c r="B267" s="2654" t="s">
        <v>9199</v>
      </c>
      <c r="C267" s="2658" t="s">
        <v>9065</v>
      </c>
      <c r="D267" s="2659">
        <v>27.968</v>
      </c>
      <c r="E267" s="2659">
        <v>27.731999999999999</v>
      </c>
      <c r="F267" s="2659">
        <v>26.993721499999999</v>
      </c>
      <c r="G267" s="2659">
        <v>26.843721500000001</v>
      </c>
      <c r="H267" s="2659">
        <v>26.344201999999999</v>
      </c>
      <c r="I267" s="2659">
        <v>25.919684</v>
      </c>
      <c r="J267" s="2659"/>
      <c r="K267" s="2659" t="s">
        <v>9066</v>
      </c>
      <c r="L267" s="2659">
        <v>26.376201999999999</v>
      </c>
      <c r="M267" s="2659">
        <v>26.676202</v>
      </c>
      <c r="N267" s="2659">
        <v>27.0257215</v>
      </c>
      <c r="O267" s="2659">
        <v>27.225721499999999</v>
      </c>
      <c r="P267" s="2659">
        <v>28</v>
      </c>
      <c r="Q267" s="2659">
        <v>28.416506999999999</v>
      </c>
      <c r="R267" s="2667">
        <v>25</v>
      </c>
    </row>
    <row r="268" spans="1:18">
      <c r="A268" s="2651"/>
      <c r="B268" s="2654" t="s">
        <v>9199</v>
      </c>
      <c r="C268" s="2658" t="s">
        <v>9067</v>
      </c>
      <c r="D268" s="2659">
        <v>27.968</v>
      </c>
      <c r="E268" s="2659">
        <v>27.731999999999999</v>
      </c>
      <c r="F268" s="2659">
        <v>26.993721499999999</v>
      </c>
      <c r="G268" s="2659">
        <v>26.898721500000001</v>
      </c>
      <c r="H268" s="2659">
        <v>26.344201999999999</v>
      </c>
      <c r="I268" s="2659">
        <v>25.974684</v>
      </c>
      <c r="J268" s="2659"/>
      <c r="K268" s="2659"/>
      <c r="L268" s="2659"/>
      <c r="M268" s="2659"/>
      <c r="N268" s="2659"/>
      <c r="O268" s="2659"/>
      <c r="P268" s="2659"/>
      <c r="Q268" s="2659"/>
      <c r="R268" s="2667"/>
    </row>
    <row r="269" spans="1:18">
      <c r="A269" s="2651"/>
      <c r="B269" s="2654" t="s">
        <v>9200</v>
      </c>
      <c r="C269" s="2658" t="s">
        <v>9065</v>
      </c>
      <c r="D269" s="2659">
        <v>27.974</v>
      </c>
      <c r="E269" s="2659">
        <v>27.794</v>
      </c>
      <c r="F269" s="2659">
        <v>27.324480999999999</v>
      </c>
      <c r="G269" s="2659">
        <v>27.199480999999999</v>
      </c>
      <c r="H269" s="2659">
        <v>26.891468</v>
      </c>
      <c r="I269" s="2659">
        <v>26.583456000000002</v>
      </c>
      <c r="J269" s="2659"/>
      <c r="K269" s="2659" t="s">
        <v>9066</v>
      </c>
      <c r="L269" s="2659">
        <v>26.917468</v>
      </c>
      <c r="M269" s="2659">
        <v>27.153468</v>
      </c>
      <c r="N269" s="2659">
        <v>27.350480999999998</v>
      </c>
      <c r="O269" s="2659">
        <v>27.520481</v>
      </c>
      <c r="P269" s="2659">
        <v>28</v>
      </c>
      <c r="Q269" s="2659">
        <v>28.314337999999999</v>
      </c>
      <c r="R269" s="2667">
        <v>25</v>
      </c>
    </row>
    <row r="270" spans="1:18">
      <c r="A270" s="2651"/>
      <c r="B270" s="2654" t="s">
        <v>9200</v>
      </c>
      <c r="C270" s="2658" t="s">
        <v>9067</v>
      </c>
      <c r="D270" s="2659">
        <v>27.974</v>
      </c>
      <c r="E270" s="2659">
        <v>27.794</v>
      </c>
      <c r="F270" s="2659">
        <v>27.324480999999999</v>
      </c>
      <c r="G270" s="2659">
        <v>27.244481</v>
      </c>
      <c r="H270" s="2659">
        <v>26.891468</v>
      </c>
      <c r="I270" s="2659">
        <v>26.628456</v>
      </c>
      <c r="J270" s="2659"/>
      <c r="K270" s="2659"/>
      <c r="L270" s="2659"/>
      <c r="M270" s="2659"/>
      <c r="N270" s="2659"/>
      <c r="O270" s="2659"/>
      <c r="P270" s="2659"/>
      <c r="Q270" s="2659"/>
      <c r="R270" s="2667"/>
    </row>
    <row r="271" spans="1:18">
      <c r="A271" s="2651">
        <v>30</v>
      </c>
      <c r="B271" s="2658" t="s">
        <v>9201</v>
      </c>
      <c r="C271" s="2658" t="s">
        <v>9065</v>
      </c>
      <c r="D271" s="2659">
        <v>29.946999999999999</v>
      </c>
      <c r="E271" s="2659">
        <v>29.521999999999998</v>
      </c>
      <c r="F271" s="2659">
        <v>27.673999999999999</v>
      </c>
      <c r="G271" s="2659">
        <v>27.462</v>
      </c>
      <c r="H271" s="2659">
        <v>26.158000000000001</v>
      </c>
      <c r="I271" s="2659">
        <v>25.306000000000001</v>
      </c>
      <c r="J271" s="2659"/>
      <c r="K271" s="2659" t="s">
        <v>9066</v>
      </c>
      <c r="L271" s="2659">
        <v>26.210999999999999</v>
      </c>
      <c r="M271" s="2659">
        <v>26.771000000000001</v>
      </c>
      <c r="N271" s="2659">
        <v>27.727</v>
      </c>
      <c r="O271" s="2659">
        <v>28.007000000000001</v>
      </c>
      <c r="P271" s="2659">
        <v>30</v>
      </c>
      <c r="Q271" s="2659">
        <v>30.785</v>
      </c>
      <c r="R271" s="2667">
        <v>26.5</v>
      </c>
    </row>
    <row r="272" spans="1:18">
      <c r="A272" s="2651"/>
      <c r="B272" s="2658" t="s">
        <v>9201</v>
      </c>
      <c r="C272" s="2658" t="s">
        <v>9067</v>
      </c>
      <c r="D272" s="2659">
        <v>29.946999999999999</v>
      </c>
      <c r="E272" s="2659">
        <v>29.521999999999998</v>
      </c>
      <c r="F272" s="2659">
        <v>27.673999999999999</v>
      </c>
      <c r="G272" s="2659">
        <v>27.542000000000002</v>
      </c>
      <c r="H272" s="2659">
        <v>26.158000000000001</v>
      </c>
      <c r="I272" s="2659">
        <v>25.385999999999999</v>
      </c>
      <c r="J272" s="2659"/>
      <c r="K272" s="2659"/>
      <c r="L272" s="2659"/>
      <c r="M272" s="2659"/>
      <c r="N272" s="2659"/>
      <c r="O272" s="2659"/>
      <c r="P272" s="2659"/>
      <c r="Q272" s="2659"/>
      <c r="R272" s="2667"/>
    </row>
    <row r="273" spans="1:18">
      <c r="A273" s="2651"/>
      <c r="B273" s="2654" t="s">
        <v>9202</v>
      </c>
      <c r="C273" s="2658" t="s">
        <v>9065</v>
      </c>
      <c r="D273" s="2659">
        <v>29.952000000000002</v>
      </c>
      <c r="E273" s="2659">
        <v>29.577000000000002</v>
      </c>
      <c r="F273" s="2659">
        <v>28.003443000000001</v>
      </c>
      <c r="G273" s="2659">
        <v>27.803443000000001</v>
      </c>
      <c r="H273" s="2659">
        <v>26.704404</v>
      </c>
      <c r="I273" s="2659">
        <v>25.955368</v>
      </c>
      <c r="J273" s="2659"/>
      <c r="K273" s="2659" t="s">
        <v>9066</v>
      </c>
      <c r="L273" s="2659">
        <v>26.752403999999999</v>
      </c>
      <c r="M273" s="2659">
        <v>27.252403999999999</v>
      </c>
      <c r="N273" s="2659">
        <v>28.051442999999999</v>
      </c>
      <c r="O273" s="2659">
        <v>28.316443</v>
      </c>
      <c r="P273" s="2659">
        <v>30</v>
      </c>
      <c r="Q273" s="2659">
        <v>30.698014000000001</v>
      </c>
      <c r="R273" s="2667">
        <v>26.5</v>
      </c>
    </row>
    <row r="274" spans="1:18">
      <c r="A274" s="2651"/>
      <c r="B274" s="2654" t="s">
        <v>9202</v>
      </c>
      <c r="C274" s="2658" t="s">
        <v>9067</v>
      </c>
      <c r="D274" s="2659">
        <v>29.952000000000002</v>
      </c>
      <c r="E274" s="2659">
        <v>29.577000000000002</v>
      </c>
      <c r="F274" s="2659">
        <v>28.003443000000001</v>
      </c>
      <c r="G274" s="2659">
        <v>27.878443000000001</v>
      </c>
      <c r="H274" s="2659">
        <v>26.704404</v>
      </c>
      <c r="I274" s="2659">
        <v>26.030367999999999</v>
      </c>
      <c r="J274" s="2659"/>
      <c r="K274" s="2659"/>
      <c r="L274" s="2659"/>
      <c r="M274" s="2659"/>
      <c r="N274" s="2659"/>
      <c r="O274" s="2659"/>
      <c r="P274" s="2659"/>
      <c r="Q274" s="2659"/>
      <c r="R274" s="2667"/>
    </row>
    <row r="275" spans="1:18">
      <c r="A275" s="2651"/>
      <c r="B275" s="2654" t="s">
        <v>9203</v>
      </c>
      <c r="C275" s="2658" t="s">
        <v>9065</v>
      </c>
      <c r="D275" s="2659">
        <v>29.957999999999998</v>
      </c>
      <c r="E275" s="2659">
        <v>29.623000000000001</v>
      </c>
      <c r="F275" s="2659">
        <v>28.3342025</v>
      </c>
      <c r="G275" s="2659">
        <v>28.144202499999999</v>
      </c>
      <c r="H275" s="2659">
        <v>27.251670000000001</v>
      </c>
      <c r="I275" s="2659">
        <v>26.604140000000001</v>
      </c>
      <c r="J275" s="2659"/>
      <c r="K275" s="2659" t="s">
        <v>9066</v>
      </c>
      <c r="L275" s="2659">
        <v>27.293669999999999</v>
      </c>
      <c r="M275" s="2659">
        <v>27.743670000000002</v>
      </c>
      <c r="N275" s="2659">
        <v>28.376202500000002</v>
      </c>
      <c r="O275" s="2659">
        <v>28.626202500000002</v>
      </c>
      <c r="P275" s="2659">
        <v>30</v>
      </c>
      <c r="Q275" s="2659">
        <v>30.610845000000001</v>
      </c>
      <c r="R275" s="2667">
        <v>26.5</v>
      </c>
    </row>
    <row r="276" spans="1:18">
      <c r="A276" s="2651"/>
      <c r="B276" s="2654" t="s">
        <v>9203</v>
      </c>
      <c r="C276" s="2658" t="s">
        <v>9067</v>
      </c>
      <c r="D276" s="2659">
        <v>29.957999999999998</v>
      </c>
      <c r="E276" s="2659">
        <v>29.623000000000001</v>
      </c>
      <c r="F276" s="2659">
        <v>28.3342025</v>
      </c>
      <c r="G276" s="2659">
        <v>28.214202499999999</v>
      </c>
      <c r="H276" s="2659">
        <v>27.251670000000001</v>
      </c>
      <c r="I276" s="2659">
        <v>26.674140000000001</v>
      </c>
      <c r="J276" s="2659"/>
      <c r="K276" s="2659"/>
      <c r="L276" s="2659"/>
      <c r="M276" s="2659"/>
      <c r="N276" s="2659"/>
      <c r="O276" s="2659"/>
      <c r="P276" s="2659"/>
      <c r="Q276" s="2659"/>
      <c r="R276" s="2667"/>
    </row>
    <row r="277" spans="1:18">
      <c r="A277" s="2651"/>
      <c r="B277" s="2658" t="s">
        <v>9204</v>
      </c>
      <c r="C277" s="2658" t="s">
        <v>9065</v>
      </c>
      <c r="D277" s="2659">
        <v>29.962</v>
      </c>
      <c r="E277" s="2659">
        <v>29.681999999999999</v>
      </c>
      <c r="F277" s="2659">
        <v>28.663</v>
      </c>
      <c r="G277" s="2659">
        <v>28.492999999999999</v>
      </c>
      <c r="H277" s="2659">
        <v>27.797000000000001</v>
      </c>
      <c r="I277" s="2659">
        <v>27.260999999999999</v>
      </c>
      <c r="J277" s="2659"/>
      <c r="K277" s="2659" t="s">
        <v>9066</v>
      </c>
      <c r="L277" s="2659">
        <v>27.835000000000001</v>
      </c>
      <c r="M277" s="2659">
        <v>28.21</v>
      </c>
      <c r="N277" s="2659">
        <v>28.701000000000001</v>
      </c>
      <c r="O277" s="2659">
        <v>28.925000000000001</v>
      </c>
      <c r="P277" s="2659">
        <v>30</v>
      </c>
      <c r="Q277" s="2659">
        <v>30.513000000000002</v>
      </c>
      <c r="R277" s="2667">
        <v>26.5</v>
      </c>
    </row>
    <row r="278" spans="1:18">
      <c r="A278" s="2651"/>
      <c r="B278" s="2658" t="s">
        <v>9204</v>
      </c>
      <c r="C278" s="2658" t="s">
        <v>9067</v>
      </c>
      <c r="D278" s="2659">
        <v>29.962</v>
      </c>
      <c r="E278" s="2659">
        <v>29.681999999999999</v>
      </c>
      <c r="F278" s="2659">
        <v>28.663</v>
      </c>
      <c r="G278" s="2659">
        <v>28.556999999999999</v>
      </c>
      <c r="H278" s="2659">
        <v>27.797000000000001</v>
      </c>
      <c r="I278" s="2659">
        <v>27.324999999999999</v>
      </c>
      <c r="J278" s="2659"/>
      <c r="K278" s="2659"/>
      <c r="L278" s="2659"/>
      <c r="M278" s="2659"/>
      <c r="N278" s="2659"/>
      <c r="O278" s="2659"/>
      <c r="P278" s="2659"/>
      <c r="Q278" s="2659"/>
      <c r="R278" s="2667"/>
    </row>
    <row r="279" spans="1:18">
      <c r="A279" s="2651"/>
      <c r="B279" s="2658" t="s">
        <v>9205</v>
      </c>
      <c r="C279" s="2658" t="s">
        <v>9065</v>
      </c>
      <c r="D279" s="2659">
        <v>29.968</v>
      </c>
      <c r="E279" s="2659">
        <v>29.731999999999999</v>
      </c>
      <c r="F279" s="2659">
        <v>28.994</v>
      </c>
      <c r="G279" s="2659">
        <v>28.844000000000001</v>
      </c>
      <c r="H279" s="2659">
        <v>28.344000000000001</v>
      </c>
      <c r="I279" s="2659">
        <v>27.92</v>
      </c>
      <c r="J279" s="2659"/>
      <c r="K279" s="2659" t="s">
        <v>9066</v>
      </c>
      <c r="L279" s="2659">
        <v>28.376000000000001</v>
      </c>
      <c r="M279" s="2659">
        <v>28.675999999999998</v>
      </c>
      <c r="N279" s="2659">
        <v>29.026</v>
      </c>
      <c r="O279" s="2659">
        <v>29.225999999999999</v>
      </c>
      <c r="P279" s="2659">
        <v>30</v>
      </c>
      <c r="Q279" s="2659">
        <v>30.416</v>
      </c>
      <c r="R279" s="2667">
        <v>26.5</v>
      </c>
    </row>
    <row r="280" spans="1:18">
      <c r="A280" s="2651"/>
      <c r="B280" s="2658" t="s">
        <v>9205</v>
      </c>
      <c r="C280" s="2658" t="s">
        <v>9067</v>
      </c>
      <c r="D280" s="2659">
        <v>29.968</v>
      </c>
      <c r="E280" s="2659">
        <v>29.731999999999999</v>
      </c>
      <c r="F280" s="2659">
        <v>28.994</v>
      </c>
      <c r="G280" s="2659">
        <v>28.899000000000001</v>
      </c>
      <c r="H280" s="2659">
        <v>28.344000000000001</v>
      </c>
      <c r="I280" s="2659">
        <v>27.975000000000001</v>
      </c>
      <c r="J280" s="2659"/>
      <c r="K280" s="2659"/>
      <c r="L280" s="2659"/>
      <c r="M280" s="2659"/>
      <c r="N280" s="2659"/>
      <c r="O280" s="2659"/>
      <c r="P280" s="2659"/>
      <c r="Q280" s="2659"/>
      <c r="R280" s="2667"/>
    </row>
    <row r="281" spans="1:18">
      <c r="A281" s="2651"/>
      <c r="B281" s="2654" t="s">
        <v>9206</v>
      </c>
      <c r="C281" s="2658" t="s">
        <v>9065</v>
      </c>
      <c r="D281" s="2659">
        <v>29.974</v>
      </c>
      <c r="E281" s="2659">
        <v>29.794</v>
      </c>
      <c r="F281" s="2659">
        <v>29.324480999999999</v>
      </c>
      <c r="G281" s="2659">
        <v>29.199480999999999</v>
      </c>
      <c r="H281" s="2659">
        <v>28.891468</v>
      </c>
      <c r="I281" s="2659">
        <v>28.583456000000002</v>
      </c>
      <c r="J281" s="2659"/>
      <c r="K281" s="2659" t="s">
        <v>9066</v>
      </c>
      <c r="L281" s="2659">
        <v>28.917468</v>
      </c>
      <c r="M281" s="2659">
        <v>29.153468</v>
      </c>
      <c r="N281" s="2659">
        <v>29.350480999999998</v>
      </c>
      <c r="O281" s="2659">
        <v>29.520481</v>
      </c>
      <c r="P281" s="2659">
        <v>30</v>
      </c>
      <c r="Q281" s="2659">
        <v>30.314337999999999</v>
      </c>
      <c r="R281" s="2667">
        <v>26.5</v>
      </c>
    </row>
    <row r="282" spans="1:18">
      <c r="A282" s="2651"/>
      <c r="B282" s="2654" t="s">
        <v>9206</v>
      </c>
      <c r="C282" s="2658" t="s">
        <v>9067</v>
      </c>
      <c r="D282" s="2659">
        <v>29.974</v>
      </c>
      <c r="E282" s="2659">
        <v>29.794</v>
      </c>
      <c r="F282" s="2659">
        <v>29.324480999999999</v>
      </c>
      <c r="G282" s="2659">
        <v>29.244481</v>
      </c>
      <c r="H282" s="2659">
        <v>28.891468</v>
      </c>
      <c r="I282" s="2659">
        <v>28.628456</v>
      </c>
      <c r="J282" s="2659"/>
      <c r="K282" s="2659"/>
      <c r="L282" s="2659"/>
      <c r="M282" s="2659"/>
      <c r="N282" s="2659"/>
      <c r="O282" s="2659"/>
      <c r="P282" s="2659"/>
      <c r="Q282" s="2659"/>
      <c r="R282" s="2667"/>
    </row>
    <row r="283" spans="1:18">
      <c r="A283" s="2651"/>
      <c r="B283" s="2654" t="s">
        <v>9207</v>
      </c>
      <c r="C283" s="2658" t="s">
        <v>9065</v>
      </c>
      <c r="D283" s="2659">
        <v>29.978000000000002</v>
      </c>
      <c r="E283" s="2659">
        <v>29.838000000000001</v>
      </c>
      <c r="F283" s="2659">
        <v>29.49086075</v>
      </c>
      <c r="G283" s="2659">
        <v>29.378860750000001</v>
      </c>
      <c r="H283" s="2659">
        <v>29.166101000000001</v>
      </c>
      <c r="I283" s="2659">
        <v>28.916841999999999</v>
      </c>
      <c r="J283" s="2659"/>
      <c r="K283" s="2659" t="s">
        <v>9066</v>
      </c>
      <c r="L283" s="2659">
        <v>29.188101</v>
      </c>
      <c r="M283" s="2659">
        <v>29.378101000000001</v>
      </c>
      <c r="N283" s="2659">
        <v>29.512860750000002</v>
      </c>
      <c r="O283" s="2659">
        <v>29.66286075</v>
      </c>
      <c r="P283" s="2659">
        <v>30</v>
      </c>
      <c r="Q283" s="2659">
        <v>30.258253499999999</v>
      </c>
      <c r="R283" s="2667">
        <v>26.5</v>
      </c>
    </row>
    <row r="284" spans="1:18">
      <c r="A284" s="2651"/>
      <c r="B284" s="2654" t="s">
        <v>9207</v>
      </c>
      <c r="C284" s="2658" t="s">
        <v>9067</v>
      </c>
      <c r="D284" s="2659">
        <v>29.978000000000002</v>
      </c>
      <c r="E284" s="2659">
        <v>29.838000000000001</v>
      </c>
      <c r="F284" s="2659">
        <v>29.49086075</v>
      </c>
      <c r="G284" s="2659">
        <v>29.419860750000002</v>
      </c>
      <c r="H284" s="2659">
        <v>29.166101000000001</v>
      </c>
      <c r="I284" s="2659">
        <v>28.957841999999999</v>
      </c>
      <c r="J284" s="2659"/>
      <c r="K284" s="2659"/>
      <c r="L284" s="2659"/>
      <c r="M284" s="2659"/>
      <c r="N284" s="2659"/>
      <c r="O284" s="2659"/>
      <c r="P284" s="2659"/>
      <c r="Q284" s="2659"/>
      <c r="R284" s="2667"/>
    </row>
    <row r="285" spans="1:18">
      <c r="A285" s="2651">
        <v>32</v>
      </c>
      <c r="B285" s="2654" t="s">
        <v>9208</v>
      </c>
      <c r="C285" s="2658" t="s">
        <v>9065</v>
      </c>
      <c r="D285" s="2659">
        <v>31.962</v>
      </c>
      <c r="E285" s="2659">
        <v>31.681999999999999</v>
      </c>
      <c r="F285" s="2659">
        <v>30.662962</v>
      </c>
      <c r="G285" s="2659">
        <v>30.492961999999999</v>
      </c>
      <c r="H285" s="2659">
        <v>29.796935999999999</v>
      </c>
      <c r="I285" s="2659">
        <v>29.260912000000001</v>
      </c>
      <c r="J285" s="2659"/>
      <c r="K285" s="2659" t="s">
        <v>9066</v>
      </c>
      <c r="L285" s="2659">
        <v>29.834935999999999</v>
      </c>
      <c r="M285" s="2659">
        <v>30.209935999999999</v>
      </c>
      <c r="N285" s="2659">
        <v>30.700962000000001</v>
      </c>
      <c r="O285" s="2659">
        <v>30.925362</v>
      </c>
      <c r="P285" s="2659">
        <v>32</v>
      </c>
      <c r="Q285" s="2659">
        <v>32.513075999999998</v>
      </c>
      <c r="R285" s="2667">
        <v>28</v>
      </c>
    </row>
    <row r="286" spans="1:18">
      <c r="A286" s="2651"/>
      <c r="B286" s="2654" t="s">
        <v>9208</v>
      </c>
      <c r="C286" s="2658" t="s">
        <v>9067</v>
      </c>
      <c r="D286" s="2659">
        <v>31.962</v>
      </c>
      <c r="E286" s="2659">
        <v>31.681999999999999</v>
      </c>
      <c r="F286" s="2659">
        <v>30.662962</v>
      </c>
      <c r="G286" s="2659">
        <v>30.556961999999999</v>
      </c>
      <c r="H286" s="2659">
        <v>29.796935999999999</v>
      </c>
      <c r="I286" s="2659">
        <v>29.324912000000001</v>
      </c>
      <c r="J286" s="2659"/>
      <c r="K286" s="2659"/>
      <c r="L286" s="2659"/>
      <c r="M286" s="2659"/>
      <c r="N286" s="2659"/>
      <c r="O286" s="2659"/>
      <c r="P286" s="2659"/>
      <c r="Q286" s="2659"/>
      <c r="R286" s="2667"/>
    </row>
    <row r="287" spans="1:18">
      <c r="A287" s="2651"/>
      <c r="B287" s="2654" t="s">
        <v>9209</v>
      </c>
      <c r="C287" s="2658" t="s">
        <v>9065</v>
      </c>
      <c r="D287" s="2659">
        <v>31.968</v>
      </c>
      <c r="E287" s="2659">
        <v>31.731999999999999</v>
      </c>
      <c r="F287" s="2659">
        <v>30.993721499999999</v>
      </c>
      <c r="G287" s="2659">
        <v>30.843721500000001</v>
      </c>
      <c r="H287" s="2659">
        <v>30.344201999999999</v>
      </c>
      <c r="I287" s="2659">
        <v>29.919684</v>
      </c>
      <c r="J287" s="2659"/>
      <c r="K287" s="2659" t="s">
        <v>9066</v>
      </c>
      <c r="L287" s="2659">
        <v>30.376201999999999</v>
      </c>
      <c r="M287" s="2659">
        <v>30.676202</v>
      </c>
      <c r="N287" s="2659">
        <v>31.0257215</v>
      </c>
      <c r="O287" s="2659">
        <v>31.225721499999999</v>
      </c>
      <c r="P287" s="2659">
        <v>32</v>
      </c>
      <c r="Q287" s="2659">
        <v>32.416507000000003</v>
      </c>
      <c r="R287" s="2667">
        <v>28</v>
      </c>
    </row>
    <row r="288" spans="1:18">
      <c r="A288" s="2651"/>
      <c r="B288" s="2654" t="s">
        <v>9209</v>
      </c>
      <c r="C288" s="2658" t="s">
        <v>9067</v>
      </c>
      <c r="D288" s="2659">
        <v>31.968</v>
      </c>
      <c r="E288" s="2659">
        <v>31.731999999999999</v>
      </c>
      <c r="F288" s="2659">
        <v>30.993721499999999</v>
      </c>
      <c r="G288" s="2659">
        <v>30.898721500000001</v>
      </c>
      <c r="H288" s="2659">
        <v>30.344201999999999</v>
      </c>
      <c r="I288" s="2659">
        <v>29.974684</v>
      </c>
      <c r="J288" s="2659"/>
      <c r="K288" s="2659"/>
      <c r="L288" s="2659"/>
      <c r="M288" s="2659"/>
      <c r="N288" s="2659"/>
      <c r="O288" s="2659"/>
      <c r="P288" s="2659"/>
      <c r="Q288" s="2659"/>
      <c r="R288" s="2667"/>
    </row>
    <row r="289" spans="1:18">
      <c r="A289" s="2651">
        <v>33</v>
      </c>
      <c r="B289" s="2654" t="s">
        <v>9210</v>
      </c>
      <c r="C289" s="2658" t="s">
        <v>9065</v>
      </c>
      <c r="D289" s="2659">
        <v>32.968000000000004</v>
      </c>
      <c r="E289" s="2659">
        <v>32.542999999999999</v>
      </c>
      <c r="F289" s="2659">
        <v>30.6946835</v>
      </c>
      <c r="G289" s="2659">
        <v>30.4826835</v>
      </c>
      <c r="H289" s="2659">
        <v>29.179137999999998</v>
      </c>
      <c r="I289" s="2659">
        <v>28.326595999999999</v>
      </c>
      <c r="J289" s="2659"/>
      <c r="K289" s="2659" t="s">
        <v>9066</v>
      </c>
      <c r="L289" s="2659">
        <v>29.211137999999998</v>
      </c>
      <c r="M289" s="2659">
        <v>29.771138000000001</v>
      </c>
      <c r="N289" s="2659">
        <v>30.7266835</v>
      </c>
      <c r="O289" s="2659">
        <v>31.0065235</v>
      </c>
      <c r="P289" s="2659">
        <v>33</v>
      </c>
      <c r="Q289" s="2659">
        <v>33.785023000000002</v>
      </c>
      <c r="R289" s="2667">
        <v>29.5</v>
      </c>
    </row>
    <row r="290" spans="1:18">
      <c r="A290" s="2651"/>
      <c r="B290" s="2654" t="s">
        <v>9210</v>
      </c>
      <c r="C290" s="2658" t="s">
        <v>9067</v>
      </c>
      <c r="D290" s="2659">
        <v>32.968000000000004</v>
      </c>
      <c r="E290" s="2659">
        <v>32.542999999999999</v>
      </c>
      <c r="F290" s="2659">
        <v>30.6946835</v>
      </c>
      <c r="G290" s="2659">
        <v>30.562683499999999</v>
      </c>
      <c r="H290" s="2659">
        <v>29.179137999999998</v>
      </c>
      <c r="I290" s="2659">
        <v>28.406596</v>
      </c>
      <c r="J290" s="2659"/>
      <c r="K290" s="2659"/>
      <c r="L290" s="2659"/>
      <c r="M290" s="2659"/>
      <c r="N290" s="2659"/>
      <c r="O290" s="2659"/>
      <c r="P290" s="2659"/>
      <c r="Q290" s="2659"/>
      <c r="R290" s="2667"/>
    </row>
    <row r="291" spans="1:18">
      <c r="A291" s="2651"/>
      <c r="B291" s="2654" t="s">
        <v>9211</v>
      </c>
      <c r="C291" s="2658" t="s">
        <v>9065</v>
      </c>
      <c r="D291" s="2659">
        <v>32.951999999999998</v>
      </c>
      <c r="E291" s="2659">
        <v>32.576999999999998</v>
      </c>
      <c r="F291" s="2659">
        <v>31.003443000000001</v>
      </c>
      <c r="G291" s="2659">
        <v>30.803443000000001</v>
      </c>
      <c r="H291" s="2659">
        <v>29.704404</v>
      </c>
      <c r="I291" s="2659">
        <v>28.955368</v>
      </c>
      <c r="J291" s="2659"/>
      <c r="K291" s="2659" t="s">
        <v>9066</v>
      </c>
      <c r="L291" s="2659">
        <v>29.752403999999999</v>
      </c>
      <c r="M291" s="2659">
        <v>30.252403999999999</v>
      </c>
      <c r="N291" s="2659">
        <v>31.051442999999999</v>
      </c>
      <c r="O291" s="2659">
        <v>31.316443</v>
      </c>
      <c r="P291" s="2659">
        <v>33</v>
      </c>
      <c r="Q291" s="2659">
        <v>33.698014000000001</v>
      </c>
      <c r="R291" s="2667">
        <v>29.5</v>
      </c>
    </row>
    <row r="292" spans="1:18">
      <c r="A292" s="2651"/>
      <c r="B292" s="2654" t="s">
        <v>9211</v>
      </c>
      <c r="C292" s="2658" t="s">
        <v>9067</v>
      </c>
      <c r="D292" s="2659">
        <v>32.951999999999998</v>
      </c>
      <c r="E292" s="2659">
        <v>32.576999999999998</v>
      </c>
      <c r="F292" s="2659">
        <v>31.003443000000001</v>
      </c>
      <c r="G292" s="2659">
        <v>30.878443000000001</v>
      </c>
      <c r="H292" s="2659">
        <v>29.704404</v>
      </c>
      <c r="I292" s="2659">
        <v>29.030367999999999</v>
      </c>
      <c r="J292" s="2659"/>
      <c r="K292" s="2659"/>
      <c r="L292" s="2659"/>
      <c r="M292" s="2659"/>
      <c r="N292" s="2659"/>
      <c r="O292" s="2659"/>
      <c r="P292" s="2659"/>
      <c r="Q292" s="2659"/>
      <c r="R292" s="2667"/>
    </row>
    <row r="293" spans="1:18">
      <c r="A293" s="2651"/>
      <c r="B293" s="2658" t="s">
        <v>9212</v>
      </c>
      <c r="C293" s="2658" t="s">
        <v>9065</v>
      </c>
      <c r="D293" s="2659">
        <v>32.962000000000003</v>
      </c>
      <c r="E293" s="2659">
        <v>32.682000000000002</v>
      </c>
      <c r="F293" s="2659">
        <v>31.663</v>
      </c>
      <c r="G293" s="2659">
        <v>31.492999999999999</v>
      </c>
      <c r="H293" s="2659">
        <v>30.797000000000001</v>
      </c>
      <c r="I293" s="2659">
        <v>30.260999999999999</v>
      </c>
      <c r="J293" s="2659"/>
      <c r="K293" s="2659" t="s">
        <v>9066</v>
      </c>
      <c r="L293" s="2659">
        <v>30.835000000000001</v>
      </c>
      <c r="M293" s="2659">
        <v>31.21</v>
      </c>
      <c r="N293" s="2659">
        <v>31.701000000000001</v>
      </c>
      <c r="O293" s="2659">
        <v>31.925000000000001</v>
      </c>
      <c r="P293" s="2659">
        <v>33</v>
      </c>
      <c r="Q293" s="2659">
        <v>33.512999999999998</v>
      </c>
      <c r="R293" s="2667">
        <v>29.5</v>
      </c>
    </row>
    <row r="294" spans="1:18">
      <c r="A294" s="2651"/>
      <c r="B294" s="2658" t="s">
        <v>9212</v>
      </c>
      <c r="C294" s="2658" t="s">
        <v>9067</v>
      </c>
      <c r="D294" s="2659">
        <v>32.962000000000003</v>
      </c>
      <c r="E294" s="2659">
        <v>32.682000000000002</v>
      </c>
      <c r="F294" s="2659">
        <v>31.663</v>
      </c>
      <c r="G294" s="2659">
        <v>31.556999999999999</v>
      </c>
      <c r="H294" s="2659">
        <v>30.797000000000001</v>
      </c>
      <c r="I294" s="2659">
        <v>30.324999999999999</v>
      </c>
      <c r="J294" s="2659"/>
      <c r="K294" s="2659"/>
      <c r="L294" s="2659"/>
      <c r="M294" s="2659"/>
      <c r="N294" s="2659"/>
      <c r="O294" s="2659"/>
      <c r="P294" s="2659"/>
      <c r="Q294" s="2659"/>
      <c r="R294" s="2667"/>
    </row>
    <row r="295" spans="1:18">
      <c r="A295" s="2651"/>
      <c r="B295" s="2654" t="s">
        <v>9213</v>
      </c>
      <c r="C295" s="2658" t="s">
        <v>9065</v>
      </c>
      <c r="D295" s="2659">
        <v>32.968000000000004</v>
      </c>
      <c r="E295" s="2659">
        <v>32.731999999999999</v>
      </c>
      <c r="F295" s="2659">
        <v>31.993721499999999</v>
      </c>
      <c r="G295" s="2659">
        <v>31.843721500000001</v>
      </c>
      <c r="H295" s="2659">
        <v>31.344201999999999</v>
      </c>
      <c r="I295" s="2659">
        <v>30.919684</v>
      </c>
      <c r="J295" s="2659"/>
      <c r="K295" s="2659" t="s">
        <v>9066</v>
      </c>
      <c r="L295" s="2659">
        <v>31.376201999999999</v>
      </c>
      <c r="M295" s="2659">
        <v>31.676202</v>
      </c>
      <c r="N295" s="2659">
        <v>32.025721500000003</v>
      </c>
      <c r="O295" s="2659">
        <v>32.225721499999999</v>
      </c>
      <c r="P295" s="2659">
        <v>33</v>
      </c>
      <c r="Q295" s="2659">
        <v>33.416507000000003</v>
      </c>
      <c r="R295" s="2667">
        <v>29.5</v>
      </c>
    </row>
    <row r="296" spans="1:18">
      <c r="A296" s="2651"/>
      <c r="B296" s="2654" t="s">
        <v>9213</v>
      </c>
      <c r="C296" s="2658" t="s">
        <v>9067</v>
      </c>
      <c r="D296" s="2659">
        <v>32.968000000000004</v>
      </c>
      <c r="E296" s="2659">
        <v>32.731999999999999</v>
      </c>
      <c r="F296" s="2659">
        <v>31.993721499999999</v>
      </c>
      <c r="G296" s="2659">
        <v>31.899221499999999</v>
      </c>
      <c r="H296" s="2659">
        <v>31.344201999999999</v>
      </c>
      <c r="I296" s="2659">
        <v>30.975183999999999</v>
      </c>
      <c r="J296" s="2659"/>
      <c r="K296" s="2659"/>
      <c r="L296" s="2659"/>
      <c r="M296" s="2659"/>
      <c r="N296" s="2659"/>
      <c r="O296" s="2659"/>
      <c r="P296" s="2659"/>
      <c r="Q296" s="2659"/>
      <c r="R296" s="2667"/>
    </row>
    <row r="297" spans="1:18">
      <c r="A297" s="2651"/>
      <c r="B297" s="2654" t="s">
        <v>9214</v>
      </c>
      <c r="C297" s="2658" t="s">
        <v>9065</v>
      </c>
      <c r="D297" s="2659">
        <v>32.973999999999997</v>
      </c>
      <c r="E297" s="2659">
        <v>32.793999999999997</v>
      </c>
      <c r="F297" s="2659">
        <v>32.324480999999999</v>
      </c>
      <c r="G297" s="2659">
        <v>32.199480999999999</v>
      </c>
      <c r="H297" s="2659">
        <v>31.891468</v>
      </c>
      <c r="I297" s="2659">
        <v>31.583456000000002</v>
      </c>
      <c r="J297" s="2659"/>
      <c r="K297" s="2659" t="s">
        <v>9066</v>
      </c>
      <c r="L297" s="2659">
        <v>31.917468</v>
      </c>
      <c r="M297" s="2659">
        <v>32.153467999999997</v>
      </c>
      <c r="N297" s="2659">
        <v>32.350481000000002</v>
      </c>
      <c r="O297" s="2659">
        <v>32.520480999999997</v>
      </c>
      <c r="P297" s="2659">
        <v>33</v>
      </c>
      <c r="Q297" s="2659">
        <v>33.314337999999999</v>
      </c>
      <c r="R297" s="2667">
        <v>29.5</v>
      </c>
    </row>
    <row r="298" spans="1:18">
      <c r="A298" s="2651"/>
      <c r="B298" s="2654" t="s">
        <v>9214</v>
      </c>
      <c r="C298" s="2658" t="s">
        <v>9067</v>
      </c>
      <c r="D298" s="2659">
        <v>32.973999999999997</v>
      </c>
      <c r="E298" s="2659">
        <v>32.793999999999997</v>
      </c>
      <c r="F298" s="2659">
        <v>32.324480999999999</v>
      </c>
      <c r="G298" s="2659">
        <v>32.244481</v>
      </c>
      <c r="H298" s="2659">
        <v>31.891468</v>
      </c>
      <c r="I298" s="2659">
        <v>31.628456</v>
      </c>
      <c r="J298" s="2659"/>
      <c r="K298" s="2659"/>
      <c r="L298" s="2659"/>
      <c r="M298" s="2659"/>
      <c r="N298" s="2659"/>
      <c r="O298" s="2659"/>
      <c r="P298" s="2659"/>
      <c r="Q298" s="2659"/>
      <c r="R298" s="2667"/>
    </row>
    <row r="299" spans="1:18">
      <c r="A299" s="2651"/>
      <c r="B299" s="2654" t="s">
        <v>9215</v>
      </c>
      <c r="C299" s="2658" t="s">
        <v>9065</v>
      </c>
      <c r="D299" s="2659">
        <v>32.978000000000002</v>
      </c>
      <c r="E299" s="2659">
        <v>32.838000000000001</v>
      </c>
      <c r="F299" s="2659">
        <v>32.490860750000003</v>
      </c>
      <c r="G299" s="2659">
        <v>32.378860750000001</v>
      </c>
      <c r="H299" s="2659">
        <v>32.166100999999998</v>
      </c>
      <c r="I299" s="2659">
        <v>31.916841999999999</v>
      </c>
      <c r="J299" s="2659"/>
      <c r="K299" s="2659" t="s">
        <v>9066</v>
      </c>
      <c r="L299" s="2659">
        <v>32.188101000000003</v>
      </c>
      <c r="M299" s="2659">
        <v>32.378101000000001</v>
      </c>
      <c r="N299" s="2659">
        <v>32.512860750000002</v>
      </c>
      <c r="O299" s="2659">
        <v>32.66286075</v>
      </c>
      <c r="P299" s="2659">
        <v>33</v>
      </c>
      <c r="Q299" s="2659">
        <v>33.258253500000002</v>
      </c>
      <c r="R299" s="2667">
        <v>29.5</v>
      </c>
    </row>
    <row r="300" spans="1:18">
      <c r="A300" s="2651"/>
      <c r="B300" s="2654" t="s">
        <v>9215</v>
      </c>
      <c r="C300" s="2658" t="s">
        <v>9067</v>
      </c>
      <c r="D300" s="2659">
        <v>32.978000000000002</v>
      </c>
      <c r="E300" s="2659">
        <v>32.838000000000001</v>
      </c>
      <c r="F300" s="2659">
        <v>32.490860750000003</v>
      </c>
      <c r="G300" s="2659">
        <v>32.419860749999998</v>
      </c>
      <c r="H300" s="2659">
        <v>32.166100999999998</v>
      </c>
      <c r="I300" s="2659">
        <v>31.957841999999999</v>
      </c>
      <c r="J300" s="2659"/>
      <c r="K300" s="2659"/>
      <c r="L300" s="2659"/>
      <c r="M300" s="2659"/>
      <c r="N300" s="2659"/>
      <c r="O300" s="2659"/>
      <c r="P300" s="2659"/>
      <c r="Q300" s="2659"/>
      <c r="R300" s="2667"/>
    </row>
    <row r="301" spans="1:18">
      <c r="A301" s="2651">
        <v>35</v>
      </c>
      <c r="B301" s="2658" t="s">
        <v>9216</v>
      </c>
      <c r="C301" s="2658" t="s">
        <v>9065</v>
      </c>
      <c r="D301" s="2659">
        <v>34.968000000000004</v>
      </c>
      <c r="E301" s="2659">
        <v>34.731999999999999</v>
      </c>
      <c r="F301" s="2659">
        <v>33.994</v>
      </c>
      <c r="G301" s="2659">
        <v>33.844000000000001</v>
      </c>
      <c r="H301" s="2659">
        <v>33.344000000000001</v>
      </c>
      <c r="I301" s="2659">
        <v>33.92</v>
      </c>
      <c r="J301" s="2659"/>
      <c r="K301" s="2659" t="s">
        <v>9066</v>
      </c>
      <c r="L301" s="2659">
        <v>33.375999999999998</v>
      </c>
      <c r="M301" s="2659">
        <v>33.676000000000002</v>
      </c>
      <c r="N301" s="2659">
        <v>34.026000000000003</v>
      </c>
      <c r="O301" s="2659">
        <v>34.225999999999999</v>
      </c>
      <c r="P301" s="2659">
        <v>35</v>
      </c>
      <c r="Q301" s="2659">
        <v>35.415999999999997</v>
      </c>
      <c r="R301" s="2667">
        <v>31</v>
      </c>
    </row>
    <row r="302" spans="1:18">
      <c r="A302" s="2651"/>
      <c r="B302" s="2658" t="s">
        <v>9216</v>
      </c>
      <c r="C302" s="2658" t="s">
        <v>9067</v>
      </c>
      <c r="D302" s="2659">
        <v>34.968000000000004</v>
      </c>
      <c r="E302" s="2659">
        <v>34.731999999999999</v>
      </c>
      <c r="F302" s="2659">
        <v>33.993721499999999</v>
      </c>
      <c r="G302" s="2659">
        <v>33.899221500000003</v>
      </c>
      <c r="H302" s="2659">
        <v>33.344202000000003</v>
      </c>
      <c r="I302" s="2659">
        <v>32.975183999999999</v>
      </c>
      <c r="J302" s="2659"/>
      <c r="K302" s="2659"/>
      <c r="L302" s="2659"/>
      <c r="M302" s="2659"/>
      <c r="N302" s="2659"/>
      <c r="O302" s="2659"/>
      <c r="P302" s="2659"/>
      <c r="Q302" s="2659"/>
      <c r="R302" s="2667"/>
    </row>
    <row r="303" spans="1:18">
      <c r="A303" s="2651">
        <v>36</v>
      </c>
      <c r="B303" s="2658" t="s">
        <v>9217</v>
      </c>
      <c r="C303" s="2658" t="s">
        <v>9065</v>
      </c>
      <c r="D303" s="2659">
        <v>35.94</v>
      </c>
      <c r="E303" s="2659">
        <v>35.465000000000003</v>
      </c>
      <c r="F303" s="2659">
        <v>33.341999999999999</v>
      </c>
      <c r="G303" s="2659">
        <v>33.118000000000002</v>
      </c>
      <c r="H303" s="2659">
        <v>31.61</v>
      </c>
      <c r="I303" s="2659">
        <v>30.654</v>
      </c>
      <c r="J303" s="2659"/>
      <c r="K303" s="2659" t="s">
        <v>9066</v>
      </c>
      <c r="L303" s="2659">
        <v>31.67</v>
      </c>
      <c r="M303" s="2659">
        <v>32.270000000000003</v>
      </c>
      <c r="N303" s="2659">
        <v>33.402000000000001</v>
      </c>
      <c r="O303" s="2659">
        <v>33.701999999999998</v>
      </c>
      <c r="P303" s="2659">
        <v>36</v>
      </c>
      <c r="Q303" s="2659">
        <v>36.877000000000002</v>
      </c>
      <c r="R303" s="2667">
        <v>31</v>
      </c>
    </row>
    <row r="304" spans="1:18">
      <c r="A304" s="2651"/>
      <c r="B304" s="2658" t="s">
        <v>9217</v>
      </c>
      <c r="C304" s="2658" t="s">
        <v>9067</v>
      </c>
      <c r="D304" s="2659">
        <v>35.94</v>
      </c>
      <c r="E304" s="2659">
        <v>35.465000000000003</v>
      </c>
      <c r="F304" s="2659">
        <v>33.341999999999999</v>
      </c>
      <c r="G304" s="2659">
        <v>33.201999999999998</v>
      </c>
      <c r="H304" s="2659">
        <v>31.61</v>
      </c>
      <c r="I304" s="2659">
        <v>30.738</v>
      </c>
      <c r="J304" s="2659"/>
      <c r="K304" s="2659"/>
      <c r="L304" s="2659"/>
      <c r="M304" s="2659"/>
      <c r="N304" s="2659"/>
      <c r="O304" s="2659"/>
      <c r="P304" s="2659"/>
      <c r="Q304" s="2659"/>
      <c r="R304" s="2667"/>
    </row>
    <row r="305" spans="1:18">
      <c r="A305" s="2651"/>
      <c r="B305" s="2654" t="s">
        <v>9218</v>
      </c>
      <c r="C305" s="2658" t="s">
        <v>9065</v>
      </c>
      <c r="D305" s="2659">
        <v>35.951999999999998</v>
      </c>
      <c r="E305" s="2659">
        <v>35.576999999999998</v>
      </c>
      <c r="F305" s="2659">
        <v>34.003442999999997</v>
      </c>
      <c r="G305" s="2659">
        <v>33.803443000000001</v>
      </c>
      <c r="H305" s="2659">
        <v>32.704403999999997</v>
      </c>
      <c r="I305" s="2659">
        <v>31.955368</v>
      </c>
      <c r="J305" s="2659"/>
      <c r="K305" s="2659" t="s">
        <v>9066</v>
      </c>
      <c r="L305" s="2659">
        <v>32.752403999999999</v>
      </c>
      <c r="M305" s="2659">
        <v>33.252403999999999</v>
      </c>
      <c r="N305" s="2659">
        <v>34.051442999999999</v>
      </c>
      <c r="O305" s="2659">
        <v>34.316443</v>
      </c>
      <c r="P305" s="2659">
        <v>36</v>
      </c>
      <c r="Q305" s="2659">
        <v>36.698014000000001</v>
      </c>
      <c r="R305" s="2667">
        <v>31</v>
      </c>
    </row>
    <row r="306" spans="1:18">
      <c r="A306" s="2651"/>
      <c r="B306" s="2654" t="s">
        <v>9218</v>
      </c>
      <c r="C306" s="2658" t="s">
        <v>9067</v>
      </c>
      <c r="D306" s="2659">
        <v>35.951999999999998</v>
      </c>
      <c r="E306" s="2659">
        <v>35.576999999999998</v>
      </c>
      <c r="F306" s="2659">
        <v>34.003442999999997</v>
      </c>
      <c r="G306" s="2659">
        <v>33.878442999999997</v>
      </c>
      <c r="H306" s="2659">
        <v>32.704403999999997</v>
      </c>
      <c r="I306" s="2659">
        <v>32.030368000000003</v>
      </c>
      <c r="J306" s="2659"/>
      <c r="K306" s="2659"/>
      <c r="L306" s="2659"/>
      <c r="M306" s="2659"/>
      <c r="N306" s="2659"/>
      <c r="O306" s="2659"/>
      <c r="P306" s="2659"/>
      <c r="Q306" s="2659"/>
      <c r="R306" s="2667"/>
    </row>
    <row r="307" spans="1:18">
      <c r="A307" s="2651"/>
      <c r="B307" s="2658" t="s">
        <v>9219</v>
      </c>
      <c r="C307" s="2658" t="s">
        <v>9065</v>
      </c>
      <c r="D307" s="2659">
        <v>35.962000000000003</v>
      </c>
      <c r="E307" s="2659">
        <v>35.682000000000002</v>
      </c>
      <c r="F307" s="2659">
        <v>34.662999999999997</v>
      </c>
      <c r="G307" s="2659">
        <v>34.493000000000002</v>
      </c>
      <c r="H307" s="2659">
        <v>33.796999999999997</v>
      </c>
      <c r="I307" s="2659">
        <v>33.261000000000003</v>
      </c>
      <c r="J307" s="2659"/>
      <c r="K307" s="2659" t="s">
        <v>9066</v>
      </c>
      <c r="L307" s="2659">
        <v>33.835000000000001</v>
      </c>
      <c r="M307" s="2659">
        <v>34.21</v>
      </c>
      <c r="N307" s="2659">
        <v>34.701000000000001</v>
      </c>
      <c r="O307" s="2659">
        <v>34.924999999999997</v>
      </c>
      <c r="P307" s="2659">
        <v>36</v>
      </c>
      <c r="Q307" s="2659">
        <v>36.512999999999998</v>
      </c>
      <c r="R307" s="2667">
        <v>31</v>
      </c>
    </row>
    <row r="308" spans="1:18">
      <c r="A308" s="2651"/>
      <c r="B308" s="2658" t="s">
        <v>9219</v>
      </c>
      <c r="C308" s="2658" t="s">
        <v>9067</v>
      </c>
      <c r="D308" s="2659">
        <v>35.962000000000003</v>
      </c>
      <c r="E308" s="2659">
        <v>35.682000000000002</v>
      </c>
      <c r="F308" s="2659">
        <v>34.662999999999997</v>
      </c>
      <c r="G308" s="2659">
        <v>34.557000000000002</v>
      </c>
      <c r="H308" s="2659">
        <v>33.796999999999997</v>
      </c>
      <c r="I308" s="2659">
        <v>33.325000000000003</v>
      </c>
      <c r="J308" s="2659"/>
      <c r="K308" s="2659"/>
      <c r="L308" s="2659"/>
      <c r="M308" s="2659"/>
      <c r="N308" s="2659"/>
      <c r="O308" s="2659"/>
      <c r="P308" s="2659"/>
      <c r="Q308" s="2659"/>
      <c r="R308" s="2667"/>
    </row>
    <row r="309" spans="1:18">
      <c r="A309" s="2651"/>
      <c r="B309" s="2654" t="s">
        <v>9220</v>
      </c>
      <c r="C309" s="2658" t="s">
        <v>9065</v>
      </c>
      <c r="D309" s="2659">
        <v>35.968000000000004</v>
      </c>
      <c r="E309" s="2659">
        <v>35.731999999999999</v>
      </c>
      <c r="F309" s="2659">
        <v>34.993721499999999</v>
      </c>
      <c r="G309" s="2659">
        <v>34.843721500000001</v>
      </c>
      <c r="H309" s="2659">
        <v>34.344202000000003</v>
      </c>
      <c r="I309" s="2659">
        <v>33.919683999999997</v>
      </c>
      <c r="J309" s="2659"/>
      <c r="K309" s="2659" t="s">
        <v>9066</v>
      </c>
      <c r="L309" s="2659">
        <v>34.376201999999999</v>
      </c>
      <c r="M309" s="2659">
        <v>34.676202000000004</v>
      </c>
      <c r="N309" s="2659">
        <v>35.025721500000003</v>
      </c>
      <c r="O309" s="2659">
        <v>35.225721499999999</v>
      </c>
      <c r="P309" s="2659">
        <v>36</v>
      </c>
      <c r="Q309" s="2659">
        <v>36.416507000000003</v>
      </c>
      <c r="R309" s="2667">
        <v>31</v>
      </c>
    </row>
    <row r="310" spans="1:18">
      <c r="A310" s="2651"/>
      <c r="B310" s="2654" t="s">
        <v>9220</v>
      </c>
      <c r="C310" s="2658" t="s">
        <v>9067</v>
      </c>
      <c r="D310" s="2659">
        <v>35.968000000000004</v>
      </c>
      <c r="E310" s="2659">
        <v>35.731999999999999</v>
      </c>
      <c r="F310" s="2659">
        <v>34.993721499999999</v>
      </c>
      <c r="G310" s="2659">
        <v>34.899221500000003</v>
      </c>
      <c r="H310" s="2659">
        <v>34.344202000000003</v>
      </c>
      <c r="I310" s="2659">
        <v>33.975183999999999</v>
      </c>
      <c r="J310" s="2659"/>
      <c r="K310" s="2659"/>
      <c r="L310" s="2659"/>
      <c r="M310" s="2659"/>
      <c r="N310" s="2659"/>
      <c r="O310" s="2659"/>
      <c r="P310" s="2659"/>
      <c r="Q310" s="2659"/>
      <c r="R310" s="2667"/>
    </row>
    <row r="311" spans="1:18">
      <c r="A311" s="2651"/>
      <c r="B311" s="2654" t="s">
        <v>9221</v>
      </c>
      <c r="C311" s="2658" t="s">
        <v>9065</v>
      </c>
      <c r="D311" s="2659">
        <v>35.973999999999997</v>
      </c>
      <c r="E311" s="2659">
        <v>35.793999999999997</v>
      </c>
      <c r="F311" s="2659">
        <v>35.324480999999999</v>
      </c>
      <c r="G311" s="2659">
        <v>35.199480999999999</v>
      </c>
      <c r="H311" s="2659">
        <v>34.891468000000003</v>
      </c>
      <c r="I311" s="2659">
        <v>34.583455999999998</v>
      </c>
      <c r="J311" s="2659"/>
      <c r="K311" s="2659" t="s">
        <v>9066</v>
      </c>
      <c r="L311" s="2659">
        <v>34.917468</v>
      </c>
      <c r="M311" s="2659">
        <v>35.153467999999997</v>
      </c>
      <c r="N311" s="2659">
        <v>35.350481000000002</v>
      </c>
      <c r="O311" s="2659">
        <v>35.520480999999997</v>
      </c>
      <c r="P311" s="2659">
        <v>36</v>
      </c>
      <c r="Q311" s="2659">
        <v>36.314337999999999</v>
      </c>
      <c r="R311" s="2667">
        <v>31</v>
      </c>
    </row>
    <row r="312" spans="1:18">
      <c r="A312" s="2651"/>
      <c r="B312" s="2654" t="s">
        <v>9221</v>
      </c>
      <c r="C312" s="2658" t="s">
        <v>9067</v>
      </c>
      <c r="D312" s="2659">
        <v>35.973999999999997</v>
      </c>
      <c r="E312" s="2659">
        <v>35.793999999999997</v>
      </c>
      <c r="F312" s="2659">
        <v>35.324480999999999</v>
      </c>
      <c r="G312" s="2659">
        <v>35.244481</v>
      </c>
      <c r="H312" s="2659">
        <v>34.891468000000003</v>
      </c>
      <c r="I312" s="2659">
        <v>34.628456</v>
      </c>
      <c r="J312" s="2659"/>
      <c r="K312" s="2659"/>
      <c r="L312" s="2659"/>
      <c r="M312" s="2659"/>
      <c r="N312" s="2659"/>
      <c r="O312" s="2659"/>
      <c r="P312" s="2659"/>
      <c r="Q312" s="2659"/>
      <c r="R312" s="2667"/>
    </row>
    <row r="313" spans="1:18">
      <c r="A313" s="2651">
        <v>38</v>
      </c>
      <c r="B313" s="2654" t="s">
        <v>9222</v>
      </c>
      <c r="C313" s="2658" t="s">
        <v>9065</v>
      </c>
      <c r="D313" s="2659">
        <v>37.968000000000004</v>
      </c>
      <c r="E313" s="2659">
        <v>37.731999999999999</v>
      </c>
      <c r="F313" s="2659">
        <v>36.993721499999999</v>
      </c>
      <c r="G313" s="2659">
        <v>36.843721500000001</v>
      </c>
      <c r="H313" s="2659">
        <v>36.344202000000003</v>
      </c>
      <c r="I313" s="2659">
        <v>35.919683999999997</v>
      </c>
      <c r="J313" s="2659"/>
      <c r="K313" s="2659" t="s">
        <v>9066</v>
      </c>
      <c r="L313" s="2659">
        <v>36.376201999999999</v>
      </c>
      <c r="M313" s="2659">
        <v>36.676202000000004</v>
      </c>
      <c r="N313" s="2659">
        <v>37.025721500000003</v>
      </c>
      <c r="O313" s="2659">
        <v>37.225721499999999</v>
      </c>
      <c r="P313" s="2659">
        <v>38</v>
      </c>
      <c r="Q313" s="2659">
        <v>38.416507000000003</v>
      </c>
      <c r="R313" s="2667">
        <v>35</v>
      </c>
    </row>
    <row r="314" spans="1:18">
      <c r="A314" s="2651"/>
      <c r="B314" s="2654" t="s">
        <v>9222</v>
      </c>
      <c r="C314" s="2658" t="s">
        <v>9067</v>
      </c>
      <c r="D314" s="2659">
        <v>37.968000000000004</v>
      </c>
      <c r="E314" s="2659">
        <v>37.731999999999999</v>
      </c>
      <c r="F314" s="2659">
        <v>36.993721499999999</v>
      </c>
      <c r="G314" s="2659">
        <v>36.899221500000003</v>
      </c>
      <c r="H314" s="2659">
        <v>36.344202000000003</v>
      </c>
      <c r="I314" s="2659">
        <v>35.975183999999999</v>
      </c>
      <c r="J314" s="2659"/>
      <c r="K314" s="2659"/>
      <c r="L314" s="2659"/>
      <c r="M314" s="2659"/>
      <c r="N314" s="2659"/>
      <c r="O314" s="2659"/>
      <c r="P314" s="2659"/>
      <c r="Q314" s="2659"/>
      <c r="R314" s="2667"/>
    </row>
    <row r="315" spans="1:18">
      <c r="A315" s="2651">
        <v>39</v>
      </c>
      <c r="B315" s="2654" t="s">
        <v>9223</v>
      </c>
      <c r="C315" s="2658" t="s">
        <v>9065</v>
      </c>
      <c r="D315" s="2659">
        <v>38.94</v>
      </c>
      <c r="E315" s="2659">
        <v>38.465000000000003</v>
      </c>
      <c r="F315" s="2659">
        <v>36.341923999999999</v>
      </c>
      <c r="G315" s="2659">
        <v>36.117924000000002</v>
      </c>
      <c r="H315" s="2659">
        <v>34.609872000000003</v>
      </c>
      <c r="I315" s="2659">
        <v>33.653824</v>
      </c>
      <c r="J315" s="2659"/>
      <c r="K315" s="2659" t="s">
        <v>9066</v>
      </c>
      <c r="L315" s="2659">
        <v>34.669871999999998</v>
      </c>
      <c r="M315" s="2659">
        <v>35.269871999999999</v>
      </c>
      <c r="N315" s="2659">
        <v>36.401924000000001</v>
      </c>
      <c r="O315" s="2659">
        <v>36.701923999999998</v>
      </c>
      <c r="P315" s="2659">
        <v>39</v>
      </c>
      <c r="Q315" s="2659">
        <v>39.877352000000002</v>
      </c>
      <c r="R315" s="2667">
        <v>34</v>
      </c>
    </row>
    <row r="316" spans="1:18">
      <c r="A316" s="2651"/>
      <c r="B316" s="2654" t="s">
        <v>9223</v>
      </c>
      <c r="C316" s="2658" t="s">
        <v>9067</v>
      </c>
      <c r="D316" s="2659">
        <v>38.94</v>
      </c>
      <c r="E316" s="2659">
        <v>38.465000000000003</v>
      </c>
      <c r="F316" s="2659">
        <v>36.341923999999999</v>
      </c>
      <c r="G316" s="2659">
        <v>36.201923999999998</v>
      </c>
      <c r="H316" s="2659">
        <v>34.609872000000003</v>
      </c>
      <c r="I316" s="2659">
        <v>33.737824000000003</v>
      </c>
      <c r="J316" s="2659"/>
      <c r="K316" s="2659"/>
      <c r="L316" s="2659"/>
      <c r="M316" s="2659"/>
      <c r="N316" s="2659"/>
      <c r="O316" s="2659"/>
      <c r="P316" s="2659"/>
      <c r="Q316" s="2659"/>
      <c r="R316" s="2667"/>
    </row>
    <row r="317" spans="1:18">
      <c r="A317" s="2651"/>
      <c r="B317" s="2654" t="s">
        <v>9224</v>
      </c>
      <c r="C317" s="2658" t="s">
        <v>9065</v>
      </c>
      <c r="D317" s="2659">
        <v>38.951999999999998</v>
      </c>
      <c r="E317" s="2659">
        <v>38.576999999999998</v>
      </c>
      <c r="F317" s="2659">
        <v>37.003442999999997</v>
      </c>
      <c r="G317" s="2659">
        <v>36.803443000000001</v>
      </c>
      <c r="H317" s="2659">
        <v>35.704403999999997</v>
      </c>
      <c r="I317" s="2659">
        <v>34.955368</v>
      </c>
      <c r="J317" s="2659"/>
      <c r="K317" s="2659" t="s">
        <v>9066</v>
      </c>
      <c r="L317" s="2659">
        <v>35.752403999999999</v>
      </c>
      <c r="M317" s="2659">
        <v>36.252403999999999</v>
      </c>
      <c r="N317" s="2659">
        <v>37.051442999999999</v>
      </c>
      <c r="O317" s="2659">
        <v>37.316443</v>
      </c>
      <c r="P317" s="2659">
        <v>39</v>
      </c>
      <c r="Q317" s="2659">
        <v>39.698014000000001</v>
      </c>
      <c r="R317" s="2667">
        <v>34</v>
      </c>
    </row>
    <row r="318" spans="1:18">
      <c r="A318" s="2651"/>
      <c r="B318" s="2654" t="s">
        <v>9224</v>
      </c>
      <c r="C318" s="2658" t="s">
        <v>9067</v>
      </c>
      <c r="D318" s="2659">
        <v>38.951999999999998</v>
      </c>
      <c r="E318" s="2659">
        <v>38.576999999999998</v>
      </c>
      <c r="F318" s="2659">
        <v>37.003442999999997</v>
      </c>
      <c r="G318" s="2659">
        <v>36.878442999999997</v>
      </c>
      <c r="H318" s="2659">
        <v>35.704403999999997</v>
      </c>
      <c r="I318" s="2659">
        <v>35.030368000000003</v>
      </c>
      <c r="J318" s="2659"/>
      <c r="K318" s="2659"/>
      <c r="L318" s="2659"/>
      <c r="M318" s="2659"/>
      <c r="N318" s="2659"/>
      <c r="O318" s="2659"/>
      <c r="P318" s="2659"/>
      <c r="Q318" s="2659"/>
      <c r="R318" s="2667"/>
    </row>
    <row r="319" spans="1:18">
      <c r="A319" s="2651"/>
      <c r="B319" s="2658" t="s">
        <v>9225</v>
      </c>
      <c r="C319" s="2658" t="s">
        <v>9065</v>
      </c>
      <c r="D319" s="2659">
        <v>38.962000000000003</v>
      </c>
      <c r="E319" s="2659">
        <v>38.682000000000002</v>
      </c>
      <c r="F319" s="2659">
        <v>37.662999999999997</v>
      </c>
      <c r="G319" s="2659">
        <v>37.493000000000002</v>
      </c>
      <c r="H319" s="2659">
        <v>36.796999999999997</v>
      </c>
      <c r="I319" s="2659">
        <v>36.261000000000003</v>
      </c>
      <c r="J319" s="2659"/>
      <c r="K319" s="2659" t="s">
        <v>9066</v>
      </c>
      <c r="L319" s="2659">
        <v>36.835000000000001</v>
      </c>
      <c r="M319" s="2659">
        <v>37.21</v>
      </c>
      <c r="N319" s="2659">
        <v>37.701000000000001</v>
      </c>
      <c r="O319" s="2659">
        <v>37.924999999999997</v>
      </c>
      <c r="P319" s="2659">
        <v>39</v>
      </c>
      <c r="Q319" s="2659">
        <v>39.512999999999998</v>
      </c>
      <c r="R319" s="2667">
        <v>35</v>
      </c>
    </row>
    <row r="320" spans="1:18">
      <c r="A320" s="2651"/>
      <c r="B320" s="2658" t="s">
        <v>9225</v>
      </c>
      <c r="C320" s="2658" t="s">
        <v>9067</v>
      </c>
      <c r="D320" s="2659">
        <v>38.962000000000003</v>
      </c>
      <c r="E320" s="2659">
        <v>38.682000000000002</v>
      </c>
      <c r="F320" s="2659">
        <v>37.662999999999997</v>
      </c>
      <c r="G320" s="2659">
        <v>37.557000000000002</v>
      </c>
      <c r="H320" s="2659">
        <v>36.796999999999997</v>
      </c>
      <c r="I320" s="2659">
        <v>36.325000000000003</v>
      </c>
      <c r="J320" s="2659"/>
      <c r="K320" s="2659"/>
      <c r="L320" s="2659"/>
      <c r="M320" s="2659"/>
      <c r="N320" s="2659"/>
      <c r="O320" s="2659"/>
      <c r="P320" s="2659"/>
      <c r="Q320" s="2659"/>
      <c r="R320" s="2667"/>
    </row>
    <row r="321" spans="1:18">
      <c r="A321" s="2651"/>
      <c r="B321" s="2654" t="s">
        <v>9226</v>
      </c>
      <c r="C321" s="2658" t="s">
        <v>9065</v>
      </c>
      <c r="D321" s="2659">
        <v>38.968000000000004</v>
      </c>
      <c r="E321" s="2659">
        <v>38.731999999999999</v>
      </c>
      <c r="F321" s="2659">
        <v>37.993721499999999</v>
      </c>
      <c r="G321" s="2659">
        <v>37.843721500000001</v>
      </c>
      <c r="H321" s="2659">
        <v>37.344202000000003</v>
      </c>
      <c r="I321" s="2659">
        <v>36.919683999999997</v>
      </c>
      <c r="J321" s="2659"/>
      <c r="K321" s="2659" t="s">
        <v>9066</v>
      </c>
      <c r="L321" s="2659">
        <v>37.376201999999999</v>
      </c>
      <c r="M321" s="2659">
        <v>37.676202000000004</v>
      </c>
      <c r="N321" s="2659">
        <v>38.025721500000003</v>
      </c>
      <c r="O321" s="2659">
        <v>38.225721499999999</v>
      </c>
      <c r="P321" s="2659">
        <v>39</v>
      </c>
      <c r="Q321" s="2659">
        <v>39.416507000000003</v>
      </c>
      <c r="R321" s="2667">
        <v>36</v>
      </c>
    </row>
    <row r="322" spans="1:18">
      <c r="A322" s="2651"/>
      <c r="B322" s="2654" t="s">
        <v>9226</v>
      </c>
      <c r="C322" s="2658" t="s">
        <v>9067</v>
      </c>
      <c r="D322" s="2659">
        <v>38.968000000000004</v>
      </c>
      <c r="E322" s="2659">
        <v>38.731999999999999</v>
      </c>
      <c r="F322" s="2659">
        <v>37.993721499999999</v>
      </c>
      <c r="G322" s="2659">
        <v>37.899221500000003</v>
      </c>
      <c r="H322" s="2659">
        <v>37.344202000000003</v>
      </c>
      <c r="I322" s="2659">
        <v>36.975183999999999</v>
      </c>
      <c r="J322" s="2659"/>
      <c r="K322" s="2659"/>
      <c r="L322" s="2659"/>
      <c r="M322" s="2659"/>
      <c r="N322" s="2659"/>
      <c r="O322" s="2659"/>
      <c r="P322" s="2659"/>
      <c r="Q322" s="2659"/>
      <c r="R322" s="2667"/>
    </row>
    <row r="323" spans="1:18">
      <c r="A323" s="2651"/>
      <c r="B323" s="2654" t="s">
        <v>9227</v>
      </c>
      <c r="C323" s="2658" t="s">
        <v>9065</v>
      </c>
      <c r="D323" s="2659">
        <v>38.973999999999997</v>
      </c>
      <c r="E323" s="2659">
        <v>38.793999999999997</v>
      </c>
      <c r="F323" s="2659">
        <v>38.324480999999999</v>
      </c>
      <c r="G323" s="2659">
        <v>38.199480999999999</v>
      </c>
      <c r="H323" s="2659">
        <v>37.891468000000003</v>
      </c>
      <c r="I323" s="2659">
        <v>37.583455999999998</v>
      </c>
      <c r="J323" s="2659"/>
      <c r="K323" s="2659" t="s">
        <v>9066</v>
      </c>
      <c r="L323" s="2659">
        <v>37.917468</v>
      </c>
      <c r="M323" s="2659">
        <v>38.153467999999997</v>
      </c>
      <c r="N323" s="2659">
        <v>38.350481000000002</v>
      </c>
      <c r="O323" s="2659">
        <v>38.520480999999997</v>
      </c>
      <c r="P323" s="2659">
        <v>39</v>
      </c>
      <c r="Q323" s="2659">
        <v>39.314337999999999</v>
      </c>
      <c r="R323" s="2667">
        <v>36</v>
      </c>
    </row>
    <row r="324" spans="1:18">
      <c r="A324" s="2651"/>
      <c r="B324" s="2654" t="s">
        <v>9227</v>
      </c>
      <c r="C324" s="2658" t="s">
        <v>9067</v>
      </c>
      <c r="D324" s="2659">
        <v>38.973999999999997</v>
      </c>
      <c r="E324" s="2659">
        <v>38.793999999999997</v>
      </c>
      <c r="F324" s="2659">
        <v>38.324480999999999</v>
      </c>
      <c r="G324" s="2659">
        <v>38.244481</v>
      </c>
      <c r="H324" s="2659">
        <v>37.891468000000003</v>
      </c>
      <c r="I324" s="2659">
        <v>37.628456</v>
      </c>
      <c r="J324" s="2659"/>
      <c r="K324" s="2659"/>
      <c r="L324" s="2659"/>
      <c r="M324" s="2659"/>
      <c r="N324" s="2659"/>
      <c r="O324" s="2659"/>
      <c r="P324" s="2659"/>
      <c r="Q324" s="2659"/>
      <c r="R324" s="2667"/>
    </row>
    <row r="325" spans="1:18">
      <c r="A325" s="2651">
        <v>40</v>
      </c>
      <c r="B325" s="2654" t="s">
        <v>9228</v>
      </c>
      <c r="C325" s="2658" t="s">
        <v>9065</v>
      </c>
      <c r="D325" s="2659">
        <v>39.951999999999998</v>
      </c>
      <c r="E325" s="2659">
        <v>39.576999999999998</v>
      </c>
      <c r="F325" s="2659">
        <v>38.003442999999997</v>
      </c>
      <c r="G325" s="2659">
        <v>37.803443000000001</v>
      </c>
      <c r="H325" s="2659">
        <v>36.704403999999997</v>
      </c>
      <c r="I325" s="2659">
        <v>35.955368</v>
      </c>
      <c r="J325" s="2659"/>
      <c r="K325" s="2659" t="s">
        <v>9066</v>
      </c>
      <c r="L325" s="2659">
        <v>36.752403999999999</v>
      </c>
      <c r="M325" s="2659">
        <v>37.252403999999999</v>
      </c>
      <c r="N325" s="2659">
        <v>38.051442999999999</v>
      </c>
      <c r="O325" s="2659">
        <v>38.316443</v>
      </c>
      <c r="P325" s="2659">
        <v>40</v>
      </c>
      <c r="Q325" s="2659">
        <v>40.698014000000001</v>
      </c>
      <c r="R325" s="2667">
        <v>36</v>
      </c>
    </row>
    <row r="326" spans="1:18">
      <c r="A326" s="2651"/>
      <c r="B326" s="2654" t="s">
        <v>9228</v>
      </c>
      <c r="C326" s="2658" t="s">
        <v>9067</v>
      </c>
      <c r="D326" s="2659">
        <v>39.951999999999998</v>
      </c>
      <c r="E326" s="2659">
        <v>39.576999999999998</v>
      </c>
      <c r="F326" s="2659">
        <v>38.003442999999997</v>
      </c>
      <c r="G326" s="2659">
        <v>37.878442999999997</v>
      </c>
      <c r="H326" s="2659">
        <v>36.704403999999997</v>
      </c>
      <c r="I326" s="2659">
        <v>36.030368000000003</v>
      </c>
      <c r="J326" s="2659"/>
      <c r="K326" s="2659"/>
      <c r="L326" s="2659"/>
      <c r="M326" s="2659"/>
      <c r="N326" s="2659"/>
      <c r="O326" s="2659"/>
      <c r="P326" s="2659"/>
      <c r="Q326" s="2659"/>
      <c r="R326" s="2667"/>
    </row>
    <row r="327" spans="1:18">
      <c r="A327" s="2651"/>
      <c r="B327" s="2654" t="s">
        <v>9229</v>
      </c>
      <c r="C327" s="2658" t="s">
        <v>9065</v>
      </c>
      <c r="D327" s="2659">
        <v>39.957999999999998</v>
      </c>
      <c r="E327" s="2659">
        <v>39.622999999999998</v>
      </c>
      <c r="F327" s="2659">
        <v>38.334202500000004</v>
      </c>
      <c r="G327" s="2659">
        <v>38.144202499999999</v>
      </c>
      <c r="H327" s="2659">
        <v>37.251669999999997</v>
      </c>
      <c r="I327" s="2659">
        <v>36.604140000000001</v>
      </c>
      <c r="J327" s="2659"/>
      <c r="K327" s="2659" t="s">
        <v>9066</v>
      </c>
      <c r="L327" s="2659">
        <v>37.293669999999999</v>
      </c>
      <c r="M327" s="2659">
        <v>37.743670000000002</v>
      </c>
      <c r="N327" s="2659">
        <v>38.376202499999998</v>
      </c>
      <c r="O327" s="2659">
        <v>38.626202499999998</v>
      </c>
      <c r="P327" s="2659">
        <v>40</v>
      </c>
      <c r="Q327" s="2659">
        <v>40.610844999999998</v>
      </c>
      <c r="R327" s="2667">
        <v>36</v>
      </c>
    </row>
    <row r="328" spans="1:18">
      <c r="A328" s="2651"/>
      <c r="B328" s="2654" t="s">
        <v>9229</v>
      </c>
      <c r="C328" s="2658" t="s">
        <v>9067</v>
      </c>
      <c r="D328" s="2659">
        <v>39.957999999999998</v>
      </c>
      <c r="E328" s="2659">
        <v>39.622999999999998</v>
      </c>
      <c r="F328" s="2659">
        <v>38.334202500000004</v>
      </c>
      <c r="G328" s="2659">
        <v>38.214502500000002</v>
      </c>
      <c r="H328" s="2659">
        <v>37.251669999999997</v>
      </c>
      <c r="I328" s="2659">
        <v>36.674439999999997</v>
      </c>
      <c r="J328" s="2659"/>
      <c r="K328" s="2659"/>
      <c r="L328" s="2659"/>
      <c r="M328" s="2659"/>
      <c r="N328" s="2659"/>
      <c r="O328" s="2659"/>
      <c r="P328" s="2659"/>
      <c r="Q328" s="2659"/>
      <c r="R328" s="2667"/>
    </row>
    <row r="329" spans="1:18">
      <c r="A329" s="2651"/>
      <c r="B329" s="2654" t="s">
        <v>9230</v>
      </c>
      <c r="C329" s="2658" t="s">
        <v>9065</v>
      </c>
      <c r="D329" s="2659">
        <v>39.962000000000003</v>
      </c>
      <c r="E329" s="2659">
        <v>39.682000000000002</v>
      </c>
      <c r="F329" s="2659">
        <v>38.662962</v>
      </c>
      <c r="G329" s="2659">
        <v>38.492961999999999</v>
      </c>
      <c r="H329" s="2659">
        <v>37.796936000000002</v>
      </c>
      <c r="I329" s="2659">
        <v>37.260911999999998</v>
      </c>
      <c r="J329" s="2659"/>
      <c r="K329" s="2659" t="s">
        <v>9066</v>
      </c>
      <c r="L329" s="2659">
        <v>37.834935999999999</v>
      </c>
      <c r="M329" s="2659">
        <v>38.209935999999999</v>
      </c>
      <c r="N329" s="2659">
        <v>38.700961999999997</v>
      </c>
      <c r="O329" s="2659">
        <v>38.925362</v>
      </c>
      <c r="P329" s="2659">
        <v>40</v>
      </c>
      <c r="Q329" s="2659">
        <v>40.513075999999998</v>
      </c>
      <c r="R329" s="2667">
        <v>36</v>
      </c>
    </row>
    <row r="330" spans="1:18">
      <c r="A330" s="2651"/>
      <c r="B330" s="2654" t="s">
        <v>9230</v>
      </c>
      <c r="C330" s="2658" t="s">
        <v>9067</v>
      </c>
      <c r="D330" s="2659">
        <v>39.962000000000003</v>
      </c>
      <c r="E330" s="2659">
        <v>39.682000000000002</v>
      </c>
      <c r="F330" s="2659">
        <v>38.662962</v>
      </c>
      <c r="G330" s="2659">
        <v>38.556961999999999</v>
      </c>
      <c r="H330" s="2659">
        <v>37.796936000000002</v>
      </c>
      <c r="I330" s="2659">
        <v>37.324911999999998</v>
      </c>
      <c r="J330" s="2659"/>
      <c r="K330" s="2659"/>
      <c r="L330" s="2659"/>
      <c r="M330" s="2659"/>
      <c r="N330" s="2659"/>
      <c r="O330" s="2659"/>
      <c r="P330" s="2659"/>
      <c r="Q330" s="2659"/>
      <c r="R330" s="2667"/>
    </row>
    <row r="331" spans="1:18">
      <c r="A331" s="2651"/>
      <c r="B331" s="2658" t="s">
        <v>9231</v>
      </c>
      <c r="C331" s="2658" t="s">
        <v>9065</v>
      </c>
      <c r="D331" s="2659">
        <v>39.968000000000004</v>
      </c>
      <c r="E331" s="2659">
        <v>39.731999999999999</v>
      </c>
      <c r="F331" s="2659">
        <v>38.994</v>
      </c>
      <c r="G331" s="2659">
        <v>38.844000000000001</v>
      </c>
      <c r="H331" s="2659">
        <v>38.344000000000001</v>
      </c>
      <c r="I331" s="2659">
        <v>37.92</v>
      </c>
      <c r="J331" s="2659"/>
      <c r="K331" s="2659" t="s">
        <v>9066</v>
      </c>
      <c r="L331" s="2659">
        <v>38.375999999999998</v>
      </c>
      <c r="M331" s="2659">
        <v>38.676000000000002</v>
      </c>
      <c r="N331" s="2659">
        <v>39.026000000000003</v>
      </c>
      <c r="O331" s="2659">
        <v>39.225999999999999</v>
      </c>
      <c r="P331" s="2659">
        <v>40</v>
      </c>
      <c r="Q331" s="2659">
        <v>40.415999999999997</v>
      </c>
      <c r="R331" s="2667">
        <v>36</v>
      </c>
    </row>
    <row r="332" spans="1:18">
      <c r="A332" s="2651"/>
      <c r="B332" s="2658" t="s">
        <v>9231</v>
      </c>
      <c r="C332" s="2658" t="s">
        <v>9067</v>
      </c>
      <c r="D332" s="2659">
        <v>39.968000000000004</v>
      </c>
      <c r="E332" s="2659">
        <v>39.731999999999999</v>
      </c>
      <c r="F332" s="2659">
        <v>38.994</v>
      </c>
      <c r="G332" s="2659">
        <v>38.899000000000001</v>
      </c>
      <c r="H332" s="2659">
        <v>38.344000000000001</v>
      </c>
      <c r="I332" s="2659">
        <v>37.975000000000001</v>
      </c>
      <c r="J332" s="2659"/>
      <c r="K332" s="2659"/>
      <c r="L332" s="2659"/>
      <c r="M332" s="2659"/>
      <c r="N332" s="2659"/>
      <c r="O332" s="2659"/>
      <c r="P332" s="2659"/>
      <c r="Q332" s="2659"/>
      <c r="R332" s="2667"/>
    </row>
    <row r="333" spans="1:18">
      <c r="A333" s="2651">
        <v>42</v>
      </c>
      <c r="B333" s="2658" t="s">
        <v>9232</v>
      </c>
      <c r="C333" s="2658" t="s">
        <v>9065</v>
      </c>
      <c r="D333" s="2659">
        <v>41.936999999999998</v>
      </c>
      <c r="E333" s="2659">
        <v>41.436999999999998</v>
      </c>
      <c r="F333" s="2659">
        <v>39.014000000000003</v>
      </c>
      <c r="G333" s="2659">
        <v>38.777999999999999</v>
      </c>
      <c r="H333" s="2659">
        <v>37.066000000000003</v>
      </c>
      <c r="I333" s="2659">
        <v>36.006</v>
      </c>
      <c r="J333" s="2659"/>
      <c r="K333" s="2659" t="s">
        <v>9066</v>
      </c>
      <c r="L333" s="2659">
        <v>37.128999999999998</v>
      </c>
      <c r="M333" s="2659">
        <v>37.798999999999999</v>
      </c>
      <c r="N333" s="2659">
        <v>39.076999999999998</v>
      </c>
      <c r="O333" s="2659">
        <v>39.392000000000003</v>
      </c>
      <c r="P333" s="2659">
        <v>42</v>
      </c>
      <c r="Q333" s="2659">
        <v>42.965000000000003</v>
      </c>
      <c r="R333" s="2667">
        <v>37.5</v>
      </c>
    </row>
    <row r="334" spans="1:18">
      <c r="A334" s="2651"/>
      <c r="B334" s="2658" t="s">
        <v>9232</v>
      </c>
      <c r="C334" s="2658" t="s">
        <v>9067</v>
      </c>
      <c r="D334" s="2659">
        <v>41.936999999999998</v>
      </c>
      <c r="E334" s="2659">
        <v>41.436999999999998</v>
      </c>
      <c r="F334" s="2659">
        <v>39.014000000000003</v>
      </c>
      <c r="G334" s="2659">
        <v>38.863999999999997</v>
      </c>
      <c r="H334" s="2659">
        <v>37.066000000000003</v>
      </c>
      <c r="I334" s="2659">
        <v>36.091999999999999</v>
      </c>
      <c r="J334" s="2659"/>
      <c r="K334" s="2659"/>
      <c r="L334" s="2659"/>
      <c r="M334" s="2659"/>
      <c r="N334" s="2659"/>
      <c r="O334" s="2659"/>
      <c r="P334" s="2659"/>
      <c r="Q334" s="2659"/>
      <c r="R334" s="2667"/>
    </row>
    <row r="335" spans="1:18">
      <c r="A335" s="2651"/>
      <c r="B335" s="2654" t="s">
        <v>9233</v>
      </c>
      <c r="C335" s="2658" t="s">
        <v>9065</v>
      </c>
      <c r="D335" s="2659">
        <v>41.94</v>
      </c>
      <c r="E335" s="2659">
        <v>41.465000000000003</v>
      </c>
      <c r="F335" s="2659">
        <v>39.341923999999999</v>
      </c>
      <c r="G335" s="2659">
        <v>39.117924000000002</v>
      </c>
      <c r="H335" s="2659">
        <v>37.609872000000003</v>
      </c>
      <c r="I335" s="2659">
        <v>36.653824</v>
      </c>
      <c r="J335" s="2659"/>
      <c r="K335" s="2659" t="s">
        <v>9066</v>
      </c>
      <c r="L335" s="2659">
        <v>37.669871999999998</v>
      </c>
      <c r="M335" s="2659">
        <v>38.269871999999999</v>
      </c>
      <c r="N335" s="2659">
        <v>39.401924000000001</v>
      </c>
      <c r="O335" s="2659">
        <v>39.701923999999998</v>
      </c>
      <c r="P335" s="2659">
        <v>42</v>
      </c>
      <c r="Q335" s="2659">
        <v>42.877352000000002</v>
      </c>
      <c r="R335" s="2667">
        <v>36</v>
      </c>
    </row>
    <row r="336" spans="1:18">
      <c r="A336" s="2651"/>
      <c r="B336" s="2654" t="s">
        <v>9233</v>
      </c>
      <c r="C336" s="2658" t="s">
        <v>9067</v>
      </c>
      <c r="D336" s="2659">
        <v>41.94</v>
      </c>
      <c r="E336" s="2659">
        <v>41.465000000000003</v>
      </c>
      <c r="F336" s="2659">
        <v>39.341923999999999</v>
      </c>
      <c r="G336" s="2659">
        <v>39.201923999999998</v>
      </c>
      <c r="H336" s="2659">
        <v>37.609872000000003</v>
      </c>
      <c r="I336" s="2659">
        <v>36.737824000000003</v>
      </c>
      <c r="J336" s="2659"/>
      <c r="K336" s="2659"/>
      <c r="L336" s="2659"/>
      <c r="M336" s="2659"/>
      <c r="N336" s="2659"/>
      <c r="O336" s="2659"/>
      <c r="P336" s="2659"/>
      <c r="Q336" s="2659"/>
      <c r="R336" s="2667"/>
    </row>
    <row r="337" spans="1:18">
      <c r="A337" s="2651"/>
      <c r="B337" s="2654" t="s">
        <v>9234</v>
      </c>
      <c r="C337" s="2658" t="s">
        <v>9065</v>
      </c>
      <c r="D337" s="2659">
        <v>41.951999999999998</v>
      </c>
      <c r="E337" s="2659">
        <v>41.576999999999998</v>
      </c>
      <c r="F337" s="2659">
        <v>40.003442999999997</v>
      </c>
      <c r="G337" s="2659">
        <v>39.803443000000001</v>
      </c>
      <c r="H337" s="2659">
        <v>38.704403999999997</v>
      </c>
      <c r="I337" s="2659">
        <v>37.955368</v>
      </c>
      <c r="J337" s="2659"/>
      <c r="K337" s="2659" t="s">
        <v>9066</v>
      </c>
      <c r="L337" s="2659">
        <v>38.752403999999999</v>
      </c>
      <c r="M337" s="2659">
        <v>39.252403999999999</v>
      </c>
      <c r="N337" s="2659">
        <v>40.051442999999999</v>
      </c>
      <c r="O337" s="2659">
        <v>40.316443</v>
      </c>
      <c r="P337" s="2659">
        <v>42</v>
      </c>
      <c r="Q337" s="2659">
        <v>42.698014000000001</v>
      </c>
      <c r="R337" s="2667">
        <v>37.5</v>
      </c>
    </row>
    <row r="338" spans="1:18">
      <c r="A338" s="2651"/>
      <c r="B338" s="2654" t="s">
        <v>9234</v>
      </c>
      <c r="C338" s="2658" t="s">
        <v>9067</v>
      </c>
      <c r="D338" s="2659">
        <v>41.951999999999998</v>
      </c>
      <c r="E338" s="2659">
        <v>41.576999999999998</v>
      </c>
      <c r="F338" s="2659">
        <v>40.003442999999997</v>
      </c>
      <c r="G338" s="2659">
        <v>39.878442999999997</v>
      </c>
      <c r="H338" s="2659">
        <v>38.704403999999997</v>
      </c>
      <c r="I338" s="2659">
        <v>38.030368000000003</v>
      </c>
      <c r="J338" s="2659"/>
      <c r="K338" s="2659"/>
      <c r="L338" s="2659"/>
      <c r="M338" s="2659"/>
      <c r="N338" s="2659"/>
      <c r="O338" s="2659"/>
      <c r="P338" s="2659"/>
      <c r="Q338" s="2659"/>
      <c r="R338" s="2667"/>
    </row>
    <row r="339" spans="1:18">
      <c r="A339" s="2651"/>
      <c r="B339" s="2658" t="s">
        <v>9235</v>
      </c>
      <c r="C339" s="2658" t="s">
        <v>9065</v>
      </c>
      <c r="D339" s="2659">
        <v>41.962000000000003</v>
      </c>
      <c r="E339" s="2659">
        <v>41.682000000000002</v>
      </c>
      <c r="F339" s="2659">
        <v>40.662999999999997</v>
      </c>
      <c r="G339" s="2659">
        <v>40.493000000000002</v>
      </c>
      <c r="H339" s="2659">
        <v>39.796999999999997</v>
      </c>
      <c r="I339" s="2659">
        <v>39.261000000000003</v>
      </c>
      <c r="J339" s="2659"/>
      <c r="K339" s="2659" t="s">
        <v>9066</v>
      </c>
      <c r="L339" s="2659">
        <v>39.835000000000001</v>
      </c>
      <c r="M339" s="2659">
        <v>40.21</v>
      </c>
      <c r="N339" s="2659">
        <v>40.701000000000001</v>
      </c>
      <c r="O339" s="2659">
        <v>40.924999999999997</v>
      </c>
      <c r="P339" s="2659">
        <v>42</v>
      </c>
      <c r="Q339" s="2659">
        <v>42.512999999999998</v>
      </c>
      <c r="R339" s="2667">
        <v>37.5</v>
      </c>
    </row>
    <row r="340" spans="1:18">
      <c r="A340" s="2651"/>
      <c r="B340" s="2658" t="s">
        <v>9235</v>
      </c>
      <c r="C340" s="2658" t="s">
        <v>9067</v>
      </c>
      <c r="D340" s="2659">
        <v>41.962000000000003</v>
      </c>
      <c r="E340" s="2659">
        <v>41.682000000000002</v>
      </c>
      <c r="F340" s="2659">
        <v>40.662999999999997</v>
      </c>
      <c r="G340" s="2659">
        <v>40.557000000000002</v>
      </c>
      <c r="H340" s="2659">
        <v>39.796999999999997</v>
      </c>
      <c r="I340" s="2659">
        <v>39.325000000000003</v>
      </c>
      <c r="J340" s="2659"/>
      <c r="K340" s="2659"/>
      <c r="L340" s="2659"/>
      <c r="M340" s="2659"/>
      <c r="N340" s="2659"/>
      <c r="O340" s="2659"/>
      <c r="P340" s="2659"/>
      <c r="Q340" s="2659"/>
      <c r="R340" s="2667"/>
    </row>
    <row r="341" spans="1:18">
      <c r="A341" s="2651"/>
      <c r="B341" s="2654" t="s">
        <v>9236</v>
      </c>
      <c r="C341" s="2658" t="s">
        <v>9065</v>
      </c>
      <c r="D341" s="2659">
        <v>41.968000000000004</v>
      </c>
      <c r="E341" s="2659">
        <v>41.731999999999999</v>
      </c>
      <c r="F341" s="2659">
        <v>40.993721499999999</v>
      </c>
      <c r="G341" s="2659">
        <v>40.843721500000001</v>
      </c>
      <c r="H341" s="2659">
        <v>40.344202000000003</v>
      </c>
      <c r="I341" s="2659">
        <v>39.919683999999997</v>
      </c>
      <c r="J341" s="2659"/>
      <c r="K341" s="2659" t="s">
        <v>9066</v>
      </c>
      <c r="L341" s="2659">
        <v>40.376201999999999</v>
      </c>
      <c r="M341" s="2659">
        <v>40.676202000000004</v>
      </c>
      <c r="N341" s="2659">
        <v>41.025721500000003</v>
      </c>
      <c r="O341" s="2659">
        <v>41.225721499999999</v>
      </c>
      <c r="P341" s="2659">
        <v>42</v>
      </c>
      <c r="Q341" s="2659">
        <v>42.416507000000003</v>
      </c>
      <c r="R341" s="2667">
        <v>39</v>
      </c>
    </row>
    <row r="342" spans="1:18">
      <c r="A342" s="2651"/>
      <c r="B342" s="2654" t="s">
        <v>9236</v>
      </c>
      <c r="C342" s="2658" t="s">
        <v>9067</v>
      </c>
      <c r="D342" s="2659">
        <v>41.968000000000004</v>
      </c>
      <c r="E342" s="2659">
        <v>41.731999999999999</v>
      </c>
      <c r="F342" s="2659">
        <v>40.993721499999999</v>
      </c>
      <c r="G342" s="2659">
        <v>40.899221500000003</v>
      </c>
      <c r="H342" s="2659">
        <v>40.344202000000003</v>
      </c>
      <c r="I342" s="2659">
        <v>39.975183999999999</v>
      </c>
      <c r="J342" s="2659"/>
      <c r="K342" s="2659"/>
      <c r="L342" s="2659"/>
      <c r="M342" s="2659"/>
      <c r="N342" s="2659"/>
      <c r="O342" s="2659"/>
      <c r="P342" s="2659"/>
      <c r="Q342" s="2659"/>
      <c r="R342" s="2667"/>
    </row>
    <row r="343" spans="1:18">
      <c r="A343" s="2651"/>
      <c r="B343" s="2654" t="s">
        <v>9237</v>
      </c>
      <c r="C343" s="2658" t="s">
        <v>9065</v>
      </c>
      <c r="D343" s="2659">
        <v>41.973999999999997</v>
      </c>
      <c r="E343" s="2659">
        <v>41.793999999999997</v>
      </c>
      <c r="F343" s="2659">
        <v>41.324480999999999</v>
      </c>
      <c r="G343" s="2659">
        <v>41.199480999999999</v>
      </c>
      <c r="H343" s="2659">
        <v>40.891468000000003</v>
      </c>
      <c r="I343" s="2659">
        <v>40.583455999999998</v>
      </c>
      <c r="J343" s="2659"/>
      <c r="K343" s="2659" t="s">
        <v>9066</v>
      </c>
      <c r="L343" s="2659">
        <v>40.917468</v>
      </c>
      <c r="M343" s="2659">
        <v>41.153467999999997</v>
      </c>
      <c r="N343" s="2659">
        <v>41.350481000000002</v>
      </c>
      <c r="O343" s="2659">
        <v>41.520480999999997</v>
      </c>
      <c r="P343" s="2659">
        <v>42</v>
      </c>
      <c r="Q343" s="2659">
        <v>42.314337999999999</v>
      </c>
      <c r="R343" s="2667">
        <v>39</v>
      </c>
    </row>
    <row r="344" spans="1:18">
      <c r="A344" s="2651"/>
      <c r="B344" s="2654" t="s">
        <v>9237</v>
      </c>
      <c r="C344" s="2658" t="s">
        <v>9067</v>
      </c>
      <c r="D344" s="2659">
        <v>41.973999999999997</v>
      </c>
      <c r="E344" s="2659">
        <v>41.793999999999997</v>
      </c>
      <c r="F344" s="2659">
        <v>41.324480999999999</v>
      </c>
      <c r="G344" s="2659">
        <v>41.244481</v>
      </c>
      <c r="H344" s="2659">
        <v>40.891468000000003</v>
      </c>
      <c r="I344" s="2659">
        <v>40.628456</v>
      </c>
      <c r="J344" s="2659"/>
      <c r="K344" s="2659"/>
      <c r="L344" s="2659"/>
      <c r="M344" s="2659"/>
      <c r="N344" s="2659"/>
      <c r="O344" s="2659"/>
      <c r="P344" s="2659"/>
      <c r="Q344" s="2659"/>
      <c r="R344" s="2667"/>
    </row>
    <row r="345" spans="1:18">
      <c r="A345" s="2651">
        <v>45</v>
      </c>
      <c r="B345" s="2654" t="s">
        <v>9238</v>
      </c>
      <c r="C345" s="2658" t="s">
        <v>9065</v>
      </c>
      <c r="D345" s="2659">
        <v>44.936999999999998</v>
      </c>
      <c r="E345" s="2659">
        <v>44.436999999999998</v>
      </c>
      <c r="F345" s="2659">
        <v>42.0141645</v>
      </c>
      <c r="G345" s="2659">
        <v>41.778164500000003</v>
      </c>
      <c r="H345" s="2659">
        <v>40.065606000000002</v>
      </c>
      <c r="I345" s="2659">
        <v>39.006051999999997</v>
      </c>
      <c r="J345" s="2659"/>
      <c r="K345" s="2659" t="s">
        <v>9066</v>
      </c>
      <c r="L345" s="2659">
        <v>40.128605999999998</v>
      </c>
      <c r="M345" s="2659">
        <v>40.798605999999999</v>
      </c>
      <c r="N345" s="2659">
        <v>42.077164500000002</v>
      </c>
      <c r="O345" s="2659">
        <v>42.3921645</v>
      </c>
      <c r="P345" s="2659">
        <v>45</v>
      </c>
      <c r="Q345" s="2659">
        <v>45.964520999999998</v>
      </c>
      <c r="R345" s="2667">
        <v>39</v>
      </c>
    </row>
    <row r="346" spans="1:18">
      <c r="A346" s="2651"/>
      <c r="B346" s="2654" t="s">
        <v>9238</v>
      </c>
      <c r="C346" s="2658" t="s">
        <v>9067</v>
      </c>
      <c r="D346" s="2659">
        <v>44.936999999999998</v>
      </c>
      <c r="E346" s="2659">
        <v>44.436999999999998</v>
      </c>
      <c r="F346" s="2659">
        <v>42.0141645</v>
      </c>
      <c r="G346" s="2659">
        <v>41.864164500000001</v>
      </c>
      <c r="H346" s="2659">
        <v>40.065606000000002</v>
      </c>
      <c r="I346" s="2659">
        <v>39.092052000000002</v>
      </c>
      <c r="J346" s="2659"/>
      <c r="K346" s="2659"/>
      <c r="L346" s="2659"/>
      <c r="M346" s="2659"/>
      <c r="N346" s="2659"/>
      <c r="O346" s="2659"/>
      <c r="P346" s="2659"/>
      <c r="Q346" s="2659"/>
      <c r="R346" s="2667"/>
    </row>
    <row r="347" spans="1:18">
      <c r="A347" s="2651"/>
      <c r="B347" s="2654" t="s">
        <v>9239</v>
      </c>
      <c r="C347" s="2658" t="s">
        <v>9065</v>
      </c>
      <c r="D347" s="2659">
        <v>44.94</v>
      </c>
      <c r="E347" s="2659">
        <v>44.465000000000003</v>
      </c>
      <c r="F347" s="2659">
        <v>42.341923999999999</v>
      </c>
      <c r="G347" s="2659">
        <v>42.117924000000002</v>
      </c>
      <c r="H347" s="2659">
        <v>40.609872000000003</v>
      </c>
      <c r="I347" s="2659">
        <v>39.653824</v>
      </c>
      <c r="J347" s="2659"/>
      <c r="K347" s="2659" t="s">
        <v>9066</v>
      </c>
      <c r="L347" s="2659">
        <v>40.669871999999998</v>
      </c>
      <c r="M347" s="2659">
        <v>41.269871999999999</v>
      </c>
      <c r="N347" s="2659">
        <v>42.401924000000001</v>
      </c>
      <c r="O347" s="2659">
        <v>42.701923999999998</v>
      </c>
      <c r="P347" s="2659">
        <v>45</v>
      </c>
      <c r="Q347" s="2659">
        <v>45.877352000000002</v>
      </c>
      <c r="R347" s="2667">
        <v>39</v>
      </c>
    </row>
    <row r="348" spans="1:18">
      <c r="A348" s="2651"/>
      <c r="B348" s="2654" t="s">
        <v>9239</v>
      </c>
      <c r="C348" s="2658" t="s">
        <v>9067</v>
      </c>
      <c r="D348" s="2659">
        <v>44.94</v>
      </c>
      <c r="E348" s="2659">
        <v>44.465000000000003</v>
      </c>
      <c r="F348" s="2659">
        <v>42.341923999999999</v>
      </c>
      <c r="G348" s="2659">
        <v>42.201923999999998</v>
      </c>
      <c r="H348" s="2659">
        <v>40.609872000000003</v>
      </c>
      <c r="I348" s="2659">
        <v>39.737824000000003</v>
      </c>
      <c r="J348" s="2659"/>
      <c r="K348" s="2659"/>
      <c r="L348" s="2659"/>
      <c r="M348" s="2659"/>
      <c r="N348" s="2659"/>
      <c r="O348" s="2659"/>
      <c r="P348" s="2659"/>
      <c r="Q348" s="2659"/>
      <c r="R348" s="2667"/>
    </row>
    <row r="349" spans="1:18">
      <c r="A349" s="2651"/>
      <c r="B349" s="2654" t="s">
        <v>9240</v>
      </c>
      <c r="C349" s="2658" t="s">
        <v>9065</v>
      </c>
      <c r="D349" s="2659">
        <v>44.951999999999998</v>
      </c>
      <c r="E349" s="2659">
        <v>44.576999999999998</v>
      </c>
      <c r="F349" s="2659">
        <v>43.003442999999997</v>
      </c>
      <c r="G349" s="2659">
        <v>42.803443000000001</v>
      </c>
      <c r="H349" s="2659">
        <v>41.704403999999997</v>
      </c>
      <c r="I349" s="2659">
        <v>40.955368</v>
      </c>
      <c r="J349" s="2659"/>
      <c r="K349" s="2659" t="s">
        <v>9066</v>
      </c>
      <c r="L349" s="2659">
        <v>41.752403999999999</v>
      </c>
      <c r="M349" s="2659">
        <v>42.252403999999999</v>
      </c>
      <c r="N349" s="2659">
        <v>43.051442999999999</v>
      </c>
      <c r="O349" s="2659">
        <v>43.316443</v>
      </c>
      <c r="P349" s="2659">
        <v>45</v>
      </c>
      <c r="Q349" s="2659">
        <v>45.698014000000001</v>
      </c>
      <c r="R349" s="2667">
        <v>40.5</v>
      </c>
    </row>
    <row r="350" spans="1:18">
      <c r="A350" s="2651"/>
      <c r="B350" s="2654" t="s">
        <v>9240</v>
      </c>
      <c r="C350" s="2658" t="s">
        <v>9067</v>
      </c>
      <c r="D350" s="2659">
        <v>44.951999999999998</v>
      </c>
      <c r="E350" s="2659">
        <v>44.576999999999998</v>
      </c>
      <c r="F350" s="2659">
        <v>43.003442999999997</v>
      </c>
      <c r="G350" s="2659">
        <v>42.878442999999997</v>
      </c>
      <c r="H350" s="2659">
        <v>41.704403999999997</v>
      </c>
      <c r="I350" s="2659">
        <v>41.030368000000003</v>
      </c>
      <c r="J350" s="2659"/>
      <c r="K350" s="2659"/>
      <c r="L350" s="2659"/>
      <c r="M350" s="2659"/>
      <c r="N350" s="2659"/>
      <c r="O350" s="2659"/>
      <c r="P350" s="2659"/>
      <c r="Q350" s="2659"/>
      <c r="R350" s="2667"/>
    </row>
    <row r="351" spans="1:18">
      <c r="A351" s="2651"/>
      <c r="B351" s="2654" t="s">
        <v>9241</v>
      </c>
      <c r="C351" s="2658" t="s">
        <v>9065</v>
      </c>
      <c r="D351" s="2659">
        <v>44.962000000000003</v>
      </c>
      <c r="E351" s="2659">
        <v>44.682000000000002</v>
      </c>
      <c r="F351" s="2659">
        <v>43.662962</v>
      </c>
      <c r="G351" s="2659">
        <v>43.492961999999999</v>
      </c>
      <c r="H351" s="2659">
        <v>42.796936000000002</v>
      </c>
      <c r="I351" s="2659">
        <v>42.260911999999998</v>
      </c>
      <c r="J351" s="2659"/>
      <c r="K351" s="2659" t="s">
        <v>9066</v>
      </c>
      <c r="L351" s="2659">
        <v>42.834935999999999</v>
      </c>
      <c r="M351" s="2659">
        <v>43.209935999999999</v>
      </c>
      <c r="N351" s="2659">
        <v>43.700961999999997</v>
      </c>
      <c r="O351" s="2659">
        <v>43.925362</v>
      </c>
      <c r="P351" s="2659">
        <v>45</v>
      </c>
      <c r="Q351" s="2659">
        <v>45.513075999999998</v>
      </c>
      <c r="R351" s="2667">
        <v>40.5</v>
      </c>
    </row>
    <row r="352" spans="1:18">
      <c r="A352" s="2651"/>
      <c r="B352" s="2654" t="s">
        <v>9241</v>
      </c>
      <c r="C352" s="2658" t="s">
        <v>9067</v>
      </c>
      <c r="D352" s="2659">
        <v>44.962000000000003</v>
      </c>
      <c r="E352" s="2659">
        <v>44.682000000000002</v>
      </c>
      <c r="F352" s="2659">
        <v>43.662962</v>
      </c>
      <c r="G352" s="2659">
        <v>43.556961999999999</v>
      </c>
      <c r="H352" s="2659">
        <v>42.796936000000002</v>
      </c>
      <c r="I352" s="2659">
        <v>42.324911999999998</v>
      </c>
      <c r="J352" s="2659"/>
      <c r="K352" s="2659"/>
      <c r="L352" s="2659"/>
      <c r="M352" s="2659"/>
      <c r="N352" s="2659"/>
      <c r="O352" s="2659"/>
      <c r="P352" s="2659"/>
      <c r="Q352" s="2659"/>
      <c r="R352" s="2667"/>
    </row>
    <row r="353" spans="1:18">
      <c r="A353" s="2651"/>
      <c r="B353" s="2658" t="s">
        <v>9242</v>
      </c>
      <c r="C353" s="2658" t="s">
        <v>9065</v>
      </c>
      <c r="D353" s="2659">
        <v>44.968000000000004</v>
      </c>
      <c r="E353" s="2659">
        <v>44.731999999999999</v>
      </c>
      <c r="F353" s="2659">
        <v>43.994</v>
      </c>
      <c r="G353" s="2659">
        <v>43.844000000000001</v>
      </c>
      <c r="H353" s="2659">
        <v>43.344000000000001</v>
      </c>
      <c r="I353" s="2659">
        <v>42.92</v>
      </c>
      <c r="J353" s="2659"/>
      <c r="K353" s="2659" t="s">
        <v>9066</v>
      </c>
      <c r="L353" s="2659">
        <v>43.375999999999998</v>
      </c>
      <c r="M353" s="2659">
        <v>43.676000000000002</v>
      </c>
      <c r="N353" s="2659">
        <v>44.026000000000003</v>
      </c>
      <c r="O353" s="2659">
        <v>44.225999999999999</v>
      </c>
      <c r="P353" s="2659">
        <v>45</v>
      </c>
      <c r="Q353" s="2659">
        <v>45.415999999999997</v>
      </c>
      <c r="R353" s="2667">
        <v>40.5</v>
      </c>
    </row>
    <row r="354" spans="1:18">
      <c r="A354" s="2651"/>
      <c r="B354" s="2658" t="s">
        <v>9242</v>
      </c>
      <c r="C354" s="2658" t="s">
        <v>9067</v>
      </c>
      <c r="D354" s="2659">
        <v>44.968000000000004</v>
      </c>
      <c r="E354" s="2659">
        <v>44.731999999999999</v>
      </c>
      <c r="F354" s="2659">
        <v>43.994</v>
      </c>
      <c r="G354" s="2659">
        <v>43.899000000000001</v>
      </c>
      <c r="H354" s="2659">
        <v>43.344000000000001</v>
      </c>
      <c r="I354" s="2659">
        <v>42.975000000000001</v>
      </c>
      <c r="J354" s="2659"/>
      <c r="K354" s="2659"/>
      <c r="L354" s="2659"/>
      <c r="M354" s="2659"/>
      <c r="N354" s="2659"/>
      <c r="O354" s="2659"/>
      <c r="P354" s="2659"/>
      <c r="Q354" s="2659"/>
      <c r="R354" s="2667"/>
    </row>
    <row r="355" spans="1:18">
      <c r="A355" s="2651"/>
      <c r="B355" s="2654" t="s">
        <v>9243</v>
      </c>
      <c r="C355" s="2658" t="s">
        <v>9065</v>
      </c>
      <c r="D355" s="2659">
        <v>44.973999999999997</v>
      </c>
      <c r="E355" s="2659">
        <v>44.793999999999997</v>
      </c>
      <c r="F355" s="2659">
        <v>44.324480999999999</v>
      </c>
      <c r="G355" s="2659">
        <v>44.199480999999999</v>
      </c>
      <c r="H355" s="2659">
        <v>43.891468000000003</v>
      </c>
      <c r="I355" s="2659">
        <v>43.583455999999998</v>
      </c>
      <c r="J355" s="2659"/>
      <c r="K355" s="2659" t="s">
        <v>9066</v>
      </c>
      <c r="L355" s="2659">
        <v>43.917468</v>
      </c>
      <c r="M355" s="2659">
        <v>44.153467999999997</v>
      </c>
      <c r="N355" s="2659">
        <v>44.350481000000002</v>
      </c>
      <c r="O355" s="2659">
        <v>44.520480999999997</v>
      </c>
      <c r="P355" s="2659">
        <v>45</v>
      </c>
      <c r="Q355" s="2659">
        <v>45.314337999999999</v>
      </c>
      <c r="R355" s="2667">
        <v>43</v>
      </c>
    </row>
    <row r="356" spans="1:18">
      <c r="A356" s="2651"/>
      <c r="B356" s="2654" t="s">
        <v>9243</v>
      </c>
      <c r="C356" s="2658" t="s">
        <v>9067</v>
      </c>
      <c r="D356" s="2659">
        <v>44.973999999999997</v>
      </c>
      <c r="E356" s="2659">
        <v>44.793999999999997</v>
      </c>
      <c r="F356" s="2659">
        <v>44.324480999999999</v>
      </c>
      <c r="G356" s="2659">
        <v>44.244481</v>
      </c>
      <c r="H356" s="2659">
        <v>43.891468000000003</v>
      </c>
      <c r="I356" s="2659">
        <v>43.628456</v>
      </c>
      <c r="J356" s="2659"/>
      <c r="K356" s="2659"/>
      <c r="L356" s="2659"/>
      <c r="M356" s="2659"/>
      <c r="N356" s="2659"/>
      <c r="O356" s="2659"/>
      <c r="P356" s="2659"/>
      <c r="Q356" s="2659"/>
      <c r="R356" s="2667"/>
    </row>
    <row r="357" spans="1:18">
      <c r="A357" s="2651">
        <v>48</v>
      </c>
      <c r="B357" s="2658" t="s">
        <v>9244</v>
      </c>
      <c r="C357" s="2658" t="s">
        <v>9065</v>
      </c>
      <c r="D357" s="2659">
        <v>47.929000000000002</v>
      </c>
      <c r="E357" s="2659">
        <v>47.399000000000001</v>
      </c>
      <c r="F357" s="2659">
        <v>44.680999999999997</v>
      </c>
      <c r="G357" s="2659">
        <v>44.430999999999997</v>
      </c>
      <c r="H357" s="2659">
        <v>42.515999999999998</v>
      </c>
      <c r="I357" s="2659">
        <v>41.350999999999999</v>
      </c>
      <c r="J357" s="2659"/>
      <c r="K357" s="2659" t="s">
        <v>9066</v>
      </c>
      <c r="L357" s="2659">
        <v>42.587000000000003</v>
      </c>
      <c r="M357" s="2659">
        <v>43.296999999999997</v>
      </c>
      <c r="N357" s="2659">
        <v>44.752000000000002</v>
      </c>
      <c r="O357" s="2659">
        <v>45.087000000000003</v>
      </c>
      <c r="P357" s="2659">
        <v>48</v>
      </c>
      <c r="Q357" s="2659">
        <v>49.057000000000002</v>
      </c>
      <c r="R357" s="2667">
        <v>43</v>
      </c>
    </row>
    <row r="358" spans="1:18">
      <c r="A358" s="2651"/>
      <c r="B358" s="2658" t="s">
        <v>9244</v>
      </c>
      <c r="C358" s="2658" t="s">
        <v>9067</v>
      </c>
      <c r="D358" s="2659">
        <v>47.929000000000002</v>
      </c>
      <c r="E358" s="2659">
        <v>47.399000000000001</v>
      </c>
      <c r="F358" s="2659">
        <v>44.680999999999997</v>
      </c>
      <c r="G358" s="2659">
        <v>44.521000000000001</v>
      </c>
      <c r="H358" s="2659">
        <v>42.515999999999998</v>
      </c>
      <c r="I358" s="2659">
        <v>41.441000000000003</v>
      </c>
      <c r="J358" s="2659"/>
      <c r="K358" s="2659"/>
      <c r="L358" s="2659"/>
      <c r="M358" s="2659"/>
      <c r="N358" s="2659"/>
      <c r="O358" s="2659"/>
      <c r="P358" s="2659"/>
      <c r="Q358" s="2659"/>
      <c r="R358" s="2667"/>
    </row>
    <row r="359" spans="1:18">
      <c r="A359" s="2651"/>
      <c r="B359" s="2654" t="s">
        <v>9245</v>
      </c>
      <c r="C359" s="2658" t="s">
        <v>9065</v>
      </c>
      <c r="D359" s="2659">
        <v>47.94</v>
      </c>
      <c r="E359" s="2659">
        <v>47.465000000000003</v>
      </c>
      <c r="F359" s="2659">
        <v>45.341923999999999</v>
      </c>
      <c r="G359" s="2659">
        <v>45.105924000000002</v>
      </c>
      <c r="H359" s="2659">
        <v>43.609872000000003</v>
      </c>
      <c r="I359" s="2659">
        <v>42.641824</v>
      </c>
      <c r="J359" s="2659"/>
      <c r="K359" s="2659" t="s">
        <v>9066</v>
      </c>
      <c r="L359" s="2659">
        <v>43.669871999999998</v>
      </c>
      <c r="M359" s="2659">
        <v>44.269871999999999</v>
      </c>
      <c r="N359" s="2659">
        <v>45.401924000000001</v>
      </c>
      <c r="O359" s="2659">
        <v>45.716923999999999</v>
      </c>
      <c r="P359" s="2659">
        <v>48</v>
      </c>
      <c r="Q359" s="2659">
        <v>48.892352000000002</v>
      </c>
      <c r="R359" s="2667">
        <v>43</v>
      </c>
    </row>
    <row r="360" spans="1:18">
      <c r="A360" s="2651"/>
      <c r="B360" s="2654" t="s">
        <v>9245</v>
      </c>
      <c r="C360" s="2658" t="s">
        <v>9067</v>
      </c>
      <c r="D360" s="2659">
        <v>47.94</v>
      </c>
      <c r="E360" s="2659">
        <v>47.465000000000003</v>
      </c>
      <c r="F360" s="2659">
        <v>45.341923999999999</v>
      </c>
      <c r="G360" s="2659">
        <v>45.191924</v>
      </c>
      <c r="H360" s="2659">
        <v>43.609872000000003</v>
      </c>
      <c r="I360" s="2659">
        <v>42.727823999999998</v>
      </c>
      <c r="J360" s="2659"/>
      <c r="K360" s="2659"/>
      <c r="L360" s="2659"/>
      <c r="M360" s="2659"/>
      <c r="N360" s="2659"/>
      <c r="O360" s="2659"/>
      <c r="P360" s="2659"/>
      <c r="Q360" s="2659"/>
      <c r="R360" s="2667"/>
    </row>
    <row r="361" spans="1:18">
      <c r="A361" s="2651"/>
      <c r="B361" s="2654" t="s">
        <v>9246</v>
      </c>
      <c r="C361" s="2658" t="s">
        <v>9065</v>
      </c>
      <c r="D361" s="2659">
        <v>47.951999999999998</v>
      </c>
      <c r="E361" s="2659">
        <v>47.576999999999998</v>
      </c>
      <c r="F361" s="2659">
        <v>46.003442999999997</v>
      </c>
      <c r="G361" s="2659">
        <v>45.791443000000001</v>
      </c>
      <c r="H361" s="2659">
        <v>44.704403999999997</v>
      </c>
      <c r="I361" s="2659">
        <v>43.943368</v>
      </c>
      <c r="J361" s="2659"/>
      <c r="K361" s="2659" t="s">
        <v>9066</v>
      </c>
      <c r="L361" s="2659">
        <v>44.752403999999999</v>
      </c>
      <c r="M361" s="2659">
        <v>45.252403999999999</v>
      </c>
      <c r="N361" s="2659">
        <v>46.051442999999999</v>
      </c>
      <c r="O361" s="2659">
        <v>46.331282999999999</v>
      </c>
      <c r="P361" s="2659">
        <v>48</v>
      </c>
      <c r="Q361" s="2659">
        <v>48.712854</v>
      </c>
      <c r="R361" s="2667">
        <v>43</v>
      </c>
    </row>
    <row r="362" spans="1:18">
      <c r="A362" s="2651"/>
      <c r="B362" s="2654" t="s">
        <v>9246</v>
      </c>
      <c r="C362" s="2658" t="s">
        <v>9067</v>
      </c>
      <c r="D362" s="2659">
        <v>47.951999999999998</v>
      </c>
      <c r="E362" s="2659">
        <v>47.576999999999998</v>
      </c>
      <c r="F362" s="2659">
        <v>46.003442999999997</v>
      </c>
      <c r="G362" s="2659">
        <v>45.871442999999999</v>
      </c>
      <c r="H362" s="2659">
        <v>44.704403999999997</v>
      </c>
      <c r="I362" s="2659">
        <v>44.023367999999998</v>
      </c>
      <c r="J362" s="2659"/>
      <c r="K362" s="2659"/>
      <c r="L362" s="2659"/>
      <c r="M362" s="2659"/>
      <c r="N362" s="2659"/>
      <c r="O362" s="2659"/>
      <c r="P362" s="2659"/>
      <c r="Q362" s="2659"/>
      <c r="R362" s="2667"/>
    </row>
    <row r="363" spans="1:18">
      <c r="A363" s="2651"/>
      <c r="B363" s="2658" t="s">
        <v>9247</v>
      </c>
      <c r="C363" s="2658" t="s">
        <v>9065</v>
      </c>
      <c r="D363" s="2659">
        <v>47.962000000000003</v>
      </c>
      <c r="E363" s="2659">
        <v>47.682000000000002</v>
      </c>
      <c r="F363" s="2659">
        <v>46.662999999999997</v>
      </c>
      <c r="G363" s="2659">
        <v>46.482999999999997</v>
      </c>
      <c r="H363" s="2659">
        <v>45.796999999999997</v>
      </c>
      <c r="I363" s="2659">
        <v>45.250999999999998</v>
      </c>
      <c r="J363" s="2659"/>
      <c r="K363" s="2659" t="s">
        <v>9066</v>
      </c>
      <c r="L363" s="2659">
        <v>45.835000000000001</v>
      </c>
      <c r="M363" s="2659">
        <v>46.21</v>
      </c>
      <c r="N363" s="2659">
        <v>46.701000000000001</v>
      </c>
      <c r="O363" s="2659">
        <v>46.936999999999998</v>
      </c>
      <c r="P363" s="2659">
        <v>48</v>
      </c>
      <c r="Q363" s="2659">
        <v>48.524999999999999</v>
      </c>
      <c r="R363" s="2667">
        <v>43</v>
      </c>
    </row>
    <row r="364" spans="1:18">
      <c r="A364" s="2651"/>
      <c r="B364" s="2658" t="s">
        <v>9247</v>
      </c>
      <c r="C364" s="2658" t="s">
        <v>9067</v>
      </c>
      <c r="D364" s="2659">
        <v>47.962000000000003</v>
      </c>
      <c r="E364" s="2659">
        <v>47.682000000000002</v>
      </c>
      <c r="F364" s="2659">
        <v>46.662999999999997</v>
      </c>
      <c r="G364" s="2659">
        <v>46.551000000000002</v>
      </c>
      <c r="H364" s="2659">
        <v>45.796999999999997</v>
      </c>
      <c r="I364" s="2659">
        <v>45.319000000000003</v>
      </c>
      <c r="J364" s="2659"/>
      <c r="K364" s="2659"/>
      <c r="L364" s="2659"/>
      <c r="M364" s="2659"/>
      <c r="N364" s="2659"/>
      <c r="O364" s="2659"/>
      <c r="P364" s="2659"/>
      <c r="Q364" s="2659"/>
      <c r="R364" s="2667"/>
    </row>
    <row r="365" spans="1:18">
      <c r="A365" s="2651"/>
      <c r="B365" s="2654" t="s">
        <v>9248</v>
      </c>
      <c r="C365" s="2658" t="s">
        <v>9065</v>
      </c>
      <c r="D365" s="2659">
        <v>47.968000000000004</v>
      </c>
      <c r="E365" s="2659">
        <v>47.731999999999999</v>
      </c>
      <c r="F365" s="2659">
        <v>46.993721499999999</v>
      </c>
      <c r="G365" s="2659">
        <v>46.833721500000003</v>
      </c>
      <c r="H365" s="2659">
        <v>46.344202000000003</v>
      </c>
      <c r="I365" s="2659">
        <v>45.909683999999999</v>
      </c>
      <c r="J365" s="2659"/>
      <c r="K365" s="2659" t="s">
        <v>9066</v>
      </c>
      <c r="L365" s="2659">
        <v>46.376201999999999</v>
      </c>
      <c r="M365" s="2659">
        <v>46.676202000000004</v>
      </c>
      <c r="N365" s="2659">
        <v>47.025721500000003</v>
      </c>
      <c r="O365" s="2659">
        <v>47.237721499999999</v>
      </c>
      <c r="P365" s="2659">
        <v>48</v>
      </c>
      <c r="Q365" s="2659">
        <v>48.428507000000003</v>
      </c>
      <c r="R365" s="2667">
        <v>45</v>
      </c>
    </row>
    <row r="366" spans="1:18">
      <c r="A366" s="2651"/>
      <c r="B366" s="2654" t="s">
        <v>9248</v>
      </c>
      <c r="C366" s="2658" t="s">
        <v>9067</v>
      </c>
      <c r="D366" s="2659">
        <v>47.968000000000004</v>
      </c>
      <c r="E366" s="2659">
        <v>47.731999999999999</v>
      </c>
      <c r="F366" s="2659">
        <v>46.993721499999999</v>
      </c>
      <c r="G366" s="2659">
        <v>46.893721499999998</v>
      </c>
      <c r="H366" s="2659">
        <v>46.344202000000003</v>
      </c>
      <c r="I366" s="2659">
        <v>45.969684000000001</v>
      </c>
      <c r="J366" s="2659"/>
      <c r="K366" s="2659"/>
      <c r="L366" s="2659"/>
      <c r="M366" s="2659"/>
      <c r="N366" s="2659"/>
      <c r="O366" s="2659"/>
      <c r="P366" s="2659"/>
      <c r="Q366" s="2659"/>
      <c r="R366" s="2667"/>
    </row>
    <row r="367" spans="1:18">
      <c r="A367" s="2651">
        <v>50</v>
      </c>
      <c r="B367" s="2654" t="s">
        <v>9249</v>
      </c>
      <c r="C367" s="2658" t="s">
        <v>9065</v>
      </c>
      <c r="D367" s="2659">
        <v>49.94</v>
      </c>
      <c r="E367" s="2659">
        <v>49.465000000000003</v>
      </c>
      <c r="F367" s="2659">
        <v>47.341923999999999</v>
      </c>
      <c r="G367" s="2659">
        <v>47.105924000000002</v>
      </c>
      <c r="H367" s="2659">
        <v>45.609872000000003</v>
      </c>
      <c r="I367" s="2659">
        <v>44.641824</v>
      </c>
      <c r="J367" s="2659"/>
      <c r="K367" s="2659" t="s">
        <v>9066</v>
      </c>
      <c r="L367" s="2659">
        <v>45.669871999999998</v>
      </c>
      <c r="M367" s="2659">
        <v>46.269871999999999</v>
      </c>
      <c r="N367" s="2659">
        <v>47.401924000000001</v>
      </c>
      <c r="O367" s="2659">
        <v>47.716923999999999</v>
      </c>
      <c r="P367" s="2659">
        <v>50</v>
      </c>
      <c r="Q367" s="2659">
        <v>50.892352000000002</v>
      </c>
      <c r="R367" s="2667">
        <v>45</v>
      </c>
    </row>
    <row r="368" spans="1:18">
      <c r="A368" s="2651"/>
      <c r="B368" s="2654" t="s">
        <v>9249</v>
      </c>
      <c r="C368" s="2658" t="s">
        <v>9067</v>
      </c>
      <c r="D368" s="2659">
        <v>49.94</v>
      </c>
      <c r="E368" s="2659">
        <v>49.465000000000003</v>
      </c>
      <c r="F368" s="2659">
        <v>47.341923999999999</v>
      </c>
      <c r="G368" s="2659">
        <v>47.191924</v>
      </c>
      <c r="H368" s="2659">
        <v>45.609872000000003</v>
      </c>
      <c r="I368" s="2659">
        <v>44.727823999999998</v>
      </c>
      <c r="J368" s="2659"/>
      <c r="K368" s="2659"/>
      <c r="L368" s="2659"/>
      <c r="M368" s="2659"/>
      <c r="N368" s="2659"/>
      <c r="O368" s="2659"/>
      <c r="P368" s="2659"/>
      <c r="Q368" s="2659"/>
      <c r="R368" s="2667"/>
    </row>
    <row r="369" spans="1:18">
      <c r="A369" s="2651"/>
      <c r="B369" s="2654" t="s">
        <v>9250</v>
      </c>
      <c r="C369" s="2658" t="s">
        <v>9065</v>
      </c>
      <c r="D369" s="2659">
        <v>49.951999999999998</v>
      </c>
      <c r="E369" s="2659">
        <v>49.576999999999998</v>
      </c>
      <c r="F369" s="2659">
        <v>48.003442999999997</v>
      </c>
      <c r="G369" s="2659">
        <v>47.791443000000001</v>
      </c>
      <c r="H369" s="2659">
        <v>46.704403999999997</v>
      </c>
      <c r="I369" s="2659">
        <v>45.943368</v>
      </c>
      <c r="J369" s="2659"/>
      <c r="K369" s="2659" t="s">
        <v>9066</v>
      </c>
      <c r="L369" s="2659">
        <v>46.752403999999999</v>
      </c>
      <c r="M369" s="2659">
        <v>47.252403999999999</v>
      </c>
      <c r="N369" s="2659">
        <v>48.051442999999999</v>
      </c>
      <c r="O369" s="2659">
        <v>48.331282999999999</v>
      </c>
      <c r="P369" s="2659">
        <v>50</v>
      </c>
      <c r="Q369" s="2659">
        <v>50.712854</v>
      </c>
      <c r="R369" s="2667">
        <v>45</v>
      </c>
    </row>
    <row r="370" spans="1:18">
      <c r="A370" s="2651"/>
      <c r="B370" s="2654" t="s">
        <v>9250</v>
      </c>
      <c r="C370" s="2658" t="s">
        <v>9067</v>
      </c>
      <c r="D370" s="2659">
        <v>49.951999999999998</v>
      </c>
      <c r="E370" s="2659">
        <v>49.576999999999998</v>
      </c>
      <c r="F370" s="2659">
        <v>48.003442999999997</v>
      </c>
      <c r="G370" s="2659">
        <v>47.871442999999999</v>
      </c>
      <c r="H370" s="2659">
        <v>46.704403999999997</v>
      </c>
      <c r="I370" s="2659">
        <v>46.023367999999998</v>
      </c>
      <c r="J370" s="2659"/>
      <c r="K370" s="2659"/>
      <c r="L370" s="2659"/>
      <c r="M370" s="2659"/>
      <c r="N370" s="2659"/>
      <c r="O370" s="2659"/>
      <c r="P370" s="2659"/>
      <c r="Q370" s="2659"/>
      <c r="R370" s="2667"/>
    </row>
    <row r="371" spans="1:18">
      <c r="A371" s="2651"/>
      <c r="B371" s="2654" t="s">
        <v>9251</v>
      </c>
      <c r="C371" s="2658" t="s">
        <v>9065</v>
      </c>
      <c r="D371" s="2659">
        <v>49.962000000000003</v>
      </c>
      <c r="E371" s="2659">
        <v>49.682000000000002</v>
      </c>
      <c r="F371" s="2659">
        <v>48.662962</v>
      </c>
      <c r="G371" s="2659">
        <v>48.482962000000001</v>
      </c>
      <c r="H371" s="2659">
        <v>47.796936000000002</v>
      </c>
      <c r="I371" s="2659">
        <v>47.250912</v>
      </c>
      <c r="J371" s="2659"/>
      <c r="K371" s="2659" t="s">
        <v>9066</v>
      </c>
      <c r="L371" s="2659">
        <v>47.834935999999999</v>
      </c>
      <c r="M371" s="2659">
        <v>48.209935999999999</v>
      </c>
      <c r="N371" s="2659">
        <v>48.700961999999997</v>
      </c>
      <c r="O371" s="2659">
        <v>48.936962000000001</v>
      </c>
      <c r="P371" s="2659">
        <v>50</v>
      </c>
      <c r="Q371" s="2659">
        <v>50.524675999999999</v>
      </c>
      <c r="R371" s="2667">
        <v>45</v>
      </c>
    </row>
    <row r="372" spans="1:18">
      <c r="A372" s="2651"/>
      <c r="B372" s="2654" t="s">
        <v>9251</v>
      </c>
      <c r="C372" s="2658" t="s">
        <v>9067</v>
      </c>
      <c r="D372" s="2659">
        <v>49.962000000000003</v>
      </c>
      <c r="E372" s="2659">
        <v>49.682000000000002</v>
      </c>
      <c r="F372" s="2659">
        <v>48.662962</v>
      </c>
      <c r="G372" s="2659">
        <v>48.550961999999998</v>
      </c>
      <c r="H372" s="2659">
        <v>47.796936000000002</v>
      </c>
      <c r="I372" s="2659">
        <v>47.318911999999997</v>
      </c>
      <c r="J372" s="2659"/>
      <c r="K372" s="2659"/>
      <c r="L372" s="2659"/>
      <c r="M372" s="2659"/>
      <c r="N372" s="2659"/>
      <c r="O372" s="2659"/>
      <c r="P372" s="2659"/>
      <c r="Q372" s="2659"/>
      <c r="R372" s="2667"/>
    </row>
    <row r="373" spans="1:18">
      <c r="A373" s="2651"/>
      <c r="B373" s="2658" t="s">
        <v>9252</v>
      </c>
      <c r="C373" s="2658" t="s">
        <v>9065</v>
      </c>
      <c r="D373" s="2659">
        <v>49.968000000000004</v>
      </c>
      <c r="E373" s="2659">
        <v>49.731999999999999</v>
      </c>
      <c r="F373" s="2659">
        <v>48.994</v>
      </c>
      <c r="G373" s="2659">
        <v>48.834000000000003</v>
      </c>
      <c r="H373" s="2659">
        <v>48.344000000000001</v>
      </c>
      <c r="I373" s="2659">
        <v>47.91</v>
      </c>
      <c r="J373" s="2659"/>
      <c r="K373" s="2659" t="s">
        <v>9066</v>
      </c>
      <c r="L373" s="2659">
        <v>48.375999999999998</v>
      </c>
      <c r="M373" s="2659">
        <v>48.676000000000002</v>
      </c>
      <c r="N373" s="2659">
        <v>49.026000000000003</v>
      </c>
      <c r="O373" s="2659">
        <v>49.238</v>
      </c>
      <c r="P373" s="2659">
        <v>50</v>
      </c>
      <c r="Q373" s="2659">
        <v>50.427999999999997</v>
      </c>
      <c r="R373" s="2667">
        <v>45</v>
      </c>
    </row>
    <row r="374" spans="1:18">
      <c r="A374" s="2651"/>
      <c r="B374" s="2658" t="s">
        <v>9252</v>
      </c>
      <c r="C374" s="2658" t="s">
        <v>9067</v>
      </c>
      <c r="D374" s="2659">
        <v>49.968000000000004</v>
      </c>
      <c r="E374" s="2659">
        <v>49.731999999999999</v>
      </c>
      <c r="F374" s="2659">
        <v>48.994</v>
      </c>
      <c r="G374" s="2659">
        <v>48.893999999999998</v>
      </c>
      <c r="H374" s="2659">
        <v>48.344000000000001</v>
      </c>
      <c r="I374" s="2659">
        <v>47.97</v>
      </c>
      <c r="J374" s="2659"/>
      <c r="K374" s="2659"/>
      <c r="L374" s="2659"/>
      <c r="M374" s="2659"/>
      <c r="N374" s="2659"/>
      <c r="O374" s="2659"/>
      <c r="P374" s="2659"/>
      <c r="Q374" s="2659"/>
      <c r="R374" s="2667"/>
    </row>
    <row r="375" spans="1:18">
      <c r="A375" s="2651">
        <v>52</v>
      </c>
      <c r="B375" s="2654" t="s">
        <v>9253</v>
      </c>
      <c r="C375" s="2658" t="s">
        <v>9065</v>
      </c>
      <c r="D375" s="2659">
        <v>51.929000000000002</v>
      </c>
      <c r="E375" s="2659">
        <v>51.399000000000001</v>
      </c>
      <c r="F375" s="2659">
        <v>48.681404999999998</v>
      </c>
      <c r="G375" s="2659">
        <v>48.445405000000001</v>
      </c>
      <c r="H375" s="2659">
        <v>46.51634</v>
      </c>
      <c r="I375" s="2659">
        <v>45.365279999999998</v>
      </c>
      <c r="J375" s="2659"/>
      <c r="K375" s="2659" t="s">
        <v>9066</v>
      </c>
      <c r="L375" s="2659">
        <v>46.587339999999998</v>
      </c>
      <c r="M375" s="2659">
        <v>47.297339999999998</v>
      </c>
      <c r="N375" s="2659">
        <v>48.752405000000003</v>
      </c>
      <c r="O375" s="2659">
        <v>49.067405000000001</v>
      </c>
      <c r="P375" s="2659">
        <v>52</v>
      </c>
      <c r="Q375" s="2659">
        <v>53.03669</v>
      </c>
      <c r="R375" s="2667">
        <v>45</v>
      </c>
    </row>
    <row r="376" spans="1:18">
      <c r="A376" s="2651"/>
      <c r="B376" s="2654" t="s">
        <v>9253</v>
      </c>
      <c r="C376" s="2658" t="s">
        <v>9067</v>
      </c>
      <c r="D376" s="2659">
        <v>51.929000000000002</v>
      </c>
      <c r="E376" s="2659">
        <v>51.399000000000001</v>
      </c>
      <c r="F376" s="2659">
        <v>48.681404999999998</v>
      </c>
      <c r="G376" s="2659">
        <v>48.531404999999999</v>
      </c>
      <c r="H376" s="2659">
        <v>46.51634</v>
      </c>
      <c r="I376" s="2659">
        <v>45.451279999999997</v>
      </c>
      <c r="J376" s="2659"/>
      <c r="K376" s="2659"/>
      <c r="L376" s="2659"/>
      <c r="M376" s="2659"/>
      <c r="N376" s="2659"/>
      <c r="O376" s="2659"/>
      <c r="P376" s="2659"/>
      <c r="Q376" s="2659"/>
      <c r="R376" s="2667"/>
    </row>
    <row r="377" spans="1:18">
      <c r="A377" s="2651"/>
      <c r="B377" s="2654" t="s">
        <v>9254</v>
      </c>
      <c r="C377" s="2658" t="s">
        <v>9065</v>
      </c>
      <c r="D377" s="2659">
        <v>51.94</v>
      </c>
      <c r="E377" s="2659">
        <v>51.465000000000003</v>
      </c>
      <c r="F377" s="2659">
        <v>49.341923999999999</v>
      </c>
      <c r="G377" s="2659">
        <v>49.105924000000002</v>
      </c>
      <c r="H377" s="2659">
        <v>47.609872000000003</v>
      </c>
      <c r="I377" s="2659">
        <v>46.641824</v>
      </c>
      <c r="J377" s="2659"/>
      <c r="K377" s="2659" t="s">
        <v>9066</v>
      </c>
      <c r="L377" s="2659">
        <v>47.669871999999998</v>
      </c>
      <c r="M377" s="2659">
        <v>48.269871999999999</v>
      </c>
      <c r="N377" s="2659">
        <v>49.401924000000001</v>
      </c>
      <c r="O377" s="2659">
        <v>49.716923999999999</v>
      </c>
      <c r="P377" s="2659">
        <v>52</v>
      </c>
      <c r="Q377" s="2659">
        <v>52.892352000000002</v>
      </c>
      <c r="R377" s="2667">
        <v>45</v>
      </c>
    </row>
    <row r="378" spans="1:18">
      <c r="A378" s="2651"/>
      <c r="B378" s="2654" t="s">
        <v>9254</v>
      </c>
      <c r="C378" s="2658" t="s">
        <v>9067</v>
      </c>
      <c r="D378" s="2659">
        <v>51.94</v>
      </c>
      <c r="E378" s="2659">
        <v>51.465000000000003</v>
      </c>
      <c r="F378" s="2659">
        <v>49.341923999999999</v>
      </c>
      <c r="G378" s="2659">
        <v>49.191924</v>
      </c>
      <c r="H378" s="2659">
        <v>47.609872000000003</v>
      </c>
      <c r="I378" s="2659">
        <v>46.727823999999998</v>
      </c>
      <c r="J378" s="2659"/>
      <c r="K378" s="2659"/>
      <c r="L378" s="2659"/>
      <c r="M378" s="2659"/>
      <c r="N378" s="2659"/>
      <c r="O378" s="2659"/>
      <c r="P378" s="2659"/>
      <c r="Q378" s="2659"/>
      <c r="R378" s="2667"/>
    </row>
    <row r="379" spans="1:18">
      <c r="A379" s="2651"/>
      <c r="B379" s="2654" t="s">
        <v>9255</v>
      </c>
      <c r="C379" s="2658" t="s">
        <v>9065</v>
      </c>
      <c r="D379" s="2659">
        <v>51.951999999999998</v>
      </c>
      <c r="E379" s="2659">
        <v>51.576999999999998</v>
      </c>
      <c r="F379" s="2659">
        <v>50.003442999999997</v>
      </c>
      <c r="G379" s="2659">
        <v>49.791443000000001</v>
      </c>
      <c r="H379" s="2659">
        <v>48.704403999999997</v>
      </c>
      <c r="I379" s="2659">
        <v>47.943368</v>
      </c>
      <c r="J379" s="2659"/>
      <c r="K379" s="2659" t="s">
        <v>9066</v>
      </c>
      <c r="L379" s="2659">
        <v>48.752403999999999</v>
      </c>
      <c r="M379" s="2659">
        <v>49.252403999999999</v>
      </c>
      <c r="N379" s="2659">
        <v>50.051442999999999</v>
      </c>
      <c r="O379" s="2659">
        <v>50.331282999999999</v>
      </c>
      <c r="P379" s="2659">
        <v>52</v>
      </c>
      <c r="Q379" s="2659">
        <v>52.712854</v>
      </c>
      <c r="R379" s="2667">
        <v>45</v>
      </c>
    </row>
    <row r="380" spans="1:18">
      <c r="A380" s="2651"/>
      <c r="B380" s="2654" t="s">
        <v>9255</v>
      </c>
      <c r="C380" s="2658" t="s">
        <v>9067</v>
      </c>
      <c r="D380" s="2659">
        <v>51.951999999999998</v>
      </c>
      <c r="E380" s="2659">
        <v>51.576999999999998</v>
      </c>
      <c r="F380" s="2659">
        <v>50.003442999999997</v>
      </c>
      <c r="G380" s="2659">
        <v>49.871442999999999</v>
      </c>
      <c r="H380" s="2659">
        <v>48.704403999999997</v>
      </c>
      <c r="I380" s="2659">
        <v>48.023367999999998</v>
      </c>
      <c r="J380" s="2659"/>
      <c r="K380" s="2659"/>
      <c r="L380" s="2659"/>
      <c r="M380" s="2659"/>
      <c r="N380" s="2659"/>
      <c r="O380" s="2659"/>
      <c r="P380" s="2659"/>
      <c r="Q380" s="2659"/>
      <c r="R380" s="2667"/>
    </row>
    <row r="381" spans="1:18">
      <c r="A381" s="2651"/>
      <c r="B381" s="2654" t="s">
        <v>9256</v>
      </c>
      <c r="C381" s="2658" t="s">
        <v>9065</v>
      </c>
      <c r="D381" s="2659">
        <v>51.962000000000003</v>
      </c>
      <c r="E381" s="2659">
        <v>51.682000000000002</v>
      </c>
      <c r="F381" s="2659">
        <v>50.662962</v>
      </c>
      <c r="G381" s="2659">
        <v>50.482962000000001</v>
      </c>
      <c r="H381" s="2659">
        <v>49.796936000000002</v>
      </c>
      <c r="I381" s="2659">
        <v>49.250912</v>
      </c>
      <c r="J381" s="2659"/>
      <c r="K381" s="2659" t="s">
        <v>9066</v>
      </c>
      <c r="L381" s="2659">
        <v>49.834935999999999</v>
      </c>
      <c r="M381" s="2659">
        <v>50.209935999999999</v>
      </c>
      <c r="N381" s="2659">
        <v>50.700961999999997</v>
      </c>
      <c r="O381" s="2659">
        <v>50.936962000000001</v>
      </c>
      <c r="P381" s="2659">
        <v>52</v>
      </c>
      <c r="Q381" s="2659">
        <v>52.524675999999999</v>
      </c>
      <c r="R381" s="2667">
        <v>48</v>
      </c>
    </row>
    <row r="382" spans="1:18">
      <c r="A382" s="2651"/>
      <c r="B382" s="2654" t="s">
        <v>9256</v>
      </c>
      <c r="C382" s="2658" t="s">
        <v>9067</v>
      </c>
      <c r="D382" s="2659">
        <v>51.962000000000003</v>
      </c>
      <c r="E382" s="2659">
        <v>51.682000000000002</v>
      </c>
      <c r="F382" s="2659">
        <v>50.662962</v>
      </c>
      <c r="G382" s="2659">
        <v>50.550961999999998</v>
      </c>
      <c r="H382" s="2659">
        <v>49.796936000000002</v>
      </c>
      <c r="I382" s="2659">
        <v>49.318911999999997</v>
      </c>
      <c r="J382" s="2659"/>
      <c r="K382" s="2659"/>
      <c r="L382" s="2659"/>
      <c r="M382" s="2659"/>
      <c r="N382" s="2659"/>
      <c r="O382" s="2659"/>
      <c r="P382" s="2659"/>
      <c r="Q382" s="2659"/>
      <c r="R382" s="2667"/>
    </row>
    <row r="383" spans="1:18">
      <c r="A383" s="2651"/>
      <c r="B383" s="2654" t="s">
        <v>9257</v>
      </c>
      <c r="C383" s="2658" t="s">
        <v>9065</v>
      </c>
      <c r="D383" s="2659">
        <v>51.968000000000004</v>
      </c>
      <c r="E383" s="2659">
        <v>51.731999999999999</v>
      </c>
      <c r="F383" s="2659">
        <v>50.993721499999999</v>
      </c>
      <c r="G383" s="2659">
        <v>50.833721500000003</v>
      </c>
      <c r="H383" s="2659">
        <v>50.344202000000003</v>
      </c>
      <c r="I383" s="2659">
        <v>49.909683999999999</v>
      </c>
      <c r="J383" s="2659"/>
      <c r="K383" s="2659" t="s">
        <v>9066</v>
      </c>
      <c r="L383" s="2659">
        <v>50.376201999999999</v>
      </c>
      <c r="M383" s="2659">
        <v>50.676202000000004</v>
      </c>
      <c r="N383" s="2659">
        <v>51.025721500000003</v>
      </c>
      <c r="O383" s="2659">
        <v>51.237721499999999</v>
      </c>
      <c r="P383" s="2659">
        <v>52</v>
      </c>
      <c r="Q383" s="2659">
        <v>52.428507000000003</v>
      </c>
      <c r="R383" s="2667">
        <v>48</v>
      </c>
    </row>
    <row r="384" spans="1:18">
      <c r="A384" s="2651"/>
      <c r="B384" s="2654" t="s">
        <v>9257</v>
      </c>
      <c r="C384" s="2658" t="s">
        <v>9067</v>
      </c>
      <c r="D384" s="2659">
        <v>51.968000000000004</v>
      </c>
      <c r="E384" s="2659">
        <v>51.731999999999999</v>
      </c>
      <c r="F384" s="2659">
        <v>50.993721499999999</v>
      </c>
      <c r="G384" s="2659">
        <v>50.893721499999998</v>
      </c>
      <c r="H384" s="2659">
        <v>50.344202000000003</v>
      </c>
      <c r="I384" s="2659">
        <v>49.969684000000001</v>
      </c>
      <c r="J384" s="2659"/>
      <c r="K384" s="2659"/>
      <c r="L384" s="2659"/>
      <c r="M384" s="2659"/>
      <c r="N384" s="2659"/>
      <c r="O384" s="2659"/>
      <c r="P384" s="2659"/>
      <c r="Q384" s="2659"/>
      <c r="R384" s="2667"/>
    </row>
    <row r="385" spans="1:18">
      <c r="A385" s="2651">
        <v>55</v>
      </c>
      <c r="B385" s="2654" t="s">
        <v>9258</v>
      </c>
      <c r="C385" s="2658" t="s">
        <v>9065</v>
      </c>
      <c r="D385" s="2659">
        <v>54.94</v>
      </c>
      <c r="E385" s="2659">
        <v>54.465000000000003</v>
      </c>
      <c r="F385" s="2659">
        <v>52.341923999999999</v>
      </c>
      <c r="G385" s="2659">
        <v>52.105924000000002</v>
      </c>
      <c r="H385" s="2659">
        <v>50.609872000000003</v>
      </c>
      <c r="I385" s="2659">
        <v>49.641824</v>
      </c>
      <c r="J385" s="2659"/>
      <c r="K385" s="2659" t="s">
        <v>9066</v>
      </c>
      <c r="L385" s="2659">
        <v>50.669871999999998</v>
      </c>
      <c r="M385" s="2659">
        <v>51.269871999999999</v>
      </c>
      <c r="N385" s="2659">
        <v>52.401924000000001</v>
      </c>
      <c r="O385" s="2659">
        <v>52.716923999999999</v>
      </c>
      <c r="P385" s="2659">
        <v>55</v>
      </c>
      <c r="Q385" s="2659">
        <v>55.892352000000002</v>
      </c>
      <c r="R385" s="2667">
        <v>48</v>
      </c>
    </row>
    <row r="386" spans="1:18">
      <c r="A386" s="2651"/>
      <c r="B386" s="2654" t="s">
        <v>9258</v>
      </c>
      <c r="C386" s="2658" t="s">
        <v>9067</v>
      </c>
      <c r="D386" s="2659">
        <v>54.94</v>
      </c>
      <c r="E386" s="2659">
        <v>54.465000000000003</v>
      </c>
      <c r="F386" s="2659">
        <v>52.341923999999999</v>
      </c>
      <c r="G386" s="2659">
        <v>52.191924</v>
      </c>
      <c r="H386" s="2659">
        <v>50.609872000000003</v>
      </c>
      <c r="I386" s="2659">
        <v>49.727823999999998</v>
      </c>
      <c r="J386" s="2659"/>
      <c r="K386" s="2659"/>
      <c r="L386" s="2659"/>
      <c r="M386" s="2659"/>
      <c r="N386" s="2659"/>
      <c r="O386" s="2659"/>
      <c r="P386" s="2659"/>
      <c r="Q386" s="2659"/>
      <c r="R386" s="2667"/>
    </row>
    <row r="387" spans="1:18">
      <c r="A387" s="2651"/>
      <c r="B387" s="2654" t="s">
        <v>9259</v>
      </c>
      <c r="C387" s="2658" t="s">
        <v>9065</v>
      </c>
      <c r="D387" s="2659">
        <v>54.951999999999998</v>
      </c>
      <c r="E387" s="2659">
        <v>54.576999999999998</v>
      </c>
      <c r="F387" s="2659">
        <v>53.003442999999997</v>
      </c>
      <c r="G387" s="2659">
        <v>52.791443000000001</v>
      </c>
      <c r="H387" s="2659">
        <v>51.704403999999997</v>
      </c>
      <c r="I387" s="2659">
        <v>50.943368</v>
      </c>
      <c r="J387" s="2659"/>
      <c r="K387" s="2659" t="s">
        <v>9066</v>
      </c>
      <c r="L387" s="2659">
        <v>51.752403999999999</v>
      </c>
      <c r="M387" s="2659">
        <v>52.252403999999999</v>
      </c>
      <c r="N387" s="2659">
        <v>53.051442999999999</v>
      </c>
      <c r="O387" s="2659">
        <v>53.331282999999999</v>
      </c>
      <c r="P387" s="2659">
        <v>55</v>
      </c>
      <c r="Q387" s="2659">
        <v>55.712854</v>
      </c>
      <c r="R387" s="2667">
        <v>48</v>
      </c>
    </row>
    <row r="388" spans="1:18">
      <c r="A388" s="2651"/>
      <c r="B388" s="2654" t="s">
        <v>9259</v>
      </c>
      <c r="C388" s="2658" t="s">
        <v>9067</v>
      </c>
      <c r="D388" s="2659">
        <v>54.951999999999998</v>
      </c>
      <c r="E388" s="2659">
        <v>54.576999999999998</v>
      </c>
      <c r="F388" s="2659">
        <v>53.003442999999997</v>
      </c>
      <c r="G388" s="2659">
        <v>52.871442999999999</v>
      </c>
      <c r="H388" s="2659">
        <v>51.704403999999997</v>
      </c>
      <c r="I388" s="2659">
        <v>51.023367999999998</v>
      </c>
      <c r="J388" s="2659"/>
      <c r="K388" s="2659"/>
      <c r="L388" s="2659"/>
      <c r="M388" s="2659"/>
      <c r="N388" s="2659"/>
      <c r="O388" s="2659"/>
      <c r="P388" s="2659"/>
      <c r="Q388" s="2659"/>
      <c r="R388" s="2667"/>
    </row>
    <row r="389" spans="1:18">
      <c r="A389" s="2651"/>
      <c r="B389" s="2654" t="s">
        <v>9260</v>
      </c>
      <c r="C389" s="2658" t="s">
        <v>9065</v>
      </c>
      <c r="D389" s="2659">
        <v>54.962000000000003</v>
      </c>
      <c r="E389" s="2659">
        <v>54.682000000000002</v>
      </c>
      <c r="F389" s="2659">
        <v>53.662962</v>
      </c>
      <c r="G389" s="2659">
        <v>53.482962000000001</v>
      </c>
      <c r="H389" s="2659">
        <v>52.796936000000002</v>
      </c>
      <c r="I389" s="2659">
        <v>52.250912</v>
      </c>
      <c r="J389" s="2659"/>
      <c r="K389" s="2659" t="s">
        <v>9066</v>
      </c>
      <c r="L389" s="2659">
        <v>52.834935999999999</v>
      </c>
      <c r="M389" s="2659">
        <v>53.209935999999999</v>
      </c>
      <c r="N389" s="2659">
        <v>53.700961999999997</v>
      </c>
      <c r="O389" s="2659">
        <v>53.936962000000001</v>
      </c>
      <c r="P389" s="2659">
        <v>55</v>
      </c>
      <c r="Q389" s="2659">
        <v>55.524675999999999</v>
      </c>
      <c r="R389" s="2667">
        <v>50</v>
      </c>
    </row>
    <row r="390" spans="1:18">
      <c r="A390" s="2651"/>
      <c r="B390" s="2654" t="s">
        <v>9260</v>
      </c>
      <c r="C390" s="2658" t="s">
        <v>9067</v>
      </c>
      <c r="D390" s="2659">
        <v>54.962000000000003</v>
      </c>
      <c r="E390" s="2659">
        <v>54.682000000000002</v>
      </c>
      <c r="F390" s="2659">
        <v>53.662962</v>
      </c>
      <c r="G390" s="2659">
        <v>53.550961999999998</v>
      </c>
      <c r="H390" s="2659">
        <v>52.796936000000002</v>
      </c>
      <c r="I390" s="2659">
        <v>52.318911999999997</v>
      </c>
      <c r="J390" s="2659"/>
      <c r="K390" s="2659"/>
      <c r="L390" s="2659"/>
      <c r="M390" s="2659"/>
      <c r="N390" s="2659"/>
      <c r="O390" s="2659"/>
      <c r="P390" s="2659"/>
      <c r="Q390" s="2659"/>
      <c r="R390" s="2667"/>
    </row>
    <row r="391" spans="1:18">
      <c r="A391" s="2651"/>
      <c r="B391" s="2658" t="s">
        <v>9261</v>
      </c>
      <c r="C391" s="2658" t="s">
        <v>9065</v>
      </c>
      <c r="D391" s="2659">
        <v>54.968000000000004</v>
      </c>
      <c r="E391" s="2659">
        <v>54.731999999999999</v>
      </c>
      <c r="F391" s="2659">
        <v>53.994</v>
      </c>
      <c r="G391" s="2659">
        <v>53.834000000000003</v>
      </c>
      <c r="H391" s="2659">
        <v>53.344000000000001</v>
      </c>
      <c r="I391" s="2659">
        <v>52.91</v>
      </c>
      <c r="J391" s="2659"/>
      <c r="K391" s="2659" t="s">
        <v>9066</v>
      </c>
      <c r="L391" s="2659">
        <v>53.375999999999998</v>
      </c>
      <c r="M391" s="2659">
        <v>53.676000000000002</v>
      </c>
      <c r="N391" s="2659">
        <v>54.026000000000003</v>
      </c>
      <c r="O391" s="2659">
        <v>54.238</v>
      </c>
      <c r="P391" s="2659">
        <v>55</v>
      </c>
      <c r="Q391" s="2659">
        <v>55.427999999999997</v>
      </c>
      <c r="R391" s="2667">
        <v>50</v>
      </c>
    </row>
    <row r="392" spans="1:18">
      <c r="A392" s="2651"/>
      <c r="B392" s="2658" t="s">
        <v>9261</v>
      </c>
      <c r="C392" s="2658" t="s">
        <v>9067</v>
      </c>
      <c r="D392" s="2659">
        <v>54.968000000000004</v>
      </c>
      <c r="E392" s="2659">
        <v>54.731999999999999</v>
      </c>
      <c r="F392" s="2659">
        <v>53.994</v>
      </c>
      <c r="G392" s="2659">
        <v>53.893999999999998</v>
      </c>
      <c r="H392" s="2659">
        <v>53.344000000000001</v>
      </c>
      <c r="I392" s="2659">
        <v>52.97</v>
      </c>
      <c r="J392" s="2659"/>
      <c r="K392" s="2659"/>
      <c r="L392" s="2659"/>
      <c r="M392" s="2659"/>
      <c r="N392" s="2659"/>
      <c r="O392" s="2659"/>
      <c r="P392" s="2659"/>
      <c r="Q392" s="2659"/>
      <c r="R392" s="2667"/>
    </row>
    <row r="393" spans="1:18">
      <c r="A393" s="2651">
        <v>56</v>
      </c>
      <c r="B393" s="2654" t="s">
        <v>9262</v>
      </c>
      <c r="C393" s="2658" t="s">
        <v>9065</v>
      </c>
      <c r="D393" s="2659">
        <v>55.914999999999999</v>
      </c>
      <c r="E393" s="2659">
        <v>55.284999999999997</v>
      </c>
      <c r="F393" s="2659">
        <v>51.693126499999998</v>
      </c>
      <c r="G393" s="2659">
        <v>51.393126500000001</v>
      </c>
      <c r="H393" s="2659">
        <v>48.878542000000003</v>
      </c>
      <c r="I393" s="2659">
        <v>47.388964000000001</v>
      </c>
      <c r="J393" s="2659"/>
      <c r="K393" s="2659" t="s">
        <v>9066</v>
      </c>
      <c r="L393" s="2659">
        <v>48.963541999999997</v>
      </c>
      <c r="M393" s="2659">
        <v>49.813541999999998</v>
      </c>
      <c r="N393" s="2659">
        <v>51.778126499999999</v>
      </c>
      <c r="O393" s="2659">
        <v>52.178126499999998</v>
      </c>
      <c r="P393" s="2659">
        <v>56</v>
      </c>
      <c r="Q393" s="2659">
        <v>57.338197000000001</v>
      </c>
      <c r="R393" s="2667">
        <v>48</v>
      </c>
    </row>
    <row r="394" spans="1:18">
      <c r="A394" s="2651"/>
      <c r="B394" s="2654" t="s">
        <v>9262</v>
      </c>
      <c r="C394" s="2658" t="s">
        <v>9067</v>
      </c>
      <c r="D394" s="2659">
        <v>55.914999999999999</v>
      </c>
      <c r="E394" s="2659">
        <v>55.284999999999997</v>
      </c>
      <c r="F394" s="2659">
        <v>51.693126499999998</v>
      </c>
      <c r="G394" s="2659">
        <v>51.5031265</v>
      </c>
      <c r="H394" s="2659">
        <v>48.878542000000003</v>
      </c>
      <c r="I394" s="2659">
        <v>47.498964000000001</v>
      </c>
      <c r="J394" s="2659"/>
      <c r="K394" s="2659"/>
      <c r="L394" s="2659"/>
      <c r="M394" s="2659"/>
      <c r="N394" s="2659"/>
      <c r="O394" s="2659"/>
      <c r="P394" s="2659"/>
      <c r="Q394" s="2659"/>
      <c r="R394" s="2667"/>
    </row>
    <row r="395" spans="1:18">
      <c r="A395" s="2651"/>
      <c r="B395" s="2658" t="s">
        <v>9263</v>
      </c>
      <c r="C395" s="2658" t="s">
        <v>9065</v>
      </c>
      <c r="D395" s="2659">
        <v>55.924999999999997</v>
      </c>
      <c r="E395" s="2659">
        <v>55.365000000000002</v>
      </c>
      <c r="F395" s="2659">
        <v>52.353000000000002</v>
      </c>
      <c r="G395" s="2659">
        <v>52.088000000000001</v>
      </c>
      <c r="H395" s="2659">
        <v>49.970999999999997</v>
      </c>
      <c r="I395" s="2659">
        <v>48.7</v>
      </c>
      <c r="J395" s="2659"/>
      <c r="K395" s="2659" t="s">
        <v>9066</v>
      </c>
      <c r="L395" s="2659">
        <v>50.045999999999999</v>
      </c>
      <c r="M395" s="2659">
        <v>50.795999999999999</v>
      </c>
      <c r="N395" s="2659">
        <v>52.427999999999997</v>
      </c>
      <c r="O395" s="2659">
        <v>52.783000000000001</v>
      </c>
      <c r="P395" s="2659">
        <v>56</v>
      </c>
      <c r="Q395" s="2659">
        <v>57.149000000000001</v>
      </c>
      <c r="R395" s="2667">
        <v>50.5</v>
      </c>
    </row>
    <row r="396" spans="1:18">
      <c r="A396" s="2651"/>
      <c r="B396" s="2658" t="s">
        <v>9263</v>
      </c>
      <c r="C396" s="2658" t="s">
        <v>9067</v>
      </c>
      <c r="D396" s="2659">
        <v>55.924999999999997</v>
      </c>
      <c r="E396" s="2659">
        <v>55.365000000000002</v>
      </c>
      <c r="F396" s="2659">
        <v>52.353000000000002</v>
      </c>
      <c r="G396" s="2659">
        <v>52.183</v>
      </c>
      <c r="H396" s="2659">
        <v>49.970999999999997</v>
      </c>
      <c r="I396" s="2659">
        <v>48.795000000000002</v>
      </c>
      <c r="J396" s="2659"/>
      <c r="K396" s="2659"/>
      <c r="L396" s="2659"/>
      <c r="M396" s="2659"/>
      <c r="N396" s="2659"/>
      <c r="O396" s="2659"/>
      <c r="P396" s="2659"/>
      <c r="Q396" s="2659"/>
      <c r="R396" s="2667"/>
    </row>
    <row r="397" spans="1:18">
      <c r="A397" s="2651"/>
      <c r="B397" s="2654" t="s">
        <v>9264</v>
      </c>
      <c r="C397" s="2658" t="s">
        <v>9065</v>
      </c>
      <c r="D397" s="2659">
        <v>55.94</v>
      </c>
      <c r="E397" s="2659">
        <v>55.465000000000003</v>
      </c>
      <c r="F397" s="2659">
        <v>53.341923999999999</v>
      </c>
      <c r="G397" s="2659">
        <v>53.105924000000002</v>
      </c>
      <c r="H397" s="2659">
        <v>51.609872000000003</v>
      </c>
      <c r="I397" s="2659">
        <v>50.641824</v>
      </c>
      <c r="J397" s="2659"/>
      <c r="K397" s="2659" t="s">
        <v>9066</v>
      </c>
      <c r="L397" s="2659">
        <v>51.669871999999998</v>
      </c>
      <c r="M397" s="2659">
        <v>52.269871999999999</v>
      </c>
      <c r="N397" s="2659">
        <v>53.401924000000001</v>
      </c>
      <c r="O397" s="2659">
        <v>53.716923999999999</v>
      </c>
      <c r="P397" s="2659">
        <v>56</v>
      </c>
      <c r="Q397" s="2659">
        <v>56.892352000000002</v>
      </c>
      <c r="R397" s="2667">
        <v>50</v>
      </c>
    </row>
    <row r="398" spans="1:18">
      <c r="A398" s="2651"/>
      <c r="B398" s="2654" t="s">
        <v>9264</v>
      </c>
      <c r="C398" s="2658" t="s">
        <v>9067</v>
      </c>
      <c r="D398" s="2659">
        <v>55.94</v>
      </c>
      <c r="E398" s="2659">
        <v>55.465000000000003</v>
      </c>
      <c r="F398" s="2659">
        <v>53.341923999999999</v>
      </c>
      <c r="G398" s="2659">
        <v>53.191924</v>
      </c>
      <c r="H398" s="2659">
        <v>51.609872000000003</v>
      </c>
      <c r="I398" s="2659">
        <v>50.727823999999998</v>
      </c>
      <c r="J398" s="2659"/>
      <c r="K398" s="2659"/>
      <c r="L398" s="2659"/>
      <c r="M398" s="2659"/>
      <c r="N398" s="2659"/>
      <c r="O398" s="2659"/>
      <c r="P398" s="2659"/>
      <c r="Q398" s="2659"/>
      <c r="R398" s="2667"/>
    </row>
    <row r="399" spans="1:18">
      <c r="A399" s="2651"/>
      <c r="B399" s="2654" t="s">
        <v>9265</v>
      </c>
      <c r="C399" s="2658" t="s">
        <v>9065</v>
      </c>
      <c r="D399" s="2659">
        <v>55.951999999999998</v>
      </c>
      <c r="E399" s="2659">
        <v>55.576999999999998</v>
      </c>
      <c r="F399" s="2659">
        <v>54.003442999999997</v>
      </c>
      <c r="G399" s="2659">
        <v>53.791443000000001</v>
      </c>
      <c r="H399" s="2659">
        <v>52.704403999999997</v>
      </c>
      <c r="I399" s="2659">
        <v>51.943368</v>
      </c>
      <c r="J399" s="2659"/>
      <c r="K399" s="2659" t="s">
        <v>9066</v>
      </c>
      <c r="L399" s="2659">
        <v>52.752403999999999</v>
      </c>
      <c r="M399" s="2659">
        <v>53.252403999999999</v>
      </c>
      <c r="N399" s="2659">
        <v>54.051442999999999</v>
      </c>
      <c r="O399" s="2659">
        <v>54.331282999999999</v>
      </c>
      <c r="P399" s="2659">
        <v>56</v>
      </c>
      <c r="Q399" s="2659">
        <v>56.712854</v>
      </c>
      <c r="R399" s="2667">
        <v>50</v>
      </c>
    </row>
    <row r="400" spans="1:18">
      <c r="A400" s="2651"/>
      <c r="B400" s="2654" t="s">
        <v>9265</v>
      </c>
      <c r="C400" s="2658" t="s">
        <v>9067</v>
      </c>
      <c r="D400" s="2659">
        <v>55.951999999999998</v>
      </c>
      <c r="E400" s="2659">
        <v>55.576999999999998</v>
      </c>
      <c r="F400" s="2659">
        <v>54.003442999999997</v>
      </c>
      <c r="G400" s="2659">
        <v>53.871442999999999</v>
      </c>
      <c r="H400" s="2659">
        <v>52.704403999999997</v>
      </c>
      <c r="I400" s="2659">
        <v>52.023367999999998</v>
      </c>
      <c r="J400" s="2659"/>
      <c r="K400" s="2659"/>
      <c r="L400" s="2659"/>
      <c r="M400" s="2659"/>
      <c r="N400" s="2659"/>
      <c r="O400" s="2659"/>
      <c r="P400" s="2659"/>
      <c r="Q400" s="2659"/>
      <c r="R400" s="2667"/>
    </row>
    <row r="401" spans="1:18">
      <c r="A401" s="2651"/>
      <c r="B401" s="2658" t="s">
        <v>9266</v>
      </c>
      <c r="C401" s="2658" t="s">
        <v>9065</v>
      </c>
      <c r="D401" s="2659">
        <v>55.962000000000003</v>
      </c>
      <c r="E401" s="2659">
        <v>55.682000000000002</v>
      </c>
      <c r="F401" s="2659">
        <v>54.662999999999997</v>
      </c>
      <c r="G401" s="2659">
        <v>54.482999999999997</v>
      </c>
      <c r="H401" s="2659">
        <v>53.796999999999997</v>
      </c>
      <c r="I401" s="2659">
        <v>53.250999999999998</v>
      </c>
      <c r="J401" s="2659"/>
      <c r="K401" s="2659" t="s">
        <v>9066</v>
      </c>
      <c r="L401" s="2659">
        <v>53.835000000000001</v>
      </c>
      <c r="M401" s="2659">
        <v>54.21</v>
      </c>
      <c r="N401" s="2659">
        <v>54.701000000000001</v>
      </c>
      <c r="O401" s="2659">
        <v>54.936999999999998</v>
      </c>
      <c r="P401" s="2659">
        <v>56</v>
      </c>
      <c r="Q401" s="2659">
        <v>56.524999999999999</v>
      </c>
      <c r="R401" s="2667">
        <v>50.5</v>
      </c>
    </row>
    <row r="402" spans="1:18">
      <c r="A402" s="2651"/>
      <c r="B402" s="2658" t="s">
        <v>9266</v>
      </c>
      <c r="C402" s="2658" t="s">
        <v>9067</v>
      </c>
      <c r="D402" s="2659">
        <v>55.962000000000003</v>
      </c>
      <c r="E402" s="2659">
        <v>55.682000000000002</v>
      </c>
      <c r="F402" s="2659">
        <v>54.662999999999997</v>
      </c>
      <c r="G402" s="2659">
        <v>54.551000000000002</v>
      </c>
      <c r="H402" s="2659">
        <v>53.796999999999997</v>
      </c>
      <c r="I402" s="2659">
        <v>53.319000000000003</v>
      </c>
      <c r="J402" s="2659"/>
      <c r="K402" s="2659"/>
      <c r="L402" s="2659"/>
      <c r="M402" s="2659"/>
      <c r="N402" s="2659"/>
      <c r="O402" s="2659"/>
      <c r="P402" s="2659"/>
      <c r="Q402" s="2659"/>
      <c r="R402" s="2667"/>
    </row>
    <row r="403" spans="1:18">
      <c r="A403" s="2651"/>
      <c r="B403" s="2654" t="s">
        <v>9267</v>
      </c>
      <c r="C403" s="2658" t="s">
        <v>9065</v>
      </c>
      <c r="D403" s="2659">
        <v>55.968000000000004</v>
      </c>
      <c r="E403" s="2659">
        <v>55.731999999999999</v>
      </c>
      <c r="F403" s="2659">
        <v>54.993721499999999</v>
      </c>
      <c r="G403" s="2659">
        <v>54.833721500000003</v>
      </c>
      <c r="H403" s="2659">
        <v>54.344202000000003</v>
      </c>
      <c r="I403" s="2659">
        <v>53.909683999999999</v>
      </c>
      <c r="J403" s="2659"/>
      <c r="K403" s="2659" t="s">
        <v>9066</v>
      </c>
      <c r="L403" s="2659">
        <v>54.376201999999999</v>
      </c>
      <c r="M403" s="2659">
        <v>54.676202000000004</v>
      </c>
      <c r="N403" s="2659">
        <v>55.025721500000003</v>
      </c>
      <c r="O403" s="2659">
        <v>55.237721499999999</v>
      </c>
      <c r="P403" s="2659">
        <v>56</v>
      </c>
      <c r="Q403" s="2659">
        <v>56.428507000000003</v>
      </c>
      <c r="R403" s="2667">
        <v>52</v>
      </c>
    </row>
    <row r="404" spans="1:18">
      <c r="A404" s="2651"/>
      <c r="B404" s="2654" t="s">
        <v>9267</v>
      </c>
      <c r="C404" s="2658" t="s">
        <v>9067</v>
      </c>
      <c r="D404" s="2659">
        <v>55.968000000000004</v>
      </c>
      <c r="E404" s="2659">
        <v>55.731999999999999</v>
      </c>
      <c r="F404" s="2659">
        <v>54.993721499999999</v>
      </c>
      <c r="G404" s="2659">
        <v>54.893721499999998</v>
      </c>
      <c r="H404" s="2659">
        <v>54.344202000000003</v>
      </c>
      <c r="I404" s="2659">
        <v>53.969684000000001</v>
      </c>
      <c r="J404" s="2659"/>
      <c r="K404" s="2659"/>
      <c r="L404" s="2659"/>
      <c r="M404" s="2659"/>
      <c r="N404" s="2659"/>
      <c r="O404" s="2659"/>
      <c r="P404" s="2659"/>
      <c r="Q404" s="2659"/>
      <c r="R404" s="2667"/>
    </row>
    <row r="405" spans="1:18">
      <c r="A405" s="2651"/>
      <c r="B405" s="2654" t="s">
        <v>9268</v>
      </c>
      <c r="C405" s="2658" t="s">
        <v>9065</v>
      </c>
      <c r="D405" s="2659">
        <v>55.973999999999997</v>
      </c>
      <c r="E405" s="2659">
        <v>55.793999999999997</v>
      </c>
      <c r="F405" s="2659">
        <v>55.324480999999999</v>
      </c>
      <c r="G405" s="2659">
        <v>55.184480999999998</v>
      </c>
      <c r="H405" s="2659">
        <v>54.891468000000003</v>
      </c>
      <c r="I405" s="2659">
        <v>54.568455999999998</v>
      </c>
      <c r="J405" s="2659"/>
      <c r="K405" s="2659" t="s">
        <v>9066</v>
      </c>
      <c r="L405" s="2659">
        <v>54.917468</v>
      </c>
      <c r="M405" s="2659">
        <v>55.153467999999997</v>
      </c>
      <c r="N405" s="2659">
        <v>55.350481000000002</v>
      </c>
      <c r="O405" s="2659">
        <v>55.540481</v>
      </c>
      <c r="P405" s="2659">
        <v>56</v>
      </c>
      <c r="Q405" s="2659">
        <v>56.334338000000002</v>
      </c>
      <c r="R405" s="2667">
        <v>52</v>
      </c>
    </row>
    <row r="406" spans="1:18">
      <c r="A406" s="2651"/>
      <c r="B406" s="2654" t="s">
        <v>9268</v>
      </c>
      <c r="C406" s="2658" t="s">
        <v>9067</v>
      </c>
      <c r="D406" s="2659">
        <v>55.973999999999997</v>
      </c>
      <c r="E406" s="2659">
        <v>55.793999999999997</v>
      </c>
      <c r="F406" s="2659">
        <v>55.324480999999999</v>
      </c>
      <c r="G406" s="2659">
        <v>55.234481000000002</v>
      </c>
      <c r="H406" s="2659">
        <v>54.891468000000003</v>
      </c>
      <c r="I406" s="2659">
        <v>54.618456000000002</v>
      </c>
      <c r="J406" s="2659"/>
      <c r="K406" s="2659"/>
      <c r="L406" s="2659"/>
      <c r="M406" s="2659"/>
      <c r="N406" s="2659"/>
      <c r="O406" s="2659"/>
      <c r="P406" s="2659"/>
      <c r="Q406" s="2659"/>
      <c r="R406" s="2667"/>
    </row>
    <row r="407" spans="1:18">
      <c r="A407" s="2651">
        <v>58</v>
      </c>
      <c r="B407" s="2654" t="s">
        <v>9269</v>
      </c>
      <c r="C407" s="2658" t="s">
        <v>9065</v>
      </c>
      <c r="D407" s="2659">
        <v>57.94</v>
      </c>
      <c r="E407" s="2659">
        <v>57.465000000000003</v>
      </c>
      <c r="F407" s="2659">
        <v>55.341923999999999</v>
      </c>
      <c r="G407" s="2659">
        <v>55.105924000000002</v>
      </c>
      <c r="H407" s="2659">
        <v>53.609872000000003</v>
      </c>
      <c r="I407" s="2659">
        <v>52.641824</v>
      </c>
      <c r="J407" s="2659"/>
      <c r="K407" s="2659" t="s">
        <v>9066</v>
      </c>
      <c r="L407" s="2659">
        <v>53.669871999999998</v>
      </c>
      <c r="M407" s="2659">
        <v>54.269871999999999</v>
      </c>
      <c r="N407" s="2659">
        <v>55.401924000000001</v>
      </c>
      <c r="O407" s="2659">
        <v>55.716923999999999</v>
      </c>
      <c r="P407" s="2659">
        <v>58</v>
      </c>
      <c r="Q407" s="2659">
        <v>58.892352000000002</v>
      </c>
      <c r="R407" s="2667">
        <v>50.5</v>
      </c>
    </row>
    <row r="408" spans="1:18">
      <c r="A408" s="2651"/>
      <c r="B408" s="2654" t="s">
        <v>9269</v>
      </c>
      <c r="C408" s="2658" t="s">
        <v>9067</v>
      </c>
      <c r="D408" s="2659">
        <v>57.94</v>
      </c>
      <c r="E408" s="2659">
        <v>57.465000000000003</v>
      </c>
      <c r="F408" s="2659">
        <v>55.341923999999999</v>
      </c>
      <c r="G408" s="2659">
        <v>55.191924</v>
      </c>
      <c r="H408" s="2659">
        <v>53.609872000000003</v>
      </c>
      <c r="I408" s="2659">
        <v>52.727823999999998</v>
      </c>
      <c r="J408" s="2659"/>
      <c r="K408" s="2659"/>
      <c r="L408" s="2659"/>
      <c r="M408" s="2659"/>
      <c r="N408" s="2659"/>
      <c r="O408" s="2659"/>
      <c r="P408" s="2659"/>
      <c r="Q408" s="2659"/>
      <c r="R408" s="2667"/>
    </row>
    <row r="409" spans="1:18">
      <c r="A409" s="2651"/>
      <c r="B409" s="2654" t="s">
        <v>9270</v>
      </c>
      <c r="C409" s="2658" t="s">
        <v>9065</v>
      </c>
      <c r="D409" s="2659">
        <v>57.951999999999998</v>
      </c>
      <c r="E409" s="2659">
        <v>57.576999999999998</v>
      </c>
      <c r="F409" s="2659">
        <v>56.003442999999997</v>
      </c>
      <c r="G409" s="2659">
        <v>55.791443000000001</v>
      </c>
      <c r="H409" s="2659">
        <v>54.704403999999997</v>
      </c>
      <c r="I409" s="2659">
        <v>53.943368</v>
      </c>
      <c r="J409" s="2659"/>
      <c r="K409" s="2659" t="s">
        <v>9066</v>
      </c>
      <c r="L409" s="2659">
        <v>54.752403999999999</v>
      </c>
      <c r="M409" s="2659">
        <v>55.252403999999999</v>
      </c>
      <c r="N409" s="2659">
        <v>56.051442999999999</v>
      </c>
      <c r="O409" s="2659">
        <v>56.331282999999999</v>
      </c>
      <c r="P409" s="2659">
        <v>58</v>
      </c>
      <c r="Q409" s="2659">
        <v>58.712854</v>
      </c>
      <c r="R409" s="2667">
        <v>52</v>
      </c>
    </row>
    <row r="410" spans="1:18">
      <c r="A410" s="2651"/>
      <c r="B410" s="2654" t="s">
        <v>9270</v>
      </c>
      <c r="C410" s="2658" t="s">
        <v>9067</v>
      </c>
      <c r="D410" s="2659">
        <v>57.951999999999998</v>
      </c>
      <c r="E410" s="2659">
        <v>57.576999999999998</v>
      </c>
      <c r="F410" s="2659">
        <v>56.003442999999997</v>
      </c>
      <c r="G410" s="2659">
        <v>55.871442999999999</v>
      </c>
      <c r="H410" s="2659">
        <v>54.704403999999997</v>
      </c>
      <c r="I410" s="2659">
        <v>54.023367999999998</v>
      </c>
      <c r="J410" s="2659"/>
      <c r="K410" s="2659"/>
      <c r="L410" s="2659"/>
      <c r="M410" s="2659"/>
      <c r="N410" s="2659"/>
      <c r="O410" s="2659"/>
      <c r="P410" s="2659"/>
      <c r="Q410" s="2659"/>
      <c r="R410" s="2667"/>
    </row>
    <row r="411" spans="1:18">
      <c r="A411" s="2651"/>
      <c r="B411" s="2654" t="s">
        <v>9271</v>
      </c>
      <c r="C411" s="2658" t="s">
        <v>9065</v>
      </c>
      <c r="D411" s="2659">
        <v>57.962000000000003</v>
      </c>
      <c r="E411" s="2659">
        <v>57.682000000000002</v>
      </c>
      <c r="F411" s="2659">
        <v>56.662962</v>
      </c>
      <c r="G411" s="2659">
        <v>56.482962000000001</v>
      </c>
      <c r="H411" s="2659">
        <v>55.796936000000002</v>
      </c>
      <c r="I411" s="2659">
        <v>55.250912</v>
      </c>
      <c r="J411" s="2659"/>
      <c r="K411" s="2659" t="s">
        <v>9066</v>
      </c>
      <c r="L411" s="2659">
        <v>55.834935999999999</v>
      </c>
      <c r="M411" s="2659">
        <v>56.209935999999999</v>
      </c>
      <c r="N411" s="2659">
        <v>56.700961999999997</v>
      </c>
      <c r="O411" s="2659">
        <v>56.936962000000001</v>
      </c>
      <c r="P411" s="2659">
        <v>58</v>
      </c>
      <c r="Q411" s="2659">
        <v>58.524675999999999</v>
      </c>
      <c r="R411" s="2667">
        <v>52</v>
      </c>
    </row>
    <row r="412" spans="1:18">
      <c r="A412" s="2651"/>
      <c r="B412" s="2654" t="s">
        <v>9271</v>
      </c>
      <c r="C412" s="2658" t="s">
        <v>9067</v>
      </c>
      <c r="D412" s="2659">
        <v>57.962000000000003</v>
      </c>
      <c r="E412" s="2659">
        <v>57.682000000000002</v>
      </c>
      <c r="F412" s="2659">
        <v>56.662962</v>
      </c>
      <c r="G412" s="2659">
        <v>56.550961999999998</v>
      </c>
      <c r="H412" s="2659">
        <v>55.796936000000002</v>
      </c>
      <c r="I412" s="2659">
        <v>55.318911999999997</v>
      </c>
      <c r="J412" s="2659"/>
      <c r="K412" s="2659"/>
      <c r="L412" s="2659"/>
      <c r="M412" s="2659"/>
      <c r="N412" s="2659"/>
      <c r="O412" s="2659"/>
      <c r="P412" s="2659"/>
      <c r="Q412" s="2659"/>
      <c r="R412" s="2667"/>
    </row>
    <row r="413" spans="1:18">
      <c r="A413" s="2651"/>
      <c r="B413" s="2654" t="s">
        <v>9272</v>
      </c>
      <c r="C413" s="2658" t="s">
        <v>9065</v>
      </c>
      <c r="D413" s="2659">
        <v>57.968000000000004</v>
      </c>
      <c r="E413" s="2659">
        <v>57.731999999999999</v>
      </c>
      <c r="F413" s="2659">
        <v>56.993721499999999</v>
      </c>
      <c r="G413" s="2659">
        <v>56.833721500000003</v>
      </c>
      <c r="H413" s="2659">
        <v>56.344202000000003</v>
      </c>
      <c r="I413" s="2659">
        <v>55.909683999999999</v>
      </c>
      <c r="J413" s="2659"/>
      <c r="K413" s="2659" t="s">
        <v>9066</v>
      </c>
      <c r="L413" s="2659">
        <v>56.376201999999999</v>
      </c>
      <c r="M413" s="2659">
        <v>56.676202000000004</v>
      </c>
      <c r="N413" s="2659">
        <v>57.025721500000003</v>
      </c>
      <c r="O413" s="2659">
        <v>57.237721499999999</v>
      </c>
      <c r="P413" s="2659">
        <v>58</v>
      </c>
      <c r="Q413" s="2659">
        <v>58.428507000000003</v>
      </c>
      <c r="R413" s="2667">
        <v>54.5</v>
      </c>
    </row>
    <row r="414" spans="1:18">
      <c r="A414" s="2651"/>
      <c r="B414" s="2654" t="s">
        <v>9272</v>
      </c>
      <c r="C414" s="2658" t="s">
        <v>9067</v>
      </c>
      <c r="D414" s="2659">
        <v>57.968000000000004</v>
      </c>
      <c r="E414" s="2659">
        <v>57.731999999999999</v>
      </c>
      <c r="F414" s="2659">
        <v>56.993721499999999</v>
      </c>
      <c r="G414" s="2659">
        <v>56.893721499999998</v>
      </c>
      <c r="H414" s="2659">
        <v>56.344202000000003</v>
      </c>
      <c r="I414" s="2659">
        <v>55.969684000000001</v>
      </c>
      <c r="J414" s="2659"/>
      <c r="K414" s="2659"/>
      <c r="L414" s="2659"/>
      <c r="M414" s="2659"/>
      <c r="N414" s="2659"/>
      <c r="O414" s="2659"/>
      <c r="P414" s="2659"/>
      <c r="Q414" s="2659"/>
      <c r="R414" s="2667"/>
    </row>
    <row r="415" spans="1:18">
      <c r="A415" s="2651">
        <v>60</v>
      </c>
      <c r="B415" s="2654" t="s">
        <v>9273</v>
      </c>
      <c r="C415" s="2658" t="s">
        <v>9065</v>
      </c>
      <c r="D415" s="2659">
        <v>59.924999999999997</v>
      </c>
      <c r="E415" s="2659">
        <v>59.365000000000002</v>
      </c>
      <c r="F415" s="2659">
        <v>56.352645500000001</v>
      </c>
      <c r="G415" s="2659">
        <v>56.087645500000001</v>
      </c>
      <c r="H415" s="2659">
        <v>53.971074000000002</v>
      </c>
      <c r="I415" s="2659">
        <v>52.699508000000002</v>
      </c>
      <c r="J415" s="2659"/>
      <c r="K415" s="2659" t="s">
        <v>9066</v>
      </c>
      <c r="L415" s="2659">
        <v>54.046073999999997</v>
      </c>
      <c r="M415" s="2659">
        <v>54.796073999999997</v>
      </c>
      <c r="N415" s="2659">
        <v>56.427645499999997</v>
      </c>
      <c r="O415" s="2659">
        <v>56.782645500000001</v>
      </c>
      <c r="P415" s="2659">
        <v>60</v>
      </c>
      <c r="Q415" s="2659">
        <v>61.148859000000002</v>
      </c>
      <c r="R415" s="2667">
        <v>54.5</v>
      </c>
    </row>
    <row r="416" spans="1:18">
      <c r="A416" s="2651"/>
      <c r="B416" s="2654" t="s">
        <v>9273</v>
      </c>
      <c r="C416" s="2658" t="s">
        <v>9067</v>
      </c>
      <c r="D416" s="2659">
        <v>59.924999999999997</v>
      </c>
      <c r="E416" s="2659">
        <v>59.365000000000002</v>
      </c>
      <c r="F416" s="2659">
        <v>56.352645500000001</v>
      </c>
      <c r="G416" s="2659">
        <v>56.1826455</v>
      </c>
      <c r="H416" s="2659">
        <v>53.971074000000002</v>
      </c>
      <c r="I416" s="2659">
        <v>52.794508</v>
      </c>
      <c r="J416" s="2659"/>
      <c r="K416" s="2659"/>
      <c r="L416" s="2659"/>
      <c r="M416" s="2659"/>
      <c r="N416" s="2659"/>
      <c r="O416" s="2659"/>
      <c r="P416" s="2659"/>
      <c r="Q416" s="2659"/>
      <c r="R416" s="2667"/>
    </row>
    <row r="417" spans="1:18">
      <c r="A417" s="2651"/>
      <c r="B417" s="2654" t="s">
        <v>9274</v>
      </c>
      <c r="C417" s="2658" t="s">
        <v>9065</v>
      </c>
      <c r="D417" s="2659">
        <v>59.94</v>
      </c>
      <c r="E417" s="2659">
        <v>59.465000000000003</v>
      </c>
      <c r="F417" s="2659">
        <v>57.341923999999999</v>
      </c>
      <c r="G417" s="2659">
        <v>57.105924000000002</v>
      </c>
      <c r="H417" s="2659">
        <v>55.609872000000003</v>
      </c>
      <c r="I417" s="2659">
        <v>54.641824</v>
      </c>
      <c r="J417" s="2659"/>
      <c r="K417" s="2659" t="s">
        <v>9066</v>
      </c>
      <c r="L417" s="2659">
        <v>55.669871999999998</v>
      </c>
      <c r="M417" s="2659">
        <v>56.269871999999999</v>
      </c>
      <c r="N417" s="2659">
        <v>57.401924000000001</v>
      </c>
      <c r="O417" s="2659">
        <v>57.716923999999999</v>
      </c>
      <c r="P417" s="2659">
        <v>60</v>
      </c>
      <c r="Q417" s="2659">
        <v>60.892352000000002</v>
      </c>
      <c r="R417" s="2667">
        <v>52</v>
      </c>
    </row>
    <row r="418" spans="1:18">
      <c r="A418" s="2651"/>
      <c r="B418" s="2654" t="s">
        <v>9274</v>
      </c>
      <c r="C418" s="2658" t="s">
        <v>9067</v>
      </c>
      <c r="D418" s="2659">
        <v>59.94</v>
      </c>
      <c r="E418" s="2659">
        <v>59.465000000000003</v>
      </c>
      <c r="F418" s="2659">
        <v>57.341923999999999</v>
      </c>
      <c r="G418" s="2659">
        <v>57.191924</v>
      </c>
      <c r="H418" s="2659">
        <v>55.609872000000003</v>
      </c>
      <c r="I418" s="2659">
        <v>54.727823999999998</v>
      </c>
      <c r="J418" s="2659"/>
      <c r="K418" s="2659"/>
      <c r="L418" s="2659"/>
      <c r="M418" s="2659"/>
      <c r="N418" s="2659"/>
      <c r="O418" s="2659"/>
      <c r="P418" s="2659"/>
      <c r="Q418" s="2659"/>
      <c r="R418" s="2667"/>
    </row>
    <row r="419" spans="1:18">
      <c r="A419" s="2651"/>
      <c r="B419" s="2654" t="s">
        <v>9275</v>
      </c>
      <c r="C419" s="2658" t="s">
        <v>9065</v>
      </c>
      <c r="D419" s="2659">
        <v>59.951999999999998</v>
      </c>
      <c r="E419" s="2659">
        <v>59.576999999999998</v>
      </c>
      <c r="F419" s="2659">
        <v>58.003442999999997</v>
      </c>
      <c r="G419" s="2659">
        <v>57.791443000000001</v>
      </c>
      <c r="H419" s="2659">
        <v>56.704403999999997</v>
      </c>
      <c r="I419" s="2659">
        <v>55.943368</v>
      </c>
      <c r="J419" s="2659"/>
      <c r="K419" s="2659" t="s">
        <v>9066</v>
      </c>
      <c r="L419" s="2659">
        <v>56.752403999999999</v>
      </c>
      <c r="M419" s="2659">
        <v>57.252403999999999</v>
      </c>
      <c r="N419" s="2659">
        <v>58.051442999999999</v>
      </c>
      <c r="O419" s="2659">
        <v>58.331282999999999</v>
      </c>
      <c r="P419" s="2659">
        <v>60</v>
      </c>
      <c r="Q419" s="2659">
        <v>60.712854</v>
      </c>
      <c r="R419" s="2667">
        <v>54.5</v>
      </c>
    </row>
    <row r="420" spans="1:18">
      <c r="A420" s="2651"/>
      <c r="B420" s="2654" t="s">
        <v>9275</v>
      </c>
      <c r="C420" s="2658" t="s">
        <v>9067</v>
      </c>
      <c r="D420" s="2659">
        <v>59.951999999999998</v>
      </c>
      <c r="E420" s="2659">
        <v>59.576999999999998</v>
      </c>
      <c r="F420" s="2659">
        <v>58.003442999999997</v>
      </c>
      <c r="G420" s="2659">
        <v>57.871442999999999</v>
      </c>
      <c r="H420" s="2659">
        <v>56.704403999999997</v>
      </c>
      <c r="I420" s="2659">
        <v>56.023367999999998</v>
      </c>
      <c r="J420" s="2659"/>
      <c r="K420" s="2659"/>
      <c r="L420" s="2659"/>
      <c r="M420" s="2659"/>
      <c r="N420" s="2659"/>
      <c r="O420" s="2659"/>
      <c r="P420" s="2659"/>
      <c r="Q420" s="2659"/>
      <c r="R420" s="2667"/>
    </row>
    <row r="421" spans="1:18">
      <c r="A421" s="2651"/>
      <c r="B421" s="2654" t="s">
        <v>9276</v>
      </c>
      <c r="C421" s="2658" t="s">
        <v>9065</v>
      </c>
      <c r="D421" s="2659">
        <v>59.962000000000003</v>
      </c>
      <c r="E421" s="2659">
        <v>59.682000000000002</v>
      </c>
      <c r="F421" s="2659">
        <v>58.662962</v>
      </c>
      <c r="G421" s="2659">
        <v>58.482962000000001</v>
      </c>
      <c r="H421" s="2659">
        <v>57.796936000000002</v>
      </c>
      <c r="I421" s="2659">
        <v>57.250912</v>
      </c>
      <c r="J421" s="2659"/>
      <c r="K421" s="2659" t="s">
        <v>9066</v>
      </c>
      <c r="L421" s="2659">
        <v>57.834935999999999</v>
      </c>
      <c r="M421" s="2659">
        <v>58.209935999999999</v>
      </c>
      <c r="N421" s="2659">
        <v>58.700961999999997</v>
      </c>
      <c r="O421" s="2659">
        <v>58.936962000000001</v>
      </c>
      <c r="P421" s="2659">
        <v>60</v>
      </c>
      <c r="Q421" s="2659">
        <v>60.524675999999999</v>
      </c>
      <c r="R421" s="2667">
        <v>54.5</v>
      </c>
    </row>
    <row r="422" spans="1:18">
      <c r="A422" s="2651"/>
      <c r="B422" s="2654" t="s">
        <v>9276</v>
      </c>
      <c r="C422" s="2658" t="s">
        <v>9067</v>
      </c>
      <c r="D422" s="2659">
        <v>59.962000000000003</v>
      </c>
      <c r="E422" s="2659">
        <v>59.682000000000002</v>
      </c>
      <c r="F422" s="2659">
        <v>58.662962</v>
      </c>
      <c r="G422" s="2659">
        <v>58.550961999999998</v>
      </c>
      <c r="H422" s="2659">
        <v>57.796936000000002</v>
      </c>
      <c r="I422" s="2659">
        <v>57.318911999999997</v>
      </c>
      <c r="J422" s="2659"/>
      <c r="K422" s="2659"/>
      <c r="L422" s="2659"/>
      <c r="M422" s="2659"/>
      <c r="N422" s="2659"/>
      <c r="O422" s="2659"/>
      <c r="P422" s="2659"/>
      <c r="Q422" s="2659"/>
      <c r="R422" s="2667"/>
    </row>
    <row r="423" spans="1:18">
      <c r="A423" s="2651"/>
      <c r="B423" s="2658" t="s">
        <v>9277</v>
      </c>
      <c r="C423" s="2658" t="s">
        <v>9065</v>
      </c>
      <c r="D423" s="2659">
        <v>59.968000000000004</v>
      </c>
      <c r="E423" s="2659">
        <v>59.731999999999999</v>
      </c>
      <c r="F423" s="2659">
        <v>58.994</v>
      </c>
      <c r="G423" s="2659">
        <v>58.834000000000003</v>
      </c>
      <c r="H423" s="2659">
        <v>58.344000000000001</v>
      </c>
      <c r="I423" s="2659">
        <v>57.91</v>
      </c>
      <c r="J423" s="2659"/>
      <c r="K423" s="2659" t="s">
        <v>9066</v>
      </c>
      <c r="L423" s="2659">
        <v>58.375999999999998</v>
      </c>
      <c r="M423" s="2659">
        <v>58.676000000000002</v>
      </c>
      <c r="N423" s="2659">
        <v>59.026000000000003</v>
      </c>
      <c r="O423" s="2659">
        <v>59.238</v>
      </c>
      <c r="P423" s="2659">
        <v>60</v>
      </c>
      <c r="Q423" s="2659">
        <v>60.427999999999997</v>
      </c>
      <c r="R423" s="2667">
        <v>54.5</v>
      </c>
    </row>
    <row r="424" spans="1:18">
      <c r="A424" s="2651"/>
      <c r="B424" s="2658" t="s">
        <v>9277</v>
      </c>
      <c r="C424" s="2658" t="s">
        <v>9067</v>
      </c>
      <c r="D424" s="2659">
        <v>59.968000000000004</v>
      </c>
      <c r="E424" s="2659">
        <v>59.731999999999999</v>
      </c>
      <c r="F424" s="2659">
        <v>58.994</v>
      </c>
      <c r="G424" s="2659">
        <v>58.893999999999998</v>
      </c>
      <c r="H424" s="2659">
        <v>58.344000000000001</v>
      </c>
      <c r="I424" s="2659">
        <v>57.97</v>
      </c>
      <c r="J424" s="2659"/>
      <c r="K424" s="2659"/>
      <c r="L424" s="2659"/>
      <c r="M424" s="2659"/>
      <c r="N424" s="2659"/>
      <c r="O424" s="2659"/>
      <c r="P424" s="2659"/>
      <c r="Q424" s="2659"/>
      <c r="R424" s="2667"/>
    </row>
    <row r="425" spans="1:18">
      <c r="A425" s="2651"/>
      <c r="B425" s="2654" t="s">
        <v>9278</v>
      </c>
      <c r="C425" s="2658" t="s">
        <v>9065</v>
      </c>
      <c r="D425" s="2659">
        <v>59.973999999999997</v>
      </c>
      <c r="E425" s="2659">
        <v>59.793999999999997</v>
      </c>
      <c r="F425" s="2659">
        <v>59.324480999999999</v>
      </c>
      <c r="G425" s="2659">
        <v>59.184480999999998</v>
      </c>
      <c r="H425" s="2659">
        <v>58.891468000000003</v>
      </c>
      <c r="I425" s="2659">
        <v>58.568455999999998</v>
      </c>
      <c r="J425" s="2659"/>
      <c r="K425" s="2659" t="s">
        <v>9066</v>
      </c>
      <c r="L425" s="2659">
        <v>58.917468</v>
      </c>
      <c r="M425" s="2659">
        <v>59.153467999999997</v>
      </c>
      <c r="N425" s="2659">
        <v>59.350481000000002</v>
      </c>
      <c r="O425" s="2659">
        <v>59.540481</v>
      </c>
      <c r="P425" s="2659">
        <v>60</v>
      </c>
      <c r="Q425" s="2659">
        <v>60.334338000000002</v>
      </c>
      <c r="R425" s="2667">
        <v>58</v>
      </c>
    </row>
    <row r="426" spans="1:18">
      <c r="A426" s="2651"/>
      <c r="B426" s="2654" t="s">
        <v>9278</v>
      </c>
      <c r="C426" s="2658" t="s">
        <v>9067</v>
      </c>
      <c r="D426" s="2659">
        <v>59.973999999999997</v>
      </c>
      <c r="E426" s="2659">
        <v>59.793999999999997</v>
      </c>
      <c r="F426" s="2659">
        <v>59.324480999999999</v>
      </c>
      <c r="G426" s="2659">
        <v>59.234481000000002</v>
      </c>
      <c r="H426" s="2659">
        <v>58.891468000000003</v>
      </c>
      <c r="I426" s="2659">
        <v>58.618456000000002</v>
      </c>
      <c r="J426" s="2659"/>
      <c r="K426" s="2659"/>
      <c r="L426" s="2659"/>
      <c r="M426" s="2659"/>
      <c r="N426" s="2659"/>
      <c r="O426" s="2659"/>
      <c r="P426" s="2659"/>
      <c r="Q426" s="2659"/>
      <c r="R426" s="2667"/>
    </row>
    <row r="427" spans="1:18">
      <c r="A427" s="2651">
        <v>62</v>
      </c>
      <c r="B427" s="2654" t="s">
        <v>9279</v>
      </c>
      <c r="C427" s="2658" t="s">
        <v>9065</v>
      </c>
      <c r="D427" s="2659">
        <v>61.94</v>
      </c>
      <c r="E427" s="2659">
        <v>61.465000000000003</v>
      </c>
      <c r="F427" s="2659">
        <v>59.341923999999999</v>
      </c>
      <c r="G427" s="2659">
        <v>59.105924000000002</v>
      </c>
      <c r="H427" s="2659">
        <v>57.609872000000003</v>
      </c>
      <c r="I427" s="2659">
        <v>56.641824</v>
      </c>
      <c r="J427" s="2659"/>
      <c r="K427" s="2659" t="s">
        <v>9066</v>
      </c>
      <c r="L427" s="2659">
        <v>57.669871999999998</v>
      </c>
      <c r="M427" s="2659">
        <v>58.269871999999999</v>
      </c>
      <c r="N427" s="2659">
        <v>59.401924000000001</v>
      </c>
      <c r="O427" s="2659">
        <v>59.716923999999999</v>
      </c>
      <c r="P427" s="2659">
        <v>62</v>
      </c>
      <c r="Q427" s="2659">
        <v>62.892352000000002</v>
      </c>
      <c r="R427" s="2667">
        <v>56</v>
      </c>
    </row>
    <row r="428" spans="1:18">
      <c r="A428" s="2651"/>
      <c r="B428" s="2654" t="s">
        <v>9279</v>
      </c>
      <c r="C428" s="2658" t="s">
        <v>9067</v>
      </c>
      <c r="D428" s="2659">
        <v>61.94</v>
      </c>
      <c r="E428" s="2659">
        <v>61.465000000000003</v>
      </c>
      <c r="F428" s="2659">
        <v>59.341923999999999</v>
      </c>
      <c r="G428" s="2659">
        <v>59.191924</v>
      </c>
      <c r="H428" s="2659">
        <v>57.609872000000003</v>
      </c>
      <c r="I428" s="2659">
        <v>56.727823999999998</v>
      </c>
      <c r="J428" s="2659"/>
      <c r="K428" s="2659"/>
      <c r="L428" s="2659"/>
      <c r="M428" s="2659"/>
      <c r="N428" s="2659"/>
      <c r="O428" s="2659"/>
      <c r="P428" s="2659"/>
      <c r="Q428" s="2659"/>
      <c r="R428" s="2667"/>
    </row>
    <row r="429" spans="1:18">
      <c r="A429" s="2651"/>
      <c r="B429" s="2654" t="s">
        <v>9280</v>
      </c>
      <c r="C429" s="2658" t="s">
        <v>9065</v>
      </c>
      <c r="D429" s="2659">
        <v>61.951999999999998</v>
      </c>
      <c r="E429" s="2659">
        <v>61.576999999999998</v>
      </c>
      <c r="F429" s="2659">
        <v>60.003442999999997</v>
      </c>
      <c r="G429" s="2659">
        <v>59.791443000000001</v>
      </c>
      <c r="H429" s="2659">
        <v>58.704403999999997</v>
      </c>
      <c r="I429" s="2659">
        <v>57.943368</v>
      </c>
      <c r="J429" s="2659"/>
      <c r="K429" s="2659" t="s">
        <v>9066</v>
      </c>
      <c r="L429" s="2659">
        <v>58.752403999999999</v>
      </c>
      <c r="M429" s="2659">
        <v>59.252403999999999</v>
      </c>
      <c r="N429" s="2659">
        <v>60.051442999999999</v>
      </c>
      <c r="O429" s="2659">
        <v>60.331282999999999</v>
      </c>
      <c r="P429" s="2659">
        <v>62</v>
      </c>
      <c r="Q429" s="2659">
        <v>62.712854</v>
      </c>
      <c r="R429" s="2667">
        <v>56</v>
      </c>
    </row>
    <row r="430" spans="1:18">
      <c r="A430" s="2651"/>
      <c r="B430" s="2654" t="s">
        <v>9280</v>
      </c>
      <c r="C430" s="2658" t="s">
        <v>9067</v>
      </c>
      <c r="D430" s="2659">
        <v>61.951999999999998</v>
      </c>
      <c r="E430" s="2659">
        <v>61.576999999999998</v>
      </c>
      <c r="F430" s="2659">
        <v>60.003442999999997</v>
      </c>
      <c r="G430" s="2659">
        <v>59.871442999999999</v>
      </c>
      <c r="H430" s="2659">
        <v>58.704403999999997</v>
      </c>
      <c r="I430" s="2659">
        <v>58.023367999999998</v>
      </c>
      <c r="J430" s="2659"/>
      <c r="K430" s="2659"/>
      <c r="L430" s="2659"/>
      <c r="M430" s="2659"/>
      <c r="N430" s="2659"/>
      <c r="O430" s="2659"/>
      <c r="P430" s="2659"/>
      <c r="Q430" s="2659"/>
      <c r="R430" s="2667"/>
    </row>
    <row r="431" spans="1:18">
      <c r="A431" s="2651"/>
      <c r="B431" s="2654" t="s">
        <v>9281</v>
      </c>
      <c r="C431" s="2658" t="s">
        <v>9065</v>
      </c>
      <c r="D431" s="2659">
        <v>61.962000000000003</v>
      </c>
      <c r="E431" s="2659">
        <v>61.682000000000002</v>
      </c>
      <c r="F431" s="2659">
        <v>60.662962</v>
      </c>
      <c r="G431" s="2659">
        <v>60.482962000000001</v>
      </c>
      <c r="H431" s="2659">
        <v>59.796936000000002</v>
      </c>
      <c r="I431" s="2659">
        <v>59.250912</v>
      </c>
      <c r="J431" s="2659"/>
      <c r="K431" s="2659" t="s">
        <v>9066</v>
      </c>
      <c r="L431" s="2659">
        <v>59.834935999999999</v>
      </c>
      <c r="M431" s="2659">
        <v>60.209935999999999</v>
      </c>
      <c r="N431" s="2659">
        <v>60.700961999999997</v>
      </c>
      <c r="O431" s="2659">
        <v>60.936962000000001</v>
      </c>
      <c r="P431" s="2659">
        <v>62</v>
      </c>
      <c r="Q431" s="2659">
        <v>62.524675999999999</v>
      </c>
      <c r="R431" s="2667">
        <v>58</v>
      </c>
    </row>
    <row r="432" spans="1:18">
      <c r="A432" s="2651"/>
      <c r="B432" s="2654" t="s">
        <v>9281</v>
      </c>
      <c r="C432" s="2658" t="s">
        <v>9067</v>
      </c>
      <c r="D432" s="2659">
        <v>61.962000000000003</v>
      </c>
      <c r="E432" s="2659">
        <v>61.682000000000002</v>
      </c>
      <c r="F432" s="2659">
        <v>60.662962</v>
      </c>
      <c r="G432" s="2659">
        <v>60.550961999999998</v>
      </c>
      <c r="H432" s="2659">
        <v>59.796936000000002</v>
      </c>
      <c r="I432" s="2659">
        <v>59.318911999999997</v>
      </c>
      <c r="J432" s="2659"/>
      <c r="K432" s="2659"/>
      <c r="L432" s="2659"/>
      <c r="M432" s="2659"/>
      <c r="N432" s="2659"/>
      <c r="O432" s="2659"/>
      <c r="P432" s="2659"/>
      <c r="Q432" s="2659"/>
      <c r="R432" s="2667"/>
    </row>
    <row r="433" spans="1:18">
      <c r="A433" s="2651"/>
      <c r="B433" s="2654" t="s">
        <v>9282</v>
      </c>
      <c r="C433" s="2658" t="s">
        <v>9065</v>
      </c>
      <c r="D433" s="2659">
        <v>61.968000000000004</v>
      </c>
      <c r="E433" s="2659">
        <v>61.731999999999999</v>
      </c>
      <c r="F433" s="2659">
        <v>60.993721499999999</v>
      </c>
      <c r="G433" s="2659">
        <v>60.833721500000003</v>
      </c>
      <c r="H433" s="2659">
        <v>60.344202000000003</v>
      </c>
      <c r="I433" s="2659">
        <v>59.909683999999999</v>
      </c>
      <c r="J433" s="2659"/>
      <c r="K433" s="2659" t="s">
        <v>9066</v>
      </c>
      <c r="L433" s="2659">
        <v>60.376201999999999</v>
      </c>
      <c r="M433" s="2659">
        <v>60.676202000000004</v>
      </c>
      <c r="N433" s="2659">
        <v>61.025721500000003</v>
      </c>
      <c r="O433" s="2659">
        <v>61.237721499999999</v>
      </c>
      <c r="P433" s="2659">
        <v>62</v>
      </c>
      <c r="Q433" s="2659">
        <v>62.428507000000003</v>
      </c>
      <c r="R433" s="2667">
        <v>58</v>
      </c>
    </row>
    <row r="434" spans="1:18">
      <c r="A434" s="2651"/>
      <c r="B434" s="2654" t="s">
        <v>9282</v>
      </c>
      <c r="C434" s="2658" t="s">
        <v>9067</v>
      </c>
      <c r="D434" s="2659">
        <v>61.968000000000004</v>
      </c>
      <c r="E434" s="2659">
        <v>61.731999999999999</v>
      </c>
      <c r="F434" s="2659">
        <v>60.993721499999999</v>
      </c>
      <c r="G434" s="2659">
        <v>60.893721499999998</v>
      </c>
      <c r="H434" s="2659">
        <v>60.344202000000003</v>
      </c>
      <c r="I434" s="2659">
        <v>59.969684000000001</v>
      </c>
      <c r="J434" s="2659"/>
      <c r="K434" s="2659"/>
      <c r="L434" s="2659"/>
      <c r="M434" s="2659"/>
      <c r="N434" s="2659"/>
      <c r="O434" s="2659"/>
      <c r="P434" s="2659"/>
      <c r="Q434" s="2659"/>
      <c r="R434" s="2667"/>
    </row>
    <row r="435" spans="1:18">
      <c r="A435" s="2651">
        <v>63</v>
      </c>
      <c r="B435" s="2654" t="s">
        <v>9283</v>
      </c>
      <c r="C435" s="2658" t="s">
        <v>9065</v>
      </c>
      <c r="D435" s="2659">
        <v>62.968000000000004</v>
      </c>
      <c r="E435" s="2659">
        <v>62.731999999999999</v>
      </c>
      <c r="F435" s="2659">
        <v>61.993721499999999</v>
      </c>
      <c r="G435" s="2659">
        <v>61.833721500000003</v>
      </c>
      <c r="H435" s="2659">
        <v>61.344202000000003</v>
      </c>
      <c r="I435" s="2659">
        <v>60.909683999999999</v>
      </c>
      <c r="J435" s="2659"/>
      <c r="K435" s="2659" t="s">
        <v>9066</v>
      </c>
      <c r="L435" s="2659">
        <v>61.376201999999999</v>
      </c>
      <c r="M435" s="2659">
        <v>61.676202000000004</v>
      </c>
      <c r="N435" s="2659">
        <v>62.025721500000003</v>
      </c>
      <c r="O435" s="2659">
        <v>62.237721499999999</v>
      </c>
      <c r="P435" s="2659">
        <v>63</v>
      </c>
      <c r="Q435" s="2659">
        <v>63.428507000000003</v>
      </c>
      <c r="R435" s="2667">
        <v>58</v>
      </c>
    </row>
    <row r="436" spans="1:18">
      <c r="A436" s="2651"/>
      <c r="B436" s="2654" t="s">
        <v>9283</v>
      </c>
      <c r="C436" s="2658" t="s">
        <v>9067</v>
      </c>
      <c r="D436" s="2659">
        <v>62.968000000000004</v>
      </c>
      <c r="E436" s="2659">
        <v>62.731999999999999</v>
      </c>
      <c r="F436" s="2659">
        <v>61.993721499999999</v>
      </c>
      <c r="G436" s="2659">
        <v>61.893721499999998</v>
      </c>
      <c r="H436" s="2659">
        <v>61.344202000000003</v>
      </c>
      <c r="I436" s="2659">
        <v>60.969684000000001</v>
      </c>
      <c r="J436" s="2659"/>
      <c r="K436" s="2659"/>
      <c r="L436" s="2659"/>
      <c r="M436" s="2659"/>
      <c r="N436" s="2659"/>
      <c r="O436" s="2659"/>
      <c r="P436" s="2659"/>
      <c r="Q436" s="2659"/>
      <c r="R436" s="2667"/>
    </row>
    <row r="437" spans="1:18">
      <c r="A437" s="2651">
        <v>64</v>
      </c>
      <c r="B437" s="2658" t="s">
        <v>9284</v>
      </c>
      <c r="C437" s="2658" t="s">
        <v>9065</v>
      </c>
      <c r="D437" s="2659">
        <v>63.92</v>
      </c>
      <c r="E437" s="2659">
        <v>63.32</v>
      </c>
      <c r="F437" s="2659">
        <v>60.023000000000003</v>
      </c>
      <c r="G437" s="2659">
        <v>59.743000000000002</v>
      </c>
      <c r="H437" s="2659">
        <v>57.424999999999997</v>
      </c>
      <c r="I437" s="2659">
        <v>56.046999999999997</v>
      </c>
      <c r="J437" s="2659"/>
      <c r="K437" s="2659" t="s">
        <v>9066</v>
      </c>
      <c r="L437" s="2659">
        <v>57.505000000000003</v>
      </c>
      <c r="M437" s="2659">
        <v>58.305</v>
      </c>
      <c r="N437" s="2659">
        <v>60.103000000000002</v>
      </c>
      <c r="O437" s="2659">
        <v>60.478000000000002</v>
      </c>
      <c r="P437" s="2659">
        <v>64</v>
      </c>
      <c r="Q437" s="2659">
        <v>65.241</v>
      </c>
      <c r="R437" s="2667">
        <v>58</v>
      </c>
    </row>
    <row r="438" spans="1:18">
      <c r="A438" s="2651"/>
      <c r="B438" s="2658" t="s">
        <v>9284</v>
      </c>
      <c r="C438" s="2658" t="s">
        <v>9067</v>
      </c>
      <c r="D438" s="2659">
        <v>63.92</v>
      </c>
      <c r="E438" s="2659">
        <v>63.32</v>
      </c>
      <c r="F438" s="2659">
        <v>60.023000000000003</v>
      </c>
      <c r="G438" s="2659">
        <v>59.843000000000004</v>
      </c>
      <c r="H438" s="2659">
        <v>57.424999999999997</v>
      </c>
      <c r="I438" s="2659">
        <v>56.146999999999998</v>
      </c>
      <c r="J438" s="2659"/>
      <c r="K438" s="2659"/>
      <c r="L438" s="2659"/>
      <c r="M438" s="2659"/>
      <c r="N438" s="2659"/>
      <c r="O438" s="2659"/>
      <c r="P438" s="2659"/>
      <c r="Q438" s="2659"/>
      <c r="R438" s="2667"/>
    </row>
    <row r="439" spans="1:18">
      <c r="A439" s="2651"/>
      <c r="B439" s="2654" t="s">
        <v>9285</v>
      </c>
      <c r="C439" s="2658" t="s">
        <v>9065</v>
      </c>
      <c r="D439" s="2659">
        <v>63.924999999999997</v>
      </c>
      <c r="E439" s="2659">
        <v>63.365000000000002</v>
      </c>
      <c r="F439" s="2659">
        <v>60.352645500000001</v>
      </c>
      <c r="G439" s="2659">
        <v>60.087645500000001</v>
      </c>
      <c r="H439" s="2659">
        <v>57.971074000000002</v>
      </c>
      <c r="I439" s="2659">
        <v>56.699508000000002</v>
      </c>
      <c r="J439" s="2659"/>
      <c r="K439" s="2659" t="s">
        <v>9066</v>
      </c>
      <c r="L439" s="2659">
        <v>58.046073999999997</v>
      </c>
      <c r="M439" s="2659">
        <v>58.796073999999997</v>
      </c>
      <c r="N439" s="2659">
        <v>60.427645499999997</v>
      </c>
      <c r="O439" s="2659">
        <v>60.782645500000001</v>
      </c>
      <c r="P439" s="2659">
        <v>64</v>
      </c>
      <c r="Q439" s="2659">
        <v>65.148859000000002</v>
      </c>
      <c r="R439" s="2667">
        <v>54.5</v>
      </c>
    </row>
    <row r="440" spans="1:18">
      <c r="A440" s="2651"/>
      <c r="B440" s="2654" t="s">
        <v>9285</v>
      </c>
      <c r="C440" s="2658" t="s">
        <v>9067</v>
      </c>
      <c r="D440" s="2659">
        <v>63.924999999999997</v>
      </c>
      <c r="E440" s="2659">
        <v>63.365000000000002</v>
      </c>
      <c r="F440" s="2659">
        <v>60.352645500000001</v>
      </c>
      <c r="G440" s="2659">
        <v>60.1826455</v>
      </c>
      <c r="H440" s="2659">
        <v>57.971074000000002</v>
      </c>
      <c r="I440" s="2659">
        <v>56.794508</v>
      </c>
      <c r="J440" s="2659"/>
      <c r="K440" s="2659"/>
      <c r="L440" s="2659"/>
      <c r="M440" s="2659"/>
      <c r="N440" s="2659"/>
      <c r="O440" s="2659"/>
      <c r="P440" s="2659"/>
      <c r="Q440" s="2659"/>
      <c r="R440" s="2667"/>
    </row>
    <row r="441" spans="1:18">
      <c r="A441" s="2651"/>
      <c r="B441" s="2654" t="s">
        <v>9286</v>
      </c>
      <c r="C441" s="2658" t="s">
        <v>9065</v>
      </c>
      <c r="D441" s="2659">
        <v>63.94</v>
      </c>
      <c r="E441" s="2659">
        <v>63.465000000000003</v>
      </c>
      <c r="F441" s="2659">
        <v>61.341923999999999</v>
      </c>
      <c r="G441" s="2659">
        <v>61.105924000000002</v>
      </c>
      <c r="H441" s="2659">
        <v>59.609872000000003</v>
      </c>
      <c r="I441" s="2659">
        <v>58.641824</v>
      </c>
      <c r="J441" s="2659"/>
      <c r="K441" s="2659" t="s">
        <v>9066</v>
      </c>
      <c r="L441" s="2659">
        <v>59.669871999999998</v>
      </c>
      <c r="M441" s="2659">
        <v>60.269871999999999</v>
      </c>
      <c r="N441" s="2659">
        <v>61.401924000000001</v>
      </c>
      <c r="O441" s="2659">
        <v>61.716923999999999</v>
      </c>
      <c r="P441" s="2659">
        <v>64</v>
      </c>
      <c r="Q441" s="2659">
        <v>64.892352000000002</v>
      </c>
      <c r="R441" s="2667">
        <v>58</v>
      </c>
    </row>
    <row r="442" spans="1:18">
      <c r="A442" s="2651"/>
      <c r="B442" s="2654" t="s">
        <v>9286</v>
      </c>
      <c r="C442" s="2658" t="s">
        <v>9067</v>
      </c>
      <c r="D442" s="2659">
        <v>63.94</v>
      </c>
      <c r="E442" s="2659">
        <v>63.465000000000003</v>
      </c>
      <c r="F442" s="2659">
        <v>61.341923999999999</v>
      </c>
      <c r="G442" s="2659">
        <v>61.191924</v>
      </c>
      <c r="H442" s="2659">
        <v>59.609872000000003</v>
      </c>
      <c r="I442" s="2659">
        <v>58.727823999999998</v>
      </c>
      <c r="J442" s="2659"/>
      <c r="K442" s="2659"/>
      <c r="L442" s="2659"/>
      <c r="M442" s="2659"/>
      <c r="N442" s="2659"/>
      <c r="O442" s="2659"/>
      <c r="P442" s="2659"/>
      <c r="Q442" s="2659"/>
      <c r="R442" s="2667"/>
    </row>
    <row r="443" spans="1:18">
      <c r="A443" s="2651"/>
      <c r="B443" s="2654" t="s">
        <v>9287</v>
      </c>
      <c r="C443" s="2658" t="s">
        <v>9065</v>
      </c>
      <c r="D443" s="2659">
        <v>63.951999999999998</v>
      </c>
      <c r="E443" s="2659">
        <v>63.576999999999998</v>
      </c>
      <c r="F443" s="2659">
        <v>62.003442999999997</v>
      </c>
      <c r="G443" s="2659">
        <v>61.791443000000001</v>
      </c>
      <c r="H443" s="2659">
        <v>60.704403999999997</v>
      </c>
      <c r="I443" s="2659">
        <v>59.943368</v>
      </c>
      <c r="J443" s="2659"/>
      <c r="K443" s="2659" t="s">
        <v>9066</v>
      </c>
      <c r="L443" s="2659">
        <v>60.752403999999999</v>
      </c>
      <c r="M443" s="2659">
        <v>61.252403999999999</v>
      </c>
      <c r="N443" s="2659">
        <v>62.051442999999999</v>
      </c>
      <c r="O443" s="2659">
        <v>62.331282999999999</v>
      </c>
      <c r="P443" s="2659">
        <v>64</v>
      </c>
      <c r="Q443" s="2659">
        <v>64.712853999999993</v>
      </c>
      <c r="R443" s="2667">
        <v>58</v>
      </c>
    </row>
    <row r="444" spans="1:18">
      <c r="A444" s="2651"/>
      <c r="B444" s="2654" t="s">
        <v>9287</v>
      </c>
      <c r="C444" s="2658" t="s">
        <v>9067</v>
      </c>
      <c r="D444" s="2659">
        <v>63.951999999999998</v>
      </c>
      <c r="E444" s="2659">
        <v>63.576999999999998</v>
      </c>
      <c r="F444" s="2659">
        <v>62.003442999999997</v>
      </c>
      <c r="G444" s="2659">
        <v>61.871442999999999</v>
      </c>
      <c r="H444" s="2659">
        <v>60.704403999999997</v>
      </c>
      <c r="I444" s="2659">
        <v>60.023367999999998</v>
      </c>
      <c r="J444" s="2659"/>
      <c r="K444" s="2659"/>
      <c r="L444" s="2659"/>
      <c r="M444" s="2659"/>
      <c r="N444" s="2659"/>
      <c r="O444" s="2659"/>
      <c r="P444" s="2659"/>
      <c r="Q444" s="2659"/>
      <c r="R444" s="2667"/>
    </row>
    <row r="445" spans="1:18">
      <c r="A445" s="2651"/>
      <c r="B445" s="2658" t="s">
        <v>9288</v>
      </c>
      <c r="C445" s="2658" t="s">
        <v>9065</v>
      </c>
      <c r="D445" s="2659">
        <v>63.962000000000003</v>
      </c>
      <c r="E445" s="2659">
        <v>63.682000000000002</v>
      </c>
      <c r="F445" s="2659">
        <v>62.662999999999997</v>
      </c>
      <c r="G445" s="2659">
        <v>62.482999999999997</v>
      </c>
      <c r="H445" s="2659">
        <v>61.796999999999997</v>
      </c>
      <c r="I445" s="2659">
        <v>61.250999999999998</v>
      </c>
      <c r="J445" s="2659"/>
      <c r="K445" s="2659" t="s">
        <v>9066</v>
      </c>
      <c r="L445" s="2659">
        <v>61.835000000000001</v>
      </c>
      <c r="M445" s="2659">
        <v>62.21</v>
      </c>
      <c r="N445" s="2659">
        <v>62.701000000000001</v>
      </c>
      <c r="O445" s="2659">
        <v>62.936999999999998</v>
      </c>
      <c r="P445" s="2659">
        <v>64</v>
      </c>
      <c r="Q445" s="2659">
        <v>64.525000000000006</v>
      </c>
      <c r="R445" s="2667">
        <v>58</v>
      </c>
    </row>
    <row r="446" spans="1:18">
      <c r="A446" s="2651"/>
      <c r="B446" s="2658" t="s">
        <v>9288</v>
      </c>
      <c r="C446" s="2658" t="s">
        <v>9067</v>
      </c>
      <c r="D446" s="2659">
        <v>63.962000000000003</v>
      </c>
      <c r="E446" s="2659">
        <v>63.682000000000002</v>
      </c>
      <c r="F446" s="2659">
        <v>62.662999999999997</v>
      </c>
      <c r="G446" s="2659">
        <v>62.551000000000002</v>
      </c>
      <c r="H446" s="2659">
        <v>61.796999999999997</v>
      </c>
      <c r="I446" s="2659">
        <v>61.319000000000003</v>
      </c>
      <c r="J446" s="2659"/>
      <c r="K446" s="2659"/>
      <c r="L446" s="2659"/>
      <c r="M446" s="2659"/>
      <c r="N446" s="2659"/>
      <c r="O446" s="2659"/>
      <c r="P446" s="2659"/>
      <c r="Q446" s="2659"/>
      <c r="R446" s="2667"/>
    </row>
    <row r="447" spans="1:18">
      <c r="A447" s="2651"/>
      <c r="B447" s="2654" t="s">
        <v>9289</v>
      </c>
      <c r="C447" s="2658" t="s">
        <v>9065</v>
      </c>
      <c r="D447" s="2659">
        <v>63.968000000000004</v>
      </c>
      <c r="E447" s="2659">
        <v>63.731999999999999</v>
      </c>
      <c r="F447" s="2659">
        <v>62.993721499999999</v>
      </c>
      <c r="G447" s="2659">
        <v>62.833721500000003</v>
      </c>
      <c r="H447" s="2659">
        <v>62.344202000000003</v>
      </c>
      <c r="I447" s="2659">
        <v>61.909683999999999</v>
      </c>
      <c r="J447" s="2659"/>
      <c r="K447" s="2659" t="s">
        <v>9066</v>
      </c>
      <c r="L447" s="2659">
        <v>62.376201999999999</v>
      </c>
      <c r="M447" s="2659">
        <v>62.676202000000004</v>
      </c>
      <c r="N447" s="2659">
        <v>63.025721500000003</v>
      </c>
      <c r="O447" s="2659">
        <v>63.237721499999999</v>
      </c>
      <c r="P447" s="2659">
        <v>64</v>
      </c>
      <c r="Q447" s="2659">
        <v>64.428506999999996</v>
      </c>
      <c r="R447" s="2667">
        <v>60</v>
      </c>
    </row>
    <row r="448" spans="1:18">
      <c r="A448" s="2651"/>
      <c r="B448" s="2654" t="s">
        <v>9289</v>
      </c>
      <c r="C448" s="2658" t="s">
        <v>9067</v>
      </c>
      <c r="D448" s="2659">
        <v>63.968000000000004</v>
      </c>
      <c r="E448" s="2659">
        <v>63.731999999999999</v>
      </c>
      <c r="F448" s="2659">
        <v>62.993721499999999</v>
      </c>
      <c r="G448" s="2659">
        <v>62.893721499999998</v>
      </c>
      <c r="H448" s="2659">
        <v>62.344202000000003</v>
      </c>
      <c r="I448" s="2659">
        <v>61.969684000000001</v>
      </c>
      <c r="J448" s="2659"/>
      <c r="K448" s="2659"/>
      <c r="L448" s="2659"/>
      <c r="M448" s="2659"/>
      <c r="N448" s="2659"/>
      <c r="O448" s="2659"/>
      <c r="P448" s="2659"/>
      <c r="Q448" s="2659"/>
      <c r="R448" s="2667"/>
    </row>
    <row r="449" spans="1:18">
      <c r="A449" s="2651"/>
      <c r="B449" s="2654" t="s">
        <v>9290</v>
      </c>
      <c r="C449" s="2658" t="s">
        <v>9065</v>
      </c>
      <c r="D449" s="2659">
        <v>63.973999999999997</v>
      </c>
      <c r="E449" s="2659">
        <v>63.793999999999997</v>
      </c>
      <c r="F449" s="2659">
        <v>63.324480999999999</v>
      </c>
      <c r="G449" s="2659">
        <v>63.184480999999998</v>
      </c>
      <c r="H449" s="2659">
        <v>62.891468000000003</v>
      </c>
      <c r="I449" s="2659">
        <v>62.568455999999998</v>
      </c>
      <c r="J449" s="2659"/>
      <c r="K449" s="2659" t="s">
        <v>9066</v>
      </c>
      <c r="L449" s="2659">
        <v>62.917468</v>
      </c>
      <c r="M449" s="2659">
        <v>63.153467999999997</v>
      </c>
      <c r="N449" s="2659">
        <v>63.350481000000002</v>
      </c>
      <c r="O449" s="2659">
        <v>63.540481</v>
      </c>
      <c r="P449" s="2659">
        <v>64</v>
      </c>
      <c r="Q449" s="2659">
        <v>64.334338000000002</v>
      </c>
      <c r="R449" s="2667">
        <v>60</v>
      </c>
    </row>
    <row r="450" spans="1:18">
      <c r="A450" s="2651"/>
      <c r="B450" s="2654" t="s">
        <v>9290</v>
      </c>
      <c r="C450" s="2658" t="s">
        <v>9067</v>
      </c>
      <c r="D450" s="2659">
        <v>63.973999999999997</v>
      </c>
      <c r="E450" s="2659">
        <v>63.793999999999997</v>
      </c>
      <c r="F450" s="2659">
        <v>63.324480999999999</v>
      </c>
      <c r="G450" s="2659">
        <v>63.234481000000002</v>
      </c>
      <c r="H450" s="2659">
        <v>62.891468000000003</v>
      </c>
      <c r="I450" s="2659">
        <v>62.618456000000002</v>
      </c>
      <c r="J450" s="2659"/>
      <c r="K450" s="2659"/>
      <c r="L450" s="2659"/>
      <c r="M450" s="2659"/>
      <c r="N450" s="2659"/>
      <c r="O450" s="2659"/>
      <c r="P450" s="2659"/>
      <c r="Q450" s="2659"/>
      <c r="R450" s="2667"/>
    </row>
    <row r="451" spans="1:18">
      <c r="A451" s="2651">
        <v>65</v>
      </c>
      <c r="B451" s="2654" t="s">
        <v>9291</v>
      </c>
      <c r="C451" s="2658" t="s">
        <v>9065</v>
      </c>
      <c r="D451" s="2659">
        <v>64.94</v>
      </c>
      <c r="E451" s="2659">
        <v>64.465000000000003</v>
      </c>
      <c r="F451" s="2659">
        <v>62.341923999999999</v>
      </c>
      <c r="G451" s="2659">
        <v>62.105924000000002</v>
      </c>
      <c r="H451" s="2659">
        <v>60.609872000000003</v>
      </c>
      <c r="I451" s="2659">
        <v>59.641824</v>
      </c>
      <c r="J451" s="2659"/>
      <c r="K451" s="2659" t="s">
        <v>9066</v>
      </c>
      <c r="L451" s="2659">
        <v>60.669871999999998</v>
      </c>
      <c r="M451" s="2659">
        <v>61.269871999999999</v>
      </c>
      <c r="N451" s="2659">
        <v>62.401924000000001</v>
      </c>
      <c r="O451" s="2659">
        <v>62.716923999999999</v>
      </c>
      <c r="P451" s="2659">
        <v>65</v>
      </c>
      <c r="Q451" s="2659">
        <v>65.892352000000002</v>
      </c>
      <c r="R451" s="2667">
        <v>58</v>
      </c>
    </row>
    <row r="452" spans="1:18">
      <c r="A452" s="2651"/>
      <c r="B452" s="2654" t="s">
        <v>9291</v>
      </c>
      <c r="C452" s="2658" t="s">
        <v>9067</v>
      </c>
      <c r="D452" s="2659">
        <v>64.94</v>
      </c>
      <c r="E452" s="2659">
        <v>64.465000000000003</v>
      </c>
      <c r="F452" s="2659">
        <v>62.341923999999999</v>
      </c>
      <c r="G452" s="2659">
        <v>62.191924</v>
      </c>
      <c r="H452" s="2659">
        <v>60.609872000000003</v>
      </c>
      <c r="I452" s="2659">
        <v>59.727823999999998</v>
      </c>
      <c r="J452" s="2659"/>
      <c r="K452" s="2659"/>
      <c r="L452" s="2659"/>
      <c r="M452" s="2659"/>
      <c r="N452" s="2659"/>
      <c r="O452" s="2659"/>
      <c r="P452" s="2659"/>
      <c r="Q452" s="2659"/>
      <c r="R452" s="2667"/>
    </row>
    <row r="453" spans="1:18">
      <c r="A453" s="2651"/>
      <c r="B453" s="2654" t="s">
        <v>9292</v>
      </c>
      <c r="C453" s="2658" t="s">
        <v>9065</v>
      </c>
      <c r="D453" s="2659">
        <v>64.951999999999998</v>
      </c>
      <c r="E453" s="2659">
        <v>64.576999999999998</v>
      </c>
      <c r="F453" s="2659">
        <v>63.003442999999997</v>
      </c>
      <c r="G453" s="2659">
        <v>62.791443000000001</v>
      </c>
      <c r="H453" s="2659">
        <v>61.704403999999997</v>
      </c>
      <c r="I453" s="2659">
        <v>60.943368</v>
      </c>
      <c r="J453" s="2659"/>
      <c r="K453" s="2659" t="s">
        <v>9066</v>
      </c>
      <c r="L453" s="2659">
        <v>61.752403999999999</v>
      </c>
      <c r="M453" s="2659">
        <v>62.252403999999999</v>
      </c>
      <c r="N453" s="2659">
        <v>63.051442999999999</v>
      </c>
      <c r="O453" s="2659">
        <v>63.331282999999999</v>
      </c>
      <c r="P453" s="2659">
        <v>65</v>
      </c>
      <c r="Q453" s="2659">
        <v>65.712853999999993</v>
      </c>
      <c r="R453" s="2667">
        <v>60</v>
      </c>
    </row>
    <row r="454" spans="1:18">
      <c r="A454" s="2651"/>
      <c r="B454" s="2654" t="s">
        <v>9292</v>
      </c>
      <c r="C454" s="2658" t="s">
        <v>9067</v>
      </c>
      <c r="D454" s="2659">
        <v>64.951999999999998</v>
      </c>
      <c r="E454" s="2659">
        <v>64.576999999999998</v>
      </c>
      <c r="F454" s="2659">
        <v>63.003442999999997</v>
      </c>
      <c r="G454" s="2659">
        <v>62.871442999999999</v>
      </c>
      <c r="H454" s="2659">
        <v>61.704403999999997</v>
      </c>
      <c r="I454" s="2659">
        <v>61.023367999999998</v>
      </c>
      <c r="J454" s="2659"/>
      <c r="K454" s="2659"/>
      <c r="L454" s="2659"/>
      <c r="M454" s="2659"/>
      <c r="N454" s="2659"/>
      <c r="O454" s="2659"/>
      <c r="P454" s="2659"/>
      <c r="Q454" s="2659"/>
      <c r="R454" s="2667"/>
    </row>
    <row r="455" spans="1:18">
      <c r="A455" s="2651"/>
      <c r="B455" s="2654" t="s">
        <v>9293</v>
      </c>
      <c r="C455" s="2658" t="s">
        <v>9065</v>
      </c>
      <c r="D455" s="2659">
        <v>64.962000000000003</v>
      </c>
      <c r="E455" s="2659">
        <v>64.682000000000002</v>
      </c>
      <c r="F455" s="2659">
        <v>63.662962</v>
      </c>
      <c r="G455" s="2659">
        <v>63.482962000000001</v>
      </c>
      <c r="H455" s="2659">
        <v>62.796936000000002</v>
      </c>
      <c r="I455" s="2659">
        <v>62.250912</v>
      </c>
      <c r="J455" s="2659"/>
      <c r="K455" s="2659" t="s">
        <v>9066</v>
      </c>
      <c r="L455" s="2659">
        <v>62.834935999999999</v>
      </c>
      <c r="M455" s="2659">
        <v>63.209935999999999</v>
      </c>
      <c r="N455" s="2659">
        <v>63.700961999999997</v>
      </c>
      <c r="O455" s="2659">
        <v>63.936962000000001</v>
      </c>
      <c r="P455" s="2659">
        <v>65</v>
      </c>
      <c r="Q455" s="2659">
        <v>65.524675999999999</v>
      </c>
      <c r="R455" s="2667">
        <v>60</v>
      </c>
    </row>
    <row r="456" spans="1:18">
      <c r="A456" s="2651"/>
      <c r="B456" s="2654" t="s">
        <v>9293</v>
      </c>
      <c r="C456" s="2658" t="s">
        <v>9067</v>
      </c>
      <c r="D456" s="2659">
        <v>64.962000000000003</v>
      </c>
      <c r="E456" s="2659">
        <v>64.682000000000002</v>
      </c>
      <c r="F456" s="2659">
        <v>63.662962</v>
      </c>
      <c r="G456" s="2659">
        <v>63.550961999999998</v>
      </c>
      <c r="H456" s="2659">
        <v>62.796936000000002</v>
      </c>
      <c r="I456" s="2659">
        <v>62.318911999999997</v>
      </c>
      <c r="J456" s="2659"/>
      <c r="K456" s="2659"/>
      <c r="L456" s="2659"/>
      <c r="M456" s="2659"/>
      <c r="N456" s="2659"/>
      <c r="O456" s="2659"/>
      <c r="P456" s="2659"/>
      <c r="Q456" s="2659"/>
      <c r="R456" s="2667"/>
    </row>
    <row r="457" spans="1:18">
      <c r="A457" s="2651"/>
      <c r="B457" s="2658" t="s">
        <v>9294</v>
      </c>
      <c r="C457" s="2658" t="s">
        <v>9065</v>
      </c>
      <c r="D457" s="2659">
        <v>64.968000000000004</v>
      </c>
      <c r="E457" s="2659">
        <v>64.731999999999999</v>
      </c>
      <c r="F457" s="2659">
        <v>63.994</v>
      </c>
      <c r="G457" s="2659">
        <v>63.834000000000003</v>
      </c>
      <c r="H457" s="2659">
        <v>63.344000000000001</v>
      </c>
      <c r="I457" s="2659">
        <v>62.91</v>
      </c>
      <c r="J457" s="2659"/>
      <c r="K457" s="2659" t="s">
        <v>9066</v>
      </c>
      <c r="L457" s="2659">
        <v>63.375999999999998</v>
      </c>
      <c r="M457" s="2659">
        <v>63.676000000000002</v>
      </c>
      <c r="N457" s="2659">
        <v>64.025999999999996</v>
      </c>
      <c r="O457" s="2659">
        <v>64.238</v>
      </c>
      <c r="P457" s="2659">
        <v>65</v>
      </c>
      <c r="Q457" s="2659">
        <v>65.427999999999997</v>
      </c>
      <c r="R457" s="2667">
        <v>59</v>
      </c>
    </row>
    <row r="458" spans="1:18">
      <c r="A458" s="2651"/>
      <c r="B458" s="2658" t="s">
        <v>9294</v>
      </c>
      <c r="C458" s="2658" t="s">
        <v>9067</v>
      </c>
      <c r="D458" s="2659">
        <v>64.968000000000004</v>
      </c>
      <c r="E458" s="2659">
        <v>64.731999999999999</v>
      </c>
      <c r="F458" s="2659">
        <v>63.994</v>
      </c>
      <c r="G458" s="2659">
        <v>63.893999999999998</v>
      </c>
      <c r="H458" s="2659">
        <v>63.344000000000001</v>
      </c>
      <c r="I458" s="2659">
        <v>62.97</v>
      </c>
      <c r="J458" s="2659"/>
      <c r="K458" s="2659"/>
      <c r="L458" s="2659"/>
      <c r="M458" s="2659"/>
      <c r="N458" s="2659"/>
      <c r="O458" s="2659"/>
      <c r="P458" s="2659"/>
      <c r="Q458" s="2659"/>
      <c r="R458" s="2667"/>
    </row>
    <row r="459" spans="1:18">
      <c r="A459" s="2651">
        <v>68</v>
      </c>
      <c r="B459" s="2654" t="s">
        <v>9295</v>
      </c>
      <c r="C459" s="2658" t="s">
        <v>9065</v>
      </c>
      <c r="D459" s="2659">
        <v>67.92</v>
      </c>
      <c r="E459" s="2659">
        <v>67.319999999999993</v>
      </c>
      <c r="F459" s="2659">
        <v>64.022886</v>
      </c>
      <c r="G459" s="2659">
        <v>63.742885999999999</v>
      </c>
      <c r="H459" s="2659">
        <v>61.424807999999999</v>
      </c>
      <c r="I459" s="2659">
        <v>60.046736000000003</v>
      </c>
      <c r="J459" s="2659"/>
      <c r="K459" s="2659" t="s">
        <v>9066</v>
      </c>
      <c r="L459" s="2659">
        <v>61.504807999999997</v>
      </c>
      <c r="M459" s="2659">
        <v>62.304808000000001</v>
      </c>
      <c r="N459" s="2659">
        <v>64.102885999999998</v>
      </c>
      <c r="O459" s="2659">
        <v>64.477885999999998</v>
      </c>
      <c r="P459" s="2659">
        <v>68</v>
      </c>
      <c r="Q459" s="2659">
        <v>69.241028</v>
      </c>
      <c r="R459" s="2667">
        <v>60</v>
      </c>
    </row>
    <row r="460" spans="1:18">
      <c r="A460" s="2651"/>
      <c r="B460" s="2654" t="s">
        <v>9295</v>
      </c>
      <c r="C460" s="2658" t="s">
        <v>9067</v>
      </c>
      <c r="D460" s="2659">
        <v>67.92</v>
      </c>
      <c r="E460" s="2659">
        <v>67.319999999999993</v>
      </c>
      <c r="F460" s="2659">
        <v>64.022886</v>
      </c>
      <c r="G460" s="2659">
        <v>63.842886</v>
      </c>
      <c r="H460" s="2659">
        <v>61.424807999999999</v>
      </c>
      <c r="I460" s="2659">
        <v>60.146735999999997</v>
      </c>
      <c r="J460" s="2659"/>
      <c r="K460" s="2659"/>
      <c r="L460" s="2659"/>
      <c r="M460" s="2659"/>
      <c r="N460" s="2659"/>
      <c r="O460" s="2659"/>
      <c r="P460" s="2659"/>
      <c r="Q460" s="2659"/>
      <c r="R460" s="2667"/>
    </row>
    <row r="461" spans="1:18">
      <c r="A461" s="2651"/>
      <c r="B461" s="2654" t="s">
        <v>9296</v>
      </c>
      <c r="C461" s="2658" t="s">
        <v>9065</v>
      </c>
      <c r="D461" s="2659">
        <v>67.94</v>
      </c>
      <c r="E461" s="2659">
        <v>67.465000000000003</v>
      </c>
      <c r="F461" s="2659">
        <v>65.341924000000006</v>
      </c>
      <c r="G461" s="2659">
        <v>65.105924000000002</v>
      </c>
      <c r="H461" s="2659">
        <v>63.609872000000003</v>
      </c>
      <c r="I461" s="2659">
        <v>62.641824</v>
      </c>
      <c r="J461" s="2659"/>
      <c r="K461" s="2659" t="s">
        <v>9066</v>
      </c>
      <c r="L461" s="2659">
        <v>63.669871999999998</v>
      </c>
      <c r="M461" s="2659">
        <v>64.269872000000007</v>
      </c>
      <c r="N461" s="2659">
        <v>65.401923999999994</v>
      </c>
      <c r="O461" s="2659">
        <v>65.716924000000006</v>
      </c>
      <c r="P461" s="2659">
        <v>68</v>
      </c>
      <c r="Q461" s="2659">
        <v>68.892352000000002</v>
      </c>
      <c r="R461" s="2667">
        <v>60</v>
      </c>
    </row>
    <row r="462" spans="1:18">
      <c r="A462" s="2651"/>
      <c r="B462" s="2654" t="s">
        <v>9296</v>
      </c>
      <c r="C462" s="2658" t="s">
        <v>9067</v>
      </c>
      <c r="D462" s="2659">
        <v>67.94</v>
      </c>
      <c r="E462" s="2659">
        <v>67.465000000000003</v>
      </c>
      <c r="F462" s="2659">
        <v>65.341924000000006</v>
      </c>
      <c r="G462" s="2659">
        <v>65.191924</v>
      </c>
      <c r="H462" s="2659">
        <v>63.609872000000003</v>
      </c>
      <c r="I462" s="2659">
        <v>62.727823999999998</v>
      </c>
      <c r="J462" s="2659"/>
      <c r="K462" s="2659"/>
      <c r="L462" s="2659"/>
      <c r="M462" s="2659"/>
      <c r="N462" s="2659"/>
      <c r="O462" s="2659"/>
      <c r="P462" s="2659"/>
      <c r="Q462" s="2659"/>
      <c r="R462" s="2667"/>
    </row>
    <row r="463" spans="1:18">
      <c r="A463" s="2651"/>
      <c r="B463" s="2654" t="s">
        <v>9297</v>
      </c>
      <c r="C463" s="2658" t="s">
        <v>9065</v>
      </c>
      <c r="D463" s="2659">
        <v>67.951999999999998</v>
      </c>
      <c r="E463" s="2659">
        <v>67.576999999999998</v>
      </c>
      <c r="F463" s="2659">
        <v>66.003443000000004</v>
      </c>
      <c r="G463" s="2659">
        <v>65.791443000000001</v>
      </c>
      <c r="H463" s="2659">
        <v>64.704403999999997</v>
      </c>
      <c r="I463" s="2659">
        <v>63.943368</v>
      </c>
      <c r="J463" s="2659"/>
      <c r="K463" s="2659" t="s">
        <v>9066</v>
      </c>
      <c r="L463" s="2659">
        <v>64.752403999999999</v>
      </c>
      <c r="M463" s="2659">
        <v>65.252403999999999</v>
      </c>
      <c r="N463" s="2659">
        <v>66.051443000000006</v>
      </c>
      <c r="O463" s="2659">
        <v>66.331282999999999</v>
      </c>
      <c r="P463" s="2659">
        <v>68</v>
      </c>
      <c r="Q463" s="2659">
        <v>68.712853999999993</v>
      </c>
      <c r="R463" s="2667">
        <v>60</v>
      </c>
    </row>
    <row r="464" spans="1:18">
      <c r="A464" s="2651"/>
      <c r="B464" s="2654" t="s">
        <v>9297</v>
      </c>
      <c r="C464" s="2658" t="s">
        <v>9067</v>
      </c>
      <c r="D464" s="2659">
        <v>67.951999999999998</v>
      </c>
      <c r="E464" s="2659">
        <v>67.576999999999998</v>
      </c>
      <c r="F464" s="2659">
        <v>66.003443000000004</v>
      </c>
      <c r="G464" s="2659">
        <v>65.871442999999999</v>
      </c>
      <c r="H464" s="2659">
        <v>64.704403999999997</v>
      </c>
      <c r="I464" s="2659">
        <v>64.023368000000005</v>
      </c>
      <c r="J464" s="2659"/>
      <c r="K464" s="2659"/>
      <c r="L464" s="2659"/>
      <c r="M464" s="2659"/>
      <c r="N464" s="2659"/>
      <c r="O464" s="2659"/>
      <c r="P464" s="2659"/>
      <c r="Q464" s="2659"/>
      <c r="R464" s="2667"/>
    </row>
    <row r="465" spans="1:18">
      <c r="A465" s="2651"/>
      <c r="B465" s="2654" t="s">
        <v>9298</v>
      </c>
      <c r="C465" s="2658" t="s">
        <v>9065</v>
      </c>
      <c r="D465" s="2659">
        <v>67.962000000000003</v>
      </c>
      <c r="E465" s="2659">
        <v>67.682000000000002</v>
      </c>
      <c r="F465" s="2659">
        <v>66.662961999999993</v>
      </c>
      <c r="G465" s="2659">
        <v>66.482962000000001</v>
      </c>
      <c r="H465" s="2659">
        <v>65.796936000000002</v>
      </c>
      <c r="I465" s="2659">
        <v>65.250912</v>
      </c>
      <c r="J465" s="2659"/>
      <c r="K465" s="2659" t="s">
        <v>9066</v>
      </c>
      <c r="L465" s="2659">
        <v>65.834935999999999</v>
      </c>
      <c r="M465" s="2659">
        <v>66.209935999999999</v>
      </c>
      <c r="N465" s="2659">
        <v>66.700962000000004</v>
      </c>
      <c r="O465" s="2659">
        <v>66.936961999999994</v>
      </c>
      <c r="P465" s="2659">
        <v>68</v>
      </c>
      <c r="Q465" s="2659">
        <v>68.524675999999999</v>
      </c>
      <c r="R465" s="2667">
        <v>60</v>
      </c>
    </row>
    <row r="466" spans="1:18">
      <c r="A466" s="2651"/>
      <c r="B466" s="2654" t="s">
        <v>9298</v>
      </c>
      <c r="C466" s="2658" t="s">
        <v>9067</v>
      </c>
      <c r="D466" s="2659">
        <v>67.962000000000003</v>
      </c>
      <c r="E466" s="2659">
        <v>67.682000000000002</v>
      </c>
      <c r="F466" s="2659">
        <v>66.662961999999993</v>
      </c>
      <c r="G466" s="2659">
        <v>66.550961999999998</v>
      </c>
      <c r="H466" s="2659">
        <v>65.796936000000002</v>
      </c>
      <c r="I466" s="2659">
        <v>65.318911999999997</v>
      </c>
      <c r="J466" s="2659"/>
      <c r="K466" s="2659"/>
      <c r="L466" s="2659"/>
      <c r="M466" s="2659"/>
      <c r="N466" s="2659"/>
      <c r="O466" s="2659"/>
      <c r="P466" s="2659"/>
      <c r="Q466" s="2659"/>
      <c r="R466" s="2667"/>
    </row>
    <row r="467" spans="1:18">
      <c r="A467" s="2651"/>
      <c r="B467" s="2654" t="s">
        <v>9299</v>
      </c>
      <c r="C467" s="2658" t="s">
        <v>9065</v>
      </c>
      <c r="D467" s="2659">
        <v>67.968000000000004</v>
      </c>
      <c r="E467" s="2659">
        <v>67.731999999999999</v>
      </c>
      <c r="F467" s="2659">
        <v>66.993721500000007</v>
      </c>
      <c r="G467" s="2659">
        <v>66.833721499999996</v>
      </c>
      <c r="H467" s="2659">
        <v>66.344201999999996</v>
      </c>
      <c r="I467" s="2659">
        <v>65.909683999999999</v>
      </c>
      <c r="J467" s="2659"/>
      <c r="K467" s="2659" t="s">
        <v>9066</v>
      </c>
      <c r="L467" s="2659">
        <v>66.376202000000006</v>
      </c>
      <c r="M467" s="2659">
        <v>66.676202000000004</v>
      </c>
      <c r="N467" s="2659">
        <v>67.025721500000003</v>
      </c>
      <c r="O467" s="2659">
        <v>67.237721500000006</v>
      </c>
      <c r="P467" s="2659">
        <v>68</v>
      </c>
      <c r="Q467" s="2659">
        <v>68.428506999999996</v>
      </c>
      <c r="R467" s="2667">
        <v>64</v>
      </c>
    </row>
    <row r="468" spans="1:18">
      <c r="A468" s="2651"/>
      <c r="B468" s="2654" t="s">
        <v>9299</v>
      </c>
      <c r="C468" s="2658" t="s">
        <v>9067</v>
      </c>
      <c r="D468" s="2659">
        <v>67.968000000000004</v>
      </c>
      <c r="E468" s="2659">
        <v>67.731999999999999</v>
      </c>
      <c r="F468" s="2659">
        <v>66.993721500000007</v>
      </c>
      <c r="G468" s="2659">
        <v>66.893721499999998</v>
      </c>
      <c r="H468" s="2659">
        <v>66.344201999999996</v>
      </c>
      <c r="I468" s="2659">
        <v>65.969684000000001</v>
      </c>
      <c r="J468" s="2659"/>
      <c r="K468" s="2659"/>
      <c r="L468" s="2659"/>
      <c r="M468" s="2659"/>
      <c r="N468" s="2659"/>
      <c r="O468" s="2659"/>
      <c r="P468" s="2659"/>
      <c r="Q468" s="2659"/>
      <c r="R468" s="2667"/>
    </row>
    <row r="469" spans="1:18">
      <c r="A469" s="2651"/>
      <c r="B469" s="2654" t="s">
        <v>9300</v>
      </c>
      <c r="C469" s="2658" t="s">
        <v>9065</v>
      </c>
      <c r="D469" s="2659">
        <v>67.974000000000004</v>
      </c>
      <c r="E469" s="2659">
        <v>67.793999999999997</v>
      </c>
      <c r="F469" s="2659">
        <v>67.324481000000006</v>
      </c>
      <c r="G469" s="2659">
        <v>67.184481000000005</v>
      </c>
      <c r="H469" s="2659">
        <v>66.891468000000003</v>
      </c>
      <c r="I469" s="2659">
        <v>66.568455999999998</v>
      </c>
      <c r="J469" s="2659"/>
      <c r="K469" s="2659" t="s">
        <v>9066</v>
      </c>
      <c r="L469" s="2659">
        <v>66.917468</v>
      </c>
      <c r="M469" s="2659">
        <v>67.153468000000004</v>
      </c>
      <c r="N469" s="2659">
        <v>67.350481000000002</v>
      </c>
      <c r="O469" s="2659">
        <v>67.540481</v>
      </c>
      <c r="P469" s="2659">
        <v>68</v>
      </c>
      <c r="Q469" s="2659">
        <v>68.334338000000002</v>
      </c>
      <c r="R469" s="2667">
        <v>64</v>
      </c>
    </row>
    <row r="470" spans="1:18">
      <c r="A470" s="2651"/>
      <c r="B470" s="2654" t="s">
        <v>9300</v>
      </c>
      <c r="C470" s="2658" t="s">
        <v>9067</v>
      </c>
      <c r="D470" s="2659">
        <v>67.974000000000004</v>
      </c>
      <c r="E470" s="2659">
        <v>67.793999999999997</v>
      </c>
      <c r="F470" s="2659">
        <v>67.324481000000006</v>
      </c>
      <c r="G470" s="2659">
        <v>67.234481000000002</v>
      </c>
      <c r="H470" s="2659">
        <v>66.891468000000003</v>
      </c>
      <c r="I470" s="2659">
        <v>66.618455999999995</v>
      </c>
      <c r="J470" s="2659"/>
      <c r="K470" s="2659"/>
      <c r="L470" s="2659"/>
      <c r="M470" s="2659"/>
      <c r="N470" s="2659"/>
      <c r="O470" s="2659"/>
      <c r="P470" s="2659"/>
      <c r="Q470" s="2659"/>
      <c r="R470" s="2667"/>
    </row>
    <row r="471" spans="1:18">
      <c r="A471" s="2651">
        <v>70</v>
      </c>
      <c r="B471" s="2654" t="s">
        <v>9301</v>
      </c>
      <c r="C471" s="2658" t="s">
        <v>9065</v>
      </c>
      <c r="D471" s="2659">
        <v>69.92</v>
      </c>
      <c r="E471" s="2659">
        <v>69.319999999999993</v>
      </c>
      <c r="F471" s="2659">
        <v>66.022886</v>
      </c>
      <c r="G471" s="2659">
        <v>65.742885999999999</v>
      </c>
      <c r="H471" s="2659">
        <v>63.424807999999999</v>
      </c>
      <c r="I471" s="2659">
        <v>62.046736000000003</v>
      </c>
      <c r="J471" s="2659"/>
      <c r="K471" s="2659" t="s">
        <v>9066</v>
      </c>
      <c r="L471" s="2659">
        <v>63.504807999999997</v>
      </c>
      <c r="M471" s="2659">
        <v>64.304807999999994</v>
      </c>
      <c r="N471" s="2659">
        <v>66.102885999999998</v>
      </c>
      <c r="O471" s="2659">
        <v>66.477885999999998</v>
      </c>
      <c r="P471" s="2659">
        <v>70</v>
      </c>
      <c r="Q471" s="2659">
        <v>71.241028</v>
      </c>
      <c r="R471" s="2667">
        <v>60</v>
      </c>
    </row>
    <row r="472" spans="1:18">
      <c r="A472" s="2651"/>
      <c r="B472" s="2654" t="s">
        <v>9301</v>
      </c>
      <c r="C472" s="2658" t="s">
        <v>9067</v>
      </c>
      <c r="D472" s="2659">
        <v>69.92</v>
      </c>
      <c r="E472" s="2659">
        <v>69.319999999999993</v>
      </c>
      <c r="F472" s="2659">
        <v>66.022886</v>
      </c>
      <c r="G472" s="2659">
        <v>65.842885999999993</v>
      </c>
      <c r="H472" s="2659">
        <v>63.424807999999999</v>
      </c>
      <c r="I472" s="2659">
        <v>62.146735999999997</v>
      </c>
      <c r="J472" s="2659"/>
      <c r="K472" s="2659"/>
      <c r="L472" s="2659"/>
      <c r="M472" s="2659"/>
      <c r="N472" s="2659"/>
      <c r="O472" s="2659"/>
      <c r="P472" s="2659"/>
      <c r="Q472" s="2659"/>
      <c r="R472" s="2667"/>
    </row>
    <row r="473" spans="1:18">
      <c r="A473" s="2651"/>
      <c r="B473" s="2654" t="s">
        <v>9302</v>
      </c>
      <c r="C473" s="2658" t="s">
        <v>9065</v>
      </c>
      <c r="D473" s="2659">
        <v>69.94</v>
      </c>
      <c r="E473" s="2659">
        <v>69.465000000000003</v>
      </c>
      <c r="F473" s="2659">
        <v>67.341924000000006</v>
      </c>
      <c r="G473" s="2659">
        <v>67.105924000000002</v>
      </c>
      <c r="H473" s="2659">
        <v>65.609871999999996</v>
      </c>
      <c r="I473" s="2659">
        <v>64.641824</v>
      </c>
      <c r="J473" s="2659"/>
      <c r="K473" s="2659" t="s">
        <v>9066</v>
      </c>
      <c r="L473" s="2659">
        <v>65.669871999999998</v>
      </c>
      <c r="M473" s="2659">
        <v>66.269872000000007</v>
      </c>
      <c r="N473" s="2659">
        <v>67.401923999999994</v>
      </c>
      <c r="O473" s="2659">
        <v>67.716924000000006</v>
      </c>
      <c r="P473" s="2659">
        <v>70</v>
      </c>
      <c r="Q473" s="2659">
        <v>70.892352000000002</v>
      </c>
      <c r="R473" s="2667">
        <v>60</v>
      </c>
    </row>
    <row r="474" spans="1:18">
      <c r="A474" s="2651"/>
      <c r="B474" s="2654" t="s">
        <v>9302</v>
      </c>
      <c r="C474" s="2658" t="s">
        <v>9067</v>
      </c>
      <c r="D474" s="2659">
        <v>69.94</v>
      </c>
      <c r="E474" s="2659">
        <v>69.465000000000003</v>
      </c>
      <c r="F474" s="2659">
        <v>67.341924000000006</v>
      </c>
      <c r="G474" s="2659">
        <v>67.191924</v>
      </c>
      <c r="H474" s="2659">
        <v>65.609871999999996</v>
      </c>
      <c r="I474" s="2659">
        <v>64.727823999999998</v>
      </c>
      <c r="J474" s="2659"/>
      <c r="K474" s="2659"/>
      <c r="L474" s="2659"/>
      <c r="M474" s="2659"/>
      <c r="N474" s="2659"/>
      <c r="O474" s="2659"/>
      <c r="P474" s="2659"/>
      <c r="Q474" s="2659"/>
      <c r="R474" s="2667"/>
    </row>
    <row r="475" spans="1:18">
      <c r="A475" s="2651"/>
      <c r="B475" s="2654" t="s">
        <v>9303</v>
      </c>
      <c r="C475" s="2658" t="s">
        <v>9065</v>
      </c>
      <c r="D475" s="2659">
        <v>69.951999999999998</v>
      </c>
      <c r="E475" s="2659">
        <v>69.576999999999998</v>
      </c>
      <c r="F475" s="2659">
        <v>68.003443000000004</v>
      </c>
      <c r="G475" s="2659">
        <v>67.791443000000001</v>
      </c>
      <c r="H475" s="2659">
        <v>66.704403999999997</v>
      </c>
      <c r="I475" s="2659">
        <v>65.943368000000007</v>
      </c>
      <c r="J475" s="2659"/>
      <c r="K475" s="2659" t="s">
        <v>9066</v>
      </c>
      <c r="L475" s="2659">
        <v>66.752403999999999</v>
      </c>
      <c r="M475" s="2659">
        <v>67.252403999999999</v>
      </c>
      <c r="N475" s="2659">
        <v>68.051443000000006</v>
      </c>
      <c r="O475" s="2659">
        <v>68.331282999999999</v>
      </c>
      <c r="P475" s="2659">
        <v>70</v>
      </c>
      <c r="Q475" s="2659">
        <v>70.712853999999993</v>
      </c>
      <c r="R475" s="2667">
        <v>64</v>
      </c>
    </row>
    <row r="476" spans="1:18">
      <c r="A476" s="2651"/>
      <c r="B476" s="2654" t="s">
        <v>9303</v>
      </c>
      <c r="C476" s="2658" t="s">
        <v>9067</v>
      </c>
      <c r="D476" s="2659">
        <v>69.951999999999998</v>
      </c>
      <c r="E476" s="2659">
        <v>69.576999999999998</v>
      </c>
      <c r="F476" s="2659">
        <v>68.003443000000004</v>
      </c>
      <c r="G476" s="2659">
        <v>67.871442999999999</v>
      </c>
      <c r="H476" s="2659">
        <v>66.704403999999997</v>
      </c>
      <c r="I476" s="2659">
        <v>66.023368000000005</v>
      </c>
      <c r="J476" s="2659"/>
      <c r="K476" s="2659"/>
      <c r="L476" s="2659"/>
      <c r="M476" s="2659"/>
      <c r="N476" s="2659"/>
      <c r="O476" s="2659"/>
      <c r="P476" s="2659"/>
      <c r="Q476" s="2659"/>
      <c r="R476" s="2667"/>
    </row>
    <row r="477" spans="1:18">
      <c r="A477" s="2651"/>
      <c r="B477" s="2654" t="s">
        <v>9304</v>
      </c>
      <c r="C477" s="2658" t="s">
        <v>9065</v>
      </c>
      <c r="D477" s="2659">
        <v>69.962000000000003</v>
      </c>
      <c r="E477" s="2659">
        <v>69.682000000000002</v>
      </c>
      <c r="F477" s="2659">
        <v>68.662961999999993</v>
      </c>
      <c r="G477" s="2659">
        <v>68.482962000000001</v>
      </c>
      <c r="H477" s="2659">
        <v>67.796936000000002</v>
      </c>
      <c r="I477" s="2659">
        <v>67.250912</v>
      </c>
      <c r="J477" s="2659"/>
      <c r="K477" s="2659" t="s">
        <v>9066</v>
      </c>
      <c r="L477" s="2659">
        <v>67.834935999999999</v>
      </c>
      <c r="M477" s="2659">
        <v>68.209935999999999</v>
      </c>
      <c r="N477" s="2659">
        <v>68.700962000000004</v>
      </c>
      <c r="O477" s="2659">
        <v>68.936961999999994</v>
      </c>
      <c r="P477" s="2659">
        <v>70</v>
      </c>
      <c r="Q477" s="2659">
        <v>70.524675999999999</v>
      </c>
      <c r="R477" s="2667">
        <v>64</v>
      </c>
    </row>
    <row r="478" spans="1:18">
      <c r="A478" s="2651"/>
      <c r="B478" s="2654" t="s">
        <v>9304</v>
      </c>
      <c r="C478" s="2658" t="s">
        <v>9067</v>
      </c>
      <c r="D478" s="2659">
        <v>69.962000000000003</v>
      </c>
      <c r="E478" s="2659">
        <v>69.682000000000002</v>
      </c>
      <c r="F478" s="2659">
        <v>68.662961999999993</v>
      </c>
      <c r="G478" s="2659">
        <v>68.550961999999998</v>
      </c>
      <c r="H478" s="2659">
        <v>67.796936000000002</v>
      </c>
      <c r="I478" s="2659">
        <v>67.318911999999997</v>
      </c>
      <c r="J478" s="2659"/>
      <c r="K478" s="2659"/>
      <c r="L478" s="2659"/>
      <c r="M478" s="2659"/>
      <c r="N478" s="2659"/>
      <c r="O478" s="2659"/>
      <c r="P478" s="2659"/>
      <c r="Q478" s="2659"/>
      <c r="R478" s="2667"/>
    </row>
    <row r="479" spans="1:18">
      <c r="A479" s="2651"/>
      <c r="B479" s="2658" t="s">
        <v>9305</v>
      </c>
      <c r="C479" s="2658" t="s">
        <v>9065</v>
      </c>
      <c r="D479" s="2659">
        <v>69.968000000000004</v>
      </c>
      <c r="E479" s="2659">
        <v>69.731999999999999</v>
      </c>
      <c r="F479" s="2659">
        <v>68.994</v>
      </c>
      <c r="G479" s="2659">
        <v>68.834000000000003</v>
      </c>
      <c r="H479" s="2659">
        <v>68.343999999999994</v>
      </c>
      <c r="I479" s="2659">
        <v>67.91</v>
      </c>
      <c r="J479" s="2659"/>
      <c r="K479" s="2659" t="s">
        <v>9066</v>
      </c>
      <c r="L479" s="2659">
        <v>68.376000000000005</v>
      </c>
      <c r="M479" s="2659">
        <v>68.676000000000002</v>
      </c>
      <c r="N479" s="2659">
        <v>69.025999999999996</v>
      </c>
      <c r="O479" s="2659">
        <v>69.238</v>
      </c>
      <c r="P479" s="2659">
        <v>70</v>
      </c>
      <c r="Q479" s="2659">
        <v>70.427999999999997</v>
      </c>
      <c r="R479" s="2667">
        <v>64</v>
      </c>
    </row>
    <row r="480" spans="1:18">
      <c r="A480" s="2651"/>
      <c r="B480" s="2658" t="s">
        <v>9305</v>
      </c>
      <c r="C480" s="2658" t="s">
        <v>9067</v>
      </c>
      <c r="D480" s="2659">
        <v>69.968000000000004</v>
      </c>
      <c r="E480" s="2659">
        <v>69.731999999999999</v>
      </c>
      <c r="F480" s="2659">
        <v>68.994</v>
      </c>
      <c r="G480" s="2659">
        <v>68.894000000000005</v>
      </c>
      <c r="H480" s="2659">
        <v>68.343999999999994</v>
      </c>
      <c r="I480" s="2659">
        <v>67.97</v>
      </c>
      <c r="J480" s="2659"/>
      <c r="K480" s="2659"/>
      <c r="L480" s="2659"/>
      <c r="M480" s="2659"/>
      <c r="N480" s="2659"/>
      <c r="O480" s="2659"/>
      <c r="P480" s="2659"/>
      <c r="Q480" s="2659"/>
      <c r="R480" s="2667"/>
    </row>
    <row r="481" spans="1:18">
      <c r="A481" s="2651">
        <v>72</v>
      </c>
      <c r="B481" s="2658" t="s">
        <v>9306</v>
      </c>
      <c r="C481" s="2658" t="s">
        <v>9065</v>
      </c>
      <c r="D481" s="2659">
        <v>71.92</v>
      </c>
      <c r="E481" s="2659">
        <v>71.319999999999993</v>
      </c>
      <c r="F481" s="2659">
        <v>68.022999999999996</v>
      </c>
      <c r="G481" s="2659">
        <v>67.742999999999995</v>
      </c>
      <c r="H481" s="2659">
        <v>65.424999999999997</v>
      </c>
      <c r="I481" s="2659">
        <v>64.046999999999997</v>
      </c>
      <c r="J481" s="2659"/>
      <c r="K481" s="2659" t="s">
        <v>9066</v>
      </c>
      <c r="L481" s="2659">
        <v>65.504999999999995</v>
      </c>
      <c r="M481" s="2659">
        <v>66.305000000000007</v>
      </c>
      <c r="N481" s="2659">
        <v>68.102999999999994</v>
      </c>
      <c r="O481" s="2659">
        <v>68.477999999999994</v>
      </c>
      <c r="P481" s="2659">
        <v>72</v>
      </c>
      <c r="Q481" s="2659">
        <v>73.241</v>
      </c>
      <c r="R481" s="2667">
        <v>65</v>
      </c>
    </row>
    <row r="482" spans="1:18">
      <c r="A482" s="2651"/>
      <c r="B482" s="2658" t="s">
        <v>9306</v>
      </c>
      <c r="C482" s="2658" t="s">
        <v>9067</v>
      </c>
      <c r="D482" s="2659">
        <v>71.92</v>
      </c>
      <c r="E482" s="2659">
        <v>71.319999999999993</v>
      </c>
      <c r="F482" s="2659">
        <v>68.022999999999996</v>
      </c>
      <c r="G482" s="2659">
        <v>67.843000000000004</v>
      </c>
      <c r="H482" s="2659">
        <v>65.424999999999997</v>
      </c>
      <c r="I482" s="2659">
        <v>64.147000000000006</v>
      </c>
      <c r="J482" s="2659"/>
      <c r="K482" s="2659"/>
      <c r="L482" s="2659"/>
      <c r="M482" s="2659"/>
      <c r="N482" s="2659"/>
      <c r="O482" s="2659"/>
      <c r="P482" s="2659"/>
      <c r="Q482" s="2659"/>
      <c r="R482" s="2667"/>
    </row>
    <row r="483" spans="1:18">
      <c r="A483" s="2651"/>
      <c r="B483" s="2654" t="s">
        <v>9307</v>
      </c>
      <c r="C483" s="2658" t="s">
        <v>9065</v>
      </c>
      <c r="D483" s="2659">
        <v>71.94</v>
      </c>
      <c r="E483" s="2659">
        <v>71.465000000000003</v>
      </c>
      <c r="F483" s="2659">
        <v>69.341924000000006</v>
      </c>
      <c r="G483" s="2659">
        <v>69.105924000000002</v>
      </c>
      <c r="H483" s="2659">
        <v>67.609871999999996</v>
      </c>
      <c r="I483" s="2659">
        <v>66.641824</v>
      </c>
      <c r="J483" s="2659"/>
      <c r="K483" s="2659" t="s">
        <v>9066</v>
      </c>
      <c r="L483" s="2659">
        <v>67.669871999999998</v>
      </c>
      <c r="M483" s="2659">
        <v>68.269872000000007</v>
      </c>
      <c r="N483" s="2659">
        <v>69.401923999999994</v>
      </c>
      <c r="O483" s="2659">
        <v>69.716924000000006</v>
      </c>
      <c r="P483" s="2659">
        <v>72</v>
      </c>
      <c r="Q483" s="2659">
        <v>72.892352000000002</v>
      </c>
      <c r="R483" s="2667">
        <v>64</v>
      </c>
    </row>
    <row r="484" spans="1:18">
      <c r="A484" s="2651"/>
      <c r="B484" s="2654" t="s">
        <v>9307</v>
      </c>
      <c r="C484" s="2658" t="s">
        <v>9067</v>
      </c>
      <c r="D484" s="2659">
        <v>71.94</v>
      </c>
      <c r="E484" s="2659">
        <v>71.465000000000003</v>
      </c>
      <c r="F484" s="2659">
        <v>69.341924000000006</v>
      </c>
      <c r="G484" s="2659">
        <v>69.191924</v>
      </c>
      <c r="H484" s="2659">
        <v>67.609871999999996</v>
      </c>
      <c r="I484" s="2659">
        <v>66.727823999999998</v>
      </c>
      <c r="J484" s="2659"/>
      <c r="K484" s="2659"/>
      <c r="L484" s="2659"/>
      <c r="M484" s="2659"/>
      <c r="N484" s="2659"/>
      <c r="O484" s="2659"/>
      <c r="P484" s="2659"/>
      <c r="Q484" s="2659"/>
      <c r="R484" s="2667"/>
    </row>
    <row r="485" spans="1:18">
      <c r="A485" s="2651"/>
      <c r="B485" s="2654" t="s">
        <v>9308</v>
      </c>
      <c r="C485" s="2658" t="s">
        <v>9065</v>
      </c>
      <c r="D485" s="2659">
        <v>71.951999999999998</v>
      </c>
      <c r="E485" s="2659">
        <v>71.576999999999998</v>
      </c>
      <c r="F485" s="2659">
        <v>70.003443000000004</v>
      </c>
      <c r="G485" s="2659">
        <v>69.791443000000001</v>
      </c>
      <c r="H485" s="2659">
        <v>68.704403999999997</v>
      </c>
      <c r="I485" s="2659">
        <v>67.943368000000007</v>
      </c>
      <c r="J485" s="2659"/>
      <c r="K485" s="2659" t="s">
        <v>9066</v>
      </c>
      <c r="L485" s="2659">
        <v>68.752403999999999</v>
      </c>
      <c r="M485" s="2659">
        <v>69.252403999999999</v>
      </c>
      <c r="N485" s="2659">
        <v>70.051443000000006</v>
      </c>
      <c r="O485" s="2659">
        <v>70.331282999999999</v>
      </c>
      <c r="P485" s="2659">
        <v>72</v>
      </c>
      <c r="Q485" s="2659">
        <v>72.712853999999993</v>
      </c>
      <c r="R485" s="2667">
        <v>65</v>
      </c>
    </row>
    <row r="486" spans="1:18">
      <c r="A486" s="2651"/>
      <c r="B486" s="2654" t="s">
        <v>9308</v>
      </c>
      <c r="C486" s="2658" t="s">
        <v>9067</v>
      </c>
      <c r="D486" s="2659">
        <v>71.951999999999998</v>
      </c>
      <c r="E486" s="2659">
        <v>71.576999999999998</v>
      </c>
      <c r="F486" s="2659">
        <v>70.003443000000004</v>
      </c>
      <c r="G486" s="2659">
        <v>69.871442999999999</v>
      </c>
      <c r="H486" s="2659">
        <v>68.704403999999997</v>
      </c>
      <c r="I486" s="2659">
        <v>68.023368000000005</v>
      </c>
      <c r="J486" s="2659"/>
      <c r="K486" s="2659"/>
      <c r="L486" s="2659"/>
      <c r="M486" s="2659"/>
      <c r="N486" s="2659"/>
      <c r="O486" s="2659"/>
      <c r="P486" s="2659"/>
      <c r="Q486" s="2659"/>
      <c r="R486" s="2667"/>
    </row>
    <row r="487" spans="1:18">
      <c r="A487" s="2651"/>
      <c r="B487" s="2658" t="s">
        <v>9309</v>
      </c>
      <c r="C487" s="2658" t="s">
        <v>9065</v>
      </c>
      <c r="D487" s="2659">
        <v>71.962000000000003</v>
      </c>
      <c r="E487" s="2659">
        <v>71.682000000000002</v>
      </c>
      <c r="F487" s="2659">
        <v>70.662999999999997</v>
      </c>
      <c r="G487" s="2659">
        <v>70.483000000000004</v>
      </c>
      <c r="H487" s="2659">
        <v>69.796999999999997</v>
      </c>
      <c r="I487" s="2659">
        <v>69.251000000000005</v>
      </c>
      <c r="J487" s="2659"/>
      <c r="K487" s="2659" t="s">
        <v>9066</v>
      </c>
      <c r="L487" s="2659">
        <v>69.834999999999994</v>
      </c>
      <c r="M487" s="2659">
        <v>70.209999999999994</v>
      </c>
      <c r="N487" s="2659">
        <v>70.700999999999993</v>
      </c>
      <c r="O487" s="2659">
        <v>70.936999999999998</v>
      </c>
      <c r="P487" s="2659">
        <v>72</v>
      </c>
      <c r="Q487" s="2659">
        <v>72.525000000000006</v>
      </c>
      <c r="R487" s="2667">
        <v>65</v>
      </c>
    </row>
    <row r="488" spans="1:18">
      <c r="A488" s="2651"/>
      <c r="B488" s="2658" t="s">
        <v>9309</v>
      </c>
      <c r="C488" s="2658" t="s">
        <v>9067</v>
      </c>
      <c r="D488" s="2659">
        <v>71.962000000000003</v>
      </c>
      <c r="E488" s="2659">
        <v>71.682000000000002</v>
      </c>
      <c r="F488" s="2659">
        <v>70.662999999999997</v>
      </c>
      <c r="G488" s="2659">
        <v>70.551000000000002</v>
      </c>
      <c r="H488" s="2659">
        <v>69.796999999999997</v>
      </c>
      <c r="I488" s="2659">
        <v>69.319000000000003</v>
      </c>
      <c r="J488" s="2659"/>
      <c r="K488" s="2659"/>
      <c r="L488" s="2659"/>
      <c r="M488" s="2659"/>
      <c r="N488" s="2659"/>
      <c r="O488" s="2659"/>
      <c r="P488" s="2659"/>
      <c r="Q488" s="2659"/>
      <c r="R488" s="2667"/>
    </row>
    <row r="489" spans="1:18">
      <c r="A489" s="2651"/>
      <c r="B489" s="2654" t="s">
        <v>9310</v>
      </c>
      <c r="C489" s="2658" t="s">
        <v>9065</v>
      </c>
      <c r="D489" s="2659">
        <v>71.968000000000004</v>
      </c>
      <c r="E489" s="2659">
        <v>71.731999999999999</v>
      </c>
      <c r="F489" s="2659">
        <v>70.993721500000007</v>
      </c>
      <c r="G489" s="2659">
        <v>70.833721499999996</v>
      </c>
      <c r="H489" s="2659">
        <v>70.344201999999996</v>
      </c>
      <c r="I489" s="2659">
        <v>69.909683999999999</v>
      </c>
      <c r="J489" s="2659"/>
      <c r="K489" s="2659" t="s">
        <v>9066</v>
      </c>
      <c r="L489" s="2659">
        <v>70.376202000000006</v>
      </c>
      <c r="M489" s="2659">
        <v>70.676202000000004</v>
      </c>
      <c r="N489" s="2659">
        <v>71.025721500000003</v>
      </c>
      <c r="O489" s="2659">
        <v>71.237721500000006</v>
      </c>
      <c r="P489" s="2659">
        <v>72</v>
      </c>
      <c r="Q489" s="2659">
        <v>72.428506999999996</v>
      </c>
      <c r="R489" s="2667">
        <v>68</v>
      </c>
    </row>
    <row r="490" spans="1:18">
      <c r="A490" s="2651"/>
      <c r="B490" s="2654" t="s">
        <v>9310</v>
      </c>
      <c r="C490" s="2658" t="s">
        <v>9067</v>
      </c>
      <c r="D490" s="2659">
        <v>71.968000000000004</v>
      </c>
      <c r="E490" s="2659">
        <v>71.731999999999999</v>
      </c>
      <c r="F490" s="2659">
        <v>70.993721500000007</v>
      </c>
      <c r="G490" s="2659">
        <v>70.893721499999998</v>
      </c>
      <c r="H490" s="2659">
        <v>70.344201999999996</v>
      </c>
      <c r="I490" s="2659">
        <v>69.969684000000001</v>
      </c>
      <c r="J490" s="2659"/>
      <c r="K490" s="2659"/>
      <c r="L490" s="2659"/>
      <c r="M490" s="2659"/>
      <c r="N490" s="2659"/>
      <c r="O490" s="2659"/>
      <c r="P490" s="2659"/>
      <c r="Q490" s="2659"/>
      <c r="R490" s="2667"/>
    </row>
    <row r="491" spans="1:18">
      <c r="A491" s="2651"/>
      <c r="B491" s="2654" t="s">
        <v>9311</v>
      </c>
      <c r="C491" s="2658" t="s">
        <v>9065</v>
      </c>
      <c r="D491" s="2659">
        <v>71.974000000000004</v>
      </c>
      <c r="E491" s="2659">
        <v>71.793999999999997</v>
      </c>
      <c r="F491" s="2659">
        <v>71.324481000000006</v>
      </c>
      <c r="G491" s="2659">
        <v>71.184481000000005</v>
      </c>
      <c r="H491" s="2659">
        <v>70.891468000000003</v>
      </c>
      <c r="I491" s="2659">
        <v>70.568455999999998</v>
      </c>
      <c r="J491" s="2659"/>
      <c r="K491" s="2659" t="s">
        <v>9066</v>
      </c>
      <c r="L491" s="2659">
        <v>70.917468</v>
      </c>
      <c r="M491" s="2659">
        <v>71.153468000000004</v>
      </c>
      <c r="N491" s="2659">
        <v>71.350481000000002</v>
      </c>
      <c r="O491" s="2659">
        <v>71.540481</v>
      </c>
      <c r="P491" s="2659">
        <v>72</v>
      </c>
      <c r="Q491" s="2659">
        <v>72.334338000000002</v>
      </c>
      <c r="R491" s="2667">
        <v>68</v>
      </c>
    </row>
    <row r="492" spans="1:18">
      <c r="A492" s="2651"/>
      <c r="B492" s="2654" t="s">
        <v>9311</v>
      </c>
      <c r="C492" s="2658" t="s">
        <v>9067</v>
      </c>
      <c r="D492" s="2659">
        <v>71.974000000000004</v>
      </c>
      <c r="E492" s="2659">
        <v>71.793999999999997</v>
      </c>
      <c r="F492" s="2659">
        <v>71.324481000000006</v>
      </c>
      <c r="G492" s="2659">
        <v>71.234481000000002</v>
      </c>
      <c r="H492" s="2659">
        <v>70.891468000000003</v>
      </c>
      <c r="I492" s="2659">
        <v>70.618455999999995</v>
      </c>
      <c r="J492" s="2659"/>
      <c r="K492" s="2659"/>
      <c r="L492" s="2659"/>
      <c r="M492" s="2659"/>
      <c r="N492" s="2659"/>
      <c r="O492" s="2659"/>
      <c r="P492" s="2659"/>
      <c r="Q492" s="2659"/>
      <c r="R492" s="2667"/>
    </row>
    <row r="493" spans="1:18">
      <c r="A493" s="2651">
        <v>75</v>
      </c>
      <c r="B493" s="2654" t="s">
        <v>9312</v>
      </c>
      <c r="C493" s="2658" t="s">
        <v>9065</v>
      </c>
      <c r="D493" s="2659">
        <v>74.92</v>
      </c>
      <c r="E493" s="2659">
        <v>74.319999999999993</v>
      </c>
      <c r="F493" s="2659">
        <v>71.022886</v>
      </c>
      <c r="G493" s="2659">
        <v>70.742885999999999</v>
      </c>
      <c r="H493" s="2659">
        <v>68.424807999999999</v>
      </c>
      <c r="I493" s="2659">
        <v>67.046735999999996</v>
      </c>
      <c r="J493" s="2659"/>
      <c r="K493" s="2659" t="s">
        <v>9066</v>
      </c>
      <c r="L493" s="2659">
        <v>68.504807999999997</v>
      </c>
      <c r="M493" s="2659">
        <v>69.304807999999994</v>
      </c>
      <c r="N493" s="2659">
        <v>71.102885999999998</v>
      </c>
      <c r="O493" s="2659">
        <v>71.477885999999998</v>
      </c>
      <c r="P493" s="2659">
        <v>75</v>
      </c>
      <c r="Q493" s="2659">
        <v>76.241028</v>
      </c>
      <c r="R493" s="2667">
        <v>65</v>
      </c>
    </row>
    <row r="494" spans="1:18">
      <c r="A494" s="2651"/>
      <c r="B494" s="2654" t="s">
        <v>9312</v>
      </c>
      <c r="C494" s="2658" t="s">
        <v>9067</v>
      </c>
      <c r="D494" s="2659">
        <v>74.92</v>
      </c>
      <c r="E494" s="2659">
        <v>74.319999999999993</v>
      </c>
      <c r="F494" s="2659">
        <v>71.022886</v>
      </c>
      <c r="G494" s="2659">
        <v>70.842885999999993</v>
      </c>
      <c r="H494" s="2659">
        <v>68.424807999999999</v>
      </c>
      <c r="I494" s="2659">
        <v>67.146736000000004</v>
      </c>
      <c r="J494" s="2659"/>
      <c r="K494" s="2659"/>
      <c r="L494" s="2659"/>
      <c r="M494" s="2659"/>
      <c r="N494" s="2659"/>
      <c r="O494" s="2659"/>
      <c r="P494" s="2659"/>
      <c r="Q494" s="2659"/>
      <c r="R494" s="2667"/>
    </row>
    <row r="495" spans="1:18">
      <c r="A495" s="2651"/>
      <c r="B495" s="2654" t="s">
        <v>9313</v>
      </c>
      <c r="C495" s="2658" t="s">
        <v>9065</v>
      </c>
      <c r="D495" s="2659">
        <v>74.94</v>
      </c>
      <c r="E495" s="2659">
        <v>74.465000000000003</v>
      </c>
      <c r="F495" s="2659">
        <v>72.341924000000006</v>
      </c>
      <c r="G495" s="2659">
        <v>72.105924000000002</v>
      </c>
      <c r="H495" s="2659">
        <v>70.609871999999996</v>
      </c>
      <c r="I495" s="2659">
        <v>69.641824</v>
      </c>
      <c r="J495" s="2659"/>
      <c r="K495" s="2659" t="s">
        <v>9066</v>
      </c>
      <c r="L495" s="2659">
        <v>70.669871999999998</v>
      </c>
      <c r="M495" s="2659">
        <v>71.269872000000007</v>
      </c>
      <c r="N495" s="2659">
        <v>72.401923999999994</v>
      </c>
      <c r="O495" s="2659">
        <v>72.716924000000006</v>
      </c>
      <c r="P495" s="2659">
        <v>75</v>
      </c>
      <c r="Q495" s="2659">
        <v>75.892352000000002</v>
      </c>
      <c r="R495" s="2667">
        <v>65</v>
      </c>
    </row>
    <row r="496" spans="1:18">
      <c r="A496" s="2651"/>
      <c r="B496" s="2654" t="s">
        <v>9313</v>
      </c>
      <c r="C496" s="2658" t="s">
        <v>9067</v>
      </c>
      <c r="D496" s="2659">
        <v>74.94</v>
      </c>
      <c r="E496" s="2659">
        <v>74.465000000000003</v>
      </c>
      <c r="F496" s="2659">
        <v>72.341924000000006</v>
      </c>
      <c r="G496" s="2659">
        <v>72.191924</v>
      </c>
      <c r="H496" s="2659">
        <v>70.609871999999996</v>
      </c>
      <c r="I496" s="2659">
        <v>69.727823999999998</v>
      </c>
      <c r="J496" s="2659"/>
      <c r="K496" s="2659"/>
      <c r="L496" s="2659"/>
      <c r="M496" s="2659"/>
      <c r="N496" s="2659"/>
      <c r="O496" s="2659"/>
      <c r="P496" s="2659"/>
      <c r="Q496" s="2659"/>
      <c r="R496" s="2667"/>
    </row>
    <row r="497" spans="1:18">
      <c r="A497" s="2651"/>
      <c r="B497" s="2654" t="s">
        <v>9314</v>
      </c>
      <c r="C497" s="2658" t="s">
        <v>9065</v>
      </c>
      <c r="D497" s="2659">
        <v>74.951999999999998</v>
      </c>
      <c r="E497" s="2659">
        <v>74.576999999999998</v>
      </c>
      <c r="F497" s="2659">
        <v>73.003443000000004</v>
      </c>
      <c r="G497" s="2659">
        <v>72.791443000000001</v>
      </c>
      <c r="H497" s="2659">
        <v>71.704403999999997</v>
      </c>
      <c r="I497" s="2659">
        <v>70.943368000000007</v>
      </c>
      <c r="J497" s="2659"/>
      <c r="K497" s="2659" t="s">
        <v>9066</v>
      </c>
      <c r="L497" s="2659">
        <v>71.752403999999999</v>
      </c>
      <c r="M497" s="2659">
        <v>72.252403999999999</v>
      </c>
      <c r="N497" s="2659">
        <v>73.051443000000006</v>
      </c>
      <c r="O497" s="2659">
        <v>73.331282999999999</v>
      </c>
      <c r="P497" s="2659">
        <v>75</v>
      </c>
      <c r="Q497" s="2659">
        <v>75.712853999999993</v>
      </c>
      <c r="R497" s="2667">
        <v>68</v>
      </c>
    </row>
    <row r="498" spans="1:18">
      <c r="A498" s="2651"/>
      <c r="B498" s="2654" t="s">
        <v>9314</v>
      </c>
      <c r="C498" s="2658" t="s">
        <v>9067</v>
      </c>
      <c r="D498" s="2659">
        <v>74.951999999999998</v>
      </c>
      <c r="E498" s="2659">
        <v>74.576999999999998</v>
      </c>
      <c r="F498" s="2659">
        <v>73.003443000000004</v>
      </c>
      <c r="G498" s="2659">
        <v>72.871442999999999</v>
      </c>
      <c r="H498" s="2659">
        <v>71.704403999999997</v>
      </c>
      <c r="I498" s="2659">
        <v>71.023368000000005</v>
      </c>
      <c r="J498" s="2659"/>
      <c r="K498" s="2659"/>
      <c r="L498" s="2659"/>
      <c r="M498" s="2659"/>
      <c r="N498" s="2659"/>
      <c r="O498" s="2659"/>
      <c r="P498" s="2659"/>
      <c r="Q498" s="2659"/>
      <c r="R498" s="2667"/>
    </row>
    <row r="499" spans="1:18">
      <c r="A499" s="2651"/>
      <c r="B499" s="2654" t="s">
        <v>9315</v>
      </c>
      <c r="C499" s="2658" t="s">
        <v>9065</v>
      </c>
      <c r="D499" s="2659">
        <v>74.962000000000003</v>
      </c>
      <c r="E499" s="2659">
        <v>74.682000000000002</v>
      </c>
      <c r="F499" s="2659">
        <v>73.662961999999993</v>
      </c>
      <c r="G499" s="2659">
        <v>73.482962000000001</v>
      </c>
      <c r="H499" s="2659">
        <v>72.796936000000002</v>
      </c>
      <c r="I499" s="2659">
        <v>72.250912</v>
      </c>
      <c r="J499" s="2659"/>
      <c r="K499" s="2659" t="s">
        <v>9066</v>
      </c>
      <c r="L499" s="2659">
        <v>72.834935999999999</v>
      </c>
      <c r="M499" s="2659">
        <v>73.209935999999999</v>
      </c>
      <c r="N499" s="2659">
        <v>73.700962000000004</v>
      </c>
      <c r="O499" s="2659">
        <v>73.936961999999994</v>
      </c>
      <c r="P499" s="2659">
        <v>75</v>
      </c>
      <c r="Q499" s="2659">
        <v>75.524675999999999</v>
      </c>
      <c r="R499" s="2667">
        <v>68</v>
      </c>
    </row>
    <row r="500" spans="1:18">
      <c r="A500" s="2651"/>
      <c r="B500" s="2654" t="s">
        <v>9315</v>
      </c>
      <c r="C500" s="2658" t="s">
        <v>9067</v>
      </c>
      <c r="D500" s="2659">
        <v>74.962000000000003</v>
      </c>
      <c r="E500" s="2659">
        <v>74.682000000000002</v>
      </c>
      <c r="F500" s="2659">
        <v>73.662961999999993</v>
      </c>
      <c r="G500" s="2659">
        <v>73.550961999999998</v>
      </c>
      <c r="H500" s="2659">
        <v>72.796936000000002</v>
      </c>
      <c r="I500" s="2659">
        <v>72.318911999999997</v>
      </c>
      <c r="J500" s="2659"/>
      <c r="K500" s="2659"/>
      <c r="L500" s="2659"/>
      <c r="M500" s="2659"/>
      <c r="N500" s="2659"/>
      <c r="O500" s="2659"/>
      <c r="P500" s="2659"/>
      <c r="Q500" s="2659"/>
      <c r="R500" s="2667"/>
    </row>
    <row r="501" spans="1:18">
      <c r="A501" s="2651"/>
      <c r="B501" s="2658" t="s">
        <v>9316</v>
      </c>
      <c r="C501" s="2658" t="s">
        <v>9065</v>
      </c>
      <c r="D501" s="2659">
        <v>74.968000000000004</v>
      </c>
      <c r="E501" s="2659">
        <v>74.731999999999999</v>
      </c>
      <c r="F501" s="2659">
        <v>73.994</v>
      </c>
      <c r="G501" s="2659">
        <v>73.834000000000003</v>
      </c>
      <c r="H501" s="2659">
        <v>73.343999999999994</v>
      </c>
      <c r="I501" s="2659">
        <v>72.91</v>
      </c>
      <c r="J501" s="2659"/>
      <c r="K501" s="2659" t="s">
        <v>9066</v>
      </c>
      <c r="L501" s="2659">
        <v>73.376000000000005</v>
      </c>
      <c r="M501" s="2659">
        <v>73.676000000000002</v>
      </c>
      <c r="N501" s="2659">
        <v>74.025999999999996</v>
      </c>
      <c r="O501" s="2659">
        <v>74.238</v>
      </c>
      <c r="P501" s="2659">
        <v>75</v>
      </c>
      <c r="Q501" s="2659">
        <v>75.427999999999997</v>
      </c>
      <c r="R501" s="2667">
        <v>68</v>
      </c>
    </row>
    <row r="502" spans="1:18">
      <c r="A502" s="2651"/>
      <c r="B502" s="2658" t="s">
        <v>9316</v>
      </c>
      <c r="C502" s="2658" t="s">
        <v>9067</v>
      </c>
      <c r="D502" s="2659">
        <v>74.968000000000004</v>
      </c>
      <c r="E502" s="2659">
        <v>74.731999999999999</v>
      </c>
      <c r="F502" s="2659">
        <v>73.994</v>
      </c>
      <c r="G502" s="2659">
        <v>73.894000000000005</v>
      </c>
      <c r="H502" s="2659">
        <v>73.343999999999994</v>
      </c>
      <c r="I502" s="2659">
        <v>72.97</v>
      </c>
      <c r="J502" s="2659"/>
      <c r="K502" s="2659"/>
      <c r="L502" s="2659"/>
      <c r="M502" s="2659"/>
      <c r="N502" s="2659"/>
      <c r="O502" s="2659"/>
      <c r="P502" s="2659"/>
      <c r="Q502" s="2659"/>
      <c r="R502" s="2667"/>
    </row>
    <row r="503" spans="1:18">
      <c r="A503" s="2651">
        <v>76</v>
      </c>
      <c r="B503" s="2654" t="s">
        <v>9317</v>
      </c>
      <c r="C503" s="2658" t="s">
        <v>9065</v>
      </c>
      <c r="D503" s="2659">
        <v>75.92</v>
      </c>
      <c r="E503" s="2659">
        <v>75.319999999999993</v>
      </c>
      <c r="F503" s="2659">
        <v>72.022886</v>
      </c>
      <c r="G503" s="2659">
        <v>71.742885999999999</v>
      </c>
      <c r="H503" s="2659">
        <v>69.424807999999999</v>
      </c>
      <c r="I503" s="2659">
        <v>68.046735999999996</v>
      </c>
      <c r="J503" s="2659"/>
      <c r="K503" s="2659" t="s">
        <v>9066</v>
      </c>
      <c r="L503" s="2659">
        <v>69.504807999999997</v>
      </c>
      <c r="M503" s="2659">
        <v>70.304807999999994</v>
      </c>
      <c r="N503" s="2659">
        <v>72.102885999999998</v>
      </c>
      <c r="O503" s="2659">
        <v>72.477885999999998</v>
      </c>
      <c r="P503" s="2659">
        <v>76</v>
      </c>
      <c r="Q503" s="2659">
        <v>77.241028</v>
      </c>
      <c r="R503" s="2667">
        <v>65</v>
      </c>
    </row>
    <row r="504" spans="1:18">
      <c r="A504" s="2651"/>
      <c r="B504" s="2654" t="s">
        <v>9317</v>
      </c>
      <c r="C504" s="2658" t="s">
        <v>9067</v>
      </c>
      <c r="D504" s="2659">
        <v>75.92</v>
      </c>
      <c r="E504" s="2659">
        <v>75.319999999999993</v>
      </c>
      <c r="F504" s="2659">
        <v>72.022886</v>
      </c>
      <c r="G504" s="2659">
        <v>71.842885999999993</v>
      </c>
      <c r="H504" s="2659">
        <v>69.424807999999999</v>
      </c>
      <c r="I504" s="2659">
        <v>68.146736000000004</v>
      </c>
      <c r="J504" s="2659"/>
      <c r="K504" s="2659"/>
      <c r="L504" s="2659"/>
      <c r="M504" s="2659"/>
      <c r="N504" s="2659"/>
      <c r="O504" s="2659"/>
      <c r="P504" s="2659"/>
      <c r="Q504" s="2659"/>
      <c r="R504" s="2667"/>
    </row>
    <row r="505" spans="1:18">
      <c r="A505" s="2651"/>
      <c r="B505" s="2654" t="s">
        <v>9318</v>
      </c>
      <c r="C505" s="2658" t="s">
        <v>9065</v>
      </c>
      <c r="D505" s="2659">
        <v>75.94</v>
      </c>
      <c r="E505" s="2659">
        <v>75.465000000000003</v>
      </c>
      <c r="F505" s="2659">
        <v>73.341924000000006</v>
      </c>
      <c r="G505" s="2659">
        <v>73.105924000000002</v>
      </c>
      <c r="H505" s="2659">
        <v>71.609871999999996</v>
      </c>
      <c r="I505" s="2659">
        <v>70.641824</v>
      </c>
      <c r="J505" s="2659"/>
      <c r="K505" s="2659" t="s">
        <v>9066</v>
      </c>
      <c r="L505" s="2659">
        <v>71.669871999999998</v>
      </c>
      <c r="M505" s="2659">
        <v>72.269872000000007</v>
      </c>
      <c r="N505" s="2659">
        <v>73.401923999999994</v>
      </c>
      <c r="O505" s="2659">
        <v>73.716924000000006</v>
      </c>
      <c r="P505" s="2659">
        <v>76</v>
      </c>
      <c r="Q505" s="2659">
        <v>76.892352000000002</v>
      </c>
      <c r="R505" s="2667">
        <v>68</v>
      </c>
    </row>
    <row r="506" spans="1:18">
      <c r="A506" s="2651"/>
      <c r="B506" s="2654" t="s">
        <v>9318</v>
      </c>
      <c r="C506" s="2658" t="s">
        <v>9067</v>
      </c>
      <c r="D506" s="2659">
        <v>75.94</v>
      </c>
      <c r="E506" s="2659">
        <v>75.465000000000003</v>
      </c>
      <c r="F506" s="2659">
        <v>73.341924000000006</v>
      </c>
      <c r="G506" s="2659">
        <v>73.191924</v>
      </c>
      <c r="H506" s="2659">
        <v>71.609871999999996</v>
      </c>
      <c r="I506" s="2659">
        <v>70.727823999999998</v>
      </c>
      <c r="J506" s="2659"/>
      <c r="K506" s="2659"/>
      <c r="L506" s="2659"/>
      <c r="M506" s="2659"/>
      <c r="N506" s="2659"/>
      <c r="O506" s="2659"/>
      <c r="P506" s="2659"/>
      <c r="Q506" s="2659"/>
      <c r="R506" s="2667"/>
    </row>
    <row r="507" spans="1:18">
      <c r="A507" s="2651"/>
      <c r="B507" s="2654" t="s">
        <v>9319</v>
      </c>
      <c r="C507" s="2658" t="s">
        <v>9065</v>
      </c>
      <c r="D507" s="2659">
        <v>75.951999999999998</v>
      </c>
      <c r="E507" s="2659">
        <v>75.576999999999998</v>
      </c>
      <c r="F507" s="2659">
        <v>74.003443000000004</v>
      </c>
      <c r="G507" s="2659">
        <v>73.791443000000001</v>
      </c>
      <c r="H507" s="2659">
        <v>72.704403999999997</v>
      </c>
      <c r="I507" s="2659">
        <v>71.943368000000007</v>
      </c>
      <c r="J507" s="2659"/>
      <c r="K507" s="2659" t="s">
        <v>9066</v>
      </c>
      <c r="L507" s="2659">
        <v>72.752403999999999</v>
      </c>
      <c r="M507" s="2659">
        <v>73.252403999999999</v>
      </c>
      <c r="N507" s="2659">
        <v>74.051443000000006</v>
      </c>
      <c r="O507" s="2659">
        <v>74.331282999999999</v>
      </c>
      <c r="P507" s="2659">
        <v>76</v>
      </c>
      <c r="Q507" s="2659">
        <v>76.712853999999993</v>
      </c>
      <c r="R507" s="2667">
        <v>68</v>
      </c>
    </row>
    <row r="508" spans="1:18">
      <c r="A508" s="2651"/>
      <c r="B508" s="2654" t="s">
        <v>9319</v>
      </c>
      <c r="C508" s="2658" t="s">
        <v>9067</v>
      </c>
      <c r="D508" s="2659">
        <v>75.951999999999998</v>
      </c>
      <c r="E508" s="2659">
        <v>75.576999999999998</v>
      </c>
      <c r="F508" s="2659">
        <v>74.003443000000004</v>
      </c>
      <c r="G508" s="2659">
        <v>73.871442999999999</v>
      </c>
      <c r="H508" s="2659">
        <v>72.704403999999997</v>
      </c>
      <c r="I508" s="2659">
        <v>72.023368000000005</v>
      </c>
      <c r="J508" s="2659"/>
      <c r="K508" s="2659"/>
      <c r="L508" s="2659"/>
      <c r="M508" s="2659"/>
      <c r="N508" s="2659"/>
      <c r="O508" s="2659"/>
      <c r="P508" s="2659"/>
      <c r="Q508" s="2659"/>
      <c r="R508" s="2667"/>
    </row>
    <row r="509" spans="1:18">
      <c r="A509" s="2651"/>
      <c r="B509" s="2654" t="s">
        <v>9320</v>
      </c>
      <c r="C509" s="2658" t="s">
        <v>9065</v>
      </c>
      <c r="D509" s="2659">
        <v>75.962000000000003</v>
      </c>
      <c r="E509" s="2659">
        <v>75.682000000000002</v>
      </c>
      <c r="F509" s="2659">
        <v>74.662961999999993</v>
      </c>
      <c r="G509" s="2659">
        <v>74.482962000000001</v>
      </c>
      <c r="H509" s="2659">
        <v>73.796936000000002</v>
      </c>
      <c r="I509" s="2659">
        <v>73.250912</v>
      </c>
      <c r="J509" s="2659"/>
      <c r="K509" s="2659" t="s">
        <v>9066</v>
      </c>
      <c r="L509" s="2659">
        <v>73.834935999999999</v>
      </c>
      <c r="M509" s="2659">
        <v>74.209935999999999</v>
      </c>
      <c r="N509" s="2659">
        <v>74.700962000000004</v>
      </c>
      <c r="O509" s="2659">
        <v>74.936961999999994</v>
      </c>
      <c r="P509" s="2659">
        <v>76</v>
      </c>
      <c r="Q509" s="2659">
        <v>76.524675999999999</v>
      </c>
      <c r="R509" s="2667">
        <v>70</v>
      </c>
    </row>
    <row r="510" spans="1:18">
      <c r="A510" s="2651"/>
      <c r="B510" s="2654" t="s">
        <v>9320</v>
      </c>
      <c r="C510" s="2658" t="s">
        <v>9067</v>
      </c>
      <c r="D510" s="2659">
        <v>75.962000000000003</v>
      </c>
      <c r="E510" s="2659">
        <v>75.682000000000002</v>
      </c>
      <c r="F510" s="2659">
        <v>74.662961999999993</v>
      </c>
      <c r="G510" s="2659">
        <v>74.550961999999998</v>
      </c>
      <c r="H510" s="2659">
        <v>73.796936000000002</v>
      </c>
      <c r="I510" s="2659">
        <v>73.318911999999997</v>
      </c>
      <c r="J510" s="2659"/>
      <c r="K510" s="2659"/>
      <c r="L510" s="2659"/>
      <c r="M510" s="2659"/>
      <c r="N510" s="2659"/>
      <c r="O510" s="2659"/>
      <c r="P510" s="2659"/>
      <c r="Q510" s="2659"/>
      <c r="R510" s="2667"/>
    </row>
    <row r="511" spans="1:18">
      <c r="A511" s="2651"/>
      <c r="B511" s="2654" t="s">
        <v>9321</v>
      </c>
      <c r="C511" s="2658" t="s">
        <v>9065</v>
      </c>
      <c r="D511" s="2659">
        <v>75.968000000000004</v>
      </c>
      <c r="E511" s="2659">
        <v>75.731999999999999</v>
      </c>
      <c r="F511" s="2659">
        <v>74.993721500000007</v>
      </c>
      <c r="G511" s="2659">
        <v>74.833721499999996</v>
      </c>
      <c r="H511" s="2659">
        <v>74.344201999999996</v>
      </c>
      <c r="I511" s="2659">
        <v>73.909683999999999</v>
      </c>
      <c r="J511" s="2659"/>
      <c r="K511" s="2659" t="s">
        <v>9066</v>
      </c>
      <c r="L511" s="2659">
        <v>74.376202000000006</v>
      </c>
      <c r="M511" s="2659">
        <v>74.676202000000004</v>
      </c>
      <c r="N511" s="2659">
        <v>75.025721500000003</v>
      </c>
      <c r="O511" s="2659">
        <v>75.237721500000006</v>
      </c>
      <c r="P511" s="2659">
        <v>76</v>
      </c>
      <c r="Q511" s="2659">
        <v>76.428506999999996</v>
      </c>
      <c r="R511" s="2667">
        <v>70</v>
      </c>
    </row>
    <row r="512" spans="1:18">
      <c r="A512" s="2651"/>
      <c r="B512" s="2654" t="s">
        <v>9321</v>
      </c>
      <c r="C512" s="2658" t="s">
        <v>9067</v>
      </c>
      <c r="D512" s="2659">
        <v>75.968000000000004</v>
      </c>
      <c r="E512" s="2659">
        <v>75.731999999999999</v>
      </c>
      <c r="F512" s="2659">
        <v>74.993721500000007</v>
      </c>
      <c r="G512" s="2659">
        <v>74.893721499999998</v>
      </c>
      <c r="H512" s="2659">
        <v>74.344201999999996</v>
      </c>
      <c r="I512" s="2659">
        <v>73.969684000000001</v>
      </c>
      <c r="J512" s="2659"/>
      <c r="K512" s="2659"/>
      <c r="L512" s="2659"/>
      <c r="M512" s="2659"/>
      <c r="N512" s="2659"/>
      <c r="O512" s="2659"/>
      <c r="P512" s="2659"/>
      <c r="Q512" s="2659"/>
      <c r="R512" s="2667"/>
    </row>
    <row r="513" spans="1:18">
      <c r="A513" s="2651"/>
      <c r="B513" s="2654" t="s">
        <v>9322</v>
      </c>
      <c r="C513" s="2658" t="s">
        <v>9065</v>
      </c>
      <c r="D513" s="2659">
        <v>75.974000000000004</v>
      </c>
      <c r="E513" s="2659">
        <v>75.793999999999997</v>
      </c>
      <c r="F513" s="2659">
        <v>75.324481000000006</v>
      </c>
      <c r="G513" s="2659">
        <v>75.184481000000005</v>
      </c>
      <c r="H513" s="2659">
        <v>74.891468000000003</v>
      </c>
      <c r="I513" s="2659">
        <v>74.568455999999998</v>
      </c>
      <c r="J513" s="2659"/>
      <c r="K513" s="2659" t="s">
        <v>9066</v>
      </c>
      <c r="L513" s="2659">
        <v>74.917468</v>
      </c>
      <c r="M513" s="2659">
        <v>75.153468000000004</v>
      </c>
      <c r="N513" s="2659">
        <v>75.350481000000002</v>
      </c>
      <c r="O513" s="2659">
        <v>75.540481</v>
      </c>
      <c r="P513" s="2659">
        <v>76</v>
      </c>
      <c r="Q513" s="2659">
        <v>76.334338000000002</v>
      </c>
      <c r="R513" s="2667">
        <v>72</v>
      </c>
    </row>
    <row r="514" spans="1:18">
      <c r="A514" s="2651"/>
      <c r="B514" s="2654" t="s">
        <v>9322</v>
      </c>
      <c r="C514" s="2658" t="s">
        <v>9067</v>
      </c>
      <c r="D514" s="2659">
        <v>75.974000000000004</v>
      </c>
      <c r="E514" s="2659">
        <v>75.793999999999997</v>
      </c>
      <c r="F514" s="2659">
        <v>75.324481000000006</v>
      </c>
      <c r="G514" s="2659">
        <v>75.234481000000002</v>
      </c>
      <c r="H514" s="2659">
        <v>74.891468000000003</v>
      </c>
      <c r="I514" s="2659">
        <v>74.618455999999995</v>
      </c>
      <c r="J514" s="2659"/>
      <c r="K514" s="2659"/>
      <c r="L514" s="2659"/>
      <c r="M514" s="2659"/>
      <c r="N514" s="2659"/>
      <c r="O514" s="2659"/>
      <c r="P514" s="2659"/>
      <c r="Q514" s="2659"/>
      <c r="R514" s="2667"/>
    </row>
    <row r="515" spans="1:18">
      <c r="A515" s="2651">
        <v>78</v>
      </c>
      <c r="B515" s="2654" t="s">
        <v>9323</v>
      </c>
      <c r="C515" s="2658" t="s">
        <v>9065</v>
      </c>
      <c r="D515" s="2659">
        <v>77.962000000000003</v>
      </c>
      <c r="E515" s="2659">
        <v>77.682000000000002</v>
      </c>
      <c r="F515" s="2659">
        <v>76.662961999999993</v>
      </c>
      <c r="G515" s="2659">
        <v>76.482962000000001</v>
      </c>
      <c r="H515" s="2659">
        <v>75.796936000000002</v>
      </c>
      <c r="I515" s="2659">
        <v>75.250912</v>
      </c>
      <c r="J515" s="2659"/>
      <c r="K515" s="2659" t="s">
        <v>9066</v>
      </c>
      <c r="L515" s="2659">
        <v>75.834935999999999</v>
      </c>
      <c r="M515" s="2659">
        <v>76.209935999999999</v>
      </c>
      <c r="N515" s="2659">
        <v>76.700962000000004</v>
      </c>
      <c r="O515" s="2659">
        <v>76.936961999999994</v>
      </c>
      <c r="P515" s="2659">
        <v>78</v>
      </c>
      <c r="Q515" s="2659">
        <v>78.524675999999999</v>
      </c>
      <c r="R515" s="2667">
        <v>72</v>
      </c>
    </row>
    <row r="516" spans="1:18">
      <c r="A516" s="2651"/>
      <c r="B516" s="2654" t="s">
        <v>9323</v>
      </c>
      <c r="C516" s="2658" t="s">
        <v>9067</v>
      </c>
      <c r="D516" s="2659">
        <v>77.962000000000003</v>
      </c>
      <c r="E516" s="2659">
        <v>77.682000000000002</v>
      </c>
      <c r="F516" s="2659">
        <v>76.662961999999993</v>
      </c>
      <c r="G516" s="2659">
        <v>76.550961999999998</v>
      </c>
      <c r="H516" s="2659">
        <v>75.796936000000002</v>
      </c>
      <c r="I516" s="2659">
        <v>75.318911999999997</v>
      </c>
      <c r="J516" s="2659"/>
      <c r="K516" s="2659"/>
      <c r="L516" s="2659"/>
      <c r="M516" s="2659"/>
      <c r="N516" s="2659"/>
      <c r="O516" s="2659"/>
      <c r="P516" s="2659"/>
      <c r="Q516" s="2659"/>
      <c r="R516" s="2667"/>
    </row>
    <row r="517" spans="1:18">
      <c r="A517" s="2651">
        <v>80</v>
      </c>
      <c r="B517" s="2658" t="s">
        <v>9324</v>
      </c>
      <c r="C517" s="2658" t="s">
        <v>9065</v>
      </c>
      <c r="D517" s="2659">
        <v>79.92</v>
      </c>
      <c r="E517" s="2659">
        <v>79.319999999999993</v>
      </c>
      <c r="F517" s="2659">
        <v>76.022999999999996</v>
      </c>
      <c r="G517" s="2659">
        <v>75.742999999999995</v>
      </c>
      <c r="H517" s="2659">
        <v>73.424999999999997</v>
      </c>
      <c r="I517" s="2659">
        <v>72.046999999999997</v>
      </c>
      <c r="J517" s="2659"/>
      <c r="K517" s="2659" t="s">
        <v>9066</v>
      </c>
      <c r="L517" s="2659">
        <v>73.504999999999995</v>
      </c>
      <c r="M517" s="2659">
        <v>74.305000000000007</v>
      </c>
      <c r="N517" s="2659">
        <v>76.102999999999994</v>
      </c>
      <c r="O517" s="2659">
        <v>76.477999999999994</v>
      </c>
      <c r="P517" s="2659">
        <v>80</v>
      </c>
      <c r="Q517" s="2659">
        <v>81.241</v>
      </c>
      <c r="R517" s="2667">
        <v>72</v>
      </c>
    </row>
    <row r="518" spans="1:18">
      <c r="A518" s="2651"/>
      <c r="B518" s="2658" t="s">
        <v>9324</v>
      </c>
      <c r="C518" s="2658" t="s">
        <v>9067</v>
      </c>
      <c r="D518" s="2659">
        <v>79.92</v>
      </c>
      <c r="E518" s="2659">
        <v>79.319999999999993</v>
      </c>
      <c r="F518" s="2659">
        <v>76.022999999999996</v>
      </c>
      <c r="G518" s="2659">
        <v>75.843000000000004</v>
      </c>
      <c r="H518" s="2659">
        <v>73.424999999999997</v>
      </c>
      <c r="I518" s="2659">
        <v>72.147000000000006</v>
      </c>
      <c r="J518" s="2659"/>
      <c r="K518" s="2659"/>
      <c r="L518" s="2659"/>
      <c r="M518" s="2659"/>
      <c r="N518" s="2659"/>
      <c r="O518" s="2659"/>
      <c r="P518" s="2659"/>
      <c r="Q518" s="2659"/>
      <c r="R518" s="2667"/>
    </row>
    <row r="519" spans="1:18">
      <c r="A519" s="2651"/>
      <c r="B519" s="2654" t="s">
        <v>9325</v>
      </c>
      <c r="C519" s="2658" t="s">
        <v>9065</v>
      </c>
      <c r="D519" s="2659">
        <v>79.94</v>
      </c>
      <c r="E519" s="2659">
        <v>79.34</v>
      </c>
      <c r="F519" s="2659">
        <v>77.341924000000006</v>
      </c>
      <c r="G519" s="2659">
        <v>77.105924000000002</v>
      </c>
      <c r="H519" s="2659">
        <v>75.609871999999996</v>
      </c>
      <c r="I519" s="2659">
        <v>74.641824</v>
      </c>
      <c r="J519" s="2659"/>
      <c r="K519" s="2659" t="s">
        <v>9066</v>
      </c>
      <c r="L519" s="2659">
        <v>75.669871999999998</v>
      </c>
      <c r="M519" s="2659">
        <v>76.269872000000007</v>
      </c>
      <c r="N519" s="2659">
        <v>77.401923999999994</v>
      </c>
      <c r="O519" s="2659">
        <v>77.716924000000006</v>
      </c>
      <c r="P519" s="2659">
        <v>80</v>
      </c>
      <c r="Q519" s="2659">
        <v>80.892352000000002</v>
      </c>
      <c r="R519" s="2667">
        <v>72</v>
      </c>
    </row>
    <row r="520" spans="1:18">
      <c r="A520" s="2651"/>
      <c r="B520" s="2654" t="s">
        <v>9325</v>
      </c>
      <c r="C520" s="2658" t="s">
        <v>9067</v>
      </c>
      <c r="D520" s="2659">
        <v>79.94</v>
      </c>
      <c r="E520" s="2659">
        <v>79.34</v>
      </c>
      <c r="F520" s="2659">
        <v>77.341924000000006</v>
      </c>
      <c r="G520" s="2659">
        <v>77.191924</v>
      </c>
      <c r="H520" s="2659">
        <v>75.609871999999996</v>
      </c>
      <c r="I520" s="2659">
        <v>74.727823999999998</v>
      </c>
      <c r="J520" s="2659"/>
      <c r="K520" s="2659"/>
      <c r="L520" s="2659"/>
      <c r="M520" s="2659"/>
      <c r="N520" s="2659"/>
      <c r="O520" s="2659"/>
      <c r="P520" s="2659"/>
      <c r="Q520" s="2659"/>
      <c r="R520" s="2667"/>
    </row>
    <row r="521" spans="1:18">
      <c r="A521" s="2651"/>
      <c r="B521" s="2654" t="s">
        <v>9326</v>
      </c>
      <c r="C521" s="2658" t="s">
        <v>9065</v>
      </c>
      <c r="D521" s="2659">
        <v>79.951999999999998</v>
      </c>
      <c r="E521" s="2659">
        <v>79.576999999999998</v>
      </c>
      <c r="F521" s="2659">
        <v>78.003443000000004</v>
      </c>
      <c r="G521" s="2659">
        <v>77.791443000000001</v>
      </c>
      <c r="H521" s="2659">
        <v>76.704403999999997</v>
      </c>
      <c r="I521" s="2659">
        <v>75.943368000000007</v>
      </c>
      <c r="J521" s="2659"/>
      <c r="K521" s="2659" t="s">
        <v>9066</v>
      </c>
      <c r="L521" s="2659">
        <v>76.752403999999999</v>
      </c>
      <c r="M521" s="2659">
        <v>77.252403999999999</v>
      </c>
      <c r="N521" s="2659">
        <v>78.051443000000006</v>
      </c>
      <c r="O521" s="2659">
        <v>78.331282999999999</v>
      </c>
      <c r="P521" s="2659">
        <v>80</v>
      </c>
      <c r="Q521" s="2659">
        <v>80.712853999999993</v>
      </c>
      <c r="R521" s="2667">
        <v>75</v>
      </c>
    </row>
    <row r="522" spans="1:18">
      <c r="A522" s="2651"/>
      <c r="B522" s="2654" t="s">
        <v>9326</v>
      </c>
      <c r="C522" s="2658" t="s">
        <v>9067</v>
      </c>
      <c r="D522" s="2659">
        <v>79.951999999999998</v>
      </c>
      <c r="E522" s="2659">
        <v>79.576999999999998</v>
      </c>
      <c r="F522" s="2659">
        <v>78.003443000000004</v>
      </c>
      <c r="G522" s="2659">
        <v>77.871442999999999</v>
      </c>
      <c r="H522" s="2659">
        <v>76.704403999999997</v>
      </c>
      <c r="I522" s="2659">
        <v>76.023368000000005</v>
      </c>
      <c r="J522" s="2659"/>
      <c r="K522" s="2659"/>
      <c r="L522" s="2659"/>
      <c r="M522" s="2659"/>
      <c r="N522" s="2659"/>
      <c r="O522" s="2659"/>
      <c r="P522" s="2659"/>
      <c r="Q522" s="2659"/>
      <c r="R522" s="2667"/>
    </row>
    <row r="523" spans="1:18">
      <c r="A523" s="2651"/>
      <c r="B523" s="2658" t="s">
        <v>9327</v>
      </c>
      <c r="C523" s="2658" t="s">
        <v>9065</v>
      </c>
      <c r="D523" s="2659">
        <v>79.962000000000003</v>
      </c>
      <c r="E523" s="2659">
        <v>79.682000000000002</v>
      </c>
      <c r="F523" s="2659">
        <v>78.662999999999997</v>
      </c>
      <c r="G523" s="2659">
        <v>78.483000000000004</v>
      </c>
      <c r="H523" s="2659">
        <v>77.796999999999997</v>
      </c>
      <c r="I523" s="2659">
        <v>77.251000000000005</v>
      </c>
      <c r="J523" s="2659"/>
      <c r="K523" s="2659" t="s">
        <v>9066</v>
      </c>
      <c r="L523" s="2659">
        <v>77.834999999999994</v>
      </c>
      <c r="M523" s="2659">
        <v>78.209999999999994</v>
      </c>
      <c r="N523" s="2659">
        <v>78.700999999999993</v>
      </c>
      <c r="O523" s="2659">
        <v>78.936999999999998</v>
      </c>
      <c r="P523" s="2659">
        <v>80</v>
      </c>
      <c r="Q523" s="2659">
        <v>80.525000000000006</v>
      </c>
      <c r="R523" s="2667">
        <v>72</v>
      </c>
    </row>
    <row r="524" spans="1:18">
      <c r="A524" s="2651"/>
      <c r="B524" s="2658" t="s">
        <v>9327</v>
      </c>
      <c r="C524" s="2658" t="s">
        <v>9067</v>
      </c>
      <c r="D524" s="2659">
        <v>79.962000000000003</v>
      </c>
      <c r="E524" s="2659">
        <v>79.682000000000002</v>
      </c>
      <c r="F524" s="2659">
        <v>78.662999999999997</v>
      </c>
      <c r="G524" s="2659">
        <v>78.551000000000002</v>
      </c>
      <c r="H524" s="2659">
        <v>77.796999999999997</v>
      </c>
      <c r="I524" s="2659">
        <v>77.319000000000003</v>
      </c>
      <c r="J524" s="2659"/>
      <c r="K524" s="2659"/>
      <c r="L524" s="2659"/>
      <c r="M524" s="2659"/>
      <c r="N524" s="2659"/>
      <c r="O524" s="2659"/>
      <c r="P524" s="2659"/>
      <c r="Q524" s="2659"/>
      <c r="R524" s="2667"/>
    </row>
    <row r="525" spans="1:18">
      <c r="A525" s="2651"/>
      <c r="B525" s="2658" t="s">
        <v>9328</v>
      </c>
      <c r="C525" s="2658" t="s">
        <v>9065</v>
      </c>
      <c r="D525" s="2659">
        <v>79.968000000000004</v>
      </c>
      <c r="E525" s="2659">
        <v>79.731999999999999</v>
      </c>
      <c r="F525" s="2659">
        <v>78.994</v>
      </c>
      <c r="G525" s="2659">
        <v>78.834000000000003</v>
      </c>
      <c r="H525" s="2659">
        <v>78.343999999999994</v>
      </c>
      <c r="I525" s="2659">
        <v>77.91</v>
      </c>
      <c r="J525" s="2659"/>
      <c r="K525" s="2659" t="s">
        <v>9066</v>
      </c>
      <c r="L525" s="2659">
        <v>78.376000000000005</v>
      </c>
      <c r="M525" s="2659">
        <v>78.676000000000002</v>
      </c>
      <c r="N525" s="2659">
        <v>79.025999999999996</v>
      </c>
      <c r="O525" s="2659">
        <v>79.238</v>
      </c>
      <c r="P525" s="2659">
        <v>80</v>
      </c>
      <c r="Q525" s="2659">
        <v>80.427999999999997</v>
      </c>
      <c r="R525" s="2667">
        <v>72</v>
      </c>
    </row>
    <row r="526" spans="1:18">
      <c r="A526" s="2651"/>
      <c r="B526" s="2658" t="s">
        <v>9328</v>
      </c>
      <c r="C526" s="2658" t="s">
        <v>9067</v>
      </c>
      <c r="D526" s="2659">
        <v>79.968000000000004</v>
      </c>
      <c r="E526" s="2659">
        <v>79.731999999999999</v>
      </c>
      <c r="F526" s="2659">
        <v>78.994</v>
      </c>
      <c r="G526" s="2659">
        <v>78.894000000000005</v>
      </c>
      <c r="H526" s="2659">
        <v>78.334000000000003</v>
      </c>
      <c r="I526" s="2659">
        <v>77.97</v>
      </c>
      <c r="J526" s="2659"/>
      <c r="K526" s="2659"/>
      <c r="L526" s="2659"/>
      <c r="M526" s="2659"/>
      <c r="N526" s="2659"/>
      <c r="O526" s="2659"/>
      <c r="P526" s="2659"/>
      <c r="Q526" s="2659"/>
      <c r="R526" s="2667"/>
    </row>
    <row r="527" spans="1:18">
      <c r="A527" s="2651"/>
      <c r="B527" s="2654" t="s">
        <v>9329</v>
      </c>
      <c r="C527" s="2658" t="s">
        <v>9065</v>
      </c>
      <c r="D527" s="2659">
        <v>79.974000000000004</v>
      </c>
      <c r="E527" s="2659">
        <v>79.793999999999997</v>
      </c>
      <c r="F527" s="2659">
        <v>79.324481000000006</v>
      </c>
      <c r="G527" s="2659">
        <v>79.184481000000005</v>
      </c>
      <c r="H527" s="2659">
        <v>78.891468000000003</v>
      </c>
      <c r="I527" s="2659">
        <v>78.568455999999998</v>
      </c>
      <c r="J527" s="2659"/>
      <c r="K527" s="2659" t="s">
        <v>9066</v>
      </c>
      <c r="L527" s="2659">
        <v>78.917468</v>
      </c>
      <c r="M527" s="2659">
        <v>79.153468000000004</v>
      </c>
      <c r="N527" s="2659">
        <v>79.350481000000002</v>
      </c>
      <c r="O527" s="2659">
        <v>79.540481</v>
      </c>
      <c r="P527" s="2659">
        <v>80</v>
      </c>
      <c r="Q527" s="2659">
        <v>80.334338000000002</v>
      </c>
      <c r="R527" s="2667">
        <v>75</v>
      </c>
    </row>
    <row r="528" spans="1:18">
      <c r="A528" s="2651"/>
      <c r="B528" s="2654" t="s">
        <v>9329</v>
      </c>
      <c r="C528" s="2658" t="s">
        <v>9067</v>
      </c>
      <c r="D528" s="2659">
        <v>79.974000000000004</v>
      </c>
      <c r="E528" s="2659">
        <v>79.793999999999997</v>
      </c>
      <c r="F528" s="2659">
        <v>79.324481000000006</v>
      </c>
      <c r="G528" s="2659">
        <v>79.234481000000002</v>
      </c>
      <c r="H528" s="2659">
        <v>78.891468000000003</v>
      </c>
      <c r="I528" s="2659">
        <v>78.618455999999995</v>
      </c>
      <c r="J528" s="2659"/>
      <c r="K528" s="2659"/>
      <c r="L528" s="2659"/>
      <c r="M528" s="2659"/>
      <c r="N528" s="2659"/>
      <c r="O528" s="2659"/>
      <c r="P528" s="2659"/>
      <c r="Q528" s="2659"/>
      <c r="R528" s="2667"/>
    </row>
    <row r="529" spans="1:18">
      <c r="A529" s="2651">
        <v>82</v>
      </c>
      <c r="B529" s="2654" t="s">
        <v>9330</v>
      </c>
      <c r="C529" s="2658" t="s">
        <v>9065</v>
      </c>
      <c r="D529" s="2659">
        <v>81.962000000000003</v>
      </c>
      <c r="E529" s="2659">
        <v>81.682000000000002</v>
      </c>
      <c r="F529" s="2659">
        <v>80.662961999999993</v>
      </c>
      <c r="G529" s="2659">
        <v>80.482962000000001</v>
      </c>
      <c r="H529" s="2659">
        <v>79.796936000000002</v>
      </c>
      <c r="I529" s="2659">
        <v>79.250912</v>
      </c>
      <c r="J529" s="2659"/>
      <c r="K529" s="2659" t="s">
        <v>9066</v>
      </c>
      <c r="L529" s="2659">
        <v>79.834935999999999</v>
      </c>
      <c r="M529" s="2659">
        <v>80.209935999999999</v>
      </c>
      <c r="N529" s="2659">
        <v>80.700962000000004</v>
      </c>
      <c r="O529" s="2659">
        <v>80.936961999999994</v>
      </c>
      <c r="P529" s="2659">
        <v>82</v>
      </c>
      <c r="Q529" s="2659">
        <v>82.524675999999999</v>
      </c>
      <c r="R529" s="2667">
        <v>75</v>
      </c>
    </row>
    <row r="530" spans="1:18">
      <c r="A530" s="2651"/>
      <c r="B530" s="2654" t="s">
        <v>9330</v>
      </c>
      <c r="C530" s="2658" t="s">
        <v>9067</v>
      </c>
      <c r="D530" s="2659">
        <v>81.962000000000003</v>
      </c>
      <c r="E530" s="2659">
        <v>81.682000000000002</v>
      </c>
      <c r="F530" s="2659">
        <v>80.662961999999993</v>
      </c>
      <c r="G530" s="2659">
        <v>80.550961999999998</v>
      </c>
      <c r="H530" s="2659">
        <v>79.796936000000002</v>
      </c>
      <c r="I530" s="2659">
        <v>79.318911999999997</v>
      </c>
      <c r="J530" s="2659"/>
      <c r="K530" s="2659"/>
      <c r="L530" s="2659"/>
      <c r="M530" s="2659"/>
      <c r="N530" s="2659"/>
      <c r="O530" s="2659"/>
      <c r="P530" s="2659"/>
      <c r="Q530" s="2659"/>
      <c r="R530" s="2667"/>
    </row>
    <row r="531" spans="1:18">
      <c r="A531" s="2651">
        <v>85</v>
      </c>
      <c r="B531" s="2654" t="s">
        <v>9331</v>
      </c>
      <c r="C531" s="2658" t="s">
        <v>9065</v>
      </c>
      <c r="D531" s="2659">
        <v>84.92</v>
      </c>
      <c r="E531" s="2659">
        <v>84.32</v>
      </c>
      <c r="F531" s="2659">
        <v>81.022886</v>
      </c>
      <c r="G531" s="2659">
        <v>80.742885999999999</v>
      </c>
      <c r="H531" s="2659">
        <v>78.424807999999999</v>
      </c>
      <c r="I531" s="2659">
        <v>77.046735999999996</v>
      </c>
      <c r="J531" s="2659"/>
      <c r="K531" s="2659" t="s">
        <v>9066</v>
      </c>
      <c r="L531" s="2659">
        <v>78.504807999999997</v>
      </c>
      <c r="M531" s="2659">
        <v>79.304807999999994</v>
      </c>
      <c r="N531" s="2659">
        <v>81.102885999999998</v>
      </c>
      <c r="O531" s="2659">
        <v>81.477885999999998</v>
      </c>
      <c r="P531" s="2659">
        <v>85</v>
      </c>
      <c r="Q531" s="2659">
        <v>86.241028</v>
      </c>
      <c r="R531" s="2667">
        <v>75</v>
      </c>
    </row>
    <row r="532" spans="1:18">
      <c r="A532" s="2651"/>
      <c r="B532" s="2654" t="s">
        <v>9331</v>
      </c>
      <c r="C532" s="2658" t="s">
        <v>9067</v>
      </c>
      <c r="D532" s="2659">
        <v>84.92</v>
      </c>
      <c r="E532" s="2659">
        <v>84.32</v>
      </c>
      <c r="F532" s="2659">
        <v>81.022886</v>
      </c>
      <c r="G532" s="2659">
        <v>80.842885999999993</v>
      </c>
      <c r="H532" s="2659">
        <v>78.424807999999999</v>
      </c>
      <c r="I532" s="2659">
        <v>77.146736000000004</v>
      </c>
      <c r="J532" s="2659"/>
      <c r="K532" s="2659"/>
      <c r="L532" s="2659"/>
      <c r="M532" s="2659"/>
      <c r="N532" s="2659"/>
      <c r="O532" s="2659"/>
      <c r="P532" s="2659"/>
      <c r="Q532" s="2659"/>
      <c r="R532" s="2667"/>
    </row>
    <row r="533" spans="1:18">
      <c r="A533" s="2651"/>
      <c r="B533" s="2654" t="s">
        <v>9332</v>
      </c>
      <c r="C533" s="2658" t="s">
        <v>9065</v>
      </c>
      <c r="D533" s="2659">
        <v>84.94</v>
      </c>
      <c r="E533" s="2659">
        <v>84.465000000000003</v>
      </c>
      <c r="F533" s="2659">
        <v>82.341924000000006</v>
      </c>
      <c r="G533" s="2659">
        <v>82.105924000000002</v>
      </c>
      <c r="H533" s="2659">
        <v>80.609871999999996</v>
      </c>
      <c r="I533" s="2659">
        <v>79.641824</v>
      </c>
      <c r="J533" s="2659"/>
      <c r="K533" s="2659" t="s">
        <v>9066</v>
      </c>
      <c r="L533" s="2659">
        <v>80.669871999999998</v>
      </c>
      <c r="M533" s="2659">
        <v>81.269872000000007</v>
      </c>
      <c r="N533" s="2659">
        <v>82.401923999999994</v>
      </c>
      <c r="O533" s="2659">
        <v>82.716924000000006</v>
      </c>
      <c r="P533" s="2659">
        <v>85</v>
      </c>
      <c r="Q533" s="2659">
        <v>85.892352000000002</v>
      </c>
      <c r="R533" s="2667">
        <v>77</v>
      </c>
    </row>
    <row r="534" spans="1:18">
      <c r="A534" s="2651"/>
      <c r="B534" s="2654" t="s">
        <v>9332</v>
      </c>
      <c r="C534" s="2658" t="s">
        <v>9067</v>
      </c>
      <c r="D534" s="2659">
        <v>84.94</v>
      </c>
      <c r="E534" s="2659">
        <v>84.465000000000003</v>
      </c>
      <c r="F534" s="2659">
        <v>82.341924000000006</v>
      </c>
      <c r="G534" s="2659">
        <v>82.191924</v>
      </c>
      <c r="H534" s="2659">
        <v>80.609871999999996</v>
      </c>
      <c r="I534" s="2659">
        <v>79.727823999999998</v>
      </c>
      <c r="J534" s="2659"/>
      <c r="K534" s="2659"/>
      <c r="L534" s="2659"/>
      <c r="M534" s="2659"/>
      <c r="N534" s="2659"/>
      <c r="O534" s="2659"/>
      <c r="P534" s="2659"/>
      <c r="Q534" s="2659"/>
      <c r="R534" s="2667"/>
    </row>
    <row r="535" spans="1:18">
      <c r="A535" s="2651"/>
      <c r="B535" s="2654" t="s">
        <v>9333</v>
      </c>
      <c r="C535" s="2658" t="s">
        <v>9065</v>
      </c>
      <c r="D535" s="2659">
        <v>84.951999999999998</v>
      </c>
      <c r="E535" s="2659">
        <v>84.576999999999998</v>
      </c>
      <c r="F535" s="2659">
        <v>83.003443000000004</v>
      </c>
      <c r="G535" s="2659">
        <v>82.791443000000001</v>
      </c>
      <c r="H535" s="2659">
        <v>81.704403999999997</v>
      </c>
      <c r="I535" s="2659">
        <v>80.943368000000007</v>
      </c>
      <c r="J535" s="2659"/>
      <c r="K535" s="2659" t="s">
        <v>9066</v>
      </c>
      <c r="L535" s="2659">
        <v>81.752403999999999</v>
      </c>
      <c r="M535" s="2659">
        <v>82.252403999999999</v>
      </c>
      <c r="N535" s="2659">
        <v>83.051443000000006</v>
      </c>
      <c r="O535" s="2659">
        <v>83.331282999999999</v>
      </c>
      <c r="P535" s="2659">
        <v>85</v>
      </c>
      <c r="Q535" s="2659">
        <v>85.712853999999993</v>
      </c>
      <c r="R535" s="2667">
        <v>77</v>
      </c>
    </row>
    <row r="536" spans="1:18">
      <c r="A536" s="2651"/>
      <c r="B536" s="2654" t="s">
        <v>9333</v>
      </c>
      <c r="C536" s="2658" t="s">
        <v>9067</v>
      </c>
      <c r="D536" s="2659">
        <v>84.951999999999998</v>
      </c>
      <c r="E536" s="2659">
        <v>84.576999999999998</v>
      </c>
      <c r="F536" s="2659">
        <v>83.003443000000004</v>
      </c>
      <c r="G536" s="2659">
        <v>82.871442999999999</v>
      </c>
      <c r="H536" s="2659">
        <v>81.704403999999997</v>
      </c>
      <c r="I536" s="2659">
        <v>81.023368000000005</v>
      </c>
      <c r="J536" s="2659"/>
      <c r="K536" s="2659"/>
      <c r="L536" s="2659"/>
      <c r="M536" s="2659"/>
      <c r="N536" s="2659"/>
      <c r="O536" s="2659"/>
      <c r="P536" s="2659"/>
      <c r="Q536" s="2659"/>
      <c r="R536" s="2667"/>
    </row>
    <row r="537" spans="1:18">
      <c r="A537" s="2651"/>
      <c r="B537" s="2658" t="s">
        <v>9334</v>
      </c>
      <c r="C537" s="2658" t="s">
        <v>9065</v>
      </c>
      <c r="D537" s="2659">
        <v>84.962000000000003</v>
      </c>
      <c r="E537" s="2659">
        <v>84.682000000000002</v>
      </c>
      <c r="F537" s="2659">
        <v>83.662999999999997</v>
      </c>
      <c r="G537" s="2659">
        <v>83.483000000000004</v>
      </c>
      <c r="H537" s="2659">
        <v>82.796999999999997</v>
      </c>
      <c r="I537" s="2659">
        <v>82.251000000000005</v>
      </c>
      <c r="J537" s="2659"/>
      <c r="K537" s="2659" t="s">
        <v>9066</v>
      </c>
      <c r="L537" s="2659">
        <v>82.834999999999994</v>
      </c>
      <c r="M537" s="2659">
        <v>83.21</v>
      </c>
      <c r="N537" s="2659">
        <v>83.700999999999993</v>
      </c>
      <c r="O537" s="2659">
        <v>83.936999999999998</v>
      </c>
      <c r="P537" s="2659">
        <v>85</v>
      </c>
      <c r="Q537" s="2659">
        <v>85.525000000000006</v>
      </c>
      <c r="R537" s="2667">
        <v>77</v>
      </c>
    </row>
    <row r="538" spans="1:18">
      <c r="A538" s="2651"/>
      <c r="B538" s="2658" t="s">
        <v>9334</v>
      </c>
      <c r="C538" s="2658" t="s">
        <v>9067</v>
      </c>
      <c r="D538" s="2659">
        <v>84.962000000000003</v>
      </c>
      <c r="E538" s="2659">
        <v>84.682000000000002</v>
      </c>
      <c r="F538" s="2659">
        <v>83.662999999999997</v>
      </c>
      <c r="G538" s="2659">
        <v>83.551000000000002</v>
      </c>
      <c r="H538" s="2659">
        <v>82.796999999999997</v>
      </c>
      <c r="I538" s="2659">
        <v>82.319000000000003</v>
      </c>
      <c r="J538" s="2659"/>
      <c r="K538" s="2659"/>
      <c r="L538" s="2659"/>
      <c r="M538" s="2659"/>
      <c r="N538" s="2659"/>
      <c r="O538" s="2659"/>
      <c r="P538" s="2659"/>
      <c r="Q538" s="2659"/>
      <c r="R538" s="2667"/>
    </row>
    <row r="539" spans="1:18">
      <c r="A539" s="2651"/>
      <c r="B539" s="2654" t="s">
        <v>9335</v>
      </c>
      <c r="C539" s="2658" t="s">
        <v>9065</v>
      </c>
      <c r="D539" s="2659">
        <v>84.968000000000004</v>
      </c>
      <c r="E539" s="2659">
        <v>84.731999999999999</v>
      </c>
      <c r="F539" s="2659">
        <v>83.993721500000007</v>
      </c>
      <c r="G539" s="2659">
        <v>83.833721499999996</v>
      </c>
      <c r="H539" s="2659">
        <v>83.344201999999996</v>
      </c>
      <c r="I539" s="2659">
        <v>82.909683999999999</v>
      </c>
      <c r="J539" s="2659"/>
      <c r="K539" s="2659" t="s">
        <v>9066</v>
      </c>
      <c r="L539" s="2659">
        <v>83.376202000000006</v>
      </c>
      <c r="M539" s="2659">
        <v>83.676202000000004</v>
      </c>
      <c r="N539" s="2659">
        <v>84.025721500000003</v>
      </c>
      <c r="O539" s="2659">
        <v>84.237721500000006</v>
      </c>
      <c r="P539" s="2659">
        <v>85</v>
      </c>
      <c r="Q539" s="2659">
        <v>85.428506999999996</v>
      </c>
      <c r="R539" s="2667">
        <v>77</v>
      </c>
    </row>
    <row r="540" spans="1:18">
      <c r="A540" s="2651"/>
      <c r="B540" s="2654" t="s">
        <v>9335</v>
      </c>
      <c r="C540" s="2658" t="s">
        <v>9067</v>
      </c>
      <c r="D540" s="2659">
        <v>84.968000000000004</v>
      </c>
      <c r="E540" s="2659">
        <v>84.731999999999999</v>
      </c>
      <c r="F540" s="2659">
        <v>83.993721500000007</v>
      </c>
      <c r="G540" s="2659">
        <v>83.893721499999998</v>
      </c>
      <c r="H540" s="2659">
        <v>83.344201999999996</v>
      </c>
      <c r="I540" s="2659">
        <v>82.969684000000001</v>
      </c>
      <c r="J540" s="2659"/>
      <c r="K540" s="2659"/>
      <c r="L540" s="2659"/>
      <c r="M540" s="2659"/>
      <c r="N540" s="2659"/>
      <c r="O540" s="2659"/>
      <c r="P540" s="2659"/>
      <c r="Q540" s="2659"/>
      <c r="R540" s="2667"/>
    </row>
    <row r="541" spans="1:18">
      <c r="A541" s="2651">
        <v>90</v>
      </c>
      <c r="B541" s="2658" t="s">
        <v>9336</v>
      </c>
      <c r="C541" s="2658" t="s">
        <v>9065</v>
      </c>
      <c r="D541" s="2659">
        <v>89.92</v>
      </c>
      <c r="E541" s="2659">
        <v>89.32</v>
      </c>
      <c r="F541" s="2659">
        <v>86.022999999999996</v>
      </c>
      <c r="G541" s="2659">
        <v>85.742999999999995</v>
      </c>
      <c r="H541" s="2659">
        <v>83.424999999999997</v>
      </c>
      <c r="I541" s="2659">
        <v>82.046999999999997</v>
      </c>
      <c r="J541" s="2659"/>
      <c r="K541" s="2659" t="s">
        <v>9066</v>
      </c>
      <c r="L541" s="2659">
        <v>83.504999999999995</v>
      </c>
      <c r="M541" s="2659">
        <v>84.305000000000007</v>
      </c>
      <c r="N541" s="2659">
        <v>86.102999999999994</v>
      </c>
      <c r="O541" s="2659">
        <v>86.477999999999994</v>
      </c>
      <c r="P541" s="2659">
        <v>90</v>
      </c>
      <c r="Q541" s="2659">
        <v>91.241</v>
      </c>
      <c r="R541" s="2667">
        <v>81</v>
      </c>
    </row>
    <row r="542" spans="1:18">
      <c r="A542" s="2651"/>
      <c r="B542" s="2658" t="s">
        <v>9336</v>
      </c>
      <c r="C542" s="2658" t="s">
        <v>9067</v>
      </c>
      <c r="D542" s="2659">
        <v>89.92</v>
      </c>
      <c r="E542" s="2659">
        <v>89.32</v>
      </c>
      <c r="F542" s="2659">
        <v>86.022999999999996</v>
      </c>
      <c r="G542" s="2659">
        <v>85.843000000000004</v>
      </c>
      <c r="H542" s="2659">
        <v>83.424999999999997</v>
      </c>
      <c r="I542" s="2659">
        <v>82.147000000000006</v>
      </c>
      <c r="J542" s="2659"/>
      <c r="K542" s="2659"/>
      <c r="L542" s="2659"/>
      <c r="M542" s="2659"/>
      <c r="N542" s="2659"/>
      <c r="O542" s="2659"/>
      <c r="P542" s="2659"/>
      <c r="Q542" s="2659"/>
      <c r="R542" s="2667"/>
    </row>
    <row r="543" spans="1:18">
      <c r="A543" s="2651"/>
      <c r="B543" s="2654" t="s">
        <v>9337</v>
      </c>
      <c r="C543" s="2658" t="s">
        <v>9065</v>
      </c>
      <c r="D543" s="2659">
        <v>89.94</v>
      </c>
      <c r="E543" s="2659">
        <v>89.465000000000003</v>
      </c>
      <c r="F543" s="2659">
        <v>87.341924000000006</v>
      </c>
      <c r="G543" s="2659">
        <v>87.105924000000002</v>
      </c>
      <c r="H543" s="2659">
        <v>85.609871999999996</v>
      </c>
      <c r="I543" s="2659">
        <v>84.641824</v>
      </c>
      <c r="J543" s="2659"/>
      <c r="K543" s="2659" t="s">
        <v>9066</v>
      </c>
      <c r="L543" s="2659">
        <v>85.669871999999998</v>
      </c>
      <c r="M543" s="2659">
        <v>86.269872000000007</v>
      </c>
      <c r="N543" s="2659">
        <v>87.401923999999994</v>
      </c>
      <c r="O543" s="2659">
        <v>87.716924000000006</v>
      </c>
      <c r="P543" s="2659">
        <v>90</v>
      </c>
      <c r="Q543" s="2659">
        <v>90.892352000000002</v>
      </c>
      <c r="R543" s="2667">
        <v>81</v>
      </c>
    </row>
    <row r="544" spans="1:18">
      <c r="A544" s="2651"/>
      <c r="B544" s="2654" t="s">
        <v>9337</v>
      </c>
      <c r="C544" s="2658" t="s">
        <v>9067</v>
      </c>
      <c r="D544" s="2659">
        <v>89.94</v>
      </c>
      <c r="E544" s="2659">
        <v>89.465000000000003</v>
      </c>
      <c r="F544" s="2659">
        <v>87.341924000000006</v>
      </c>
      <c r="G544" s="2659">
        <v>87.191924</v>
      </c>
      <c r="H544" s="2659">
        <v>85.609871999999996</v>
      </c>
      <c r="I544" s="2659">
        <v>84.727823999999998</v>
      </c>
      <c r="J544" s="2659"/>
      <c r="K544" s="2659"/>
      <c r="L544" s="2659"/>
      <c r="M544" s="2659"/>
      <c r="N544" s="2659"/>
      <c r="O544" s="2659"/>
      <c r="P544" s="2659"/>
      <c r="Q544" s="2659"/>
      <c r="R544" s="2667"/>
    </row>
    <row r="545" spans="1:18">
      <c r="A545" s="2651"/>
      <c r="B545" s="2654" t="s">
        <v>9338</v>
      </c>
      <c r="C545" s="2658" t="s">
        <v>9065</v>
      </c>
      <c r="D545" s="2659">
        <v>89.951999999999998</v>
      </c>
      <c r="E545" s="2659">
        <v>89.576999999999998</v>
      </c>
      <c r="F545" s="2659">
        <v>88.003443000000004</v>
      </c>
      <c r="G545" s="2659">
        <v>87.791443000000001</v>
      </c>
      <c r="H545" s="2659">
        <v>86.704403999999997</v>
      </c>
      <c r="I545" s="2659">
        <v>85.943368000000007</v>
      </c>
      <c r="J545" s="2659"/>
      <c r="K545" s="2659" t="s">
        <v>9066</v>
      </c>
      <c r="L545" s="2659">
        <v>86.752403999999999</v>
      </c>
      <c r="M545" s="2659">
        <v>87.252403999999999</v>
      </c>
      <c r="N545" s="2659">
        <v>88.051443000000006</v>
      </c>
      <c r="O545" s="2659">
        <v>88.331282999999999</v>
      </c>
      <c r="P545" s="2659">
        <v>90</v>
      </c>
      <c r="Q545" s="2659">
        <v>90.712853999999993</v>
      </c>
      <c r="R545" s="2667">
        <v>81</v>
      </c>
    </row>
    <row r="546" spans="1:18">
      <c r="A546" s="2651"/>
      <c r="B546" s="2654" t="s">
        <v>9338</v>
      </c>
      <c r="C546" s="2658" t="s">
        <v>9067</v>
      </c>
      <c r="D546" s="2659">
        <v>89.951999999999998</v>
      </c>
      <c r="E546" s="2659">
        <v>89.576999999999998</v>
      </c>
      <c r="F546" s="2659">
        <v>88.003443000000004</v>
      </c>
      <c r="G546" s="2659">
        <v>87.871442999999999</v>
      </c>
      <c r="H546" s="2659">
        <v>86.704403999999997</v>
      </c>
      <c r="I546" s="2659">
        <v>86.023368000000005</v>
      </c>
      <c r="J546" s="2659"/>
      <c r="K546" s="2659"/>
      <c r="L546" s="2659"/>
      <c r="M546" s="2659"/>
      <c r="N546" s="2659"/>
      <c r="O546" s="2659"/>
      <c r="P546" s="2659"/>
      <c r="Q546" s="2659"/>
      <c r="R546" s="2667"/>
    </row>
    <row r="547" spans="1:18">
      <c r="A547" s="2651"/>
      <c r="B547" s="2658" t="s">
        <v>9339</v>
      </c>
      <c r="C547" s="2658" t="s">
        <v>9065</v>
      </c>
      <c r="D547" s="2659">
        <v>89.962000000000003</v>
      </c>
      <c r="E547" s="2659">
        <v>89.682000000000002</v>
      </c>
      <c r="F547" s="2659">
        <v>88.662999999999997</v>
      </c>
      <c r="G547" s="2659">
        <v>88.483000000000004</v>
      </c>
      <c r="H547" s="2659">
        <v>87.796999999999997</v>
      </c>
      <c r="I547" s="2659">
        <v>87.251000000000005</v>
      </c>
      <c r="J547" s="2659"/>
      <c r="K547" s="2659" t="s">
        <v>9066</v>
      </c>
      <c r="L547" s="2659">
        <v>87.834999999999994</v>
      </c>
      <c r="M547" s="2659">
        <v>88.21</v>
      </c>
      <c r="N547" s="2659">
        <v>88.700999999999993</v>
      </c>
      <c r="O547" s="2659">
        <v>88.936999999999998</v>
      </c>
      <c r="P547" s="2659">
        <v>90</v>
      </c>
      <c r="Q547" s="2659">
        <v>90.525000000000006</v>
      </c>
      <c r="R547" s="2667">
        <v>81</v>
      </c>
    </row>
    <row r="548" spans="1:18">
      <c r="A548" s="2651"/>
      <c r="B548" s="2658" t="s">
        <v>9339</v>
      </c>
      <c r="C548" s="2658" t="s">
        <v>9067</v>
      </c>
      <c r="D548" s="2659">
        <v>89.962000000000003</v>
      </c>
      <c r="E548" s="2659">
        <v>89.682000000000002</v>
      </c>
      <c r="F548" s="2659">
        <v>88.662999999999997</v>
      </c>
      <c r="G548" s="2659">
        <v>88.551000000000002</v>
      </c>
      <c r="H548" s="2659">
        <v>87.796999999999997</v>
      </c>
      <c r="I548" s="2659">
        <v>87.319000000000003</v>
      </c>
      <c r="J548" s="2659"/>
      <c r="K548" s="2659"/>
      <c r="L548" s="2659"/>
      <c r="M548" s="2659"/>
      <c r="N548" s="2659"/>
      <c r="O548" s="2659"/>
      <c r="P548" s="2659"/>
      <c r="Q548" s="2659"/>
      <c r="R548" s="2667"/>
    </row>
    <row r="549" spans="1:18">
      <c r="A549" s="2651"/>
      <c r="B549" s="2654" t="s">
        <v>9340</v>
      </c>
      <c r="C549" s="2658" t="s">
        <v>9065</v>
      </c>
      <c r="D549" s="2659">
        <v>89.968000000000004</v>
      </c>
      <c r="E549" s="2659">
        <v>89.731999999999999</v>
      </c>
      <c r="F549" s="2659">
        <v>88.993721500000007</v>
      </c>
      <c r="G549" s="2659">
        <v>88.833721499999996</v>
      </c>
      <c r="H549" s="2659">
        <v>88.344201999999996</v>
      </c>
      <c r="I549" s="2659">
        <v>87.909683999999999</v>
      </c>
      <c r="J549" s="2659"/>
      <c r="K549" s="2659" t="s">
        <v>9066</v>
      </c>
      <c r="L549" s="2659">
        <v>88.376202000000006</v>
      </c>
      <c r="M549" s="2659">
        <v>88.676202000000004</v>
      </c>
      <c r="N549" s="2659">
        <v>89.025721500000003</v>
      </c>
      <c r="O549" s="2659">
        <v>89.237721500000006</v>
      </c>
      <c r="P549" s="2659">
        <v>90</v>
      </c>
      <c r="Q549" s="2659">
        <v>90.428506999999996</v>
      </c>
      <c r="R549" s="2667">
        <v>85</v>
      </c>
    </row>
    <row r="550" spans="1:18">
      <c r="A550" s="2651"/>
      <c r="B550" s="2654" t="s">
        <v>9340</v>
      </c>
      <c r="C550" s="2658" t="s">
        <v>9067</v>
      </c>
      <c r="D550" s="2659">
        <v>89.968000000000004</v>
      </c>
      <c r="E550" s="2659">
        <v>89.731999999999999</v>
      </c>
      <c r="F550" s="2659">
        <v>88.993721500000007</v>
      </c>
      <c r="G550" s="2659">
        <v>88.893721499999998</v>
      </c>
      <c r="H550" s="2659">
        <v>88.344201999999996</v>
      </c>
      <c r="I550" s="2659">
        <v>87.969684000000001</v>
      </c>
      <c r="J550" s="2659"/>
      <c r="K550" s="2659"/>
      <c r="L550" s="2659"/>
      <c r="M550" s="2659"/>
      <c r="N550" s="2659"/>
      <c r="O550" s="2659"/>
      <c r="P550" s="2659"/>
      <c r="Q550" s="2659"/>
      <c r="R550" s="2667"/>
    </row>
    <row r="551" spans="1:18">
      <c r="A551" s="2651">
        <v>95</v>
      </c>
      <c r="B551" s="2654" t="s">
        <v>9341</v>
      </c>
      <c r="C551" s="2658" t="s">
        <v>9065</v>
      </c>
      <c r="D551" s="2659">
        <v>94.92</v>
      </c>
      <c r="E551" s="2659">
        <v>94.32</v>
      </c>
      <c r="F551" s="2659">
        <v>91.022886</v>
      </c>
      <c r="G551" s="2659">
        <v>90.722886000000003</v>
      </c>
      <c r="H551" s="2659">
        <v>88.424807999999999</v>
      </c>
      <c r="I551" s="2659">
        <v>87.026736</v>
      </c>
      <c r="J551" s="2659"/>
      <c r="K551" s="2659" t="s">
        <v>9066</v>
      </c>
      <c r="L551" s="2659">
        <v>88.504807999999997</v>
      </c>
      <c r="M551" s="2659">
        <v>89.304807999999994</v>
      </c>
      <c r="N551" s="2659">
        <v>91.102885999999998</v>
      </c>
      <c r="O551" s="2659">
        <v>91.502886000000004</v>
      </c>
      <c r="P551" s="2659">
        <v>95</v>
      </c>
      <c r="Q551" s="2659">
        <v>96.266028000000006</v>
      </c>
      <c r="R551" s="2667">
        <v>85</v>
      </c>
    </row>
    <row r="552" spans="1:18">
      <c r="A552" s="2651"/>
      <c r="B552" s="2654" t="s">
        <v>9341</v>
      </c>
      <c r="C552" s="2658" t="s">
        <v>9067</v>
      </c>
      <c r="D552" s="2659">
        <v>94.92</v>
      </c>
      <c r="E552" s="2659">
        <v>94.32</v>
      </c>
      <c r="F552" s="2659">
        <v>91.022886</v>
      </c>
      <c r="G552" s="2659">
        <v>90.832886000000002</v>
      </c>
      <c r="H552" s="2659">
        <v>88.424807999999999</v>
      </c>
      <c r="I552" s="2659">
        <v>87.136735999999999</v>
      </c>
      <c r="J552" s="2659"/>
      <c r="K552" s="2659"/>
      <c r="L552" s="2659"/>
      <c r="M552" s="2659"/>
      <c r="N552" s="2659"/>
      <c r="O552" s="2659"/>
      <c r="P552" s="2659"/>
      <c r="Q552" s="2659"/>
      <c r="R552" s="2667"/>
    </row>
    <row r="553" spans="1:18">
      <c r="A553" s="2651"/>
      <c r="B553" s="2654" t="s">
        <v>9342</v>
      </c>
      <c r="C553" s="2658" t="s">
        <v>9065</v>
      </c>
      <c r="D553" s="2659">
        <v>94.94</v>
      </c>
      <c r="E553" s="2659">
        <v>94.465000000000003</v>
      </c>
      <c r="F553" s="2659">
        <v>92.341924000000006</v>
      </c>
      <c r="G553" s="2659">
        <v>92.091924000000006</v>
      </c>
      <c r="H553" s="2659">
        <v>90.609871999999996</v>
      </c>
      <c r="I553" s="2659">
        <v>89.627824000000004</v>
      </c>
      <c r="J553" s="2659"/>
      <c r="K553" s="2659" t="s">
        <v>9066</v>
      </c>
      <c r="L553" s="2659">
        <v>90.669871999999998</v>
      </c>
      <c r="M553" s="2659">
        <v>91.269872000000007</v>
      </c>
      <c r="N553" s="2659">
        <v>92.401923999999994</v>
      </c>
      <c r="O553" s="2659">
        <v>92.736924000000002</v>
      </c>
      <c r="P553" s="2659">
        <v>95</v>
      </c>
      <c r="Q553" s="2659">
        <v>95.912351999999998</v>
      </c>
      <c r="R553" s="2667">
        <v>85</v>
      </c>
    </row>
    <row r="554" spans="1:18">
      <c r="A554" s="2651"/>
      <c r="B554" s="2654" t="s">
        <v>9342</v>
      </c>
      <c r="C554" s="2658" t="s">
        <v>9067</v>
      </c>
      <c r="D554" s="2659">
        <v>94.94</v>
      </c>
      <c r="E554" s="2659">
        <v>94.465000000000003</v>
      </c>
      <c r="F554" s="2659">
        <v>92.341924000000006</v>
      </c>
      <c r="G554" s="2659">
        <v>92.181923999999995</v>
      </c>
      <c r="H554" s="2659">
        <v>90.609871999999996</v>
      </c>
      <c r="I554" s="2659">
        <v>89.717823999999993</v>
      </c>
      <c r="J554" s="2659"/>
      <c r="K554" s="2659"/>
      <c r="L554" s="2659"/>
      <c r="M554" s="2659"/>
      <c r="N554" s="2659"/>
      <c r="O554" s="2659"/>
      <c r="P554" s="2659"/>
      <c r="Q554" s="2659"/>
      <c r="R554" s="2667"/>
    </row>
    <row r="555" spans="1:18">
      <c r="A555" s="2651"/>
      <c r="B555" s="2654" t="s">
        <v>9343</v>
      </c>
      <c r="C555" s="2658" t="s">
        <v>9065</v>
      </c>
      <c r="D555" s="2659">
        <v>94.951999999999998</v>
      </c>
      <c r="E555" s="2659">
        <v>94.576999999999998</v>
      </c>
      <c r="F555" s="2659">
        <v>93.003443000000004</v>
      </c>
      <c r="G555" s="2659">
        <v>92.779443000000001</v>
      </c>
      <c r="H555" s="2659">
        <v>91.704403999999997</v>
      </c>
      <c r="I555" s="2659">
        <v>90.931368000000006</v>
      </c>
      <c r="J555" s="2659"/>
      <c r="K555" s="2659" t="s">
        <v>9066</v>
      </c>
      <c r="L555" s="2659">
        <v>91.752403999999999</v>
      </c>
      <c r="M555" s="2659">
        <v>92.252403999999999</v>
      </c>
      <c r="N555" s="2659">
        <v>93.051443000000006</v>
      </c>
      <c r="O555" s="2659">
        <v>93.351443000000003</v>
      </c>
      <c r="P555" s="2659">
        <v>95</v>
      </c>
      <c r="Q555" s="2659">
        <v>95.733013999999997</v>
      </c>
      <c r="R555" s="2667">
        <v>86</v>
      </c>
    </row>
    <row r="556" spans="1:18">
      <c r="A556" s="2651"/>
      <c r="B556" s="2654" t="s">
        <v>9343</v>
      </c>
      <c r="C556" s="2658" t="s">
        <v>9067</v>
      </c>
      <c r="D556" s="2659">
        <v>94.951999999999998</v>
      </c>
      <c r="E556" s="2659">
        <v>94.576999999999998</v>
      </c>
      <c r="F556" s="2659">
        <v>93.003443000000004</v>
      </c>
      <c r="G556" s="2659">
        <v>92.863443000000004</v>
      </c>
      <c r="H556" s="2659">
        <v>91.704403999999997</v>
      </c>
      <c r="I556" s="2659">
        <v>91.015367999999995</v>
      </c>
      <c r="J556" s="2659"/>
      <c r="K556" s="2659"/>
      <c r="L556" s="2659"/>
      <c r="M556" s="2659"/>
      <c r="N556" s="2659"/>
      <c r="O556" s="2659"/>
      <c r="P556" s="2659"/>
      <c r="Q556" s="2659"/>
      <c r="R556" s="2667"/>
    </row>
    <row r="557" spans="1:18">
      <c r="A557" s="2651"/>
      <c r="B557" s="2658" t="s">
        <v>9344</v>
      </c>
      <c r="C557" s="2658" t="s">
        <v>9065</v>
      </c>
      <c r="D557" s="2659">
        <v>94.962000000000003</v>
      </c>
      <c r="E557" s="2659">
        <v>94.682000000000002</v>
      </c>
      <c r="F557" s="2659">
        <v>93.662999999999997</v>
      </c>
      <c r="G557" s="2659">
        <v>93.472999999999999</v>
      </c>
      <c r="H557" s="2659">
        <v>92.796999999999997</v>
      </c>
      <c r="I557" s="2659">
        <v>92.241</v>
      </c>
      <c r="J557" s="2659"/>
      <c r="K557" s="2659" t="s">
        <v>9066</v>
      </c>
      <c r="L557" s="2659">
        <v>92.834999999999994</v>
      </c>
      <c r="M557" s="2659">
        <v>93.21</v>
      </c>
      <c r="N557" s="2659">
        <v>93.700999999999993</v>
      </c>
      <c r="O557" s="2659">
        <v>93.950999999999993</v>
      </c>
      <c r="P557" s="2659">
        <v>95</v>
      </c>
      <c r="Q557" s="2659">
        <v>95.539000000000001</v>
      </c>
      <c r="R557" s="2667">
        <v>86</v>
      </c>
    </row>
    <row r="558" spans="1:18">
      <c r="A558" s="2651"/>
      <c r="B558" s="2658" t="s">
        <v>9344</v>
      </c>
      <c r="C558" s="2658" t="s">
        <v>9067</v>
      </c>
      <c r="D558" s="2659">
        <v>94.962000000000003</v>
      </c>
      <c r="E558" s="2659">
        <v>94.682000000000002</v>
      </c>
      <c r="F558" s="2659">
        <v>93.662999999999997</v>
      </c>
      <c r="G558" s="2659">
        <v>93.545000000000002</v>
      </c>
      <c r="H558" s="2659">
        <v>92.796999999999997</v>
      </c>
      <c r="I558" s="2659">
        <v>92.313000000000002</v>
      </c>
      <c r="J558" s="2659"/>
      <c r="K558" s="2659"/>
      <c r="L558" s="2659"/>
      <c r="M558" s="2659"/>
      <c r="N558" s="2659"/>
      <c r="O558" s="2659"/>
      <c r="P558" s="2659"/>
      <c r="Q558" s="2659"/>
      <c r="R558" s="2667"/>
    </row>
    <row r="559" spans="1:18">
      <c r="A559" s="2651"/>
      <c r="B559" s="2654" t="s">
        <v>9345</v>
      </c>
      <c r="C559" s="2658" t="s">
        <v>9065</v>
      </c>
      <c r="D559" s="2659">
        <v>94.968000000000004</v>
      </c>
      <c r="E559" s="2659">
        <v>94.731999999999999</v>
      </c>
      <c r="F559" s="2659">
        <v>93.993721500000007</v>
      </c>
      <c r="G559" s="2659">
        <v>93.8137215</v>
      </c>
      <c r="H559" s="2659">
        <v>93.344201999999996</v>
      </c>
      <c r="I559" s="2659">
        <v>92.889684000000003</v>
      </c>
      <c r="J559" s="2659"/>
      <c r="K559" s="2659" t="s">
        <v>9066</v>
      </c>
      <c r="L559" s="2659">
        <v>93.376202000000006</v>
      </c>
      <c r="M559" s="2659">
        <v>93.676202000000004</v>
      </c>
      <c r="N559" s="2659">
        <v>94.025721500000003</v>
      </c>
      <c r="O559" s="2659">
        <v>94.261721499999993</v>
      </c>
      <c r="P559" s="2659">
        <v>95</v>
      </c>
      <c r="Q559" s="2659">
        <v>95.452506999999997</v>
      </c>
      <c r="R559" s="2667">
        <v>86</v>
      </c>
    </row>
    <row r="560" spans="1:18">
      <c r="A560" s="2651"/>
      <c r="B560" s="2654" t="s">
        <v>9345</v>
      </c>
      <c r="C560" s="2658" t="s">
        <v>9067</v>
      </c>
      <c r="D560" s="2659">
        <v>94.968000000000004</v>
      </c>
      <c r="E560" s="2659">
        <v>94.731999999999999</v>
      </c>
      <c r="F560" s="2659">
        <v>93.993721500000007</v>
      </c>
      <c r="G560" s="2659">
        <v>93.881721499999998</v>
      </c>
      <c r="H560" s="2659">
        <v>93.344201999999996</v>
      </c>
      <c r="I560" s="2659">
        <v>92.957684</v>
      </c>
      <c r="J560" s="2659"/>
      <c r="K560" s="2659"/>
      <c r="L560" s="2659"/>
      <c r="M560" s="2659"/>
      <c r="N560" s="2659"/>
      <c r="O560" s="2659"/>
      <c r="P560" s="2659"/>
      <c r="Q560" s="2659"/>
      <c r="R560" s="2667"/>
    </row>
    <row r="561" spans="1:18">
      <c r="A561" s="2651">
        <v>100</v>
      </c>
      <c r="B561" s="2658" t="s">
        <v>9346</v>
      </c>
      <c r="C561" s="2658" t="s">
        <v>9065</v>
      </c>
      <c r="D561" s="2659">
        <v>99.92</v>
      </c>
      <c r="E561" s="2659">
        <v>99.32</v>
      </c>
      <c r="F561" s="2659">
        <v>96.022999999999996</v>
      </c>
      <c r="G561" s="2659">
        <v>95.722999999999999</v>
      </c>
      <c r="H561" s="2659">
        <v>93.424999999999997</v>
      </c>
      <c r="I561" s="2659">
        <v>92.027000000000001</v>
      </c>
      <c r="J561" s="2659"/>
      <c r="K561" s="2659" t="s">
        <v>9066</v>
      </c>
      <c r="L561" s="2659">
        <v>93.504999999999995</v>
      </c>
      <c r="M561" s="2659">
        <v>94.305000000000007</v>
      </c>
      <c r="N561" s="2659">
        <v>96.102999999999994</v>
      </c>
      <c r="O561" s="2659">
        <v>96.503</v>
      </c>
      <c r="P561" s="2659">
        <v>100</v>
      </c>
      <c r="Q561" s="2659">
        <v>101.26600000000001</v>
      </c>
      <c r="R561" s="2667">
        <v>90</v>
      </c>
    </row>
    <row r="562" spans="1:18">
      <c r="A562" s="2651"/>
      <c r="B562" s="2658" t="s">
        <v>9346</v>
      </c>
      <c r="C562" s="2658" t="s">
        <v>9067</v>
      </c>
      <c r="D562" s="2659">
        <v>99.92</v>
      </c>
      <c r="E562" s="2659">
        <v>99.32</v>
      </c>
      <c r="F562" s="2659">
        <v>96.022999999999996</v>
      </c>
      <c r="G562" s="2659">
        <v>95.832999999999998</v>
      </c>
      <c r="H562" s="2659">
        <v>93.424999999999997</v>
      </c>
      <c r="I562" s="2659">
        <v>92.137</v>
      </c>
      <c r="J562" s="2659"/>
      <c r="K562" s="2659"/>
      <c r="L562" s="2659"/>
      <c r="M562" s="2659"/>
      <c r="N562" s="2659"/>
      <c r="O562" s="2659"/>
      <c r="P562" s="2659"/>
      <c r="Q562" s="2659"/>
      <c r="R562" s="2667"/>
    </row>
    <row r="563" spans="1:18">
      <c r="A563" s="2651"/>
      <c r="B563" s="2654" t="s">
        <v>9347</v>
      </c>
      <c r="C563" s="2658" t="s">
        <v>9065</v>
      </c>
      <c r="D563" s="2659">
        <v>99.94</v>
      </c>
      <c r="E563" s="2659">
        <v>99.465000000000003</v>
      </c>
      <c r="F563" s="2659">
        <v>97.341924000000006</v>
      </c>
      <c r="G563" s="2659">
        <v>97.091924000000006</v>
      </c>
      <c r="H563" s="2659">
        <v>95.609871999999996</v>
      </c>
      <c r="I563" s="2659">
        <v>94.627824000000004</v>
      </c>
      <c r="J563" s="2659"/>
      <c r="K563" s="2659" t="s">
        <v>9066</v>
      </c>
      <c r="L563" s="2659">
        <v>95.669871999999998</v>
      </c>
      <c r="M563" s="2659">
        <v>96.269872000000007</v>
      </c>
      <c r="N563" s="2659">
        <v>97.401923999999994</v>
      </c>
      <c r="O563" s="2659">
        <v>97.736924000000002</v>
      </c>
      <c r="P563" s="2659">
        <v>100</v>
      </c>
      <c r="Q563" s="2659">
        <v>100.912352</v>
      </c>
      <c r="R563" s="2667">
        <v>90</v>
      </c>
    </row>
    <row r="564" spans="1:18">
      <c r="A564" s="2651"/>
      <c r="B564" s="2654" t="s">
        <v>9347</v>
      </c>
      <c r="C564" s="2658" t="s">
        <v>9067</v>
      </c>
      <c r="D564" s="2659">
        <v>99.94</v>
      </c>
      <c r="E564" s="2659">
        <v>99.465000000000003</v>
      </c>
      <c r="F564" s="2659">
        <v>97.341924000000006</v>
      </c>
      <c r="G564" s="2659">
        <v>97.181923999999995</v>
      </c>
      <c r="H564" s="2659">
        <v>95.609871999999996</v>
      </c>
      <c r="I564" s="2659">
        <v>94.717823999999993</v>
      </c>
      <c r="J564" s="2659"/>
      <c r="K564" s="2659"/>
      <c r="L564" s="2659"/>
      <c r="M564" s="2659"/>
      <c r="N564" s="2659"/>
      <c r="O564" s="2659"/>
      <c r="P564" s="2659"/>
      <c r="Q564" s="2659"/>
      <c r="R564" s="2667"/>
    </row>
    <row r="565" spans="1:18">
      <c r="A565" s="2651"/>
      <c r="B565" s="2654" t="s">
        <v>9348</v>
      </c>
      <c r="C565" s="2658" t="s">
        <v>9065</v>
      </c>
      <c r="D565" s="2659">
        <v>99.951999999999998</v>
      </c>
      <c r="E565" s="2659">
        <v>99.576999999999998</v>
      </c>
      <c r="F565" s="2659">
        <v>98.003443000000004</v>
      </c>
      <c r="G565" s="2659">
        <v>97.779443000000001</v>
      </c>
      <c r="H565" s="2659">
        <v>96.704403999999997</v>
      </c>
      <c r="I565" s="2659">
        <v>95.931368000000006</v>
      </c>
      <c r="J565" s="2659"/>
      <c r="K565" s="2659" t="s">
        <v>9066</v>
      </c>
      <c r="L565" s="2659">
        <v>96.752403999999999</v>
      </c>
      <c r="M565" s="2659">
        <v>97.252403999999999</v>
      </c>
      <c r="N565" s="2659">
        <v>98.051443000000006</v>
      </c>
      <c r="O565" s="2659">
        <v>98.351443000000003</v>
      </c>
      <c r="P565" s="2659">
        <v>100</v>
      </c>
      <c r="Q565" s="2659">
        <v>100.733014</v>
      </c>
      <c r="R565" s="2667">
        <v>90</v>
      </c>
    </row>
    <row r="566" spans="1:18">
      <c r="A566" s="2651"/>
      <c r="B566" s="2654" t="s">
        <v>9348</v>
      </c>
      <c r="C566" s="2658" t="s">
        <v>9067</v>
      </c>
      <c r="D566" s="2659">
        <v>99.951999999999998</v>
      </c>
      <c r="E566" s="2659">
        <v>99.576999999999998</v>
      </c>
      <c r="F566" s="2659">
        <v>98.003443000000004</v>
      </c>
      <c r="G566" s="2659">
        <v>97.863443000000004</v>
      </c>
      <c r="H566" s="2659">
        <v>96.704403999999997</v>
      </c>
      <c r="I566" s="2659">
        <v>96.015367999999995</v>
      </c>
      <c r="J566" s="2659"/>
      <c r="K566" s="2659"/>
      <c r="L566" s="2659"/>
      <c r="M566" s="2659"/>
      <c r="N566" s="2659"/>
      <c r="O566" s="2659"/>
      <c r="P566" s="2659"/>
      <c r="Q566" s="2659"/>
      <c r="R566" s="2667"/>
    </row>
    <row r="567" spans="1:18">
      <c r="A567" s="2651"/>
      <c r="B567" s="2658" t="s">
        <v>9349</v>
      </c>
      <c r="C567" s="2658" t="s">
        <v>9065</v>
      </c>
      <c r="D567" s="2659">
        <v>99.962000000000003</v>
      </c>
      <c r="E567" s="2659">
        <v>99.682000000000002</v>
      </c>
      <c r="F567" s="2659">
        <v>98.662999999999997</v>
      </c>
      <c r="G567" s="2659">
        <v>98.472999999999999</v>
      </c>
      <c r="H567" s="2659">
        <v>97.796999999999997</v>
      </c>
      <c r="I567" s="2659">
        <v>97.241</v>
      </c>
      <c r="J567" s="2659"/>
      <c r="K567" s="2659" t="s">
        <v>9066</v>
      </c>
      <c r="L567" s="2659">
        <v>97.834999999999994</v>
      </c>
      <c r="M567" s="2659">
        <v>98.21</v>
      </c>
      <c r="N567" s="2659">
        <v>98.700999999999993</v>
      </c>
      <c r="O567" s="2659">
        <v>98.950999999999993</v>
      </c>
      <c r="P567" s="2659">
        <v>100</v>
      </c>
      <c r="Q567" s="2659">
        <v>100.539</v>
      </c>
      <c r="R567" s="2667">
        <v>90</v>
      </c>
    </row>
    <row r="568" spans="1:18">
      <c r="A568" s="2651"/>
      <c r="B568" s="2658" t="s">
        <v>9349</v>
      </c>
      <c r="C568" s="2658" t="s">
        <v>9067</v>
      </c>
      <c r="D568" s="2659">
        <v>99.962000000000003</v>
      </c>
      <c r="E568" s="2659">
        <v>99.682000000000002</v>
      </c>
      <c r="F568" s="2659">
        <v>98.662999999999997</v>
      </c>
      <c r="G568" s="2659">
        <v>98.545000000000002</v>
      </c>
      <c r="H568" s="2659">
        <v>97.796999999999997</v>
      </c>
      <c r="I568" s="2659">
        <v>97.313000000000002</v>
      </c>
      <c r="J568" s="2659"/>
      <c r="K568" s="2659"/>
      <c r="L568" s="2659"/>
      <c r="M568" s="2659"/>
      <c r="N568" s="2659"/>
      <c r="O568" s="2659"/>
      <c r="P568" s="2659"/>
      <c r="Q568" s="2659"/>
      <c r="R568" s="2667"/>
    </row>
    <row r="569" spans="1:18">
      <c r="A569" s="2651"/>
      <c r="B569" s="2654" t="s">
        <v>9350</v>
      </c>
      <c r="C569" s="2658" t="s">
        <v>9065</v>
      </c>
      <c r="D569" s="2659">
        <v>99.968000000000004</v>
      </c>
      <c r="E569" s="2659">
        <v>99.731999999999999</v>
      </c>
      <c r="F569" s="2659">
        <v>98.993721500000007</v>
      </c>
      <c r="G569" s="2659">
        <v>98.8137215</v>
      </c>
      <c r="H569" s="2659">
        <v>98.344201999999996</v>
      </c>
      <c r="I569" s="2659">
        <v>97.889684000000003</v>
      </c>
      <c r="J569" s="2659"/>
      <c r="K569" s="2659" t="s">
        <v>9066</v>
      </c>
      <c r="L569" s="2659">
        <v>98.376202000000006</v>
      </c>
      <c r="M569" s="2659">
        <v>98.676202000000004</v>
      </c>
      <c r="N569" s="2659">
        <v>99.025721500000003</v>
      </c>
      <c r="O569" s="2659">
        <v>99.261721499999993</v>
      </c>
      <c r="P569" s="2659">
        <v>100</v>
      </c>
      <c r="Q569" s="2659">
        <v>100.452507</v>
      </c>
      <c r="R569" s="2667">
        <v>95</v>
      </c>
    </row>
    <row r="570" spans="1:18">
      <c r="A570" s="2651"/>
      <c r="B570" s="2654" t="s">
        <v>9350</v>
      </c>
      <c r="C570" s="2658" t="s">
        <v>9067</v>
      </c>
      <c r="D570" s="2659">
        <v>99.968000000000004</v>
      </c>
      <c r="E570" s="2659">
        <v>99.731999999999999</v>
      </c>
      <c r="F570" s="2659">
        <v>98.993721500000007</v>
      </c>
      <c r="G570" s="2659">
        <v>98.881721499999998</v>
      </c>
      <c r="H570" s="2659">
        <v>98.344201999999996</v>
      </c>
      <c r="I570" s="2659">
        <v>97.957684</v>
      </c>
      <c r="J570" s="2659"/>
      <c r="K570" s="2659"/>
      <c r="L570" s="2659"/>
      <c r="M570" s="2659"/>
      <c r="N570" s="2659"/>
      <c r="O570" s="2659"/>
      <c r="P570" s="2659"/>
      <c r="Q570" s="2659"/>
      <c r="R570" s="2667"/>
    </row>
    <row r="571" spans="1:18">
      <c r="A571" s="2651">
        <v>105</v>
      </c>
      <c r="B571" s="2654" t="s">
        <v>9351</v>
      </c>
      <c r="C571" s="2658" t="s">
        <v>9065</v>
      </c>
      <c r="D571" s="2659">
        <v>104.92</v>
      </c>
      <c r="E571" s="2659">
        <v>104.32</v>
      </c>
      <c r="F571" s="2659">
        <v>101.022886</v>
      </c>
      <c r="G571" s="2659">
        <v>100.722886</v>
      </c>
      <c r="H571" s="2659">
        <v>98.424807999999999</v>
      </c>
      <c r="I571" s="2659">
        <v>97.026736</v>
      </c>
      <c r="J571" s="2659"/>
      <c r="K571" s="2659" t="s">
        <v>9066</v>
      </c>
      <c r="L571" s="2659">
        <v>98.504807999999997</v>
      </c>
      <c r="M571" s="2659">
        <v>99.304807999999994</v>
      </c>
      <c r="N571" s="2659">
        <v>101.102886</v>
      </c>
      <c r="O571" s="2659">
        <v>101.502886</v>
      </c>
      <c r="P571" s="2659">
        <v>105</v>
      </c>
      <c r="Q571" s="2659">
        <v>106.26602800000001</v>
      </c>
      <c r="R571" s="2667">
        <v>95</v>
      </c>
    </row>
    <row r="572" spans="1:18">
      <c r="A572" s="2651"/>
      <c r="B572" s="2654" t="s">
        <v>9351</v>
      </c>
      <c r="C572" s="2658" t="s">
        <v>9067</v>
      </c>
      <c r="D572" s="2659">
        <v>104.92</v>
      </c>
      <c r="E572" s="2659">
        <v>104.32</v>
      </c>
      <c r="F572" s="2659">
        <v>101.022886</v>
      </c>
      <c r="G572" s="2659">
        <v>100.832886</v>
      </c>
      <c r="H572" s="2659">
        <v>98.424807999999999</v>
      </c>
      <c r="I572" s="2659">
        <v>97.136735999999999</v>
      </c>
      <c r="J572" s="2659"/>
      <c r="K572" s="2659"/>
      <c r="L572" s="2659"/>
      <c r="M572" s="2659"/>
      <c r="N572" s="2659"/>
      <c r="O572" s="2659"/>
      <c r="P572" s="2659"/>
      <c r="Q572" s="2659"/>
      <c r="R572" s="2667"/>
    </row>
    <row r="573" spans="1:18">
      <c r="A573" s="2651"/>
      <c r="B573" s="2654" t="s">
        <v>9352</v>
      </c>
      <c r="C573" s="2658" t="s">
        <v>9065</v>
      </c>
      <c r="D573" s="2659">
        <v>104.94</v>
      </c>
      <c r="E573" s="2659">
        <v>104.465</v>
      </c>
      <c r="F573" s="2659">
        <v>102.34192400000001</v>
      </c>
      <c r="G573" s="2659">
        <v>102.09192400000001</v>
      </c>
      <c r="H573" s="2659">
        <v>100.609872</v>
      </c>
      <c r="I573" s="2659">
        <v>99.627824000000004</v>
      </c>
      <c r="J573" s="2659"/>
      <c r="K573" s="2659" t="s">
        <v>9066</v>
      </c>
      <c r="L573" s="2659">
        <v>100.669872</v>
      </c>
      <c r="M573" s="2659">
        <v>101.26987200000001</v>
      </c>
      <c r="N573" s="2659">
        <v>102.40192399999999</v>
      </c>
      <c r="O573" s="2659">
        <v>102.736924</v>
      </c>
      <c r="P573" s="2659">
        <v>105</v>
      </c>
      <c r="Q573" s="2659">
        <v>105.912352</v>
      </c>
      <c r="R573" s="2667">
        <v>95</v>
      </c>
    </row>
    <row r="574" spans="1:18">
      <c r="A574" s="2651"/>
      <c r="B574" s="2654" t="s">
        <v>9352</v>
      </c>
      <c r="C574" s="2658" t="s">
        <v>9067</v>
      </c>
      <c r="D574" s="2659">
        <v>104.94</v>
      </c>
      <c r="E574" s="2659">
        <v>104.465</v>
      </c>
      <c r="F574" s="2659">
        <v>102.34192400000001</v>
      </c>
      <c r="G574" s="2659">
        <v>102.181924</v>
      </c>
      <c r="H574" s="2659">
        <v>100.609872</v>
      </c>
      <c r="I574" s="2659">
        <v>99.717823999999993</v>
      </c>
      <c r="J574" s="2659"/>
      <c r="K574" s="2659"/>
      <c r="L574" s="2659"/>
      <c r="M574" s="2659"/>
      <c r="N574" s="2659"/>
      <c r="O574" s="2659"/>
      <c r="P574" s="2659"/>
      <c r="Q574" s="2659"/>
      <c r="R574" s="2667"/>
    </row>
    <row r="575" spans="1:18">
      <c r="A575" s="2651"/>
      <c r="B575" s="2654" t="s">
        <v>9353</v>
      </c>
      <c r="C575" s="2658" t="s">
        <v>9065</v>
      </c>
      <c r="D575" s="2659">
        <v>104.952</v>
      </c>
      <c r="E575" s="2659">
        <v>104.577</v>
      </c>
      <c r="F575" s="2659">
        <v>103.003443</v>
      </c>
      <c r="G575" s="2659">
        <v>102.779443</v>
      </c>
      <c r="H575" s="2659">
        <v>101.704404</v>
      </c>
      <c r="I575" s="2659">
        <v>100.93136800000001</v>
      </c>
      <c r="J575" s="2659"/>
      <c r="K575" s="2659" t="s">
        <v>9066</v>
      </c>
      <c r="L575" s="2659">
        <v>101.752404</v>
      </c>
      <c r="M575" s="2659">
        <v>102.252404</v>
      </c>
      <c r="N575" s="2659">
        <v>103.05144300000001</v>
      </c>
      <c r="O575" s="2659">
        <v>103.351443</v>
      </c>
      <c r="P575" s="2659">
        <v>105</v>
      </c>
      <c r="Q575" s="2659">
        <v>105.733014</v>
      </c>
      <c r="R575" s="2667">
        <v>99</v>
      </c>
    </row>
    <row r="576" spans="1:18">
      <c r="A576" s="2651"/>
      <c r="B576" s="2654" t="s">
        <v>9353</v>
      </c>
      <c r="C576" s="2658" t="s">
        <v>9067</v>
      </c>
      <c r="D576" s="2659">
        <v>104.952</v>
      </c>
      <c r="E576" s="2659">
        <v>104.577</v>
      </c>
      <c r="F576" s="2659">
        <v>103.003443</v>
      </c>
      <c r="G576" s="2659">
        <v>102.863443</v>
      </c>
      <c r="H576" s="2659">
        <v>101.704404</v>
      </c>
      <c r="I576" s="2659">
        <v>101.015368</v>
      </c>
      <c r="J576" s="2659"/>
      <c r="K576" s="2659"/>
      <c r="L576" s="2659"/>
      <c r="M576" s="2659"/>
      <c r="N576" s="2659"/>
      <c r="O576" s="2659"/>
      <c r="P576" s="2659"/>
      <c r="Q576" s="2659"/>
      <c r="R576" s="2667"/>
    </row>
    <row r="577" spans="1:18">
      <c r="A577" s="2651"/>
      <c r="B577" s="2658" t="s">
        <v>9354</v>
      </c>
      <c r="C577" s="2658" t="s">
        <v>9065</v>
      </c>
      <c r="D577" s="2659">
        <v>104.962</v>
      </c>
      <c r="E577" s="2659">
        <v>104.682</v>
      </c>
      <c r="F577" s="2659">
        <v>103.663</v>
      </c>
      <c r="G577" s="2659">
        <v>103.473</v>
      </c>
      <c r="H577" s="2659">
        <v>102.797</v>
      </c>
      <c r="I577" s="2659">
        <v>102.241</v>
      </c>
      <c r="J577" s="2659"/>
      <c r="K577" s="2659" t="s">
        <v>9066</v>
      </c>
      <c r="L577" s="2659">
        <v>102.83499999999999</v>
      </c>
      <c r="M577" s="2659">
        <v>103.21</v>
      </c>
      <c r="N577" s="2659">
        <v>103.70099999999999</v>
      </c>
      <c r="O577" s="2659">
        <v>103.95099999999999</v>
      </c>
      <c r="P577" s="2659">
        <v>105</v>
      </c>
      <c r="Q577" s="2659">
        <v>105.539</v>
      </c>
      <c r="R577" s="2667">
        <v>95</v>
      </c>
    </row>
    <row r="578" spans="1:18">
      <c r="A578" s="2651"/>
      <c r="B578" s="2658" t="s">
        <v>9354</v>
      </c>
      <c r="C578" s="2658" t="s">
        <v>9067</v>
      </c>
      <c r="D578" s="2659">
        <v>104.962</v>
      </c>
      <c r="E578" s="2659">
        <v>104.682</v>
      </c>
      <c r="F578" s="2659">
        <v>103.663</v>
      </c>
      <c r="G578" s="2659">
        <v>103.545</v>
      </c>
      <c r="H578" s="2659">
        <v>102.797</v>
      </c>
      <c r="I578" s="2659">
        <v>102.313</v>
      </c>
      <c r="J578" s="2659"/>
      <c r="K578" s="2659"/>
      <c r="L578" s="2659"/>
      <c r="M578" s="2659"/>
      <c r="N578" s="2659"/>
      <c r="O578" s="2659"/>
      <c r="P578" s="2659"/>
      <c r="Q578" s="2659"/>
      <c r="R578" s="2667"/>
    </row>
    <row r="579" spans="1:18">
      <c r="A579" s="2651"/>
      <c r="B579" s="2654" t="s">
        <v>9355</v>
      </c>
      <c r="C579" s="2658" t="s">
        <v>9065</v>
      </c>
      <c r="D579" s="2659">
        <v>104.968</v>
      </c>
      <c r="E579" s="2659">
        <v>104.732</v>
      </c>
      <c r="F579" s="2659">
        <v>103.99372150000001</v>
      </c>
      <c r="G579" s="2659">
        <v>103.8137215</v>
      </c>
      <c r="H579" s="2659">
        <v>103.344202</v>
      </c>
      <c r="I579" s="2659">
        <v>102.889684</v>
      </c>
      <c r="J579" s="2659"/>
      <c r="K579" s="2659" t="s">
        <v>9066</v>
      </c>
      <c r="L579" s="2659">
        <v>103.37620200000001</v>
      </c>
      <c r="M579" s="2659">
        <v>103.676202</v>
      </c>
      <c r="N579" s="2659">
        <v>104.0257215</v>
      </c>
      <c r="O579" s="2659">
        <v>104.26172149999999</v>
      </c>
      <c r="P579" s="2659">
        <v>105</v>
      </c>
      <c r="Q579" s="2659">
        <v>105.452507</v>
      </c>
      <c r="R579" s="2667">
        <v>99</v>
      </c>
    </row>
    <row r="580" spans="1:18">
      <c r="A580" s="2651"/>
      <c r="B580" s="2654" t="s">
        <v>9355</v>
      </c>
      <c r="C580" s="2658" t="s">
        <v>9067</v>
      </c>
      <c r="D580" s="2659">
        <v>104.968</v>
      </c>
      <c r="E580" s="2659">
        <v>104.732</v>
      </c>
      <c r="F580" s="2659">
        <v>103.99372150000001</v>
      </c>
      <c r="G580" s="2659">
        <v>103.8817215</v>
      </c>
      <c r="H580" s="2659">
        <v>103.344202</v>
      </c>
      <c r="I580" s="2659">
        <v>102.957684</v>
      </c>
      <c r="J580" s="2659"/>
      <c r="K580" s="2659"/>
      <c r="L580" s="2659"/>
      <c r="M580" s="2659"/>
      <c r="N580" s="2659"/>
      <c r="O580" s="2659"/>
      <c r="P580" s="2659"/>
      <c r="Q580" s="2659"/>
      <c r="R580" s="2667"/>
    </row>
    <row r="581" spans="1:18">
      <c r="A581" s="2651">
        <v>110</v>
      </c>
      <c r="B581" s="2654" t="s">
        <v>9356</v>
      </c>
      <c r="C581" s="2658" t="s">
        <v>9065</v>
      </c>
      <c r="D581" s="2659">
        <v>109.92</v>
      </c>
      <c r="E581" s="2659">
        <v>109.32</v>
      </c>
      <c r="F581" s="2659">
        <v>106.022886</v>
      </c>
      <c r="G581" s="2659">
        <v>105.722886</v>
      </c>
      <c r="H581" s="2659">
        <v>103.424808</v>
      </c>
      <c r="I581" s="2659">
        <v>102.026736</v>
      </c>
      <c r="J581" s="2659"/>
      <c r="K581" s="2659" t="s">
        <v>9066</v>
      </c>
      <c r="L581" s="2659">
        <v>103.504808</v>
      </c>
      <c r="M581" s="2659">
        <v>104.30480799999999</v>
      </c>
      <c r="N581" s="2659">
        <v>106.102886</v>
      </c>
      <c r="O581" s="2659">
        <v>106.502886</v>
      </c>
      <c r="P581" s="2659">
        <v>110</v>
      </c>
      <c r="Q581" s="2659">
        <v>111.26602800000001</v>
      </c>
      <c r="R581" s="2667">
        <v>99</v>
      </c>
    </row>
    <row r="582" spans="1:18">
      <c r="A582" s="2651"/>
      <c r="B582" s="2654" t="s">
        <v>9356</v>
      </c>
      <c r="C582" s="2658" t="s">
        <v>9067</v>
      </c>
      <c r="D582" s="2659">
        <v>109.92</v>
      </c>
      <c r="E582" s="2659">
        <v>109.32</v>
      </c>
      <c r="F582" s="2659">
        <v>106.022886</v>
      </c>
      <c r="G582" s="2659">
        <v>105.832886</v>
      </c>
      <c r="H582" s="2659">
        <v>103.424808</v>
      </c>
      <c r="I582" s="2659">
        <v>102.136736</v>
      </c>
      <c r="J582" s="2659"/>
      <c r="K582" s="2659"/>
      <c r="L582" s="2659"/>
      <c r="M582" s="2659"/>
      <c r="N582" s="2659"/>
      <c r="O582" s="2659"/>
      <c r="P582" s="2659"/>
      <c r="Q582" s="2659"/>
      <c r="R582" s="2667"/>
    </row>
    <row r="583" spans="1:18">
      <c r="A583" s="2651"/>
      <c r="B583" s="2654" t="s">
        <v>9357</v>
      </c>
      <c r="C583" s="2658" t="s">
        <v>9065</v>
      </c>
      <c r="D583" s="2659">
        <v>109.94</v>
      </c>
      <c r="E583" s="2659">
        <v>109.465</v>
      </c>
      <c r="F583" s="2659">
        <v>107.34192400000001</v>
      </c>
      <c r="G583" s="2659">
        <v>107.09192400000001</v>
      </c>
      <c r="H583" s="2659">
        <v>105.609872</v>
      </c>
      <c r="I583" s="2659">
        <v>104.627824</v>
      </c>
      <c r="J583" s="2659"/>
      <c r="K583" s="2659" t="s">
        <v>9066</v>
      </c>
      <c r="L583" s="2659">
        <v>105.669872</v>
      </c>
      <c r="M583" s="2659">
        <v>106.26987200000001</v>
      </c>
      <c r="N583" s="2659">
        <v>107.40192399999999</v>
      </c>
      <c r="O583" s="2659">
        <v>107.736924</v>
      </c>
      <c r="P583" s="2659">
        <v>110</v>
      </c>
      <c r="Q583" s="2659">
        <v>110.912352</v>
      </c>
      <c r="R583" s="2667">
        <v>99</v>
      </c>
    </row>
    <row r="584" spans="1:18">
      <c r="A584" s="2651"/>
      <c r="B584" s="2654" t="s">
        <v>9357</v>
      </c>
      <c r="C584" s="2658" t="s">
        <v>9067</v>
      </c>
      <c r="D584" s="2659">
        <v>109.94</v>
      </c>
      <c r="E584" s="2659">
        <v>109.465</v>
      </c>
      <c r="F584" s="2659">
        <v>107.34192400000001</v>
      </c>
      <c r="G584" s="2659">
        <v>107.181924</v>
      </c>
      <c r="H584" s="2659">
        <v>105.609872</v>
      </c>
      <c r="I584" s="2659">
        <v>104.71782399999999</v>
      </c>
      <c r="J584" s="2659"/>
      <c r="K584" s="2659"/>
      <c r="L584" s="2659"/>
      <c r="M584" s="2659"/>
      <c r="N584" s="2659"/>
      <c r="O584" s="2659"/>
      <c r="P584" s="2659"/>
      <c r="Q584" s="2659"/>
      <c r="R584" s="2667"/>
    </row>
    <row r="585" spans="1:18">
      <c r="A585" s="2651"/>
      <c r="B585" s="2654" t="s">
        <v>9358</v>
      </c>
      <c r="C585" s="2658" t="s">
        <v>9065</v>
      </c>
      <c r="D585" s="2659">
        <v>109.952</v>
      </c>
      <c r="E585" s="2659">
        <v>109.577</v>
      </c>
      <c r="F585" s="2659">
        <v>108.003443</v>
      </c>
      <c r="G585" s="2659">
        <v>107.779443</v>
      </c>
      <c r="H585" s="2659">
        <v>106.704404</v>
      </c>
      <c r="I585" s="2659">
        <v>105.93136800000001</v>
      </c>
      <c r="J585" s="2659"/>
      <c r="K585" s="2659" t="s">
        <v>9066</v>
      </c>
      <c r="L585" s="2659">
        <v>106.752404</v>
      </c>
      <c r="M585" s="2659">
        <v>107.252404</v>
      </c>
      <c r="N585" s="2659">
        <v>108.05144300000001</v>
      </c>
      <c r="O585" s="2659">
        <v>108.351443</v>
      </c>
      <c r="P585" s="2659">
        <v>110</v>
      </c>
      <c r="Q585" s="2659">
        <v>110.733014</v>
      </c>
      <c r="R585" s="2667">
        <v>99</v>
      </c>
    </row>
    <row r="586" spans="1:18">
      <c r="A586" s="2651"/>
      <c r="B586" s="2654" t="s">
        <v>9358</v>
      </c>
      <c r="C586" s="2658" t="s">
        <v>9067</v>
      </c>
      <c r="D586" s="2659">
        <v>109.952</v>
      </c>
      <c r="E586" s="2659">
        <v>109.577</v>
      </c>
      <c r="F586" s="2659">
        <v>108.003443</v>
      </c>
      <c r="G586" s="2659">
        <v>107.863443</v>
      </c>
      <c r="H586" s="2659">
        <v>106.704404</v>
      </c>
      <c r="I586" s="2659">
        <v>106.015368</v>
      </c>
      <c r="J586" s="2659"/>
      <c r="K586" s="2659"/>
      <c r="L586" s="2659"/>
      <c r="M586" s="2659"/>
      <c r="N586" s="2659"/>
      <c r="O586" s="2659"/>
      <c r="P586" s="2659"/>
      <c r="Q586" s="2659"/>
      <c r="R586" s="2667"/>
    </row>
    <row r="587" spans="1:18">
      <c r="A587" s="2651"/>
      <c r="B587" s="2658" t="s">
        <v>9359</v>
      </c>
      <c r="C587" s="2658" t="s">
        <v>9065</v>
      </c>
      <c r="D587" s="2659">
        <v>109.962</v>
      </c>
      <c r="E587" s="2659">
        <v>109.682</v>
      </c>
      <c r="F587" s="2659">
        <v>108.663</v>
      </c>
      <c r="G587" s="2659">
        <v>108.473</v>
      </c>
      <c r="H587" s="2659">
        <v>107.797</v>
      </c>
      <c r="I587" s="2659">
        <v>107.241</v>
      </c>
      <c r="J587" s="2659"/>
      <c r="K587" s="2659" t="s">
        <v>9066</v>
      </c>
      <c r="L587" s="2659">
        <v>107.83499999999999</v>
      </c>
      <c r="M587" s="2659">
        <v>108.21</v>
      </c>
      <c r="N587" s="2659">
        <v>108.70099999999999</v>
      </c>
      <c r="O587" s="2659">
        <v>108.95099999999999</v>
      </c>
      <c r="P587" s="2659">
        <v>110</v>
      </c>
      <c r="Q587" s="2659">
        <v>110.539</v>
      </c>
      <c r="R587" s="2667">
        <v>99</v>
      </c>
    </row>
    <row r="588" spans="1:18">
      <c r="A588" s="2651"/>
      <c r="B588" s="2658" t="s">
        <v>9359</v>
      </c>
      <c r="C588" s="2658" t="s">
        <v>9067</v>
      </c>
      <c r="D588" s="2659">
        <v>109.962</v>
      </c>
      <c r="E588" s="2659">
        <v>109.682</v>
      </c>
      <c r="F588" s="2659">
        <v>108.663</v>
      </c>
      <c r="G588" s="2659">
        <v>108.545</v>
      </c>
      <c r="H588" s="2659">
        <v>107.797</v>
      </c>
      <c r="I588" s="2659">
        <v>107.313</v>
      </c>
      <c r="J588" s="2659"/>
      <c r="K588" s="2659"/>
      <c r="L588" s="2659"/>
      <c r="M588" s="2659"/>
      <c r="N588" s="2659"/>
      <c r="O588" s="2659"/>
      <c r="P588" s="2659"/>
      <c r="Q588" s="2659"/>
      <c r="R588" s="2667"/>
    </row>
    <row r="589" spans="1:18">
      <c r="A589" s="2651"/>
      <c r="B589" s="2654" t="s">
        <v>9360</v>
      </c>
      <c r="C589" s="2658" t="s">
        <v>9065</v>
      </c>
      <c r="D589" s="2659">
        <v>109.968</v>
      </c>
      <c r="E589" s="2659">
        <v>109.732</v>
      </c>
      <c r="F589" s="2659">
        <v>108.99372150000001</v>
      </c>
      <c r="G589" s="2659">
        <v>108.8137215</v>
      </c>
      <c r="H589" s="2659">
        <v>108.344202</v>
      </c>
      <c r="I589" s="2659">
        <v>107.889684</v>
      </c>
      <c r="J589" s="2659"/>
      <c r="K589" s="2659" t="s">
        <v>9066</v>
      </c>
      <c r="L589" s="2659">
        <v>108.37620200000001</v>
      </c>
      <c r="M589" s="2659">
        <v>108.676202</v>
      </c>
      <c r="N589" s="2659">
        <v>109.0257215</v>
      </c>
      <c r="O589" s="2659">
        <v>109.26172149999999</v>
      </c>
      <c r="P589" s="2659">
        <v>110</v>
      </c>
      <c r="Q589" s="2659">
        <v>110.452507</v>
      </c>
      <c r="R589" s="2667">
        <v>99</v>
      </c>
    </row>
    <row r="590" spans="1:18">
      <c r="A590" s="2651"/>
      <c r="B590" s="2654" t="s">
        <v>9360</v>
      </c>
      <c r="C590" s="2658" t="s">
        <v>9067</v>
      </c>
      <c r="D590" s="2659">
        <v>109.968</v>
      </c>
      <c r="E590" s="2659">
        <v>109.732</v>
      </c>
      <c r="F590" s="2659">
        <v>108.99372150000001</v>
      </c>
      <c r="G590" s="2659">
        <v>108.8817215</v>
      </c>
      <c r="H590" s="2659">
        <v>108.344202</v>
      </c>
      <c r="I590" s="2659">
        <v>107.957684</v>
      </c>
      <c r="J590" s="2659"/>
      <c r="K590" s="2659"/>
      <c r="L590" s="2659"/>
      <c r="M590" s="2659"/>
      <c r="N590" s="2659"/>
      <c r="O590" s="2659"/>
      <c r="P590" s="2659"/>
      <c r="Q590" s="2659"/>
      <c r="R590" s="2667"/>
    </row>
    <row r="591" spans="1:18">
      <c r="A591" s="2651">
        <v>115</v>
      </c>
      <c r="B591" s="2654" t="s">
        <v>9361</v>
      </c>
      <c r="C591" s="2658" t="s">
        <v>9065</v>
      </c>
      <c r="D591" s="2659">
        <v>114.92</v>
      </c>
      <c r="E591" s="2659">
        <v>114.32</v>
      </c>
      <c r="F591" s="2659">
        <v>111.022886</v>
      </c>
      <c r="G591" s="2659">
        <v>110.722886</v>
      </c>
      <c r="H591" s="2659">
        <v>108.424808</v>
      </c>
      <c r="I591" s="2659">
        <v>107.026736</v>
      </c>
      <c r="J591" s="2659"/>
      <c r="K591" s="2659" t="s">
        <v>9066</v>
      </c>
      <c r="L591" s="2659">
        <v>108.504808</v>
      </c>
      <c r="M591" s="2659">
        <v>109.30480799999999</v>
      </c>
      <c r="N591" s="2659">
        <v>111.102886</v>
      </c>
      <c r="O591" s="2659">
        <v>111.502886</v>
      </c>
      <c r="P591" s="2659">
        <v>115</v>
      </c>
      <c r="Q591" s="2659">
        <v>116.26602800000001</v>
      </c>
      <c r="R591" s="2667">
        <v>99</v>
      </c>
    </row>
    <row r="592" spans="1:18">
      <c r="A592" s="2651"/>
      <c r="B592" s="2654" t="s">
        <v>9361</v>
      </c>
      <c r="C592" s="2658" t="s">
        <v>9067</v>
      </c>
      <c r="D592" s="2659">
        <v>114.92</v>
      </c>
      <c r="E592" s="2659">
        <v>114.32</v>
      </c>
      <c r="F592" s="2659">
        <v>111.022886</v>
      </c>
      <c r="G592" s="2659">
        <v>110.832886</v>
      </c>
      <c r="H592" s="2659">
        <v>108.424808</v>
      </c>
      <c r="I592" s="2659">
        <v>107.136736</v>
      </c>
      <c r="J592" s="2659"/>
      <c r="K592" s="2659"/>
      <c r="L592" s="2659"/>
      <c r="M592" s="2659"/>
      <c r="N592" s="2659"/>
      <c r="O592" s="2659"/>
      <c r="P592" s="2659"/>
      <c r="Q592" s="2659"/>
      <c r="R592" s="2667"/>
    </row>
    <row r="593" spans="1:18">
      <c r="A593" s="2651"/>
      <c r="B593" s="2654" t="s">
        <v>9362</v>
      </c>
      <c r="C593" s="2658" t="s">
        <v>9065</v>
      </c>
      <c r="D593" s="2659">
        <v>114.94</v>
      </c>
      <c r="E593" s="2659">
        <v>114.465</v>
      </c>
      <c r="F593" s="2659">
        <v>112.34192400000001</v>
      </c>
      <c r="G593" s="2659">
        <v>112.09192400000001</v>
      </c>
      <c r="H593" s="2659">
        <v>110.609872</v>
      </c>
      <c r="I593" s="2659">
        <v>109.627824</v>
      </c>
      <c r="J593" s="2659"/>
      <c r="K593" s="2659" t="s">
        <v>9066</v>
      </c>
      <c r="L593" s="2659">
        <v>110.669872</v>
      </c>
      <c r="M593" s="2659">
        <v>111.26987200000001</v>
      </c>
      <c r="N593" s="2659">
        <v>112.40192399999999</v>
      </c>
      <c r="O593" s="2659">
        <v>112.736924</v>
      </c>
      <c r="P593" s="2659">
        <v>115</v>
      </c>
      <c r="Q593" s="2659">
        <v>115.912352</v>
      </c>
      <c r="R593" s="2667">
        <v>108</v>
      </c>
    </row>
    <row r="594" spans="1:18">
      <c r="A594" s="2651"/>
      <c r="B594" s="2654" t="s">
        <v>9362</v>
      </c>
      <c r="C594" s="2658" t="s">
        <v>9067</v>
      </c>
      <c r="D594" s="2659">
        <v>114.94</v>
      </c>
      <c r="E594" s="2659">
        <v>114.465</v>
      </c>
      <c r="F594" s="2659">
        <v>112.34192400000001</v>
      </c>
      <c r="G594" s="2659">
        <v>112.181924</v>
      </c>
      <c r="H594" s="2659">
        <v>110.609872</v>
      </c>
      <c r="I594" s="2659">
        <v>109.71782399999999</v>
      </c>
      <c r="J594" s="2659"/>
      <c r="K594" s="2659"/>
      <c r="L594" s="2659"/>
      <c r="M594" s="2659"/>
      <c r="N594" s="2659"/>
      <c r="O594" s="2659"/>
      <c r="P594" s="2659"/>
      <c r="Q594" s="2659"/>
      <c r="R594" s="2667"/>
    </row>
    <row r="595" spans="1:18">
      <c r="A595" s="2651"/>
      <c r="B595" s="2654" t="s">
        <v>9363</v>
      </c>
      <c r="C595" s="2658" t="s">
        <v>9065</v>
      </c>
      <c r="D595" s="2659">
        <v>114.952</v>
      </c>
      <c r="E595" s="2659">
        <v>114.577</v>
      </c>
      <c r="F595" s="2659">
        <v>113.003443</v>
      </c>
      <c r="G595" s="2659">
        <v>112.779443</v>
      </c>
      <c r="H595" s="2659">
        <v>111.704404</v>
      </c>
      <c r="I595" s="2659">
        <v>110.93136800000001</v>
      </c>
      <c r="J595" s="2659"/>
      <c r="K595" s="2659" t="s">
        <v>9066</v>
      </c>
      <c r="L595" s="2659">
        <v>111.752404</v>
      </c>
      <c r="M595" s="2659">
        <v>112.252404</v>
      </c>
      <c r="N595" s="2659">
        <v>113.05144300000001</v>
      </c>
      <c r="O595" s="2659">
        <v>113.351443</v>
      </c>
      <c r="P595" s="2659">
        <v>115</v>
      </c>
      <c r="Q595" s="2659">
        <v>115.733014</v>
      </c>
      <c r="R595" s="2667">
        <v>108</v>
      </c>
    </row>
    <row r="596" spans="1:18">
      <c r="A596" s="2651"/>
      <c r="B596" s="2654" t="s">
        <v>9363</v>
      </c>
      <c r="C596" s="2658" t="s">
        <v>9067</v>
      </c>
      <c r="D596" s="2659">
        <v>114.952</v>
      </c>
      <c r="E596" s="2659">
        <v>114.577</v>
      </c>
      <c r="F596" s="2659">
        <v>113.003443</v>
      </c>
      <c r="G596" s="2659">
        <v>112.863443</v>
      </c>
      <c r="H596" s="2659">
        <v>111.704404</v>
      </c>
      <c r="I596" s="2659">
        <v>111.015368</v>
      </c>
      <c r="J596" s="2659"/>
      <c r="K596" s="2659"/>
      <c r="L596" s="2659"/>
      <c r="M596" s="2659"/>
      <c r="N596" s="2659"/>
      <c r="O596" s="2659"/>
      <c r="P596" s="2659"/>
      <c r="Q596" s="2659"/>
      <c r="R596" s="2667"/>
    </row>
    <row r="597" spans="1:18">
      <c r="A597" s="2651"/>
      <c r="B597" s="2654" t="s">
        <v>9364</v>
      </c>
      <c r="C597" s="2658" t="s">
        <v>9065</v>
      </c>
      <c r="D597" s="2659">
        <v>114.962</v>
      </c>
      <c r="E597" s="2659">
        <v>114.682</v>
      </c>
      <c r="F597" s="2659">
        <v>113.66296199999999</v>
      </c>
      <c r="G597" s="2659">
        <v>113.472962</v>
      </c>
      <c r="H597" s="2659">
        <v>112.796936</v>
      </c>
      <c r="I597" s="2659">
        <v>112.24091199999999</v>
      </c>
      <c r="J597" s="2659"/>
      <c r="K597" s="2659" t="s">
        <v>9066</v>
      </c>
      <c r="L597" s="2659">
        <v>112.834936</v>
      </c>
      <c r="M597" s="2659">
        <v>113.209936</v>
      </c>
      <c r="N597" s="2659">
        <v>113.700962</v>
      </c>
      <c r="O597" s="2659">
        <v>113.950962</v>
      </c>
      <c r="P597" s="2659">
        <v>115</v>
      </c>
      <c r="Q597" s="2659">
        <v>115.538676</v>
      </c>
      <c r="R597" s="2667">
        <v>108</v>
      </c>
    </row>
    <row r="598" spans="1:18">
      <c r="A598" s="2651"/>
      <c r="B598" s="2654" t="s">
        <v>9364</v>
      </c>
      <c r="C598" s="2658" t="s">
        <v>9067</v>
      </c>
      <c r="D598" s="2659">
        <v>114.962</v>
      </c>
      <c r="E598" s="2659">
        <v>114.682</v>
      </c>
      <c r="F598" s="2659">
        <v>113.66296199999999</v>
      </c>
      <c r="G598" s="2659">
        <v>113.542962</v>
      </c>
      <c r="H598" s="2659">
        <v>112.796936</v>
      </c>
      <c r="I598" s="2659">
        <v>112.310912</v>
      </c>
      <c r="J598" s="2659"/>
      <c r="K598" s="2659"/>
      <c r="L598" s="2659"/>
      <c r="M598" s="2659"/>
      <c r="N598" s="2659"/>
      <c r="O598" s="2659"/>
      <c r="P598" s="2659"/>
      <c r="Q598" s="2659"/>
      <c r="R598" s="2667"/>
    </row>
    <row r="599" spans="1:18">
      <c r="A599" s="2651"/>
      <c r="B599" s="2654" t="s">
        <v>9365</v>
      </c>
      <c r="C599" s="2658" t="s">
        <v>9065</v>
      </c>
      <c r="D599" s="2659">
        <v>114.968</v>
      </c>
      <c r="E599" s="2659">
        <v>114.732</v>
      </c>
      <c r="F599" s="2659">
        <v>113.99372150000001</v>
      </c>
      <c r="G599" s="2659">
        <v>113.8137215</v>
      </c>
      <c r="H599" s="2659">
        <v>113.344202</v>
      </c>
      <c r="I599" s="2659">
        <v>112.889684</v>
      </c>
      <c r="J599" s="2659"/>
      <c r="K599" s="2659" t="s">
        <v>9066</v>
      </c>
      <c r="L599" s="2659">
        <v>113.37620200000001</v>
      </c>
      <c r="M599" s="2659">
        <v>113.676202</v>
      </c>
      <c r="N599" s="2659">
        <v>114.0257215</v>
      </c>
      <c r="O599" s="2659">
        <v>114.26172149999999</v>
      </c>
      <c r="P599" s="2659">
        <v>115</v>
      </c>
      <c r="Q599" s="2659">
        <v>115.452507</v>
      </c>
      <c r="R599" s="2667">
        <v>108</v>
      </c>
    </row>
    <row r="600" spans="1:18">
      <c r="A600" s="2651"/>
      <c r="B600" s="2654" t="s">
        <v>9365</v>
      </c>
      <c r="C600" s="2658" t="s">
        <v>9067</v>
      </c>
      <c r="D600" s="2659">
        <v>114.968</v>
      </c>
      <c r="E600" s="2659">
        <v>114.732</v>
      </c>
      <c r="F600" s="2659">
        <v>113.99372150000001</v>
      </c>
      <c r="G600" s="2659">
        <v>113.8817215</v>
      </c>
      <c r="H600" s="2659">
        <v>113.344202</v>
      </c>
      <c r="I600" s="2659">
        <v>112.957684</v>
      </c>
      <c r="J600" s="2659"/>
      <c r="K600" s="2659"/>
      <c r="L600" s="2659"/>
      <c r="M600" s="2659"/>
      <c r="N600" s="2659"/>
      <c r="O600" s="2659"/>
      <c r="P600" s="2659"/>
      <c r="Q600" s="2659"/>
      <c r="R600" s="2667"/>
    </row>
    <row r="601" spans="1:18">
      <c r="A601" s="2651">
        <v>120</v>
      </c>
      <c r="B601" s="2654" t="s">
        <v>9366</v>
      </c>
      <c r="C601" s="2658" t="s">
        <v>9065</v>
      </c>
      <c r="D601" s="2659">
        <v>119.92</v>
      </c>
      <c r="E601" s="2659">
        <v>119.32</v>
      </c>
      <c r="F601" s="2659">
        <v>116.022886</v>
      </c>
      <c r="G601" s="2659">
        <v>115.722886</v>
      </c>
      <c r="H601" s="2659">
        <v>113.424808</v>
      </c>
      <c r="I601" s="2659">
        <v>112.026736</v>
      </c>
      <c r="J601" s="2659"/>
      <c r="K601" s="2659" t="s">
        <v>9066</v>
      </c>
      <c r="L601" s="2659">
        <v>113.504808</v>
      </c>
      <c r="M601" s="2659">
        <v>114.30480799999999</v>
      </c>
      <c r="N601" s="2659">
        <v>116.102886</v>
      </c>
      <c r="O601" s="2659">
        <v>116.502886</v>
      </c>
      <c r="P601" s="2659">
        <v>120</v>
      </c>
      <c r="Q601" s="2659">
        <v>121.26602800000001</v>
      </c>
      <c r="R601" s="2667">
        <v>108</v>
      </c>
    </row>
    <row r="602" spans="1:18">
      <c r="A602" s="2651"/>
      <c r="B602" s="2654" t="s">
        <v>9366</v>
      </c>
      <c r="C602" s="2658" t="s">
        <v>9067</v>
      </c>
      <c r="D602" s="2659">
        <v>119.92</v>
      </c>
      <c r="E602" s="2659">
        <v>119.32</v>
      </c>
      <c r="F602" s="2659">
        <v>116.022886</v>
      </c>
      <c r="G602" s="2659">
        <v>115.832886</v>
      </c>
      <c r="H602" s="2659">
        <v>113.424808</v>
      </c>
      <c r="I602" s="2659">
        <v>112.136736</v>
      </c>
      <c r="J602" s="2659"/>
      <c r="K602" s="2659"/>
      <c r="L602" s="2659"/>
      <c r="M602" s="2659"/>
      <c r="N602" s="2659"/>
      <c r="O602" s="2659"/>
      <c r="P602" s="2659"/>
      <c r="Q602" s="2659"/>
      <c r="R602" s="2667"/>
    </row>
    <row r="603" spans="1:18">
      <c r="A603" s="2651"/>
      <c r="B603" s="2654" t="s">
        <v>9367</v>
      </c>
      <c r="C603" s="2658" t="s">
        <v>9065</v>
      </c>
      <c r="D603" s="2659">
        <v>119.94</v>
      </c>
      <c r="E603" s="2659">
        <v>119.465</v>
      </c>
      <c r="F603" s="2659">
        <v>117.34192400000001</v>
      </c>
      <c r="G603" s="2659">
        <v>117.09192400000001</v>
      </c>
      <c r="H603" s="2659">
        <v>115.609872</v>
      </c>
      <c r="I603" s="2659">
        <v>114.627824</v>
      </c>
      <c r="J603" s="2659"/>
      <c r="K603" s="2659" t="s">
        <v>9066</v>
      </c>
      <c r="L603" s="2659">
        <v>115.669872</v>
      </c>
      <c r="M603" s="2659">
        <v>116.26987200000001</v>
      </c>
      <c r="N603" s="2659">
        <v>117.40192399999999</v>
      </c>
      <c r="O603" s="2659">
        <v>117.736924</v>
      </c>
      <c r="P603" s="2659">
        <v>120</v>
      </c>
      <c r="Q603" s="2659">
        <v>120.912352</v>
      </c>
      <c r="R603" s="2667">
        <v>108</v>
      </c>
    </row>
    <row r="604" spans="1:18">
      <c r="A604" s="2651"/>
      <c r="B604" s="2654" t="s">
        <v>9367</v>
      </c>
      <c r="C604" s="2658" t="s">
        <v>9067</v>
      </c>
      <c r="D604" s="2659">
        <v>119.94</v>
      </c>
      <c r="E604" s="2659">
        <v>119.465</v>
      </c>
      <c r="F604" s="2659">
        <v>117.34192400000001</v>
      </c>
      <c r="G604" s="2659">
        <v>117.181924</v>
      </c>
      <c r="H604" s="2659">
        <v>115.609872</v>
      </c>
      <c r="I604" s="2659">
        <v>114.71782399999999</v>
      </c>
      <c r="J604" s="2659"/>
      <c r="K604" s="2659"/>
      <c r="L604" s="2659"/>
      <c r="M604" s="2659"/>
      <c r="N604" s="2659"/>
      <c r="O604" s="2659"/>
      <c r="P604" s="2659"/>
      <c r="Q604" s="2659"/>
      <c r="R604" s="2667"/>
    </row>
    <row r="605" spans="1:18">
      <c r="A605" s="2651"/>
      <c r="B605" s="2654" t="s">
        <v>9368</v>
      </c>
      <c r="C605" s="2658" t="s">
        <v>9065</v>
      </c>
      <c r="D605" s="2659">
        <v>119.952</v>
      </c>
      <c r="E605" s="2659">
        <v>119.577</v>
      </c>
      <c r="F605" s="2659">
        <v>118.003443</v>
      </c>
      <c r="G605" s="2659">
        <v>117.779443</v>
      </c>
      <c r="H605" s="2659">
        <v>116.704404</v>
      </c>
      <c r="I605" s="2659">
        <v>115.93136800000001</v>
      </c>
      <c r="J605" s="2659"/>
      <c r="K605" s="2659" t="s">
        <v>9066</v>
      </c>
      <c r="L605" s="2659">
        <v>116.752404</v>
      </c>
      <c r="M605" s="2659">
        <v>117.252404</v>
      </c>
      <c r="N605" s="2659">
        <v>118.05144300000001</v>
      </c>
      <c r="O605" s="2659">
        <v>118.351443</v>
      </c>
      <c r="P605" s="2659">
        <v>120</v>
      </c>
      <c r="Q605" s="2659">
        <v>120.733014</v>
      </c>
      <c r="R605" s="2667">
        <v>108</v>
      </c>
    </row>
    <row r="606" spans="1:18">
      <c r="A606" s="2651"/>
      <c r="B606" s="2654" t="s">
        <v>9368</v>
      </c>
      <c r="C606" s="2658" t="s">
        <v>9067</v>
      </c>
      <c r="D606" s="2659">
        <v>119.952</v>
      </c>
      <c r="E606" s="2659">
        <v>119.577</v>
      </c>
      <c r="F606" s="2659">
        <v>118.003443</v>
      </c>
      <c r="G606" s="2659">
        <v>117.863443</v>
      </c>
      <c r="H606" s="2659">
        <v>116.704404</v>
      </c>
      <c r="I606" s="2659">
        <v>116.015368</v>
      </c>
      <c r="J606" s="2659"/>
      <c r="K606" s="2659"/>
      <c r="L606" s="2659"/>
      <c r="M606" s="2659"/>
      <c r="N606" s="2659"/>
      <c r="O606" s="2659"/>
      <c r="P606" s="2659"/>
      <c r="Q606" s="2659"/>
      <c r="R606" s="2667"/>
    </row>
    <row r="607" spans="1:18">
      <c r="A607" s="2651"/>
      <c r="B607" s="2658" t="s">
        <v>9369</v>
      </c>
      <c r="C607" s="2658" t="s">
        <v>9065</v>
      </c>
      <c r="D607" s="2659">
        <v>119.962</v>
      </c>
      <c r="E607" s="2659">
        <v>119.682</v>
      </c>
      <c r="F607" s="2659">
        <v>118.663</v>
      </c>
      <c r="G607" s="2659">
        <v>118.473</v>
      </c>
      <c r="H607" s="2659">
        <v>117.797</v>
      </c>
      <c r="I607" s="2659">
        <v>117.241</v>
      </c>
      <c r="J607" s="2659"/>
      <c r="K607" s="2659" t="s">
        <v>9066</v>
      </c>
      <c r="L607" s="2659">
        <v>117.83499999999999</v>
      </c>
      <c r="M607" s="2659">
        <v>118.21</v>
      </c>
      <c r="N607" s="2659">
        <v>118.70099999999999</v>
      </c>
      <c r="O607" s="2659">
        <v>118.95099999999999</v>
      </c>
      <c r="P607" s="2659">
        <v>120</v>
      </c>
      <c r="Q607" s="2659">
        <v>120.539</v>
      </c>
      <c r="R607" s="2667">
        <v>108</v>
      </c>
    </row>
    <row r="608" spans="1:18">
      <c r="A608" s="2651"/>
      <c r="B608" s="2658" t="s">
        <v>9369</v>
      </c>
      <c r="C608" s="2658" t="s">
        <v>9067</v>
      </c>
      <c r="D608" s="2659">
        <v>119.962</v>
      </c>
      <c r="E608" s="2659">
        <v>119.682</v>
      </c>
      <c r="F608" s="2659">
        <v>118.663</v>
      </c>
      <c r="G608" s="2659">
        <v>118.545</v>
      </c>
      <c r="H608" s="2659">
        <v>117.797</v>
      </c>
      <c r="I608" s="2659">
        <v>117.313</v>
      </c>
      <c r="J608" s="2659"/>
      <c r="K608" s="2659"/>
      <c r="L608" s="2659"/>
      <c r="M608" s="2659"/>
      <c r="N608" s="2659"/>
      <c r="O608" s="2659"/>
      <c r="P608" s="2659"/>
      <c r="Q608" s="2659"/>
      <c r="R608" s="2667"/>
    </row>
    <row r="609" spans="1:18">
      <c r="A609" s="2651"/>
      <c r="B609" s="2654" t="s">
        <v>9370</v>
      </c>
      <c r="C609" s="2658" t="s">
        <v>9065</v>
      </c>
      <c r="D609" s="2659">
        <v>119.968</v>
      </c>
      <c r="E609" s="2659">
        <v>119.732</v>
      </c>
      <c r="F609" s="2659">
        <v>118.99372150000001</v>
      </c>
      <c r="G609" s="2659">
        <v>118.8137215</v>
      </c>
      <c r="H609" s="2659">
        <v>118.344202</v>
      </c>
      <c r="I609" s="2659">
        <v>117.889684</v>
      </c>
      <c r="J609" s="2659"/>
      <c r="K609" s="2659" t="s">
        <v>9066</v>
      </c>
      <c r="L609" s="2659">
        <v>118.37620200000001</v>
      </c>
      <c r="M609" s="2659">
        <v>118.676202</v>
      </c>
      <c r="N609" s="2659">
        <v>119.0257215</v>
      </c>
      <c r="O609" s="2659">
        <v>119.26172149999999</v>
      </c>
      <c r="P609" s="2659">
        <v>120</v>
      </c>
      <c r="Q609" s="2659">
        <v>120.452507</v>
      </c>
      <c r="R609" s="2667">
        <v>110</v>
      </c>
    </row>
    <row r="610" spans="1:18">
      <c r="A610" s="2651"/>
      <c r="B610" s="2654" t="s">
        <v>9370</v>
      </c>
      <c r="C610" s="2658" t="s">
        <v>9067</v>
      </c>
      <c r="D610" s="2659">
        <v>119.968</v>
      </c>
      <c r="E610" s="2659">
        <v>119.732</v>
      </c>
      <c r="F610" s="2659">
        <v>118.99372150000001</v>
      </c>
      <c r="G610" s="2659">
        <v>118.8817215</v>
      </c>
      <c r="H610" s="2659">
        <v>118.344202</v>
      </c>
      <c r="I610" s="2659">
        <v>117.957684</v>
      </c>
      <c r="J610" s="2659"/>
      <c r="K610" s="2659"/>
      <c r="L610" s="2659"/>
      <c r="M610" s="2659"/>
      <c r="N610" s="2659"/>
      <c r="O610" s="2659"/>
      <c r="P610" s="2659"/>
      <c r="Q610" s="2659"/>
      <c r="R610" s="2667"/>
    </row>
    <row r="611" spans="1:18">
      <c r="A611" s="2651">
        <v>125</v>
      </c>
      <c r="B611" s="2654" t="s">
        <v>9371</v>
      </c>
      <c r="C611" s="2658" t="s">
        <v>9065</v>
      </c>
      <c r="D611" s="2659">
        <v>124.9</v>
      </c>
      <c r="E611" s="2659">
        <v>124.19</v>
      </c>
      <c r="F611" s="2659">
        <v>119.70384799999999</v>
      </c>
      <c r="G611" s="2659">
        <v>119.368848</v>
      </c>
      <c r="H611" s="2659">
        <v>116.239744</v>
      </c>
      <c r="I611" s="2659">
        <v>114.440648</v>
      </c>
      <c r="J611" s="2659"/>
      <c r="K611" s="2659" t="s">
        <v>9066</v>
      </c>
      <c r="L611" s="2659">
        <v>116.339744</v>
      </c>
      <c r="M611" s="2659">
        <v>117.339744</v>
      </c>
      <c r="N611" s="2659">
        <v>119.803848</v>
      </c>
      <c r="O611" s="2659">
        <v>120.253848</v>
      </c>
      <c r="P611" s="2659">
        <v>125</v>
      </c>
      <c r="Q611" s="2659">
        <v>126.604704</v>
      </c>
      <c r="R611" s="2667">
        <v>110</v>
      </c>
    </row>
    <row r="612" spans="1:18">
      <c r="A612" s="2651"/>
      <c r="B612" s="2654" t="s">
        <v>9371</v>
      </c>
      <c r="C612" s="2658" t="s">
        <v>9067</v>
      </c>
      <c r="D612" s="2659">
        <v>124.9</v>
      </c>
      <c r="E612" s="2659">
        <v>124.19</v>
      </c>
      <c r="F612" s="2659">
        <v>119.70384799999999</v>
      </c>
      <c r="G612" s="2659">
        <v>119.491848</v>
      </c>
      <c r="H612" s="2659">
        <v>116.239744</v>
      </c>
      <c r="I612" s="2659">
        <v>114.563648</v>
      </c>
      <c r="J612" s="2659"/>
      <c r="K612" s="2659"/>
      <c r="L612" s="2659"/>
      <c r="M612" s="2659"/>
      <c r="N612" s="2659"/>
      <c r="O612" s="2659"/>
      <c r="P612" s="2659"/>
      <c r="Q612" s="2659"/>
      <c r="R612" s="2667"/>
    </row>
    <row r="613" spans="1:18">
      <c r="A613" s="2651"/>
      <c r="B613" s="2654" t="s">
        <v>9372</v>
      </c>
      <c r="C613" s="2658" t="s">
        <v>9065</v>
      </c>
      <c r="D613" s="2659">
        <v>124.92</v>
      </c>
      <c r="E613" s="2659">
        <v>124.32</v>
      </c>
      <c r="F613" s="2659">
        <v>121.022886</v>
      </c>
      <c r="G613" s="2659">
        <v>120.722886</v>
      </c>
      <c r="H613" s="2659">
        <v>118.424808</v>
      </c>
      <c r="I613" s="2659">
        <v>117.026736</v>
      </c>
      <c r="J613" s="2659"/>
      <c r="K613" s="2659" t="s">
        <v>9066</v>
      </c>
      <c r="L613" s="2659">
        <v>118.504808</v>
      </c>
      <c r="M613" s="2659">
        <v>119.30480799999999</v>
      </c>
      <c r="N613" s="2659">
        <v>121.102886</v>
      </c>
      <c r="O613" s="2659">
        <v>121.502886</v>
      </c>
      <c r="P613" s="2659">
        <v>125</v>
      </c>
      <c r="Q613" s="2659">
        <v>126.26602800000001</v>
      </c>
      <c r="R613" s="2667">
        <v>110</v>
      </c>
    </row>
    <row r="614" spans="1:18">
      <c r="A614" s="2651"/>
      <c r="B614" s="2654" t="s">
        <v>9372</v>
      </c>
      <c r="C614" s="2658" t="s">
        <v>9067</v>
      </c>
      <c r="D614" s="2659">
        <v>124.92</v>
      </c>
      <c r="E614" s="2659">
        <v>124.32</v>
      </c>
      <c r="F614" s="2659">
        <v>121.022886</v>
      </c>
      <c r="G614" s="2659">
        <v>120.832886</v>
      </c>
      <c r="H614" s="2659">
        <v>118.424808</v>
      </c>
      <c r="I614" s="2659">
        <v>117.136736</v>
      </c>
      <c r="J614" s="2659"/>
      <c r="K614" s="2659"/>
      <c r="L614" s="2659"/>
      <c r="M614" s="2659"/>
      <c r="N614" s="2659"/>
      <c r="O614" s="2659"/>
      <c r="P614" s="2659"/>
      <c r="Q614" s="2659"/>
      <c r="R614" s="2667"/>
    </row>
    <row r="615" spans="1:18">
      <c r="A615" s="2651"/>
      <c r="B615" s="2654" t="s">
        <v>9373</v>
      </c>
      <c r="C615" s="2658" t="s">
        <v>9065</v>
      </c>
      <c r="D615" s="2659">
        <v>124.94</v>
      </c>
      <c r="E615" s="2659">
        <v>124.465</v>
      </c>
      <c r="F615" s="2659">
        <v>122.34192400000001</v>
      </c>
      <c r="G615" s="2659">
        <v>122.09192400000001</v>
      </c>
      <c r="H615" s="2659">
        <v>120.609872</v>
      </c>
      <c r="I615" s="2659">
        <v>119.627824</v>
      </c>
      <c r="J615" s="2659"/>
      <c r="K615" s="2659" t="s">
        <v>9066</v>
      </c>
      <c r="L615" s="2659">
        <v>120.669872</v>
      </c>
      <c r="M615" s="2659">
        <v>121.26987200000001</v>
      </c>
      <c r="N615" s="2659">
        <v>122.40192399999999</v>
      </c>
      <c r="O615" s="2659">
        <v>122.736924</v>
      </c>
      <c r="P615" s="2659">
        <v>125</v>
      </c>
      <c r="Q615" s="2659">
        <v>125.912352</v>
      </c>
      <c r="R615" s="2667">
        <v>110</v>
      </c>
    </row>
    <row r="616" spans="1:18">
      <c r="A616" s="2651"/>
      <c r="B616" s="2654" t="s">
        <v>9373</v>
      </c>
      <c r="C616" s="2658" t="s">
        <v>9067</v>
      </c>
      <c r="D616" s="2659">
        <v>124.94</v>
      </c>
      <c r="E616" s="2659">
        <v>124.465</v>
      </c>
      <c r="F616" s="2659">
        <v>122.34192400000001</v>
      </c>
      <c r="G616" s="2659">
        <v>122.181924</v>
      </c>
      <c r="H616" s="2659">
        <v>120.609872</v>
      </c>
      <c r="I616" s="2659">
        <v>119.71782399999999</v>
      </c>
      <c r="J616" s="2659"/>
      <c r="K616" s="2659"/>
      <c r="L616" s="2659"/>
      <c r="M616" s="2659"/>
      <c r="N616" s="2659"/>
      <c r="O616" s="2659"/>
      <c r="P616" s="2659"/>
      <c r="Q616" s="2659"/>
      <c r="R616" s="2667"/>
    </row>
    <row r="617" spans="1:18">
      <c r="A617" s="2651"/>
      <c r="B617" s="2654" t="s">
        <v>9374</v>
      </c>
      <c r="C617" s="2658" t="s">
        <v>9065</v>
      </c>
      <c r="D617" s="2659">
        <v>124.952</v>
      </c>
      <c r="E617" s="2659">
        <v>124.577</v>
      </c>
      <c r="F617" s="2659">
        <v>123.003443</v>
      </c>
      <c r="G617" s="2659">
        <v>122.779443</v>
      </c>
      <c r="H617" s="2659">
        <v>121.704404</v>
      </c>
      <c r="I617" s="2659">
        <v>120.93136800000001</v>
      </c>
      <c r="J617" s="2659"/>
      <c r="K617" s="2659" t="s">
        <v>9066</v>
      </c>
      <c r="L617" s="2659">
        <v>121.752404</v>
      </c>
      <c r="M617" s="2659">
        <v>122.252404</v>
      </c>
      <c r="N617" s="2659">
        <v>123.05144300000001</v>
      </c>
      <c r="O617" s="2659">
        <v>123.351443</v>
      </c>
      <c r="P617" s="2659">
        <v>125</v>
      </c>
      <c r="Q617" s="2659">
        <v>125.733014</v>
      </c>
      <c r="R617" s="2667">
        <v>110</v>
      </c>
    </row>
    <row r="618" spans="1:18">
      <c r="A618" s="2651"/>
      <c r="B618" s="2654" t="s">
        <v>9374</v>
      </c>
      <c r="C618" s="2658" t="s">
        <v>9067</v>
      </c>
      <c r="D618" s="2659">
        <v>124.952</v>
      </c>
      <c r="E618" s="2659">
        <v>124.577</v>
      </c>
      <c r="F618" s="2659">
        <v>123.003443</v>
      </c>
      <c r="G618" s="2659">
        <v>122.863443</v>
      </c>
      <c r="H618" s="2659">
        <v>121.704404</v>
      </c>
      <c r="I618" s="2659">
        <v>121.015368</v>
      </c>
      <c r="J618" s="2659"/>
      <c r="K618" s="2659"/>
      <c r="L618" s="2659"/>
      <c r="M618" s="2659"/>
      <c r="N618" s="2659"/>
      <c r="O618" s="2659"/>
      <c r="P618" s="2659"/>
      <c r="Q618" s="2659"/>
      <c r="R618" s="2667"/>
    </row>
    <row r="619" spans="1:18">
      <c r="A619" s="2651"/>
      <c r="B619" s="2654" t="s">
        <v>9375</v>
      </c>
      <c r="C619" s="2658" t="s">
        <v>9065</v>
      </c>
      <c r="D619" s="2659">
        <v>124.962</v>
      </c>
      <c r="E619" s="2659">
        <v>124.682</v>
      </c>
      <c r="F619" s="2659">
        <v>123.66296199999999</v>
      </c>
      <c r="G619" s="2659">
        <v>123.472962</v>
      </c>
      <c r="H619" s="2659">
        <v>122.796936</v>
      </c>
      <c r="I619" s="2659">
        <v>122.24091199999999</v>
      </c>
      <c r="J619" s="2659"/>
      <c r="K619" s="2659" t="s">
        <v>9066</v>
      </c>
      <c r="L619" s="2659">
        <v>122.834936</v>
      </c>
      <c r="M619" s="2659">
        <v>123.209936</v>
      </c>
      <c r="N619" s="2659">
        <v>123.700962</v>
      </c>
      <c r="O619" s="2659">
        <v>123.950962</v>
      </c>
      <c r="P619" s="2659">
        <v>125</v>
      </c>
      <c r="Q619" s="2659">
        <v>125.538676</v>
      </c>
      <c r="R619" s="2667">
        <v>117</v>
      </c>
    </row>
    <row r="620" spans="1:18">
      <c r="A620" s="2651"/>
      <c r="B620" s="2654" t="s">
        <v>9375</v>
      </c>
      <c r="C620" s="2658" t="s">
        <v>9067</v>
      </c>
      <c r="D620" s="2659">
        <v>124.962</v>
      </c>
      <c r="E620" s="2659">
        <v>124.682</v>
      </c>
      <c r="F620" s="2659">
        <v>123.66296199999999</v>
      </c>
      <c r="G620" s="2659">
        <v>123.542962</v>
      </c>
      <c r="H620" s="2659">
        <v>122.796936</v>
      </c>
      <c r="I620" s="2659">
        <v>122.310912</v>
      </c>
      <c r="J620" s="2659"/>
      <c r="K620" s="2659"/>
      <c r="L620" s="2659"/>
      <c r="M620" s="2659"/>
      <c r="N620" s="2659"/>
      <c r="O620" s="2659"/>
      <c r="P620" s="2659"/>
      <c r="Q620" s="2659"/>
      <c r="R620" s="2667"/>
    </row>
    <row r="621" spans="1:18">
      <c r="A621" s="2651"/>
      <c r="B621" s="2654" t="s">
        <v>9376</v>
      </c>
      <c r="C621" s="2658" t="s">
        <v>9065</v>
      </c>
      <c r="D621" s="2659">
        <v>124.968</v>
      </c>
      <c r="E621" s="2659">
        <v>124.732</v>
      </c>
      <c r="F621" s="2659">
        <v>123.99372150000001</v>
      </c>
      <c r="G621" s="2659">
        <v>123.8137215</v>
      </c>
      <c r="H621" s="2659">
        <v>123.344202</v>
      </c>
      <c r="I621" s="2659">
        <v>122.889684</v>
      </c>
      <c r="J621" s="2659"/>
      <c r="K621" s="2659" t="s">
        <v>9066</v>
      </c>
      <c r="L621" s="2659">
        <v>123.37620200000001</v>
      </c>
      <c r="M621" s="2659">
        <v>123.676202</v>
      </c>
      <c r="N621" s="2659">
        <v>124.0257215</v>
      </c>
      <c r="O621" s="2659">
        <v>124.26172149999999</v>
      </c>
      <c r="P621" s="2659">
        <v>125</v>
      </c>
      <c r="Q621" s="2659">
        <v>125.452507</v>
      </c>
      <c r="R621" s="2667">
        <v>117</v>
      </c>
    </row>
    <row r="622" spans="1:18">
      <c r="A622" s="2651"/>
      <c r="B622" s="2654" t="s">
        <v>9376</v>
      </c>
      <c r="C622" s="2658" t="s">
        <v>9067</v>
      </c>
      <c r="D622" s="2659">
        <v>124.968</v>
      </c>
      <c r="E622" s="2659">
        <v>124.732</v>
      </c>
      <c r="F622" s="2659">
        <v>123.99372150000001</v>
      </c>
      <c r="G622" s="2659">
        <v>123.8817215</v>
      </c>
      <c r="H622" s="2659">
        <v>123.344202</v>
      </c>
      <c r="I622" s="2659">
        <v>122.957684</v>
      </c>
      <c r="J622" s="2659"/>
      <c r="K622" s="2659"/>
      <c r="L622" s="2659"/>
      <c r="M622" s="2659"/>
      <c r="N622" s="2659"/>
      <c r="O622" s="2659"/>
      <c r="P622" s="2659"/>
      <c r="Q622" s="2659"/>
      <c r="R622" s="2667"/>
    </row>
    <row r="623" spans="1:18">
      <c r="A623" s="2651">
        <v>130</v>
      </c>
      <c r="B623" s="2654" t="s">
        <v>9377</v>
      </c>
      <c r="C623" s="2658" t="s">
        <v>9065</v>
      </c>
      <c r="D623" s="2659">
        <v>129.9</v>
      </c>
      <c r="E623" s="2659">
        <v>129.19</v>
      </c>
      <c r="F623" s="2659">
        <v>124.70384799999999</v>
      </c>
      <c r="G623" s="2659">
        <v>124.368848</v>
      </c>
      <c r="H623" s="2659">
        <v>121.239744</v>
      </c>
      <c r="I623" s="2659">
        <v>119.440648</v>
      </c>
      <c r="J623" s="2659"/>
      <c r="K623" s="2659" t="s">
        <v>9066</v>
      </c>
      <c r="L623" s="2659">
        <v>121.339744</v>
      </c>
      <c r="M623" s="2659">
        <v>122.339744</v>
      </c>
      <c r="N623" s="2659">
        <v>124.803848</v>
      </c>
      <c r="O623" s="2659">
        <v>125.253848</v>
      </c>
      <c r="P623" s="2659">
        <v>130</v>
      </c>
      <c r="Q623" s="2659">
        <v>131.604704</v>
      </c>
      <c r="R623" s="2667">
        <v>117</v>
      </c>
    </row>
    <row r="624" spans="1:18">
      <c r="A624" s="2651"/>
      <c r="B624" s="2654" t="s">
        <v>9377</v>
      </c>
      <c r="C624" s="2658" t="s">
        <v>9067</v>
      </c>
      <c r="D624" s="2659">
        <v>129.9</v>
      </c>
      <c r="E624" s="2659">
        <v>129.19</v>
      </c>
      <c r="F624" s="2659">
        <v>124.70384799999999</v>
      </c>
      <c r="G624" s="2659">
        <v>124.491848</v>
      </c>
      <c r="H624" s="2659">
        <v>121.239744</v>
      </c>
      <c r="I624" s="2659">
        <v>119.563648</v>
      </c>
      <c r="J624" s="2659"/>
      <c r="K624" s="2659"/>
      <c r="L624" s="2659"/>
      <c r="M624" s="2659"/>
      <c r="N624" s="2659"/>
      <c r="O624" s="2659"/>
      <c r="P624" s="2659"/>
      <c r="Q624" s="2659"/>
      <c r="R624" s="2667"/>
    </row>
    <row r="625" spans="1:18">
      <c r="A625" s="2651"/>
      <c r="B625" s="2654" t="s">
        <v>9378</v>
      </c>
      <c r="C625" s="2658" t="s">
        <v>9065</v>
      </c>
      <c r="D625" s="2659">
        <v>129.91999999999999</v>
      </c>
      <c r="E625" s="2659">
        <v>129.32</v>
      </c>
      <c r="F625" s="2659">
        <v>126.022886</v>
      </c>
      <c r="G625" s="2659">
        <v>125.722886</v>
      </c>
      <c r="H625" s="2659">
        <v>123.424808</v>
      </c>
      <c r="I625" s="2659">
        <v>122.026736</v>
      </c>
      <c r="J625" s="2659"/>
      <c r="K625" s="2659" t="s">
        <v>9066</v>
      </c>
      <c r="L625" s="2659">
        <v>123.504808</v>
      </c>
      <c r="M625" s="2659">
        <v>124.30480799999999</v>
      </c>
      <c r="N625" s="2659">
        <v>126.102886</v>
      </c>
      <c r="O625" s="2659">
        <v>126.502886</v>
      </c>
      <c r="P625" s="2659">
        <v>130</v>
      </c>
      <c r="Q625" s="2659">
        <v>131.26602800000001</v>
      </c>
      <c r="R625" s="2667">
        <v>117</v>
      </c>
    </row>
    <row r="626" spans="1:18">
      <c r="A626" s="2651"/>
      <c r="B626" s="2654" t="s">
        <v>9378</v>
      </c>
      <c r="C626" s="2658" t="s">
        <v>9067</v>
      </c>
      <c r="D626" s="2659">
        <v>129.91999999999999</v>
      </c>
      <c r="E626" s="2659">
        <v>129.32</v>
      </c>
      <c r="F626" s="2659">
        <v>126.022886</v>
      </c>
      <c r="G626" s="2659">
        <v>125.832886</v>
      </c>
      <c r="H626" s="2659">
        <v>123.424808</v>
      </c>
      <c r="I626" s="2659">
        <v>122.136736</v>
      </c>
      <c r="J626" s="2659"/>
      <c r="K626" s="2659"/>
      <c r="L626" s="2659"/>
      <c r="M626" s="2659"/>
      <c r="N626" s="2659"/>
      <c r="O626" s="2659"/>
      <c r="P626" s="2659"/>
      <c r="Q626" s="2659"/>
      <c r="R626" s="2667"/>
    </row>
    <row r="627" spans="1:18">
      <c r="A627" s="2651"/>
      <c r="B627" s="2654" t="s">
        <v>9379</v>
      </c>
      <c r="C627" s="2658" t="s">
        <v>9065</v>
      </c>
      <c r="D627" s="2659">
        <v>129.94</v>
      </c>
      <c r="E627" s="2659">
        <v>129.465</v>
      </c>
      <c r="F627" s="2659">
        <v>127.34192400000001</v>
      </c>
      <c r="G627" s="2659">
        <v>127.09192400000001</v>
      </c>
      <c r="H627" s="2659">
        <v>125.609872</v>
      </c>
      <c r="I627" s="2659">
        <v>124.627824</v>
      </c>
      <c r="J627" s="2659"/>
      <c r="K627" s="2659" t="s">
        <v>9066</v>
      </c>
      <c r="L627" s="2659">
        <v>125.669872</v>
      </c>
      <c r="M627" s="2659">
        <v>126.26987200000001</v>
      </c>
      <c r="N627" s="2659">
        <v>127.40192399999999</v>
      </c>
      <c r="O627" s="2659">
        <v>127.736924</v>
      </c>
      <c r="P627" s="2659">
        <v>130</v>
      </c>
      <c r="Q627" s="2659">
        <v>130.912352</v>
      </c>
      <c r="R627" s="2667">
        <v>117</v>
      </c>
    </row>
    <row r="628" spans="1:18">
      <c r="A628" s="2651"/>
      <c r="B628" s="2654" t="s">
        <v>9379</v>
      </c>
      <c r="C628" s="2658" t="s">
        <v>9067</v>
      </c>
      <c r="D628" s="2659">
        <v>129.94</v>
      </c>
      <c r="E628" s="2659">
        <v>129.465</v>
      </c>
      <c r="F628" s="2659">
        <v>127.34192400000001</v>
      </c>
      <c r="G628" s="2659">
        <v>127.181924</v>
      </c>
      <c r="H628" s="2659">
        <v>125.609872</v>
      </c>
      <c r="I628" s="2659">
        <v>124.71782399999999</v>
      </c>
      <c r="J628" s="2659"/>
      <c r="K628" s="2659"/>
      <c r="L628" s="2659"/>
      <c r="M628" s="2659"/>
      <c r="N628" s="2659"/>
      <c r="O628" s="2659"/>
      <c r="P628" s="2659"/>
      <c r="Q628" s="2659"/>
      <c r="R628" s="2667"/>
    </row>
    <row r="629" spans="1:18">
      <c r="A629" s="2651"/>
      <c r="B629" s="2654" t="s">
        <v>9380</v>
      </c>
      <c r="C629" s="2658" t="s">
        <v>9065</v>
      </c>
      <c r="D629" s="2659">
        <v>129.952</v>
      </c>
      <c r="E629" s="2659">
        <v>129.577</v>
      </c>
      <c r="F629" s="2659">
        <v>128.003443</v>
      </c>
      <c r="G629" s="2659">
        <v>127.779443</v>
      </c>
      <c r="H629" s="2659">
        <v>126.704404</v>
      </c>
      <c r="I629" s="2659">
        <v>125.93136800000001</v>
      </c>
      <c r="J629" s="2659"/>
      <c r="K629" s="2659" t="s">
        <v>9066</v>
      </c>
      <c r="L629" s="2659">
        <v>126.752404</v>
      </c>
      <c r="M629" s="2659">
        <v>127.252404</v>
      </c>
      <c r="N629" s="2659">
        <v>128.05144300000001</v>
      </c>
      <c r="O629" s="2659">
        <v>128.35144299999999</v>
      </c>
      <c r="P629" s="2659">
        <v>130</v>
      </c>
      <c r="Q629" s="2659">
        <v>130.733014</v>
      </c>
      <c r="R629" s="2667">
        <v>117</v>
      </c>
    </row>
    <row r="630" spans="1:18">
      <c r="A630" s="2651"/>
      <c r="B630" s="2654" t="s">
        <v>9380</v>
      </c>
      <c r="C630" s="2658" t="s">
        <v>9067</v>
      </c>
      <c r="D630" s="2659">
        <v>129.952</v>
      </c>
      <c r="E630" s="2659">
        <v>129.577</v>
      </c>
      <c r="F630" s="2659">
        <v>128.003443</v>
      </c>
      <c r="G630" s="2659">
        <v>127.863443</v>
      </c>
      <c r="H630" s="2659">
        <v>126.704404</v>
      </c>
      <c r="I630" s="2659">
        <v>126.015368</v>
      </c>
      <c r="J630" s="2659"/>
      <c r="K630" s="2659"/>
      <c r="L630" s="2659"/>
      <c r="M630" s="2659"/>
      <c r="N630" s="2659"/>
      <c r="O630" s="2659"/>
      <c r="P630" s="2659"/>
      <c r="Q630" s="2659"/>
      <c r="R630" s="2667"/>
    </row>
    <row r="631" spans="1:18">
      <c r="A631" s="2651"/>
      <c r="B631" s="2658" t="s">
        <v>9381</v>
      </c>
      <c r="C631" s="2658" t="s">
        <v>9065</v>
      </c>
      <c r="D631" s="2659">
        <v>129.96199999999999</v>
      </c>
      <c r="E631" s="2659">
        <v>129.68199999999999</v>
      </c>
      <c r="F631" s="2659">
        <v>128.66300000000001</v>
      </c>
      <c r="G631" s="2659">
        <v>128.47300000000001</v>
      </c>
      <c r="H631" s="2659">
        <v>127.797</v>
      </c>
      <c r="I631" s="2659">
        <v>127.241</v>
      </c>
      <c r="J631" s="2659"/>
      <c r="K631" s="2659" t="s">
        <v>9066</v>
      </c>
      <c r="L631" s="2659">
        <v>127.83499999999999</v>
      </c>
      <c r="M631" s="2659">
        <v>128.21</v>
      </c>
      <c r="N631" s="2659">
        <v>128.70099999999999</v>
      </c>
      <c r="O631" s="2659">
        <v>128.95099999999999</v>
      </c>
      <c r="P631" s="2659">
        <v>130</v>
      </c>
      <c r="Q631" s="2659">
        <v>130.53899999999999</v>
      </c>
      <c r="R631" s="2667">
        <v>117</v>
      </c>
    </row>
    <row r="632" spans="1:18">
      <c r="A632" s="2651"/>
      <c r="B632" s="2658" t="s">
        <v>9381</v>
      </c>
      <c r="C632" s="2658" t="s">
        <v>9067</v>
      </c>
      <c r="D632" s="2659">
        <v>139.96199999999999</v>
      </c>
      <c r="E632" s="2659">
        <v>139.68199999999999</v>
      </c>
      <c r="F632" s="2659">
        <v>138.66300000000001</v>
      </c>
      <c r="G632" s="2659">
        <v>138.54499999999999</v>
      </c>
      <c r="H632" s="2659">
        <v>137.797</v>
      </c>
      <c r="I632" s="2659">
        <v>137.31299999999999</v>
      </c>
      <c r="J632" s="2659"/>
      <c r="K632" s="2659"/>
      <c r="L632" s="2659"/>
      <c r="M632" s="2659"/>
      <c r="N632" s="2659"/>
      <c r="O632" s="2659"/>
      <c r="P632" s="2659"/>
      <c r="Q632" s="2659"/>
      <c r="R632" s="2667"/>
    </row>
    <row r="633" spans="1:18">
      <c r="A633" s="2651"/>
      <c r="B633" s="2654" t="s">
        <v>9382</v>
      </c>
      <c r="C633" s="2658" t="s">
        <v>9065</v>
      </c>
      <c r="D633" s="2659">
        <v>129.96799999999999</v>
      </c>
      <c r="E633" s="2659">
        <v>129.732</v>
      </c>
      <c r="F633" s="2659">
        <v>128.99372149999999</v>
      </c>
      <c r="G633" s="2659">
        <v>128.81372150000001</v>
      </c>
      <c r="H633" s="2659">
        <v>128.344202</v>
      </c>
      <c r="I633" s="2659">
        <v>127.889684</v>
      </c>
      <c r="J633" s="2659"/>
      <c r="K633" s="2659" t="s">
        <v>9066</v>
      </c>
      <c r="L633" s="2659">
        <v>128.37620200000001</v>
      </c>
      <c r="M633" s="2659">
        <v>128.67620199999999</v>
      </c>
      <c r="N633" s="2659">
        <v>129.0257215</v>
      </c>
      <c r="O633" s="2659">
        <v>129.26172149999999</v>
      </c>
      <c r="P633" s="2659">
        <v>130</v>
      </c>
      <c r="Q633" s="2659">
        <v>130.452507</v>
      </c>
      <c r="R633" s="2667">
        <v>117</v>
      </c>
    </row>
    <row r="634" spans="1:18">
      <c r="A634" s="2651"/>
      <c r="B634" s="2654" t="s">
        <v>9382</v>
      </c>
      <c r="C634" s="2658" t="s">
        <v>9067</v>
      </c>
      <c r="D634" s="2659">
        <v>129.96799999999999</v>
      </c>
      <c r="E634" s="2659">
        <v>129.732</v>
      </c>
      <c r="F634" s="2659">
        <v>128.99372149999999</v>
      </c>
      <c r="G634" s="2659">
        <v>128.8817215</v>
      </c>
      <c r="H634" s="2659">
        <v>128.344202</v>
      </c>
      <c r="I634" s="2659">
        <v>127.957684</v>
      </c>
      <c r="J634" s="2659"/>
      <c r="K634" s="2659"/>
      <c r="L634" s="2659"/>
      <c r="M634" s="2659"/>
      <c r="N634" s="2659"/>
      <c r="O634" s="2659"/>
      <c r="P634" s="2659"/>
      <c r="Q634" s="2659"/>
      <c r="R634" s="2667"/>
    </row>
    <row r="635" spans="1:18">
      <c r="A635" s="2651">
        <v>135</v>
      </c>
      <c r="B635" s="2654" t="s">
        <v>9383</v>
      </c>
      <c r="C635" s="2658" t="s">
        <v>9065</v>
      </c>
      <c r="D635" s="2659">
        <v>134.91999999999999</v>
      </c>
      <c r="E635" s="2659">
        <v>134.32</v>
      </c>
      <c r="F635" s="2659">
        <v>131.022886</v>
      </c>
      <c r="G635" s="2659">
        <v>130.72288599999999</v>
      </c>
      <c r="H635" s="2659">
        <v>128.42480800000001</v>
      </c>
      <c r="I635" s="2659">
        <v>127.026736</v>
      </c>
      <c r="J635" s="2659"/>
      <c r="K635" s="2659" t="s">
        <v>9066</v>
      </c>
      <c r="L635" s="2659">
        <v>128.504808</v>
      </c>
      <c r="M635" s="2659">
        <v>129.30480800000001</v>
      </c>
      <c r="N635" s="2659">
        <v>131.10288600000001</v>
      </c>
      <c r="O635" s="2659">
        <v>131.50288599999999</v>
      </c>
      <c r="P635" s="2659">
        <v>135</v>
      </c>
      <c r="Q635" s="2659">
        <v>136.26602800000001</v>
      </c>
      <c r="R635" s="2667">
        <v>117</v>
      </c>
    </row>
    <row r="636" spans="1:18">
      <c r="A636" s="2651"/>
      <c r="B636" s="2654" t="s">
        <v>9383</v>
      </c>
      <c r="C636" s="2658" t="s">
        <v>9067</v>
      </c>
      <c r="D636" s="2659">
        <v>134.91999999999999</v>
      </c>
      <c r="E636" s="2659">
        <v>134.32</v>
      </c>
      <c r="F636" s="2659">
        <v>131.022886</v>
      </c>
      <c r="G636" s="2659">
        <v>130.832886</v>
      </c>
      <c r="H636" s="2659">
        <v>128.42480800000001</v>
      </c>
      <c r="I636" s="2659">
        <v>127.136736</v>
      </c>
      <c r="J636" s="2659"/>
      <c r="K636" s="2659"/>
      <c r="L636" s="2659"/>
      <c r="M636" s="2659"/>
      <c r="N636" s="2659"/>
      <c r="O636" s="2659"/>
      <c r="P636" s="2659"/>
      <c r="Q636" s="2659"/>
      <c r="R636" s="2667"/>
    </row>
    <row r="637" spans="1:18">
      <c r="A637" s="2651"/>
      <c r="B637" s="2654" t="s">
        <v>9384</v>
      </c>
      <c r="C637" s="2658" t="s">
        <v>9065</v>
      </c>
      <c r="D637" s="2659">
        <v>134.94</v>
      </c>
      <c r="E637" s="2659">
        <v>134.465</v>
      </c>
      <c r="F637" s="2659">
        <v>132.34192400000001</v>
      </c>
      <c r="G637" s="2659">
        <v>132.09192400000001</v>
      </c>
      <c r="H637" s="2659">
        <v>130.609872</v>
      </c>
      <c r="I637" s="2659">
        <v>129.627824</v>
      </c>
      <c r="J637" s="2659"/>
      <c r="K637" s="2659" t="s">
        <v>9066</v>
      </c>
      <c r="L637" s="2659">
        <v>130.669872</v>
      </c>
      <c r="M637" s="2659">
        <v>131.26987199999999</v>
      </c>
      <c r="N637" s="2659">
        <v>132.40192400000001</v>
      </c>
      <c r="O637" s="2659">
        <v>132.73692399999999</v>
      </c>
      <c r="P637" s="2659">
        <v>135</v>
      </c>
      <c r="Q637" s="2659">
        <v>135.912352</v>
      </c>
      <c r="R637" s="2667">
        <v>117</v>
      </c>
    </row>
    <row r="638" spans="1:18">
      <c r="A638" s="2651"/>
      <c r="B638" s="2654" t="s">
        <v>9384</v>
      </c>
      <c r="C638" s="2658" t="s">
        <v>9067</v>
      </c>
      <c r="D638" s="2659">
        <v>134.94</v>
      </c>
      <c r="E638" s="2659">
        <v>134.465</v>
      </c>
      <c r="F638" s="2659">
        <v>132.34192400000001</v>
      </c>
      <c r="G638" s="2659">
        <v>132.18192400000001</v>
      </c>
      <c r="H638" s="2659">
        <v>130.609872</v>
      </c>
      <c r="I638" s="2659">
        <v>129.71782400000001</v>
      </c>
      <c r="J638" s="2659"/>
      <c r="K638" s="2659"/>
      <c r="L638" s="2659"/>
      <c r="M638" s="2659"/>
      <c r="N638" s="2659"/>
      <c r="O638" s="2659"/>
      <c r="P638" s="2659"/>
      <c r="Q638" s="2659"/>
      <c r="R638" s="2667"/>
    </row>
    <row r="639" spans="1:18">
      <c r="A639" s="2651"/>
      <c r="B639" s="2654" t="s">
        <v>9385</v>
      </c>
      <c r="C639" s="2658" t="s">
        <v>9065</v>
      </c>
      <c r="D639" s="2659">
        <v>134.952</v>
      </c>
      <c r="E639" s="2659">
        <v>134.577</v>
      </c>
      <c r="F639" s="2659">
        <v>133.003443</v>
      </c>
      <c r="G639" s="2659">
        <v>132.77944299999999</v>
      </c>
      <c r="H639" s="2659">
        <v>131.70440400000001</v>
      </c>
      <c r="I639" s="2659">
        <v>130.93136799999999</v>
      </c>
      <c r="J639" s="2659"/>
      <c r="K639" s="2659" t="s">
        <v>9066</v>
      </c>
      <c r="L639" s="2659">
        <v>131.75240400000001</v>
      </c>
      <c r="M639" s="2659">
        <v>132.25240400000001</v>
      </c>
      <c r="N639" s="2659">
        <v>133.05144300000001</v>
      </c>
      <c r="O639" s="2659">
        <v>133.35144299999999</v>
      </c>
      <c r="P639" s="2659">
        <v>135</v>
      </c>
      <c r="Q639" s="2659">
        <v>135.733014</v>
      </c>
      <c r="R639" s="2667">
        <v>126</v>
      </c>
    </row>
    <row r="640" spans="1:18">
      <c r="A640" s="2651"/>
      <c r="B640" s="2654" t="s">
        <v>9385</v>
      </c>
      <c r="C640" s="2658" t="s">
        <v>9067</v>
      </c>
      <c r="D640" s="2659">
        <v>134.952</v>
      </c>
      <c r="E640" s="2659">
        <v>134.577</v>
      </c>
      <c r="F640" s="2659">
        <v>133.003443</v>
      </c>
      <c r="G640" s="2659">
        <v>132.86344299999999</v>
      </c>
      <c r="H640" s="2659">
        <v>131.70440400000001</v>
      </c>
      <c r="I640" s="2659">
        <v>131.015368</v>
      </c>
      <c r="J640" s="2659"/>
      <c r="K640" s="2659"/>
      <c r="L640" s="2659"/>
      <c r="M640" s="2659"/>
      <c r="N640" s="2659"/>
      <c r="O640" s="2659"/>
      <c r="P640" s="2659"/>
      <c r="Q640" s="2659"/>
      <c r="R640" s="2667"/>
    </row>
    <row r="641" spans="1:18">
      <c r="A641" s="2651"/>
      <c r="B641" s="2654" t="s">
        <v>9386</v>
      </c>
      <c r="C641" s="2658" t="s">
        <v>9065</v>
      </c>
      <c r="D641" s="2659">
        <v>134.96199999999999</v>
      </c>
      <c r="E641" s="2659">
        <v>134.68199999999999</v>
      </c>
      <c r="F641" s="2659">
        <v>133.66296199999999</v>
      </c>
      <c r="G641" s="2659">
        <v>133.472962</v>
      </c>
      <c r="H641" s="2659">
        <v>132.79693599999999</v>
      </c>
      <c r="I641" s="2659">
        <v>132.24091200000001</v>
      </c>
      <c r="J641" s="2659"/>
      <c r="K641" s="2659" t="s">
        <v>9066</v>
      </c>
      <c r="L641" s="2659">
        <v>132.834936</v>
      </c>
      <c r="M641" s="2659">
        <v>133.209936</v>
      </c>
      <c r="N641" s="2659">
        <v>133.700962</v>
      </c>
      <c r="O641" s="2659">
        <v>133.950962</v>
      </c>
      <c r="P641" s="2659">
        <v>135</v>
      </c>
      <c r="Q641" s="2659">
        <v>135.53867600000001</v>
      </c>
      <c r="R641" s="2667">
        <v>126</v>
      </c>
    </row>
    <row r="642" spans="1:18">
      <c r="A642" s="2651"/>
      <c r="B642" s="2654" t="s">
        <v>9386</v>
      </c>
      <c r="C642" s="2658" t="s">
        <v>9067</v>
      </c>
      <c r="D642" s="2659">
        <v>134.96199999999999</v>
      </c>
      <c r="E642" s="2659">
        <v>134.68199999999999</v>
      </c>
      <c r="F642" s="2659">
        <v>133.66296199999999</v>
      </c>
      <c r="G642" s="2659">
        <v>133.54296199999999</v>
      </c>
      <c r="H642" s="2659">
        <v>132.79693599999999</v>
      </c>
      <c r="I642" s="2659">
        <v>132.310912</v>
      </c>
      <c r="J642" s="2659"/>
      <c r="K642" s="2659"/>
      <c r="L642" s="2659"/>
      <c r="M642" s="2659"/>
      <c r="N642" s="2659"/>
      <c r="O642" s="2659"/>
      <c r="P642" s="2659"/>
      <c r="Q642" s="2659"/>
      <c r="R642" s="2667"/>
    </row>
    <row r="643" spans="1:18">
      <c r="A643" s="2651"/>
      <c r="B643" s="2654" t="s">
        <v>9387</v>
      </c>
      <c r="C643" s="2658" t="s">
        <v>9065</v>
      </c>
      <c r="D643" s="2659">
        <v>134.96799999999999</v>
      </c>
      <c r="E643" s="2659">
        <v>134.732</v>
      </c>
      <c r="F643" s="2659">
        <v>133.99372149999999</v>
      </c>
      <c r="G643" s="2659">
        <v>133.81372150000001</v>
      </c>
      <c r="H643" s="2659">
        <v>133.344202</v>
      </c>
      <c r="I643" s="2659">
        <v>132.88968399999999</v>
      </c>
      <c r="J643" s="2659"/>
      <c r="K643" s="2659" t="s">
        <v>9066</v>
      </c>
      <c r="L643" s="2659">
        <v>133.37620200000001</v>
      </c>
      <c r="M643" s="2659">
        <v>133.67620199999999</v>
      </c>
      <c r="N643" s="2659">
        <v>134.0257215</v>
      </c>
      <c r="O643" s="2659">
        <v>134.26172149999999</v>
      </c>
      <c r="P643" s="2659">
        <v>135</v>
      </c>
      <c r="Q643" s="2659">
        <v>135.452507</v>
      </c>
      <c r="R643" s="2667">
        <v>126</v>
      </c>
    </row>
    <row r="644" spans="1:18">
      <c r="A644" s="2651"/>
      <c r="B644" s="2654" t="s">
        <v>9387</v>
      </c>
      <c r="C644" s="2658" t="s">
        <v>9067</v>
      </c>
      <c r="D644" s="2659">
        <v>134.96799999999999</v>
      </c>
      <c r="E644" s="2659">
        <v>134.732</v>
      </c>
      <c r="F644" s="2659">
        <v>133.99372149999999</v>
      </c>
      <c r="G644" s="2659">
        <v>133.8817215</v>
      </c>
      <c r="H644" s="2659">
        <v>133.344202</v>
      </c>
      <c r="I644" s="2659">
        <v>132.957684</v>
      </c>
      <c r="J644" s="2659"/>
      <c r="K644" s="2659"/>
      <c r="L644" s="2659"/>
      <c r="M644" s="2659"/>
      <c r="N644" s="2659"/>
      <c r="O644" s="2659"/>
      <c r="P644" s="2659"/>
      <c r="Q644" s="2659"/>
      <c r="R644" s="2667"/>
    </row>
    <row r="645" spans="1:18">
      <c r="A645" s="2651">
        <v>140</v>
      </c>
      <c r="B645" s="2654" t="s">
        <v>9388</v>
      </c>
      <c r="C645" s="2658" t="s">
        <v>9065</v>
      </c>
      <c r="D645" s="2659">
        <v>139.9</v>
      </c>
      <c r="E645" s="2659">
        <v>139.19</v>
      </c>
      <c r="F645" s="2659">
        <v>134.70384799999999</v>
      </c>
      <c r="G645" s="2659">
        <v>134.36884800000001</v>
      </c>
      <c r="H645" s="2659">
        <v>131.239744</v>
      </c>
      <c r="I645" s="2659">
        <v>129.44064800000001</v>
      </c>
      <c r="J645" s="2659"/>
      <c r="K645" s="2659" t="s">
        <v>9066</v>
      </c>
      <c r="L645" s="2659">
        <v>131.339744</v>
      </c>
      <c r="M645" s="2659">
        <v>132.339744</v>
      </c>
      <c r="N645" s="2659">
        <v>134.80384799999999</v>
      </c>
      <c r="O645" s="2659">
        <v>135.253848</v>
      </c>
      <c r="P645" s="2659">
        <v>140</v>
      </c>
      <c r="Q645" s="2659">
        <v>141.604704</v>
      </c>
      <c r="R645" s="2667">
        <v>126</v>
      </c>
    </row>
    <row r="646" spans="1:18">
      <c r="A646" s="2651"/>
      <c r="B646" s="2654" t="s">
        <v>9388</v>
      </c>
      <c r="C646" s="2658" t="s">
        <v>9067</v>
      </c>
      <c r="D646" s="2659">
        <v>139.9</v>
      </c>
      <c r="E646" s="2659">
        <v>139.19</v>
      </c>
      <c r="F646" s="2659">
        <v>134.70384799999999</v>
      </c>
      <c r="G646" s="2659">
        <v>134.491848</v>
      </c>
      <c r="H646" s="2659">
        <v>131.239744</v>
      </c>
      <c r="I646" s="2659">
        <v>129.563648</v>
      </c>
      <c r="J646" s="2659"/>
      <c r="K646" s="2659"/>
      <c r="L646" s="2659"/>
      <c r="M646" s="2659"/>
      <c r="N646" s="2659"/>
      <c r="O646" s="2659"/>
      <c r="P646" s="2659"/>
      <c r="Q646" s="2659"/>
      <c r="R646" s="2667"/>
    </row>
    <row r="647" spans="1:18">
      <c r="A647" s="2651"/>
      <c r="B647" s="2654" t="s">
        <v>9389</v>
      </c>
      <c r="C647" s="2658" t="s">
        <v>9065</v>
      </c>
      <c r="D647" s="2659">
        <v>139.91999999999999</v>
      </c>
      <c r="E647" s="2659">
        <v>139.32</v>
      </c>
      <c r="F647" s="2659">
        <v>136.022886</v>
      </c>
      <c r="G647" s="2659">
        <v>135.72288599999999</v>
      </c>
      <c r="H647" s="2659">
        <v>133.42480800000001</v>
      </c>
      <c r="I647" s="2659">
        <v>132.026736</v>
      </c>
      <c r="J647" s="2659"/>
      <c r="K647" s="2659" t="s">
        <v>9066</v>
      </c>
      <c r="L647" s="2659">
        <v>133.504808</v>
      </c>
      <c r="M647" s="2659">
        <v>134.30480800000001</v>
      </c>
      <c r="N647" s="2659">
        <v>136.10288600000001</v>
      </c>
      <c r="O647" s="2659">
        <v>136.50288599999999</v>
      </c>
      <c r="P647" s="2659">
        <v>140</v>
      </c>
      <c r="Q647" s="2659">
        <v>141.26602800000001</v>
      </c>
      <c r="R647" s="2667">
        <v>126</v>
      </c>
    </row>
    <row r="648" spans="1:18">
      <c r="A648" s="2651"/>
      <c r="B648" s="2654" t="s">
        <v>9389</v>
      </c>
      <c r="C648" s="2658" t="s">
        <v>9067</v>
      </c>
      <c r="D648" s="2659">
        <v>139.91999999999999</v>
      </c>
      <c r="E648" s="2659">
        <v>139.32</v>
      </c>
      <c r="F648" s="2659">
        <v>136.022886</v>
      </c>
      <c r="G648" s="2659">
        <v>135.832886</v>
      </c>
      <c r="H648" s="2659">
        <v>133.42480800000001</v>
      </c>
      <c r="I648" s="2659">
        <v>132.13673600000001</v>
      </c>
      <c r="J648" s="2659"/>
      <c r="K648" s="2659"/>
      <c r="L648" s="2659"/>
      <c r="M648" s="2659"/>
      <c r="N648" s="2659"/>
      <c r="O648" s="2659"/>
      <c r="P648" s="2659"/>
      <c r="Q648" s="2659"/>
      <c r="R648" s="2667"/>
    </row>
    <row r="649" spans="1:18">
      <c r="A649" s="2651"/>
      <c r="B649" s="2654" t="s">
        <v>9390</v>
      </c>
      <c r="C649" s="2658" t="s">
        <v>9065</v>
      </c>
      <c r="D649" s="2659">
        <v>139.94</v>
      </c>
      <c r="E649" s="2659">
        <v>139.465</v>
      </c>
      <c r="F649" s="2659">
        <v>137.34192400000001</v>
      </c>
      <c r="G649" s="2659">
        <v>137.09192400000001</v>
      </c>
      <c r="H649" s="2659">
        <v>135.609872</v>
      </c>
      <c r="I649" s="2659">
        <v>134.627824</v>
      </c>
      <c r="J649" s="2659"/>
      <c r="K649" s="2659" t="s">
        <v>9066</v>
      </c>
      <c r="L649" s="2659">
        <v>135.669872</v>
      </c>
      <c r="M649" s="2659">
        <v>136.26987199999999</v>
      </c>
      <c r="N649" s="2659">
        <v>137.40192400000001</v>
      </c>
      <c r="O649" s="2659">
        <v>137.73692399999999</v>
      </c>
      <c r="P649" s="2659">
        <v>140</v>
      </c>
      <c r="Q649" s="2659">
        <v>140.912352</v>
      </c>
      <c r="R649" s="2667">
        <v>126</v>
      </c>
    </row>
    <row r="650" spans="1:18">
      <c r="A650" s="2651"/>
      <c r="B650" s="2654" t="s">
        <v>9390</v>
      </c>
      <c r="C650" s="2658" t="s">
        <v>9067</v>
      </c>
      <c r="D650" s="2659">
        <v>139.94</v>
      </c>
      <c r="E650" s="2659">
        <v>139.465</v>
      </c>
      <c r="F650" s="2659">
        <v>137.34192400000001</v>
      </c>
      <c r="G650" s="2659">
        <v>137.18192400000001</v>
      </c>
      <c r="H650" s="2659">
        <v>135.609872</v>
      </c>
      <c r="I650" s="2659">
        <v>134.71782400000001</v>
      </c>
      <c r="J650" s="2659"/>
      <c r="K650" s="2659"/>
      <c r="L650" s="2659"/>
      <c r="M650" s="2659"/>
      <c r="N650" s="2659"/>
      <c r="O650" s="2659"/>
      <c r="P650" s="2659"/>
      <c r="Q650" s="2659"/>
      <c r="R650" s="2667"/>
    </row>
    <row r="651" spans="1:18">
      <c r="A651" s="2651"/>
      <c r="B651" s="2654" t="s">
        <v>9391</v>
      </c>
      <c r="C651" s="2658" t="s">
        <v>9065</v>
      </c>
      <c r="D651" s="2659">
        <v>139.952</v>
      </c>
      <c r="E651" s="2659">
        <v>139.577</v>
      </c>
      <c r="F651" s="2659">
        <v>138.003443</v>
      </c>
      <c r="G651" s="2659">
        <v>137.77944299999999</v>
      </c>
      <c r="H651" s="2659">
        <v>136.70440400000001</v>
      </c>
      <c r="I651" s="2659">
        <v>135.93136799999999</v>
      </c>
      <c r="J651" s="2659"/>
      <c r="K651" s="2659" t="s">
        <v>9066</v>
      </c>
      <c r="L651" s="2659">
        <v>136.75240400000001</v>
      </c>
      <c r="M651" s="2659">
        <v>137.25240400000001</v>
      </c>
      <c r="N651" s="2659">
        <v>138.05144300000001</v>
      </c>
      <c r="O651" s="2659">
        <v>138.35144299999999</v>
      </c>
      <c r="P651" s="2659">
        <v>140</v>
      </c>
      <c r="Q651" s="2659">
        <v>140.733014</v>
      </c>
      <c r="R651" s="2667">
        <v>126</v>
      </c>
    </row>
    <row r="652" spans="1:18">
      <c r="A652" s="2651"/>
      <c r="B652" s="2654" t="s">
        <v>9391</v>
      </c>
      <c r="C652" s="2658" t="s">
        <v>9067</v>
      </c>
      <c r="D652" s="2659">
        <v>139.952</v>
      </c>
      <c r="E652" s="2659">
        <v>139.577</v>
      </c>
      <c r="F652" s="2659">
        <v>138.003443</v>
      </c>
      <c r="G652" s="2659">
        <v>137.86344299999999</v>
      </c>
      <c r="H652" s="2659">
        <v>136.70440400000001</v>
      </c>
      <c r="I652" s="2659">
        <v>136.015368</v>
      </c>
      <c r="J652" s="2659"/>
      <c r="K652" s="2659"/>
      <c r="L652" s="2659"/>
      <c r="M652" s="2659"/>
      <c r="N652" s="2659"/>
      <c r="O652" s="2659"/>
      <c r="P652" s="2659"/>
      <c r="Q652" s="2659"/>
      <c r="R652" s="2667"/>
    </row>
    <row r="653" spans="1:18">
      <c r="A653" s="2651"/>
      <c r="B653" s="2658" t="s">
        <v>9392</v>
      </c>
      <c r="C653" s="2658" t="s">
        <v>9065</v>
      </c>
      <c r="D653" s="2659">
        <v>139.96199999999999</v>
      </c>
      <c r="E653" s="2659">
        <v>139.68199999999999</v>
      </c>
      <c r="F653" s="2659">
        <v>138.66300000000001</v>
      </c>
      <c r="G653" s="2659">
        <v>138.47300000000001</v>
      </c>
      <c r="H653" s="2659">
        <v>137.797</v>
      </c>
      <c r="I653" s="2659">
        <v>137.24100000000001</v>
      </c>
      <c r="J653" s="2659"/>
      <c r="K653" s="2659" t="s">
        <v>9066</v>
      </c>
      <c r="L653" s="2659">
        <v>137.83500000000001</v>
      </c>
      <c r="M653" s="2659">
        <v>138.21</v>
      </c>
      <c r="N653" s="2659">
        <v>138.70099999999999</v>
      </c>
      <c r="O653" s="2659">
        <v>138.95099999999999</v>
      </c>
      <c r="P653" s="2659">
        <v>140</v>
      </c>
      <c r="Q653" s="2659">
        <v>140.53899999999999</v>
      </c>
      <c r="R653" s="2667">
        <v>126</v>
      </c>
    </row>
    <row r="654" spans="1:18">
      <c r="A654" s="2651"/>
      <c r="B654" s="2658" t="s">
        <v>9392</v>
      </c>
      <c r="C654" s="2658" t="s">
        <v>9067</v>
      </c>
      <c r="D654" s="2659">
        <v>139.96199999999999</v>
      </c>
      <c r="E654" s="2659">
        <v>139.68199999999999</v>
      </c>
      <c r="F654" s="2659">
        <v>138.66300000000001</v>
      </c>
      <c r="G654" s="2659">
        <v>138.54499999999999</v>
      </c>
      <c r="H654" s="2659">
        <v>137.797</v>
      </c>
      <c r="I654" s="2659">
        <v>137.31299999999999</v>
      </c>
      <c r="J654" s="2659"/>
      <c r="K654" s="2659"/>
      <c r="L654" s="2659"/>
      <c r="M654" s="2659"/>
      <c r="N654" s="2659"/>
      <c r="O654" s="2659"/>
      <c r="P654" s="2659"/>
      <c r="Q654" s="2659"/>
      <c r="R654" s="2667"/>
    </row>
    <row r="655" spans="1:18">
      <c r="A655" s="2651"/>
      <c r="B655" s="2654" t="s">
        <v>9393</v>
      </c>
      <c r="C655" s="2658" t="s">
        <v>9065</v>
      </c>
      <c r="D655" s="2659">
        <v>139.96799999999999</v>
      </c>
      <c r="E655" s="2659">
        <v>139.732</v>
      </c>
      <c r="F655" s="2659">
        <v>138.99372149999999</v>
      </c>
      <c r="G655" s="2659">
        <v>138.81372150000001</v>
      </c>
      <c r="H655" s="2659">
        <v>138.344202</v>
      </c>
      <c r="I655" s="2659">
        <v>137.88968399999999</v>
      </c>
      <c r="J655" s="2659"/>
      <c r="K655" s="2659" t="s">
        <v>9066</v>
      </c>
      <c r="L655" s="2659">
        <v>138.37620200000001</v>
      </c>
      <c r="M655" s="2659">
        <v>138.67620199999999</v>
      </c>
      <c r="N655" s="2659">
        <v>139.0257215</v>
      </c>
      <c r="O655" s="2659">
        <v>139.26172149999999</v>
      </c>
      <c r="P655" s="2659">
        <v>140</v>
      </c>
      <c r="Q655" s="2659">
        <v>140.452507</v>
      </c>
      <c r="R655" s="2667">
        <v>126</v>
      </c>
    </row>
    <row r="656" spans="1:18">
      <c r="A656" s="2651"/>
      <c r="B656" s="2654" t="s">
        <v>9393</v>
      </c>
      <c r="C656" s="2658" t="s">
        <v>9067</v>
      </c>
      <c r="D656" s="2659">
        <v>139.96799999999999</v>
      </c>
      <c r="E656" s="2659">
        <v>139.732</v>
      </c>
      <c r="F656" s="2659">
        <v>138.99372149999999</v>
      </c>
      <c r="G656" s="2659">
        <v>138.8817215</v>
      </c>
      <c r="H656" s="2659">
        <v>138.344202</v>
      </c>
      <c r="I656" s="2659">
        <v>137.957684</v>
      </c>
      <c r="J656" s="2659"/>
      <c r="K656" s="2659"/>
      <c r="L656" s="2659"/>
      <c r="M656" s="2659"/>
      <c r="N656" s="2659"/>
      <c r="O656" s="2659"/>
      <c r="P656" s="2659"/>
      <c r="Q656" s="2659"/>
      <c r="R656" s="2667"/>
    </row>
    <row r="657" spans="1:18">
      <c r="A657" s="2651">
        <v>145</v>
      </c>
      <c r="B657" s="2654" t="s">
        <v>9394</v>
      </c>
      <c r="C657" s="2658" t="s">
        <v>9065</v>
      </c>
      <c r="D657" s="2659">
        <v>144.91999999999999</v>
      </c>
      <c r="E657" s="2659">
        <v>144.32</v>
      </c>
      <c r="F657" s="2659">
        <v>141.022886</v>
      </c>
      <c r="G657" s="2659">
        <v>140.72288599999999</v>
      </c>
      <c r="H657" s="2659">
        <v>138.42480800000001</v>
      </c>
      <c r="I657" s="2659">
        <v>137.026736</v>
      </c>
      <c r="J657" s="2659"/>
      <c r="K657" s="2659" t="s">
        <v>9066</v>
      </c>
      <c r="L657" s="2659">
        <v>138.504808</v>
      </c>
      <c r="M657" s="2659">
        <v>139.30480800000001</v>
      </c>
      <c r="N657" s="2659">
        <v>141.10288600000001</v>
      </c>
      <c r="O657" s="2659">
        <v>141.50288599999999</v>
      </c>
      <c r="P657" s="2659">
        <v>145</v>
      </c>
      <c r="Q657" s="2659">
        <v>146.26602800000001</v>
      </c>
      <c r="R657" s="2667">
        <v>130</v>
      </c>
    </row>
    <row r="658" spans="1:18">
      <c r="A658" s="2651"/>
      <c r="B658" s="2654" t="s">
        <v>9394</v>
      </c>
      <c r="C658" s="2658" t="s">
        <v>9067</v>
      </c>
      <c r="D658" s="2659">
        <v>144.91999999999999</v>
      </c>
      <c r="E658" s="2659">
        <v>144.32</v>
      </c>
      <c r="F658" s="2659">
        <v>141.022886</v>
      </c>
      <c r="G658" s="2659">
        <v>140.832886</v>
      </c>
      <c r="H658" s="2659">
        <v>138.42480800000001</v>
      </c>
      <c r="I658" s="2659">
        <v>137.13673600000001</v>
      </c>
      <c r="J658" s="2659"/>
      <c r="K658" s="2659"/>
      <c r="L658" s="2659"/>
      <c r="M658" s="2659"/>
      <c r="N658" s="2659"/>
      <c r="O658" s="2659"/>
      <c r="P658" s="2659"/>
      <c r="Q658" s="2659"/>
      <c r="R658" s="2667"/>
    </row>
    <row r="659" spans="1:18">
      <c r="A659" s="2651"/>
      <c r="B659" s="2654" t="s">
        <v>9395</v>
      </c>
      <c r="C659" s="2658" t="s">
        <v>9065</v>
      </c>
      <c r="D659" s="2659">
        <v>144.94</v>
      </c>
      <c r="E659" s="2659">
        <v>144.465</v>
      </c>
      <c r="F659" s="2659">
        <v>142.34192400000001</v>
      </c>
      <c r="G659" s="2659">
        <v>142.09192400000001</v>
      </c>
      <c r="H659" s="2659">
        <v>140.609872</v>
      </c>
      <c r="I659" s="2659">
        <v>139.627824</v>
      </c>
      <c r="J659" s="2659"/>
      <c r="K659" s="2659" t="s">
        <v>9066</v>
      </c>
      <c r="L659" s="2659">
        <v>140.669872</v>
      </c>
      <c r="M659" s="2659">
        <v>141.26987199999999</v>
      </c>
      <c r="N659" s="2659">
        <v>142.40192400000001</v>
      </c>
      <c r="O659" s="2659">
        <v>142.73692399999999</v>
      </c>
      <c r="P659" s="2659">
        <v>145</v>
      </c>
      <c r="Q659" s="2659">
        <v>145.912352</v>
      </c>
      <c r="R659" s="2667">
        <v>130</v>
      </c>
    </row>
    <row r="660" spans="1:18">
      <c r="A660" s="2651"/>
      <c r="B660" s="2654" t="s">
        <v>9395</v>
      </c>
      <c r="C660" s="2658" t="s">
        <v>9067</v>
      </c>
      <c r="D660" s="2659">
        <v>144.94</v>
      </c>
      <c r="E660" s="2659">
        <v>144.465</v>
      </c>
      <c r="F660" s="2659">
        <v>142.34192400000001</v>
      </c>
      <c r="G660" s="2659">
        <v>142.18192400000001</v>
      </c>
      <c r="H660" s="2659">
        <v>140.609872</v>
      </c>
      <c r="I660" s="2659">
        <v>139.71782400000001</v>
      </c>
      <c r="J660" s="2659"/>
      <c r="K660" s="2659"/>
      <c r="L660" s="2659"/>
      <c r="M660" s="2659"/>
      <c r="N660" s="2659"/>
      <c r="O660" s="2659"/>
      <c r="P660" s="2659"/>
      <c r="Q660" s="2659"/>
      <c r="R660" s="2667"/>
    </row>
    <row r="661" spans="1:18">
      <c r="A661" s="2651"/>
      <c r="B661" s="2654" t="s">
        <v>9396</v>
      </c>
      <c r="C661" s="2658" t="s">
        <v>9065</v>
      </c>
      <c r="D661" s="2659">
        <v>144.952</v>
      </c>
      <c r="E661" s="2659">
        <v>144.577</v>
      </c>
      <c r="F661" s="2659">
        <v>143.003443</v>
      </c>
      <c r="G661" s="2659">
        <v>142.77944299999999</v>
      </c>
      <c r="H661" s="2659">
        <v>141.70440400000001</v>
      </c>
      <c r="I661" s="2659">
        <v>140.93136799999999</v>
      </c>
      <c r="J661" s="2659"/>
      <c r="K661" s="2659" t="s">
        <v>9066</v>
      </c>
      <c r="L661" s="2659">
        <v>141.75240400000001</v>
      </c>
      <c r="M661" s="2659">
        <v>142.25240400000001</v>
      </c>
      <c r="N661" s="2659">
        <v>143.05144300000001</v>
      </c>
      <c r="O661" s="2659">
        <v>143.35144299999999</v>
      </c>
      <c r="P661" s="2659">
        <v>145</v>
      </c>
      <c r="Q661" s="2659">
        <v>145.733014</v>
      </c>
      <c r="R661" s="2667">
        <v>130</v>
      </c>
    </row>
    <row r="662" spans="1:18">
      <c r="A662" s="2651"/>
      <c r="B662" s="2654" t="s">
        <v>9396</v>
      </c>
      <c r="C662" s="2658" t="s">
        <v>9067</v>
      </c>
      <c r="D662" s="2659">
        <v>144.952</v>
      </c>
      <c r="E662" s="2659">
        <v>144.577</v>
      </c>
      <c r="F662" s="2659">
        <v>143.003443</v>
      </c>
      <c r="G662" s="2659">
        <v>142.86344299999999</v>
      </c>
      <c r="H662" s="2659">
        <v>141.70440400000001</v>
      </c>
      <c r="I662" s="2659">
        <v>141.015368</v>
      </c>
      <c r="J662" s="2659"/>
      <c r="K662" s="2659"/>
      <c r="L662" s="2659"/>
      <c r="M662" s="2659"/>
      <c r="N662" s="2659"/>
      <c r="O662" s="2659"/>
      <c r="P662" s="2659"/>
      <c r="Q662" s="2659"/>
      <c r="R662" s="2667"/>
    </row>
    <row r="663" spans="1:18">
      <c r="A663" s="2651"/>
      <c r="B663" s="2654" t="s">
        <v>9397</v>
      </c>
      <c r="C663" s="2658" t="s">
        <v>9065</v>
      </c>
      <c r="D663" s="2659">
        <v>144.96199999999999</v>
      </c>
      <c r="E663" s="2659">
        <v>144.68199999999999</v>
      </c>
      <c r="F663" s="2659">
        <v>143.66296199999999</v>
      </c>
      <c r="G663" s="2659">
        <v>143.472962</v>
      </c>
      <c r="H663" s="2659">
        <v>142.79693599999999</v>
      </c>
      <c r="I663" s="2659">
        <v>142.24091200000001</v>
      </c>
      <c r="J663" s="2659"/>
      <c r="K663" s="2659" t="s">
        <v>9066</v>
      </c>
      <c r="L663" s="2659">
        <v>142.834936</v>
      </c>
      <c r="M663" s="2659">
        <v>143.209936</v>
      </c>
      <c r="N663" s="2659">
        <v>143.700962</v>
      </c>
      <c r="O663" s="2659">
        <v>143.950962</v>
      </c>
      <c r="P663" s="2659">
        <v>145</v>
      </c>
      <c r="Q663" s="2659">
        <v>145.53867600000001</v>
      </c>
      <c r="R663" s="2667">
        <v>130</v>
      </c>
    </row>
    <row r="664" spans="1:18">
      <c r="A664" s="2651"/>
      <c r="B664" s="2654" t="s">
        <v>9397</v>
      </c>
      <c r="C664" s="2658" t="s">
        <v>9067</v>
      </c>
      <c r="D664" s="2659">
        <v>144.96199999999999</v>
      </c>
      <c r="E664" s="2659">
        <v>144.68199999999999</v>
      </c>
      <c r="F664" s="2659">
        <v>143.66296199999999</v>
      </c>
      <c r="G664" s="2659">
        <v>143.54296199999999</v>
      </c>
      <c r="H664" s="2659">
        <v>142.79693599999999</v>
      </c>
      <c r="I664" s="2659">
        <v>142.310912</v>
      </c>
      <c r="J664" s="2659"/>
      <c r="K664" s="2659"/>
      <c r="L664" s="2659"/>
      <c r="M664" s="2659"/>
      <c r="N664" s="2659"/>
      <c r="O664" s="2659"/>
      <c r="P664" s="2659"/>
      <c r="Q664" s="2659"/>
      <c r="R664" s="2667"/>
    </row>
    <row r="665" spans="1:18">
      <c r="A665" s="2651"/>
      <c r="B665" s="2654" t="s">
        <v>9398</v>
      </c>
      <c r="C665" s="2658" t="s">
        <v>9065</v>
      </c>
      <c r="D665" s="2659">
        <v>144.96799999999999</v>
      </c>
      <c r="E665" s="2659">
        <v>144.732</v>
      </c>
      <c r="F665" s="2659">
        <v>143.99372149999999</v>
      </c>
      <c r="G665" s="2659">
        <v>143.81372150000001</v>
      </c>
      <c r="H665" s="2659">
        <v>143.344202</v>
      </c>
      <c r="I665" s="2659">
        <v>142.88968399999999</v>
      </c>
      <c r="J665" s="2659"/>
      <c r="K665" s="2659" t="s">
        <v>9066</v>
      </c>
      <c r="L665" s="2659">
        <v>143.37620200000001</v>
      </c>
      <c r="M665" s="2659">
        <v>143.67620199999999</v>
      </c>
      <c r="N665" s="2659">
        <v>144.0257215</v>
      </c>
      <c r="O665" s="2659">
        <v>144.26172149999999</v>
      </c>
      <c r="P665" s="2659">
        <v>145</v>
      </c>
      <c r="Q665" s="2659">
        <v>145.452507</v>
      </c>
      <c r="R665" s="2667">
        <v>130</v>
      </c>
    </row>
    <row r="666" spans="1:18">
      <c r="A666" s="2651"/>
      <c r="B666" s="2654" t="s">
        <v>9398</v>
      </c>
      <c r="C666" s="2658" t="s">
        <v>9067</v>
      </c>
      <c r="D666" s="2659">
        <v>144.96799999999999</v>
      </c>
      <c r="E666" s="2659">
        <v>144.732</v>
      </c>
      <c r="F666" s="2659">
        <v>143.99372149999999</v>
      </c>
      <c r="G666" s="2659">
        <v>143.8817215</v>
      </c>
      <c r="H666" s="2659">
        <v>143.344202</v>
      </c>
      <c r="I666" s="2659">
        <v>142.957684</v>
      </c>
      <c r="J666" s="2659"/>
      <c r="K666" s="2659"/>
      <c r="L666" s="2659"/>
      <c r="M666" s="2659"/>
      <c r="N666" s="2659"/>
      <c r="O666" s="2659"/>
      <c r="P666" s="2659"/>
      <c r="Q666" s="2659"/>
      <c r="R666" s="2667"/>
    </row>
    <row r="667" spans="1:18">
      <c r="A667" s="2651">
        <v>150</v>
      </c>
      <c r="B667" s="2654" t="s">
        <v>9399</v>
      </c>
      <c r="C667" s="2658" t="s">
        <v>9065</v>
      </c>
      <c r="D667" s="2659">
        <v>149.9</v>
      </c>
      <c r="E667" s="2659">
        <v>149.19</v>
      </c>
      <c r="F667" s="2659">
        <v>144.70384799999999</v>
      </c>
      <c r="G667" s="2659">
        <v>144.36884800000001</v>
      </c>
      <c r="H667" s="2659">
        <v>141.239744</v>
      </c>
      <c r="I667" s="2659">
        <v>139.44064800000001</v>
      </c>
      <c r="J667" s="2659"/>
      <c r="K667" s="2659" t="s">
        <v>9066</v>
      </c>
      <c r="L667" s="2659">
        <v>141.339744</v>
      </c>
      <c r="M667" s="2659">
        <v>142.339744</v>
      </c>
      <c r="N667" s="2659">
        <v>144.80384799999999</v>
      </c>
      <c r="O667" s="2659">
        <v>145.253848</v>
      </c>
      <c r="P667" s="2659">
        <v>150</v>
      </c>
      <c r="Q667" s="2659">
        <v>151.604704</v>
      </c>
      <c r="R667" s="2667">
        <v>135</v>
      </c>
    </row>
    <row r="668" spans="1:18">
      <c r="A668" s="2651"/>
      <c r="B668" s="2654" t="s">
        <v>9399</v>
      </c>
      <c r="C668" s="2658" t="s">
        <v>9067</v>
      </c>
      <c r="D668" s="2659">
        <v>149.9</v>
      </c>
      <c r="E668" s="2659">
        <v>149.19</v>
      </c>
      <c r="F668" s="2659">
        <v>144.70384799999999</v>
      </c>
      <c r="G668" s="2659">
        <v>144.491848</v>
      </c>
      <c r="H668" s="2659">
        <v>141.239744</v>
      </c>
      <c r="I668" s="2659">
        <v>139.563648</v>
      </c>
      <c r="J668" s="2659"/>
      <c r="K668" s="2659"/>
      <c r="L668" s="2659"/>
      <c r="M668" s="2659"/>
      <c r="N668" s="2659"/>
      <c r="O668" s="2659"/>
      <c r="P668" s="2659"/>
      <c r="Q668" s="2659"/>
      <c r="R668" s="2667"/>
    </row>
    <row r="669" spans="1:18">
      <c r="A669" s="2651"/>
      <c r="B669" s="2654" t="s">
        <v>9400</v>
      </c>
      <c r="C669" s="2658" t="s">
        <v>9065</v>
      </c>
      <c r="D669" s="2659">
        <v>149.91999999999999</v>
      </c>
      <c r="E669" s="2659">
        <v>149.32</v>
      </c>
      <c r="F669" s="2659">
        <v>146.022886</v>
      </c>
      <c r="G669" s="2659">
        <v>145.72288599999999</v>
      </c>
      <c r="H669" s="2659">
        <v>143.42480800000001</v>
      </c>
      <c r="I669" s="2659">
        <v>142.026736</v>
      </c>
      <c r="J669" s="2659"/>
      <c r="K669" s="2659" t="s">
        <v>9066</v>
      </c>
      <c r="L669" s="2659">
        <v>143.504808</v>
      </c>
      <c r="M669" s="2659">
        <v>144.30480800000001</v>
      </c>
      <c r="N669" s="2659">
        <v>146.10288600000001</v>
      </c>
      <c r="O669" s="2659">
        <v>146.50288599999999</v>
      </c>
      <c r="P669" s="2659">
        <v>150</v>
      </c>
      <c r="Q669" s="2659">
        <v>151.26602800000001</v>
      </c>
      <c r="R669" s="2667">
        <v>135</v>
      </c>
    </row>
    <row r="670" spans="1:18">
      <c r="A670" s="2651"/>
      <c r="B670" s="2654" t="s">
        <v>9400</v>
      </c>
      <c r="C670" s="2658" t="s">
        <v>9067</v>
      </c>
      <c r="D670" s="2659">
        <v>149.91999999999999</v>
      </c>
      <c r="E670" s="2659">
        <v>149.32</v>
      </c>
      <c r="F670" s="2659">
        <v>146.022886</v>
      </c>
      <c r="G670" s="2659">
        <v>145.832886</v>
      </c>
      <c r="H670" s="2659">
        <v>143.42480800000001</v>
      </c>
      <c r="I670" s="2659">
        <v>142.13673600000001</v>
      </c>
      <c r="J670" s="2659"/>
      <c r="K670" s="2659"/>
      <c r="L670" s="2659"/>
      <c r="M670" s="2659"/>
      <c r="N670" s="2659"/>
      <c r="O670" s="2659"/>
      <c r="P670" s="2659"/>
      <c r="Q670" s="2659"/>
      <c r="R670" s="2667"/>
    </row>
    <row r="671" spans="1:18">
      <c r="A671" s="2651"/>
      <c r="B671" s="2654" t="s">
        <v>9401</v>
      </c>
      <c r="C671" s="2658" t="s">
        <v>9065</v>
      </c>
      <c r="D671" s="2659">
        <v>149.94</v>
      </c>
      <c r="E671" s="2659">
        <v>149.465</v>
      </c>
      <c r="F671" s="2659">
        <v>147.34192400000001</v>
      </c>
      <c r="G671" s="2659">
        <v>147.09192400000001</v>
      </c>
      <c r="H671" s="2659">
        <v>145.609872</v>
      </c>
      <c r="I671" s="2659">
        <v>144.627824</v>
      </c>
      <c r="J671" s="2659"/>
      <c r="K671" s="2659" t="s">
        <v>9066</v>
      </c>
      <c r="L671" s="2659">
        <v>145.669872</v>
      </c>
      <c r="M671" s="2659">
        <v>146.26987199999999</v>
      </c>
      <c r="N671" s="2659">
        <v>147.40192400000001</v>
      </c>
      <c r="O671" s="2659">
        <v>147.73692399999999</v>
      </c>
      <c r="P671" s="2659">
        <v>150</v>
      </c>
      <c r="Q671" s="2659">
        <v>150.912352</v>
      </c>
      <c r="R671" s="2667">
        <v>135</v>
      </c>
    </row>
    <row r="672" spans="1:18">
      <c r="A672" s="2651"/>
      <c r="B672" s="2654" t="s">
        <v>9401</v>
      </c>
      <c r="C672" s="2658" t="s">
        <v>9067</v>
      </c>
      <c r="D672" s="2659">
        <v>149.94</v>
      </c>
      <c r="E672" s="2659">
        <v>149.465</v>
      </c>
      <c r="F672" s="2659">
        <v>147.34192400000001</v>
      </c>
      <c r="G672" s="2659">
        <v>147.18192400000001</v>
      </c>
      <c r="H672" s="2659">
        <v>145.609872</v>
      </c>
      <c r="I672" s="2659">
        <v>144.71782400000001</v>
      </c>
      <c r="J672" s="2659"/>
      <c r="K672" s="2659"/>
      <c r="L672" s="2659"/>
      <c r="M672" s="2659"/>
      <c r="N672" s="2659"/>
      <c r="O672" s="2659"/>
      <c r="P672" s="2659"/>
      <c r="Q672" s="2659"/>
      <c r="R672" s="2667"/>
    </row>
    <row r="673" spans="1:18">
      <c r="A673" s="2651"/>
      <c r="B673" s="2654" t="s">
        <v>9402</v>
      </c>
      <c r="C673" s="2658" t="s">
        <v>9065</v>
      </c>
      <c r="D673" s="2659">
        <v>149.952</v>
      </c>
      <c r="E673" s="2659">
        <v>149.577</v>
      </c>
      <c r="F673" s="2659">
        <v>148.003443</v>
      </c>
      <c r="G673" s="2659">
        <v>147.77944299999999</v>
      </c>
      <c r="H673" s="2659">
        <v>146.70440400000001</v>
      </c>
      <c r="I673" s="2659">
        <v>145.93136799999999</v>
      </c>
      <c r="J673" s="2659"/>
      <c r="K673" s="2659" t="s">
        <v>9066</v>
      </c>
      <c r="L673" s="2659">
        <v>146.75240400000001</v>
      </c>
      <c r="M673" s="2659">
        <v>147.25240400000001</v>
      </c>
      <c r="N673" s="2659">
        <v>148.05144300000001</v>
      </c>
      <c r="O673" s="2659">
        <v>148.35144299999999</v>
      </c>
      <c r="P673" s="2659">
        <v>150</v>
      </c>
      <c r="Q673" s="2659">
        <v>150.733014</v>
      </c>
      <c r="R673" s="2667">
        <v>135</v>
      </c>
    </row>
    <row r="674" spans="1:18">
      <c r="A674" s="2651"/>
      <c r="B674" s="2654" t="s">
        <v>9402</v>
      </c>
      <c r="C674" s="2658" t="s">
        <v>9067</v>
      </c>
      <c r="D674" s="2659">
        <v>149.952</v>
      </c>
      <c r="E674" s="2659">
        <v>149.577</v>
      </c>
      <c r="F674" s="2659">
        <v>148.003443</v>
      </c>
      <c r="G674" s="2659">
        <v>147.86344299999999</v>
      </c>
      <c r="H674" s="2659">
        <v>146.70440400000001</v>
      </c>
      <c r="I674" s="2659">
        <v>146.015368</v>
      </c>
      <c r="J674" s="2659"/>
      <c r="K674" s="2659"/>
      <c r="L674" s="2659"/>
      <c r="M674" s="2659"/>
      <c r="N674" s="2659"/>
      <c r="O674" s="2659"/>
      <c r="P674" s="2659"/>
      <c r="Q674" s="2659"/>
      <c r="R674" s="2667"/>
    </row>
    <row r="675" spans="1:18">
      <c r="A675" s="2651"/>
      <c r="B675" s="2658" t="s">
        <v>9403</v>
      </c>
      <c r="C675" s="2658" t="s">
        <v>9065</v>
      </c>
      <c r="D675" s="2659">
        <v>149.96199999999999</v>
      </c>
      <c r="E675" s="2659">
        <v>149.68199999999999</v>
      </c>
      <c r="F675" s="2659">
        <v>148.66300000000001</v>
      </c>
      <c r="G675" s="2659">
        <v>148.47300000000001</v>
      </c>
      <c r="H675" s="2659">
        <v>147.797</v>
      </c>
      <c r="I675" s="2659">
        <v>147.24100000000001</v>
      </c>
      <c r="J675" s="2659"/>
      <c r="K675" s="2659" t="s">
        <v>9066</v>
      </c>
      <c r="L675" s="2659">
        <v>147.83500000000001</v>
      </c>
      <c r="M675" s="2659">
        <v>148.21</v>
      </c>
      <c r="N675" s="2659">
        <v>148.70099999999999</v>
      </c>
      <c r="O675" s="2659">
        <v>148.95099999999999</v>
      </c>
      <c r="P675" s="2659">
        <v>150</v>
      </c>
      <c r="Q675" s="2659">
        <v>150.53899999999999</v>
      </c>
      <c r="R675" s="2667">
        <v>135</v>
      </c>
    </row>
    <row r="676" spans="1:18">
      <c r="A676" s="2651"/>
      <c r="B676" s="2658" t="s">
        <v>9403</v>
      </c>
      <c r="C676" s="2658" t="s">
        <v>9067</v>
      </c>
      <c r="D676" s="2659">
        <v>149.96199999999999</v>
      </c>
      <c r="E676" s="2659">
        <v>149.68199999999999</v>
      </c>
      <c r="F676" s="2659">
        <v>148.66300000000001</v>
      </c>
      <c r="G676" s="2659">
        <v>148.54499999999999</v>
      </c>
      <c r="H676" s="2659">
        <v>147.797</v>
      </c>
      <c r="I676" s="2659">
        <v>147.31299999999999</v>
      </c>
      <c r="J676" s="2659"/>
      <c r="K676" s="2659"/>
      <c r="L676" s="2659"/>
      <c r="M676" s="2659"/>
      <c r="N676" s="2659"/>
      <c r="O676" s="2659"/>
      <c r="P676" s="2659"/>
      <c r="Q676" s="2659"/>
      <c r="R676" s="2667"/>
    </row>
    <row r="677" spans="1:18">
      <c r="A677" s="2651"/>
      <c r="B677" s="2654" t="s">
        <v>9404</v>
      </c>
      <c r="C677" s="2658" t="s">
        <v>9065</v>
      </c>
      <c r="D677" s="2659">
        <v>149.96799999999999</v>
      </c>
      <c r="E677" s="2659">
        <v>149.732</v>
      </c>
      <c r="F677" s="2659">
        <v>148.99372149999999</v>
      </c>
      <c r="G677" s="2659">
        <v>148.81372150000001</v>
      </c>
      <c r="H677" s="2659">
        <v>148.344202</v>
      </c>
      <c r="I677" s="2659">
        <v>147.88968399999999</v>
      </c>
      <c r="J677" s="2659"/>
      <c r="K677" s="2659" t="s">
        <v>9066</v>
      </c>
      <c r="L677" s="2659">
        <v>148.37620200000001</v>
      </c>
      <c r="M677" s="2659">
        <v>148.67620199999999</v>
      </c>
      <c r="N677" s="2659">
        <v>149.0257215</v>
      </c>
      <c r="O677" s="2659">
        <v>149.26172149999999</v>
      </c>
      <c r="P677" s="2659">
        <v>150</v>
      </c>
      <c r="Q677" s="2659">
        <v>150.452507</v>
      </c>
      <c r="R677" s="2667">
        <v>135</v>
      </c>
    </row>
    <row r="678" spans="1:18">
      <c r="A678" s="2651"/>
      <c r="B678" s="2654" t="s">
        <v>9404</v>
      </c>
      <c r="C678" s="2658" t="s">
        <v>9067</v>
      </c>
      <c r="D678" s="2659">
        <v>149.96799999999999</v>
      </c>
      <c r="E678" s="2659">
        <v>149.732</v>
      </c>
      <c r="F678" s="2659">
        <v>148.99372149999999</v>
      </c>
      <c r="G678" s="2659">
        <v>148.8817215</v>
      </c>
      <c r="H678" s="2659">
        <v>148.344202</v>
      </c>
      <c r="I678" s="2659">
        <v>147.957684</v>
      </c>
      <c r="J678" s="2659"/>
      <c r="K678" s="2659"/>
      <c r="L678" s="2659"/>
      <c r="M678" s="2659"/>
      <c r="N678" s="2659"/>
      <c r="O678" s="2659"/>
      <c r="P678" s="2659"/>
      <c r="Q678" s="2659"/>
      <c r="R678" s="2667"/>
    </row>
    <row r="679" spans="1:18">
      <c r="A679" s="2651">
        <v>155</v>
      </c>
      <c r="B679" s="2654" t="s">
        <v>9405</v>
      </c>
      <c r="C679" s="2658" t="s">
        <v>9065</v>
      </c>
      <c r="D679" s="2659">
        <v>154.91999999999999</v>
      </c>
      <c r="E679" s="2659">
        <v>154.32</v>
      </c>
      <c r="F679" s="2659">
        <v>151.022886</v>
      </c>
      <c r="G679" s="2659">
        <v>150.72288599999999</v>
      </c>
      <c r="H679" s="2659">
        <v>148.42480800000001</v>
      </c>
      <c r="I679" s="2659">
        <v>147.026736</v>
      </c>
      <c r="J679" s="2659"/>
      <c r="K679" s="2659" t="s">
        <v>9066</v>
      </c>
      <c r="L679" s="2659">
        <v>148.504808</v>
      </c>
      <c r="M679" s="2659">
        <v>149.30480800000001</v>
      </c>
      <c r="N679" s="2659">
        <v>151.10288600000001</v>
      </c>
      <c r="O679" s="2659">
        <v>151.50288599999999</v>
      </c>
      <c r="P679" s="2659">
        <v>155</v>
      </c>
      <c r="Q679" s="2659">
        <v>156.26602800000001</v>
      </c>
      <c r="R679" s="2667">
        <v>140</v>
      </c>
    </row>
    <row r="680" spans="1:18">
      <c r="A680" s="2651"/>
      <c r="B680" s="2654" t="s">
        <v>9405</v>
      </c>
      <c r="C680" s="2658" t="s">
        <v>9067</v>
      </c>
      <c r="D680" s="2659">
        <v>154.91999999999999</v>
      </c>
      <c r="E680" s="2659">
        <v>154.32</v>
      </c>
      <c r="F680" s="2659">
        <v>151.022886</v>
      </c>
      <c r="G680" s="2659">
        <v>150.832886</v>
      </c>
      <c r="H680" s="2659">
        <v>148.42480800000001</v>
      </c>
      <c r="I680" s="2659">
        <v>147.13673600000001</v>
      </c>
      <c r="J680" s="2659"/>
      <c r="K680" s="2659"/>
      <c r="L680" s="2659"/>
      <c r="M680" s="2659"/>
      <c r="N680" s="2659"/>
      <c r="O680" s="2659"/>
      <c r="P680" s="2659"/>
      <c r="Q680" s="2659"/>
      <c r="R680" s="2667"/>
    </row>
    <row r="681" spans="1:18">
      <c r="A681" s="2651"/>
      <c r="B681" s="2654" t="s">
        <v>9406</v>
      </c>
      <c r="C681" s="2658" t="s">
        <v>9065</v>
      </c>
      <c r="D681" s="2659">
        <v>154.94</v>
      </c>
      <c r="E681" s="2659">
        <v>154.465</v>
      </c>
      <c r="F681" s="2659">
        <v>152.34192400000001</v>
      </c>
      <c r="G681" s="2659">
        <v>152.09192400000001</v>
      </c>
      <c r="H681" s="2659">
        <v>150.609872</v>
      </c>
      <c r="I681" s="2659">
        <v>149.627824</v>
      </c>
      <c r="J681" s="2659"/>
      <c r="K681" s="2659" t="s">
        <v>9066</v>
      </c>
      <c r="L681" s="2659">
        <v>150.669872</v>
      </c>
      <c r="M681" s="2659">
        <v>151.26987199999999</v>
      </c>
      <c r="N681" s="2659">
        <v>152.40192400000001</v>
      </c>
      <c r="O681" s="2659">
        <v>152.73692399999999</v>
      </c>
      <c r="P681" s="2659">
        <v>155</v>
      </c>
      <c r="Q681" s="2659">
        <v>155.912352</v>
      </c>
      <c r="R681" s="2667">
        <v>140</v>
      </c>
    </row>
    <row r="682" spans="1:18">
      <c r="A682" s="2651"/>
      <c r="B682" s="2654" t="s">
        <v>9406</v>
      </c>
      <c r="C682" s="2658" t="s">
        <v>9067</v>
      </c>
      <c r="D682" s="2659">
        <v>154.94</v>
      </c>
      <c r="E682" s="2659">
        <v>154.465</v>
      </c>
      <c r="F682" s="2659">
        <v>152.34192400000001</v>
      </c>
      <c r="G682" s="2659">
        <v>152.18192400000001</v>
      </c>
      <c r="H682" s="2659">
        <v>150.609872</v>
      </c>
      <c r="I682" s="2659">
        <v>149.71782400000001</v>
      </c>
      <c r="J682" s="2659"/>
      <c r="K682" s="2659"/>
      <c r="L682" s="2659"/>
      <c r="M682" s="2659"/>
      <c r="N682" s="2659"/>
      <c r="O682" s="2659"/>
      <c r="P682" s="2659"/>
      <c r="Q682" s="2659"/>
      <c r="R682" s="2667"/>
    </row>
    <row r="683" spans="1:18">
      <c r="A683" s="2651"/>
      <c r="B683" s="2654" t="s">
        <v>9407</v>
      </c>
      <c r="C683" s="2658" t="s">
        <v>9065</v>
      </c>
      <c r="D683" s="2659">
        <v>154.952</v>
      </c>
      <c r="E683" s="2659">
        <v>154.577</v>
      </c>
      <c r="F683" s="2659">
        <v>153.003443</v>
      </c>
      <c r="G683" s="2659">
        <v>152.77944299999999</v>
      </c>
      <c r="H683" s="2659">
        <v>151.70440400000001</v>
      </c>
      <c r="I683" s="2659">
        <v>150.93136799999999</v>
      </c>
      <c r="J683" s="2659"/>
      <c r="K683" s="2659" t="s">
        <v>9066</v>
      </c>
      <c r="L683" s="2659">
        <v>151.75240400000001</v>
      </c>
      <c r="M683" s="2659">
        <v>152.25240400000001</v>
      </c>
      <c r="N683" s="2659">
        <v>153.05144300000001</v>
      </c>
      <c r="O683" s="2659">
        <v>153.35144299999999</v>
      </c>
      <c r="P683" s="2659">
        <v>155</v>
      </c>
      <c r="Q683" s="2659">
        <v>155.733014</v>
      </c>
      <c r="R683" s="2667">
        <v>140</v>
      </c>
    </row>
    <row r="684" spans="1:18">
      <c r="A684" s="2651"/>
      <c r="B684" s="2654" t="s">
        <v>9407</v>
      </c>
      <c r="C684" s="2658" t="s">
        <v>9067</v>
      </c>
      <c r="D684" s="2659">
        <v>154.952</v>
      </c>
      <c r="E684" s="2659">
        <v>154.577</v>
      </c>
      <c r="F684" s="2659">
        <v>153.003443</v>
      </c>
      <c r="G684" s="2659">
        <v>152.86344299999999</v>
      </c>
      <c r="H684" s="2659">
        <v>151.70440400000001</v>
      </c>
      <c r="I684" s="2659">
        <v>151.015368</v>
      </c>
      <c r="J684" s="2659"/>
      <c r="K684" s="2659"/>
      <c r="L684" s="2659"/>
      <c r="M684" s="2659"/>
      <c r="N684" s="2659"/>
      <c r="O684" s="2659"/>
      <c r="P684" s="2659"/>
      <c r="Q684" s="2659"/>
      <c r="R684" s="2667"/>
    </row>
    <row r="685" spans="1:18">
      <c r="A685" s="2651"/>
      <c r="B685" s="2654" t="s">
        <v>9408</v>
      </c>
      <c r="C685" s="2658" t="s">
        <v>9065</v>
      </c>
      <c r="D685" s="2659">
        <v>154.96199999999999</v>
      </c>
      <c r="E685" s="2659">
        <v>154.68199999999999</v>
      </c>
      <c r="F685" s="2659">
        <v>153.66296199999999</v>
      </c>
      <c r="G685" s="2659">
        <v>153.472962</v>
      </c>
      <c r="H685" s="2659">
        <v>152.79693599999999</v>
      </c>
      <c r="I685" s="2659">
        <v>152.24091200000001</v>
      </c>
      <c r="J685" s="2659"/>
      <c r="K685" s="2659" t="s">
        <v>9066</v>
      </c>
      <c r="L685" s="2659">
        <v>152.834936</v>
      </c>
      <c r="M685" s="2659">
        <v>153.209936</v>
      </c>
      <c r="N685" s="2659">
        <v>153.700962</v>
      </c>
      <c r="O685" s="2659">
        <v>153.950962</v>
      </c>
      <c r="P685" s="2659">
        <v>155</v>
      </c>
      <c r="Q685" s="2659">
        <v>155.53867600000001</v>
      </c>
      <c r="R685" s="2667">
        <v>140</v>
      </c>
    </row>
    <row r="686" spans="1:18">
      <c r="A686" s="2651"/>
      <c r="B686" s="2654" t="s">
        <v>9408</v>
      </c>
      <c r="C686" s="2658" t="s">
        <v>9067</v>
      </c>
      <c r="D686" s="2659">
        <v>154.96199999999999</v>
      </c>
      <c r="E686" s="2659">
        <v>154.68199999999999</v>
      </c>
      <c r="F686" s="2659">
        <v>153.66296199999999</v>
      </c>
      <c r="G686" s="2659">
        <v>153.54296199999999</v>
      </c>
      <c r="H686" s="2659">
        <v>152.79693599999999</v>
      </c>
      <c r="I686" s="2659">
        <v>152.310912</v>
      </c>
      <c r="J686" s="2659"/>
      <c r="K686" s="2659"/>
      <c r="L686" s="2659"/>
      <c r="M686" s="2659"/>
      <c r="N686" s="2659"/>
      <c r="O686" s="2659"/>
      <c r="P686" s="2659"/>
      <c r="Q686" s="2659"/>
      <c r="R686" s="2667"/>
    </row>
    <row r="687" spans="1:18">
      <c r="A687" s="2651">
        <v>160</v>
      </c>
      <c r="B687" s="2654" t="s">
        <v>9409</v>
      </c>
      <c r="C687" s="2658" t="s">
        <v>9065</v>
      </c>
      <c r="D687" s="2659">
        <v>159.9</v>
      </c>
      <c r="E687" s="2659">
        <v>159.19</v>
      </c>
      <c r="F687" s="2659">
        <v>154.70384799999999</v>
      </c>
      <c r="G687" s="2659">
        <v>154.36884800000001</v>
      </c>
      <c r="H687" s="2659">
        <v>151.239744</v>
      </c>
      <c r="I687" s="2659">
        <v>149.44064800000001</v>
      </c>
      <c r="J687" s="2659"/>
      <c r="K687" s="2659" t="s">
        <v>9066</v>
      </c>
      <c r="L687" s="2659">
        <v>151.339744</v>
      </c>
      <c r="M687" s="2659">
        <v>152.339744</v>
      </c>
      <c r="N687" s="2659">
        <v>154.80384799999999</v>
      </c>
      <c r="O687" s="2659">
        <v>155.253848</v>
      </c>
      <c r="P687" s="2659">
        <v>160</v>
      </c>
      <c r="Q687" s="2659">
        <v>161.604704</v>
      </c>
      <c r="R687" s="2667">
        <v>144</v>
      </c>
    </row>
    <row r="688" spans="1:18">
      <c r="A688" s="2651"/>
      <c r="B688" s="2654" t="s">
        <v>9409</v>
      </c>
      <c r="C688" s="2658" t="s">
        <v>9067</v>
      </c>
      <c r="D688" s="2659">
        <v>159.9</v>
      </c>
      <c r="E688" s="2659">
        <v>159.19</v>
      </c>
      <c r="F688" s="2659">
        <v>154.70384799999999</v>
      </c>
      <c r="G688" s="2659">
        <v>154.491848</v>
      </c>
      <c r="H688" s="2659">
        <v>151.239744</v>
      </c>
      <c r="I688" s="2659">
        <v>149.563648</v>
      </c>
      <c r="J688" s="2659"/>
      <c r="K688" s="2659"/>
      <c r="L688" s="2659"/>
      <c r="M688" s="2659"/>
      <c r="N688" s="2659"/>
      <c r="O688" s="2659"/>
      <c r="P688" s="2659"/>
      <c r="Q688" s="2659"/>
      <c r="R688" s="2667"/>
    </row>
    <row r="689" spans="1:18">
      <c r="A689" s="2651"/>
      <c r="B689" s="2654" t="s">
        <v>9410</v>
      </c>
      <c r="C689" s="2658" t="s">
        <v>9065</v>
      </c>
      <c r="D689" s="2659">
        <v>159.91999999999999</v>
      </c>
      <c r="E689" s="2659">
        <v>159.32</v>
      </c>
      <c r="F689" s="2659">
        <v>156.022886</v>
      </c>
      <c r="G689" s="2659">
        <v>155.72288599999999</v>
      </c>
      <c r="H689" s="2659">
        <v>153.42480800000001</v>
      </c>
      <c r="I689" s="2659">
        <v>152.026736</v>
      </c>
      <c r="J689" s="2659"/>
      <c r="K689" s="2659" t="s">
        <v>9066</v>
      </c>
      <c r="L689" s="2659">
        <v>153.504808</v>
      </c>
      <c r="M689" s="2659">
        <v>154.30480800000001</v>
      </c>
      <c r="N689" s="2659">
        <v>156.10288600000001</v>
      </c>
      <c r="O689" s="2659">
        <v>156.50288599999999</v>
      </c>
      <c r="P689" s="2659">
        <v>160</v>
      </c>
      <c r="Q689" s="2659">
        <v>161.26602800000001</v>
      </c>
      <c r="R689" s="2667">
        <v>144</v>
      </c>
    </row>
    <row r="690" spans="1:18">
      <c r="A690" s="2651"/>
      <c r="B690" s="2654" t="s">
        <v>9410</v>
      </c>
      <c r="C690" s="2658" t="s">
        <v>9067</v>
      </c>
      <c r="D690" s="2659">
        <v>159.91999999999999</v>
      </c>
      <c r="E690" s="2659">
        <v>159.32</v>
      </c>
      <c r="F690" s="2659">
        <v>156.022886</v>
      </c>
      <c r="G690" s="2659">
        <v>155.832886</v>
      </c>
      <c r="H690" s="2659">
        <v>153.42480800000001</v>
      </c>
      <c r="I690" s="2659">
        <v>152.13673600000001</v>
      </c>
      <c r="J690" s="2659"/>
      <c r="K690" s="2659"/>
      <c r="L690" s="2659"/>
      <c r="M690" s="2659"/>
      <c r="N690" s="2659"/>
      <c r="O690" s="2659"/>
      <c r="P690" s="2659"/>
      <c r="Q690" s="2659"/>
      <c r="R690" s="2667"/>
    </row>
    <row r="691" spans="1:18">
      <c r="A691" s="2651"/>
      <c r="B691" s="2654" t="s">
        <v>9411</v>
      </c>
      <c r="C691" s="2658" t="s">
        <v>9065</v>
      </c>
      <c r="D691" s="2659">
        <v>159.94</v>
      </c>
      <c r="E691" s="2659">
        <v>159.465</v>
      </c>
      <c r="F691" s="2659">
        <v>157.34192400000001</v>
      </c>
      <c r="G691" s="2659">
        <v>157.09192400000001</v>
      </c>
      <c r="H691" s="2659">
        <v>155.609872</v>
      </c>
      <c r="I691" s="2659">
        <v>154.627824</v>
      </c>
      <c r="J691" s="2659"/>
      <c r="K691" s="2659" t="s">
        <v>9066</v>
      </c>
      <c r="L691" s="2659">
        <v>155.669872</v>
      </c>
      <c r="M691" s="2659">
        <v>156.26987199999999</v>
      </c>
      <c r="N691" s="2659">
        <v>157.40192400000001</v>
      </c>
      <c r="O691" s="2659">
        <v>157.73692399999999</v>
      </c>
      <c r="P691" s="2659">
        <v>160</v>
      </c>
      <c r="Q691" s="2659">
        <v>160.912352</v>
      </c>
      <c r="R691" s="2667">
        <v>144</v>
      </c>
    </row>
    <row r="692" spans="1:18">
      <c r="A692" s="2651"/>
      <c r="B692" s="2654" t="s">
        <v>9411</v>
      </c>
      <c r="C692" s="2658" t="s">
        <v>9067</v>
      </c>
      <c r="D692" s="2659">
        <v>159.94</v>
      </c>
      <c r="E692" s="2659">
        <v>159.465</v>
      </c>
      <c r="F692" s="2659">
        <v>157.34192400000001</v>
      </c>
      <c r="G692" s="2659">
        <v>157.18192400000001</v>
      </c>
      <c r="H692" s="2659">
        <v>155.609872</v>
      </c>
      <c r="I692" s="2659">
        <v>154.71782400000001</v>
      </c>
      <c r="J692" s="2659"/>
      <c r="K692" s="2659"/>
      <c r="L692" s="2659"/>
      <c r="M692" s="2659"/>
      <c r="N692" s="2659"/>
      <c r="O692" s="2659"/>
      <c r="P692" s="2659"/>
      <c r="Q692" s="2659"/>
      <c r="R692" s="2667"/>
    </row>
    <row r="693" spans="1:18">
      <c r="A693" s="2651"/>
      <c r="B693" s="2658" t="s">
        <v>9412</v>
      </c>
      <c r="C693" s="2658" t="s">
        <v>9065</v>
      </c>
      <c r="D693" s="2659">
        <v>159.952</v>
      </c>
      <c r="E693" s="2659">
        <v>159.577</v>
      </c>
      <c r="F693" s="2659">
        <v>158.00299999999999</v>
      </c>
      <c r="G693" s="2659">
        <v>157.779</v>
      </c>
      <c r="H693" s="2659">
        <v>156.70400000000001</v>
      </c>
      <c r="I693" s="2659">
        <v>155.93100000000001</v>
      </c>
      <c r="J693" s="2659"/>
      <c r="K693" s="2659" t="s">
        <v>9066</v>
      </c>
      <c r="L693" s="2659">
        <v>156.75200000000001</v>
      </c>
      <c r="M693" s="2659">
        <v>157.25200000000001</v>
      </c>
      <c r="N693" s="2659">
        <v>158.05099999999999</v>
      </c>
      <c r="O693" s="2659">
        <v>158.351</v>
      </c>
      <c r="P693" s="2659">
        <v>160</v>
      </c>
      <c r="Q693" s="2659">
        <v>160.733</v>
      </c>
      <c r="R693" s="2667">
        <v>144</v>
      </c>
    </row>
    <row r="694" spans="1:18">
      <c r="A694" s="2651"/>
      <c r="B694" s="2658" t="s">
        <v>9412</v>
      </c>
      <c r="C694" s="2658" t="s">
        <v>9067</v>
      </c>
      <c r="D694" s="2659">
        <v>159.952</v>
      </c>
      <c r="E694" s="2659">
        <v>159.577</v>
      </c>
      <c r="F694" s="2659">
        <v>158.00299999999999</v>
      </c>
      <c r="G694" s="2659">
        <v>157.863</v>
      </c>
      <c r="H694" s="2659">
        <v>156.70400000000001</v>
      </c>
      <c r="I694" s="2659">
        <v>156.01499999999999</v>
      </c>
      <c r="J694" s="2659"/>
      <c r="K694" s="2659"/>
      <c r="L694" s="2659"/>
      <c r="M694" s="2659"/>
      <c r="N694" s="2659"/>
      <c r="O694" s="2659"/>
      <c r="P694" s="2659"/>
      <c r="Q694" s="2659"/>
      <c r="R694" s="2667"/>
    </row>
    <row r="695" spans="1:18">
      <c r="A695" s="2651"/>
      <c r="B695" s="2654" t="s">
        <v>9413</v>
      </c>
      <c r="C695" s="2658" t="s">
        <v>9065</v>
      </c>
      <c r="D695" s="2659">
        <v>159.96199999999999</v>
      </c>
      <c r="E695" s="2659">
        <v>159.68199999999999</v>
      </c>
      <c r="F695" s="2659">
        <v>158.66296199999999</v>
      </c>
      <c r="G695" s="2659">
        <v>158.472962</v>
      </c>
      <c r="H695" s="2659">
        <v>157.79693599999999</v>
      </c>
      <c r="I695" s="2659">
        <v>157.24091200000001</v>
      </c>
      <c r="J695" s="2659"/>
      <c r="K695" s="2659" t="s">
        <v>9066</v>
      </c>
      <c r="L695" s="2659">
        <v>157.834936</v>
      </c>
      <c r="M695" s="2659">
        <v>158.209936</v>
      </c>
      <c r="N695" s="2659">
        <v>158.700962</v>
      </c>
      <c r="O695" s="2659">
        <v>158.950962</v>
      </c>
      <c r="P695" s="2659">
        <v>160</v>
      </c>
      <c r="Q695" s="2659">
        <v>160.53867600000001</v>
      </c>
      <c r="R695" s="2667">
        <v>144</v>
      </c>
    </row>
    <row r="696" spans="1:18">
      <c r="A696" s="2651"/>
      <c r="B696" s="2654" t="s">
        <v>9413</v>
      </c>
      <c r="C696" s="2658" t="s">
        <v>9067</v>
      </c>
      <c r="D696" s="2659">
        <v>159.96199999999999</v>
      </c>
      <c r="E696" s="2659">
        <v>159.68199999999999</v>
      </c>
      <c r="F696" s="2659">
        <v>158.66296199999999</v>
      </c>
      <c r="G696" s="2659">
        <v>158.54296199999999</v>
      </c>
      <c r="H696" s="2659">
        <v>157.79693599999999</v>
      </c>
      <c r="I696" s="2659">
        <v>157.310912</v>
      </c>
      <c r="J696" s="2659"/>
      <c r="K696" s="2659"/>
      <c r="L696" s="2659"/>
      <c r="M696" s="2659"/>
      <c r="N696" s="2659"/>
      <c r="O696" s="2659"/>
      <c r="P696" s="2659"/>
      <c r="Q696" s="2659"/>
      <c r="R696" s="2667"/>
    </row>
    <row r="697" spans="1:18">
      <c r="A697" s="2651">
        <v>165</v>
      </c>
      <c r="B697" s="2654" t="s">
        <v>9414</v>
      </c>
      <c r="C697" s="2658" t="s">
        <v>9065</v>
      </c>
      <c r="D697" s="2659">
        <v>164.92</v>
      </c>
      <c r="E697" s="2659">
        <v>164.32</v>
      </c>
      <c r="F697" s="2659">
        <v>161.022886</v>
      </c>
      <c r="G697" s="2659">
        <v>160.72288599999999</v>
      </c>
      <c r="H697" s="2659">
        <v>158.42480800000001</v>
      </c>
      <c r="I697" s="2659">
        <v>157.026736</v>
      </c>
      <c r="J697" s="2659"/>
      <c r="K697" s="2659" t="s">
        <v>9066</v>
      </c>
      <c r="L697" s="2659">
        <v>158.504808</v>
      </c>
      <c r="M697" s="2659">
        <v>159.30480800000001</v>
      </c>
      <c r="N697" s="2659">
        <v>161.10288600000001</v>
      </c>
      <c r="O697" s="2659">
        <v>161.50288599999999</v>
      </c>
      <c r="P697" s="2659">
        <v>165</v>
      </c>
      <c r="Q697" s="2659">
        <v>166.26602800000001</v>
      </c>
      <c r="R697" s="2667">
        <v>148</v>
      </c>
    </row>
    <row r="698" spans="1:18">
      <c r="A698" s="2651"/>
      <c r="B698" s="2654" t="s">
        <v>9414</v>
      </c>
      <c r="C698" s="2658" t="s">
        <v>9067</v>
      </c>
      <c r="D698" s="2659">
        <v>164.92</v>
      </c>
      <c r="E698" s="2659">
        <v>164.32</v>
      </c>
      <c r="F698" s="2659">
        <v>161.022886</v>
      </c>
      <c r="G698" s="2659">
        <v>160.832886</v>
      </c>
      <c r="H698" s="2659">
        <v>158.42480800000001</v>
      </c>
      <c r="I698" s="2659">
        <v>157.13673600000001</v>
      </c>
      <c r="J698" s="2659"/>
      <c r="K698" s="2659"/>
      <c r="L698" s="2659"/>
      <c r="M698" s="2659"/>
      <c r="N698" s="2659"/>
      <c r="O698" s="2659"/>
      <c r="P698" s="2659"/>
      <c r="Q698" s="2659"/>
      <c r="R698" s="2667"/>
    </row>
    <row r="699" spans="1:18">
      <c r="A699" s="2651"/>
      <c r="B699" s="2654" t="s">
        <v>9415</v>
      </c>
      <c r="C699" s="2658" t="s">
        <v>9065</v>
      </c>
      <c r="D699" s="2659">
        <v>164.94</v>
      </c>
      <c r="E699" s="2659">
        <v>164.465</v>
      </c>
      <c r="F699" s="2659">
        <v>162.34192400000001</v>
      </c>
      <c r="G699" s="2659">
        <v>162.09192400000001</v>
      </c>
      <c r="H699" s="2659">
        <v>160.609872</v>
      </c>
      <c r="I699" s="2659">
        <v>159.627824</v>
      </c>
      <c r="J699" s="2659"/>
      <c r="K699" s="2659" t="s">
        <v>9066</v>
      </c>
      <c r="L699" s="2659">
        <v>160.669872</v>
      </c>
      <c r="M699" s="2659">
        <v>161.26987199999999</v>
      </c>
      <c r="N699" s="2659">
        <v>162.40192400000001</v>
      </c>
      <c r="O699" s="2659">
        <v>162.73692399999999</v>
      </c>
      <c r="P699" s="2659">
        <v>165</v>
      </c>
      <c r="Q699" s="2659">
        <v>165.912352</v>
      </c>
      <c r="R699" s="2667">
        <v>148</v>
      </c>
    </row>
    <row r="700" spans="1:18">
      <c r="A700" s="2651"/>
      <c r="B700" s="2654" t="s">
        <v>9415</v>
      </c>
      <c r="C700" s="2658" t="s">
        <v>9067</v>
      </c>
      <c r="D700" s="2659">
        <v>164.94</v>
      </c>
      <c r="E700" s="2659">
        <v>164.465</v>
      </c>
      <c r="F700" s="2659">
        <v>162.34192400000001</v>
      </c>
      <c r="G700" s="2659">
        <v>162.18192400000001</v>
      </c>
      <c r="H700" s="2659">
        <v>160.609872</v>
      </c>
      <c r="I700" s="2659">
        <v>159.71782400000001</v>
      </c>
      <c r="J700" s="2659"/>
      <c r="K700" s="2659"/>
      <c r="L700" s="2659"/>
      <c r="M700" s="2659"/>
      <c r="N700" s="2659"/>
      <c r="O700" s="2659"/>
      <c r="P700" s="2659"/>
      <c r="Q700" s="2659"/>
      <c r="R700" s="2667"/>
    </row>
    <row r="701" spans="1:18">
      <c r="A701" s="2651"/>
      <c r="B701" s="2654" t="s">
        <v>9416</v>
      </c>
      <c r="C701" s="2658" t="s">
        <v>9065</v>
      </c>
      <c r="D701" s="2659">
        <v>164.952</v>
      </c>
      <c r="E701" s="2659">
        <v>164.577</v>
      </c>
      <c r="F701" s="2659">
        <v>163.003443</v>
      </c>
      <c r="G701" s="2659">
        <v>162.77944299999999</v>
      </c>
      <c r="H701" s="2659">
        <v>161.70440400000001</v>
      </c>
      <c r="I701" s="2659">
        <v>160.93136799999999</v>
      </c>
      <c r="J701" s="2659"/>
      <c r="K701" s="2659" t="s">
        <v>9066</v>
      </c>
      <c r="L701" s="2659">
        <v>161.75240400000001</v>
      </c>
      <c r="M701" s="2659">
        <v>162.25240400000001</v>
      </c>
      <c r="N701" s="2659">
        <v>163.05144300000001</v>
      </c>
      <c r="O701" s="2659">
        <v>163.35144299999999</v>
      </c>
      <c r="P701" s="2659">
        <v>165</v>
      </c>
      <c r="Q701" s="2659">
        <v>165.733014</v>
      </c>
      <c r="R701" s="2667">
        <v>148</v>
      </c>
    </row>
    <row r="702" spans="1:18">
      <c r="A702" s="2651"/>
      <c r="B702" s="2654" t="s">
        <v>9416</v>
      </c>
      <c r="C702" s="2658" t="s">
        <v>9067</v>
      </c>
      <c r="D702" s="2659">
        <v>164.952</v>
      </c>
      <c r="E702" s="2659">
        <v>164.577</v>
      </c>
      <c r="F702" s="2659">
        <v>163.003443</v>
      </c>
      <c r="G702" s="2659">
        <v>162.86344299999999</v>
      </c>
      <c r="H702" s="2659">
        <v>161.70440400000001</v>
      </c>
      <c r="I702" s="2659">
        <v>161.015368</v>
      </c>
      <c r="J702" s="2659"/>
      <c r="K702" s="2659"/>
      <c r="L702" s="2659"/>
      <c r="M702" s="2659"/>
      <c r="N702" s="2659"/>
      <c r="O702" s="2659"/>
      <c r="P702" s="2659"/>
      <c r="Q702" s="2659"/>
      <c r="R702" s="2667"/>
    </row>
    <row r="703" spans="1:18">
      <c r="A703" s="2651"/>
      <c r="B703" s="2654" t="s">
        <v>9417</v>
      </c>
      <c r="C703" s="2658" t="s">
        <v>9065</v>
      </c>
      <c r="D703" s="2659">
        <v>164.96199999999999</v>
      </c>
      <c r="E703" s="2659">
        <v>164.68199999999999</v>
      </c>
      <c r="F703" s="2659">
        <v>163.66296199999999</v>
      </c>
      <c r="G703" s="2659">
        <v>163.472962</v>
      </c>
      <c r="H703" s="2659">
        <v>162.79693599999999</v>
      </c>
      <c r="I703" s="2659">
        <v>162.24091200000001</v>
      </c>
      <c r="J703" s="2659"/>
      <c r="K703" s="2659" t="s">
        <v>9066</v>
      </c>
      <c r="L703" s="2659">
        <v>162.834936</v>
      </c>
      <c r="M703" s="2659">
        <v>163.209936</v>
      </c>
      <c r="N703" s="2659">
        <v>163.700962</v>
      </c>
      <c r="O703" s="2659">
        <v>163.950962</v>
      </c>
      <c r="P703" s="2659">
        <v>165</v>
      </c>
      <c r="Q703" s="2659">
        <v>165.53867600000001</v>
      </c>
      <c r="R703" s="2667">
        <v>148</v>
      </c>
    </row>
    <row r="704" spans="1:18">
      <c r="A704" s="2651"/>
      <c r="B704" s="2654" t="s">
        <v>9417</v>
      </c>
      <c r="C704" s="2658" t="s">
        <v>9067</v>
      </c>
      <c r="D704" s="2659">
        <v>164.96199999999999</v>
      </c>
      <c r="E704" s="2659">
        <v>164.68199999999999</v>
      </c>
      <c r="F704" s="2659">
        <v>163.66296199999999</v>
      </c>
      <c r="G704" s="2659">
        <v>163.54296199999999</v>
      </c>
      <c r="H704" s="2659">
        <v>162.79693599999999</v>
      </c>
      <c r="I704" s="2659">
        <v>162.310912</v>
      </c>
      <c r="J704" s="2659"/>
      <c r="K704" s="2659"/>
      <c r="L704" s="2659"/>
      <c r="M704" s="2659"/>
      <c r="N704" s="2659"/>
      <c r="O704" s="2659"/>
      <c r="P704" s="2659"/>
      <c r="Q704" s="2659"/>
      <c r="R704" s="2667"/>
    </row>
    <row r="705" spans="1:18">
      <c r="A705" s="2651">
        <v>170</v>
      </c>
      <c r="B705" s="2654" t="s">
        <v>9418</v>
      </c>
      <c r="C705" s="2658" t="s">
        <v>9065</v>
      </c>
      <c r="D705" s="2659">
        <v>169.9</v>
      </c>
      <c r="E705" s="2659">
        <v>169.19</v>
      </c>
      <c r="F705" s="2659">
        <v>164.70384799999999</v>
      </c>
      <c r="G705" s="2659">
        <v>164.36884800000001</v>
      </c>
      <c r="H705" s="2659">
        <v>161.239744</v>
      </c>
      <c r="I705" s="2659">
        <v>159.44064800000001</v>
      </c>
      <c r="J705" s="2659"/>
      <c r="K705" s="2659" t="s">
        <v>9066</v>
      </c>
      <c r="L705" s="2659">
        <v>161.339744</v>
      </c>
      <c r="M705" s="2659">
        <v>162.339744</v>
      </c>
      <c r="N705" s="2659">
        <v>164.80384799999999</v>
      </c>
      <c r="O705" s="2659">
        <v>165.253848</v>
      </c>
      <c r="P705" s="2659">
        <v>170</v>
      </c>
      <c r="Q705" s="2659">
        <v>171.604704</v>
      </c>
      <c r="R705" s="2667">
        <v>153</v>
      </c>
    </row>
    <row r="706" spans="1:18">
      <c r="A706" s="2651"/>
      <c r="B706" s="2654" t="s">
        <v>9418</v>
      </c>
      <c r="C706" s="2658" t="s">
        <v>9067</v>
      </c>
      <c r="D706" s="2659">
        <v>169.9</v>
      </c>
      <c r="E706" s="2659">
        <v>169.19</v>
      </c>
      <c r="F706" s="2659">
        <v>164.70384799999999</v>
      </c>
      <c r="G706" s="2659">
        <v>164.491848</v>
      </c>
      <c r="H706" s="2659">
        <v>161.239744</v>
      </c>
      <c r="I706" s="2659">
        <v>159.563648</v>
      </c>
      <c r="J706" s="2659"/>
      <c r="K706" s="2659"/>
      <c r="L706" s="2659"/>
      <c r="M706" s="2659"/>
      <c r="N706" s="2659"/>
      <c r="O706" s="2659"/>
      <c r="P706" s="2659"/>
      <c r="Q706" s="2659"/>
      <c r="R706" s="2667"/>
    </row>
    <row r="707" spans="1:18">
      <c r="A707" s="2651"/>
      <c r="B707" s="2654" t="s">
        <v>9419</v>
      </c>
      <c r="C707" s="2658" t="s">
        <v>9065</v>
      </c>
      <c r="D707" s="2659">
        <v>169.92</v>
      </c>
      <c r="E707" s="2659">
        <v>169.32</v>
      </c>
      <c r="F707" s="2659">
        <v>166.022886</v>
      </c>
      <c r="G707" s="2659">
        <v>165.72288599999999</v>
      </c>
      <c r="H707" s="2659">
        <v>163.42480800000001</v>
      </c>
      <c r="I707" s="2659">
        <v>162.026736</v>
      </c>
      <c r="J707" s="2659"/>
      <c r="K707" s="2659" t="s">
        <v>9066</v>
      </c>
      <c r="L707" s="2659">
        <v>163.504808</v>
      </c>
      <c r="M707" s="2659">
        <v>164.30480800000001</v>
      </c>
      <c r="N707" s="2659">
        <v>166.10288600000001</v>
      </c>
      <c r="O707" s="2659">
        <v>166.50288599999999</v>
      </c>
      <c r="P707" s="2659">
        <v>170</v>
      </c>
      <c r="Q707" s="2659">
        <v>171.26602800000001</v>
      </c>
      <c r="R707" s="2667">
        <v>153</v>
      </c>
    </row>
    <row r="708" spans="1:18">
      <c r="A708" s="2651"/>
      <c r="B708" s="2654" t="s">
        <v>9419</v>
      </c>
      <c r="C708" s="2658" t="s">
        <v>9067</v>
      </c>
      <c r="D708" s="2659">
        <v>169.92</v>
      </c>
      <c r="E708" s="2659">
        <v>169.32</v>
      </c>
      <c r="F708" s="2659">
        <v>166.022886</v>
      </c>
      <c r="G708" s="2659">
        <v>165.832886</v>
      </c>
      <c r="H708" s="2659">
        <v>163.42480800000001</v>
      </c>
      <c r="I708" s="2659">
        <v>162.13673600000001</v>
      </c>
      <c r="J708" s="2659"/>
      <c r="K708" s="2659"/>
      <c r="L708" s="2659"/>
      <c r="M708" s="2659"/>
      <c r="N708" s="2659"/>
      <c r="O708" s="2659"/>
      <c r="P708" s="2659"/>
      <c r="Q708" s="2659"/>
      <c r="R708" s="2667"/>
    </row>
    <row r="709" spans="1:18">
      <c r="A709" s="2651"/>
      <c r="B709" s="2654" t="s">
        <v>9420</v>
      </c>
      <c r="C709" s="2658" t="s">
        <v>9065</v>
      </c>
      <c r="D709" s="2659">
        <v>169.94</v>
      </c>
      <c r="E709" s="2659">
        <v>169.465</v>
      </c>
      <c r="F709" s="2659">
        <v>167.34192400000001</v>
      </c>
      <c r="G709" s="2659">
        <v>167.09192400000001</v>
      </c>
      <c r="H709" s="2659">
        <v>165.609872</v>
      </c>
      <c r="I709" s="2659">
        <v>164.627824</v>
      </c>
      <c r="J709" s="2659"/>
      <c r="K709" s="2659" t="s">
        <v>9066</v>
      </c>
      <c r="L709" s="2659">
        <v>165.669872</v>
      </c>
      <c r="M709" s="2659">
        <v>166.26987199999999</v>
      </c>
      <c r="N709" s="2659">
        <v>167.40192400000001</v>
      </c>
      <c r="O709" s="2659">
        <v>167.73692399999999</v>
      </c>
      <c r="P709" s="2659">
        <v>170</v>
      </c>
      <c r="Q709" s="2659">
        <v>170.912352</v>
      </c>
      <c r="R709" s="2667">
        <v>153</v>
      </c>
    </row>
    <row r="710" spans="1:18">
      <c r="A710" s="2651"/>
      <c r="B710" s="2654" t="s">
        <v>9420</v>
      </c>
      <c r="C710" s="2658" t="s">
        <v>9067</v>
      </c>
      <c r="D710" s="2659">
        <v>169.94</v>
      </c>
      <c r="E710" s="2659">
        <v>169.465</v>
      </c>
      <c r="F710" s="2659">
        <v>167.34192400000001</v>
      </c>
      <c r="G710" s="2659">
        <v>167.18192400000001</v>
      </c>
      <c r="H710" s="2659">
        <v>165.609872</v>
      </c>
      <c r="I710" s="2659">
        <v>164.71782400000001</v>
      </c>
      <c r="J710" s="2659"/>
      <c r="K710" s="2659"/>
      <c r="L710" s="2659"/>
      <c r="M710" s="2659"/>
      <c r="N710" s="2659"/>
      <c r="O710" s="2659"/>
      <c r="P710" s="2659"/>
      <c r="Q710" s="2659"/>
      <c r="R710" s="2667"/>
    </row>
    <row r="711" spans="1:18">
      <c r="A711" s="2651"/>
      <c r="B711" s="2658" t="s">
        <v>9421</v>
      </c>
      <c r="C711" s="2658" t="s">
        <v>9065</v>
      </c>
      <c r="D711" s="2659">
        <v>169.952</v>
      </c>
      <c r="E711" s="2659">
        <v>169.577</v>
      </c>
      <c r="F711" s="2659">
        <v>168.00299999999999</v>
      </c>
      <c r="G711" s="2659">
        <v>167.779</v>
      </c>
      <c r="H711" s="2659">
        <v>166.70400000000001</v>
      </c>
      <c r="I711" s="2659">
        <v>165.93100000000001</v>
      </c>
      <c r="J711" s="2659"/>
      <c r="K711" s="2659" t="s">
        <v>9066</v>
      </c>
      <c r="L711" s="2659">
        <v>166.75200000000001</v>
      </c>
      <c r="M711" s="2659">
        <v>167.25200000000001</v>
      </c>
      <c r="N711" s="2659">
        <v>168.05099999999999</v>
      </c>
      <c r="O711" s="2659">
        <v>168.351</v>
      </c>
      <c r="P711" s="2659">
        <v>170</v>
      </c>
      <c r="Q711" s="2659">
        <v>170.733</v>
      </c>
      <c r="R711" s="2667">
        <v>153</v>
      </c>
    </row>
    <row r="712" spans="1:18">
      <c r="A712" s="2651"/>
      <c r="B712" s="2658" t="s">
        <v>9421</v>
      </c>
      <c r="C712" s="2658" t="s">
        <v>9067</v>
      </c>
      <c r="D712" s="2659">
        <v>169.952</v>
      </c>
      <c r="E712" s="2659">
        <v>169.577</v>
      </c>
      <c r="F712" s="2659">
        <v>168.00299999999999</v>
      </c>
      <c r="G712" s="2659">
        <v>167.863</v>
      </c>
      <c r="H712" s="2659">
        <v>166.70400000000001</v>
      </c>
      <c r="I712" s="2659">
        <v>166.01499999999999</v>
      </c>
      <c r="J712" s="2659"/>
      <c r="K712" s="2659"/>
      <c r="L712" s="2659"/>
      <c r="M712" s="2659"/>
      <c r="N712" s="2659"/>
      <c r="O712" s="2659"/>
      <c r="P712" s="2659"/>
      <c r="Q712" s="2659"/>
      <c r="R712" s="2667"/>
    </row>
    <row r="713" spans="1:18">
      <c r="A713" s="2651"/>
      <c r="B713" s="2654" t="s">
        <v>9422</v>
      </c>
      <c r="C713" s="2658" t="s">
        <v>9065</v>
      </c>
      <c r="D713" s="2659">
        <v>169.96199999999999</v>
      </c>
      <c r="E713" s="2659">
        <v>169.68199999999999</v>
      </c>
      <c r="F713" s="2659">
        <v>168.66296199999999</v>
      </c>
      <c r="G713" s="2659">
        <v>168.472962</v>
      </c>
      <c r="H713" s="2659">
        <v>167.79693599999999</v>
      </c>
      <c r="I713" s="2659">
        <v>167.24091200000001</v>
      </c>
      <c r="J713" s="2659"/>
      <c r="K713" s="2659" t="s">
        <v>9066</v>
      </c>
      <c r="L713" s="2659">
        <v>167.834936</v>
      </c>
      <c r="M713" s="2659">
        <v>168.209936</v>
      </c>
      <c r="N713" s="2659">
        <v>168.700962</v>
      </c>
      <c r="O713" s="2659">
        <v>168.950962</v>
      </c>
      <c r="P713" s="2659">
        <v>170</v>
      </c>
      <c r="Q713" s="2659">
        <v>170.53867600000001</v>
      </c>
      <c r="R713" s="2667">
        <v>153</v>
      </c>
    </row>
    <row r="714" spans="1:18">
      <c r="A714" s="2651"/>
      <c r="B714" s="2654" t="s">
        <v>9422</v>
      </c>
      <c r="C714" s="2658" t="s">
        <v>9067</v>
      </c>
      <c r="D714" s="2659">
        <v>169.96199999999999</v>
      </c>
      <c r="E714" s="2659">
        <v>169.68199999999999</v>
      </c>
      <c r="F714" s="2659">
        <v>168.66296199999999</v>
      </c>
      <c r="G714" s="2659">
        <v>168.54296199999999</v>
      </c>
      <c r="H714" s="2659">
        <v>167.79693599999999</v>
      </c>
      <c r="I714" s="2659">
        <v>167.310912</v>
      </c>
      <c r="J714" s="2659"/>
      <c r="K714" s="2659"/>
      <c r="L714" s="2659"/>
      <c r="M714" s="2659"/>
      <c r="N714" s="2659"/>
      <c r="O714" s="2659"/>
      <c r="P714" s="2659"/>
      <c r="Q714" s="2659"/>
      <c r="R714" s="2667"/>
    </row>
    <row r="715" spans="1:18">
      <c r="A715" s="2651">
        <v>175</v>
      </c>
      <c r="B715" s="2654" t="s">
        <v>9423</v>
      </c>
      <c r="C715" s="2658" t="s">
        <v>9065</v>
      </c>
      <c r="D715" s="2659">
        <v>174.92</v>
      </c>
      <c r="E715" s="2659">
        <v>174.32</v>
      </c>
      <c r="F715" s="2659">
        <v>171.022886</v>
      </c>
      <c r="G715" s="2659">
        <v>170.72288599999999</v>
      </c>
      <c r="H715" s="2659">
        <v>168.42480800000001</v>
      </c>
      <c r="I715" s="2659">
        <v>167.026736</v>
      </c>
      <c r="J715" s="2659"/>
      <c r="K715" s="2659" t="s">
        <v>9066</v>
      </c>
      <c r="L715" s="2659">
        <v>168.504808</v>
      </c>
      <c r="M715" s="2659">
        <v>169.30480800000001</v>
      </c>
      <c r="N715" s="2659">
        <v>171.10288600000001</v>
      </c>
      <c r="O715" s="2659">
        <v>171.50288599999999</v>
      </c>
      <c r="P715" s="2659">
        <v>175</v>
      </c>
      <c r="Q715" s="2659">
        <v>176.26602800000001</v>
      </c>
      <c r="R715" s="2667">
        <v>158</v>
      </c>
    </row>
    <row r="716" spans="1:18">
      <c r="A716" s="2651"/>
      <c r="B716" s="2654" t="s">
        <v>9423</v>
      </c>
      <c r="C716" s="2658" t="s">
        <v>9067</v>
      </c>
      <c r="D716" s="2659">
        <v>174.92</v>
      </c>
      <c r="E716" s="2659">
        <v>174.32</v>
      </c>
      <c r="F716" s="2659">
        <v>171.022886</v>
      </c>
      <c r="G716" s="2659">
        <v>170.832886</v>
      </c>
      <c r="H716" s="2659">
        <v>168.42480800000001</v>
      </c>
      <c r="I716" s="2659">
        <v>167.13673600000001</v>
      </c>
      <c r="J716" s="2659"/>
      <c r="K716" s="2659"/>
      <c r="L716" s="2659"/>
      <c r="M716" s="2659"/>
      <c r="N716" s="2659"/>
      <c r="O716" s="2659"/>
      <c r="P716" s="2659"/>
      <c r="Q716" s="2659"/>
      <c r="R716" s="2667"/>
    </row>
    <row r="717" spans="1:18">
      <c r="A717" s="2651"/>
      <c r="B717" s="2654" t="s">
        <v>9424</v>
      </c>
      <c r="C717" s="2658" t="s">
        <v>9065</v>
      </c>
      <c r="D717" s="2659">
        <v>174.94</v>
      </c>
      <c r="E717" s="2659">
        <v>174.465</v>
      </c>
      <c r="F717" s="2659">
        <v>172.34192400000001</v>
      </c>
      <c r="G717" s="2659">
        <v>172.09192400000001</v>
      </c>
      <c r="H717" s="2659">
        <v>170.609872</v>
      </c>
      <c r="I717" s="2659">
        <v>169.627824</v>
      </c>
      <c r="J717" s="2659"/>
      <c r="K717" s="2659" t="s">
        <v>9066</v>
      </c>
      <c r="L717" s="2659">
        <v>170.669872</v>
      </c>
      <c r="M717" s="2659">
        <v>171.26987199999999</v>
      </c>
      <c r="N717" s="2659">
        <v>172.40192400000001</v>
      </c>
      <c r="O717" s="2659">
        <v>172.73692399999999</v>
      </c>
      <c r="P717" s="2659">
        <v>175</v>
      </c>
      <c r="Q717" s="2659">
        <v>175.912352</v>
      </c>
      <c r="R717" s="2667">
        <v>158</v>
      </c>
    </row>
    <row r="718" spans="1:18">
      <c r="A718" s="2651"/>
      <c r="B718" s="2654" t="s">
        <v>9424</v>
      </c>
      <c r="C718" s="2658" t="s">
        <v>9067</v>
      </c>
      <c r="D718" s="2659">
        <v>174.94</v>
      </c>
      <c r="E718" s="2659">
        <v>174.465</v>
      </c>
      <c r="F718" s="2659">
        <v>172.34192400000001</v>
      </c>
      <c r="G718" s="2659">
        <v>172.18192400000001</v>
      </c>
      <c r="H718" s="2659">
        <v>170.609872</v>
      </c>
      <c r="I718" s="2659">
        <v>169.71782400000001</v>
      </c>
      <c r="J718" s="2659"/>
      <c r="K718" s="2659"/>
      <c r="L718" s="2659"/>
      <c r="M718" s="2659"/>
      <c r="N718" s="2659"/>
      <c r="O718" s="2659"/>
      <c r="P718" s="2659"/>
      <c r="Q718" s="2659"/>
      <c r="R718" s="2667"/>
    </row>
    <row r="719" spans="1:18">
      <c r="A719" s="2651"/>
      <c r="B719" s="2654" t="s">
        <v>9425</v>
      </c>
      <c r="C719" s="2658" t="s">
        <v>9065</v>
      </c>
      <c r="D719" s="2659">
        <v>174.952</v>
      </c>
      <c r="E719" s="2659">
        <v>174.577</v>
      </c>
      <c r="F719" s="2659">
        <v>173.003443</v>
      </c>
      <c r="G719" s="2659">
        <v>172.77944299999999</v>
      </c>
      <c r="H719" s="2659">
        <v>171.70440400000001</v>
      </c>
      <c r="I719" s="2659">
        <v>170.93136799999999</v>
      </c>
      <c r="J719" s="2659"/>
      <c r="K719" s="2659" t="s">
        <v>9066</v>
      </c>
      <c r="L719" s="2659">
        <v>171.75240400000001</v>
      </c>
      <c r="M719" s="2659">
        <v>172.25240400000001</v>
      </c>
      <c r="N719" s="2659">
        <v>173.05144300000001</v>
      </c>
      <c r="O719" s="2659">
        <v>173.35144299999999</v>
      </c>
      <c r="P719" s="2659">
        <v>175</v>
      </c>
      <c r="Q719" s="2659">
        <v>175.733014</v>
      </c>
      <c r="R719" s="2667">
        <v>158</v>
      </c>
    </row>
    <row r="720" spans="1:18">
      <c r="A720" s="2651"/>
      <c r="B720" s="2654" t="s">
        <v>9425</v>
      </c>
      <c r="C720" s="2658" t="s">
        <v>9067</v>
      </c>
      <c r="D720" s="2659">
        <v>174.952</v>
      </c>
      <c r="E720" s="2659">
        <v>174.577</v>
      </c>
      <c r="F720" s="2659">
        <v>173.003443</v>
      </c>
      <c r="G720" s="2659">
        <v>172.86244300000001</v>
      </c>
      <c r="H720" s="2659">
        <v>171.70440400000001</v>
      </c>
      <c r="I720" s="2659">
        <v>171.01436799999999</v>
      </c>
      <c r="J720" s="2659"/>
      <c r="K720" s="2659"/>
      <c r="L720" s="2659"/>
      <c r="M720" s="2659"/>
      <c r="N720" s="2659"/>
      <c r="O720" s="2659"/>
      <c r="P720" s="2659"/>
      <c r="Q720" s="2659"/>
      <c r="R720" s="2667"/>
    </row>
    <row r="721" spans="1:18">
      <c r="A721" s="2651"/>
      <c r="B721" s="2654" t="s">
        <v>9426</v>
      </c>
      <c r="C721" s="2658" t="s">
        <v>9065</v>
      </c>
      <c r="D721" s="2659">
        <v>174.96199999999999</v>
      </c>
      <c r="E721" s="2659">
        <v>174.68199999999999</v>
      </c>
      <c r="F721" s="2659">
        <v>173.66296199999999</v>
      </c>
      <c r="G721" s="2659">
        <v>173.472962</v>
      </c>
      <c r="H721" s="2659">
        <v>172.79693599999999</v>
      </c>
      <c r="I721" s="2659">
        <v>172.24091200000001</v>
      </c>
      <c r="J721" s="2659"/>
      <c r="K721" s="2659" t="s">
        <v>9066</v>
      </c>
      <c r="L721" s="2659">
        <v>172.834936</v>
      </c>
      <c r="M721" s="2659">
        <v>173.209936</v>
      </c>
      <c r="N721" s="2659">
        <v>173.700962</v>
      </c>
      <c r="O721" s="2659">
        <v>173.950962</v>
      </c>
      <c r="P721" s="2659">
        <v>175</v>
      </c>
      <c r="Q721" s="2659">
        <v>175.53867600000001</v>
      </c>
      <c r="R721" s="2667">
        <v>158</v>
      </c>
    </row>
    <row r="722" spans="1:18">
      <c r="A722" s="2651"/>
      <c r="B722" s="2654" t="s">
        <v>9426</v>
      </c>
      <c r="C722" s="2658" t="s">
        <v>9067</v>
      </c>
      <c r="D722" s="2659">
        <v>174.96199999999999</v>
      </c>
      <c r="E722" s="2659">
        <v>174.68199999999999</v>
      </c>
      <c r="F722" s="2659">
        <v>173.66296199999999</v>
      </c>
      <c r="G722" s="2659">
        <v>173.54296199999999</v>
      </c>
      <c r="H722" s="2659">
        <v>172.79693599999999</v>
      </c>
      <c r="I722" s="2659">
        <v>172.310912</v>
      </c>
      <c r="J722" s="2659"/>
      <c r="K722" s="2659"/>
      <c r="L722" s="2659"/>
      <c r="M722" s="2659"/>
      <c r="N722" s="2659"/>
      <c r="O722" s="2659"/>
      <c r="P722" s="2659"/>
      <c r="Q722" s="2659"/>
      <c r="R722" s="2667"/>
    </row>
    <row r="723" spans="1:18">
      <c r="A723" s="2651">
        <v>180</v>
      </c>
      <c r="B723" s="2654" t="s">
        <v>9427</v>
      </c>
      <c r="C723" s="2658" t="s">
        <v>9065</v>
      </c>
      <c r="D723" s="2659">
        <v>179.9</v>
      </c>
      <c r="E723" s="2659">
        <v>179.19</v>
      </c>
      <c r="F723" s="2659">
        <v>174.70384799999999</v>
      </c>
      <c r="G723" s="2659">
        <v>174.36884800000001</v>
      </c>
      <c r="H723" s="2659">
        <v>171.239744</v>
      </c>
      <c r="I723" s="2659">
        <v>169.44064800000001</v>
      </c>
      <c r="J723" s="2659"/>
      <c r="K723" s="2659" t="s">
        <v>9066</v>
      </c>
      <c r="L723" s="2659">
        <v>171.339744</v>
      </c>
      <c r="M723" s="2659">
        <v>172.339744</v>
      </c>
      <c r="N723" s="2659">
        <v>174.80384799999999</v>
      </c>
      <c r="O723" s="2659">
        <v>175.253848</v>
      </c>
      <c r="P723" s="2659">
        <v>180</v>
      </c>
      <c r="Q723" s="2659">
        <v>181.604704</v>
      </c>
      <c r="R723" s="2667">
        <v>162</v>
      </c>
    </row>
    <row r="724" spans="1:18">
      <c r="A724" s="2651"/>
      <c r="B724" s="2654" t="s">
        <v>9427</v>
      </c>
      <c r="C724" s="2658" t="s">
        <v>9067</v>
      </c>
      <c r="D724" s="2659">
        <v>179.9</v>
      </c>
      <c r="E724" s="2659">
        <v>179.19</v>
      </c>
      <c r="F724" s="2659">
        <v>174.70384799999999</v>
      </c>
      <c r="G724" s="2659">
        <v>174.491848</v>
      </c>
      <c r="H724" s="2659">
        <v>171.239744</v>
      </c>
      <c r="I724" s="2659">
        <v>169.563648</v>
      </c>
      <c r="J724" s="2659"/>
      <c r="K724" s="2659"/>
      <c r="L724" s="2659"/>
      <c r="M724" s="2659"/>
      <c r="N724" s="2659"/>
      <c r="O724" s="2659"/>
      <c r="P724" s="2659"/>
      <c r="Q724" s="2659"/>
      <c r="R724" s="2667"/>
    </row>
    <row r="725" spans="1:18">
      <c r="A725" s="2651"/>
      <c r="B725" s="2654" t="s">
        <v>9428</v>
      </c>
      <c r="C725" s="2658" t="s">
        <v>9065</v>
      </c>
      <c r="D725" s="2659">
        <v>179.92</v>
      </c>
      <c r="E725" s="2659">
        <v>179.32</v>
      </c>
      <c r="F725" s="2659">
        <v>176.022886</v>
      </c>
      <c r="G725" s="2659">
        <v>175.72288599999999</v>
      </c>
      <c r="H725" s="2659">
        <v>173.42480800000001</v>
      </c>
      <c r="I725" s="2659">
        <v>172.026736</v>
      </c>
      <c r="J725" s="2659"/>
      <c r="K725" s="2659" t="s">
        <v>9066</v>
      </c>
      <c r="L725" s="2659">
        <v>173.504808</v>
      </c>
      <c r="M725" s="2659">
        <v>174.30480800000001</v>
      </c>
      <c r="N725" s="2659">
        <v>176.10288600000001</v>
      </c>
      <c r="O725" s="2659">
        <v>176.50288599999999</v>
      </c>
      <c r="P725" s="2659">
        <v>180</v>
      </c>
      <c r="Q725" s="2659">
        <v>181.26602800000001</v>
      </c>
      <c r="R725" s="2667">
        <v>162</v>
      </c>
    </row>
    <row r="726" spans="1:18">
      <c r="A726" s="2651"/>
      <c r="B726" s="2654" t="s">
        <v>9428</v>
      </c>
      <c r="C726" s="2658" t="s">
        <v>9067</v>
      </c>
      <c r="D726" s="2659">
        <v>179.92</v>
      </c>
      <c r="E726" s="2659">
        <v>179.32</v>
      </c>
      <c r="F726" s="2659">
        <v>176.022886</v>
      </c>
      <c r="G726" s="2659">
        <v>175.832886</v>
      </c>
      <c r="H726" s="2659">
        <v>173.42480800000001</v>
      </c>
      <c r="I726" s="2659">
        <v>172.13673600000001</v>
      </c>
      <c r="J726" s="2659"/>
      <c r="K726" s="2659"/>
      <c r="L726" s="2659"/>
      <c r="M726" s="2659"/>
      <c r="N726" s="2659"/>
      <c r="O726" s="2659"/>
      <c r="P726" s="2659"/>
      <c r="Q726" s="2659"/>
      <c r="R726" s="2667"/>
    </row>
    <row r="727" spans="1:18">
      <c r="A727" s="2651"/>
      <c r="B727" s="2654" t="s">
        <v>9429</v>
      </c>
      <c r="C727" s="2658" t="s">
        <v>9065</v>
      </c>
      <c r="D727" s="2659">
        <v>179.94</v>
      </c>
      <c r="E727" s="2659">
        <v>179.465</v>
      </c>
      <c r="F727" s="2659">
        <v>177.34192400000001</v>
      </c>
      <c r="G727" s="2659">
        <v>177.09192400000001</v>
      </c>
      <c r="H727" s="2659">
        <v>175.609872</v>
      </c>
      <c r="I727" s="2659">
        <v>174.627824</v>
      </c>
      <c r="J727" s="2659"/>
      <c r="K727" s="2659" t="s">
        <v>9066</v>
      </c>
      <c r="L727" s="2659">
        <v>175.669872</v>
      </c>
      <c r="M727" s="2659">
        <v>176.26987199999999</v>
      </c>
      <c r="N727" s="2659">
        <v>177.40192400000001</v>
      </c>
      <c r="O727" s="2659">
        <v>177.73692399999999</v>
      </c>
      <c r="P727" s="2659">
        <v>180</v>
      </c>
      <c r="Q727" s="2659">
        <v>180.912352</v>
      </c>
      <c r="R727" s="2667">
        <v>162</v>
      </c>
    </row>
    <row r="728" spans="1:18">
      <c r="A728" s="2651"/>
      <c r="B728" s="2654" t="s">
        <v>9429</v>
      </c>
      <c r="C728" s="2658" t="s">
        <v>9067</v>
      </c>
      <c r="D728" s="2659">
        <v>179.94</v>
      </c>
      <c r="E728" s="2659">
        <v>179.465</v>
      </c>
      <c r="F728" s="2659">
        <v>177.34192400000001</v>
      </c>
      <c r="G728" s="2659">
        <v>177.18192400000001</v>
      </c>
      <c r="H728" s="2659">
        <v>175.609872</v>
      </c>
      <c r="I728" s="2659">
        <v>174.71782400000001</v>
      </c>
      <c r="J728" s="2659"/>
      <c r="K728" s="2659"/>
      <c r="L728" s="2659"/>
      <c r="M728" s="2659"/>
      <c r="N728" s="2659"/>
      <c r="O728" s="2659"/>
      <c r="P728" s="2659"/>
      <c r="Q728" s="2659"/>
      <c r="R728" s="2667"/>
    </row>
    <row r="729" spans="1:18">
      <c r="A729" s="2651"/>
      <c r="B729" s="2658" t="s">
        <v>9430</v>
      </c>
      <c r="C729" s="2658" t="s">
        <v>9065</v>
      </c>
      <c r="D729" s="2659">
        <v>179.952</v>
      </c>
      <c r="E729" s="2659">
        <v>179.577</v>
      </c>
      <c r="F729" s="2659">
        <v>178.00299999999999</v>
      </c>
      <c r="G729" s="2659">
        <v>177.779</v>
      </c>
      <c r="H729" s="2659">
        <v>176.70400000000001</v>
      </c>
      <c r="I729" s="2659">
        <v>175.93100000000001</v>
      </c>
      <c r="J729" s="2659"/>
      <c r="K729" s="2659" t="s">
        <v>9066</v>
      </c>
      <c r="L729" s="2659">
        <v>176.75200000000001</v>
      </c>
      <c r="M729" s="2659">
        <v>177.25200000000001</v>
      </c>
      <c r="N729" s="2659">
        <v>178.05099999999999</v>
      </c>
      <c r="O729" s="2659">
        <v>178.351</v>
      </c>
      <c r="P729" s="2659">
        <v>180</v>
      </c>
      <c r="Q729" s="2659">
        <v>180.733</v>
      </c>
      <c r="R729" s="2667">
        <v>162</v>
      </c>
    </row>
    <row r="730" spans="1:18">
      <c r="A730" s="2651"/>
      <c r="B730" s="2658" t="s">
        <v>9430</v>
      </c>
      <c r="C730" s="2658" t="s">
        <v>9067</v>
      </c>
      <c r="D730" s="2659">
        <v>179.952</v>
      </c>
      <c r="E730" s="2659">
        <v>179.577</v>
      </c>
      <c r="F730" s="2659">
        <v>178.00299999999999</v>
      </c>
      <c r="G730" s="2659">
        <v>177.863</v>
      </c>
      <c r="H730" s="2659">
        <v>176.70400000000001</v>
      </c>
      <c r="I730" s="2659">
        <v>176.01499999999999</v>
      </c>
      <c r="J730" s="2659"/>
      <c r="K730" s="2659"/>
      <c r="L730" s="2659"/>
      <c r="M730" s="2659"/>
      <c r="N730" s="2659"/>
      <c r="O730" s="2659"/>
      <c r="P730" s="2659"/>
      <c r="Q730" s="2659"/>
      <c r="R730" s="2667"/>
    </row>
    <row r="731" spans="1:18">
      <c r="A731" s="2651"/>
      <c r="B731" s="2654" t="s">
        <v>9431</v>
      </c>
      <c r="C731" s="2658" t="s">
        <v>9065</v>
      </c>
      <c r="D731" s="2659">
        <v>179.96199999999999</v>
      </c>
      <c r="E731" s="2659">
        <v>179.68199999999999</v>
      </c>
      <c r="F731" s="2659">
        <v>178.66296199999999</v>
      </c>
      <c r="G731" s="2659">
        <v>178.472962</v>
      </c>
      <c r="H731" s="2659">
        <v>177.79693599999999</v>
      </c>
      <c r="I731" s="2659">
        <v>177.24091200000001</v>
      </c>
      <c r="J731" s="2659"/>
      <c r="K731" s="2659" t="s">
        <v>9066</v>
      </c>
      <c r="L731" s="2659">
        <v>177.834936</v>
      </c>
      <c r="M731" s="2659">
        <v>178.209936</v>
      </c>
      <c r="N731" s="2659">
        <v>178.700962</v>
      </c>
      <c r="O731" s="2659">
        <v>178.950962</v>
      </c>
      <c r="P731" s="2659">
        <v>180</v>
      </c>
      <c r="Q731" s="2659">
        <v>180.53867600000001</v>
      </c>
      <c r="R731" s="2667">
        <v>162</v>
      </c>
    </row>
    <row r="732" spans="1:18">
      <c r="A732" s="2651"/>
      <c r="B732" s="2654" t="s">
        <v>9431</v>
      </c>
      <c r="C732" s="2658" t="s">
        <v>9067</v>
      </c>
      <c r="D732" s="2659">
        <v>179.96199999999999</v>
      </c>
      <c r="E732" s="2659">
        <v>179.68199999999999</v>
      </c>
      <c r="F732" s="2659">
        <v>178.66296199999999</v>
      </c>
      <c r="G732" s="2659">
        <v>178.54296199999999</v>
      </c>
      <c r="H732" s="2659">
        <v>177.79693599999999</v>
      </c>
      <c r="I732" s="2659">
        <v>177.310912</v>
      </c>
      <c r="J732" s="2659"/>
      <c r="K732" s="2659"/>
      <c r="L732" s="2659"/>
      <c r="M732" s="2659"/>
      <c r="N732" s="2659"/>
      <c r="O732" s="2659"/>
      <c r="P732" s="2659"/>
      <c r="Q732" s="2659"/>
      <c r="R732" s="2667"/>
    </row>
    <row r="733" spans="1:18">
      <c r="A733" s="2651">
        <v>185</v>
      </c>
      <c r="B733" s="2654" t="s">
        <v>9432</v>
      </c>
      <c r="C733" s="2658" t="s">
        <v>9065</v>
      </c>
      <c r="D733" s="2659">
        <v>184.92</v>
      </c>
      <c r="E733" s="2659">
        <v>184.32</v>
      </c>
      <c r="F733" s="2659">
        <v>181.022886</v>
      </c>
      <c r="G733" s="2659">
        <v>180.707886</v>
      </c>
      <c r="H733" s="2659">
        <v>178.42480800000001</v>
      </c>
      <c r="I733" s="2659">
        <v>177.01173600000001</v>
      </c>
      <c r="J733" s="2659"/>
      <c r="K733" s="2659" t="s">
        <v>9066</v>
      </c>
      <c r="L733" s="2659">
        <v>178.504808</v>
      </c>
      <c r="M733" s="2659">
        <v>179.30480800000001</v>
      </c>
      <c r="N733" s="2659">
        <v>181.10288600000001</v>
      </c>
      <c r="O733" s="2659">
        <v>181.527886</v>
      </c>
      <c r="P733" s="2659">
        <v>185</v>
      </c>
      <c r="Q733" s="2659">
        <v>186.29102800000001</v>
      </c>
      <c r="R733" s="2667">
        <v>165</v>
      </c>
    </row>
    <row r="734" spans="1:18">
      <c r="A734" s="2651"/>
      <c r="B734" s="2654" t="s">
        <v>9432</v>
      </c>
      <c r="C734" s="2658" t="s">
        <v>9067</v>
      </c>
      <c r="D734" s="2659">
        <v>184.92</v>
      </c>
      <c r="E734" s="2659">
        <v>184.32</v>
      </c>
      <c r="F734" s="2659">
        <v>181.022886</v>
      </c>
      <c r="G734" s="2659">
        <v>180.82288600000001</v>
      </c>
      <c r="H734" s="2659">
        <v>178.42480800000001</v>
      </c>
      <c r="I734" s="2659">
        <v>177.12673599999999</v>
      </c>
      <c r="J734" s="2659"/>
      <c r="K734" s="2659"/>
      <c r="L734" s="2659"/>
      <c r="M734" s="2659"/>
      <c r="N734" s="2659"/>
      <c r="O734" s="2659"/>
      <c r="P734" s="2659"/>
      <c r="Q734" s="2659"/>
      <c r="R734" s="2667"/>
    </row>
    <row r="735" spans="1:18">
      <c r="A735" s="2651"/>
      <c r="B735" s="2654" t="s">
        <v>9433</v>
      </c>
      <c r="C735" s="2658" t="s">
        <v>9065</v>
      </c>
      <c r="D735" s="2659">
        <v>184.94</v>
      </c>
      <c r="E735" s="2659">
        <v>184.465</v>
      </c>
      <c r="F735" s="2659">
        <v>182.34192400000001</v>
      </c>
      <c r="G735" s="2659">
        <v>182.061924</v>
      </c>
      <c r="H735" s="2659">
        <v>180.609872</v>
      </c>
      <c r="I735" s="2659">
        <v>179.597824</v>
      </c>
      <c r="J735" s="2659"/>
      <c r="K735" s="2659" t="s">
        <v>9066</v>
      </c>
      <c r="L735" s="2659">
        <v>180.669872</v>
      </c>
      <c r="M735" s="2659">
        <v>181.26987199999999</v>
      </c>
      <c r="N735" s="2659">
        <v>182.40192400000001</v>
      </c>
      <c r="O735" s="2659">
        <v>182.77692400000001</v>
      </c>
      <c r="P735" s="2659">
        <v>185</v>
      </c>
      <c r="Q735" s="2659">
        <v>185.95235199999999</v>
      </c>
      <c r="R735" s="2667">
        <v>165</v>
      </c>
    </row>
    <row r="736" spans="1:18">
      <c r="A736" s="2651"/>
      <c r="B736" s="2654" t="s">
        <v>9433</v>
      </c>
      <c r="C736" s="2658" t="s">
        <v>9067</v>
      </c>
      <c r="D736" s="2659">
        <v>184.94</v>
      </c>
      <c r="E736" s="2659">
        <v>184.465</v>
      </c>
      <c r="F736" s="2659">
        <v>182.34192400000001</v>
      </c>
      <c r="G736" s="2659">
        <v>182.161924</v>
      </c>
      <c r="H736" s="2659">
        <v>180.609872</v>
      </c>
      <c r="I736" s="2659">
        <v>179.697824</v>
      </c>
      <c r="J736" s="2659"/>
      <c r="K736" s="2659"/>
      <c r="L736" s="2659"/>
      <c r="M736" s="2659"/>
      <c r="N736" s="2659"/>
      <c r="O736" s="2659"/>
      <c r="P736" s="2659"/>
      <c r="Q736" s="2659"/>
      <c r="R736" s="2667"/>
    </row>
    <row r="737" spans="1:18">
      <c r="A737" s="2651"/>
      <c r="B737" s="2654" t="s">
        <v>9434</v>
      </c>
      <c r="C737" s="2658" t="s">
        <v>9065</v>
      </c>
      <c r="D737" s="2659">
        <v>184.952</v>
      </c>
      <c r="E737" s="2659">
        <v>184.577</v>
      </c>
      <c r="F737" s="2659">
        <v>183.003443</v>
      </c>
      <c r="G737" s="2659">
        <v>182.753443</v>
      </c>
      <c r="H737" s="2659">
        <v>181.70440400000001</v>
      </c>
      <c r="I737" s="2659">
        <v>180.90536800000001</v>
      </c>
      <c r="J737" s="2659"/>
      <c r="K737" s="2659" t="s">
        <v>9066</v>
      </c>
      <c r="L737" s="2659">
        <v>181.75240400000001</v>
      </c>
      <c r="M737" s="2659">
        <v>182.25240400000001</v>
      </c>
      <c r="N737" s="2659">
        <v>183.05144300000001</v>
      </c>
      <c r="O737" s="2659">
        <v>183.38644300000001</v>
      </c>
      <c r="P737" s="2659">
        <v>185</v>
      </c>
      <c r="Q737" s="2659">
        <v>185.76801399999999</v>
      </c>
      <c r="R737" s="2667">
        <v>165</v>
      </c>
    </row>
    <row r="738" spans="1:18">
      <c r="A738" s="2651"/>
      <c r="B738" s="2654" t="s">
        <v>9434</v>
      </c>
      <c r="C738" s="2658" t="s">
        <v>9067</v>
      </c>
      <c r="D738" s="2659">
        <v>184.952</v>
      </c>
      <c r="E738" s="2659">
        <v>184.577</v>
      </c>
      <c r="F738" s="2659">
        <v>183.003443</v>
      </c>
      <c r="G738" s="2659">
        <v>182.84344300000001</v>
      </c>
      <c r="H738" s="2659">
        <v>181.70440400000001</v>
      </c>
      <c r="I738" s="2659">
        <v>180.99536800000001</v>
      </c>
      <c r="J738" s="2659"/>
      <c r="K738" s="2659"/>
      <c r="L738" s="2659"/>
      <c r="M738" s="2659"/>
      <c r="N738" s="2659"/>
      <c r="O738" s="2659"/>
      <c r="P738" s="2659"/>
      <c r="Q738" s="2659"/>
      <c r="R738" s="2667"/>
    </row>
    <row r="739" spans="1:18">
      <c r="A739" s="2651"/>
      <c r="B739" s="2654" t="s">
        <v>9435</v>
      </c>
      <c r="C739" s="2658" t="s">
        <v>9065</v>
      </c>
      <c r="D739" s="2659">
        <v>184.96199999999999</v>
      </c>
      <c r="E739" s="2659">
        <v>184.68199999999999</v>
      </c>
      <c r="F739" s="2659">
        <v>183.66296199999999</v>
      </c>
      <c r="G739" s="2659">
        <v>183.450962</v>
      </c>
      <c r="H739" s="2659">
        <v>182.79693599999999</v>
      </c>
      <c r="I739" s="2659">
        <v>182.21891199999999</v>
      </c>
      <c r="J739" s="2659"/>
      <c r="K739" s="2659" t="s">
        <v>9066</v>
      </c>
      <c r="L739" s="2659">
        <v>182.834936</v>
      </c>
      <c r="M739" s="2659">
        <v>183.209936</v>
      </c>
      <c r="N739" s="2659">
        <v>183.700962</v>
      </c>
      <c r="O739" s="2659">
        <v>183.98080200000001</v>
      </c>
      <c r="P739" s="2659">
        <v>185</v>
      </c>
      <c r="Q739" s="2659">
        <v>185.56851599999999</v>
      </c>
      <c r="R739" s="2667">
        <v>165</v>
      </c>
    </row>
    <row r="740" spans="1:18">
      <c r="A740" s="2651"/>
      <c r="B740" s="2654" t="s">
        <v>9435</v>
      </c>
      <c r="C740" s="2658" t="s">
        <v>9067</v>
      </c>
      <c r="D740" s="2659">
        <v>184.96199999999999</v>
      </c>
      <c r="E740" s="2659">
        <v>184.68199999999999</v>
      </c>
      <c r="F740" s="2659">
        <v>183.66296199999999</v>
      </c>
      <c r="G740" s="2659">
        <v>183.53096199999999</v>
      </c>
      <c r="H740" s="2659">
        <v>182.79693599999999</v>
      </c>
      <c r="I740" s="2659">
        <v>182.298912</v>
      </c>
      <c r="J740" s="2659"/>
      <c r="K740" s="2659"/>
      <c r="L740" s="2659"/>
      <c r="M740" s="2659"/>
      <c r="N740" s="2659"/>
      <c r="O740" s="2659"/>
      <c r="P740" s="2659"/>
      <c r="Q740" s="2659"/>
      <c r="R740" s="2667"/>
    </row>
    <row r="741" spans="1:18">
      <c r="A741" s="2651">
        <v>190</v>
      </c>
      <c r="B741" s="2654" t="s">
        <v>9436</v>
      </c>
      <c r="C741" s="2658" t="s">
        <v>9065</v>
      </c>
      <c r="D741" s="2659">
        <v>189.9</v>
      </c>
      <c r="E741" s="2659">
        <v>189.19</v>
      </c>
      <c r="F741" s="2659">
        <v>184.70384799999999</v>
      </c>
      <c r="G741" s="2659">
        <v>184.348848</v>
      </c>
      <c r="H741" s="2659">
        <v>181.239744</v>
      </c>
      <c r="I741" s="2659">
        <v>179.420648</v>
      </c>
      <c r="J741" s="2659"/>
      <c r="K741" s="2659" t="s">
        <v>9066</v>
      </c>
      <c r="L741" s="2659">
        <v>181.339744</v>
      </c>
      <c r="M741" s="2659">
        <v>182.339744</v>
      </c>
      <c r="N741" s="2659">
        <v>184.80384799999999</v>
      </c>
      <c r="O741" s="2659">
        <v>185.27884800000001</v>
      </c>
      <c r="P741" s="2659">
        <v>190</v>
      </c>
      <c r="Q741" s="2659">
        <v>191.629704</v>
      </c>
      <c r="R741" s="2667">
        <v>171</v>
      </c>
    </row>
    <row r="742" spans="1:18">
      <c r="A742" s="2651"/>
      <c r="B742" s="2654" t="s">
        <v>9436</v>
      </c>
      <c r="C742" s="2658" t="s">
        <v>9067</v>
      </c>
      <c r="D742" s="2659">
        <v>189.9</v>
      </c>
      <c r="E742" s="2659">
        <v>189.19</v>
      </c>
      <c r="F742" s="2659">
        <v>184.70384799999999</v>
      </c>
      <c r="G742" s="2659">
        <v>184.479848</v>
      </c>
      <c r="H742" s="2659">
        <v>181.239744</v>
      </c>
      <c r="I742" s="2659">
        <v>179.551648</v>
      </c>
      <c r="J742" s="2659"/>
      <c r="K742" s="2659"/>
      <c r="L742" s="2659"/>
      <c r="M742" s="2659"/>
      <c r="N742" s="2659"/>
      <c r="O742" s="2659"/>
      <c r="P742" s="2659"/>
      <c r="Q742" s="2659"/>
      <c r="R742" s="2667"/>
    </row>
    <row r="743" spans="1:18">
      <c r="A743" s="2651"/>
      <c r="B743" s="2654" t="s">
        <v>9437</v>
      </c>
      <c r="C743" s="2658" t="s">
        <v>9065</v>
      </c>
      <c r="D743" s="2659">
        <v>189.92</v>
      </c>
      <c r="E743" s="2659">
        <v>189.32</v>
      </c>
      <c r="F743" s="2659">
        <v>186.022886</v>
      </c>
      <c r="G743" s="2659">
        <v>185.707886</v>
      </c>
      <c r="H743" s="2659">
        <v>183.42480800000001</v>
      </c>
      <c r="I743" s="2659">
        <v>182.01173600000001</v>
      </c>
      <c r="J743" s="2659"/>
      <c r="K743" s="2659" t="s">
        <v>9066</v>
      </c>
      <c r="L743" s="2659">
        <v>183.504808</v>
      </c>
      <c r="M743" s="2659">
        <v>184.30480800000001</v>
      </c>
      <c r="N743" s="2659">
        <v>186.10288600000001</v>
      </c>
      <c r="O743" s="2659">
        <v>186.527886</v>
      </c>
      <c r="P743" s="2659">
        <v>190</v>
      </c>
      <c r="Q743" s="2659">
        <v>191.29102800000001</v>
      </c>
      <c r="R743" s="2667">
        <v>171</v>
      </c>
    </row>
    <row r="744" spans="1:18">
      <c r="A744" s="2651"/>
      <c r="B744" s="2654" t="s">
        <v>9437</v>
      </c>
      <c r="C744" s="2658" t="s">
        <v>9067</v>
      </c>
      <c r="D744" s="2659">
        <v>189.92</v>
      </c>
      <c r="E744" s="2659">
        <v>189.32</v>
      </c>
      <c r="F744" s="2659">
        <v>186.022886</v>
      </c>
      <c r="G744" s="2659">
        <v>185.82288600000001</v>
      </c>
      <c r="H744" s="2659">
        <v>183.42480800000001</v>
      </c>
      <c r="I744" s="2659">
        <v>182.12673599999999</v>
      </c>
      <c r="J744" s="2659"/>
      <c r="K744" s="2659"/>
      <c r="L744" s="2659"/>
      <c r="M744" s="2659"/>
      <c r="N744" s="2659"/>
      <c r="O744" s="2659"/>
      <c r="P744" s="2659"/>
      <c r="Q744" s="2659"/>
      <c r="R744" s="2667"/>
    </row>
    <row r="745" spans="1:18">
      <c r="A745" s="2651"/>
      <c r="B745" s="2654" t="s">
        <v>9438</v>
      </c>
      <c r="C745" s="2658" t="s">
        <v>9065</v>
      </c>
      <c r="D745" s="2659">
        <v>189.94</v>
      </c>
      <c r="E745" s="2659">
        <v>189.465</v>
      </c>
      <c r="F745" s="2659">
        <v>187.34192400000001</v>
      </c>
      <c r="G745" s="2659">
        <v>187.061924</v>
      </c>
      <c r="H745" s="2659">
        <v>185.609872</v>
      </c>
      <c r="I745" s="2659">
        <v>184.597824</v>
      </c>
      <c r="J745" s="2659"/>
      <c r="K745" s="2659" t="s">
        <v>9066</v>
      </c>
      <c r="L745" s="2659">
        <v>185.669872</v>
      </c>
      <c r="M745" s="2659">
        <v>186.26987199999999</v>
      </c>
      <c r="N745" s="2659">
        <v>187.40192400000001</v>
      </c>
      <c r="O745" s="2659">
        <v>187.77692400000001</v>
      </c>
      <c r="P745" s="2659">
        <v>190</v>
      </c>
      <c r="Q745" s="2659">
        <v>190.95235199999999</v>
      </c>
      <c r="R745" s="2667">
        <v>171</v>
      </c>
    </row>
    <row r="746" spans="1:18">
      <c r="A746" s="2651"/>
      <c r="B746" s="2654" t="s">
        <v>9438</v>
      </c>
      <c r="C746" s="2658" t="s">
        <v>9067</v>
      </c>
      <c r="D746" s="2659">
        <v>189.94</v>
      </c>
      <c r="E746" s="2659">
        <v>189.465</v>
      </c>
      <c r="F746" s="2659">
        <v>187.34192400000001</v>
      </c>
      <c r="G746" s="2659">
        <v>187.161924</v>
      </c>
      <c r="H746" s="2659">
        <v>185.609872</v>
      </c>
      <c r="I746" s="2659">
        <v>184.697824</v>
      </c>
      <c r="J746" s="2659"/>
      <c r="K746" s="2659"/>
      <c r="L746" s="2659"/>
      <c r="M746" s="2659"/>
      <c r="N746" s="2659"/>
      <c r="O746" s="2659"/>
      <c r="P746" s="2659"/>
      <c r="Q746" s="2659"/>
      <c r="R746" s="2667"/>
    </row>
    <row r="747" spans="1:18">
      <c r="A747" s="2651"/>
      <c r="B747" s="2658" t="s">
        <v>9439</v>
      </c>
      <c r="C747" s="2658" t="s">
        <v>9065</v>
      </c>
      <c r="D747" s="2659">
        <v>189.952</v>
      </c>
      <c r="E747" s="2659">
        <v>189.577</v>
      </c>
      <c r="F747" s="2659">
        <v>188.00299999999999</v>
      </c>
      <c r="G747" s="2659">
        <v>187.75299999999999</v>
      </c>
      <c r="H747" s="2659">
        <v>186.70400000000001</v>
      </c>
      <c r="I747" s="2659">
        <v>185.905</v>
      </c>
      <c r="J747" s="2659"/>
      <c r="K747" s="2659" t="s">
        <v>9066</v>
      </c>
      <c r="L747" s="2659">
        <v>186.75200000000001</v>
      </c>
      <c r="M747" s="2659">
        <v>187.25200000000001</v>
      </c>
      <c r="N747" s="2659">
        <v>188.05099999999999</v>
      </c>
      <c r="O747" s="2659">
        <v>188.386</v>
      </c>
      <c r="P747" s="2659">
        <v>190</v>
      </c>
      <c r="Q747" s="2659">
        <v>190.768</v>
      </c>
      <c r="R747" s="2667">
        <v>171</v>
      </c>
    </row>
    <row r="748" spans="1:18">
      <c r="A748" s="2651"/>
      <c r="B748" s="2658" t="s">
        <v>9439</v>
      </c>
      <c r="C748" s="2658" t="s">
        <v>9067</v>
      </c>
      <c r="D748" s="2659">
        <v>189.952</v>
      </c>
      <c r="E748" s="2659">
        <v>189.577</v>
      </c>
      <c r="F748" s="2659">
        <v>188.00299999999999</v>
      </c>
      <c r="G748" s="2659">
        <v>187.84299999999999</v>
      </c>
      <c r="H748" s="2659">
        <v>186.70400000000001</v>
      </c>
      <c r="I748" s="2659">
        <v>185.995</v>
      </c>
      <c r="J748" s="2659"/>
      <c r="K748" s="2659"/>
      <c r="L748" s="2659"/>
      <c r="M748" s="2659"/>
      <c r="N748" s="2659"/>
      <c r="O748" s="2659"/>
      <c r="P748" s="2659"/>
      <c r="Q748" s="2659"/>
      <c r="R748" s="2667"/>
    </row>
    <row r="749" spans="1:18">
      <c r="A749" s="2651"/>
      <c r="B749" s="2654" t="s">
        <v>9440</v>
      </c>
      <c r="C749" s="2658" t="s">
        <v>9065</v>
      </c>
      <c r="D749" s="2659">
        <v>189.96199999999999</v>
      </c>
      <c r="E749" s="2659">
        <v>189.68199999999999</v>
      </c>
      <c r="F749" s="2659">
        <v>188.66296199999999</v>
      </c>
      <c r="G749" s="2659">
        <v>188.450962</v>
      </c>
      <c r="H749" s="2659">
        <v>187.79693599999999</v>
      </c>
      <c r="I749" s="2659">
        <v>187.21891199999999</v>
      </c>
      <c r="J749" s="2659"/>
      <c r="K749" s="2659" t="s">
        <v>9066</v>
      </c>
      <c r="L749" s="2659">
        <v>187.834936</v>
      </c>
      <c r="M749" s="2659">
        <v>188.209936</v>
      </c>
      <c r="N749" s="2659">
        <v>188.700962</v>
      </c>
      <c r="O749" s="2659">
        <v>188.98080200000001</v>
      </c>
      <c r="P749" s="2659">
        <v>190</v>
      </c>
      <c r="Q749" s="2659">
        <v>190.56851599999999</v>
      </c>
      <c r="R749" s="2667">
        <v>171</v>
      </c>
    </row>
    <row r="750" spans="1:18">
      <c r="A750" s="2651"/>
      <c r="B750" s="2654" t="s">
        <v>9440</v>
      </c>
      <c r="C750" s="2658" t="s">
        <v>9067</v>
      </c>
      <c r="D750" s="2659">
        <v>189.96199999999999</v>
      </c>
      <c r="E750" s="2659">
        <v>189.68199999999999</v>
      </c>
      <c r="F750" s="2659">
        <v>188.66296199999999</v>
      </c>
      <c r="G750" s="2659">
        <v>188.53096199999999</v>
      </c>
      <c r="H750" s="2659">
        <v>187.79693599999999</v>
      </c>
      <c r="I750" s="2659">
        <v>187.298912</v>
      </c>
      <c r="J750" s="2659"/>
      <c r="K750" s="2659"/>
      <c r="L750" s="2659"/>
      <c r="M750" s="2659"/>
      <c r="N750" s="2659"/>
      <c r="O750" s="2659"/>
      <c r="P750" s="2659"/>
      <c r="Q750" s="2659"/>
      <c r="R750" s="2667"/>
    </row>
    <row r="751" spans="1:18">
      <c r="A751" s="2651">
        <v>195</v>
      </c>
      <c r="B751" s="2654" t="s">
        <v>9441</v>
      </c>
      <c r="C751" s="2658" t="s">
        <v>9065</v>
      </c>
      <c r="D751" s="2659">
        <v>194.92</v>
      </c>
      <c r="E751" s="2659">
        <v>194.32</v>
      </c>
      <c r="F751" s="2659">
        <v>191.022886</v>
      </c>
      <c r="G751" s="2659">
        <v>190.707886</v>
      </c>
      <c r="H751" s="2659">
        <v>188.42480800000001</v>
      </c>
      <c r="I751" s="2659">
        <v>187.01173600000001</v>
      </c>
      <c r="J751" s="2659"/>
      <c r="K751" s="2659" t="s">
        <v>9066</v>
      </c>
      <c r="L751" s="2659">
        <v>188.504808</v>
      </c>
      <c r="M751" s="2659">
        <v>189.30480800000001</v>
      </c>
      <c r="N751" s="2659">
        <v>191.10288600000001</v>
      </c>
      <c r="O751" s="2659">
        <v>191.527886</v>
      </c>
      <c r="P751" s="2659">
        <v>195</v>
      </c>
      <c r="Q751" s="2659">
        <v>196.29102800000001</v>
      </c>
      <c r="R751" s="2667">
        <v>175</v>
      </c>
    </row>
    <row r="752" spans="1:18">
      <c r="A752" s="2651"/>
      <c r="B752" s="2654" t="s">
        <v>9441</v>
      </c>
      <c r="C752" s="2658" t="s">
        <v>9067</v>
      </c>
      <c r="D752" s="2659">
        <v>194.92</v>
      </c>
      <c r="E752" s="2659">
        <v>194.32</v>
      </c>
      <c r="F752" s="2659">
        <v>191.022886</v>
      </c>
      <c r="G752" s="2659">
        <v>190.82288600000001</v>
      </c>
      <c r="H752" s="2659">
        <v>188.42480800000001</v>
      </c>
      <c r="I752" s="2659">
        <v>187.12673599999999</v>
      </c>
      <c r="J752" s="2659"/>
      <c r="K752" s="2659"/>
      <c r="L752" s="2659"/>
      <c r="M752" s="2659"/>
      <c r="N752" s="2659"/>
      <c r="O752" s="2659"/>
      <c r="P752" s="2659"/>
      <c r="Q752" s="2659"/>
      <c r="R752" s="2667"/>
    </row>
    <row r="753" spans="1:18">
      <c r="A753" s="2651"/>
      <c r="B753" s="2654" t="s">
        <v>9442</v>
      </c>
      <c r="C753" s="2658" t="s">
        <v>9065</v>
      </c>
      <c r="D753" s="2659">
        <v>194.94</v>
      </c>
      <c r="E753" s="2659">
        <v>194.465</v>
      </c>
      <c r="F753" s="2659">
        <v>192.34192400000001</v>
      </c>
      <c r="G753" s="2659">
        <v>192.061924</v>
      </c>
      <c r="H753" s="2659">
        <v>190.609872</v>
      </c>
      <c r="I753" s="2659">
        <v>189.597824</v>
      </c>
      <c r="J753" s="2659"/>
      <c r="K753" s="2659" t="s">
        <v>9066</v>
      </c>
      <c r="L753" s="2659">
        <v>190.669872</v>
      </c>
      <c r="M753" s="2659">
        <v>191.26987199999999</v>
      </c>
      <c r="N753" s="2659">
        <v>192.40192400000001</v>
      </c>
      <c r="O753" s="2659">
        <v>192.77692400000001</v>
      </c>
      <c r="P753" s="2659">
        <v>195</v>
      </c>
      <c r="Q753" s="2659">
        <v>195.95235199999999</v>
      </c>
      <c r="R753" s="2667">
        <v>175</v>
      </c>
    </row>
    <row r="754" spans="1:18">
      <c r="A754" s="2651"/>
      <c r="B754" s="2654" t="s">
        <v>9442</v>
      </c>
      <c r="C754" s="2658" t="s">
        <v>9067</v>
      </c>
      <c r="D754" s="2659">
        <v>194.94</v>
      </c>
      <c r="E754" s="2659">
        <v>194.465</v>
      </c>
      <c r="F754" s="2659">
        <v>192.34192400000001</v>
      </c>
      <c r="G754" s="2659">
        <v>192.161924</v>
      </c>
      <c r="H754" s="2659">
        <v>190.609872</v>
      </c>
      <c r="I754" s="2659">
        <v>189.697824</v>
      </c>
      <c r="J754" s="2659"/>
      <c r="K754" s="2659"/>
      <c r="L754" s="2659"/>
      <c r="M754" s="2659"/>
      <c r="N754" s="2659"/>
      <c r="O754" s="2659"/>
      <c r="P754" s="2659"/>
      <c r="Q754" s="2659"/>
      <c r="R754" s="2667"/>
    </row>
    <row r="755" spans="1:18">
      <c r="A755" s="2651"/>
      <c r="B755" s="2654" t="s">
        <v>9443</v>
      </c>
      <c r="C755" s="2658" t="s">
        <v>9065</v>
      </c>
      <c r="D755" s="2659">
        <v>194.952</v>
      </c>
      <c r="E755" s="2659">
        <v>194.577</v>
      </c>
      <c r="F755" s="2659">
        <v>193.003443</v>
      </c>
      <c r="G755" s="2659">
        <v>192.753443</v>
      </c>
      <c r="H755" s="2659">
        <v>191.70440400000001</v>
      </c>
      <c r="I755" s="2659">
        <v>190.90536800000001</v>
      </c>
      <c r="J755" s="2659"/>
      <c r="K755" s="2659" t="s">
        <v>9066</v>
      </c>
      <c r="L755" s="2659">
        <v>191.75240400000001</v>
      </c>
      <c r="M755" s="2659">
        <v>192.25240400000001</v>
      </c>
      <c r="N755" s="2659">
        <v>193.05144300000001</v>
      </c>
      <c r="O755" s="2659">
        <v>193.38644300000001</v>
      </c>
      <c r="P755" s="2659">
        <v>195</v>
      </c>
      <c r="Q755" s="2659">
        <v>195.76801399999999</v>
      </c>
      <c r="R755" s="2667">
        <v>175</v>
      </c>
    </row>
    <row r="756" spans="1:18">
      <c r="A756" s="2651"/>
      <c r="B756" s="2654" t="s">
        <v>9443</v>
      </c>
      <c r="C756" s="2658" t="s">
        <v>9067</v>
      </c>
      <c r="D756" s="2659">
        <v>194.952</v>
      </c>
      <c r="E756" s="2659">
        <v>194.577</v>
      </c>
      <c r="F756" s="2659">
        <v>193.003443</v>
      </c>
      <c r="G756" s="2659">
        <v>192.84344300000001</v>
      </c>
      <c r="H756" s="2659">
        <v>191.70440400000001</v>
      </c>
      <c r="I756" s="2659">
        <v>190.99536800000001</v>
      </c>
      <c r="J756" s="2659"/>
      <c r="K756" s="2659"/>
      <c r="L756" s="2659"/>
      <c r="M756" s="2659"/>
      <c r="N756" s="2659"/>
      <c r="O756" s="2659"/>
      <c r="P756" s="2659"/>
      <c r="Q756" s="2659"/>
      <c r="R756" s="2667"/>
    </row>
    <row r="757" spans="1:18">
      <c r="A757" s="2651"/>
      <c r="B757" s="2654" t="s">
        <v>9444</v>
      </c>
      <c r="C757" s="2658" t="s">
        <v>9065</v>
      </c>
      <c r="D757" s="2659">
        <v>194.96199999999999</v>
      </c>
      <c r="E757" s="2659">
        <v>194.68199999999999</v>
      </c>
      <c r="F757" s="2659">
        <v>193.66296199999999</v>
      </c>
      <c r="G757" s="2659">
        <v>193.450962</v>
      </c>
      <c r="H757" s="2659">
        <v>192.79693599999999</v>
      </c>
      <c r="I757" s="2659">
        <v>192.21891199999999</v>
      </c>
      <c r="J757" s="2659"/>
      <c r="K757" s="2659" t="s">
        <v>9066</v>
      </c>
      <c r="L757" s="2659">
        <v>192.834936</v>
      </c>
      <c r="M757" s="2659">
        <v>193.209936</v>
      </c>
      <c r="N757" s="2659">
        <v>193.700962</v>
      </c>
      <c r="O757" s="2659">
        <v>193.98080200000001</v>
      </c>
      <c r="P757" s="2659">
        <v>195</v>
      </c>
      <c r="Q757" s="2659">
        <v>195.56851599999999</v>
      </c>
      <c r="R757" s="2667">
        <v>175</v>
      </c>
    </row>
    <row r="758" spans="1:18">
      <c r="A758" s="2651"/>
      <c r="B758" s="2654" t="s">
        <v>9444</v>
      </c>
      <c r="C758" s="2658" t="s">
        <v>9067</v>
      </c>
      <c r="D758" s="2659">
        <v>194.96199999999999</v>
      </c>
      <c r="E758" s="2659">
        <v>194.68199999999999</v>
      </c>
      <c r="F758" s="2659">
        <v>193.66296199999999</v>
      </c>
      <c r="G758" s="2659">
        <v>193.53096199999999</v>
      </c>
      <c r="H758" s="2659">
        <v>192.79693599999999</v>
      </c>
      <c r="I758" s="2659">
        <v>192.298912</v>
      </c>
      <c r="J758" s="2659"/>
      <c r="K758" s="2659"/>
      <c r="L758" s="2659"/>
      <c r="M758" s="2659"/>
      <c r="N758" s="2659"/>
      <c r="O758" s="2659"/>
      <c r="P758" s="2659"/>
      <c r="Q758" s="2659"/>
      <c r="R758" s="2667"/>
    </row>
    <row r="759" spans="1:18">
      <c r="A759" s="2651">
        <v>200</v>
      </c>
      <c r="B759" s="2654" t="s">
        <v>9445</v>
      </c>
      <c r="C759" s="2658" t="s">
        <v>9065</v>
      </c>
      <c r="D759" s="2659">
        <v>199.9</v>
      </c>
      <c r="E759" s="2659">
        <v>199.19</v>
      </c>
      <c r="F759" s="2659">
        <v>194.70384799999999</v>
      </c>
      <c r="G759" s="2659">
        <v>194.348848</v>
      </c>
      <c r="H759" s="2659">
        <v>191.239744</v>
      </c>
      <c r="I759" s="2659">
        <v>189.420648</v>
      </c>
      <c r="J759" s="2659"/>
      <c r="K759" s="2659" t="s">
        <v>9066</v>
      </c>
      <c r="L759" s="2659">
        <v>191.339744</v>
      </c>
      <c r="M759" s="2659">
        <v>192.339744</v>
      </c>
      <c r="N759" s="2659">
        <v>194.80384799999999</v>
      </c>
      <c r="O759" s="2659">
        <v>195.27884800000001</v>
      </c>
      <c r="P759" s="2659">
        <v>200</v>
      </c>
      <c r="Q759" s="2659">
        <v>201.629704</v>
      </c>
      <c r="R759" s="2667">
        <v>180</v>
      </c>
    </row>
    <row r="760" spans="1:18">
      <c r="A760" s="2651"/>
      <c r="B760" s="2654" t="s">
        <v>9445</v>
      </c>
      <c r="C760" s="2658" t="s">
        <v>9067</v>
      </c>
      <c r="D760" s="2659">
        <v>199.9</v>
      </c>
      <c r="E760" s="2659">
        <v>199.19</v>
      </c>
      <c r="F760" s="2659">
        <v>194.70384799999999</v>
      </c>
      <c r="G760" s="2659">
        <v>194.479848</v>
      </c>
      <c r="H760" s="2659">
        <v>191.239744</v>
      </c>
      <c r="I760" s="2659">
        <v>189.551648</v>
      </c>
      <c r="J760" s="2659"/>
      <c r="K760" s="2659"/>
      <c r="L760" s="2659"/>
      <c r="M760" s="2659"/>
      <c r="N760" s="2659"/>
      <c r="O760" s="2659"/>
      <c r="P760" s="2659"/>
      <c r="Q760" s="2659"/>
      <c r="R760" s="2667"/>
    </row>
    <row r="761" spans="1:18">
      <c r="A761" s="2651"/>
      <c r="B761" s="2654" t="s">
        <v>9446</v>
      </c>
      <c r="C761" s="2658" t="s">
        <v>9065</v>
      </c>
      <c r="D761" s="2659">
        <v>199.92</v>
      </c>
      <c r="E761" s="2659">
        <v>199.32</v>
      </c>
      <c r="F761" s="2659">
        <v>196.022886</v>
      </c>
      <c r="G761" s="2659">
        <v>195.707886</v>
      </c>
      <c r="H761" s="2659">
        <v>193.42480800000001</v>
      </c>
      <c r="I761" s="2659">
        <v>192.01173600000001</v>
      </c>
      <c r="J761" s="2659"/>
      <c r="K761" s="2659" t="s">
        <v>9066</v>
      </c>
      <c r="L761" s="2659">
        <v>193.504808</v>
      </c>
      <c r="M761" s="2659">
        <v>194.30480800000001</v>
      </c>
      <c r="N761" s="2659">
        <v>196.10288600000001</v>
      </c>
      <c r="O761" s="2659">
        <v>196.527886</v>
      </c>
      <c r="P761" s="2659">
        <v>200</v>
      </c>
      <c r="Q761" s="2659">
        <v>201.29102800000001</v>
      </c>
      <c r="R761" s="2667">
        <v>180</v>
      </c>
    </row>
    <row r="762" spans="1:18">
      <c r="A762" s="2651"/>
      <c r="B762" s="2654" t="s">
        <v>9446</v>
      </c>
      <c r="C762" s="2658" t="s">
        <v>9067</v>
      </c>
      <c r="D762" s="2659">
        <v>199.92</v>
      </c>
      <c r="E762" s="2659">
        <v>199.32</v>
      </c>
      <c r="F762" s="2659">
        <v>196.022886</v>
      </c>
      <c r="G762" s="2659">
        <v>195.82288600000001</v>
      </c>
      <c r="H762" s="2659">
        <v>193.42480800000001</v>
      </c>
      <c r="I762" s="2659">
        <v>192.12673599999999</v>
      </c>
      <c r="J762" s="2659"/>
      <c r="K762" s="2659"/>
      <c r="L762" s="2659"/>
      <c r="M762" s="2659"/>
      <c r="N762" s="2659"/>
      <c r="O762" s="2659"/>
      <c r="P762" s="2659"/>
      <c r="Q762" s="2659"/>
      <c r="R762" s="2667"/>
    </row>
    <row r="763" spans="1:18">
      <c r="A763" s="2651"/>
      <c r="B763" s="2654" t="s">
        <v>9447</v>
      </c>
      <c r="C763" s="2658" t="s">
        <v>9065</v>
      </c>
      <c r="D763" s="2659">
        <v>199.94</v>
      </c>
      <c r="E763" s="2659">
        <v>199.465</v>
      </c>
      <c r="F763" s="2659">
        <v>197.34192400000001</v>
      </c>
      <c r="G763" s="2659">
        <v>197.061924</v>
      </c>
      <c r="H763" s="2659">
        <v>195.609872</v>
      </c>
      <c r="I763" s="2659">
        <v>194.597824</v>
      </c>
      <c r="J763" s="2659"/>
      <c r="K763" s="2659" t="s">
        <v>9066</v>
      </c>
      <c r="L763" s="2659">
        <v>195.669872</v>
      </c>
      <c r="M763" s="2659">
        <v>196.26987199999999</v>
      </c>
      <c r="N763" s="2659">
        <v>197.40192400000001</v>
      </c>
      <c r="O763" s="2659">
        <v>197.77692400000001</v>
      </c>
      <c r="P763" s="2659">
        <v>200</v>
      </c>
      <c r="Q763" s="2659">
        <v>200.95235199999999</v>
      </c>
      <c r="R763" s="2667">
        <v>180</v>
      </c>
    </row>
    <row r="764" spans="1:18">
      <c r="A764" s="2651"/>
      <c r="B764" s="2654" t="s">
        <v>9447</v>
      </c>
      <c r="C764" s="2658" t="s">
        <v>9067</v>
      </c>
      <c r="D764" s="2659">
        <v>199.94</v>
      </c>
      <c r="E764" s="2659">
        <v>199.465</v>
      </c>
      <c r="F764" s="2659">
        <v>197.34192400000001</v>
      </c>
      <c r="G764" s="2659">
        <v>197.161924</v>
      </c>
      <c r="H764" s="2659">
        <v>195.609872</v>
      </c>
      <c r="I764" s="2659">
        <v>194.697824</v>
      </c>
      <c r="J764" s="2659"/>
      <c r="K764" s="2659"/>
      <c r="L764" s="2659"/>
      <c r="M764" s="2659"/>
      <c r="N764" s="2659"/>
      <c r="O764" s="2659"/>
      <c r="P764" s="2659"/>
      <c r="Q764" s="2659"/>
      <c r="R764" s="2667"/>
    </row>
    <row r="765" spans="1:18">
      <c r="A765" s="2651"/>
      <c r="B765" s="2658" t="s">
        <v>9448</v>
      </c>
      <c r="C765" s="2658" t="s">
        <v>9065</v>
      </c>
      <c r="D765" s="2659">
        <v>199.952</v>
      </c>
      <c r="E765" s="2659">
        <v>199.577</v>
      </c>
      <c r="F765" s="2659">
        <v>198.00299999999999</v>
      </c>
      <c r="G765" s="2659">
        <v>197.75299999999999</v>
      </c>
      <c r="H765" s="2659">
        <v>196.70400000000001</v>
      </c>
      <c r="I765" s="2659">
        <v>195.905</v>
      </c>
      <c r="J765" s="2659"/>
      <c r="K765" s="2659" t="s">
        <v>9066</v>
      </c>
      <c r="L765" s="2659">
        <v>196.75200000000001</v>
      </c>
      <c r="M765" s="2659">
        <v>197.25200000000001</v>
      </c>
      <c r="N765" s="2659">
        <v>198.05099999999999</v>
      </c>
      <c r="O765" s="2659">
        <v>198.386</v>
      </c>
      <c r="P765" s="2659">
        <v>200</v>
      </c>
      <c r="Q765" s="2659">
        <v>200.768</v>
      </c>
      <c r="R765" s="2667">
        <v>180</v>
      </c>
    </row>
    <row r="766" spans="1:18">
      <c r="A766" s="2651"/>
      <c r="B766" s="2658" t="s">
        <v>9448</v>
      </c>
      <c r="C766" s="2658" t="s">
        <v>9067</v>
      </c>
      <c r="D766" s="2659">
        <v>199.952</v>
      </c>
      <c r="E766" s="2659">
        <v>199.577</v>
      </c>
      <c r="F766" s="2659">
        <v>198.00299999999999</v>
      </c>
      <c r="G766" s="2659">
        <v>197.84299999999999</v>
      </c>
      <c r="H766" s="2659">
        <v>196.70400000000001</v>
      </c>
      <c r="I766" s="2659">
        <v>195.995</v>
      </c>
      <c r="J766" s="2659"/>
      <c r="K766" s="2659"/>
      <c r="L766" s="2659"/>
      <c r="M766" s="2659"/>
      <c r="N766" s="2659"/>
      <c r="O766" s="2659"/>
      <c r="P766" s="2659"/>
      <c r="Q766" s="2659"/>
      <c r="R766" s="2667"/>
    </row>
    <row r="767" spans="1:18">
      <c r="A767" s="2651"/>
      <c r="B767" s="2654" t="s">
        <v>9449</v>
      </c>
      <c r="C767" s="2652" t="s">
        <v>9065</v>
      </c>
      <c r="D767" s="2659">
        <v>199.96199999999999</v>
      </c>
      <c r="E767" s="2659">
        <v>199.68199999999999</v>
      </c>
      <c r="F767" s="2659">
        <v>198.66296199999999</v>
      </c>
      <c r="G767" s="2659">
        <v>198.450962</v>
      </c>
      <c r="H767" s="2659">
        <v>197.79693599999999</v>
      </c>
      <c r="I767" s="2659">
        <v>197.21891199999999</v>
      </c>
      <c r="J767" s="2659"/>
      <c r="K767" s="2659" t="s">
        <v>9066</v>
      </c>
      <c r="L767" s="2659">
        <v>197.834936</v>
      </c>
      <c r="M767" s="2659">
        <v>198.209936</v>
      </c>
      <c r="N767" s="2659">
        <v>198.700962</v>
      </c>
      <c r="O767" s="2659">
        <v>198.98080200000001</v>
      </c>
      <c r="P767" s="2659">
        <v>200</v>
      </c>
      <c r="Q767" s="2659">
        <v>200.56851599999999</v>
      </c>
      <c r="R767" s="2667">
        <v>180</v>
      </c>
    </row>
    <row r="768" spans="1:18">
      <c r="A768" s="2651"/>
      <c r="B768" s="2654" t="s">
        <v>9449</v>
      </c>
      <c r="C768" s="2652" t="s">
        <v>9067</v>
      </c>
      <c r="D768" s="2659">
        <v>199.96199999999999</v>
      </c>
      <c r="E768" s="2659">
        <v>199.68199999999999</v>
      </c>
      <c r="F768" s="2659">
        <v>198.66296199999999</v>
      </c>
      <c r="G768" s="2659">
        <v>198.53096199999999</v>
      </c>
      <c r="H768" s="2659">
        <v>197.79693599999999</v>
      </c>
      <c r="I768" s="2659">
        <v>197.298912</v>
      </c>
      <c r="J768" s="2659"/>
      <c r="K768" s="2659"/>
      <c r="L768" s="2659"/>
      <c r="M768" s="2659"/>
      <c r="N768" s="2659"/>
      <c r="O768" s="2659"/>
      <c r="P768" s="2659"/>
      <c r="Q768" s="2659"/>
      <c r="R768" s="2667"/>
    </row>
    <row r="769" spans="1:18">
      <c r="A769" s="2651">
        <v>205</v>
      </c>
      <c r="B769" s="2654" t="s">
        <v>9450</v>
      </c>
      <c r="C769" s="2652" t="s">
        <v>9065</v>
      </c>
      <c r="D769" s="2659">
        <v>204.92</v>
      </c>
      <c r="E769" s="2659">
        <v>204.32</v>
      </c>
      <c r="F769" s="2659">
        <v>201.022886</v>
      </c>
      <c r="G769" s="2659">
        <v>200.707886</v>
      </c>
      <c r="H769" s="2659">
        <v>198.42480800000001</v>
      </c>
      <c r="I769" s="2659">
        <v>197.01173600000001</v>
      </c>
      <c r="J769" s="2659"/>
      <c r="K769" s="2659" t="s">
        <v>9066</v>
      </c>
      <c r="L769" s="2659">
        <v>198.504808</v>
      </c>
      <c r="M769" s="2659">
        <v>199.30480800000001</v>
      </c>
      <c r="N769" s="2659">
        <v>201.10288600000001</v>
      </c>
      <c r="O769" s="2659">
        <v>201.527886</v>
      </c>
      <c r="P769" s="2659">
        <v>205</v>
      </c>
      <c r="Q769" s="2659">
        <v>206.29102800000001</v>
      </c>
      <c r="R769" s="2667">
        <v>185</v>
      </c>
    </row>
    <row r="770" spans="1:18">
      <c r="A770" s="2651"/>
      <c r="B770" s="2654" t="s">
        <v>9450</v>
      </c>
      <c r="C770" s="2652" t="s">
        <v>9067</v>
      </c>
      <c r="D770" s="2659">
        <v>204.92</v>
      </c>
      <c r="E770" s="2659">
        <v>204.32</v>
      </c>
      <c r="F770" s="2659">
        <v>201.022886</v>
      </c>
      <c r="G770" s="2659">
        <v>200.82288600000001</v>
      </c>
      <c r="H770" s="2659">
        <v>198.42480800000001</v>
      </c>
      <c r="I770" s="2659">
        <v>197.12673599999999</v>
      </c>
      <c r="J770" s="2659"/>
      <c r="K770" s="2659"/>
      <c r="L770" s="2659"/>
      <c r="M770" s="2659"/>
      <c r="N770" s="2659"/>
      <c r="O770" s="2659"/>
      <c r="P770" s="2659"/>
      <c r="Q770" s="2659"/>
      <c r="R770" s="2667"/>
    </row>
    <row r="771" spans="1:18">
      <c r="A771" s="2651"/>
      <c r="B771" s="2654" t="s">
        <v>9451</v>
      </c>
      <c r="C771" s="2652" t="s">
        <v>9065</v>
      </c>
      <c r="D771" s="2659">
        <v>204.94</v>
      </c>
      <c r="E771" s="2659">
        <v>204.465</v>
      </c>
      <c r="F771" s="2659">
        <v>202.34192400000001</v>
      </c>
      <c r="G771" s="2659">
        <v>202.061924</v>
      </c>
      <c r="H771" s="2659">
        <v>200.609872</v>
      </c>
      <c r="I771" s="2659">
        <v>199.597824</v>
      </c>
      <c r="J771" s="2659"/>
      <c r="K771" s="2659" t="s">
        <v>9066</v>
      </c>
      <c r="L771" s="2659">
        <v>200.669872</v>
      </c>
      <c r="M771" s="2659">
        <v>201.26987199999999</v>
      </c>
      <c r="N771" s="2659">
        <v>202.40192400000001</v>
      </c>
      <c r="O771" s="2659">
        <v>202.77692400000001</v>
      </c>
      <c r="P771" s="2659">
        <v>205</v>
      </c>
      <c r="Q771" s="2659">
        <v>205.95235199999999</v>
      </c>
      <c r="R771" s="2667">
        <v>185</v>
      </c>
    </row>
    <row r="772" spans="1:18">
      <c r="A772" s="2651"/>
      <c r="B772" s="2654" t="s">
        <v>9451</v>
      </c>
      <c r="C772" s="2652" t="s">
        <v>9067</v>
      </c>
      <c r="D772" s="2659">
        <v>204.94</v>
      </c>
      <c r="E772" s="2659">
        <v>204.465</v>
      </c>
      <c r="F772" s="2659">
        <v>202.34192400000001</v>
      </c>
      <c r="G772" s="2659">
        <v>202.161924</v>
      </c>
      <c r="H772" s="2659">
        <v>200.609872</v>
      </c>
      <c r="I772" s="2659">
        <v>199.697824</v>
      </c>
      <c r="J772" s="2659"/>
      <c r="K772" s="2659"/>
      <c r="L772" s="2659"/>
      <c r="M772" s="2659"/>
      <c r="N772" s="2659"/>
      <c r="O772" s="2659"/>
      <c r="P772" s="2659"/>
      <c r="Q772" s="2659"/>
      <c r="R772" s="2667"/>
    </row>
    <row r="773" spans="1:18">
      <c r="A773" s="2651"/>
      <c r="B773" s="2654" t="s">
        <v>9452</v>
      </c>
      <c r="C773" s="2652" t="s">
        <v>9065</v>
      </c>
      <c r="D773" s="2659">
        <v>204.952</v>
      </c>
      <c r="E773" s="2659">
        <v>204.577</v>
      </c>
      <c r="F773" s="2659">
        <v>203.003443</v>
      </c>
      <c r="G773" s="2659">
        <v>202.753443</v>
      </c>
      <c r="H773" s="2659">
        <v>201.70440400000001</v>
      </c>
      <c r="I773" s="2659">
        <v>200.90536800000001</v>
      </c>
      <c r="J773" s="2659"/>
      <c r="K773" s="2659" t="s">
        <v>9066</v>
      </c>
      <c r="L773" s="2659">
        <v>201.75240400000001</v>
      </c>
      <c r="M773" s="2659">
        <v>202.25240400000001</v>
      </c>
      <c r="N773" s="2659">
        <v>203.05144300000001</v>
      </c>
      <c r="O773" s="2659">
        <v>203.38644300000001</v>
      </c>
      <c r="P773" s="2659">
        <v>205</v>
      </c>
      <c r="Q773" s="2659">
        <v>205.76801399999999</v>
      </c>
      <c r="R773" s="2667">
        <v>185</v>
      </c>
    </row>
    <row r="774" spans="1:18">
      <c r="A774" s="2651"/>
      <c r="B774" s="2654" t="s">
        <v>9452</v>
      </c>
      <c r="C774" s="2652" t="s">
        <v>9067</v>
      </c>
      <c r="D774" s="2659">
        <v>204.952</v>
      </c>
      <c r="E774" s="2659">
        <v>204.577</v>
      </c>
      <c r="F774" s="2659">
        <v>203.003443</v>
      </c>
      <c r="G774" s="2659">
        <v>202.84344300000001</v>
      </c>
      <c r="H774" s="2659">
        <v>201.70440400000001</v>
      </c>
      <c r="I774" s="2659">
        <v>200.99536800000001</v>
      </c>
      <c r="J774" s="2659"/>
      <c r="K774" s="2659"/>
      <c r="L774" s="2659"/>
      <c r="M774" s="2659"/>
      <c r="N774" s="2659"/>
      <c r="O774" s="2659"/>
      <c r="P774" s="2659"/>
      <c r="Q774" s="2659"/>
      <c r="R774" s="2667"/>
    </row>
    <row r="775" spans="1:18">
      <c r="A775" s="2651"/>
      <c r="B775" s="2654" t="s">
        <v>9453</v>
      </c>
      <c r="C775" s="2652" t="s">
        <v>9065</v>
      </c>
      <c r="D775" s="2659">
        <v>204.96199999999999</v>
      </c>
      <c r="E775" s="2659">
        <v>204.68199999999999</v>
      </c>
      <c r="F775" s="2659">
        <v>203.66296199999999</v>
      </c>
      <c r="G775" s="2659">
        <v>203.450962</v>
      </c>
      <c r="H775" s="2659">
        <v>202.79693599999999</v>
      </c>
      <c r="I775" s="2659">
        <v>202.21891199999999</v>
      </c>
      <c r="J775" s="2659"/>
      <c r="K775" s="2659" t="s">
        <v>9066</v>
      </c>
      <c r="L775" s="2659">
        <v>202.834936</v>
      </c>
      <c r="M775" s="2659">
        <v>203.209936</v>
      </c>
      <c r="N775" s="2659">
        <v>203.700962</v>
      </c>
      <c r="O775" s="2659">
        <v>203.98080200000001</v>
      </c>
      <c r="P775" s="2659">
        <v>205</v>
      </c>
      <c r="Q775" s="2659">
        <v>205.56851599999999</v>
      </c>
      <c r="R775" s="2667">
        <v>185</v>
      </c>
    </row>
    <row r="776" spans="1:18">
      <c r="A776" s="2651"/>
      <c r="B776" s="2654" t="s">
        <v>9453</v>
      </c>
      <c r="C776" s="2652" t="s">
        <v>9067</v>
      </c>
      <c r="D776" s="2659">
        <v>204.96199999999999</v>
      </c>
      <c r="E776" s="2659">
        <v>204.68199999999999</v>
      </c>
      <c r="F776" s="2659">
        <v>203.66296199999999</v>
      </c>
      <c r="G776" s="2659">
        <v>203.53096199999999</v>
      </c>
      <c r="H776" s="2659">
        <v>202.79693599999999</v>
      </c>
      <c r="I776" s="2659">
        <v>202.298912</v>
      </c>
      <c r="J776" s="2659"/>
      <c r="K776" s="2659"/>
      <c r="L776" s="2659"/>
      <c r="M776" s="2659"/>
      <c r="N776" s="2659"/>
      <c r="O776" s="2659"/>
      <c r="P776" s="2659"/>
      <c r="Q776" s="2659"/>
      <c r="R776" s="2667"/>
    </row>
    <row r="777" spans="1:18">
      <c r="A777" s="2651">
        <v>210</v>
      </c>
      <c r="B777" s="2654" t="s">
        <v>9454</v>
      </c>
      <c r="C777" s="2652" t="s">
        <v>9065</v>
      </c>
      <c r="D777" s="2659">
        <v>209.9</v>
      </c>
      <c r="E777" s="2659">
        <v>209.19</v>
      </c>
      <c r="F777" s="2659">
        <v>204.70384799999999</v>
      </c>
      <c r="G777" s="2659">
        <v>204.348848</v>
      </c>
      <c r="H777" s="2659">
        <v>201.239744</v>
      </c>
      <c r="I777" s="2659">
        <v>199.420648</v>
      </c>
      <c r="J777" s="2659"/>
      <c r="K777" s="2659" t="s">
        <v>9066</v>
      </c>
      <c r="L777" s="2659">
        <v>201.339744</v>
      </c>
      <c r="M777" s="2659">
        <v>202.339744</v>
      </c>
      <c r="N777" s="2659">
        <v>204.80384799999999</v>
      </c>
      <c r="O777" s="2659">
        <v>205.27884800000001</v>
      </c>
      <c r="P777" s="2659">
        <v>210</v>
      </c>
      <c r="Q777" s="2659">
        <v>211.629704</v>
      </c>
      <c r="R777" s="2667">
        <v>190</v>
      </c>
    </row>
    <row r="778" spans="1:18">
      <c r="A778" s="2651"/>
      <c r="B778" s="2654" t="s">
        <v>9454</v>
      </c>
      <c r="C778" s="2652" t="s">
        <v>9067</v>
      </c>
      <c r="D778" s="2659">
        <v>209.9</v>
      </c>
      <c r="E778" s="2659">
        <v>209.19</v>
      </c>
      <c r="F778" s="2659">
        <v>204.70384799999999</v>
      </c>
      <c r="G778" s="2659">
        <v>204.479848</v>
      </c>
      <c r="H778" s="2659">
        <v>201.239744</v>
      </c>
      <c r="I778" s="2659">
        <v>199.551648</v>
      </c>
      <c r="J778" s="2659"/>
      <c r="K778" s="2659"/>
      <c r="L778" s="2659"/>
      <c r="M778" s="2659"/>
      <c r="N778" s="2659"/>
      <c r="O778" s="2659"/>
      <c r="P778" s="2659"/>
      <c r="Q778" s="2659"/>
      <c r="R778" s="2667"/>
    </row>
    <row r="779" spans="1:18">
      <c r="A779" s="2651"/>
      <c r="B779" s="2654" t="s">
        <v>9455</v>
      </c>
      <c r="C779" s="2652" t="s">
        <v>9065</v>
      </c>
      <c r="D779" s="2659">
        <v>209.92</v>
      </c>
      <c r="E779" s="2659">
        <v>209.32</v>
      </c>
      <c r="F779" s="2659">
        <v>206.022886</v>
      </c>
      <c r="G779" s="2659">
        <v>205.707886</v>
      </c>
      <c r="H779" s="2659">
        <v>203.42480800000001</v>
      </c>
      <c r="I779" s="2659">
        <v>202.01173600000001</v>
      </c>
      <c r="J779" s="2659"/>
      <c r="K779" s="2659" t="s">
        <v>9066</v>
      </c>
      <c r="L779" s="2659">
        <v>203.504808</v>
      </c>
      <c r="M779" s="2659">
        <v>204.30480800000001</v>
      </c>
      <c r="N779" s="2659">
        <v>206.10288600000001</v>
      </c>
      <c r="O779" s="2659">
        <v>206.527886</v>
      </c>
      <c r="P779" s="2659">
        <v>210</v>
      </c>
      <c r="Q779" s="2659">
        <v>211.29102800000001</v>
      </c>
      <c r="R779" s="2667">
        <v>190</v>
      </c>
    </row>
    <row r="780" spans="1:18">
      <c r="A780" s="2651"/>
      <c r="B780" s="2654" t="s">
        <v>9455</v>
      </c>
      <c r="C780" s="2652" t="s">
        <v>9067</v>
      </c>
      <c r="D780" s="2659">
        <v>209.92</v>
      </c>
      <c r="E780" s="2659">
        <v>209.32</v>
      </c>
      <c r="F780" s="2659">
        <v>206.022886</v>
      </c>
      <c r="G780" s="2659">
        <v>205.82288600000001</v>
      </c>
      <c r="H780" s="2659">
        <v>203.42480800000001</v>
      </c>
      <c r="I780" s="2659">
        <v>202.12673599999999</v>
      </c>
      <c r="J780" s="2659"/>
      <c r="K780" s="2659"/>
      <c r="L780" s="2659"/>
      <c r="M780" s="2659"/>
      <c r="N780" s="2659"/>
      <c r="O780" s="2659"/>
      <c r="P780" s="2659"/>
      <c r="Q780" s="2659"/>
      <c r="R780" s="2667"/>
    </row>
    <row r="781" spans="1:18">
      <c r="A781" s="2651"/>
      <c r="B781" s="2654" t="s">
        <v>9456</v>
      </c>
      <c r="C781" s="2652" t="s">
        <v>9065</v>
      </c>
      <c r="D781" s="2659">
        <v>209.94</v>
      </c>
      <c r="E781" s="2659">
        <v>209.465</v>
      </c>
      <c r="F781" s="2659">
        <v>207.34192400000001</v>
      </c>
      <c r="G781" s="2659">
        <v>207.061924</v>
      </c>
      <c r="H781" s="2659">
        <v>205.609872</v>
      </c>
      <c r="I781" s="2659">
        <v>204.597824</v>
      </c>
      <c r="J781" s="2659"/>
      <c r="K781" s="2659" t="s">
        <v>9066</v>
      </c>
      <c r="L781" s="2659">
        <v>205.669872</v>
      </c>
      <c r="M781" s="2659">
        <v>206.26987199999999</v>
      </c>
      <c r="N781" s="2659">
        <v>207.40192400000001</v>
      </c>
      <c r="O781" s="2659">
        <v>207.77692400000001</v>
      </c>
      <c r="P781" s="2659">
        <v>210</v>
      </c>
      <c r="Q781" s="2659">
        <v>210.95235199999999</v>
      </c>
      <c r="R781" s="2667">
        <v>190</v>
      </c>
    </row>
    <row r="782" spans="1:18">
      <c r="A782" s="2651"/>
      <c r="B782" s="2654" t="s">
        <v>9456</v>
      </c>
      <c r="C782" s="2652" t="s">
        <v>9067</v>
      </c>
      <c r="D782" s="2659">
        <v>209.94</v>
      </c>
      <c r="E782" s="2659">
        <v>209.465</v>
      </c>
      <c r="F782" s="2659">
        <v>207.34192400000001</v>
      </c>
      <c r="G782" s="2659">
        <v>207.161924</v>
      </c>
      <c r="H782" s="2659">
        <v>205.609872</v>
      </c>
      <c r="I782" s="2659">
        <v>204.697824</v>
      </c>
      <c r="J782" s="2659"/>
      <c r="K782" s="2659"/>
      <c r="L782" s="2659"/>
      <c r="M782" s="2659"/>
      <c r="N782" s="2659"/>
      <c r="O782" s="2659"/>
      <c r="P782" s="2659"/>
      <c r="Q782" s="2659"/>
      <c r="R782" s="2667"/>
    </row>
    <row r="783" spans="1:18">
      <c r="A783" s="2651"/>
      <c r="B783" s="2658" t="s">
        <v>9457</v>
      </c>
      <c r="C783" s="2652" t="s">
        <v>9065</v>
      </c>
      <c r="D783" s="2659">
        <v>209.952</v>
      </c>
      <c r="E783" s="2659">
        <v>209.577</v>
      </c>
      <c r="F783" s="2659">
        <v>208.003443</v>
      </c>
      <c r="G783" s="2659">
        <v>207.753443</v>
      </c>
      <c r="H783" s="2659">
        <v>206.70440400000001</v>
      </c>
      <c r="I783" s="2659">
        <v>205.90536800000001</v>
      </c>
      <c r="J783" s="2659"/>
      <c r="K783" s="2659" t="s">
        <v>9066</v>
      </c>
      <c r="L783" s="2659">
        <v>206.75240400000001</v>
      </c>
      <c r="M783" s="2659">
        <v>207.25240400000001</v>
      </c>
      <c r="N783" s="2659">
        <v>208.05144300000001</v>
      </c>
      <c r="O783" s="2659">
        <v>208.38644300000001</v>
      </c>
      <c r="P783" s="2659">
        <v>210</v>
      </c>
      <c r="Q783" s="2659">
        <v>210.76801399999999</v>
      </c>
      <c r="R783" s="2667">
        <v>190</v>
      </c>
    </row>
    <row r="784" spans="1:18">
      <c r="A784" s="2651"/>
      <c r="B784" s="2658" t="s">
        <v>9457</v>
      </c>
      <c r="C784" s="2652" t="s">
        <v>9067</v>
      </c>
      <c r="D784" s="2659">
        <v>209.952</v>
      </c>
      <c r="E784" s="2659">
        <v>209.577</v>
      </c>
      <c r="F784" s="2659">
        <v>208.003443</v>
      </c>
      <c r="G784" s="2659">
        <v>207.84344300000001</v>
      </c>
      <c r="H784" s="2659">
        <v>206.70440400000001</v>
      </c>
      <c r="I784" s="2659">
        <v>205.99536800000001</v>
      </c>
      <c r="J784" s="2659"/>
      <c r="K784" s="2659"/>
      <c r="L784" s="2659"/>
      <c r="M784" s="2659"/>
      <c r="N784" s="2659"/>
      <c r="O784" s="2659"/>
      <c r="P784" s="2659"/>
      <c r="Q784" s="2659"/>
      <c r="R784" s="2667"/>
    </row>
    <row r="785" spans="1:18">
      <c r="A785" s="2651"/>
      <c r="B785" s="2654" t="s">
        <v>9458</v>
      </c>
      <c r="C785" s="2652" t="s">
        <v>9065</v>
      </c>
      <c r="D785" s="2659">
        <v>209.96199999999999</v>
      </c>
      <c r="E785" s="2659">
        <v>209.68199999999999</v>
      </c>
      <c r="F785" s="2659">
        <v>208.66296199999999</v>
      </c>
      <c r="G785" s="2659">
        <v>208.450962</v>
      </c>
      <c r="H785" s="2659">
        <v>207.79693599999999</v>
      </c>
      <c r="I785" s="2659">
        <v>207.21891199999999</v>
      </c>
      <c r="J785" s="2659"/>
      <c r="K785" s="2659" t="s">
        <v>9066</v>
      </c>
      <c r="L785" s="2659">
        <v>207.834936</v>
      </c>
      <c r="M785" s="2659">
        <v>208.209936</v>
      </c>
      <c r="N785" s="2659">
        <v>208.700962</v>
      </c>
      <c r="O785" s="2659">
        <v>208.98080200000001</v>
      </c>
      <c r="P785" s="2659">
        <v>210</v>
      </c>
      <c r="Q785" s="2659">
        <v>210.56851599999999</v>
      </c>
      <c r="R785" s="2667">
        <v>190</v>
      </c>
    </row>
    <row r="786" spans="1:18">
      <c r="A786" s="2651"/>
      <c r="B786" s="2654" t="s">
        <v>9458</v>
      </c>
      <c r="C786" s="2652" t="s">
        <v>9067</v>
      </c>
      <c r="D786" s="2659">
        <v>209.96199999999999</v>
      </c>
      <c r="E786" s="2659">
        <v>209.68199999999999</v>
      </c>
      <c r="F786" s="2659">
        <v>208.66296199999999</v>
      </c>
      <c r="G786" s="2659">
        <v>208.53096199999999</v>
      </c>
      <c r="H786" s="2659">
        <v>207.79693599999999</v>
      </c>
      <c r="I786" s="2659">
        <v>207.298912</v>
      </c>
      <c r="J786" s="2659"/>
      <c r="K786" s="2659"/>
      <c r="L786" s="2659"/>
      <c r="M786" s="2659"/>
      <c r="N786" s="2659"/>
      <c r="O786" s="2659"/>
      <c r="P786" s="2659"/>
      <c r="Q786" s="2659"/>
      <c r="R786" s="2667"/>
    </row>
    <row r="787" spans="1:18">
      <c r="A787" s="2651">
        <v>215</v>
      </c>
      <c r="B787" s="2654" t="s">
        <v>9459</v>
      </c>
      <c r="C787" s="2652" t="s">
        <v>9065</v>
      </c>
      <c r="D787" s="2659">
        <v>214.92</v>
      </c>
      <c r="E787" s="2659">
        <v>214.32</v>
      </c>
      <c r="F787" s="2659">
        <v>211.022886</v>
      </c>
      <c r="G787" s="2659">
        <v>210.707886</v>
      </c>
      <c r="H787" s="2659">
        <v>208.42480800000001</v>
      </c>
      <c r="I787" s="2659">
        <v>207.01173600000001</v>
      </c>
      <c r="J787" s="2659"/>
      <c r="K787" s="2659" t="s">
        <v>9066</v>
      </c>
      <c r="L787" s="2659">
        <v>208.504808</v>
      </c>
      <c r="M787" s="2659">
        <v>209.30480800000001</v>
      </c>
      <c r="N787" s="2659">
        <v>211.10288600000001</v>
      </c>
      <c r="O787" s="2659">
        <v>211.527886</v>
      </c>
      <c r="P787" s="2659">
        <v>215</v>
      </c>
      <c r="Q787" s="2659">
        <v>216.29102800000001</v>
      </c>
      <c r="R787" s="2667">
        <v>193.5</v>
      </c>
    </row>
    <row r="788" spans="1:18">
      <c r="A788" s="2651"/>
      <c r="B788" s="2654" t="s">
        <v>9459</v>
      </c>
      <c r="C788" s="2652" t="s">
        <v>9067</v>
      </c>
      <c r="D788" s="2659">
        <v>214.92</v>
      </c>
      <c r="E788" s="2659">
        <v>214.32</v>
      </c>
      <c r="F788" s="2659">
        <v>211.022886</v>
      </c>
      <c r="G788" s="2659">
        <v>210.82288600000001</v>
      </c>
      <c r="H788" s="2659">
        <v>208.42480800000001</v>
      </c>
      <c r="I788" s="2659">
        <v>207.12673599999999</v>
      </c>
      <c r="J788" s="2659"/>
      <c r="K788" s="2659"/>
      <c r="L788" s="2659"/>
      <c r="M788" s="2659"/>
      <c r="N788" s="2659"/>
      <c r="O788" s="2659"/>
      <c r="P788" s="2659"/>
      <c r="Q788" s="2659"/>
      <c r="R788" s="2667"/>
    </row>
    <row r="789" spans="1:18">
      <c r="A789" s="2651"/>
      <c r="B789" s="2654" t="s">
        <v>9460</v>
      </c>
      <c r="C789" s="2652" t="s">
        <v>9065</v>
      </c>
      <c r="D789" s="2659">
        <v>214.94</v>
      </c>
      <c r="E789" s="2659">
        <v>214.465</v>
      </c>
      <c r="F789" s="2659">
        <v>212.34192400000001</v>
      </c>
      <c r="G789" s="2659">
        <v>212.061924</v>
      </c>
      <c r="H789" s="2659">
        <v>210.609872</v>
      </c>
      <c r="I789" s="2659">
        <v>209.597824</v>
      </c>
      <c r="J789" s="2659"/>
      <c r="K789" s="2659" t="s">
        <v>9066</v>
      </c>
      <c r="L789" s="2659">
        <v>210.669872</v>
      </c>
      <c r="M789" s="2659">
        <v>211.26987199999999</v>
      </c>
      <c r="N789" s="2659">
        <v>212.40192400000001</v>
      </c>
      <c r="O789" s="2659">
        <v>212.77692400000001</v>
      </c>
      <c r="P789" s="2659">
        <v>215</v>
      </c>
      <c r="Q789" s="2659">
        <v>215.95235199999999</v>
      </c>
      <c r="R789" s="2667">
        <v>193.5</v>
      </c>
    </row>
    <row r="790" spans="1:18">
      <c r="A790" s="2651"/>
      <c r="B790" s="2654" t="s">
        <v>9460</v>
      </c>
      <c r="C790" s="2652" t="s">
        <v>9067</v>
      </c>
      <c r="D790" s="2659">
        <v>214.94</v>
      </c>
      <c r="E790" s="2659">
        <v>214.465</v>
      </c>
      <c r="F790" s="2659">
        <v>212.34192400000001</v>
      </c>
      <c r="G790" s="2659">
        <v>212.161924</v>
      </c>
      <c r="H790" s="2659">
        <v>210.609872</v>
      </c>
      <c r="I790" s="2659">
        <v>209.697824</v>
      </c>
      <c r="J790" s="2659"/>
      <c r="K790" s="2659"/>
      <c r="L790" s="2659"/>
      <c r="M790" s="2659"/>
      <c r="N790" s="2659"/>
      <c r="O790" s="2659"/>
      <c r="P790" s="2659"/>
      <c r="Q790" s="2659"/>
      <c r="R790" s="2667"/>
    </row>
    <row r="791" spans="1:18">
      <c r="A791" s="2651"/>
      <c r="B791" s="2654" t="s">
        <v>9461</v>
      </c>
      <c r="C791" s="2652" t="s">
        <v>9065</v>
      </c>
      <c r="D791" s="2659">
        <v>214.952</v>
      </c>
      <c r="E791" s="2659">
        <v>214.577</v>
      </c>
      <c r="F791" s="2659">
        <v>213.003443</v>
      </c>
      <c r="G791" s="2659">
        <v>212.753443</v>
      </c>
      <c r="H791" s="2659">
        <v>211.70440400000001</v>
      </c>
      <c r="I791" s="2659">
        <v>210.90536800000001</v>
      </c>
      <c r="J791" s="2659"/>
      <c r="K791" s="2659" t="s">
        <v>9066</v>
      </c>
      <c r="L791" s="2659">
        <v>211.75240400000001</v>
      </c>
      <c r="M791" s="2659">
        <v>212.25240400000001</v>
      </c>
      <c r="N791" s="2659">
        <v>213.05144300000001</v>
      </c>
      <c r="O791" s="2659">
        <v>213.38644300000001</v>
      </c>
      <c r="P791" s="2659">
        <v>215</v>
      </c>
      <c r="Q791" s="2659">
        <v>215.76801399999999</v>
      </c>
      <c r="R791" s="2667">
        <v>193.5</v>
      </c>
    </row>
    <row r="792" spans="1:18">
      <c r="A792" s="2651"/>
      <c r="B792" s="2654" t="s">
        <v>9461</v>
      </c>
      <c r="C792" s="2652" t="s">
        <v>9067</v>
      </c>
      <c r="D792" s="2659">
        <v>214.952</v>
      </c>
      <c r="E792" s="2659">
        <v>214.577</v>
      </c>
      <c r="F792" s="2659">
        <v>213.003443</v>
      </c>
      <c r="G792" s="2659">
        <v>212.84344300000001</v>
      </c>
      <c r="H792" s="2659">
        <v>211.70440400000001</v>
      </c>
      <c r="I792" s="2659">
        <v>210.99536800000001</v>
      </c>
      <c r="J792" s="2659"/>
      <c r="K792" s="2659"/>
      <c r="L792" s="2659"/>
      <c r="M792" s="2659"/>
      <c r="N792" s="2659"/>
      <c r="O792" s="2659"/>
      <c r="P792" s="2659"/>
      <c r="Q792" s="2659"/>
      <c r="R792" s="2667"/>
    </row>
    <row r="793" spans="1:18">
      <c r="A793" s="2651">
        <v>220</v>
      </c>
      <c r="B793" s="2654" t="s">
        <v>9462</v>
      </c>
      <c r="C793" s="2652" t="s">
        <v>9065</v>
      </c>
      <c r="D793" s="2659">
        <v>219.9</v>
      </c>
      <c r="E793" s="2659">
        <v>219.19</v>
      </c>
      <c r="F793" s="2659">
        <v>214.70384799999999</v>
      </c>
      <c r="G793" s="2659">
        <v>214.348848</v>
      </c>
      <c r="H793" s="2659">
        <v>211.239744</v>
      </c>
      <c r="I793" s="2659">
        <v>209.420648</v>
      </c>
      <c r="J793" s="2659"/>
      <c r="K793" s="2659" t="s">
        <v>9066</v>
      </c>
      <c r="L793" s="2659">
        <v>211.339744</v>
      </c>
      <c r="M793" s="2659">
        <v>212.339744</v>
      </c>
      <c r="N793" s="2659">
        <v>214.80384799999999</v>
      </c>
      <c r="O793" s="2659">
        <v>215.27884800000001</v>
      </c>
      <c r="P793" s="2659">
        <v>220</v>
      </c>
      <c r="Q793" s="2659">
        <v>221.629704</v>
      </c>
      <c r="R793" s="2667">
        <v>198</v>
      </c>
    </row>
    <row r="794" spans="1:18">
      <c r="A794" s="2651"/>
      <c r="B794" s="2654" t="s">
        <v>9462</v>
      </c>
      <c r="C794" s="2652" t="s">
        <v>9067</v>
      </c>
      <c r="D794" s="2659">
        <v>219.9</v>
      </c>
      <c r="E794" s="2659">
        <v>219.19</v>
      </c>
      <c r="F794" s="2659">
        <v>214.70384799999999</v>
      </c>
      <c r="G794" s="2659">
        <v>214.479848</v>
      </c>
      <c r="H794" s="2659">
        <v>211.239744</v>
      </c>
      <c r="I794" s="2659">
        <v>209.551648</v>
      </c>
      <c r="J794" s="2659"/>
      <c r="K794" s="2659"/>
      <c r="L794" s="2659"/>
      <c r="M794" s="2659"/>
      <c r="N794" s="2659"/>
      <c r="O794" s="2659"/>
      <c r="P794" s="2659"/>
      <c r="Q794" s="2659"/>
      <c r="R794" s="2667"/>
    </row>
    <row r="795" spans="1:18">
      <c r="A795" s="2651"/>
      <c r="B795" s="2654" t="s">
        <v>9463</v>
      </c>
      <c r="C795" s="2652" t="s">
        <v>9065</v>
      </c>
      <c r="D795" s="2659">
        <v>219.92</v>
      </c>
      <c r="E795" s="2659">
        <v>219.32</v>
      </c>
      <c r="F795" s="2659">
        <v>216.022886</v>
      </c>
      <c r="G795" s="2659">
        <v>215.707886</v>
      </c>
      <c r="H795" s="2659">
        <v>213.42480800000001</v>
      </c>
      <c r="I795" s="2659">
        <v>212.01173600000001</v>
      </c>
      <c r="J795" s="2659"/>
      <c r="K795" s="2659" t="s">
        <v>9066</v>
      </c>
      <c r="L795" s="2659">
        <v>213.504808</v>
      </c>
      <c r="M795" s="2659">
        <v>214.30480800000001</v>
      </c>
      <c r="N795" s="2659">
        <v>216.10288600000001</v>
      </c>
      <c r="O795" s="2659">
        <v>216.527886</v>
      </c>
      <c r="P795" s="2659">
        <v>220</v>
      </c>
      <c r="Q795" s="2659">
        <v>221.29102800000001</v>
      </c>
      <c r="R795" s="2667">
        <v>198</v>
      </c>
    </row>
    <row r="796" spans="1:18">
      <c r="A796" s="2651"/>
      <c r="B796" s="2654" t="s">
        <v>9463</v>
      </c>
      <c r="C796" s="2652" t="s">
        <v>9067</v>
      </c>
      <c r="D796" s="2659">
        <v>219.92</v>
      </c>
      <c r="E796" s="2659">
        <v>219.32</v>
      </c>
      <c r="F796" s="2659">
        <v>216.022886</v>
      </c>
      <c r="G796" s="2659">
        <v>215.82288600000001</v>
      </c>
      <c r="H796" s="2659">
        <v>213.42480800000001</v>
      </c>
      <c r="I796" s="2659">
        <v>212.12673599999999</v>
      </c>
      <c r="J796" s="2659"/>
      <c r="K796" s="2659"/>
      <c r="L796" s="2659"/>
      <c r="M796" s="2659"/>
      <c r="N796" s="2659"/>
      <c r="O796" s="2659"/>
      <c r="P796" s="2659"/>
      <c r="Q796" s="2659"/>
      <c r="R796" s="2667"/>
    </row>
    <row r="797" spans="1:18">
      <c r="A797" s="2651"/>
      <c r="B797" s="2654" t="s">
        <v>9464</v>
      </c>
      <c r="C797" s="2652" t="s">
        <v>9065</v>
      </c>
      <c r="D797" s="2659">
        <v>219.94</v>
      </c>
      <c r="E797" s="2659">
        <v>219.465</v>
      </c>
      <c r="F797" s="2659">
        <v>217.34192400000001</v>
      </c>
      <c r="G797" s="2659">
        <v>217.061924</v>
      </c>
      <c r="H797" s="2659">
        <v>215.609872</v>
      </c>
      <c r="I797" s="2659">
        <v>214.597824</v>
      </c>
      <c r="J797" s="2659"/>
      <c r="K797" s="2659" t="s">
        <v>9066</v>
      </c>
      <c r="L797" s="2659">
        <v>215.669872</v>
      </c>
      <c r="M797" s="2659">
        <v>216.26987199999999</v>
      </c>
      <c r="N797" s="2659">
        <v>217.40192400000001</v>
      </c>
      <c r="O797" s="2659">
        <v>217.77692400000001</v>
      </c>
      <c r="P797" s="2659">
        <v>220</v>
      </c>
      <c r="Q797" s="2659">
        <v>220.95235199999999</v>
      </c>
      <c r="R797" s="2667">
        <v>198</v>
      </c>
    </row>
    <row r="798" spans="1:18">
      <c r="A798" s="2651"/>
      <c r="B798" s="2654" t="s">
        <v>9464</v>
      </c>
      <c r="C798" s="2652" t="s">
        <v>9067</v>
      </c>
      <c r="D798" s="2659">
        <v>219.94</v>
      </c>
      <c r="E798" s="2659">
        <v>219.465</v>
      </c>
      <c r="F798" s="2659">
        <v>217.34192400000001</v>
      </c>
      <c r="G798" s="2659">
        <v>217.161924</v>
      </c>
      <c r="H798" s="2659">
        <v>215.609872</v>
      </c>
      <c r="I798" s="2659">
        <v>214.697824</v>
      </c>
      <c r="J798" s="2659"/>
      <c r="K798" s="2659"/>
      <c r="L798" s="2659"/>
      <c r="M798" s="2659"/>
      <c r="N798" s="2659"/>
      <c r="O798" s="2659"/>
      <c r="P798" s="2659"/>
      <c r="Q798" s="2659"/>
      <c r="R798" s="2667"/>
    </row>
    <row r="799" spans="1:18">
      <c r="A799" s="2651"/>
      <c r="B799" s="2658" t="s">
        <v>9465</v>
      </c>
      <c r="C799" s="2652" t="s">
        <v>9065</v>
      </c>
      <c r="D799" s="2659">
        <v>219.952</v>
      </c>
      <c r="E799" s="2659">
        <v>219.577</v>
      </c>
      <c r="F799" s="2659">
        <v>218.003443</v>
      </c>
      <c r="G799" s="2659">
        <v>217.753443</v>
      </c>
      <c r="H799" s="2659">
        <v>216.70440400000001</v>
      </c>
      <c r="I799" s="2659">
        <v>215.90536800000001</v>
      </c>
      <c r="J799" s="2659"/>
      <c r="K799" s="2659" t="s">
        <v>9066</v>
      </c>
      <c r="L799" s="2659">
        <v>216.75240400000001</v>
      </c>
      <c r="M799" s="2659">
        <v>217.25240400000001</v>
      </c>
      <c r="N799" s="2659">
        <v>218.05144300000001</v>
      </c>
      <c r="O799" s="2659">
        <v>218.38644300000001</v>
      </c>
      <c r="P799" s="2659">
        <v>220</v>
      </c>
      <c r="Q799" s="2659">
        <v>220.76801399999999</v>
      </c>
      <c r="R799" s="2667">
        <v>198</v>
      </c>
    </row>
    <row r="800" spans="1:18">
      <c r="A800" s="2651"/>
      <c r="B800" s="2658" t="s">
        <v>9465</v>
      </c>
      <c r="C800" s="2652" t="s">
        <v>9067</v>
      </c>
      <c r="D800" s="2659">
        <v>219.952</v>
      </c>
      <c r="E800" s="2659">
        <v>219.577</v>
      </c>
      <c r="F800" s="2659">
        <v>218.003443</v>
      </c>
      <c r="G800" s="2659">
        <v>217.84344300000001</v>
      </c>
      <c r="H800" s="2659">
        <v>216.70440400000001</v>
      </c>
      <c r="I800" s="2659">
        <v>215.99536800000001</v>
      </c>
      <c r="J800" s="2659"/>
      <c r="K800" s="2659"/>
      <c r="L800" s="2659"/>
      <c r="M800" s="2659"/>
      <c r="N800" s="2659"/>
      <c r="O800" s="2659"/>
      <c r="P800" s="2659"/>
      <c r="Q800" s="2659"/>
      <c r="R800" s="2667"/>
    </row>
    <row r="801" spans="1:18">
      <c r="A801" s="2651"/>
      <c r="B801" s="2654" t="s">
        <v>9466</v>
      </c>
      <c r="C801" s="2652" t="s">
        <v>9065</v>
      </c>
      <c r="D801" s="2659">
        <v>219.96199999999999</v>
      </c>
      <c r="E801" s="2659">
        <v>219.68199999999999</v>
      </c>
      <c r="F801" s="2659">
        <v>218.66296199999999</v>
      </c>
      <c r="G801" s="2659">
        <v>218.450962</v>
      </c>
      <c r="H801" s="2659">
        <v>217.79693599999999</v>
      </c>
      <c r="I801" s="2659">
        <v>217.21891199999999</v>
      </c>
      <c r="J801" s="2659"/>
      <c r="K801" s="2659" t="s">
        <v>9066</v>
      </c>
      <c r="L801" s="2659">
        <v>217.834936</v>
      </c>
      <c r="M801" s="2659">
        <v>218.209936</v>
      </c>
      <c r="N801" s="2659">
        <v>218.700962</v>
      </c>
      <c r="O801" s="2659">
        <v>218.98080200000001</v>
      </c>
      <c r="P801" s="2659">
        <v>220</v>
      </c>
      <c r="Q801" s="2659">
        <v>220.56851599999999</v>
      </c>
      <c r="R801" s="2667">
        <v>198</v>
      </c>
    </row>
    <row r="802" spans="1:18">
      <c r="A802" s="2651"/>
      <c r="B802" s="2654" t="s">
        <v>9466</v>
      </c>
      <c r="C802" s="2652" t="s">
        <v>9067</v>
      </c>
      <c r="D802" s="2659">
        <v>219.96199999999999</v>
      </c>
      <c r="E802" s="2659">
        <v>219.68199999999999</v>
      </c>
      <c r="F802" s="2659">
        <v>218.66296199999999</v>
      </c>
      <c r="G802" s="2659">
        <v>218.53096199999999</v>
      </c>
      <c r="H802" s="2659">
        <v>217.79693599999999</v>
      </c>
      <c r="I802" s="2659">
        <v>217.298912</v>
      </c>
      <c r="J802" s="2659"/>
      <c r="K802" s="2659"/>
      <c r="L802" s="2659"/>
      <c r="M802" s="2659"/>
      <c r="N802" s="2659"/>
      <c r="O802" s="2659"/>
      <c r="P802" s="2659"/>
      <c r="Q802" s="2659"/>
      <c r="R802" s="2667"/>
    </row>
    <row r="803" spans="1:18">
      <c r="A803" s="2651">
        <v>225</v>
      </c>
      <c r="B803" s="2654" t="s">
        <v>9467</v>
      </c>
      <c r="C803" s="2652" t="s">
        <v>9065</v>
      </c>
      <c r="D803" s="2659">
        <v>224.92</v>
      </c>
      <c r="E803" s="2659">
        <v>224.54499999999999</v>
      </c>
      <c r="F803" s="2659">
        <v>221.022886</v>
      </c>
      <c r="G803" s="2659">
        <v>220.707886</v>
      </c>
      <c r="H803" s="2659">
        <v>218.42480800000001</v>
      </c>
      <c r="I803" s="2659">
        <v>217.01173600000001</v>
      </c>
      <c r="J803" s="2659"/>
      <c r="K803" s="2659" t="s">
        <v>9066</v>
      </c>
      <c r="L803" s="2659">
        <v>218.504808</v>
      </c>
      <c r="M803" s="2659">
        <v>219.30480800000001</v>
      </c>
      <c r="N803" s="2659">
        <v>221.10288600000001</v>
      </c>
      <c r="O803" s="2659">
        <v>221.527886</v>
      </c>
      <c r="P803" s="2659">
        <v>225</v>
      </c>
      <c r="Q803" s="2659">
        <v>226.29102800000001</v>
      </c>
      <c r="R803" s="2667">
        <v>202</v>
      </c>
    </row>
    <row r="804" spans="1:18">
      <c r="A804" s="2651"/>
      <c r="B804" s="2654" t="s">
        <v>9467</v>
      </c>
      <c r="C804" s="2652" t="s">
        <v>9067</v>
      </c>
      <c r="D804" s="2659">
        <v>224.92</v>
      </c>
      <c r="E804" s="2659">
        <v>224.54499999999999</v>
      </c>
      <c r="F804" s="2659">
        <v>221.022886</v>
      </c>
      <c r="G804" s="2659">
        <v>220.82288600000001</v>
      </c>
      <c r="H804" s="2659">
        <v>218.42480800000001</v>
      </c>
      <c r="I804" s="2659">
        <v>217.12673599999999</v>
      </c>
      <c r="J804" s="2659"/>
      <c r="K804" s="2659"/>
      <c r="L804" s="2659"/>
      <c r="M804" s="2659"/>
      <c r="N804" s="2659"/>
      <c r="O804" s="2659"/>
      <c r="P804" s="2659"/>
      <c r="Q804" s="2659"/>
      <c r="R804" s="2667"/>
    </row>
    <row r="805" spans="1:18">
      <c r="A805" s="2651"/>
      <c r="B805" s="2654" t="s">
        <v>9468</v>
      </c>
      <c r="C805" s="2652" t="s">
        <v>9065</v>
      </c>
      <c r="D805" s="2659">
        <v>224.94</v>
      </c>
      <c r="E805" s="2659">
        <v>224.465</v>
      </c>
      <c r="F805" s="2659">
        <v>222.34192400000001</v>
      </c>
      <c r="G805" s="2659">
        <v>222.061924</v>
      </c>
      <c r="H805" s="2659">
        <v>220.609872</v>
      </c>
      <c r="I805" s="2659">
        <v>219.597824</v>
      </c>
      <c r="J805" s="2659"/>
      <c r="K805" s="2659" t="s">
        <v>9066</v>
      </c>
      <c r="L805" s="2659">
        <v>220.669872</v>
      </c>
      <c r="M805" s="2659">
        <v>221.26987199999999</v>
      </c>
      <c r="N805" s="2659">
        <v>222.40192400000001</v>
      </c>
      <c r="O805" s="2659">
        <v>222.77692400000001</v>
      </c>
      <c r="P805" s="2659">
        <v>225</v>
      </c>
      <c r="Q805" s="2659">
        <v>225.95235199999999</v>
      </c>
      <c r="R805" s="2667">
        <v>202</v>
      </c>
    </row>
    <row r="806" spans="1:18">
      <c r="A806" s="2651"/>
      <c r="B806" s="2654" t="s">
        <v>9468</v>
      </c>
      <c r="C806" s="2652" t="s">
        <v>9067</v>
      </c>
      <c r="D806" s="2659">
        <v>224.94</v>
      </c>
      <c r="E806" s="2659">
        <v>224.465</v>
      </c>
      <c r="F806" s="2659">
        <v>222.34192400000001</v>
      </c>
      <c r="G806" s="2659">
        <v>222.161924</v>
      </c>
      <c r="H806" s="2659">
        <v>220.609872</v>
      </c>
      <c r="I806" s="2659">
        <v>219.697824</v>
      </c>
      <c r="J806" s="2659"/>
      <c r="K806" s="2659"/>
      <c r="L806" s="2659"/>
      <c r="M806" s="2659"/>
      <c r="N806" s="2659"/>
      <c r="O806" s="2659"/>
      <c r="P806" s="2659"/>
      <c r="Q806" s="2659"/>
      <c r="R806" s="2667"/>
    </row>
    <row r="807" spans="1:18">
      <c r="A807" s="2651"/>
      <c r="B807" s="2654" t="s">
        <v>9469</v>
      </c>
      <c r="C807" s="2652" t="s">
        <v>9065</v>
      </c>
      <c r="D807" s="2659">
        <v>224.952</v>
      </c>
      <c r="E807" s="2659">
        <v>224.577</v>
      </c>
      <c r="F807" s="2659">
        <v>223.003443</v>
      </c>
      <c r="G807" s="2659">
        <v>222.753443</v>
      </c>
      <c r="H807" s="2659">
        <v>221.70440400000001</v>
      </c>
      <c r="I807" s="2659">
        <v>220.90536800000001</v>
      </c>
      <c r="J807" s="2659"/>
      <c r="K807" s="2659" t="s">
        <v>9066</v>
      </c>
      <c r="L807" s="2659">
        <v>221.75240400000001</v>
      </c>
      <c r="M807" s="2659">
        <v>222.25240400000001</v>
      </c>
      <c r="N807" s="2659">
        <v>223.05144300000001</v>
      </c>
      <c r="O807" s="2659">
        <v>223.38644300000001</v>
      </c>
      <c r="P807" s="2659">
        <v>225</v>
      </c>
      <c r="Q807" s="2659">
        <v>225.76801399999999</v>
      </c>
      <c r="R807" s="2667">
        <v>202</v>
      </c>
    </row>
    <row r="808" spans="1:18">
      <c r="A808" s="2651"/>
      <c r="B808" s="2654" t="s">
        <v>9469</v>
      </c>
      <c r="C808" s="2652" t="s">
        <v>9067</v>
      </c>
      <c r="D808" s="2659">
        <v>224.952</v>
      </c>
      <c r="E808" s="2659">
        <v>224.577</v>
      </c>
      <c r="F808" s="2659">
        <v>223.003443</v>
      </c>
      <c r="G808" s="2659">
        <v>222.84344300000001</v>
      </c>
      <c r="H808" s="2659">
        <v>221.70440400000001</v>
      </c>
      <c r="I808" s="2659">
        <v>220.99536800000001</v>
      </c>
      <c r="J808" s="2659"/>
      <c r="K808" s="2659"/>
      <c r="L808" s="2659"/>
      <c r="M808" s="2659"/>
      <c r="N808" s="2659"/>
      <c r="O808" s="2659"/>
      <c r="P808" s="2659"/>
      <c r="Q808" s="2659"/>
      <c r="R808" s="2667"/>
    </row>
    <row r="809" spans="1:18">
      <c r="A809" s="2651"/>
      <c r="B809" s="2654" t="s">
        <v>9470</v>
      </c>
      <c r="C809" s="2652" t="s">
        <v>9065</v>
      </c>
      <c r="D809" s="2659">
        <v>224.96199999999999</v>
      </c>
      <c r="E809" s="2659">
        <v>224.68199999999999</v>
      </c>
      <c r="F809" s="2659">
        <v>223.66296199999999</v>
      </c>
      <c r="G809" s="2659">
        <v>223.450962</v>
      </c>
      <c r="H809" s="2659">
        <v>222.79693599999999</v>
      </c>
      <c r="I809" s="2659">
        <v>222.21891199999999</v>
      </c>
      <c r="J809" s="2659"/>
      <c r="K809" s="2659" t="s">
        <v>9066</v>
      </c>
      <c r="L809" s="2659">
        <v>222.834936</v>
      </c>
      <c r="M809" s="2659">
        <v>223.209936</v>
      </c>
      <c r="N809" s="2659">
        <v>223.700962</v>
      </c>
      <c r="O809" s="2659">
        <v>223.98080200000001</v>
      </c>
      <c r="P809" s="2659">
        <v>225</v>
      </c>
      <c r="Q809" s="2659">
        <v>225.56851599999999</v>
      </c>
      <c r="R809" s="2667">
        <v>202</v>
      </c>
    </row>
    <row r="810" spans="1:18">
      <c r="A810" s="2651"/>
      <c r="B810" s="2654" t="s">
        <v>9470</v>
      </c>
      <c r="C810" s="2652" t="s">
        <v>9067</v>
      </c>
      <c r="D810" s="2659">
        <v>224.96199999999999</v>
      </c>
      <c r="E810" s="2659">
        <v>224.68199999999999</v>
      </c>
      <c r="F810" s="2659">
        <v>223.66296199999999</v>
      </c>
      <c r="G810" s="2659">
        <v>223.53096199999999</v>
      </c>
      <c r="H810" s="2659">
        <v>222.79693599999999</v>
      </c>
      <c r="I810" s="2659">
        <v>222.298912</v>
      </c>
      <c r="J810" s="2659"/>
      <c r="K810" s="2659"/>
      <c r="L810" s="2659"/>
      <c r="M810" s="2659"/>
      <c r="N810" s="2659"/>
      <c r="O810" s="2659"/>
      <c r="P810" s="2659"/>
      <c r="Q810" s="2659"/>
      <c r="R810" s="2667"/>
    </row>
    <row r="811" spans="1:18">
      <c r="A811" s="2651">
        <v>230</v>
      </c>
      <c r="B811" s="2654" t="s">
        <v>9471</v>
      </c>
      <c r="C811" s="2652" t="s">
        <v>9065</v>
      </c>
      <c r="D811" s="2659">
        <v>229.92</v>
      </c>
      <c r="E811" s="2659">
        <v>229.32</v>
      </c>
      <c r="F811" s="2659">
        <v>226.022886</v>
      </c>
      <c r="G811" s="2659">
        <v>225.707886</v>
      </c>
      <c r="H811" s="2659">
        <v>223.42480800000001</v>
      </c>
      <c r="I811" s="2659">
        <v>222.01173600000001</v>
      </c>
      <c r="J811" s="2659"/>
      <c r="K811" s="2659" t="s">
        <v>9066</v>
      </c>
      <c r="L811" s="2659">
        <v>223.504808</v>
      </c>
      <c r="M811" s="2659">
        <v>224.30480800000001</v>
      </c>
      <c r="N811" s="2659">
        <v>226.10288600000001</v>
      </c>
      <c r="O811" s="2659">
        <v>226.527886</v>
      </c>
      <c r="P811" s="2659">
        <v>230</v>
      </c>
      <c r="Q811" s="2659">
        <v>231.29102800000001</v>
      </c>
      <c r="R811" s="2667">
        <v>210</v>
      </c>
    </row>
    <row r="812" spans="1:18">
      <c r="A812" s="2651"/>
      <c r="B812" s="2654" t="s">
        <v>9471</v>
      </c>
      <c r="C812" s="2652" t="s">
        <v>9067</v>
      </c>
      <c r="D812" s="2659">
        <v>229.92</v>
      </c>
      <c r="E812" s="2659">
        <v>229.32</v>
      </c>
      <c r="F812" s="2659">
        <v>226.022886</v>
      </c>
      <c r="G812" s="2659">
        <v>225.82288600000001</v>
      </c>
      <c r="H812" s="2659">
        <v>223.42480800000001</v>
      </c>
      <c r="I812" s="2659">
        <v>222.12673599999999</v>
      </c>
      <c r="J812" s="2659"/>
      <c r="K812" s="2659"/>
      <c r="L812" s="2659"/>
      <c r="M812" s="2659"/>
      <c r="N812" s="2659"/>
      <c r="O812" s="2659"/>
      <c r="P812" s="2659"/>
      <c r="Q812" s="2659"/>
      <c r="R812" s="2667"/>
    </row>
    <row r="813" spans="1:18">
      <c r="A813" s="2651"/>
      <c r="B813" s="2654" t="s">
        <v>9472</v>
      </c>
      <c r="C813" s="2652" t="s">
        <v>9065</v>
      </c>
      <c r="D813" s="2659">
        <v>229.94</v>
      </c>
      <c r="E813" s="2659">
        <v>229.465</v>
      </c>
      <c r="F813" s="2659">
        <v>227.34192400000001</v>
      </c>
      <c r="G813" s="2659">
        <v>227.061924</v>
      </c>
      <c r="H813" s="2659">
        <v>225.609872</v>
      </c>
      <c r="I813" s="2659">
        <v>224.597824</v>
      </c>
      <c r="J813" s="2659"/>
      <c r="K813" s="2659" t="s">
        <v>9066</v>
      </c>
      <c r="L813" s="2659">
        <v>225.669872</v>
      </c>
      <c r="M813" s="2659">
        <v>226.26987199999999</v>
      </c>
      <c r="N813" s="2659">
        <v>227.40192400000001</v>
      </c>
      <c r="O813" s="2659">
        <v>227.77692400000001</v>
      </c>
      <c r="P813" s="2659">
        <v>230</v>
      </c>
      <c r="Q813" s="2659">
        <v>230.95235199999999</v>
      </c>
      <c r="R813" s="2667">
        <v>210</v>
      </c>
    </row>
    <row r="814" spans="1:18">
      <c r="A814" s="2651"/>
      <c r="B814" s="2654" t="s">
        <v>9472</v>
      </c>
      <c r="C814" s="2652" t="s">
        <v>9067</v>
      </c>
      <c r="D814" s="2659">
        <v>229.94</v>
      </c>
      <c r="E814" s="2659">
        <v>229.465</v>
      </c>
      <c r="F814" s="2659">
        <v>227.34192400000001</v>
      </c>
      <c r="G814" s="2659">
        <v>227.161924</v>
      </c>
      <c r="H814" s="2659">
        <v>225.609872</v>
      </c>
      <c r="I814" s="2659">
        <v>224.697824</v>
      </c>
      <c r="J814" s="2659"/>
      <c r="K814" s="2659"/>
      <c r="L814" s="2659"/>
      <c r="M814" s="2659"/>
      <c r="N814" s="2659"/>
      <c r="O814" s="2659"/>
      <c r="P814" s="2659"/>
      <c r="Q814" s="2659"/>
      <c r="R814" s="2667"/>
    </row>
    <row r="815" spans="1:18">
      <c r="A815" s="2651"/>
      <c r="B815" s="2654" t="s">
        <v>9473</v>
      </c>
      <c r="C815" s="2652" t="s">
        <v>9065</v>
      </c>
      <c r="D815" s="2659">
        <v>229.952</v>
      </c>
      <c r="E815" s="2659">
        <v>229.577</v>
      </c>
      <c r="F815" s="2659">
        <v>228.003443</v>
      </c>
      <c r="G815" s="2659">
        <v>227.753443</v>
      </c>
      <c r="H815" s="2659">
        <v>226.70440400000001</v>
      </c>
      <c r="I815" s="2659">
        <v>225.90536800000001</v>
      </c>
      <c r="J815" s="2659"/>
      <c r="K815" s="2659" t="s">
        <v>9066</v>
      </c>
      <c r="L815" s="2659">
        <v>226.75240400000001</v>
      </c>
      <c r="M815" s="2659">
        <v>227.25240400000001</v>
      </c>
      <c r="N815" s="2659">
        <v>228.05144300000001</v>
      </c>
      <c r="O815" s="2659">
        <v>228.38644300000001</v>
      </c>
      <c r="P815" s="2659">
        <v>230</v>
      </c>
      <c r="Q815" s="2659">
        <v>230.76801399999999</v>
      </c>
      <c r="R815" s="2667">
        <v>210</v>
      </c>
    </row>
    <row r="816" spans="1:18">
      <c r="A816" s="2651"/>
      <c r="B816" s="2654" t="s">
        <v>9473</v>
      </c>
      <c r="C816" s="2652" t="s">
        <v>9067</v>
      </c>
      <c r="D816" s="2659">
        <v>229.952</v>
      </c>
      <c r="E816" s="2659">
        <v>229.577</v>
      </c>
      <c r="F816" s="2659">
        <v>228.003443</v>
      </c>
      <c r="G816" s="2659">
        <v>227.84344300000001</v>
      </c>
      <c r="H816" s="2659">
        <v>226.70440400000001</v>
      </c>
      <c r="I816" s="2659">
        <v>225.99536800000001</v>
      </c>
      <c r="J816" s="2659"/>
      <c r="K816" s="2659"/>
      <c r="L816" s="2659"/>
      <c r="M816" s="2659"/>
      <c r="N816" s="2659"/>
      <c r="O816" s="2659"/>
      <c r="P816" s="2659"/>
      <c r="Q816" s="2659"/>
      <c r="R816" s="2667"/>
    </row>
    <row r="817" spans="1:18">
      <c r="A817" s="2651"/>
      <c r="B817" s="2654" t="s">
        <v>9474</v>
      </c>
      <c r="C817" s="2652" t="s">
        <v>9065</v>
      </c>
      <c r="D817" s="2659">
        <v>229.96199999999999</v>
      </c>
      <c r="E817" s="2659">
        <v>229.68199999999999</v>
      </c>
      <c r="F817" s="2659">
        <v>228.66296199999999</v>
      </c>
      <c r="G817" s="2659">
        <v>228.450962</v>
      </c>
      <c r="H817" s="2659">
        <v>227.79693599999999</v>
      </c>
      <c r="I817" s="2659">
        <v>227.21891199999999</v>
      </c>
      <c r="J817" s="2659"/>
      <c r="K817" s="2659" t="s">
        <v>9066</v>
      </c>
      <c r="L817" s="2659">
        <v>227.834936</v>
      </c>
      <c r="M817" s="2659">
        <v>228.209936</v>
      </c>
      <c r="N817" s="2659">
        <v>228.700962</v>
      </c>
      <c r="O817" s="2659">
        <v>228.98080200000001</v>
      </c>
      <c r="P817" s="2659">
        <v>230</v>
      </c>
      <c r="Q817" s="2659">
        <v>230.56851599999999</v>
      </c>
      <c r="R817" s="2667">
        <v>210</v>
      </c>
    </row>
    <row r="818" spans="1:18">
      <c r="A818" s="2651"/>
      <c r="B818" s="2654" t="s">
        <v>9474</v>
      </c>
      <c r="C818" s="2652" t="s">
        <v>9067</v>
      </c>
      <c r="D818" s="2659">
        <v>229.96199999999999</v>
      </c>
      <c r="E818" s="2659">
        <v>229.68199999999999</v>
      </c>
      <c r="F818" s="2659">
        <v>228.66296199999999</v>
      </c>
      <c r="G818" s="2659">
        <v>228.53096199999999</v>
      </c>
      <c r="H818" s="2659">
        <v>227.79693599999999</v>
      </c>
      <c r="I818" s="2659">
        <v>227.298912</v>
      </c>
      <c r="J818" s="2659"/>
      <c r="K818" s="2659"/>
      <c r="L818" s="2659"/>
      <c r="M818" s="2659"/>
      <c r="N818" s="2659"/>
      <c r="O818" s="2659"/>
      <c r="P818" s="2659"/>
      <c r="Q818" s="2659"/>
      <c r="R818" s="2667"/>
    </row>
    <row r="819" spans="1:18">
      <c r="A819" s="2651">
        <v>235</v>
      </c>
      <c r="B819" s="2654" t="s">
        <v>9475</v>
      </c>
      <c r="C819" s="2652" t="s">
        <v>9065</v>
      </c>
      <c r="D819" s="2659">
        <v>234.92</v>
      </c>
      <c r="E819" s="2659">
        <v>234.32</v>
      </c>
      <c r="F819" s="2659">
        <v>231.022886</v>
      </c>
      <c r="G819" s="2659">
        <v>230.66788600000001</v>
      </c>
      <c r="H819" s="2659">
        <v>228.42480800000001</v>
      </c>
      <c r="I819" s="2659">
        <v>226.97173599999999</v>
      </c>
      <c r="J819" s="2659"/>
      <c r="K819" s="2659" t="s">
        <v>9066</v>
      </c>
      <c r="L819" s="2659">
        <v>228.504808</v>
      </c>
      <c r="M819" s="2659">
        <v>229.30480800000001</v>
      </c>
      <c r="N819" s="2659">
        <v>231.10288600000001</v>
      </c>
      <c r="O819" s="2659">
        <v>231.57788600000001</v>
      </c>
      <c r="P819" s="2659">
        <v>235</v>
      </c>
      <c r="Q819" s="2659">
        <v>236.34102799999999</v>
      </c>
      <c r="R819" s="2667">
        <v>210</v>
      </c>
    </row>
    <row r="820" spans="1:18">
      <c r="A820" s="2651"/>
      <c r="B820" s="2654" t="s">
        <v>9475</v>
      </c>
      <c r="C820" s="2652" t="s">
        <v>9067</v>
      </c>
      <c r="D820" s="2659">
        <v>234.92</v>
      </c>
      <c r="E820" s="2659">
        <v>234.32</v>
      </c>
      <c r="F820" s="2659">
        <v>231.022886</v>
      </c>
      <c r="G820" s="2659">
        <v>230.79888600000001</v>
      </c>
      <c r="H820" s="2659">
        <v>228.42480800000001</v>
      </c>
      <c r="I820" s="2659">
        <v>227.10273599999999</v>
      </c>
      <c r="J820" s="2659"/>
      <c r="K820" s="2659"/>
      <c r="L820" s="2659"/>
      <c r="M820" s="2659"/>
      <c r="N820" s="2659"/>
      <c r="O820" s="2659"/>
      <c r="P820" s="2659"/>
      <c r="Q820" s="2659"/>
      <c r="R820" s="2667"/>
    </row>
    <row r="821" spans="1:18">
      <c r="A821" s="2651"/>
      <c r="B821" s="2654" t="s">
        <v>9476</v>
      </c>
      <c r="C821" s="2652" t="s">
        <v>9065</v>
      </c>
      <c r="D821" s="2659">
        <v>234.94</v>
      </c>
      <c r="E821" s="2659">
        <v>234.465</v>
      </c>
      <c r="F821" s="2659">
        <v>232.34192400000001</v>
      </c>
      <c r="G821" s="2659">
        <v>232.061924</v>
      </c>
      <c r="H821" s="2659">
        <v>230.609872</v>
      </c>
      <c r="I821" s="2659">
        <v>229.597824</v>
      </c>
      <c r="J821" s="2659"/>
      <c r="K821" s="2659" t="s">
        <v>9066</v>
      </c>
      <c r="L821" s="2659">
        <v>230.669872</v>
      </c>
      <c r="M821" s="2659">
        <v>231.26987199999999</v>
      </c>
      <c r="N821" s="2659">
        <v>232.40192400000001</v>
      </c>
      <c r="O821" s="2659">
        <v>232.77692400000001</v>
      </c>
      <c r="P821" s="2659">
        <v>235</v>
      </c>
      <c r="Q821" s="2659">
        <v>235.95235199999999</v>
      </c>
      <c r="R821" s="2667">
        <v>210</v>
      </c>
    </row>
    <row r="822" spans="1:18">
      <c r="A822" s="2651"/>
      <c r="B822" s="2654" t="s">
        <v>9476</v>
      </c>
      <c r="C822" s="2652" t="s">
        <v>9067</v>
      </c>
      <c r="D822" s="2659">
        <v>234.94</v>
      </c>
      <c r="E822" s="2659">
        <v>234.465</v>
      </c>
      <c r="F822" s="2659">
        <v>232.34192400000001</v>
      </c>
      <c r="G822" s="2659">
        <v>232.161924</v>
      </c>
      <c r="H822" s="2659">
        <v>230.609872</v>
      </c>
      <c r="I822" s="2659">
        <v>229.697824</v>
      </c>
      <c r="J822" s="2659"/>
      <c r="K822" s="2659"/>
      <c r="L822" s="2659"/>
      <c r="M822" s="2659"/>
      <c r="N822" s="2659"/>
      <c r="O822" s="2659"/>
      <c r="P822" s="2659"/>
      <c r="Q822" s="2659"/>
      <c r="R822" s="2667"/>
    </row>
    <row r="823" spans="1:18">
      <c r="A823" s="2651"/>
      <c r="B823" s="2654" t="s">
        <v>9477</v>
      </c>
      <c r="C823" s="2652" t="s">
        <v>9065</v>
      </c>
      <c r="D823" s="2659">
        <v>234.952</v>
      </c>
      <c r="E823" s="2659">
        <v>234.577</v>
      </c>
      <c r="F823" s="2659">
        <v>233.003443</v>
      </c>
      <c r="G823" s="2659">
        <v>232.753443</v>
      </c>
      <c r="H823" s="2659">
        <v>231.70440400000001</v>
      </c>
      <c r="I823" s="2659">
        <v>230.90536800000001</v>
      </c>
      <c r="J823" s="2659"/>
      <c r="K823" s="2659" t="s">
        <v>9066</v>
      </c>
      <c r="L823" s="2659">
        <v>231.75240400000001</v>
      </c>
      <c r="M823" s="2659">
        <v>232.25240400000001</v>
      </c>
      <c r="N823" s="2659">
        <v>233.05144300000001</v>
      </c>
      <c r="O823" s="2659">
        <v>233.38644300000001</v>
      </c>
      <c r="P823" s="2659">
        <v>235</v>
      </c>
      <c r="Q823" s="2659">
        <v>235.76801399999999</v>
      </c>
      <c r="R823" s="2667">
        <v>210</v>
      </c>
    </row>
    <row r="824" spans="1:18">
      <c r="A824" s="2651"/>
      <c r="B824" s="2654" t="s">
        <v>9477</v>
      </c>
      <c r="C824" s="2652" t="s">
        <v>9067</v>
      </c>
      <c r="D824" s="2659">
        <v>234.952</v>
      </c>
      <c r="E824" s="2659">
        <v>234.577</v>
      </c>
      <c r="F824" s="2659">
        <v>233.003443</v>
      </c>
      <c r="G824" s="2659">
        <v>232.84344300000001</v>
      </c>
      <c r="H824" s="2659">
        <v>231.70440400000001</v>
      </c>
      <c r="I824" s="2659">
        <v>230.99536800000001</v>
      </c>
      <c r="J824" s="2659"/>
      <c r="K824" s="2659"/>
      <c r="L824" s="2659"/>
      <c r="M824" s="2659"/>
      <c r="N824" s="2659"/>
      <c r="O824" s="2659"/>
      <c r="P824" s="2659"/>
      <c r="Q824" s="2659"/>
      <c r="R824" s="2667"/>
    </row>
    <row r="825" spans="1:18">
      <c r="A825" s="2651">
        <v>240</v>
      </c>
      <c r="B825" s="2654" t="s">
        <v>9478</v>
      </c>
      <c r="C825" s="2652" t="s">
        <v>9065</v>
      </c>
      <c r="D825" s="2659">
        <v>239.9</v>
      </c>
      <c r="E825" s="2659">
        <v>239.19</v>
      </c>
      <c r="F825" s="2659">
        <v>234.70384799999999</v>
      </c>
      <c r="G825" s="2659">
        <v>234.348848</v>
      </c>
      <c r="H825" s="2659">
        <v>231.239744</v>
      </c>
      <c r="I825" s="2659">
        <v>229.420648</v>
      </c>
      <c r="J825" s="2659"/>
      <c r="K825" s="2659" t="s">
        <v>9066</v>
      </c>
      <c r="L825" s="2659">
        <v>231.339744</v>
      </c>
      <c r="M825" s="2659">
        <v>232.339744</v>
      </c>
      <c r="N825" s="2659">
        <v>234.80384799999999</v>
      </c>
      <c r="O825" s="2659">
        <v>235.27884800000001</v>
      </c>
      <c r="P825" s="2659">
        <v>240</v>
      </c>
      <c r="Q825" s="2659">
        <v>241.629704</v>
      </c>
      <c r="R825" s="2667">
        <v>216</v>
      </c>
    </row>
    <row r="826" spans="1:18">
      <c r="A826" s="2651"/>
      <c r="B826" s="2654" t="s">
        <v>9478</v>
      </c>
      <c r="C826" s="2652" t="s">
        <v>9067</v>
      </c>
      <c r="D826" s="2659">
        <v>239.9</v>
      </c>
      <c r="E826" s="2659">
        <v>239.19</v>
      </c>
      <c r="F826" s="2659">
        <v>234.70384799999999</v>
      </c>
      <c r="G826" s="2659">
        <v>234.479848</v>
      </c>
      <c r="H826" s="2659">
        <v>231.239744</v>
      </c>
      <c r="I826" s="2659">
        <v>229.551648</v>
      </c>
      <c r="J826" s="2659"/>
      <c r="K826" s="2659"/>
      <c r="L826" s="2659"/>
      <c r="M826" s="2659"/>
      <c r="N826" s="2659"/>
      <c r="O826" s="2659"/>
      <c r="P826" s="2659"/>
      <c r="Q826" s="2659"/>
      <c r="R826" s="2667"/>
    </row>
    <row r="827" spans="1:18">
      <c r="A827" s="2651"/>
      <c r="B827" s="2654" t="s">
        <v>9479</v>
      </c>
      <c r="C827" s="2652" t="s">
        <v>9065</v>
      </c>
      <c r="D827" s="2659">
        <v>239.92</v>
      </c>
      <c r="E827" s="2659">
        <v>239.32</v>
      </c>
      <c r="F827" s="2659">
        <v>236.022886</v>
      </c>
      <c r="G827" s="2659">
        <v>235.707886</v>
      </c>
      <c r="H827" s="2659">
        <v>233.42480800000001</v>
      </c>
      <c r="I827" s="2659">
        <v>232.01173600000001</v>
      </c>
      <c r="J827" s="2659"/>
      <c r="K827" s="2659" t="s">
        <v>9066</v>
      </c>
      <c r="L827" s="2659">
        <v>233.504808</v>
      </c>
      <c r="M827" s="2659">
        <v>234.30480800000001</v>
      </c>
      <c r="N827" s="2659">
        <v>236.10288600000001</v>
      </c>
      <c r="O827" s="2659">
        <v>236.527886</v>
      </c>
      <c r="P827" s="2659">
        <v>240</v>
      </c>
      <c r="Q827" s="2659">
        <v>241.29102800000001</v>
      </c>
      <c r="R827" s="2667">
        <v>216</v>
      </c>
    </row>
    <row r="828" spans="1:18">
      <c r="A828" s="2651"/>
      <c r="B828" s="2654" t="s">
        <v>9479</v>
      </c>
      <c r="C828" s="2652" t="s">
        <v>9067</v>
      </c>
      <c r="D828" s="2659">
        <v>239.92</v>
      </c>
      <c r="E828" s="2659">
        <v>239.32</v>
      </c>
      <c r="F828" s="2659">
        <v>236.022886</v>
      </c>
      <c r="G828" s="2659">
        <v>235.82288600000001</v>
      </c>
      <c r="H828" s="2659">
        <v>233.42480800000001</v>
      </c>
      <c r="I828" s="2659">
        <v>232.12673599999999</v>
      </c>
      <c r="J828" s="2659"/>
      <c r="K828" s="2659"/>
      <c r="L828" s="2659"/>
      <c r="M828" s="2659"/>
      <c r="N828" s="2659"/>
      <c r="O828" s="2659"/>
      <c r="P828" s="2659"/>
      <c r="Q828" s="2659"/>
      <c r="R828" s="2667"/>
    </row>
    <row r="829" spans="1:18">
      <c r="A829" s="2651"/>
      <c r="B829" s="2654" t="s">
        <v>9480</v>
      </c>
      <c r="C829" s="2652" t="s">
        <v>9065</v>
      </c>
      <c r="D829" s="2659">
        <v>239.94</v>
      </c>
      <c r="E829" s="2659">
        <v>239.465</v>
      </c>
      <c r="F829" s="2659">
        <v>237.34192400000001</v>
      </c>
      <c r="G829" s="2659">
        <v>237.061924</v>
      </c>
      <c r="H829" s="2659">
        <v>235.609872</v>
      </c>
      <c r="I829" s="2659">
        <v>234.597824</v>
      </c>
      <c r="J829" s="2659"/>
      <c r="K829" s="2659" t="s">
        <v>9066</v>
      </c>
      <c r="L829" s="2659">
        <v>235.669872</v>
      </c>
      <c r="M829" s="2659">
        <v>236.26987199999999</v>
      </c>
      <c r="N829" s="2659">
        <v>237.40192400000001</v>
      </c>
      <c r="O829" s="2659">
        <v>237.77692400000001</v>
      </c>
      <c r="P829" s="2659">
        <v>240</v>
      </c>
      <c r="Q829" s="2659">
        <v>240.95235199999999</v>
      </c>
      <c r="R829" s="2667">
        <v>216</v>
      </c>
    </row>
    <row r="830" spans="1:18">
      <c r="A830" s="2651"/>
      <c r="B830" s="2654" t="s">
        <v>9480</v>
      </c>
      <c r="C830" s="2652" t="s">
        <v>9067</v>
      </c>
      <c r="D830" s="2659">
        <v>239.94</v>
      </c>
      <c r="E830" s="2659">
        <v>239.465</v>
      </c>
      <c r="F830" s="2659">
        <v>237.34192400000001</v>
      </c>
      <c r="G830" s="2659">
        <v>237.161924</v>
      </c>
      <c r="H830" s="2659">
        <v>235.609872</v>
      </c>
      <c r="I830" s="2659">
        <v>234.697824</v>
      </c>
      <c r="J830" s="2659"/>
      <c r="K830" s="2659"/>
      <c r="L830" s="2659"/>
      <c r="M830" s="2659"/>
      <c r="N830" s="2659"/>
      <c r="O830" s="2659"/>
      <c r="P830" s="2659"/>
      <c r="Q830" s="2659"/>
      <c r="R830" s="2667"/>
    </row>
    <row r="831" spans="1:18">
      <c r="A831" s="2651"/>
      <c r="B831" s="2658" t="s">
        <v>9481</v>
      </c>
      <c r="C831" s="2652" t="s">
        <v>9065</v>
      </c>
      <c r="D831" s="2659">
        <v>239.952</v>
      </c>
      <c r="E831" s="2659">
        <v>239.577</v>
      </c>
      <c r="F831" s="2659">
        <v>238.003443</v>
      </c>
      <c r="G831" s="2659">
        <v>237.753443</v>
      </c>
      <c r="H831" s="2659">
        <v>236.70440400000001</v>
      </c>
      <c r="I831" s="2659">
        <v>235.90536800000001</v>
      </c>
      <c r="J831" s="2659"/>
      <c r="K831" s="2659" t="s">
        <v>9066</v>
      </c>
      <c r="L831" s="2659">
        <v>236.75240400000001</v>
      </c>
      <c r="M831" s="2659">
        <v>237.25240400000001</v>
      </c>
      <c r="N831" s="2659">
        <v>238.05144300000001</v>
      </c>
      <c r="O831" s="2659">
        <v>238.38644300000001</v>
      </c>
      <c r="P831" s="2659">
        <v>240</v>
      </c>
      <c r="Q831" s="2659">
        <v>240.76801399999999</v>
      </c>
      <c r="R831" s="2667">
        <v>216</v>
      </c>
    </row>
    <row r="832" spans="1:18">
      <c r="A832" s="2651"/>
      <c r="B832" s="2658" t="s">
        <v>9481</v>
      </c>
      <c r="C832" s="2652" t="s">
        <v>9067</v>
      </c>
      <c r="D832" s="2659">
        <v>239.952</v>
      </c>
      <c r="E832" s="2659">
        <v>239.577</v>
      </c>
      <c r="F832" s="2659">
        <v>238.003443</v>
      </c>
      <c r="G832" s="2659">
        <v>237.84344300000001</v>
      </c>
      <c r="H832" s="2659">
        <v>236.70440400000001</v>
      </c>
      <c r="I832" s="2659">
        <v>235.99536800000001</v>
      </c>
      <c r="J832" s="2659"/>
      <c r="K832" s="2659"/>
      <c r="L832" s="2659"/>
      <c r="M832" s="2659"/>
      <c r="N832" s="2659"/>
      <c r="O832" s="2659"/>
      <c r="P832" s="2659"/>
      <c r="Q832" s="2659"/>
      <c r="R832" s="2667"/>
    </row>
    <row r="833" spans="1:18">
      <c r="A833" s="2651"/>
      <c r="B833" s="2654" t="s">
        <v>9482</v>
      </c>
      <c r="C833" s="2652" t="s">
        <v>9065</v>
      </c>
      <c r="D833" s="2659">
        <v>239.96199999999999</v>
      </c>
      <c r="E833" s="2659">
        <v>239.68199999999999</v>
      </c>
      <c r="F833" s="2659">
        <v>238.66296199999999</v>
      </c>
      <c r="G833" s="2659">
        <v>238.450962</v>
      </c>
      <c r="H833" s="2659">
        <v>237.79693599999999</v>
      </c>
      <c r="I833" s="2659">
        <v>237.21891199999999</v>
      </c>
      <c r="J833" s="2659"/>
      <c r="K833" s="2659" t="s">
        <v>9066</v>
      </c>
      <c r="L833" s="2659">
        <v>237.834936</v>
      </c>
      <c r="M833" s="2659">
        <v>238.209936</v>
      </c>
      <c r="N833" s="2659">
        <v>238.700962</v>
      </c>
      <c r="O833" s="2659">
        <v>238.98080200000001</v>
      </c>
      <c r="P833" s="2659">
        <v>240</v>
      </c>
      <c r="Q833" s="2659">
        <v>240.56851599999999</v>
      </c>
      <c r="R833" s="2667">
        <v>216</v>
      </c>
    </row>
    <row r="834" spans="1:18">
      <c r="A834" s="2651"/>
      <c r="B834" s="2654" t="s">
        <v>9482</v>
      </c>
      <c r="C834" s="2652" t="s">
        <v>9067</v>
      </c>
      <c r="D834" s="2659">
        <v>239.96199999999999</v>
      </c>
      <c r="E834" s="2659">
        <v>239.68199999999999</v>
      </c>
      <c r="F834" s="2659">
        <v>238.66296199999999</v>
      </c>
      <c r="G834" s="2659">
        <v>238.53096199999999</v>
      </c>
      <c r="H834" s="2659">
        <v>237.79693599999999</v>
      </c>
      <c r="I834" s="2659">
        <v>237.298912</v>
      </c>
      <c r="J834" s="2659"/>
      <c r="K834" s="2659"/>
      <c r="L834" s="2659"/>
      <c r="M834" s="2659"/>
      <c r="N834" s="2659"/>
      <c r="O834" s="2659"/>
      <c r="P834" s="2659"/>
      <c r="Q834" s="2659"/>
      <c r="R834" s="2667"/>
    </row>
    <row r="835" spans="1:18">
      <c r="A835" s="2651">
        <v>245</v>
      </c>
      <c r="B835" s="2654" t="s">
        <v>9483</v>
      </c>
      <c r="C835" s="2652" t="s">
        <v>9065</v>
      </c>
      <c r="D835" s="2659">
        <v>244.92</v>
      </c>
      <c r="E835" s="2659">
        <v>244.32</v>
      </c>
      <c r="F835" s="2659">
        <v>241.022886</v>
      </c>
      <c r="G835" s="2659">
        <v>240.707886</v>
      </c>
      <c r="H835" s="2659">
        <v>238.42480800000001</v>
      </c>
      <c r="I835" s="2659">
        <v>237.01173600000001</v>
      </c>
      <c r="J835" s="2659"/>
      <c r="K835" s="2659" t="s">
        <v>9066</v>
      </c>
      <c r="L835" s="2659">
        <v>238.504808</v>
      </c>
      <c r="M835" s="2659">
        <v>239.30480800000001</v>
      </c>
      <c r="N835" s="2659">
        <v>241.10288600000001</v>
      </c>
      <c r="O835" s="2659">
        <v>241.527886</v>
      </c>
      <c r="P835" s="2659">
        <v>245</v>
      </c>
      <c r="Q835" s="2659">
        <v>246.29102800000001</v>
      </c>
      <c r="R835" s="2667">
        <v>220</v>
      </c>
    </row>
    <row r="836" spans="1:18">
      <c r="A836" s="2651"/>
      <c r="B836" s="2654" t="s">
        <v>9483</v>
      </c>
      <c r="C836" s="2652" t="s">
        <v>9067</v>
      </c>
      <c r="D836" s="2659">
        <v>244.92</v>
      </c>
      <c r="E836" s="2659">
        <v>244.32</v>
      </c>
      <c r="F836" s="2659">
        <v>241.022886</v>
      </c>
      <c r="G836" s="2659">
        <v>240.82288600000001</v>
      </c>
      <c r="H836" s="2659">
        <v>238.42480800000001</v>
      </c>
      <c r="I836" s="2659">
        <v>237.12673599999999</v>
      </c>
      <c r="J836" s="2659"/>
      <c r="K836" s="2659"/>
      <c r="L836" s="2659"/>
      <c r="M836" s="2659"/>
      <c r="N836" s="2659"/>
      <c r="O836" s="2659"/>
      <c r="P836" s="2659"/>
      <c r="Q836" s="2659"/>
      <c r="R836" s="2667"/>
    </row>
    <row r="837" spans="1:18">
      <c r="A837" s="2651"/>
      <c r="B837" s="2654" t="s">
        <v>9484</v>
      </c>
      <c r="C837" s="2652" t="s">
        <v>9065</v>
      </c>
      <c r="D837" s="2659">
        <v>244.94</v>
      </c>
      <c r="E837" s="2659">
        <v>244.465</v>
      </c>
      <c r="F837" s="2659">
        <v>242.34192400000001</v>
      </c>
      <c r="G837" s="2659">
        <v>242.061924</v>
      </c>
      <c r="H837" s="2659">
        <v>240.609872</v>
      </c>
      <c r="I837" s="2659">
        <v>239.597824</v>
      </c>
      <c r="J837" s="2659"/>
      <c r="K837" s="2659" t="s">
        <v>9066</v>
      </c>
      <c r="L837" s="2659">
        <v>240.669872</v>
      </c>
      <c r="M837" s="2659">
        <v>241.26987199999999</v>
      </c>
      <c r="N837" s="2659">
        <v>242.40192400000001</v>
      </c>
      <c r="O837" s="2659">
        <v>242.77692400000001</v>
      </c>
      <c r="P837" s="2659">
        <v>245</v>
      </c>
      <c r="Q837" s="2659">
        <v>245.95235199999999</v>
      </c>
      <c r="R837" s="2667">
        <v>220</v>
      </c>
    </row>
    <row r="838" spans="1:18">
      <c r="A838" s="2651"/>
      <c r="B838" s="2654" t="s">
        <v>9484</v>
      </c>
      <c r="C838" s="2652" t="s">
        <v>9067</v>
      </c>
      <c r="D838" s="2659">
        <v>244.94</v>
      </c>
      <c r="E838" s="2659">
        <v>244.465</v>
      </c>
      <c r="F838" s="2659">
        <v>242.34192400000001</v>
      </c>
      <c r="G838" s="2659">
        <v>242.161924</v>
      </c>
      <c r="H838" s="2659">
        <v>240.609872</v>
      </c>
      <c r="I838" s="2659">
        <v>239.697824</v>
      </c>
      <c r="J838" s="2659"/>
      <c r="K838" s="2659"/>
      <c r="L838" s="2659"/>
      <c r="M838" s="2659"/>
      <c r="N838" s="2659"/>
      <c r="O838" s="2659"/>
      <c r="P838" s="2659"/>
      <c r="Q838" s="2659"/>
      <c r="R838" s="2667"/>
    </row>
    <row r="839" spans="1:18">
      <c r="A839" s="2651"/>
      <c r="B839" s="2654" t="s">
        <v>9485</v>
      </c>
      <c r="C839" s="2652" t="s">
        <v>9065</v>
      </c>
      <c r="D839" s="2659">
        <v>244.952</v>
      </c>
      <c r="E839" s="2659">
        <v>244.577</v>
      </c>
      <c r="F839" s="2659">
        <v>243.003443</v>
      </c>
      <c r="G839" s="2659">
        <v>242.753443</v>
      </c>
      <c r="H839" s="2659">
        <v>241.70440400000001</v>
      </c>
      <c r="I839" s="2659">
        <v>240.90536800000001</v>
      </c>
      <c r="J839" s="2659"/>
      <c r="K839" s="2659" t="s">
        <v>9066</v>
      </c>
      <c r="L839" s="2659">
        <v>241.75240400000001</v>
      </c>
      <c r="M839" s="2659">
        <v>242.25240400000001</v>
      </c>
      <c r="N839" s="2659">
        <v>243.05144300000001</v>
      </c>
      <c r="O839" s="2659">
        <v>243.38644300000001</v>
      </c>
      <c r="P839" s="2659">
        <v>245</v>
      </c>
      <c r="Q839" s="2659">
        <v>245.76801399999999</v>
      </c>
      <c r="R839" s="2667">
        <v>220</v>
      </c>
    </row>
    <row r="840" spans="1:18">
      <c r="A840" s="2651"/>
      <c r="B840" s="2654" t="s">
        <v>9485</v>
      </c>
      <c r="C840" s="2652" t="s">
        <v>9067</v>
      </c>
      <c r="D840" s="2659">
        <v>244.952</v>
      </c>
      <c r="E840" s="2659">
        <v>244.577</v>
      </c>
      <c r="F840" s="2659">
        <v>243.003443</v>
      </c>
      <c r="G840" s="2659">
        <v>242.84344300000001</v>
      </c>
      <c r="H840" s="2659">
        <v>241.70440400000001</v>
      </c>
      <c r="I840" s="2659">
        <v>240.99536800000001</v>
      </c>
      <c r="J840" s="2659"/>
      <c r="K840" s="2659"/>
      <c r="L840" s="2659"/>
      <c r="M840" s="2659"/>
      <c r="N840" s="2659"/>
      <c r="O840" s="2659"/>
      <c r="P840" s="2659"/>
      <c r="Q840" s="2659"/>
      <c r="R840" s="2667"/>
    </row>
    <row r="841" spans="1:18">
      <c r="A841" s="2651"/>
      <c r="B841" s="2654" t="s">
        <v>9486</v>
      </c>
      <c r="C841" s="2652" t="s">
        <v>9065</v>
      </c>
      <c r="D841" s="2659">
        <v>244.96199999999999</v>
      </c>
      <c r="E841" s="2659">
        <v>244.68199999999999</v>
      </c>
      <c r="F841" s="2659">
        <v>243.66296199999999</v>
      </c>
      <c r="G841" s="2659">
        <v>243.450962</v>
      </c>
      <c r="H841" s="2659">
        <v>242.79693599999999</v>
      </c>
      <c r="I841" s="2659">
        <v>242.21891199999999</v>
      </c>
      <c r="J841" s="2659"/>
      <c r="K841" s="2659" t="s">
        <v>9066</v>
      </c>
      <c r="L841" s="2659">
        <v>242.834936</v>
      </c>
      <c r="M841" s="2659">
        <v>243.209936</v>
      </c>
      <c r="N841" s="2659">
        <v>243.700962</v>
      </c>
      <c r="O841" s="2659">
        <v>243.98080200000001</v>
      </c>
      <c r="P841" s="2659">
        <v>245</v>
      </c>
      <c r="Q841" s="2659">
        <v>245.56851599999999</v>
      </c>
      <c r="R841" s="2667">
        <v>220</v>
      </c>
    </row>
    <row r="842" spans="1:18">
      <c r="A842" s="2651"/>
      <c r="B842" s="2654" t="s">
        <v>9486</v>
      </c>
      <c r="C842" s="2652" t="s">
        <v>9067</v>
      </c>
      <c r="D842" s="2659">
        <v>244.96199999999999</v>
      </c>
      <c r="E842" s="2659">
        <v>244.68199999999999</v>
      </c>
      <c r="F842" s="2659">
        <v>243.66296199999999</v>
      </c>
      <c r="G842" s="2659">
        <v>243.53096199999999</v>
      </c>
      <c r="H842" s="2659">
        <v>242.79693599999999</v>
      </c>
      <c r="I842" s="2659">
        <v>242.298912</v>
      </c>
      <c r="J842" s="2659"/>
      <c r="K842" s="2659"/>
      <c r="L842" s="2659"/>
      <c r="M842" s="2659"/>
      <c r="N842" s="2659"/>
      <c r="O842" s="2659"/>
      <c r="P842" s="2659"/>
      <c r="Q842" s="2659"/>
      <c r="R842" s="2667"/>
    </row>
    <row r="843" spans="1:18">
      <c r="A843" s="2651">
        <v>250</v>
      </c>
      <c r="B843" s="2654" t="s">
        <v>9487</v>
      </c>
      <c r="C843" s="2652" t="s">
        <v>9065</v>
      </c>
      <c r="D843" s="2659">
        <v>249.9</v>
      </c>
      <c r="E843" s="2659">
        <v>249.19</v>
      </c>
      <c r="F843" s="2659">
        <v>244.70384799999999</v>
      </c>
      <c r="G843" s="2659">
        <v>244.348848</v>
      </c>
      <c r="H843" s="2659">
        <v>241.239744</v>
      </c>
      <c r="I843" s="2659">
        <v>239.420648</v>
      </c>
      <c r="J843" s="2659"/>
      <c r="K843" s="2659" t="s">
        <v>9066</v>
      </c>
      <c r="L843" s="2659">
        <v>241.339744</v>
      </c>
      <c r="M843" s="2659">
        <v>242.339744</v>
      </c>
      <c r="N843" s="2659">
        <v>244.80384799999999</v>
      </c>
      <c r="O843" s="2659">
        <v>245.27884800000001</v>
      </c>
      <c r="P843" s="2659">
        <v>250</v>
      </c>
      <c r="Q843" s="2659">
        <v>251.629704</v>
      </c>
      <c r="R843" s="2667">
        <v>225</v>
      </c>
    </row>
    <row r="844" spans="1:18">
      <c r="A844" s="2651"/>
      <c r="B844" s="2654" t="s">
        <v>9487</v>
      </c>
      <c r="C844" s="2652" t="s">
        <v>9067</v>
      </c>
      <c r="D844" s="2659">
        <v>249.9</v>
      </c>
      <c r="E844" s="2659">
        <v>249.19</v>
      </c>
      <c r="F844" s="2659">
        <v>244.70384799999999</v>
      </c>
      <c r="G844" s="2659">
        <v>244.479848</v>
      </c>
      <c r="H844" s="2659">
        <v>241.239744</v>
      </c>
      <c r="I844" s="2659">
        <v>239.551648</v>
      </c>
      <c r="J844" s="2659"/>
      <c r="K844" s="2659"/>
      <c r="L844" s="2659"/>
      <c r="M844" s="2659"/>
      <c r="N844" s="2659"/>
      <c r="O844" s="2659"/>
      <c r="P844" s="2659"/>
      <c r="Q844" s="2659"/>
      <c r="R844" s="2667"/>
    </row>
    <row r="845" spans="1:18">
      <c r="A845" s="2651"/>
      <c r="B845" s="2654" t="s">
        <v>9488</v>
      </c>
      <c r="C845" s="2652" t="s">
        <v>9065</v>
      </c>
      <c r="D845" s="2659">
        <v>249.92</v>
      </c>
      <c r="E845" s="2659">
        <v>249.32</v>
      </c>
      <c r="F845" s="2659">
        <v>246.022886</v>
      </c>
      <c r="G845" s="2659">
        <v>245.707886</v>
      </c>
      <c r="H845" s="2659">
        <v>243.42480800000001</v>
      </c>
      <c r="I845" s="2659">
        <v>242.01173600000001</v>
      </c>
      <c r="J845" s="2659"/>
      <c r="K845" s="2659" t="s">
        <v>9066</v>
      </c>
      <c r="L845" s="2659">
        <v>243.504808</v>
      </c>
      <c r="M845" s="2659">
        <v>244.30480800000001</v>
      </c>
      <c r="N845" s="2659">
        <v>246.10288600000001</v>
      </c>
      <c r="O845" s="2659">
        <v>246.527886</v>
      </c>
      <c r="P845" s="2659">
        <v>250</v>
      </c>
      <c r="Q845" s="2659">
        <v>251.29102800000001</v>
      </c>
      <c r="R845" s="2667">
        <v>225</v>
      </c>
    </row>
    <row r="846" spans="1:18">
      <c r="A846" s="2651"/>
      <c r="B846" s="2654" t="s">
        <v>9488</v>
      </c>
      <c r="C846" s="2652" t="s">
        <v>9067</v>
      </c>
      <c r="D846" s="2659">
        <v>249.92</v>
      </c>
      <c r="E846" s="2659">
        <v>249.32</v>
      </c>
      <c r="F846" s="2659">
        <v>246.022886</v>
      </c>
      <c r="G846" s="2659">
        <v>245.82288600000001</v>
      </c>
      <c r="H846" s="2659">
        <v>243.42480800000001</v>
      </c>
      <c r="I846" s="2659">
        <v>242.12673599999999</v>
      </c>
      <c r="J846" s="2659"/>
      <c r="K846" s="2659"/>
      <c r="L846" s="2659"/>
      <c r="M846" s="2659"/>
      <c r="N846" s="2659"/>
      <c r="O846" s="2659"/>
      <c r="P846" s="2659"/>
      <c r="Q846" s="2659"/>
      <c r="R846" s="2667"/>
    </row>
    <row r="847" spans="1:18">
      <c r="A847" s="2651"/>
      <c r="B847" s="2654" t="s">
        <v>9489</v>
      </c>
      <c r="C847" s="2652" t="s">
        <v>9065</v>
      </c>
      <c r="D847" s="2659">
        <v>249.94</v>
      </c>
      <c r="E847" s="2659">
        <v>249.465</v>
      </c>
      <c r="F847" s="2659">
        <v>247.34192400000001</v>
      </c>
      <c r="G847" s="2659">
        <v>247.061924</v>
      </c>
      <c r="H847" s="2659">
        <v>245.609872</v>
      </c>
      <c r="I847" s="2659">
        <v>244.597824</v>
      </c>
      <c r="J847" s="2659"/>
      <c r="K847" s="2659" t="s">
        <v>9066</v>
      </c>
      <c r="L847" s="2659">
        <v>245.669872</v>
      </c>
      <c r="M847" s="2659">
        <v>246.26987199999999</v>
      </c>
      <c r="N847" s="2659">
        <v>247.40192400000001</v>
      </c>
      <c r="O847" s="2659">
        <v>247.77692400000001</v>
      </c>
      <c r="P847" s="2659">
        <v>250</v>
      </c>
      <c r="Q847" s="2659">
        <v>250.95235199999999</v>
      </c>
      <c r="R847" s="2667">
        <v>225</v>
      </c>
    </row>
    <row r="848" spans="1:18">
      <c r="A848" s="2651"/>
      <c r="B848" s="2654" t="s">
        <v>9489</v>
      </c>
      <c r="C848" s="2652" t="s">
        <v>9067</v>
      </c>
      <c r="D848" s="2659">
        <v>249.94</v>
      </c>
      <c r="E848" s="2659">
        <v>249.465</v>
      </c>
      <c r="F848" s="2659">
        <v>247.34192400000001</v>
      </c>
      <c r="G848" s="2659">
        <v>247.161924</v>
      </c>
      <c r="H848" s="2659">
        <v>245.609872</v>
      </c>
      <c r="I848" s="2659">
        <v>244.697824</v>
      </c>
      <c r="J848" s="2659"/>
      <c r="K848" s="2659"/>
      <c r="L848" s="2659"/>
      <c r="M848" s="2659"/>
      <c r="N848" s="2659"/>
      <c r="O848" s="2659"/>
      <c r="P848" s="2659"/>
      <c r="Q848" s="2659"/>
      <c r="R848" s="2667"/>
    </row>
    <row r="849" spans="1:18">
      <c r="A849" s="2651"/>
      <c r="B849" s="2658" t="s">
        <v>9490</v>
      </c>
      <c r="C849" s="2652" t="s">
        <v>9065</v>
      </c>
      <c r="D849" s="2659">
        <v>249.952</v>
      </c>
      <c r="E849" s="2659">
        <v>249.577</v>
      </c>
      <c r="F849" s="2659">
        <v>248.003443</v>
      </c>
      <c r="G849" s="2659">
        <v>247.753443</v>
      </c>
      <c r="H849" s="2659">
        <v>246.70440400000001</v>
      </c>
      <c r="I849" s="2659">
        <v>245.90536800000001</v>
      </c>
      <c r="J849" s="2659"/>
      <c r="K849" s="2659" t="s">
        <v>9066</v>
      </c>
      <c r="L849" s="2659">
        <v>246.75240400000001</v>
      </c>
      <c r="M849" s="2659">
        <v>247.25240400000001</v>
      </c>
      <c r="N849" s="2659">
        <v>248.05144300000001</v>
      </c>
      <c r="O849" s="2659">
        <v>248.38644300000001</v>
      </c>
      <c r="P849" s="2659">
        <v>250</v>
      </c>
      <c r="Q849" s="2659">
        <v>250.76801399999999</v>
      </c>
      <c r="R849" s="2667">
        <v>225</v>
      </c>
    </row>
    <row r="850" spans="1:18">
      <c r="A850" s="2651"/>
      <c r="B850" s="2658" t="s">
        <v>9490</v>
      </c>
      <c r="C850" s="2652" t="s">
        <v>9067</v>
      </c>
      <c r="D850" s="2659">
        <v>249.952</v>
      </c>
      <c r="E850" s="2659">
        <v>249.577</v>
      </c>
      <c r="F850" s="2659">
        <v>248.003443</v>
      </c>
      <c r="G850" s="2659">
        <v>247.84344300000001</v>
      </c>
      <c r="H850" s="2659">
        <v>246.70440400000001</v>
      </c>
      <c r="I850" s="2659">
        <v>245.99536800000001</v>
      </c>
      <c r="J850" s="2659"/>
      <c r="K850" s="2659"/>
      <c r="L850" s="2659"/>
      <c r="M850" s="2659"/>
      <c r="N850" s="2659"/>
      <c r="O850" s="2659"/>
      <c r="P850" s="2659"/>
      <c r="Q850" s="2659"/>
      <c r="R850" s="2667"/>
    </row>
    <row r="851" spans="1:18">
      <c r="A851" s="2651"/>
      <c r="B851" s="2654" t="s">
        <v>9491</v>
      </c>
      <c r="C851" s="2652" t="s">
        <v>9065</v>
      </c>
      <c r="D851" s="2659">
        <v>249.96199999999999</v>
      </c>
      <c r="E851" s="2659">
        <v>249.68199999999999</v>
      </c>
      <c r="F851" s="2659">
        <v>248.66296199999999</v>
      </c>
      <c r="G851" s="2659">
        <v>248.450962</v>
      </c>
      <c r="H851" s="2659">
        <v>247.79693599999999</v>
      </c>
      <c r="I851" s="2659">
        <v>247.21891199999999</v>
      </c>
      <c r="J851" s="2659"/>
      <c r="K851" s="2659" t="s">
        <v>9066</v>
      </c>
      <c r="L851" s="2659">
        <v>247.834936</v>
      </c>
      <c r="M851" s="2659">
        <v>248.209936</v>
      </c>
      <c r="N851" s="2659">
        <v>248.700962</v>
      </c>
      <c r="O851" s="2659">
        <v>248.98080200000001</v>
      </c>
      <c r="P851" s="2659">
        <v>250</v>
      </c>
      <c r="Q851" s="2659">
        <v>250.56851599999999</v>
      </c>
      <c r="R851" s="2667">
        <v>225</v>
      </c>
    </row>
    <row r="852" spans="1:18">
      <c r="A852" s="2651"/>
      <c r="B852" s="2654" t="s">
        <v>9491</v>
      </c>
      <c r="C852" s="2652" t="s">
        <v>9067</v>
      </c>
      <c r="D852" s="2659">
        <v>249.96199999999999</v>
      </c>
      <c r="E852" s="2659">
        <v>249.68199999999999</v>
      </c>
      <c r="F852" s="2659">
        <v>248.66296199999999</v>
      </c>
      <c r="G852" s="2659">
        <v>248.53096199999999</v>
      </c>
      <c r="H852" s="2659">
        <v>247.79693599999999</v>
      </c>
      <c r="I852" s="2659">
        <v>247.298912</v>
      </c>
      <c r="J852" s="2659"/>
      <c r="K852" s="2659"/>
      <c r="L852" s="2659"/>
      <c r="M852" s="2659"/>
      <c r="N852" s="2659"/>
      <c r="O852" s="2659"/>
      <c r="P852" s="2659"/>
      <c r="Q852" s="2659"/>
      <c r="R852" s="2667"/>
    </row>
    <row r="853" spans="1:18">
      <c r="A853" s="2651">
        <v>255</v>
      </c>
      <c r="B853" s="2654" t="s">
        <v>9492</v>
      </c>
      <c r="C853" s="2652" t="s">
        <v>9065</v>
      </c>
      <c r="D853" s="2659">
        <v>254.92</v>
      </c>
      <c r="E853" s="2659">
        <v>254.32</v>
      </c>
      <c r="F853" s="2659">
        <v>251.022886</v>
      </c>
      <c r="G853" s="2659">
        <v>250.66788600000001</v>
      </c>
      <c r="H853" s="2659">
        <v>248.42480800000001</v>
      </c>
      <c r="I853" s="2659">
        <v>246.97173599999999</v>
      </c>
      <c r="J853" s="2659"/>
      <c r="K853" s="2659" t="s">
        <v>9066</v>
      </c>
      <c r="L853" s="2659">
        <v>248.504808</v>
      </c>
      <c r="M853" s="2659">
        <v>249.30480800000001</v>
      </c>
      <c r="N853" s="2659">
        <v>251.10288600000001</v>
      </c>
      <c r="O853" s="2659">
        <v>251.57788600000001</v>
      </c>
      <c r="P853" s="2659">
        <v>255</v>
      </c>
      <c r="Q853" s="2659">
        <v>256.34102799999999</v>
      </c>
      <c r="R853" s="2667">
        <v>230</v>
      </c>
    </row>
    <row r="854" spans="1:18">
      <c r="A854" s="2651"/>
      <c r="B854" s="2654" t="s">
        <v>9492</v>
      </c>
      <c r="C854" s="2652" t="s">
        <v>9067</v>
      </c>
      <c r="D854" s="2659">
        <v>254.92</v>
      </c>
      <c r="E854" s="2659">
        <v>254.32</v>
      </c>
      <c r="F854" s="2659">
        <v>251.022886</v>
      </c>
      <c r="G854" s="2659">
        <v>250.79888600000001</v>
      </c>
      <c r="H854" s="2659">
        <v>248.42480800000001</v>
      </c>
      <c r="I854" s="2659">
        <v>247.10273599999999</v>
      </c>
      <c r="J854" s="2659"/>
      <c r="K854" s="2659"/>
      <c r="L854" s="2659"/>
      <c r="M854" s="2659"/>
      <c r="N854" s="2659"/>
      <c r="O854" s="2659"/>
      <c r="P854" s="2659"/>
      <c r="Q854" s="2659"/>
      <c r="R854" s="2667"/>
    </row>
    <row r="855" spans="1:18">
      <c r="A855" s="2651"/>
      <c r="B855" s="2654" t="s">
        <v>9493</v>
      </c>
      <c r="C855" s="2652" t="s">
        <v>9065</v>
      </c>
      <c r="D855" s="2659">
        <v>254.94</v>
      </c>
      <c r="E855" s="2659">
        <v>254.465</v>
      </c>
      <c r="F855" s="2659">
        <v>252.34192400000001</v>
      </c>
      <c r="G855" s="2659">
        <v>252.061924</v>
      </c>
      <c r="H855" s="2659">
        <v>250.609872</v>
      </c>
      <c r="I855" s="2659">
        <v>249.597824</v>
      </c>
      <c r="J855" s="2659"/>
      <c r="K855" s="2659" t="s">
        <v>9066</v>
      </c>
      <c r="L855" s="2659">
        <v>250.669872</v>
      </c>
      <c r="M855" s="2659">
        <v>251.26987199999999</v>
      </c>
      <c r="N855" s="2659">
        <v>252.40192400000001</v>
      </c>
      <c r="O855" s="2659">
        <v>252.77692400000001</v>
      </c>
      <c r="P855" s="2659">
        <v>255</v>
      </c>
      <c r="Q855" s="2659">
        <v>255.95235199999999</v>
      </c>
      <c r="R855" s="2667">
        <v>230</v>
      </c>
    </row>
    <row r="856" spans="1:18">
      <c r="A856" s="2651"/>
      <c r="B856" s="2654" t="s">
        <v>9493</v>
      </c>
      <c r="C856" s="2652" t="s">
        <v>9067</v>
      </c>
      <c r="D856" s="2659">
        <v>254.94</v>
      </c>
      <c r="E856" s="2659">
        <v>254.465</v>
      </c>
      <c r="F856" s="2659">
        <v>252.34192400000001</v>
      </c>
      <c r="G856" s="2659">
        <v>252.161924</v>
      </c>
      <c r="H856" s="2659">
        <v>250.609872</v>
      </c>
      <c r="I856" s="2659">
        <v>249.697824</v>
      </c>
      <c r="J856" s="2659"/>
      <c r="K856" s="2659"/>
      <c r="L856" s="2659"/>
      <c r="M856" s="2659"/>
      <c r="N856" s="2659"/>
      <c r="O856" s="2659"/>
      <c r="P856" s="2659"/>
      <c r="Q856" s="2659"/>
      <c r="R856" s="2667"/>
    </row>
    <row r="857" spans="1:18">
      <c r="A857" s="2651"/>
      <c r="B857" s="2654" t="s">
        <v>9494</v>
      </c>
      <c r="C857" s="2652" t="s">
        <v>9065</v>
      </c>
      <c r="D857" s="2659">
        <v>254.952</v>
      </c>
      <c r="E857" s="2659">
        <v>254.577</v>
      </c>
      <c r="F857" s="2659">
        <v>253.003443</v>
      </c>
      <c r="G857" s="2659">
        <v>252.753443</v>
      </c>
      <c r="H857" s="2659">
        <v>251.70440400000001</v>
      </c>
      <c r="I857" s="2659">
        <v>250.90536800000001</v>
      </c>
      <c r="J857" s="2659"/>
      <c r="K857" s="2659" t="s">
        <v>9066</v>
      </c>
      <c r="L857" s="2659">
        <v>251.75240400000001</v>
      </c>
      <c r="M857" s="2659">
        <v>252.25240400000001</v>
      </c>
      <c r="N857" s="2659">
        <v>253.05144300000001</v>
      </c>
      <c r="O857" s="2659">
        <v>253.38644300000001</v>
      </c>
      <c r="P857" s="2659">
        <v>255</v>
      </c>
      <c r="Q857" s="2659">
        <v>255.76801399999999</v>
      </c>
      <c r="R857" s="2667">
        <v>230</v>
      </c>
    </row>
    <row r="858" spans="1:18">
      <c r="A858" s="2651"/>
      <c r="B858" s="2654" t="s">
        <v>9494</v>
      </c>
      <c r="C858" s="2652" t="s">
        <v>9067</v>
      </c>
      <c r="D858" s="2659">
        <v>254.952</v>
      </c>
      <c r="E858" s="2659">
        <v>254.577</v>
      </c>
      <c r="F858" s="2659">
        <v>253.003443</v>
      </c>
      <c r="G858" s="2659">
        <v>252.84344300000001</v>
      </c>
      <c r="H858" s="2659">
        <v>251.70440400000001</v>
      </c>
      <c r="I858" s="2659">
        <v>250.99536800000001</v>
      </c>
      <c r="J858" s="2659"/>
      <c r="K858" s="2659"/>
      <c r="L858" s="2659"/>
      <c r="M858" s="2659"/>
      <c r="N858" s="2659"/>
      <c r="O858" s="2659"/>
      <c r="P858" s="2659"/>
      <c r="Q858" s="2659"/>
      <c r="R858" s="2667"/>
    </row>
    <row r="859" spans="1:18">
      <c r="A859" s="2651">
        <v>260</v>
      </c>
      <c r="B859" s="2654" t="s">
        <v>9495</v>
      </c>
      <c r="C859" s="2652" t="s">
        <v>9065</v>
      </c>
      <c r="D859" s="2659">
        <v>259.89999999999998</v>
      </c>
      <c r="E859" s="2659">
        <v>259.19</v>
      </c>
      <c r="F859" s="2659">
        <v>254.70384799999999</v>
      </c>
      <c r="G859" s="2659">
        <v>254.348848</v>
      </c>
      <c r="H859" s="2659">
        <v>251.239744</v>
      </c>
      <c r="I859" s="2659">
        <v>249.420648</v>
      </c>
      <c r="J859" s="2659"/>
      <c r="K859" s="2659" t="s">
        <v>9066</v>
      </c>
      <c r="L859" s="2659">
        <v>251.339744</v>
      </c>
      <c r="M859" s="2659">
        <v>252.339744</v>
      </c>
      <c r="N859" s="2659">
        <v>254.80384799999999</v>
      </c>
      <c r="O859" s="2659">
        <v>255.27884800000001</v>
      </c>
      <c r="P859" s="2659">
        <v>260</v>
      </c>
      <c r="Q859" s="2659">
        <v>261.629704</v>
      </c>
      <c r="R859" s="2667">
        <v>234</v>
      </c>
    </row>
    <row r="860" spans="1:18">
      <c r="A860" s="2651"/>
      <c r="B860" s="2654" t="s">
        <v>9495</v>
      </c>
      <c r="C860" s="2652" t="s">
        <v>9067</v>
      </c>
      <c r="D860" s="2659">
        <v>259.89999999999998</v>
      </c>
      <c r="E860" s="2659">
        <v>259.19</v>
      </c>
      <c r="F860" s="2659">
        <v>254.70384799999999</v>
      </c>
      <c r="G860" s="2659">
        <v>254.479848</v>
      </c>
      <c r="H860" s="2659">
        <v>251.239744</v>
      </c>
      <c r="I860" s="2659">
        <v>249.551648</v>
      </c>
      <c r="J860" s="2659"/>
      <c r="K860" s="2659"/>
      <c r="L860" s="2659"/>
      <c r="M860" s="2659"/>
      <c r="N860" s="2659"/>
      <c r="O860" s="2659"/>
      <c r="P860" s="2659"/>
      <c r="Q860" s="2659"/>
      <c r="R860" s="2667"/>
    </row>
    <row r="861" spans="1:18">
      <c r="A861" s="2651"/>
      <c r="B861" s="2654" t="s">
        <v>9496</v>
      </c>
      <c r="C861" s="2652" t="s">
        <v>9065</v>
      </c>
      <c r="D861" s="2659">
        <v>259.92</v>
      </c>
      <c r="E861" s="2659">
        <v>259.32</v>
      </c>
      <c r="F861" s="2659">
        <v>256.02288600000003</v>
      </c>
      <c r="G861" s="2659">
        <v>255.707886</v>
      </c>
      <c r="H861" s="2659">
        <v>253.42480800000001</v>
      </c>
      <c r="I861" s="2659">
        <v>252.01173600000001</v>
      </c>
      <c r="J861" s="2659"/>
      <c r="K861" s="2659" t="s">
        <v>9066</v>
      </c>
      <c r="L861" s="2659">
        <v>253.504808</v>
      </c>
      <c r="M861" s="2659">
        <v>254.30480800000001</v>
      </c>
      <c r="N861" s="2659">
        <v>256.10288600000001</v>
      </c>
      <c r="O861" s="2659">
        <v>256.52788600000002</v>
      </c>
      <c r="P861" s="2659">
        <v>260</v>
      </c>
      <c r="Q861" s="2659">
        <v>261.29102799999998</v>
      </c>
      <c r="R861" s="2667">
        <v>234</v>
      </c>
    </row>
    <row r="862" spans="1:18">
      <c r="A862" s="2651"/>
      <c r="B862" s="2654" t="s">
        <v>9496</v>
      </c>
      <c r="C862" s="2652" t="s">
        <v>9067</v>
      </c>
      <c r="D862" s="2659">
        <v>259.92</v>
      </c>
      <c r="E862" s="2659">
        <v>259.32</v>
      </c>
      <c r="F862" s="2659">
        <v>256.02288600000003</v>
      </c>
      <c r="G862" s="2659">
        <v>255.82288600000001</v>
      </c>
      <c r="H862" s="2659">
        <v>253.42480800000001</v>
      </c>
      <c r="I862" s="2659">
        <v>252.12673599999999</v>
      </c>
      <c r="J862" s="2659"/>
      <c r="K862" s="2659"/>
      <c r="L862" s="2659"/>
      <c r="M862" s="2659"/>
      <c r="N862" s="2659"/>
      <c r="O862" s="2659"/>
      <c r="P862" s="2659"/>
      <c r="Q862" s="2659"/>
      <c r="R862" s="2667"/>
    </row>
    <row r="863" spans="1:18">
      <c r="A863" s="2651"/>
      <c r="B863" s="2654" t="s">
        <v>9497</v>
      </c>
      <c r="C863" s="2652" t="s">
        <v>9065</v>
      </c>
      <c r="D863" s="2659">
        <v>259.94</v>
      </c>
      <c r="E863" s="2659">
        <v>259.46499999999997</v>
      </c>
      <c r="F863" s="2659">
        <v>257.34192400000001</v>
      </c>
      <c r="G863" s="2659">
        <v>257.06192399999998</v>
      </c>
      <c r="H863" s="2659">
        <v>255.609872</v>
      </c>
      <c r="I863" s="2659">
        <v>254.597824</v>
      </c>
      <c r="J863" s="2659"/>
      <c r="K863" s="2659" t="s">
        <v>9066</v>
      </c>
      <c r="L863" s="2659">
        <v>255.669872</v>
      </c>
      <c r="M863" s="2659">
        <v>256.26987200000002</v>
      </c>
      <c r="N863" s="2659">
        <v>257.40192400000001</v>
      </c>
      <c r="O863" s="2659">
        <v>257.77692400000001</v>
      </c>
      <c r="P863" s="2659">
        <v>260</v>
      </c>
      <c r="Q863" s="2659">
        <v>260.95235200000002</v>
      </c>
      <c r="R863" s="2667">
        <v>234</v>
      </c>
    </row>
    <row r="864" spans="1:18">
      <c r="A864" s="2651"/>
      <c r="B864" s="2654" t="s">
        <v>9497</v>
      </c>
      <c r="C864" s="2652" t="s">
        <v>9067</v>
      </c>
      <c r="D864" s="2659">
        <v>259.94</v>
      </c>
      <c r="E864" s="2659">
        <v>259.46499999999997</v>
      </c>
      <c r="F864" s="2659">
        <v>257.34192400000001</v>
      </c>
      <c r="G864" s="2659">
        <v>257.161924</v>
      </c>
      <c r="H864" s="2659">
        <v>255.609872</v>
      </c>
      <c r="I864" s="2659">
        <v>254.697824</v>
      </c>
      <c r="J864" s="2659"/>
      <c r="K864" s="2659"/>
      <c r="L864" s="2659"/>
      <c r="M864" s="2659"/>
      <c r="N864" s="2659"/>
      <c r="O864" s="2659"/>
      <c r="P864" s="2659"/>
      <c r="Q864" s="2659"/>
      <c r="R864" s="2667"/>
    </row>
    <row r="865" spans="1:18">
      <c r="A865" s="2651"/>
      <c r="B865" s="2658" t="s">
        <v>9498</v>
      </c>
      <c r="C865" s="2652" t="s">
        <v>9065</v>
      </c>
      <c r="D865" s="2659">
        <v>259.952</v>
      </c>
      <c r="E865" s="2659">
        <v>259.577</v>
      </c>
      <c r="F865" s="2659">
        <v>258.003443</v>
      </c>
      <c r="G865" s="2659">
        <v>257.753443</v>
      </c>
      <c r="H865" s="2659">
        <v>256.70440400000001</v>
      </c>
      <c r="I865" s="2659">
        <v>255.90536800000001</v>
      </c>
      <c r="J865" s="2659"/>
      <c r="K865" s="2659" t="s">
        <v>9066</v>
      </c>
      <c r="L865" s="2659">
        <v>256.75240400000001</v>
      </c>
      <c r="M865" s="2659">
        <v>257.25240400000001</v>
      </c>
      <c r="N865" s="2659">
        <v>258.05144300000001</v>
      </c>
      <c r="O865" s="2659">
        <v>258.38644299999999</v>
      </c>
      <c r="P865" s="2659">
        <v>260</v>
      </c>
      <c r="Q865" s="2659">
        <v>260.76801399999999</v>
      </c>
      <c r="R865" s="2667">
        <v>234</v>
      </c>
    </row>
    <row r="866" spans="1:18">
      <c r="A866" s="2651"/>
      <c r="B866" s="2658" t="s">
        <v>9498</v>
      </c>
      <c r="C866" s="2652" t="s">
        <v>9067</v>
      </c>
      <c r="D866" s="2659">
        <v>259.952</v>
      </c>
      <c r="E866" s="2659">
        <v>259.577</v>
      </c>
      <c r="F866" s="2659">
        <v>258.003443</v>
      </c>
      <c r="G866" s="2659">
        <v>257.84344299999998</v>
      </c>
      <c r="H866" s="2659">
        <v>256.70440400000001</v>
      </c>
      <c r="I866" s="2659">
        <v>255.99536800000001</v>
      </c>
      <c r="J866" s="2659"/>
      <c r="K866" s="2659"/>
      <c r="L866" s="2659"/>
      <c r="M866" s="2659"/>
      <c r="N866" s="2659"/>
      <c r="O866" s="2659"/>
      <c r="P866" s="2659"/>
      <c r="Q866" s="2659"/>
      <c r="R866" s="2667"/>
    </row>
    <row r="867" spans="1:18">
      <c r="A867" s="2651">
        <v>265</v>
      </c>
      <c r="B867" s="2654" t="s">
        <v>9499</v>
      </c>
      <c r="C867" s="2652" t="s">
        <v>9065</v>
      </c>
      <c r="D867" s="2659">
        <v>264.92</v>
      </c>
      <c r="E867" s="2659">
        <v>264.32</v>
      </c>
      <c r="F867" s="2659">
        <v>261.02288600000003</v>
      </c>
      <c r="G867" s="2659">
        <v>260.70788599999997</v>
      </c>
      <c r="H867" s="2659">
        <v>258.42480799999998</v>
      </c>
      <c r="I867" s="2659">
        <v>257.01173599999998</v>
      </c>
      <c r="J867" s="2659"/>
      <c r="K867" s="2659" t="s">
        <v>9066</v>
      </c>
      <c r="L867" s="2659">
        <v>258.50480800000003</v>
      </c>
      <c r="M867" s="2659">
        <v>259.30480799999998</v>
      </c>
      <c r="N867" s="2659">
        <v>261.10288600000001</v>
      </c>
      <c r="O867" s="2659">
        <v>261.52788600000002</v>
      </c>
      <c r="P867" s="2659">
        <v>265</v>
      </c>
      <c r="Q867" s="2659">
        <v>266.29102799999998</v>
      </c>
      <c r="R867" s="2667">
        <v>238</v>
      </c>
    </row>
    <row r="868" spans="1:18">
      <c r="A868" s="2651"/>
      <c r="B868" s="2654" t="s">
        <v>9499</v>
      </c>
      <c r="C868" s="2652" t="s">
        <v>9067</v>
      </c>
      <c r="D868" s="2659">
        <v>264.92</v>
      </c>
      <c r="E868" s="2659">
        <v>264.32</v>
      </c>
      <c r="F868" s="2659">
        <v>261.02288600000003</v>
      </c>
      <c r="G868" s="2659">
        <v>260.82288599999998</v>
      </c>
      <c r="H868" s="2659">
        <v>258.42480799999998</v>
      </c>
      <c r="I868" s="2659">
        <v>257.12673599999999</v>
      </c>
      <c r="J868" s="2659"/>
      <c r="K868" s="2659"/>
      <c r="L868" s="2659"/>
      <c r="M868" s="2659"/>
      <c r="N868" s="2659"/>
      <c r="O868" s="2659"/>
      <c r="P868" s="2659"/>
      <c r="Q868" s="2659"/>
      <c r="R868" s="2667"/>
    </row>
    <row r="869" spans="1:18">
      <c r="A869" s="2651"/>
      <c r="B869" s="2654" t="s">
        <v>9500</v>
      </c>
      <c r="C869" s="2652" t="s">
        <v>9065</v>
      </c>
      <c r="D869" s="2659">
        <v>264.94</v>
      </c>
      <c r="E869" s="2659">
        <v>264.46499999999997</v>
      </c>
      <c r="F869" s="2659">
        <v>262.34192400000001</v>
      </c>
      <c r="G869" s="2659">
        <v>262.06192399999998</v>
      </c>
      <c r="H869" s="2659">
        <v>260.609872</v>
      </c>
      <c r="I869" s="2659">
        <v>259.597824</v>
      </c>
      <c r="J869" s="2659"/>
      <c r="K869" s="2659" t="s">
        <v>9066</v>
      </c>
      <c r="L869" s="2659">
        <v>260.669872</v>
      </c>
      <c r="M869" s="2659">
        <v>261.26987200000002</v>
      </c>
      <c r="N869" s="2659">
        <v>262.40192400000001</v>
      </c>
      <c r="O869" s="2659">
        <v>262.77692400000001</v>
      </c>
      <c r="P869" s="2659">
        <v>265</v>
      </c>
      <c r="Q869" s="2659">
        <v>265.95235200000002</v>
      </c>
      <c r="R869" s="2667">
        <v>238</v>
      </c>
    </row>
    <row r="870" spans="1:18">
      <c r="A870" s="2651"/>
      <c r="B870" s="2654" t="s">
        <v>9500</v>
      </c>
      <c r="C870" s="2652" t="s">
        <v>9067</v>
      </c>
      <c r="D870" s="2659">
        <v>264.94</v>
      </c>
      <c r="E870" s="2659">
        <v>264.46499999999997</v>
      </c>
      <c r="F870" s="2659">
        <v>262.34192400000001</v>
      </c>
      <c r="G870" s="2659">
        <v>262.161924</v>
      </c>
      <c r="H870" s="2659">
        <v>260.609872</v>
      </c>
      <c r="I870" s="2659">
        <v>259.69782400000003</v>
      </c>
      <c r="J870" s="2659"/>
      <c r="K870" s="2659"/>
      <c r="L870" s="2659"/>
      <c r="M870" s="2659"/>
      <c r="N870" s="2659"/>
      <c r="O870" s="2659"/>
      <c r="P870" s="2659"/>
      <c r="Q870" s="2659"/>
      <c r="R870" s="2667"/>
    </row>
    <row r="871" spans="1:18">
      <c r="A871" s="2651"/>
      <c r="B871" s="2654" t="s">
        <v>9501</v>
      </c>
      <c r="C871" s="2652" t="s">
        <v>9065</v>
      </c>
      <c r="D871" s="2659">
        <v>264.952</v>
      </c>
      <c r="E871" s="2659">
        <v>264.577</v>
      </c>
      <c r="F871" s="2659">
        <v>263.003443</v>
      </c>
      <c r="G871" s="2659">
        <v>262.753443</v>
      </c>
      <c r="H871" s="2659">
        <v>261.70440400000001</v>
      </c>
      <c r="I871" s="2659">
        <v>260.90536800000001</v>
      </c>
      <c r="J871" s="2659"/>
      <c r="K871" s="2659" t="s">
        <v>9066</v>
      </c>
      <c r="L871" s="2659">
        <v>261.75240400000001</v>
      </c>
      <c r="M871" s="2659">
        <v>262.25240400000001</v>
      </c>
      <c r="N871" s="2659">
        <v>263.05144300000001</v>
      </c>
      <c r="O871" s="2659">
        <v>263.38644299999999</v>
      </c>
      <c r="P871" s="2659">
        <v>265</v>
      </c>
      <c r="Q871" s="2659">
        <v>265.76801399999999</v>
      </c>
      <c r="R871" s="2667">
        <v>238</v>
      </c>
    </row>
    <row r="872" spans="1:18">
      <c r="A872" s="2651"/>
      <c r="B872" s="2654" t="s">
        <v>9501</v>
      </c>
      <c r="C872" s="2652" t="s">
        <v>9067</v>
      </c>
      <c r="D872" s="2659">
        <v>264.952</v>
      </c>
      <c r="E872" s="2659">
        <v>264.577</v>
      </c>
      <c r="F872" s="2659">
        <v>263.003443</v>
      </c>
      <c r="G872" s="2659">
        <v>262.84344299999998</v>
      </c>
      <c r="H872" s="2659">
        <v>261.70440400000001</v>
      </c>
      <c r="I872" s="2659">
        <v>260.99536799999998</v>
      </c>
      <c r="J872" s="2659"/>
      <c r="K872" s="2659"/>
      <c r="L872" s="2659"/>
      <c r="M872" s="2659"/>
      <c r="N872" s="2659"/>
      <c r="O872" s="2659"/>
      <c r="P872" s="2659"/>
      <c r="Q872" s="2659"/>
      <c r="R872" s="2667"/>
    </row>
    <row r="873" spans="1:18">
      <c r="A873" s="2651">
        <v>270</v>
      </c>
      <c r="B873" s="2654" t="s">
        <v>9502</v>
      </c>
      <c r="C873" s="2652" t="s">
        <v>9065</v>
      </c>
      <c r="D873" s="2659">
        <v>269.92</v>
      </c>
      <c r="E873" s="2659">
        <v>269.32</v>
      </c>
      <c r="F873" s="2659">
        <v>266.02288600000003</v>
      </c>
      <c r="G873" s="2659">
        <v>265.70788599999997</v>
      </c>
      <c r="H873" s="2659">
        <v>263.42480799999998</v>
      </c>
      <c r="I873" s="2659">
        <v>262.01173599999998</v>
      </c>
      <c r="J873" s="2659"/>
      <c r="K873" s="2659" t="s">
        <v>9066</v>
      </c>
      <c r="L873" s="2659">
        <v>263.50480800000003</v>
      </c>
      <c r="M873" s="2659">
        <v>264.30480799999998</v>
      </c>
      <c r="N873" s="2659">
        <v>266.10288600000001</v>
      </c>
      <c r="O873" s="2659">
        <v>266.52788600000002</v>
      </c>
      <c r="P873" s="2659">
        <v>270</v>
      </c>
      <c r="Q873" s="2659">
        <v>271.29102799999998</v>
      </c>
      <c r="R873" s="2667">
        <v>243</v>
      </c>
    </row>
    <row r="874" spans="1:18">
      <c r="A874" s="2651"/>
      <c r="B874" s="2654" t="s">
        <v>9502</v>
      </c>
      <c r="C874" s="2652" t="s">
        <v>9067</v>
      </c>
      <c r="D874" s="2659">
        <v>269.92</v>
      </c>
      <c r="E874" s="2659">
        <v>269.32</v>
      </c>
      <c r="F874" s="2659">
        <v>266.02288600000003</v>
      </c>
      <c r="G874" s="2659">
        <v>265.82288599999998</v>
      </c>
      <c r="H874" s="2659">
        <v>263.42480799999998</v>
      </c>
      <c r="I874" s="2659">
        <v>262.12673599999999</v>
      </c>
      <c r="J874" s="2659"/>
      <c r="K874" s="2659"/>
      <c r="L874" s="2659"/>
      <c r="M874" s="2659"/>
      <c r="N874" s="2659"/>
      <c r="O874" s="2659"/>
      <c r="P874" s="2659"/>
      <c r="Q874" s="2659"/>
      <c r="R874" s="2667"/>
    </row>
    <row r="875" spans="1:18">
      <c r="A875" s="2651"/>
      <c r="B875" s="2654" t="s">
        <v>9503</v>
      </c>
      <c r="C875" s="2652" t="s">
        <v>9065</v>
      </c>
      <c r="D875" s="2659">
        <v>269.94</v>
      </c>
      <c r="E875" s="2659">
        <v>269.46499999999997</v>
      </c>
      <c r="F875" s="2659">
        <v>267.34192400000001</v>
      </c>
      <c r="G875" s="2659">
        <v>267.06192399999998</v>
      </c>
      <c r="H875" s="2659">
        <v>265.609872</v>
      </c>
      <c r="I875" s="2659">
        <v>264.597824</v>
      </c>
      <c r="J875" s="2659"/>
      <c r="K875" s="2659" t="s">
        <v>9066</v>
      </c>
      <c r="L875" s="2659">
        <v>265.669872</v>
      </c>
      <c r="M875" s="2659">
        <v>266.26987200000002</v>
      </c>
      <c r="N875" s="2659">
        <v>267.40192400000001</v>
      </c>
      <c r="O875" s="2659">
        <v>267.77692400000001</v>
      </c>
      <c r="P875" s="2659">
        <v>270</v>
      </c>
      <c r="Q875" s="2659">
        <v>270.95235200000002</v>
      </c>
      <c r="R875" s="2667">
        <v>243</v>
      </c>
    </row>
    <row r="876" spans="1:18">
      <c r="A876" s="2651"/>
      <c r="B876" s="2654" t="s">
        <v>9503</v>
      </c>
      <c r="C876" s="2652" t="s">
        <v>9067</v>
      </c>
      <c r="D876" s="2659">
        <v>269.94</v>
      </c>
      <c r="E876" s="2659">
        <v>269.46499999999997</v>
      </c>
      <c r="F876" s="2659">
        <v>267.34192400000001</v>
      </c>
      <c r="G876" s="2659">
        <v>267.161924</v>
      </c>
      <c r="H876" s="2659">
        <v>265.609872</v>
      </c>
      <c r="I876" s="2659">
        <v>264.69782400000003</v>
      </c>
      <c r="J876" s="2659"/>
      <c r="K876" s="2659"/>
      <c r="L876" s="2659"/>
      <c r="M876" s="2659"/>
      <c r="N876" s="2659"/>
      <c r="O876" s="2659"/>
      <c r="P876" s="2659"/>
      <c r="Q876" s="2659"/>
      <c r="R876" s="2667"/>
    </row>
    <row r="877" spans="1:18">
      <c r="A877" s="2651"/>
      <c r="B877" s="2654" t="s">
        <v>9504</v>
      </c>
      <c r="C877" s="2652" t="s">
        <v>9065</v>
      </c>
      <c r="D877" s="2659">
        <v>269.952</v>
      </c>
      <c r="E877" s="2659">
        <v>269.577</v>
      </c>
      <c r="F877" s="2659">
        <v>268.003443</v>
      </c>
      <c r="G877" s="2659">
        <v>267.753443</v>
      </c>
      <c r="H877" s="2659">
        <v>266.70440400000001</v>
      </c>
      <c r="I877" s="2659">
        <v>265.90536800000001</v>
      </c>
      <c r="J877" s="2659"/>
      <c r="K877" s="2659" t="s">
        <v>9066</v>
      </c>
      <c r="L877" s="2659">
        <v>266.75240400000001</v>
      </c>
      <c r="M877" s="2659">
        <v>267.25240400000001</v>
      </c>
      <c r="N877" s="2659">
        <v>268.05144300000001</v>
      </c>
      <c r="O877" s="2659">
        <v>268.38644299999999</v>
      </c>
      <c r="P877" s="2659">
        <v>270</v>
      </c>
      <c r="Q877" s="2659">
        <v>270.76801399999999</v>
      </c>
      <c r="R877" s="2667">
        <v>243</v>
      </c>
    </row>
    <row r="878" spans="1:18">
      <c r="A878" s="2651"/>
      <c r="B878" s="2654" t="s">
        <v>9504</v>
      </c>
      <c r="C878" s="2652" t="s">
        <v>9067</v>
      </c>
      <c r="D878" s="2659">
        <v>269.952</v>
      </c>
      <c r="E878" s="2659">
        <v>269.577</v>
      </c>
      <c r="F878" s="2659">
        <v>268.003443</v>
      </c>
      <c r="G878" s="2659">
        <v>267.84344299999998</v>
      </c>
      <c r="H878" s="2659">
        <v>266.70440400000001</v>
      </c>
      <c r="I878" s="2659">
        <v>265.99536799999998</v>
      </c>
      <c r="J878" s="2659"/>
      <c r="K878" s="2659"/>
      <c r="L878" s="2659"/>
      <c r="M878" s="2659"/>
      <c r="N878" s="2659"/>
      <c r="O878" s="2659"/>
      <c r="P878" s="2659"/>
      <c r="Q878" s="2659"/>
      <c r="R878" s="2667"/>
    </row>
    <row r="879" spans="1:18">
      <c r="A879" s="2651">
        <v>275</v>
      </c>
      <c r="B879" s="2654" t="s">
        <v>9505</v>
      </c>
      <c r="C879" s="2652" t="s">
        <v>9065</v>
      </c>
      <c r="D879" s="2659">
        <v>274.92</v>
      </c>
      <c r="E879" s="2659">
        <v>274.32</v>
      </c>
      <c r="F879" s="2659">
        <v>271.02288600000003</v>
      </c>
      <c r="G879" s="2659">
        <v>270.70788599999997</v>
      </c>
      <c r="H879" s="2659">
        <v>268.42480799999998</v>
      </c>
      <c r="I879" s="2659">
        <v>267.01173599999998</v>
      </c>
      <c r="J879" s="2659"/>
      <c r="K879" s="2659" t="s">
        <v>9066</v>
      </c>
      <c r="L879" s="2659">
        <v>268.50480800000003</v>
      </c>
      <c r="M879" s="2659">
        <v>269.30480799999998</v>
      </c>
      <c r="N879" s="2659">
        <v>271.10288600000001</v>
      </c>
      <c r="O879" s="2659">
        <v>271.52788600000002</v>
      </c>
      <c r="P879" s="2659">
        <v>275</v>
      </c>
      <c r="Q879" s="2659">
        <v>276.29102799999998</v>
      </c>
      <c r="R879" s="2667">
        <v>248</v>
      </c>
    </row>
    <row r="880" spans="1:18">
      <c r="A880" s="2651"/>
      <c r="B880" s="2654" t="s">
        <v>9505</v>
      </c>
      <c r="C880" s="2652" t="s">
        <v>9067</v>
      </c>
      <c r="D880" s="2659">
        <v>274.92</v>
      </c>
      <c r="E880" s="2659">
        <v>274.32</v>
      </c>
      <c r="F880" s="2659">
        <v>271.02288600000003</v>
      </c>
      <c r="G880" s="2659">
        <v>270.82288599999998</v>
      </c>
      <c r="H880" s="2659">
        <v>268.42480799999998</v>
      </c>
      <c r="I880" s="2659">
        <v>267.12673599999999</v>
      </c>
      <c r="J880" s="2659"/>
      <c r="K880" s="2659"/>
      <c r="L880" s="2659"/>
      <c r="M880" s="2659"/>
      <c r="N880" s="2659"/>
      <c r="O880" s="2659"/>
      <c r="P880" s="2659"/>
      <c r="Q880" s="2659"/>
      <c r="R880" s="2667"/>
    </row>
    <row r="881" spans="1:18">
      <c r="A881" s="2651"/>
      <c r="B881" s="2654" t="s">
        <v>9506</v>
      </c>
      <c r="C881" s="2652" t="s">
        <v>9065</v>
      </c>
      <c r="D881" s="2659">
        <v>274.94</v>
      </c>
      <c r="E881" s="2659">
        <v>274.46499999999997</v>
      </c>
      <c r="F881" s="2659">
        <v>272.34192400000001</v>
      </c>
      <c r="G881" s="2659">
        <v>272.06192399999998</v>
      </c>
      <c r="H881" s="2659">
        <v>270.609872</v>
      </c>
      <c r="I881" s="2659">
        <v>269.597824</v>
      </c>
      <c r="J881" s="2659"/>
      <c r="K881" s="2659" t="s">
        <v>9066</v>
      </c>
      <c r="L881" s="2659">
        <v>270.669872</v>
      </c>
      <c r="M881" s="2659">
        <v>271.26987200000002</v>
      </c>
      <c r="N881" s="2659">
        <v>272.40192400000001</v>
      </c>
      <c r="O881" s="2659">
        <v>272.77692400000001</v>
      </c>
      <c r="P881" s="2659">
        <v>275</v>
      </c>
      <c r="Q881" s="2659">
        <v>275.95235200000002</v>
      </c>
      <c r="R881" s="2667">
        <v>248</v>
      </c>
    </row>
    <row r="882" spans="1:18">
      <c r="A882" s="2651"/>
      <c r="B882" s="2654" t="s">
        <v>9506</v>
      </c>
      <c r="C882" s="2652" t="s">
        <v>9067</v>
      </c>
      <c r="D882" s="2659">
        <v>274.94</v>
      </c>
      <c r="E882" s="2659">
        <v>274.46499999999997</v>
      </c>
      <c r="F882" s="2659">
        <v>272.34192400000001</v>
      </c>
      <c r="G882" s="2659">
        <v>272.161924</v>
      </c>
      <c r="H882" s="2659">
        <v>270.609872</v>
      </c>
      <c r="I882" s="2659">
        <v>269.69782400000003</v>
      </c>
      <c r="J882" s="2659"/>
      <c r="K882" s="2659"/>
      <c r="L882" s="2659"/>
      <c r="M882" s="2659"/>
      <c r="N882" s="2659"/>
      <c r="O882" s="2659"/>
      <c r="P882" s="2659"/>
      <c r="Q882" s="2659"/>
      <c r="R882" s="2667"/>
    </row>
    <row r="883" spans="1:18">
      <c r="A883" s="2651"/>
      <c r="B883" s="2654" t="s">
        <v>9507</v>
      </c>
      <c r="C883" s="2652" t="s">
        <v>9065</v>
      </c>
      <c r="D883" s="2659">
        <v>274.952</v>
      </c>
      <c r="E883" s="2659">
        <v>274.577</v>
      </c>
      <c r="F883" s="2659">
        <v>273.003443</v>
      </c>
      <c r="G883" s="2659">
        <v>272.753443</v>
      </c>
      <c r="H883" s="2659">
        <v>271.70440400000001</v>
      </c>
      <c r="I883" s="2659">
        <v>270.90536800000001</v>
      </c>
      <c r="J883" s="2659"/>
      <c r="K883" s="2659" t="s">
        <v>9066</v>
      </c>
      <c r="L883" s="2659">
        <v>271.75240400000001</v>
      </c>
      <c r="M883" s="2659">
        <v>272.25240400000001</v>
      </c>
      <c r="N883" s="2659">
        <v>273.05144300000001</v>
      </c>
      <c r="O883" s="2659">
        <v>273.38644299999999</v>
      </c>
      <c r="P883" s="2659">
        <v>275</v>
      </c>
      <c r="Q883" s="2659">
        <v>275.76801399999999</v>
      </c>
      <c r="R883" s="2667">
        <v>248</v>
      </c>
    </row>
    <row r="884" spans="1:18">
      <c r="A884" s="2651"/>
      <c r="B884" s="2654" t="s">
        <v>9507</v>
      </c>
      <c r="C884" s="2652" t="s">
        <v>9067</v>
      </c>
      <c r="D884" s="2659">
        <v>274.952</v>
      </c>
      <c r="E884" s="2659">
        <v>274.577</v>
      </c>
      <c r="F884" s="2659">
        <v>273.003443</v>
      </c>
      <c r="G884" s="2659">
        <v>272.84344299999998</v>
      </c>
      <c r="H884" s="2659">
        <v>271.70440400000001</v>
      </c>
      <c r="I884" s="2659">
        <v>270.99536799999998</v>
      </c>
      <c r="J884" s="2659"/>
      <c r="K884" s="2659"/>
      <c r="L884" s="2659"/>
      <c r="M884" s="2659"/>
      <c r="N884" s="2659"/>
      <c r="O884" s="2659"/>
      <c r="P884" s="2659"/>
      <c r="Q884" s="2659"/>
      <c r="R884" s="2667"/>
    </row>
    <row r="885" spans="1:18">
      <c r="A885" s="2651">
        <v>280</v>
      </c>
      <c r="B885" s="2654" t="s">
        <v>9508</v>
      </c>
      <c r="C885" s="2652" t="s">
        <v>9065</v>
      </c>
      <c r="D885" s="2659">
        <v>279.89999999999998</v>
      </c>
      <c r="E885" s="2659">
        <v>279.19</v>
      </c>
      <c r="F885" s="2659">
        <v>274.70384799999999</v>
      </c>
      <c r="G885" s="2659">
        <v>274.34884799999998</v>
      </c>
      <c r="H885" s="2659">
        <v>271.23974399999997</v>
      </c>
      <c r="I885" s="2659">
        <v>269.42064800000003</v>
      </c>
      <c r="J885" s="2659"/>
      <c r="K885" s="2659" t="s">
        <v>9066</v>
      </c>
      <c r="L885" s="2659">
        <v>271.339744</v>
      </c>
      <c r="M885" s="2659">
        <v>272.339744</v>
      </c>
      <c r="N885" s="2659">
        <v>274.80384800000002</v>
      </c>
      <c r="O885" s="2659">
        <v>275.27884799999998</v>
      </c>
      <c r="P885" s="2659">
        <v>280</v>
      </c>
      <c r="Q885" s="2659">
        <v>281.629704</v>
      </c>
      <c r="R885" s="2667">
        <v>252</v>
      </c>
    </row>
    <row r="886" spans="1:18">
      <c r="A886" s="2651"/>
      <c r="B886" s="2654" t="s">
        <v>9508</v>
      </c>
      <c r="C886" s="2652" t="s">
        <v>9067</v>
      </c>
      <c r="D886" s="2659">
        <v>279.89999999999998</v>
      </c>
      <c r="E886" s="2659">
        <v>279.19</v>
      </c>
      <c r="F886" s="2659">
        <v>274.70384799999999</v>
      </c>
      <c r="G886" s="2659">
        <v>274.479848</v>
      </c>
      <c r="H886" s="2659">
        <v>271.23974399999997</v>
      </c>
      <c r="I886" s="2659">
        <v>269.551648</v>
      </c>
      <c r="J886" s="2659"/>
      <c r="K886" s="2659"/>
      <c r="L886" s="2659"/>
      <c r="M886" s="2659"/>
      <c r="N886" s="2659"/>
      <c r="O886" s="2659"/>
      <c r="P886" s="2659"/>
      <c r="Q886" s="2659"/>
      <c r="R886" s="2667"/>
    </row>
    <row r="887" spans="1:18">
      <c r="A887" s="2651"/>
      <c r="B887" s="2654" t="s">
        <v>9509</v>
      </c>
      <c r="C887" s="2652" t="s">
        <v>9065</v>
      </c>
      <c r="D887" s="2659">
        <v>279.92</v>
      </c>
      <c r="E887" s="2659">
        <v>279.32</v>
      </c>
      <c r="F887" s="2659">
        <v>276.02288600000003</v>
      </c>
      <c r="G887" s="2659">
        <v>275.70788599999997</v>
      </c>
      <c r="H887" s="2659">
        <v>273.42480799999998</v>
      </c>
      <c r="I887" s="2659">
        <v>272.01173599999998</v>
      </c>
      <c r="J887" s="2659"/>
      <c r="K887" s="2659" t="s">
        <v>9066</v>
      </c>
      <c r="L887" s="2659">
        <v>273.50480800000003</v>
      </c>
      <c r="M887" s="2659">
        <v>274.30480799999998</v>
      </c>
      <c r="N887" s="2659">
        <v>276.10288600000001</v>
      </c>
      <c r="O887" s="2659">
        <v>276.52788600000002</v>
      </c>
      <c r="P887" s="2659">
        <v>280</v>
      </c>
      <c r="Q887" s="2659">
        <v>281.29102799999998</v>
      </c>
      <c r="R887" s="2667">
        <v>252</v>
      </c>
    </row>
    <row r="888" spans="1:18">
      <c r="A888" s="2651"/>
      <c r="B888" s="2654" t="s">
        <v>9509</v>
      </c>
      <c r="C888" s="2652" t="s">
        <v>9067</v>
      </c>
      <c r="D888" s="2659">
        <v>279.92</v>
      </c>
      <c r="E888" s="2659">
        <v>279.32</v>
      </c>
      <c r="F888" s="2659">
        <v>276.02288600000003</v>
      </c>
      <c r="G888" s="2659">
        <v>275.82288599999998</v>
      </c>
      <c r="H888" s="2659">
        <v>273.42480799999998</v>
      </c>
      <c r="I888" s="2659">
        <v>272.12673599999999</v>
      </c>
      <c r="J888" s="2659"/>
      <c r="K888" s="2659"/>
      <c r="L888" s="2659"/>
      <c r="M888" s="2659"/>
      <c r="N888" s="2659"/>
      <c r="O888" s="2659"/>
      <c r="P888" s="2659"/>
      <c r="Q888" s="2659"/>
      <c r="R888" s="2667"/>
    </row>
    <row r="889" spans="1:18">
      <c r="A889" s="2651"/>
      <c r="B889" s="2654" t="s">
        <v>9510</v>
      </c>
      <c r="C889" s="2652" t="s">
        <v>9065</v>
      </c>
      <c r="D889" s="2659">
        <v>279.94</v>
      </c>
      <c r="E889" s="2659">
        <v>279.46499999999997</v>
      </c>
      <c r="F889" s="2659">
        <v>277.34192400000001</v>
      </c>
      <c r="G889" s="2659">
        <v>277.06192399999998</v>
      </c>
      <c r="H889" s="2659">
        <v>275.609872</v>
      </c>
      <c r="I889" s="2659">
        <v>274.597824</v>
      </c>
      <c r="J889" s="2659"/>
      <c r="K889" s="2659" t="s">
        <v>9066</v>
      </c>
      <c r="L889" s="2659">
        <v>275.669872</v>
      </c>
      <c r="M889" s="2659">
        <v>276.26987200000002</v>
      </c>
      <c r="N889" s="2659">
        <v>277.40192400000001</v>
      </c>
      <c r="O889" s="2659">
        <v>277.77692400000001</v>
      </c>
      <c r="P889" s="2659">
        <v>280</v>
      </c>
      <c r="Q889" s="2659">
        <v>280.95235200000002</v>
      </c>
      <c r="R889" s="2667">
        <v>252</v>
      </c>
    </row>
    <row r="890" spans="1:18">
      <c r="A890" s="2651"/>
      <c r="B890" s="2654" t="s">
        <v>9510</v>
      </c>
      <c r="C890" s="2652" t="s">
        <v>9067</v>
      </c>
      <c r="D890" s="2659">
        <v>279.94</v>
      </c>
      <c r="E890" s="2659">
        <v>279.46499999999997</v>
      </c>
      <c r="F890" s="2659">
        <v>277.34192400000001</v>
      </c>
      <c r="G890" s="2659">
        <v>277.161924</v>
      </c>
      <c r="H890" s="2659">
        <v>275.609872</v>
      </c>
      <c r="I890" s="2659">
        <v>274.69782400000003</v>
      </c>
      <c r="J890" s="2659"/>
      <c r="K890" s="2659"/>
      <c r="L890" s="2659"/>
      <c r="M890" s="2659"/>
      <c r="N890" s="2659"/>
      <c r="O890" s="2659"/>
      <c r="P890" s="2659"/>
      <c r="Q890" s="2659"/>
      <c r="R890" s="2667"/>
    </row>
    <row r="891" spans="1:18">
      <c r="A891" s="2651"/>
      <c r="B891" s="2658" t="s">
        <v>9511</v>
      </c>
      <c r="C891" s="2652" t="s">
        <v>9065</v>
      </c>
      <c r="D891" s="2659">
        <v>279.952</v>
      </c>
      <c r="E891" s="2659">
        <v>279.577</v>
      </c>
      <c r="F891" s="2659">
        <v>278.003443</v>
      </c>
      <c r="G891" s="2659">
        <v>277.753443</v>
      </c>
      <c r="H891" s="2659">
        <v>276.70440400000001</v>
      </c>
      <c r="I891" s="2659">
        <v>275.90536800000001</v>
      </c>
      <c r="J891" s="2659"/>
      <c r="K891" s="2659" t="s">
        <v>9066</v>
      </c>
      <c r="L891" s="2659">
        <v>276.75240400000001</v>
      </c>
      <c r="M891" s="2659">
        <v>277.25240400000001</v>
      </c>
      <c r="N891" s="2659">
        <v>278.05144300000001</v>
      </c>
      <c r="O891" s="2659">
        <v>278.38644299999999</v>
      </c>
      <c r="P891" s="2659">
        <v>280</v>
      </c>
      <c r="Q891" s="2659">
        <v>280.76801399999999</v>
      </c>
      <c r="R891" s="2667">
        <v>252</v>
      </c>
    </row>
    <row r="892" spans="1:18">
      <c r="A892" s="2651"/>
      <c r="B892" s="2658" t="s">
        <v>9511</v>
      </c>
      <c r="C892" s="2652" t="s">
        <v>9067</v>
      </c>
      <c r="D892" s="2659">
        <v>279.952</v>
      </c>
      <c r="E892" s="2659">
        <v>279.577</v>
      </c>
      <c r="F892" s="2659">
        <v>278.003443</v>
      </c>
      <c r="G892" s="2659">
        <v>277.84344299999998</v>
      </c>
      <c r="H892" s="2659">
        <v>276.70440400000001</v>
      </c>
      <c r="I892" s="2659">
        <v>275.99536799999998</v>
      </c>
      <c r="J892" s="2659"/>
      <c r="K892" s="2659"/>
      <c r="L892" s="2659"/>
      <c r="M892" s="2659"/>
      <c r="N892" s="2659"/>
      <c r="O892" s="2659"/>
      <c r="P892" s="2659"/>
      <c r="Q892" s="2659"/>
      <c r="R892" s="2667"/>
    </row>
    <row r="893" spans="1:18">
      <c r="A893" s="2651">
        <v>285</v>
      </c>
      <c r="B893" s="2654" t="s">
        <v>9512</v>
      </c>
      <c r="C893" s="2652" t="s">
        <v>9065</v>
      </c>
      <c r="D893" s="2659">
        <v>284.92</v>
      </c>
      <c r="E893" s="2659">
        <v>284.32</v>
      </c>
      <c r="F893" s="2659">
        <v>281.02288600000003</v>
      </c>
      <c r="G893" s="2659">
        <v>280.70788599999997</v>
      </c>
      <c r="H893" s="2659">
        <v>278.42480799999998</v>
      </c>
      <c r="I893" s="2659">
        <v>277.01173599999998</v>
      </c>
      <c r="J893" s="2659"/>
      <c r="K893" s="2659" t="s">
        <v>9066</v>
      </c>
      <c r="L893" s="2659">
        <v>278.50480800000003</v>
      </c>
      <c r="M893" s="2659">
        <v>279.30480799999998</v>
      </c>
      <c r="N893" s="2659">
        <v>281.10288600000001</v>
      </c>
      <c r="O893" s="2659">
        <v>281.52788600000002</v>
      </c>
      <c r="P893" s="2659">
        <v>285</v>
      </c>
      <c r="Q893" s="2659">
        <v>286.29102799999998</v>
      </c>
      <c r="R893" s="2667">
        <v>256</v>
      </c>
    </row>
    <row r="894" spans="1:18">
      <c r="A894" s="2651"/>
      <c r="B894" s="2654" t="s">
        <v>9512</v>
      </c>
      <c r="C894" s="2652" t="s">
        <v>9067</v>
      </c>
      <c r="D894" s="2659">
        <v>284.92</v>
      </c>
      <c r="E894" s="2659">
        <v>284.32</v>
      </c>
      <c r="F894" s="2659">
        <v>281.02288600000003</v>
      </c>
      <c r="G894" s="2659">
        <v>280.82288599999998</v>
      </c>
      <c r="H894" s="2659">
        <v>278.42480799999998</v>
      </c>
      <c r="I894" s="2659">
        <v>277.12673599999999</v>
      </c>
      <c r="J894" s="2659"/>
      <c r="K894" s="2659"/>
      <c r="L894" s="2659"/>
      <c r="M894" s="2659"/>
      <c r="N894" s="2659"/>
      <c r="O894" s="2659"/>
      <c r="P894" s="2659"/>
      <c r="Q894" s="2659"/>
      <c r="R894" s="2667"/>
    </row>
    <row r="895" spans="1:18">
      <c r="A895" s="2651"/>
      <c r="B895" s="2654" t="s">
        <v>9513</v>
      </c>
      <c r="C895" s="2652" t="s">
        <v>9065</v>
      </c>
      <c r="D895" s="2659">
        <v>284.94</v>
      </c>
      <c r="E895" s="2659">
        <v>284.46499999999997</v>
      </c>
      <c r="F895" s="2659">
        <v>282.34192400000001</v>
      </c>
      <c r="G895" s="2659">
        <v>282.06192399999998</v>
      </c>
      <c r="H895" s="2659">
        <v>280.609872</v>
      </c>
      <c r="I895" s="2659">
        <v>279.597824</v>
      </c>
      <c r="J895" s="2659"/>
      <c r="K895" s="2659" t="s">
        <v>9066</v>
      </c>
      <c r="L895" s="2659">
        <v>280.669872</v>
      </c>
      <c r="M895" s="2659">
        <v>281.26987200000002</v>
      </c>
      <c r="N895" s="2659">
        <v>282.40192400000001</v>
      </c>
      <c r="O895" s="2659">
        <v>282.77692400000001</v>
      </c>
      <c r="P895" s="2659">
        <v>285</v>
      </c>
      <c r="Q895" s="2659">
        <v>285.95235200000002</v>
      </c>
      <c r="R895" s="2667">
        <v>256</v>
      </c>
    </row>
    <row r="896" spans="1:18">
      <c r="A896" s="2651"/>
      <c r="B896" s="2654" t="s">
        <v>9513</v>
      </c>
      <c r="C896" s="2652" t="s">
        <v>9067</v>
      </c>
      <c r="D896" s="2659">
        <v>284.94</v>
      </c>
      <c r="E896" s="2659">
        <v>284.46499999999997</v>
      </c>
      <c r="F896" s="2659">
        <v>282.34192400000001</v>
      </c>
      <c r="G896" s="2659">
        <v>282.161924</v>
      </c>
      <c r="H896" s="2659">
        <v>280.609872</v>
      </c>
      <c r="I896" s="2659">
        <v>279.69782400000003</v>
      </c>
      <c r="J896" s="2659"/>
      <c r="K896" s="2659"/>
      <c r="L896" s="2659"/>
      <c r="M896" s="2659"/>
      <c r="N896" s="2659"/>
      <c r="O896" s="2659"/>
      <c r="P896" s="2659"/>
      <c r="Q896" s="2659"/>
      <c r="R896" s="2667"/>
    </row>
    <row r="897" spans="1:18">
      <c r="A897" s="2651"/>
      <c r="B897" s="2654" t="s">
        <v>9514</v>
      </c>
      <c r="C897" s="2652" t="s">
        <v>9065</v>
      </c>
      <c r="D897" s="2659">
        <v>284.952</v>
      </c>
      <c r="E897" s="2659">
        <v>284.577</v>
      </c>
      <c r="F897" s="2659">
        <v>283.003443</v>
      </c>
      <c r="G897" s="2659">
        <v>282.753443</v>
      </c>
      <c r="H897" s="2659">
        <v>281.70440400000001</v>
      </c>
      <c r="I897" s="2659">
        <v>280.90536800000001</v>
      </c>
      <c r="J897" s="2659"/>
      <c r="K897" s="2659" t="s">
        <v>9066</v>
      </c>
      <c r="L897" s="2659">
        <v>281.75240400000001</v>
      </c>
      <c r="M897" s="2659">
        <v>282.25240400000001</v>
      </c>
      <c r="N897" s="2659">
        <v>283.05144300000001</v>
      </c>
      <c r="O897" s="2659">
        <v>283.38644299999999</v>
      </c>
      <c r="P897" s="2659">
        <v>285</v>
      </c>
      <c r="Q897" s="2659">
        <v>285.76801399999999</v>
      </c>
      <c r="R897" s="2667">
        <v>256</v>
      </c>
    </row>
    <row r="898" spans="1:18">
      <c r="A898" s="2651"/>
      <c r="B898" s="2654" t="s">
        <v>9514</v>
      </c>
      <c r="C898" s="2652" t="s">
        <v>9067</v>
      </c>
      <c r="D898" s="2659">
        <v>284.952</v>
      </c>
      <c r="E898" s="2659">
        <v>284.577</v>
      </c>
      <c r="F898" s="2659">
        <v>283.003443</v>
      </c>
      <c r="G898" s="2659">
        <v>282.84344299999998</v>
      </c>
      <c r="H898" s="2659">
        <v>281.70440400000001</v>
      </c>
      <c r="I898" s="2659">
        <v>280.99536799999998</v>
      </c>
      <c r="J898" s="2659"/>
      <c r="K898" s="2659"/>
      <c r="L898" s="2659"/>
      <c r="M898" s="2659"/>
      <c r="N898" s="2659"/>
      <c r="O898" s="2659"/>
      <c r="P898" s="2659"/>
      <c r="Q898" s="2659"/>
      <c r="R898" s="2667"/>
    </row>
    <row r="899" spans="1:18">
      <c r="A899" s="2651">
        <v>290</v>
      </c>
      <c r="B899" s="2654" t="s">
        <v>9515</v>
      </c>
      <c r="C899" s="2652" t="s">
        <v>9065</v>
      </c>
      <c r="D899" s="2659">
        <v>289.92</v>
      </c>
      <c r="E899" s="2659">
        <v>289.32</v>
      </c>
      <c r="F899" s="2659">
        <v>286.02288600000003</v>
      </c>
      <c r="G899" s="2659">
        <v>285.70788599999997</v>
      </c>
      <c r="H899" s="2659">
        <v>283.42480799999998</v>
      </c>
      <c r="I899" s="2659">
        <v>282.01173599999998</v>
      </c>
      <c r="J899" s="2659"/>
      <c r="K899" s="2659" t="s">
        <v>9066</v>
      </c>
      <c r="L899" s="2659">
        <v>283.50480800000003</v>
      </c>
      <c r="M899" s="2659">
        <v>284.30480799999998</v>
      </c>
      <c r="N899" s="2659">
        <v>286.10288600000001</v>
      </c>
      <c r="O899" s="2659">
        <v>286.52788600000002</v>
      </c>
      <c r="P899" s="2659">
        <v>290</v>
      </c>
      <c r="Q899" s="2659">
        <v>291.29102799999998</v>
      </c>
      <c r="R899" s="2667">
        <v>261</v>
      </c>
    </row>
    <row r="900" spans="1:18">
      <c r="A900" s="2651"/>
      <c r="B900" s="2654" t="s">
        <v>9515</v>
      </c>
      <c r="C900" s="2652" t="s">
        <v>9067</v>
      </c>
      <c r="D900" s="2659">
        <v>289.92</v>
      </c>
      <c r="E900" s="2659">
        <v>289.32</v>
      </c>
      <c r="F900" s="2659">
        <v>286.02288600000003</v>
      </c>
      <c r="G900" s="2659">
        <v>285.82288599999998</v>
      </c>
      <c r="H900" s="2659">
        <v>283.42480799999998</v>
      </c>
      <c r="I900" s="2659">
        <v>282.12673599999999</v>
      </c>
      <c r="J900" s="2659"/>
      <c r="K900" s="2659"/>
      <c r="L900" s="2659"/>
      <c r="M900" s="2659"/>
      <c r="N900" s="2659"/>
      <c r="O900" s="2659"/>
      <c r="P900" s="2659"/>
      <c r="Q900" s="2659"/>
      <c r="R900" s="2667"/>
    </row>
    <row r="901" spans="1:18">
      <c r="A901" s="2651"/>
      <c r="B901" s="2654" t="s">
        <v>9516</v>
      </c>
      <c r="C901" s="2652" t="s">
        <v>9065</v>
      </c>
      <c r="D901" s="2659">
        <v>289.94</v>
      </c>
      <c r="E901" s="2659">
        <v>289.46499999999997</v>
      </c>
      <c r="F901" s="2659">
        <v>287.34192400000001</v>
      </c>
      <c r="G901" s="2659">
        <v>287.06192399999998</v>
      </c>
      <c r="H901" s="2659">
        <v>285.609872</v>
      </c>
      <c r="I901" s="2659">
        <v>284.597824</v>
      </c>
      <c r="J901" s="2659"/>
      <c r="K901" s="2659" t="s">
        <v>9066</v>
      </c>
      <c r="L901" s="2659">
        <v>285.669872</v>
      </c>
      <c r="M901" s="2659">
        <v>286.26987200000002</v>
      </c>
      <c r="N901" s="2659">
        <v>287.40192400000001</v>
      </c>
      <c r="O901" s="2659">
        <v>287.77692400000001</v>
      </c>
      <c r="P901" s="2659">
        <v>290</v>
      </c>
      <c r="Q901" s="2659">
        <v>290.95235200000002</v>
      </c>
      <c r="R901" s="2667">
        <v>261</v>
      </c>
    </row>
    <row r="902" spans="1:18">
      <c r="A902" s="2651"/>
      <c r="B902" s="2654" t="s">
        <v>9516</v>
      </c>
      <c r="C902" s="2652" t="s">
        <v>9067</v>
      </c>
      <c r="D902" s="2659">
        <v>289.94</v>
      </c>
      <c r="E902" s="2659">
        <v>289.46499999999997</v>
      </c>
      <c r="F902" s="2659">
        <v>287.34192400000001</v>
      </c>
      <c r="G902" s="2659">
        <v>287.161924</v>
      </c>
      <c r="H902" s="2659">
        <v>285.609872</v>
      </c>
      <c r="I902" s="2659">
        <v>284.69782400000003</v>
      </c>
      <c r="J902" s="2659"/>
      <c r="K902" s="2659"/>
      <c r="L902" s="2659"/>
      <c r="M902" s="2659"/>
      <c r="N902" s="2659"/>
      <c r="O902" s="2659"/>
      <c r="P902" s="2659"/>
      <c r="Q902" s="2659"/>
      <c r="R902" s="2667"/>
    </row>
    <row r="903" spans="1:18">
      <c r="A903" s="2651"/>
      <c r="B903" s="2654" t="s">
        <v>9517</v>
      </c>
      <c r="C903" s="2652" t="s">
        <v>9065</v>
      </c>
      <c r="D903" s="2659">
        <v>289.952</v>
      </c>
      <c r="E903" s="2659">
        <v>289.577</v>
      </c>
      <c r="F903" s="2659">
        <v>288.003443</v>
      </c>
      <c r="G903" s="2659">
        <v>287.753443</v>
      </c>
      <c r="H903" s="2659">
        <v>286.70440400000001</v>
      </c>
      <c r="I903" s="2659">
        <v>285.90536800000001</v>
      </c>
      <c r="J903" s="2659"/>
      <c r="K903" s="2659" t="s">
        <v>9066</v>
      </c>
      <c r="L903" s="2659">
        <v>286.75240400000001</v>
      </c>
      <c r="M903" s="2659">
        <v>287.25240400000001</v>
      </c>
      <c r="N903" s="2659">
        <v>288.05144300000001</v>
      </c>
      <c r="O903" s="2659">
        <v>288.38644299999999</v>
      </c>
      <c r="P903" s="2659">
        <v>290</v>
      </c>
      <c r="Q903" s="2659">
        <v>290.76801399999999</v>
      </c>
      <c r="R903" s="2667">
        <v>261</v>
      </c>
    </row>
    <row r="904" spans="1:18">
      <c r="A904" s="2651"/>
      <c r="B904" s="2654" t="s">
        <v>9517</v>
      </c>
      <c r="C904" s="2652" t="s">
        <v>9067</v>
      </c>
      <c r="D904" s="2659">
        <v>289.952</v>
      </c>
      <c r="E904" s="2659">
        <v>289.577</v>
      </c>
      <c r="F904" s="2659">
        <v>288.003443</v>
      </c>
      <c r="G904" s="2659">
        <v>287.84344299999998</v>
      </c>
      <c r="H904" s="2659">
        <v>286.70440400000001</v>
      </c>
      <c r="I904" s="2659">
        <v>285.99536799999998</v>
      </c>
      <c r="J904" s="2659"/>
      <c r="K904" s="2659"/>
      <c r="L904" s="2659"/>
      <c r="M904" s="2659"/>
      <c r="N904" s="2659"/>
      <c r="O904" s="2659"/>
      <c r="P904" s="2659"/>
      <c r="Q904" s="2659"/>
      <c r="R904" s="2667"/>
    </row>
    <row r="905" spans="1:18">
      <c r="A905" s="2651">
        <v>295</v>
      </c>
      <c r="B905" s="2654" t="s">
        <v>9518</v>
      </c>
      <c r="C905" s="2652" t="s">
        <v>9065</v>
      </c>
      <c r="D905" s="2659">
        <v>294.92</v>
      </c>
      <c r="E905" s="2659">
        <v>294.32</v>
      </c>
      <c r="F905" s="2659">
        <v>291.02288600000003</v>
      </c>
      <c r="G905" s="2659">
        <v>290.70788599999997</v>
      </c>
      <c r="H905" s="2659">
        <v>288.42480799999998</v>
      </c>
      <c r="I905" s="2659">
        <v>287.01173599999998</v>
      </c>
      <c r="J905" s="2659"/>
      <c r="K905" s="2659" t="s">
        <v>9066</v>
      </c>
      <c r="L905" s="2659">
        <v>288.50480800000003</v>
      </c>
      <c r="M905" s="2659">
        <v>289.30480799999998</v>
      </c>
      <c r="N905" s="2659">
        <v>291.10288600000001</v>
      </c>
      <c r="O905" s="2659">
        <v>291.52788600000002</v>
      </c>
      <c r="P905" s="2659">
        <v>295</v>
      </c>
      <c r="Q905" s="2659">
        <v>296.29102799999998</v>
      </c>
      <c r="R905" s="2667">
        <v>265</v>
      </c>
    </row>
    <row r="906" spans="1:18">
      <c r="A906" s="2651"/>
      <c r="B906" s="2654" t="s">
        <v>9518</v>
      </c>
      <c r="C906" s="2652" t="s">
        <v>9067</v>
      </c>
      <c r="D906" s="2659">
        <v>294.92</v>
      </c>
      <c r="E906" s="2659">
        <v>294.32</v>
      </c>
      <c r="F906" s="2659">
        <v>291.02288600000003</v>
      </c>
      <c r="G906" s="2659">
        <v>290.82288599999998</v>
      </c>
      <c r="H906" s="2659">
        <v>288.42480799999998</v>
      </c>
      <c r="I906" s="2659">
        <v>287.12673599999999</v>
      </c>
      <c r="J906" s="2659"/>
      <c r="K906" s="2659"/>
      <c r="L906" s="2659"/>
      <c r="M906" s="2659"/>
      <c r="N906" s="2659"/>
      <c r="O906" s="2659"/>
      <c r="P906" s="2659"/>
      <c r="Q906" s="2659"/>
      <c r="R906" s="2667"/>
    </row>
    <row r="907" spans="1:18">
      <c r="A907" s="2651"/>
      <c r="B907" s="2654" t="s">
        <v>9519</v>
      </c>
      <c r="C907" s="2652" t="s">
        <v>9065</v>
      </c>
      <c r="D907" s="2659">
        <v>294.94</v>
      </c>
      <c r="E907" s="2659">
        <v>294.46499999999997</v>
      </c>
      <c r="F907" s="2659">
        <v>292.34192400000001</v>
      </c>
      <c r="G907" s="2659">
        <v>292.06192399999998</v>
      </c>
      <c r="H907" s="2659">
        <v>290.609872</v>
      </c>
      <c r="I907" s="2659">
        <v>289.597824</v>
      </c>
      <c r="J907" s="2659"/>
      <c r="K907" s="2659" t="s">
        <v>9066</v>
      </c>
      <c r="L907" s="2659">
        <v>290.669872</v>
      </c>
      <c r="M907" s="2659">
        <v>291.26987200000002</v>
      </c>
      <c r="N907" s="2659">
        <v>292.40192400000001</v>
      </c>
      <c r="O907" s="2659">
        <v>292.77692400000001</v>
      </c>
      <c r="P907" s="2659">
        <v>295</v>
      </c>
      <c r="Q907" s="2659">
        <v>295.95235200000002</v>
      </c>
      <c r="R907" s="2667">
        <v>265</v>
      </c>
    </row>
    <row r="908" spans="1:18">
      <c r="A908" s="2651"/>
      <c r="B908" s="2654" t="s">
        <v>9519</v>
      </c>
      <c r="C908" s="2652" t="s">
        <v>9067</v>
      </c>
      <c r="D908" s="2659">
        <v>294.94</v>
      </c>
      <c r="E908" s="2659">
        <v>294.46499999999997</v>
      </c>
      <c r="F908" s="2659">
        <v>292.34192400000001</v>
      </c>
      <c r="G908" s="2659">
        <v>292.161924</v>
      </c>
      <c r="H908" s="2659">
        <v>290.609872</v>
      </c>
      <c r="I908" s="2659">
        <v>289.69782400000003</v>
      </c>
      <c r="J908" s="2659"/>
      <c r="K908" s="2659"/>
      <c r="L908" s="2659"/>
      <c r="M908" s="2659"/>
      <c r="N908" s="2659"/>
      <c r="O908" s="2659"/>
      <c r="P908" s="2659"/>
      <c r="Q908" s="2659"/>
      <c r="R908" s="2667"/>
    </row>
    <row r="909" spans="1:18">
      <c r="A909" s="2651"/>
      <c r="B909" s="2654" t="s">
        <v>9520</v>
      </c>
      <c r="C909" s="2652" t="s">
        <v>9065</v>
      </c>
      <c r="D909" s="2659">
        <v>294.952</v>
      </c>
      <c r="E909" s="2659">
        <v>294.577</v>
      </c>
      <c r="F909" s="2659">
        <v>293.003443</v>
      </c>
      <c r="G909" s="2659">
        <v>292.753443</v>
      </c>
      <c r="H909" s="2659">
        <v>291.70440400000001</v>
      </c>
      <c r="I909" s="2659">
        <v>290.90536800000001</v>
      </c>
      <c r="J909" s="2659"/>
      <c r="K909" s="2659" t="s">
        <v>9066</v>
      </c>
      <c r="L909" s="2659">
        <v>291.75240400000001</v>
      </c>
      <c r="M909" s="2659">
        <v>292.25240400000001</v>
      </c>
      <c r="N909" s="2659">
        <v>293.05144300000001</v>
      </c>
      <c r="O909" s="2659">
        <v>293.38644299999999</v>
      </c>
      <c r="P909" s="2659">
        <v>295</v>
      </c>
      <c r="Q909" s="2659">
        <v>295.76801399999999</v>
      </c>
      <c r="R909" s="2667">
        <v>265</v>
      </c>
    </row>
    <row r="910" spans="1:18">
      <c r="A910" s="2651"/>
      <c r="B910" s="2654" t="s">
        <v>9520</v>
      </c>
      <c r="C910" s="2652" t="s">
        <v>9067</v>
      </c>
      <c r="D910" s="2659">
        <v>294.952</v>
      </c>
      <c r="E910" s="2659">
        <v>294.577</v>
      </c>
      <c r="F910" s="2659">
        <v>293.003443</v>
      </c>
      <c r="G910" s="2659">
        <v>292.84344299999998</v>
      </c>
      <c r="H910" s="2659">
        <v>291.70440400000001</v>
      </c>
      <c r="I910" s="2659">
        <v>290.99536799999998</v>
      </c>
      <c r="J910" s="2659"/>
      <c r="K910" s="2659"/>
      <c r="L910" s="2659"/>
      <c r="M910" s="2659"/>
      <c r="N910" s="2659"/>
      <c r="O910" s="2659"/>
      <c r="P910" s="2659"/>
      <c r="Q910" s="2659"/>
      <c r="R910" s="2667"/>
    </row>
    <row r="911" spans="1:18">
      <c r="A911" s="2651">
        <v>300</v>
      </c>
      <c r="B911" s="2654" t="s">
        <v>9521</v>
      </c>
      <c r="C911" s="2652" t="s">
        <v>9065</v>
      </c>
      <c r="D911" s="2659">
        <v>299.89999999999998</v>
      </c>
      <c r="E911" s="2659">
        <v>299.19</v>
      </c>
      <c r="F911" s="2659">
        <v>294.70384799999999</v>
      </c>
      <c r="G911" s="2659">
        <v>294.34884799999998</v>
      </c>
      <c r="H911" s="2659">
        <v>291.23974399999997</v>
      </c>
      <c r="I911" s="2659">
        <v>289.42064800000003</v>
      </c>
      <c r="J911" s="2659"/>
      <c r="K911" s="2659" t="s">
        <v>9066</v>
      </c>
      <c r="L911" s="2659">
        <v>291.339744</v>
      </c>
      <c r="M911" s="2659">
        <v>292.339744</v>
      </c>
      <c r="N911" s="2659">
        <v>294.80384800000002</v>
      </c>
      <c r="O911" s="2659">
        <v>295.27884799999998</v>
      </c>
      <c r="P911" s="2659">
        <v>300</v>
      </c>
      <c r="Q911" s="2659">
        <v>301.629704</v>
      </c>
      <c r="R911" s="2667">
        <v>270</v>
      </c>
    </row>
    <row r="912" spans="1:18">
      <c r="A912" s="2651"/>
      <c r="B912" s="2654" t="s">
        <v>9521</v>
      </c>
      <c r="C912" s="2652" t="s">
        <v>9067</v>
      </c>
      <c r="D912" s="2659">
        <v>299.89999999999998</v>
      </c>
      <c r="E912" s="2659">
        <v>299.19</v>
      </c>
      <c r="F912" s="2659">
        <v>294.70384799999999</v>
      </c>
      <c r="G912" s="2659">
        <v>294.479848</v>
      </c>
      <c r="H912" s="2659">
        <v>291.23974399999997</v>
      </c>
      <c r="I912" s="2659">
        <v>289.551648</v>
      </c>
      <c r="J912" s="2659"/>
      <c r="K912" s="2659"/>
      <c r="L912" s="2659"/>
      <c r="M912" s="2659"/>
      <c r="N912" s="2659"/>
      <c r="O912" s="2659"/>
      <c r="P912" s="2659"/>
      <c r="Q912" s="2659"/>
      <c r="R912" s="2667"/>
    </row>
    <row r="913" spans="1:18">
      <c r="A913" s="2651"/>
      <c r="B913" s="2654" t="s">
        <v>9522</v>
      </c>
      <c r="C913" s="2652" t="s">
        <v>9065</v>
      </c>
      <c r="D913" s="2659">
        <v>299.92</v>
      </c>
      <c r="E913" s="2659">
        <v>299.32</v>
      </c>
      <c r="F913" s="2659">
        <v>296.02288600000003</v>
      </c>
      <c r="G913" s="2659">
        <v>295.70788599999997</v>
      </c>
      <c r="H913" s="2659">
        <v>293.42480799999998</v>
      </c>
      <c r="I913" s="2659">
        <v>292.01173599999998</v>
      </c>
      <c r="J913" s="2659"/>
      <c r="K913" s="2659" t="s">
        <v>9066</v>
      </c>
      <c r="L913" s="2659">
        <v>293.50480800000003</v>
      </c>
      <c r="M913" s="2659">
        <v>294.30480799999998</v>
      </c>
      <c r="N913" s="2659">
        <v>296.10288600000001</v>
      </c>
      <c r="O913" s="2659">
        <v>296.52788600000002</v>
      </c>
      <c r="P913" s="2659">
        <v>300</v>
      </c>
      <c r="Q913" s="2659">
        <v>301.29102799999998</v>
      </c>
      <c r="R913" s="2667">
        <v>270</v>
      </c>
    </row>
    <row r="914" spans="1:18">
      <c r="A914" s="2651"/>
      <c r="B914" s="2654" t="s">
        <v>9522</v>
      </c>
      <c r="C914" s="2652" t="s">
        <v>9067</v>
      </c>
      <c r="D914" s="2659">
        <v>299.92</v>
      </c>
      <c r="E914" s="2659">
        <v>299.32</v>
      </c>
      <c r="F914" s="2659">
        <v>296.02288600000003</v>
      </c>
      <c r="G914" s="2659">
        <v>295.82288599999998</v>
      </c>
      <c r="H914" s="2659">
        <v>293.42480799999998</v>
      </c>
      <c r="I914" s="2659">
        <v>292.12673599999999</v>
      </c>
      <c r="J914" s="2659"/>
      <c r="K914" s="2659"/>
      <c r="L914" s="2659"/>
      <c r="M914" s="2659"/>
      <c r="N914" s="2659"/>
      <c r="O914" s="2659"/>
      <c r="P914" s="2659"/>
      <c r="Q914" s="2659"/>
      <c r="R914" s="2667"/>
    </row>
    <row r="915" spans="1:18">
      <c r="A915" s="2651"/>
      <c r="B915" s="2654" t="s">
        <v>9523</v>
      </c>
      <c r="C915" s="2652" t="s">
        <v>9065</v>
      </c>
      <c r="D915" s="2659">
        <v>299.94</v>
      </c>
      <c r="E915" s="2659">
        <v>299.46499999999997</v>
      </c>
      <c r="F915" s="2659">
        <v>297.34192400000001</v>
      </c>
      <c r="G915" s="2659">
        <v>297.06192399999998</v>
      </c>
      <c r="H915" s="2659">
        <v>295.609872</v>
      </c>
      <c r="I915" s="2659">
        <v>294.597824</v>
      </c>
      <c r="J915" s="2659"/>
      <c r="K915" s="2659" t="s">
        <v>9066</v>
      </c>
      <c r="L915" s="2659">
        <v>295.669872</v>
      </c>
      <c r="M915" s="2659">
        <v>296.26987200000002</v>
      </c>
      <c r="N915" s="2659">
        <v>297.40192400000001</v>
      </c>
      <c r="O915" s="2659">
        <v>297.77692400000001</v>
      </c>
      <c r="P915" s="2659">
        <v>300</v>
      </c>
      <c r="Q915" s="2659">
        <v>300.95235200000002</v>
      </c>
      <c r="R915" s="2667">
        <v>270</v>
      </c>
    </row>
    <row r="916" spans="1:18">
      <c r="A916" s="2651"/>
      <c r="B916" s="2654" t="s">
        <v>9523</v>
      </c>
      <c r="C916" s="2652" t="s">
        <v>9067</v>
      </c>
      <c r="D916" s="2659">
        <v>299.94</v>
      </c>
      <c r="E916" s="2659">
        <v>299.46499999999997</v>
      </c>
      <c r="F916" s="2659">
        <v>297.34192400000001</v>
      </c>
      <c r="G916" s="2659">
        <v>297.161924</v>
      </c>
      <c r="H916" s="2659">
        <v>295.609872</v>
      </c>
      <c r="I916" s="2659">
        <v>294.69782400000003</v>
      </c>
      <c r="J916" s="2659"/>
      <c r="K916" s="2659"/>
      <c r="L916" s="2659"/>
      <c r="M916" s="2659"/>
      <c r="N916" s="2659"/>
      <c r="O916" s="2659"/>
      <c r="P916" s="2659"/>
      <c r="Q916" s="2659"/>
      <c r="R916" s="2667"/>
    </row>
    <row r="917" spans="1:18">
      <c r="A917" s="2651"/>
      <c r="B917" s="2658" t="s">
        <v>9524</v>
      </c>
      <c r="C917" s="2652" t="s">
        <v>9065</v>
      </c>
      <c r="D917" s="2659">
        <v>299.952</v>
      </c>
      <c r="E917" s="2659">
        <v>299.577</v>
      </c>
      <c r="F917" s="2659">
        <v>298.003443</v>
      </c>
      <c r="G917" s="2659">
        <v>297.753443</v>
      </c>
      <c r="H917" s="2659">
        <v>296.70440400000001</v>
      </c>
      <c r="I917" s="2659">
        <v>295.90536800000001</v>
      </c>
      <c r="J917" s="2659"/>
      <c r="K917" s="2659" t="s">
        <v>9066</v>
      </c>
      <c r="L917" s="2659">
        <v>296.75240400000001</v>
      </c>
      <c r="M917" s="2659">
        <v>297.25240400000001</v>
      </c>
      <c r="N917" s="2659">
        <v>298.05144300000001</v>
      </c>
      <c r="O917" s="2659">
        <v>298.38644299999999</v>
      </c>
      <c r="P917" s="2659">
        <v>300</v>
      </c>
      <c r="Q917" s="2659">
        <v>300.76801399999999</v>
      </c>
      <c r="R917" s="2667">
        <v>270</v>
      </c>
    </row>
    <row r="918" spans="1:18">
      <c r="A918" s="2651"/>
      <c r="B918" s="2658" t="s">
        <v>9524</v>
      </c>
      <c r="C918" s="2652" t="s">
        <v>9067</v>
      </c>
      <c r="D918" s="2659">
        <v>299.952</v>
      </c>
      <c r="E918" s="2659">
        <v>299.577</v>
      </c>
      <c r="F918" s="2659">
        <v>298.003443</v>
      </c>
      <c r="G918" s="2659">
        <v>297.84344299999998</v>
      </c>
      <c r="H918" s="2659">
        <v>296.70440400000001</v>
      </c>
      <c r="I918" s="2659">
        <v>295.99536799999998</v>
      </c>
      <c r="J918" s="2659"/>
      <c r="K918" s="2659"/>
      <c r="L918" s="2659"/>
      <c r="M918" s="2659"/>
      <c r="N918" s="2659"/>
      <c r="O918" s="2659"/>
      <c r="P918" s="2659"/>
      <c r="Q918" s="2659"/>
      <c r="R918" s="2667"/>
    </row>
    <row r="919" spans="1:18">
      <c r="A919" s="2651">
        <v>310</v>
      </c>
      <c r="B919" s="2654" t="s">
        <v>9525</v>
      </c>
      <c r="C919" s="2652" t="s">
        <v>9065</v>
      </c>
      <c r="D919" s="2659">
        <v>309.92</v>
      </c>
      <c r="E919" s="2659">
        <v>309.32</v>
      </c>
      <c r="F919" s="2659">
        <v>306.02288600000003</v>
      </c>
      <c r="G919" s="2659">
        <v>305.70788599999997</v>
      </c>
      <c r="H919" s="2659">
        <v>303.42480799999998</v>
      </c>
      <c r="I919" s="2659">
        <v>302.01173599999998</v>
      </c>
      <c r="J919" s="2659"/>
      <c r="K919" s="2659" t="s">
        <v>9066</v>
      </c>
      <c r="L919" s="2659">
        <v>303.50480800000003</v>
      </c>
      <c r="M919" s="2659">
        <v>304.30480799999998</v>
      </c>
      <c r="N919" s="2659">
        <v>306.10288600000001</v>
      </c>
      <c r="O919" s="2659">
        <v>306.52788600000002</v>
      </c>
      <c r="P919" s="2659">
        <v>310</v>
      </c>
      <c r="Q919" s="2659">
        <v>311.29102799999998</v>
      </c>
      <c r="R919" s="2667">
        <v>280</v>
      </c>
    </row>
    <row r="920" spans="1:18">
      <c r="A920" s="2651"/>
      <c r="B920" s="2654" t="s">
        <v>9525</v>
      </c>
      <c r="C920" s="2652" t="s">
        <v>9067</v>
      </c>
      <c r="D920" s="2659">
        <v>309.92</v>
      </c>
      <c r="E920" s="2659">
        <v>309.32</v>
      </c>
      <c r="F920" s="2659">
        <v>306.02288600000003</v>
      </c>
      <c r="G920" s="2659">
        <v>305.82288599999998</v>
      </c>
      <c r="H920" s="2659">
        <v>303.42480799999998</v>
      </c>
      <c r="I920" s="2659">
        <v>302.12673599999999</v>
      </c>
      <c r="J920" s="2659"/>
      <c r="K920" s="2659"/>
      <c r="L920" s="2659"/>
      <c r="M920" s="2659"/>
      <c r="N920" s="2659"/>
      <c r="O920" s="2659"/>
      <c r="P920" s="2659"/>
      <c r="Q920" s="2659"/>
      <c r="R920" s="2667"/>
    </row>
    <row r="921" spans="1:18">
      <c r="A921" s="2651"/>
      <c r="B921" s="2654" t="s">
        <v>9526</v>
      </c>
      <c r="C921" s="2652" t="s">
        <v>9065</v>
      </c>
      <c r="D921" s="2659">
        <v>309.94</v>
      </c>
      <c r="E921" s="2659">
        <v>309.46499999999997</v>
      </c>
      <c r="F921" s="2659">
        <v>307.34192400000001</v>
      </c>
      <c r="G921" s="2659">
        <v>307.06192399999998</v>
      </c>
      <c r="H921" s="2659">
        <v>305.609872</v>
      </c>
      <c r="I921" s="2659">
        <v>304.597824</v>
      </c>
      <c r="J921" s="2659"/>
      <c r="K921" s="2659" t="s">
        <v>9066</v>
      </c>
      <c r="L921" s="2659">
        <v>305.669872</v>
      </c>
      <c r="M921" s="2659">
        <v>306.26987200000002</v>
      </c>
      <c r="N921" s="2659">
        <v>307.40192400000001</v>
      </c>
      <c r="O921" s="2659">
        <v>307.77692400000001</v>
      </c>
      <c r="P921" s="2659">
        <v>310</v>
      </c>
      <c r="Q921" s="2659">
        <v>310.95235200000002</v>
      </c>
      <c r="R921" s="2667">
        <v>280</v>
      </c>
    </row>
    <row r="922" spans="1:18">
      <c r="A922" s="2651"/>
      <c r="B922" s="2654" t="s">
        <v>9526</v>
      </c>
      <c r="C922" s="2652" t="s">
        <v>9067</v>
      </c>
      <c r="D922" s="2659">
        <v>309.94</v>
      </c>
      <c r="E922" s="2659">
        <v>309.46499999999997</v>
      </c>
      <c r="F922" s="2659">
        <v>307.34192400000001</v>
      </c>
      <c r="G922" s="2659">
        <v>307.161924</v>
      </c>
      <c r="H922" s="2659">
        <v>305.609872</v>
      </c>
      <c r="I922" s="2659">
        <v>304.69782400000003</v>
      </c>
      <c r="J922" s="2659"/>
      <c r="K922" s="2659"/>
      <c r="L922" s="2659"/>
      <c r="M922" s="2659"/>
      <c r="N922" s="2659"/>
      <c r="O922" s="2659"/>
      <c r="P922" s="2659"/>
      <c r="Q922" s="2659"/>
      <c r="R922" s="2667"/>
    </row>
    <row r="923" spans="1:18">
      <c r="A923" s="2651">
        <v>320</v>
      </c>
      <c r="B923" s="2654" t="s">
        <v>9527</v>
      </c>
      <c r="C923" s="2652" t="s">
        <v>9065</v>
      </c>
      <c r="D923" s="2659">
        <v>319.92</v>
      </c>
      <c r="E923" s="2659">
        <v>319.32</v>
      </c>
      <c r="F923" s="2659">
        <v>316.02288600000003</v>
      </c>
      <c r="G923" s="2659">
        <v>315.70788599999997</v>
      </c>
      <c r="H923" s="2659">
        <v>313.42480799999998</v>
      </c>
      <c r="I923" s="2659">
        <v>312.01173599999998</v>
      </c>
      <c r="J923" s="2659"/>
      <c r="K923" s="2659" t="s">
        <v>9066</v>
      </c>
      <c r="L923" s="2659">
        <v>313.50480800000003</v>
      </c>
      <c r="M923" s="2659">
        <v>314.30480799999998</v>
      </c>
      <c r="N923" s="2659">
        <v>316.10288600000001</v>
      </c>
      <c r="O923" s="2659">
        <v>316.52788600000002</v>
      </c>
      <c r="P923" s="2659">
        <v>320</v>
      </c>
      <c r="Q923" s="2659">
        <v>321.29102799999998</v>
      </c>
      <c r="R923" s="2667">
        <v>288</v>
      </c>
    </row>
    <row r="924" spans="1:18">
      <c r="A924" s="2651"/>
      <c r="B924" s="2654" t="s">
        <v>9527</v>
      </c>
      <c r="C924" s="2652" t="s">
        <v>9067</v>
      </c>
      <c r="D924" s="2659">
        <v>319.92</v>
      </c>
      <c r="E924" s="2659">
        <v>319.32</v>
      </c>
      <c r="F924" s="2659">
        <v>316.02288600000003</v>
      </c>
      <c r="G924" s="2659">
        <v>315.82288599999998</v>
      </c>
      <c r="H924" s="2659">
        <v>313.42480799999998</v>
      </c>
      <c r="I924" s="2659">
        <v>312.12673599999999</v>
      </c>
      <c r="J924" s="2659"/>
      <c r="K924" s="2659"/>
      <c r="L924" s="2659"/>
      <c r="M924" s="2659"/>
      <c r="N924" s="2659"/>
      <c r="O924" s="2659"/>
      <c r="P924" s="2659"/>
      <c r="Q924" s="2659"/>
      <c r="R924" s="2667"/>
    </row>
    <row r="925" spans="1:18">
      <c r="A925" s="2651"/>
      <c r="B925" s="2654" t="s">
        <v>9528</v>
      </c>
      <c r="C925" s="2652" t="s">
        <v>9065</v>
      </c>
      <c r="D925" s="2659">
        <v>319.94</v>
      </c>
      <c r="E925" s="2659">
        <v>319.46499999999997</v>
      </c>
      <c r="F925" s="2659">
        <v>317.34192400000001</v>
      </c>
      <c r="G925" s="2659">
        <v>317.06192399999998</v>
      </c>
      <c r="H925" s="2659">
        <v>315.609872</v>
      </c>
      <c r="I925" s="2659">
        <v>314.597824</v>
      </c>
      <c r="J925" s="2659"/>
      <c r="K925" s="2659" t="s">
        <v>9066</v>
      </c>
      <c r="L925" s="2659">
        <v>315.669872</v>
      </c>
      <c r="M925" s="2659">
        <v>316.26987200000002</v>
      </c>
      <c r="N925" s="2659">
        <v>317.40192400000001</v>
      </c>
      <c r="O925" s="2659">
        <v>317.77692400000001</v>
      </c>
      <c r="P925" s="2659">
        <v>320</v>
      </c>
      <c r="Q925" s="2659">
        <v>320.95235200000002</v>
      </c>
      <c r="R925" s="2667">
        <v>288</v>
      </c>
    </row>
    <row r="926" spans="1:18">
      <c r="A926" s="2651"/>
      <c r="B926" s="2654" t="s">
        <v>9528</v>
      </c>
      <c r="C926" s="2652" t="s">
        <v>9067</v>
      </c>
      <c r="D926" s="2659">
        <v>319.94</v>
      </c>
      <c r="E926" s="2659">
        <v>319.46499999999997</v>
      </c>
      <c r="F926" s="2659">
        <v>317.34192400000001</v>
      </c>
      <c r="G926" s="2659">
        <v>317.161924</v>
      </c>
      <c r="H926" s="2659">
        <v>315.609872</v>
      </c>
      <c r="I926" s="2659">
        <v>314.69782400000003</v>
      </c>
      <c r="J926" s="2659"/>
      <c r="K926" s="2659"/>
      <c r="L926" s="2659"/>
      <c r="M926" s="2659"/>
      <c r="N926" s="2659"/>
      <c r="O926" s="2659"/>
      <c r="P926" s="2659"/>
      <c r="Q926" s="2659"/>
      <c r="R926" s="2667"/>
    </row>
    <row r="927" spans="1:18">
      <c r="A927" s="2651">
        <v>330</v>
      </c>
      <c r="B927" s="2654" t="s">
        <v>9529</v>
      </c>
      <c r="C927" s="2652" t="s">
        <v>9065</v>
      </c>
      <c r="D927" s="2659">
        <v>329.92</v>
      </c>
      <c r="E927" s="2659">
        <v>329.32</v>
      </c>
      <c r="F927" s="2659">
        <v>326.02288600000003</v>
      </c>
      <c r="G927" s="2659">
        <v>325.70788599999997</v>
      </c>
      <c r="H927" s="2659">
        <v>323.42480799999998</v>
      </c>
      <c r="I927" s="2659">
        <v>322.01173599999998</v>
      </c>
      <c r="J927" s="2659"/>
      <c r="K927" s="2659" t="s">
        <v>9066</v>
      </c>
      <c r="L927" s="2659">
        <v>323.50480800000003</v>
      </c>
      <c r="M927" s="2659">
        <v>324.30480799999998</v>
      </c>
      <c r="N927" s="2659">
        <v>326.10288600000001</v>
      </c>
      <c r="O927" s="2659">
        <v>326.52788600000002</v>
      </c>
      <c r="P927" s="2659">
        <v>330</v>
      </c>
      <c r="Q927" s="2659">
        <v>331.29102799999998</v>
      </c>
      <c r="R927" s="2667">
        <v>297</v>
      </c>
    </row>
    <row r="928" spans="1:18">
      <c r="A928" s="2651"/>
      <c r="B928" s="2654" t="s">
        <v>9529</v>
      </c>
      <c r="C928" s="2652" t="s">
        <v>9067</v>
      </c>
      <c r="D928" s="2659">
        <v>329.92</v>
      </c>
      <c r="E928" s="2659">
        <v>329.32</v>
      </c>
      <c r="F928" s="2659">
        <v>326.02288600000003</v>
      </c>
      <c r="G928" s="2659">
        <v>325.82288599999998</v>
      </c>
      <c r="H928" s="2659">
        <v>323.42480799999998</v>
      </c>
      <c r="I928" s="2659">
        <v>322.12673599999999</v>
      </c>
      <c r="J928" s="2659"/>
      <c r="K928" s="2659"/>
      <c r="L928" s="2659"/>
      <c r="M928" s="2659"/>
      <c r="N928" s="2659"/>
      <c r="O928" s="2659"/>
      <c r="P928" s="2659"/>
      <c r="Q928" s="2659"/>
      <c r="R928" s="2667"/>
    </row>
    <row r="929" spans="1:18">
      <c r="A929" s="2651"/>
      <c r="B929" s="2654" t="s">
        <v>9530</v>
      </c>
      <c r="C929" s="2652" t="s">
        <v>9065</v>
      </c>
      <c r="D929" s="2659">
        <v>329.94</v>
      </c>
      <c r="E929" s="2659">
        <v>329.46499999999997</v>
      </c>
      <c r="F929" s="2659">
        <v>327.34192400000001</v>
      </c>
      <c r="G929" s="2659">
        <v>327.06192399999998</v>
      </c>
      <c r="H929" s="2659">
        <v>325.609872</v>
      </c>
      <c r="I929" s="2659">
        <v>324.597824</v>
      </c>
      <c r="J929" s="2659"/>
      <c r="K929" s="2659" t="s">
        <v>9066</v>
      </c>
      <c r="L929" s="2659">
        <v>325.669872</v>
      </c>
      <c r="M929" s="2659">
        <v>326.26987200000002</v>
      </c>
      <c r="N929" s="2659">
        <v>327.40192400000001</v>
      </c>
      <c r="O929" s="2659">
        <v>327.77692400000001</v>
      </c>
      <c r="P929" s="2659">
        <v>330</v>
      </c>
      <c r="Q929" s="2659">
        <v>330.95235200000002</v>
      </c>
      <c r="R929" s="2667">
        <v>297</v>
      </c>
    </row>
    <row r="930" spans="1:18">
      <c r="A930" s="2651"/>
      <c r="B930" s="2654" t="s">
        <v>9530</v>
      </c>
      <c r="C930" s="2652" t="s">
        <v>9067</v>
      </c>
      <c r="D930" s="2659">
        <v>329.94</v>
      </c>
      <c r="E930" s="2659">
        <v>329.46499999999997</v>
      </c>
      <c r="F930" s="2659">
        <v>327.34192400000001</v>
      </c>
      <c r="G930" s="2659">
        <v>327.161924</v>
      </c>
      <c r="H930" s="2659">
        <v>325.609872</v>
      </c>
      <c r="I930" s="2659">
        <v>324.69782400000003</v>
      </c>
      <c r="J930" s="2659"/>
      <c r="K930" s="2659"/>
      <c r="L930" s="2659"/>
      <c r="M930" s="2659"/>
      <c r="N930" s="2659"/>
      <c r="O930" s="2659"/>
      <c r="P930" s="2659"/>
      <c r="Q930" s="2659"/>
      <c r="R930" s="2667"/>
    </row>
    <row r="931" spans="1:18">
      <c r="A931" s="2651">
        <v>340</v>
      </c>
      <c r="B931" s="2654" t="s">
        <v>9529</v>
      </c>
      <c r="C931" s="2652" t="s">
        <v>9065</v>
      </c>
      <c r="D931" s="2659">
        <v>339.92</v>
      </c>
      <c r="E931" s="2659">
        <v>339.32</v>
      </c>
      <c r="F931" s="2659">
        <v>336.02288600000003</v>
      </c>
      <c r="G931" s="2659">
        <v>335.70788599999997</v>
      </c>
      <c r="H931" s="2659">
        <v>333.42480799999998</v>
      </c>
      <c r="I931" s="2659">
        <v>332.01173599999998</v>
      </c>
      <c r="J931" s="2659"/>
      <c r="K931" s="2659" t="s">
        <v>9066</v>
      </c>
      <c r="L931" s="2659">
        <v>333.50480800000003</v>
      </c>
      <c r="M931" s="2659">
        <v>334.30480799999998</v>
      </c>
      <c r="N931" s="2659">
        <v>336.10288600000001</v>
      </c>
      <c r="O931" s="2659">
        <v>336.52788600000002</v>
      </c>
      <c r="P931" s="2659">
        <v>340</v>
      </c>
      <c r="Q931" s="2659">
        <v>341.29102799999998</v>
      </c>
      <c r="R931" s="2667">
        <v>306</v>
      </c>
    </row>
    <row r="932" spans="1:18">
      <c r="A932" s="2651"/>
      <c r="B932" s="2654" t="s">
        <v>9531</v>
      </c>
      <c r="C932" s="2652" t="s">
        <v>9067</v>
      </c>
      <c r="D932" s="2659">
        <v>339.92</v>
      </c>
      <c r="E932" s="2659">
        <v>339.32</v>
      </c>
      <c r="F932" s="2659">
        <v>336.02288600000003</v>
      </c>
      <c r="G932" s="2659">
        <v>335.82288599999998</v>
      </c>
      <c r="H932" s="2659">
        <v>333.42480799999998</v>
      </c>
      <c r="I932" s="2659">
        <v>332.12673599999999</v>
      </c>
      <c r="J932" s="2659"/>
      <c r="K932" s="2659"/>
      <c r="L932" s="2659"/>
      <c r="M932" s="2659"/>
      <c r="N932" s="2659"/>
      <c r="O932" s="2659"/>
      <c r="P932" s="2659"/>
      <c r="Q932" s="2659"/>
      <c r="R932" s="2667"/>
    </row>
    <row r="933" spans="1:18">
      <c r="A933" s="2651"/>
      <c r="B933" s="2654" t="s">
        <v>9532</v>
      </c>
      <c r="C933" s="2652" t="s">
        <v>9065</v>
      </c>
      <c r="D933" s="2659">
        <v>339.94</v>
      </c>
      <c r="E933" s="2659">
        <v>339.46499999999997</v>
      </c>
      <c r="F933" s="2659">
        <v>337.34192400000001</v>
      </c>
      <c r="G933" s="2659">
        <v>337.06192399999998</v>
      </c>
      <c r="H933" s="2659">
        <v>335.609872</v>
      </c>
      <c r="I933" s="2659">
        <v>334.597824</v>
      </c>
      <c r="J933" s="2659"/>
      <c r="K933" s="2659" t="s">
        <v>9066</v>
      </c>
      <c r="L933" s="2659">
        <v>335.669872</v>
      </c>
      <c r="M933" s="2659">
        <v>336.26987200000002</v>
      </c>
      <c r="N933" s="2659">
        <v>337.40192400000001</v>
      </c>
      <c r="O933" s="2659">
        <v>337.77692400000001</v>
      </c>
      <c r="P933" s="2659">
        <v>340</v>
      </c>
      <c r="Q933" s="2659">
        <v>340.95235200000002</v>
      </c>
      <c r="R933" s="2667">
        <v>306</v>
      </c>
    </row>
    <row r="934" spans="1:18">
      <c r="A934" s="2651"/>
      <c r="B934" s="2654" t="s">
        <v>9532</v>
      </c>
      <c r="C934" s="2652" t="s">
        <v>9067</v>
      </c>
      <c r="D934" s="2659">
        <v>339.94</v>
      </c>
      <c r="E934" s="2659">
        <v>339.46499999999997</v>
      </c>
      <c r="F934" s="2659">
        <v>337.34192400000001</v>
      </c>
      <c r="G934" s="2659">
        <v>337.161924</v>
      </c>
      <c r="H934" s="2659">
        <v>335.609872</v>
      </c>
      <c r="I934" s="2659">
        <v>334.69782400000003</v>
      </c>
      <c r="J934" s="2659"/>
      <c r="K934" s="2659"/>
      <c r="L934" s="2659"/>
      <c r="M934" s="2659"/>
      <c r="N934" s="2659"/>
      <c r="O934" s="2659"/>
      <c r="P934" s="2659"/>
      <c r="Q934" s="2659"/>
      <c r="R934" s="2667"/>
    </row>
    <row r="935" spans="1:18">
      <c r="A935" s="2651">
        <v>350</v>
      </c>
      <c r="B935" s="2654" t="s">
        <v>9533</v>
      </c>
      <c r="C935" s="2652" t="s">
        <v>9065</v>
      </c>
      <c r="D935" s="2659">
        <v>349.92</v>
      </c>
      <c r="E935" s="2659">
        <v>349.32</v>
      </c>
      <c r="F935" s="2659">
        <v>346.02288600000003</v>
      </c>
      <c r="G935" s="2659">
        <v>345.70788599999997</v>
      </c>
      <c r="H935" s="2659">
        <v>343.42480799999998</v>
      </c>
      <c r="I935" s="2659">
        <v>342.01173599999998</v>
      </c>
      <c r="J935" s="2659"/>
      <c r="K935" s="2659" t="s">
        <v>9066</v>
      </c>
      <c r="L935" s="2659">
        <v>343.50480800000003</v>
      </c>
      <c r="M935" s="2659">
        <v>344.30480799999998</v>
      </c>
      <c r="N935" s="2659">
        <v>346.10288600000001</v>
      </c>
      <c r="O935" s="2659">
        <v>346.52788600000002</v>
      </c>
      <c r="P935" s="2659">
        <v>350</v>
      </c>
      <c r="Q935" s="2659">
        <v>351.29102799999998</v>
      </c>
      <c r="R935" s="2667">
        <v>315</v>
      </c>
    </row>
    <row r="936" spans="1:18">
      <c r="A936" s="2651"/>
      <c r="B936" s="2654" t="s">
        <v>9533</v>
      </c>
      <c r="C936" s="2652" t="s">
        <v>9067</v>
      </c>
      <c r="D936" s="2659">
        <v>349.92</v>
      </c>
      <c r="E936" s="2659">
        <v>349.32</v>
      </c>
      <c r="F936" s="2659">
        <v>346.02288600000003</v>
      </c>
      <c r="G936" s="2659">
        <v>345.82288599999998</v>
      </c>
      <c r="H936" s="2659">
        <v>343.42480799999998</v>
      </c>
      <c r="I936" s="2659">
        <v>342.12673599999999</v>
      </c>
      <c r="J936" s="2659"/>
      <c r="K936" s="2659"/>
      <c r="L936" s="2659"/>
      <c r="M936" s="2659"/>
      <c r="N936" s="2659"/>
      <c r="O936" s="2659"/>
      <c r="P936" s="2659"/>
      <c r="Q936" s="2659"/>
      <c r="R936" s="2667"/>
    </row>
    <row r="937" spans="1:18">
      <c r="A937" s="2651"/>
      <c r="B937" s="2654" t="s">
        <v>9534</v>
      </c>
      <c r="C937" s="2652" t="s">
        <v>9065</v>
      </c>
      <c r="D937" s="2659">
        <v>349.94</v>
      </c>
      <c r="E937" s="2659">
        <v>349.46499999999997</v>
      </c>
      <c r="F937" s="2659">
        <v>347.34192400000001</v>
      </c>
      <c r="G937" s="2659">
        <v>347.06192399999998</v>
      </c>
      <c r="H937" s="2659">
        <v>345.609872</v>
      </c>
      <c r="I937" s="2659">
        <v>344.597824</v>
      </c>
      <c r="J937" s="2659"/>
      <c r="K937" s="2659" t="s">
        <v>9066</v>
      </c>
      <c r="L937" s="2659">
        <v>345.669872</v>
      </c>
      <c r="M937" s="2659">
        <v>346.26987200000002</v>
      </c>
      <c r="N937" s="2659">
        <v>347.40192400000001</v>
      </c>
      <c r="O937" s="2659">
        <v>347.77692400000001</v>
      </c>
      <c r="P937" s="2659">
        <v>350</v>
      </c>
      <c r="Q937" s="2659">
        <v>350.95235200000002</v>
      </c>
      <c r="R937" s="2667">
        <v>315</v>
      </c>
    </row>
    <row r="938" spans="1:18">
      <c r="A938" s="2651"/>
      <c r="B938" s="2654" t="s">
        <v>9534</v>
      </c>
      <c r="C938" s="2652" t="s">
        <v>9067</v>
      </c>
      <c r="D938" s="2659">
        <v>349.94</v>
      </c>
      <c r="E938" s="2659">
        <v>349.46499999999997</v>
      </c>
      <c r="F938" s="2659">
        <v>347.34192400000001</v>
      </c>
      <c r="G938" s="2659">
        <v>347.161924</v>
      </c>
      <c r="H938" s="2659">
        <v>345.609872</v>
      </c>
      <c r="I938" s="2659">
        <v>344.69782400000003</v>
      </c>
      <c r="J938" s="2659"/>
      <c r="K938" s="2659"/>
      <c r="L938" s="2659"/>
      <c r="M938" s="2659"/>
      <c r="N938" s="2659"/>
      <c r="O938" s="2659"/>
      <c r="P938" s="2659"/>
      <c r="Q938" s="2659"/>
      <c r="R938" s="2667"/>
    </row>
    <row r="939" spans="1:18">
      <c r="A939" s="2651">
        <v>360</v>
      </c>
      <c r="B939" s="2654" t="s">
        <v>9535</v>
      </c>
      <c r="C939" s="2652" t="s">
        <v>9065</v>
      </c>
      <c r="D939" s="2659">
        <v>359.92</v>
      </c>
      <c r="E939" s="2659">
        <v>359.32</v>
      </c>
      <c r="F939" s="2659">
        <v>356.02288600000003</v>
      </c>
      <c r="G939" s="2659">
        <v>355.66788600000001</v>
      </c>
      <c r="H939" s="2659">
        <v>353.42480799999998</v>
      </c>
      <c r="I939" s="2659">
        <v>351.97173600000002</v>
      </c>
      <c r="J939" s="2659"/>
      <c r="K939" s="2659" t="s">
        <v>9066</v>
      </c>
      <c r="L939" s="2659">
        <v>353.50480800000003</v>
      </c>
      <c r="M939" s="2659">
        <v>354.30480799999998</v>
      </c>
      <c r="N939" s="2659">
        <v>356.10288600000001</v>
      </c>
      <c r="O939" s="2659">
        <v>356.57788599999998</v>
      </c>
      <c r="P939" s="2659">
        <v>360</v>
      </c>
      <c r="Q939" s="2659">
        <v>361.34102799999999</v>
      </c>
      <c r="R939" s="2667">
        <v>324</v>
      </c>
    </row>
    <row r="940" spans="1:18">
      <c r="A940" s="2651"/>
      <c r="B940" s="2654" t="s">
        <v>9535</v>
      </c>
      <c r="C940" s="2652" t="s">
        <v>9067</v>
      </c>
      <c r="D940" s="2659">
        <v>359.92</v>
      </c>
      <c r="E940" s="2659">
        <v>359.32</v>
      </c>
      <c r="F940" s="2659">
        <v>356.02288600000003</v>
      </c>
      <c r="G940" s="2659">
        <v>355.79888599999998</v>
      </c>
      <c r="H940" s="2659">
        <v>353.42480799999998</v>
      </c>
      <c r="I940" s="2659">
        <v>352.10273599999999</v>
      </c>
      <c r="J940" s="2659"/>
      <c r="K940" s="2659"/>
      <c r="L940" s="2659"/>
      <c r="M940" s="2659"/>
      <c r="N940" s="2659"/>
      <c r="O940" s="2659"/>
      <c r="P940" s="2659"/>
      <c r="Q940" s="2659"/>
      <c r="R940" s="2667"/>
    </row>
    <row r="941" spans="1:18">
      <c r="A941" s="2651"/>
      <c r="B941" s="2654" t="s">
        <v>9536</v>
      </c>
      <c r="C941" s="2652" t="s">
        <v>9065</v>
      </c>
      <c r="D941" s="2659">
        <v>359.94</v>
      </c>
      <c r="E941" s="2659">
        <v>359.46499999999997</v>
      </c>
      <c r="F941" s="2659">
        <v>357.34192400000001</v>
      </c>
      <c r="G941" s="2659">
        <v>357.04192399999999</v>
      </c>
      <c r="H941" s="2659">
        <v>355.609872</v>
      </c>
      <c r="I941" s="2659">
        <v>354.57782400000002</v>
      </c>
      <c r="J941" s="2659"/>
      <c r="K941" s="2659" t="s">
        <v>9066</v>
      </c>
      <c r="L941" s="2659">
        <v>355.669872</v>
      </c>
      <c r="M941" s="2659">
        <v>356.26987200000002</v>
      </c>
      <c r="N941" s="2659">
        <v>357.40192400000001</v>
      </c>
      <c r="O941" s="2659">
        <v>357.80192399999999</v>
      </c>
      <c r="P941" s="2659">
        <v>360</v>
      </c>
      <c r="Q941" s="2659">
        <v>360.977352</v>
      </c>
      <c r="R941" s="2667">
        <v>324</v>
      </c>
    </row>
    <row r="942" spans="1:18">
      <c r="A942" s="2651"/>
      <c r="B942" s="2654" t="s">
        <v>9536</v>
      </c>
      <c r="C942" s="2652" t="s">
        <v>9067</v>
      </c>
      <c r="D942" s="2659">
        <v>359.94</v>
      </c>
      <c r="E942" s="2659">
        <v>359.46499999999997</v>
      </c>
      <c r="F942" s="2659">
        <v>357.34192400000001</v>
      </c>
      <c r="G942" s="2659">
        <v>357.15192400000001</v>
      </c>
      <c r="H942" s="2659">
        <v>355.609872</v>
      </c>
      <c r="I942" s="2659">
        <v>354.68782399999998</v>
      </c>
      <c r="J942" s="2659"/>
      <c r="K942" s="2659"/>
      <c r="L942" s="2659"/>
      <c r="M942" s="2659"/>
      <c r="N942" s="2659"/>
      <c r="O942" s="2659"/>
      <c r="P942" s="2659"/>
      <c r="Q942" s="2659"/>
      <c r="R942" s="2667"/>
    </row>
    <row r="943" spans="1:18">
      <c r="A943" s="2651">
        <v>370</v>
      </c>
      <c r="B943" s="2654" t="s">
        <v>9537</v>
      </c>
      <c r="C943" s="2652" t="s">
        <v>9065</v>
      </c>
      <c r="D943" s="2659">
        <v>369.92</v>
      </c>
      <c r="E943" s="2659">
        <v>369.32</v>
      </c>
      <c r="F943" s="2659">
        <v>366.02288600000003</v>
      </c>
      <c r="G943" s="2659">
        <v>365.66788600000001</v>
      </c>
      <c r="H943" s="2659">
        <v>363.42480799999998</v>
      </c>
      <c r="I943" s="2659">
        <v>361.97173600000002</v>
      </c>
      <c r="J943" s="2659"/>
      <c r="K943" s="2659" t="s">
        <v>9066</v>
      </c>
      <c r="L943" s="2659">
        <v>363.50480800000003</v>
      </c>
      <c r="M943" s="2659">
        <v>364.30480799999998</v>
      </c>
      <c r="N943" s="2659">
        <v>366.10288600000001</v>
      </c>
      <c r="O943" s="2659">
        <v>366.57788599999998</v>
      </c>
      <c r="P943" s="2659">
        <v>370</v>
      </c>
      <c r="Q943" s="2659">
        <v>371.34102799999999</v>
      </c>
      <c r="R943" s="2667">
        <v>333</v>
      </c>
    </row>
    <row r="944" spans="1:18">
      <c r="A944" s="2651"/>
      <c r="B944" s="2654" t="s">
        <v>9537</v>
      </c>
      <c r="C944" s="2652" t="s">
        <v>9067</v>
      </c>
      <c r="D944" s="2659">
        <v>369.92</v>
      </c>
      <c r="E944" s="2659">
        <v>369.32</v>
      </c>
      <c r="F944" s="2659">
        <v>366.02288600000003</v>
      </c>
      <c r="G944" s="2659">
        <v>365.79888599999998</v>
      </c>
      <c r="H944" s="2659">
        <v>363.42480799999998</v>
      </c>
      <c r="I944" s="2659">
        <v>362.10273599999999</v>
      </c>
      <c r="J944" s="2659"/>
      <c r="K944" s="2659"/>
      <c r="L944" s="2659"/>
      <c r="M944" s="2659"/>
      <c r="N944" s="2659"/>
      <c r="O944" s="2659"/>
      <c r="P944" s="2659"/>
      <c r="Q944" s="2659"/>
      <c r="R944" s="2667"/>
    </row>
    <row r="945" spans="1:18">
      <c r="A945" s="2651"/>
      <c r="B945" s="2654" t="s">
        <v>9538</v>
      </c>
      <c r="C945" s="2652" t="s">
        <v>9065</v>
      </c>
      <c r="D945" s="2659">
        <v>369.94</v>
      </c>
      <c r="E945" s="2659">
        <v>369.46499999999997</v>
      </c>
      <c r="F945" s="2659">
        <v>367.34192400000001</v>
      </c>
      <c r="G945" s="2659">
        <v>367.04192399999999</v>
      </c>
      <c r="H945" s="2659">
        <v>365.609872</v>
      </c>
      <c r="I945" s="2659">
        <v>364.57782400000002</v>
      </c>
      <c r="J945" s="2659"/>
      <c r="K945" s="2659" t="s">
        <v>9066</v>
      </c>
      <c r="L945" s="2659">
        <v>365.669872</v>
      </c>
      <c r="M945" s="2659">
        <v>366.26987200000002</v>
      </c>
      <c r="N945" s="2659">
        <v>367.40192400000001</v>
      </c>
      <c r="O945" s="2659">
        <v>367.80192399999999</v>
      </c>
      <c r="P945" s="2659">
        <v>370</v>
      </c>
      <c r="Q945" s="2659">
        <v>370.977352</v>
      </c>
      <c r="R945" s="2667">
        <v>333</v>
      </c>
    </row>
    <row r="946" spans="1:18">
      <c r="A946" s="2651"/>
      <c r="B946" s="2654" t="s">
        <v>9538</v>
      </c>
      <c r="C946" s="2652" t="s">
        <v>9067</v>
      </c>
      <c r="D946" s="2659">
        <v>369.94</v>
      </c>
      <c r="E946" s="2659">
        <v>369.46499999999997</v>
      </c>
      <c r="F946" s="2659">
        <v>367.34192400000001</v>
      </c>
      <c r="G946" s="2659">
        <v>367.15192400000001</v>
      </c>
      <c r="H946" s="2659">
        <v>365.609872</v>
      </c>
      <c r="I946" s="2659">
        <v>364.68782399999998</v>
      </c>
      <c r="J946" s="2659"/>
      <c r="K946" s="2659"/>
      <c r="L946" s="2659"/>
      <c r="M946" s="2659"/>
      <c r="N946" s="2659"/>
      <c r="O946" s="2659"/>
      <c r="P946" s="2659"/>
      <c r="Q946" s="2659"/>
      <c r="R946" s="2667"/>
    </row>
    <row r="947" spans="1:18">
      <c r="A947" s="2651">
        <v>380</v>
      </c>
      <c r="B947" s="2654" t="s">
        <v>9539</v>
      </c>
      <c r="C947" s="2652" t="s">
        <v>9065</v>
      </c>
      <c r="D947" s="2659">
        <v>379.92</v>
      </c>
      <c r="E947" s="2659">
        <v>379.32</v>
      </c>
      <c r="F947" s="2659">
        <v>376.02288600000003</v>
      </c>
      <c r="G947" s="2659">
        <v>375.66788600000001</v>
      </c>
      <c r="H947" s="2659">
        <v>373.42480799999998</v>
      </c>
      <c r="I947" s="2659">
        <v>371.97173600000002</v>
      </c>
      <c r="J947" s="2659"/>
      <c r="K947" s="2659" t="s">
        <v>9066</v>
      </c>
      <c r="L947" s="2659">
        <v>373.50480800000003</v>
      </c>
      <c r="M947" s="2659">
        <v>374.30480799999998</v>
      </c>
      <c r="N947" s="2659">
        <v>376.10288600000001</v>
      </c>
      <c r="O947" s="2659">
        <v>376.57788599999998</v>
      </c>
      <c r="P947" s="2659">
        <v>380</v>
      </c>
      <c r="Q947" s="2659">
        <v>381.34102799999999</v>
      </c>
      <c r="R947" s="2667">
        <v>342</v>
      </c>
    </row>
    <row r="948" spans="1:18">
      <c r="A948" s="2651"/>
      <c r="B948" s="2654" t="s">
        <v>9539</v>
      </c>
      <c r="C948" s="2652" t="s">
        <v>9067</v>
      </c>
      <c r="D948" s="2659">
        <v>379.92</v>
      </c>
      <c r="E948" s="2659">
        <v>379.32</v>
      </c>
      <c r="F948" s="2659">
        <v>376.02288600000003</v>
      </c>
      <c r="G948" s="2659">
        <v>375.79888599999998</v>
      </c>
      <c r="H948" s="2659">
        <v>373.42480799999998</v>
      </c>
      <c r="I948" s="2659">
        <v>372.10273599999999</v>
      </c>
      <c r="J948" s="2659"/>
      <c r="K948" s="2659"/>
      <c r="L948" s="2659"/>
      <c r="M948" s="2659"/>
      <c r="N948" s="2659"/>
      <c r="O948" s="2659"/>
      <c r="P948" s="2659"/>
      <c r="Q948" s="2659"/>
      <c r="R948" s="2667"/>
    </row>
    <row r="949" spans="1:18">
      <c r="A949" s="2651"/>
      <c r="B949" s="2654" t="s">
        <v>9540</v>
      </c>
      <c r="C949" s="2652" t="s">
        <v>9065</v>
      </c>
      <c r="D949" s="2659">
        <v>379.94</v>
      </c>
      <c r="E949" s="2659">
        <v>379.46499999999997</v>
      </c>
      <c r="F949" s="2659">
        <v>377.34192400000001</v>
      </c>
      <c r="G949" s="2659">
        <v>377.04192399999999</v>
      </c>
      <c r="H949" s="2659">
        <v>375.609872</v>
      </c>
      <c r="I949" s="2659">
        <v>374.57782400000002</v>
      </c>
      <c r="J949" s="2659"/>
      <c r="K949" s="2659" t="s">
        <v>9066</v>
      </c>
      <c r="L949" s="2659">
        <v>375.669872</v>
      </c>
      <c r="M949" s="2659">
        <v>376.26987200000002</v>
      </c>
      <c r="N949" s="2659">
        <v>377.40192400000001</v>
      </c>
      <c r="O949" s="2659">
        <v>377.80192399999999</v>
      </c>
      <c r="P949" s="2659">
        <v>380</v>
      </c>
      <c r="Q949" s="2659">
        <v>380.977352</v>
      </c>
      <c r="R949" s="2667">
        <v>342</v>
      </c>
    </row>
    <row r="950" spans="1:18">
      <c r="A950" s="2651"/>
      <c r="B950" s="2654" t="s">
        <v>9540</v>
      </c>
      <c r="C950" s="2652" t="s">
        <v>9067</v>
      </c>
      <c r="D950" s="2659">
        <v>379.94</v>
      </c>
      <c r="E950" s="2659">
        <v>379.46499999999997</v>
      </c>
      <c r="F950" s="2659">
        <v>377.34192400000001</v>
      </c>
      <c r="G950" s="2659">
        <v>377.15192400000001</v>
      </c>
      <c r="H950" s="2659">
        <v>375.609872</v>
      </c>
      <c r="I950" s="2659">
        <v>374.68782399999998</v>
      </c>
      <c r="J950" s="2659"/>
      <c r="K950" s="2659"/>
      <c r="L950" s="2659"/>
      <c r="M950" s="2659"/>
      <c r="N950" s="2659"/>
      <c r="O950" s="2659"/>
      <c r="P950" s="2659"/>
      <c r="Q950" s="2659"/>
      <c r="R950" s="2667"/>
    </row>
    <row r="951" spans="1:18">
      <c r="A951" s="2651">
        <v>390</v>
      </c>
      <c r="B951" s="2654" t="s">
        <v>9541</v>
      </c>
      <c r="C951" s="2652" t="s">
        <v>9065</v>
      </c>
      <c r="D951" s="2659">
        <v>389.92</v>
      </c>
      <c r="E951" s="2659">
        <v>389.32</v>
      </c>
      <c r="F951" s="2659">
        <v>386.02288600000003</v>
      </c>
      <c r="G951" s="2659">
        <v>385.66788600000001</v>
      </c>
      <c r="H951" s="2659">
        <v>383.42480799999998</v>
      </c>
      <c r="I951" s="2659">
        <v>381.97173600000002</v>
      </c>
      <c r="J951" s="2659"/>
      <c r="K951" s="2659" t="s">
        <v>9066</v>
      </c>
      <c r="L951" s="2659">
        <v>383.50480800000003</v>
      </c>
      <c r="M951" s="2659">
        <v>384.30480799999998</v>
      </c>
      <c r="N951" s="2659">
        <v>386.10288600000001</v>
      </c>
      <c r="O951" s="2659">
        <v>386.57788599999998</v>
      </c>
      <c r="P951" s="2659">
        <v>390</v>
      </c>
      <c r="Q951" s="2659">
        <v>391.34102799999999</v>
      </c>
      <c r="R951" s="2667">
        <v>351</v>
      </c>
    </row>
    <row r="952" spans="1:18">
      <c r="A952" s="2651"/>
      <c r="B952" s="2654" t="s">
        <v>9541</v>
      </c>
      <c r="C952" s="2652" t="s">
        <v>9067</v>
      </c>
      <c r="D952" s="2659">
        <v>389.92</v>
      </c>
      <c r="E952" s="2659">
        <v>389.32</v>
      </c>
      <c r="F952" s="2659">
        <v>386.02288600000003</v>
      </c>
      <c r="G952" s="2659">
        <v>385.79888599999998</v>
      </c>
      <c r="H952" s="2659">
        <v>383.42480799999998</v>
      </c>
      <c r="I952" s="2659">
        <v>382.10273599999999</v>
      </c>
      <c r="J952" s="2659"/>
      <c r="K952" s="2659"/>
      <c r="L952" s="2659"/>
      <c r="M952" s="2659"/>
      <c r="N952" s="2659"/>
      <c r="O952" s="2659"/>
      <c r="P952" s="2659"/>
      <c r="Q952" s="2659"/>
      <c r="R952" s="2667"/>
    </row>
    <row r="953" spans="1:18">
      <c r="A953" s="2651"/>
      <c r="B953" s="2654" t="s">
        <v>9542</v>
      </c>
      <c r="C953" s="2652" t="s">
        <v>9065</v>
      </c>
      <c r="D953" s="2659">
        <v>389.94</v>
      </c>
      <c r="E953" s="2659">
        <v>389.46499999999997</v>
      </c>
      <c r="F953" s="2659">
        <v>387.34192400000001</v>
      </c>
      <c r="G953" s="2659">
        <v>387.04192399999999</v>
      </c>
      <c r="H953" s="2659">
        <v>385.609872</v>
      </c>
      <c r="I953" s="2659">
        <v>384.57782400000002</v>
      </c>
      <c r="J953" s="2659"/>
      <c r="K953" s="2659" t="s">
        <v>9066</v>
      </c>
      <c r="L953" s="2659">
        <v>385.669872</v>
      </c>
      <c r="M953" s="2659">
        <v>386.26987200000002</v>
      </c>
      <c r="N953" s="2659">
        <v>387.40192400000001</v>
      </c>
      <c r="O953" s="2659">
        <v>387.80192399999999</v>
      </c>
      <c r="P953" s="2659">
        <v>390</v>
      </c>
      <c r="Q953" s="2659">
        <v>390.977352</v>
      </c>
      <c r="R953" s="2667">
        <v>351</v>
      </c>
    </row>
    <row r="954" spans="1:18">
      <c r="A954" s="2651"/>
      <c r="B954" s="2654" t="s">
        <v>9542</v>
      </c>
      <c r="C954" s="2652" t="s">
        <v>9067</v>
      </c>
      <c r="D954" s="2659">
        <v>389.94</v>
      </c>
      <c r="E954" s="2659">
        <v>389.46499999999997</v>
      </c>
      <c r="F954" s="2659">
        <v>387.34192400000001</v>
      </c>
      <c r="G954" s="2659">
        <v>387.15192400000001</v>
      </c>
      <c r="H954" s="2659">
        <v>385.609872</v>
      </c>
      <c r="I954" s="2659">
        <v>384.68782399999998</v>
      </c>
      <c r="J954" s="2659"/>
      <c r="K954" s="2659"/>
      <c r="L954" s="2659"/>
      <c r="M954" s="2659"/>
      <c r="N954" s="2659"/>
      <c r="O954" s="2659"/>
      <c r="P954" s="2659"/>
      <c r="Q954" s="2659"/>
      <c r="R954" s="2667"/>
    </row>
    <row r="955" spans="1:18">
      <c r="A955" s="2651">
        <v>400</v>
      </c>
      <c r="B955" s="2654" t="s">
        <v>9543</v>
      </c>
      <c r="C955" s="2652" t="s">
        <v>9065</v>
      </c>
      <c r="D955" s="2659">
        <v>399.92</v>
      </c>
      <c r="E955" s="2659">
        <v>399.32</v>
      </c>
      <c r="F955" s="2659">
        <v>396.02288600000003</v>
      </c>
      <c r="G955" s="2659">
        <v>395.66788600000001</v>
      </c>
      <c r="H955" s="2659">
        <v>393.42480799999998</v>
      </c>
      <c r="I955" s="2659">
        <v>391.97173600000002</v>
      </c>
      <c r="J955" s="2659"/>
      <c r="K955" s="2659" t="s">
        <v>9066</v>
      </c>
      <c r="L955" s="2659">
        <v>393.50480800000003</v>
      </c>
      <c r="M955" s="2659">
        <v>394.30480799999998</v>
      </c>
      <c r="N955" s="2659">
        <v>396.10288600000001</v>
      </c>
      <c r="O955" s="2659">
        <v>396.57788599999998</v>
      </c>
      <c r="P955" s="2659">
        <v>400</v>
      </c>
      <c r="Q955" s="2659">
        <v>401.34102799999999</v>
      </c>
      <c r="R955" s="2667">
        <v>360</v>
      </c>
    </row>
    <row r="956" spans="1:18">
      <c r="A956" s="2651"/>
      <c r="B956" s="2654" t="s">
        <v>9543</v>
      </c>
      <c r="C956" s="2652" t="s">
        <v>9067</v>
      </c>
      <c r="D956" s="2659">
        <v>399.92</v>
      </c>
      <c r="E956" s="2659">
        <v>399.32</v>
      </c>
      <c r="F956" s="2659">
        <v>396.02288600000003</v>
      </c>
      <c r="G956" s="2659">
        <v>395.79888599999998</v>
      </c>
      <c r="H956" s="2659">
        <v>393.42480799999998</v>
      </c>
      <c r="I956" s="2659">
        <v>392.10273599999999</v>
      </c>
      <c r="J956" s="2659"/>
      <c r="K956" s="2659"/>
      <c r="L956" s="2659"/>
      <c r="M956" s="2659"/>
      <c r="N956" s="2659"/>
      <c r="O956" s="2659"/>
      <c r="P956" s="2659"/>
      <c r="Q956" s="2659"/>
      <c r="R956" s="2667"/>
    </row>
    <row r="957" spans="1:18">
      <c r="A957" s="2651"/>
      <c r="B957" s="2654" t="s">
        <v>9544</v>
      </c>
      <c r="C957" s="2652" t="s">
        <v>9065</v>
      </c>
      <c r="D957" s="2659">
        <v>399.94</v>
      </c>
      <c r="E957" s="2659">
        <v>399.46499999999997</v>
      </c>
      <c r="F957" s="2659">
        <v>397.34192400000001</v>
      </c>
      <c r="G957" s="2659">
        <v>397.04192399999999</v>
      </c>
      <c r="H957" s="2659">
        <v>395.609872</v>
      </c>
      <c r="I957" s="2659">
        <v>394.57782400000002</v>
      </c>
      <c r="J957" s="2659"/>
      <c r="K957" s="2659" t="s">
        <v>9066</v>
      </c>
      <c r="L957" s="2659">
        <v>395.669872</v>
      </c>
      <c r="M957" s="2659">
        <v>396.26987200000002</v>
      </c>
      <c r="N957" s="2659">
        <v>397.40192400000001</v>
      </c>
      <c r="O957" s="2659">
        <v>397.80192399999999</v>
      </c>
      <c r="P957" s="2659">
        <v>400</v>
      </c>
      <c r="Q957" s="2659">
        <v>400.977352</v>
      </c>
      <c r="R957" s="2667">
        <v>360</v>
      </c>
    </row>
    <row r="958" spans="1:18">
      <c r="A958" s="2651"/>
      <c r="B958" s="2654" t="s">
        <v>9544</v>
      </c>
      <c r="C958" s="2652" t="s">
        <v>9067</v>
      </c>
      <c r="D958" s="2659">
        <v>399.94</v>
      </c>
      <c r="E958" s="2659">
        <v>399.46499999999997</v>
      </c>
      <c r="F958" s="2659">
        <v>397.34192400000001</v>
      </c>
      <c r="G958" s="2659">
        <v>397.15192400000001</v>
      </c>
      <c r="H958" s="2659">
        <v>395.609872</v>
      </c>
      <c r="I958" s="2659">
        <v>394.68782399999998</v>
      </c>
      <c r="J958" s="2659"/>
      <c r="K958" s="2659"/>
      <c r="L958" s="2659"/>
      <c r="M958" s="2659"/>
      <c r="N958" s="2659"/>
      <c r="O958" s="2659"/>
      <c r="P958" s="2659"/>
      <c r="Q958" s="2659"/>
      <c r="R958" s="2667"/>
    </row>
    <row r="959" spans="1:18">
      <c r="A959" s="2651">
        <v>410</v>
      </c>
      <c r="B959" s="2654" t="s">
        <v>9545</v>
      </c>
      <c r="C959" s="2652" t="s">
        <v>9065</v>
      </c>
      <c r="D959" s="2659">
        <v>409.92</v>
      </c>
      <c r="E959" s="2659">
        <v>409.32</v>
      </c>
      <c r="F959" s="2659">
        <v>406.02288600000003</v>
      </c>
      <c r="G959" s="2659">
        <v>405.66788600000001</v>
      </c>
      <c r="H959" s="2659">
        <v>403.42480799999998</v>
      </c>
      <c r="I959" s="2659">
        <v>401.97173600000002</v>
      </c>
      <c r="J959" s="2659"/>
      <c r="K959" s="2659" t="s">
        <v>9066</v>
      </c>
      <c r="L959" s="2659">
        <v>403.50480800000003</v>
      </c>
      <c r="M959" s="2659">
        <v>404.30480799999998</v>
      </c>
      <c r="N959" s="2659">
        <v>406.10288600000001</v>
      </c>
      <c r="O959" s="2659">
        <v>406.57788599999998</v>
      </c>
      <c r="P959" s="2659">
        <v>410</v>
      </c>
      <c r="Q959" s="2659">
        <v>411.34102799999999</v>
      </c>
      <c r="R959" s="2667">
        <v>369</v>
      </c>
    </row>
    <row r="960" spans="1:18">
      <c r="A960" s="2651"/>
      <c r="B960" s="2654" t="s">
        <v>9545</v>
      </c>
      <c r="C960" s="2652" t="s">
        <v>9067</v>
      </c>
      <c r="D960" s="2659">
        <v>409.92</v>
      </c>
      <c r="E960" s="2659">
        <v>409.32</v>
      </c>
      <c r="F960" s="2659">
        <v>406.02288600000003</v>
      </c>
      <c r="G960" s="2659">
        <v>405.79888599999998</v>
      </c>
      <c r="H960" s="2659">
        <v>403.42480799999998</v>
      </c>
      <c r="I960" s="2659">
        <v>402.10273599999999</v>
      </c>
      <c r="J960" s="2659"/>
      <c r="K960" s="2659"/>
      <c r="L960" s="2659"/>
      <c r="M960" s="2659"/>
      <c r="N960" s="2659"/>
      <c r="O960" s="2659"/>
      <c r="P960" s="2659"/>
      <c r="Q960" s="2659"/>
      <c r="R960" s="2667"/>
    </row>
    <row r="961" spans="1:18">
      <c r="A961" s="2651">
        <v>420</v>
      </c>
      <c r="B961" s="2654" t="s">
        <v>9546</v>
      </c>
      <c r="C961" s="2652" t="s">
        <v>9065</v>
      </c>
      <c r="D961" s="2659">
        <v>419.92</v>
      </c>
      <c r="E961" s="2659">
        <v>419.32</v>
      </c>
      <c r="F961" s="2659">
        <v>416.02288600000003</v>
      </c>
      <c r="G961" s="2659">
        <v>415.66788600000001</v>
      </c>
      <c r="H961" s="2659">
        <v>413.42480799999998</v>
      </c>
      <c r="I961" s="2659">
        <v>411.97173600000002</v>
      </c>
      <c r="J961" s="2659"/>
      <c r="K961" s="2659" t="s">
        <v>9066</v>
      </c>
      <c r="L961" s="2659">
        <v>413.50480800000003</v>
      </c>
      <c r="M961" s="2659">
        <v>414.30480799999998</v>
      </c>
      <c r="N961" s="2659">
        <v>416.10288600000001</v>
      </c>
      <c r="O961" s="2659">
        <v>416.57788599999998</v>
      </c>
      <c r="P961" s="2659">
        <v>420</v>
      </c>
      <c r="Q961" s="2659">
        <v>421.34102799999999</v>
      </c>
      <c r="R961" s="2667">
        <v>378</v>
      </c>
    </row>
    <row r="962" spans="1:18">
      <c r="A962" s="2651"/>
      <c r="B962" s="2654" t="s">
        <v>9546</v>
      </c>
      <c r="C962" s="2652" t="s">
        <v>9067</v>
      </c>
      <c r="D962" s="2659">
        <v>419.92</v>
      </c>
      <c r="E962" s="2659">
        <v>419.32</v>
      </c>
      <c r="F962" s="2659">
        <v>416.02288600000003</v>
      </c>
      <c r="G962" s="2659">
        <v>415.79888599999998</v>
      </c>
      <c r="H962" s="2659">
        <v>413.42480799999998</v>
      </c>
      <c r="I962" s="2659">
        <v>412.10273599999999</v>
      </c>
      <c r="J962" s="2659"/>
      <c r="K962" s="2659"/>
      <c r="L962" s="2659"/>
      <c r="M962" s="2659"/>
      <c r="N962" s="2659"/>
      <c r="O962" s="2659"/>
      <c r="P962" s="2659"/>
      <c r="Q962" s="2659"/>
      <c r="R962" s="2667"/>
    </row>
    <row r="963" spans="1:18">
      <c r="A963" s="2651">
        <v>430</v>
      </c>
      <c r="B963" s="2654" t="s">
        <v>9547</v>
      </c>
      <c r="C963" s="2652" t="s">
        <v>9065</v>
      </c>
      <c r="D963" s="2659">
        <v>429.92</v>
      </c>
      <c r="E963" s="2659">
        <v>429.32</v>
      </c>
      <c r="F963" s="2659">
        <v>426.02288600000003</v>
      </c>
      <c r="G963" s="2659">
        <v>425.66788600000001</v>
      </c>
      <c r="H963" s="2659">
        <v>423.42480799999998</v>
      </c>
      <c r="I963" s="2659">
        <v>421.97173600000002</v>
      </c>
      <c r="J963" s="2659"/>
      <c r="K963" s="2659" t="s">
        <v>9066</v>
      </c>
      <c r="L963" s="2659">
        <v>423.50480800000003</v>
      </c>
      <c r="M963" s="2659">
        <v>424.30480799999998</v>
      </c>
      <c r="N963" s="2659">
        <v>426.10288600000001</v>
      </c>
      <c r="O963" s="2659">
        <v>426.57788599999998</v>
      </c>
      <c r="P963" s="2659">
        <v>430</v>
      </c>
      <c r="Q963" s="2659">
        <v>431.34102799999999</v>
      </c>
      <c r="R963" s="2667">
        <v>387</v>
      </c>
    </row>
    <row r="964" spans="1:18">
      <c r="A964" s="2651"/>
      <c r="B964" s="2654" t="s">
        <v>9547</v>
      </c>
      <c r="C964" s="2652" t="s">
        <v>9067</v>
      </c>
      <c r="D964" s="2659">
        <v>429.92</v>
      </c>
      <c r="E964" s="2659">
        <v>429.32</v>
      </c>
      <c r="F964" s="2659">
        <v>426.02288600000003</v>
      </c>
      <c r="G964" s="2659">
        <v>425.79888599999998</v>
      </c>
      <c r="H964" s="2659">
        <v>423.42480799999998</v>
      </c>
      <c r="I964" s="2659">
        <v>422.10273599999999</v>
      </c>
      <c r="J964" s="2659"/>
      <c r="K964" s="2659"/>
      <c r="L964" s="2659"/>
      <c r="M964" s="2659"/>
      <c r="N964" s="2659"/>
      <c r="O964" s="2659"/>
      <c r="P964" s="2659"/>
      <c r="Q964" s="2659"/>
      <c r="R964" s="2667"/>
    </row>
    <row r="965" spans="1:18">
      <c r="A965" s="2651">
        <v>440</v>
      </c>
      <c r="B965" s="2654" t="s">
        <v>9548</v>
      </c>
      <c r="C965" s="2652" t="s">
        <v>9065</v>
      </c>
      <c r="D965" s="2659">
        <v>439.92</v>
      </c>
      <c r="E965" s="2659">
        <v>439.32</v>
      </c>
      <c r="F965" s="2659">
        <v>436.02288600000003</v>
      </c>
      <c r="G965" s="2659">
        <v>435.66788600000001</v>
      </c>
      <c r="H965" s="2659">
        <v>433.42480799999998</v>
      </c>
      <c r="I965" s="2659">
        <v>431.97173600000002</v>
      </c>
      <c r="J965" s="2659"/>
      <c r="K965" s="2659" t="s">
        <v>9066</v>
      </c>
      <c r="L965" s="2659">
        <v>433.50480800000003</v>
      </c>
      <c r="M965" s="2659">
        <v>434.30480799999998</v>
      </c>
      <c r="N965" s="2659">
        <v>436.10288600000001</v>
      </c>
      <c r="O965" s="2659">
        <v>436.57788599999998</v>
      </c>
      <c r="P965" s="2659">
        <v>440</v>
      </c>
      <c r="Q965" s="2659">
        <v>441.34102799999999</v>
      </c>
      <c r="R965" s="2667">
        <v>396</v>
      </c>
    </row>
    <row r="966" spans="1:18">
      <c r="A966" s="2651"/>
      <c r="B966" s="2654" t="s">
        <v>9548</v>
      </c>
      <c r="C966" s="2652" t="s">
        <v>9067</v>
      </c>
      <c r="D966" s="2659">
        <v>439.92</v>
      </c>
      <c r="E966" s="2659">
        <v>439.32</v>
      </c>
      <c r="F966" s="2659">
        <v>436.02288600000003</v>
      </c>
      <c r="G966" s="2659">
        <v>435.79888599999998</v>
      </c>
      <c r="H966" s="2659">
        <v>433.42480799999998</v>
      </c>
      <c r="I966" s="2659">
        <v>432.10273599999999</v>
      </c>
      <c r="J966" s="2659"/>
      <c r="K966" s="2659"/>
      <c r="L966" s="2659"/>
      <c r="M966" s="2659"/>
      <c r="N966" s="2659"/>
      <c r="O966" s="2659"/>
      <c r="P966" s="2659"/>
      <c r="Q966" s="2659"/>
      <c r="R966" s="2667"/>
    </row>
    <row r="967" spans="1:18">
      <c r="A967" s="2651">
        <v>450</v>
      </c>
      <c r="B967" s="2654" t="s">
        <v>9549</v>
      </c>
      <c r="C967" s="2652" t="s">
        <v>9065</v>
      </c>
      <c r="D967" s="2659">
        <v>449.92</v>
      </c>
      <c r="E967" s="2659">
        <v>449.32</v>
      </c>
      <c r="F967" s="2659">
        <v>446.02288600000003</v>
      </c>
      <c r="G967" s="2659">
        <v>445.66788600000001</v>
      </c>
      <c r="H967" s="2659">
        <v>443.42480799999998</v>
      </c>
      <c r="I967" s="2659">
        <v>441.97173600000002</v>
      </c>
      <c r="J967" s="2659"/>
      <c r="K967" s="2659" t="s">
        <v>9066</v>
      </c>
      <c r="L967" s="2659">
        <v>443.50480800000003</v>
      </c>
      <c r="M967" s="2659">
        <v>444.30480799999998</v>
      </c>
      <c r="N967" s="2659">
        <v>446.10288600000001</v>
      </c>
      <c r="O967" s="2659">
        <v>446.57788599999998</v>
      </c>
      <c r="P967" s="2659">
        <v>450</v>
      </c>
      <c r="Q967" s="2659">
        <v>451.34102799999999</v>
      </c>
      <c r="R967" s="2667">
        <v>405</v>
      </c>
    </row>
    <row r="968" spans="1:18">
      <c r="A968" s="2651"/>
      <c r="B968" s="2654" t="s">
        <v>9549</v>
      </c>
      <c r="C968" s="2652" t="s">
        <v>9067</v>
      </c>
      <c r="D968" s="2659">
        <v>449.92</v>
      </c>
      <c r="E968" s="2659">
        <v>449.32</v>
      </c>
      <c r="F968" s="2659">
        <v>446.02288600000003</v>
      </c>
      <c r="G968" s="2659">
        <v>445.79888599999998</v>
      </c>
      <c r="H968" s="2659">
        <v>443.42480799999998</v>
      </c>
      <c r="I968" s="2659">
        <v>442.10273599999999</v>
      </c>
      <c r="J968" s="2659"/>
      <c r="K968" s="2659"/>
      <c r="L968" s="2659"/>
      <c r="M968" s="2659"/>
      <c r="N968" s="2659"/>
      <c r="O968" s="2659"/>
      <c r="P968" s="2659"/>
      <c r="Q968" s="2659"/>
      <c r="R968" s="2667"/>
    </row>
    <row r="969" spans="1:18">
      <c r="A969" s="2651">
        <v>460</v>
      </c>
      <c r="B969" s="2654" t="s">
        <v>9550</v>
      </c>
      <c r="C969" s="2652" t="s">
        <v>9065</v>
      </c>
      <c r="D969" s="2659">
        <v>459.92</v>
      </c>
      <c r="E969" s="2659">
        <v>459.32</v>
      </c>
      <c r="F969" s="2659">
        <v>456.02288600000003</v>
      </c>
      <c r="G969" s="2659">
        <v>455.66788600000001</v>
      </c>
      <c r="H969" s="2659">
        <v>453.42480799999998</v>
      </c>
      <c r="I969" s="2659">
        <v>451.97173600000002</v>
      </c>
      <c r="J969" s="2659"/>
      <c r="K969" s="2659" t="s">
        <v>9066</v>
      </c>
      <c r="L969" s="2659">
        <v>453.50480800000003</v>
      </c>
      <c r="M969" s="2659">
        <v>454.30480799999998</v>
      </c>
      <c r="N969" s="2659">
        <v>456.10288600000001</v>
      </c>
      <c r="O969" s="2659">
        <v>456.57788599999998</v>
      </c>
      <c r="P969" s="2659">
        <v>460</v>
      </c>
      <c r="Q969" s="2659">
        <v>461.34102799999999</v>
      </c>
      <c r="R969" s="2667">
        <v>414</v>
      </c>
    </row>
    <row r="970" spans="1:18">
      <c r="A970" s="2651"/>
      <c r="B970" s="2654" t="s">
        <v>9550</v>
      </c>
      <c r="C970" s="2652" t="s">
        <v>9067</v>
      </c>
      <c r="D970" s="2659">
        <v>459.92</v>
      </c>
      <c r="E970" s="2659">
        <v>459.32</v>
      </c>
      <c r="F970" s="2659">
        <v>456.02288600000003</v>
      </c>
      <c r="G970" s="2659">
        <v>455.79888599999998</v>
      </c>
      <c r="H970" s="2659">
        <v>453.42480799999998</v>
      </c>
      <c r="I970" s="2659">
        <v>452.10273599999999</v>
      </c>
      <c r="J970" s="2659"/>
      <c r="K970" s="2659"/>
      <c r="L970" s="2659"/>
      <c r="M970" s="2659"/>
      <c r="N970" s="2659"/>
      <c r="O970" s="2659"/>
      <c r="P970" s="2659"/>
      <c r="Q970" s="2659"/>
      <c r="R970" s="2667"/>
    </row>
    <row r="971" spans="1:18">
      <c r="A971" s="2651">
        <v>470</v>
      </c>
      <c r="B971" s="2654" t="s">
        <v>9551</v>
      </c>
      <c r="C971" s="2652" t="s">
        <v>9065</v>
      </c>
      <c r="D971" s="2659">
        <v>469.92</v>
      </c>
      <c r="E971" s="2659">
        <v>469.32</v>
      </c>
      <c r="F971" s="2659">
        <v>466.02288600000003</v>
      </c>
      <c r="G971" s="2659">
        <v>465.66788600000001</v>
      </c>
      <c r="H971" s="2659">
        <v>463.42480799999998</v>
      </c>
      <c r="I971" s="2659">
        <v>461.97173600000002</v>
      </c>
      <c r="J971" s="2659"/>
      <c r="K971" s="2659" t="s">
        <v>9066</v>
      </c>
      <c r="L971" s="2659">
        <v>463.50480800000003</v>
      </c>
      <c r="M971" s="2659">
        <v>464.30480799999998</v>
      </c>
      <c r="N971" s="2659">
        <v>466.10288600000001</v>
      </c>
      <c r="O971" s="2659">
        <v>466.57788599999998</v>
      </c>
      <c r="P971" s="2659">
        <v>470</v>
      </c>
      <c r="Q971" s="2659">
        <v>471.34102799999999</v>
      </c>
      <c r="R971" s="2667">
        <v>423</v>
      </c>
    </row>
    <row r="972" spans="1:18">
      <c r="A972" s="2651"/>
      <c r="B972" s="2654" t="s">
        <v>9551</v>
      </c>
      <c r="C972" s="2652" t="s">
        <v>9067</v>
      </c>
      <c r="D972" s="2659">
        <v>469.92</v>
      </c>
      <c r="E972" s="2659">
        <v>469.32</v>
      </c>
      <c r="F972" s="2659">
        <v>466.02288600000003</v>
      </c>
      <c r="G972" s="2659">
        <v>465.79888599999998</v>
      </c>
      <c r="H972" s="2659">
        <v>463.42480799999998</v>
      </c>
      <c r="I972" s="2659">
        <v>462.10273599999999</v>
      </c>
      <c r="J972" s="2659"/>
      <c r="K972" s="2659"/>
      <c r="L972" s="2659"/>
      <c r="M972" s="2659"/>
      <c r="N972" s="2659"/>
      <c r="O972" s="2659"/>
      <c r="P972" s="2659"/>
      <c r="Q972" s="2659"/>
      <c r="R972" s="2667"/>
    </row>
    <row r="973" spans="1:18">
      <c r="A973" s="2651">
        <v>480</v>
      </c>
      <c r="B973" s="2654" t="s">
        <v>9552</v>
      </c>
      <c r="C973" s="2652" t="s">
        <v>9065</v>
      </c>
      <c r="D973" s="2659">
        <v>479.92</v>
      </c>
      <c r="E973" s="2659">
        <v>479.32</v>
      </c>
      <c r="F973" s="2659">
        <v>476.02288600000003</v>
      </c>
      <c r="G973" s="2659">
        <v>475.66788600000001</v>
      </c>
      <c r="H973" s="2659">
        <v>473.42480799999998</v>
      </c>
      <c r="I973" s="2659">
        <v>471.97173600000002</v>
      </c>
      <c r="J973" s="2659"/>
      <c r="K973" s="2659" t="s">
        <v>9066</v>
      </c>
      <c r="L973" s="2659">
        <v>473.50480800000003</v>
      </c>
      <c r="M973" s="2659">
        <v>474.30480799999998</v>
      </c>
      <c r="N973" s="2659">
        <v>476.10288600000001</v>
      </c>
      <c r="O973" s="2659">
        <v>476.57788599999998</v>
      </c>
      <c r="P973" s="2659">
        <v>480</v>
      </c>
      <c r="Q973" s="2659">
        <v>481.34102799999999</v>
      </c>
      <c r="R973" s="2667">
        <v>432</v>
      </c>
    </row>
    <row r="974" spans="1:18">
      <c r="A974" s="2651"/>
      <c r="B974" s="2654" t="s">
        <v>9552</v>
      </c>
      <c r="C974" s="2652" t="s">
        <v>9067</v>
      </c>
      <c r="D974" s="2659">
        <v>479.92</v>
      </c>
      <c r="E974" s="2659">
        <v>479.32</v>
      </c>
      <c r="F974" s="2659">
        <v>476.02288600000003</v>
      </c>
      <c r="G974" s="2659">
        <v>475.79888599999998</v>
      </c>
      <c r="H974" s="2659">
        <v>473.42480799999998</v>
      </c>
      <c r="I974" s="2659">
        <v>472.10273599999999</v>
      </c>
      <c r="J974" s="2659"/>
      <c r="K974" s="2659"/>
      <c r="L974" s="2659"/>
      <c r="M974" s="2659"/>
      <c r="N974" s="2659"/>
      <c r="O974" s="2659"/>
      <c r="P974" s="2659"/>
      <c r="Q974" s="2659"/>
      <c r="R974" s="2667"/>
    </row>
    <row r="975" spans="1:18">
      <c r="A975" s="2651">
        <v>490</v>
      </c>
      <c r="B975" s="2654" t="s">
        <v>9553</v>
      </c>
      <c r="C975" s="2652" t="s">
        <v>9065</v>
      </c>
      <c r="D975" s="2659">
        <v>489.92</v>
      </c>
      <c r="E975" s="2659">
        <v>489.32</v>
      </c>
      <c r="F975" s="2659">
        <v>486.02288600000003</v>
      </c>
      <c r="G975" s="2659">
        <v>485.66788600000001</v>
      </c>
      <c r="H975" s="2659">
        <v>483.42480799999998</v>
      </c>
      <c r="I975" s="2659">
        <v>481.97173600000002</v>
      </c>
      <c r="J975" s="2659"/>
      <c r="K975" s="2659" t="s">
        <v>9066</v>
      </c>
      <c r="L975" s="2659">
        <v>483.50480800000003</v>
      </c>
      <c r="M975" s="2659">
        <v>484.30480799999998</v>
      </c>
      <c r="N975" s="2659">
        <v>486.10288600000001</v>
      </c>
      <c r="O975" s="2659">
        <v>486.57788599999998</v>
      </c>
      <c r="P975" s="2659">
        <v>490</v>
      </c>
      <c r="Q975" s="2659">
        <v>491.34102799999999</v>
      </c>
      <c r="R975" s="2667">
        <v>441</v>
      </c>
    </row>
    <row r="976" spans="1:18">
      <c r="A976" s="2651"/>
      <c r="B976" s="2654" t="s">
        <v>9553</v>
      </c>
      <c r="C976" s="2652" t="s">
        <v>9067</v>
      </c>
      <c r="D976" s="2659">
        <v>489.92</v>
      </c>
      <c r="E976" s="2659">
        <v>489.32</v>
      </c>
      <c r="F976" s="2659">
        <v>486.02288600000003</v>
      </c>
      <c r="G976" s="2659">
        <v>485.79888599999998</v>
      </c>
      <c r="H976" s="2659">
        <v>483.42480799999998</v>
      </c>
      <c r="I976" s="2659">
        <v>482.10273599999999</v>
      </c>
      <c r="J976" s="2659"/>
      <c r="K976" s="2659"/>
      <c r="L976" s="2659"/>
      <c r="M976" s="2659"/>
      <c r="N976" s="2659"/>
      <c r="O976" s="2659"/>
      <c r="P976" s="2659"/>
      <c r="Q976" s="2659"/>
      <c r="R976" s="2667"/>
    </row>
    <row r="977" spans="1:18">
      <c r="A977" s="2651">
        <v>500</v>
      </c>
      <c r="B977" s="2654" t="s">
        <v>9554</v>
      </c>
      <c r="C977" s="2652" t="s">
        <v>9065</v>
      </c>
      <c r="D977" s="2659">
        <v>499.92</v>
      </c>
      <c r="E977" s="2659">
        <v>499.32</v>
      </c>
      <c r="F977" s="2659">
        <v>496.02288600000003</v>
      </c>
      <c r="G977" s="2659">
        <v>495.66788600000001</v>
      </c>
      <c r="H977" s="2659">
        <v>493.42480799999998</v>
      </c>
      <c r="I977" s="2659">
        <v>491.97173600000002</v>
      </c>
      <c r="J977" s="2659"/>
      <c r="K977" s="2659" t="s">
        <v>9066</v>
      </c>
      <c r="L977" s="2659">
        <v>493.50480800000003</v>
      </c>
      <c r="M977" s="2659">
        <v>494.30480799999998</v>
      </c>
      <c r="N977" s="2659">
        <v>496.10288600000001</v>
      </c>
      <c r="O977" s="2659">
        <v>496.57788599999998</v>
      </c>
      <c r="P977" s="2659">
        <v>500</v>
      </c>
      <c r="Q977" s="2659">
        <v>501.34102799999999</v>
      </c>
      <c r="R977" s="2667">
        <v>450</v>
      </c>
    </row>
    <row r="978" spans="1:18">
      <c r="A978" s="2651"/>
      <c r="B978" s="2654" t="s">
        <v>9554</v>
      </c>
      <c r="C978" s="2652" t="s">
        <v>9067</v>
      </c>
      <c r="D978" s="2659">
        <v>499.92</v>
      </c>
      <c r="E978" s="2659">
        <v>499.32</v>
      </c>
      <c r="F978" s="2659">
        <v>496.02288600000003</v>
      </c>
      <c r="G978" s="2659">
        <v>495.79888599999998</v>
      </c>
      <c r="H978" s="2659">
        <v>493.42480799999998</v>
      </c>
      <c r="I978" s="2659">
        <v>492.10273599999999</v>
      </c>
      <c r="J978" s="2659"/>
      <c r="K978" s="2659"/>
      <c r="L978" s="2659"/>
      <c r="M978" s="2659"/>
      <c r="N978" s="2659"/>
      <c r="O978" s="2659"/>
      <c r="P978" s="2659"/>
      <c r="Q978" s="2659"/>
      <c r="R978" s="2667"/>
    </row>
    <row r="979" spans="1:18">
      <c r="A979" s="2651">
        <v>510</v>
      </c>
      <c r="B979" s="2654" t="s">
        <v>9555</v>
      </c>
      <c r="C979" s="2652" t="s">
        <v>9065</v>
      </c>
      <c r="D979" s="2659">
        <v>509.92</v>
      </c>
      <c r="E979" s="2659">
        <v>509.32</v>
      </c>
      <c r="F979" s="2659">
        <v>506.02288600000003</v>
      </c>
      <c r="G979" s="2659">
        <v>505.66788600000001</v>
      </c>
      <c r="H979" s="2659">
        <v>503.42480799999998</v>
      </c>
      <c r="I979" s="2659">
        <v>501.97173600000002</v>
      </c>
      <c r="J979" s="2659"/>
      <c r="K979" s="2659" t="s">
        <v>9066</v>
      </c>
      <c r="L979" s="2659">
        <v>503.50480800000003</v>
      </c>
      <c r="M979" s="2659">
        <v>504.30480799999998</v>
      </c>
      <c r="N979" s="2659">
        <v>506.10288600000001</v>
      </c>
      <c r="O979" s="2659">
        <v>506.57788599999998</v>
      </c>
      <c r="P979" s="2659">
        <v>510</v>
      </c>
      <c r="Q979" s="2659">
        <v>511.34102799999999</v>
      </c>
      <c r="R979" s="2667">
        <v>459</v>
      </c>
    </row>
    <row r="980" spans="1:18">
      <c r="A980" s="2651"/>
      <c r="B980" s="2654" t="s">
        <v>9555</v>
      </c>
      <c r="C980" s="2652" t="s">
        <v>9067</v>
      </c>
      <c r="D980" s="2659">
        <v>509.92</v>
      </c>
      <c r="E980" s="2659">
        <v>509.32</v>
      </c>
      <c r="F980" s="2659">
        <v>506.02288600000003</v>
      </c>
      <c r="G980" s="2659">
        <v>505.79888599999998</v>
      </c>
      <c r="H980" s="2659">
        <v>503.42480799999998</v>
      </c>
      <c r="I980" s="2659">
        <v>502.10273599999999</v>
      </c>
      <c r="J980" s="2659"/>
      <c r="K980" s="2659"/>
      <c r="L980" s="2659"/>
      <c r="M980" s="2659"/>
      <c r="N980" s="2659"/>
      <c r="O980" s="2659"/>
      <c r="P980" s="2659"/>
      <c r="Q980" s="2659"/>
      <c r="R980" s="2667"/>
    </row>
    <row r="981" spans="1:18">
      <c r="A981" s="2651">
        <v>520</v>
      </c>
      <c r="B981" s="2654" t="s">
        <v>9556</v>
      </c>
      <c r="C981" s="2652" t="s">
        <v>9065</v>
      </c>
      <c r="D981" s="2659">
        <v>519.91999999999996</v>
      </c>
      <c r="E981" s="2659">
        <v>519.32000000000005</v>
      </c>
      <c r="F981" s="2659">
        <v>516.02288599999997</v>
      </c>
      <c r="G981" s="2659">
        <v>515.66788599999995</v>
      </c>
      <c r="H981" s="2659">
        <v>513.42480799999998</v>
      </c>
      <c r="I981" s="2659">
        <v>511.97173600000002</v>
      </c>
      <c r="J981" s="2659"/>
      <c r="K981" s="2659" t="s">
        <v>9066</v>
      </c>
      <c r="L981" s="2659">
        <v>513.50480800000003</v>
      </c>
      <c r="M981" s="2659">
        <v>514.30480799999998</v>
      </c>
      <c r="N981" s="2659">
        <v>516.10288600000001</v>
      </c>
      <c r="O981" s="2659">
        <v>516.57788600000003</v>
      </c>
      <c r="P981" s="2659">
        <v>520</v>
      </c>
      <c r="Q981" s="2659">
        <v>521.34102800000005</v>
      </c>
      <c r="R981" s="2667">
        <v>468</v>
      </c>
    </row>
    <row r="982" spans="1:18">
      <c r="A982" s="2651"/>
      <c r="B982" s="2654" t="s">
        <v>9556</v>
      </c>
      <c r="C982" s="2652" t="s">
        <v>9067</v>
      </c>
      <c r="D982" s="2659">
        <v>519.91999999999996</v>
      </c>
      <c r="E982" s="2659">
        <v>519.32000000000005</v>
      </c>
      <c r="F982" s="2659">
        <v>516.02288599999997</v>
      </c>
      <c r="G982" s="2659">
        <v>515.79888600000004</v>
      </c>
      <c r="H982" s="2659">
        <v>513.42480799999998</v>
      </c>
      <c r="I982" s="2659">
        <v>512.10273600000005</v>
      </c>
      <c r="J982" s="2659"/>
      <c r="K982" s="2659"/>
      <c r="L982" s="2659"/>
      <c r="M982" s="2659"/>
      <c r="N982" s="2659"/>
      <c r="O982" s="2659"/>
      <c r="P982" s="2659"/>
      <c r="Q982" s="2659"/>
      <c r="R982" s="2667"/>
    </row>
    <row r="983" spans="1:18">
      <c r="A983" s="2651">
        <v>530</v>
      </c>
      <c r="B983" s="2654" t="s">
        <v>9557</v>
      </c>
      <c r="C983" s="2652" t="s">
        <v>9065</v>
      </c>
      <c r="D983" s="2659">
        <v>529.91999999999996</v>
      </c>
      <c r="E983" s="2659">
        <v>529.32000000000005</v>
      </c>
      <c r="F983" s="2659">
        <v>526.02288599999997</v>
      </c>
      <c r="G983" s="2659">
        <v>525.66788599999995</v>
      </c>
      <c r="H983" s="2659">
        <v>523.42480799999998</v>
      </c>
      <c r="I983" s="2659">
        <v>521.97173599999996</v>
      </c>
      <c r="J983" s="2659"/>
      <c r="K983" s="2659" t="s">
        <v>9066</v>
      </c>
      <c r="L983" s="2659">
        <v>523.50480800000003</v>
      </c>
      <c r="M983" s="2659">
        <v>524.30480799999998</v>
      </c>
      <c r="N983" s="2659">
        <v>526.10288600000001</v>
      </c>
      <c r="O983" s="2659">
        <v>526.57788600000003</v>
      </c>
      <c r="P983" s="2659">
        <v>530</v>
      </c>
      <c r="Q983" s="2659">
        <v>531.34102800000005</v>
      </c>
      <c r="R983" s="2667">
        <v>477</v>
      </c>
    </row>
    <row r="984" spans="1:18">
      <c r="A984" s="2651"/>
      <c r="B984" s="2654" t="s">
        <v>9557</v>
      </c>
      <c r="C984" s="2652" t="s">
        <v>9067</v>
      </c>
      <c r="D984" s="2659">
        <v>529.91999999999996</v>
      </c>
      <c r="E984" s="2659">
        <v>529.32000000000005</v>
      </c>
      <c r="F984" s="2659">
        <v>526.02288599999997</v>
      </c>
      <c r="G984" s="2659">
        <v>525.79888600000004</v>
      </c>
      <c r="H984" s="2659">
        <v>523.42480799999998</v>
      </c>
      <c r="I984" s="2659">
        <v>522.10273600000005</v>
      </c>
      <c r="J984" s="2659"/>
      <c r="K984" s="2659"/>
      <c r="L984" s="2659"/>
      <c r="M984" s="2659"/>
      <c r="N984" s="2659"/>
      <c r="O984" s="2659"/>
      <c r="P984" s="2659"/>
      <c r="Q984" s="2659"/>
      <c r="R984" s="2667"/>
    </row>
    <row r="985" spans="1:18">
      <c r="A985" s="2651">
        <v>540</v>
      </c>
      <c r="B985" s="2654" t="s">
        <v>9558</v>
      </c>
      <c r="C985" s="2652" t="s">
        <v>9065</v>
      </c>
      <c r="D985" s="2659">
        <v>539.91999999999996</v>
      </c>
      <c r="E985" s="2659">
        <v>539.32000000000005</v>
      </c>
      <c r="F985" s="2659">
        <v>536.02288599999997</v>
      </c>
      <c r="G985" s="2659">
        <v>535.66788599999995</v>
      </c>
      <c r="H985" s="2659">
        <v>533.42480799999998</v>
      </c>
      <c r="I985" s="2659">
        <v>531.97173599999996</v>
      </c>
      <c r="J985" s="2659"/>
      <c r="K985" s="2659" t="s">
        <v>9066</v>
      </c>
      <c r="L985" s="2659">
        <v>533.50480800000003</v>
      </c>
      <c r="M985" s="2659">
        <v>534.30480799999998</v>
      </c>
      <c r="N985" s="2659">
        <v>536.10288600000001</v>
      </c>
      <c r="O985" s="2659">
        <v>536.57788600000003</v>
      </c>
      <c r="P985" s="2659">
        <v>540</v>
      </c>
      <c r="Q985" s="2659">
        <v>541.34102800000005</v>
      </c>
      <c r="R985" s="2667">
        <v>486</v>
      </c>
    </row>
    <row r="986" spans="1:18">
      <c r="A986" s="2651"/>
      <c r="B986" s="2654" t="s">
        <v>9558</v>
      </c>
      <c r="C986" s="2652" t="s">
        <v>9067</v>
      </c>
      <c r="D986" s="2659">
        <v>539.91999999999996</v>
      </c>
      <c r="E986" s="2659">
        <v>539.32000000000005</v>
      </c>
      <c r="F986" s="2659">
        <v>536.02288599999997</v>
      </c>
      <c r="G986" s="2659">
        <v>535.79888600000004</v>
      </c>
      <c r="H986" s="2659">
        <v>533.42480799999998</v>
      </c>
      <c r="I986" s="2659">
        <v>532.10273600000005</v>
      </c>
      <c r="J986" s="2659"/>
      <c r="K986" s="2659"/>
      <c r="L986" s="2659"/>
      <c r="M986" s="2659"/>
      <c r="N986" s="2659"/>
      <c r="O986" s="2659"/>
      <c r="P986" s="2659"/>
      <c r="Q986" s="2659"/>
      <c r="R986" s="2667"/>
    </row>
    <row r="987" spans="1:18">
      <c r="A987" s="2651">
        <v>550</v>
      </c>
      <c r="B987" s="2654" t="s">
        <v>9559</v>
      </c>
      <c r="C987" s="2652" t="s">
        <v>9065</v>
      </c>
      <c r="D987" s="2659">
        <v>549.91999999999996</v>
      </c>
      <c r="E987" s="2659">
        <v>549.32000000000005</v>
      </c>
      <c r="F987" s="2659">
        <v>546.02288599999997</v>
      </c>
      <c r="G987" s="2659">
        <v>545.66788599999995</v>
      </c>
      <c r="H987" s="2659">
        <v>543.42480799999998</v>
      </c>
      <c r="I987" s="2659">
        <v>541.97173599999996</v>
      </c>
      <c r="J987" s="2659"/>
      <c r="K987" s="2659" t="s">
        <v>9066</v>
      </c>
      <c r="L987" s="2659">
        <v>543.50480800000003</v>
      </c>
      <c r="M987" s="2659">
        <v>544.30480799999998</v>
      </c>
      <c r="N987" s="2659">
        <v>546.10288600000001</v>
      </c>
      <c r="O987" s="2659">
        <v>546.57788600000003</v>
      </c>
      <c r="P987" s="2659">
        <v>550</v>
      </c>
      <c r="Q987" s="2659">
        <v>551.34102800000005</v>
      </c>
      <c r="R987" s="2667">
        <v>495</v>
      </c>
    </row>
    <row r="988" spans="1:18">
      <c r="A988" s="2651"/>
      <c r="B988" s="2654" t="s">
        <v>9559</v>
      </c>
      <c r="C988" s="2652" t="s">
        <v>9067</v>
      </c>
      <c r="D988" s="2659">
        <v>549.91999999999996</v>
      </c>
      <c r="E988" s="2659">
        <v>549.32000000000005</v>
      </c>
      <c r="F988" s="2659">
        <v>546.02288599999997</v>
      </c>
      <c r="G988" s="2659">
        <v>545.79888600000004</v>
      </c>
      <c r="H988" s="2659">
        <v>543.42480799999998</v>
      </c>
      <c r="I988" s="2659">
        <v>542.10273600000005</v>
      </c>
      <c r="J988" s="2659"/>
      <c r="K988" s="2659"/>
      <c r="L988" s="2659"/>
      <c r="M988" s="2659"/>
      <c r="N988" s="2659"/>
      <c r="O988" s="2659"/>
      <c r="P988" s="2659"/>
      <c r="Q988" s="2659"/>
      <c r="R988" s="2667"/>
    </row>
    <row r="989" spans="1:18">
      <c r="A989" s="2651">
        <v>560</v>
      </c>
      <c r="B989" s="2654" t="s">
        <v>9560</v>
      </c>
      <c r="C989" s="2652" t="s">
        <v>9065</v>
      </c>
      <c r="D989" s="2659">
        <v>559.91999999999996</v>
      </c>
      <c r="E989" s="2659">
        <v>559.32000000000005</v>
      </c>
      <c r="F989" s="2659">
        <v>556.02288599999997</v>
      </c>
      <c r="G989" s="2659">
        <v>555.66788599999995</v>
      </c>
      <c r="H989" s="2659">
        <v>553.42480799999998</v>
      </c>
      <c r="I989" s="2659">
        <v>551.97173599999996</v>
      </c>
      <c r="J989" s="2659"/>
      <c r="K989" s="2659" t="s">
        <v>9066</v>
      </c>
      <c r="L989" s="2659">
        <v>553.50480800000003</v>
      </c>
      <c r="M989" s="2659">
        <v>554.30480799999998</v>
      </c>
      <c r="N989" s="2659">
        <v>556.10288600000001</v>
      </c>
      <c r="O989" s="2659">
        <v>556.57788600000003</v>
      </c>
      <c r="P989" s="2659">
        <v>560</v>
      </c>
      <c r="Q989" s="2659">
        <v>561.34102800000005</v>
      </c>
      <c r="R989" s="2667">
        <v>504</v>
      </c>
    </row>
    <row r="990" spans="1:18">
      <c r="A990" s="2651"/>
      <c r="B990" s="2654" t="s">
        <v>9560</v>
      </c>
      <c r="C990" s="2652" t="s">
        <v>9067</v>
      </c>
      <c r="D990" s="2659">
        <v>559.91999999999996</v>
      </c>
      <c r="E990" s="2659">
        <v>559.32000000000005</v>
      </c>
      <c r="F990" s="2659">
        <v>556.02288599999997</v>
      </c>
      <c r="G990" s="2659">
        <v>555.79888600000004</v>
      </c>
      <c r="H990" s="2659">
        <v>553.42480799999998</v>
      </c>
      <c r="I990" s="2659">
        <v>552.10273600000005</v>
      </c>
      <c r="J990" s="2659"/>
      <c r="K990" s="2659"/>
      <c r="L990" s="2659"/>
      <c r="M990" s="2659"/>
      <c r="N990" s="2659"/>
      <c r="O990" s="2659"/>
      <c r="P990" s="2659"/>
      <c r="Q990" s="2659"/>
      <c r="R990" s="2667"/>
    </row>
    <row r="991" spans="1:18">
      <c r="A991" s="2651">
        <v>570</v>
      </c>
      <c r="B991" s="2654" t="s">
        <v>9561</v>
      </c>
      <c r="C991" s="2652" t="s">
        <v>9065</v>
      </c>
      <c r="D991" s="2659">
        <v>569.91999999999996</v>
      </c>
      <c r="E991" s="2659">
        <v>569.32000000000005</v>
      </c>
      <c r="F991" s="2659">
        <v>566.02288599999997</v>
      </c>
      <c r="G991" s="2659">
        <v>565.66788599999995</v>
      </c>
      <c r="H991" s="2659">
        <v>563.42480799999998</v>
      </c>
      <c r="I991" s="2659">
        <v>561.97173599999996</v>
      </c>
      <c r="J991" s="2659"/>
      <c r="K991" s="2659" t="s">
        <v>9066</v>
      </c>
      <c r="L991" s="2659">
        <v>563.50480800000003</v>
      </c>
      <c r="M991" s="2659">
        <v>564.30480799999998</v>
      </c>
      <c r="N991" s="2659">
        <v>566.10288600000001</v>
      </c>
      <c r="O991" s="2659">
        <v>566.57788600000003</v>
      </c>
      <c r="P991" s="2659">
        <v>570</v>
      </c>
      <c r="Q991" s="2659">
        <v>571.34102800000005</v>
      </c>
      <c r="R991" s="2667">
        <v>513</v>
      </c>
    </row>
    <row r="992" spans="1:18">
      <c r="A992" s="2651"/>
      <c r="B992" s="2654" t="s">
        <v>9561</v>
      </c>
      <c r="C992" s="2652" t="s">
        <v>9067</v>
      </c>
      <c r="D992" s="2659">
        <v>569.91999999999996</v>
      </c>
      <c r="E992" s="2659">
        <v>569.32000000000005</v>
      </c>
      <c r="F992" s="2659">
        <v>566.02288599999997</v>
      </c>
      <c r="G992" s="2659">
        <v>565.79888600000004</v>
      </c>
      <c r="H992" s="2659">
        <v>563.42480799999998</v>
      </c>
      <c r="I992" s="2659">
        <v>562.10273600000005</v>
      </c>
      <c r="J992" s="2659"/>
      <c r="K992" s="2659"/>
      <c r="L992" s="2659"/>
      <c r="M992" s="2659"/>
      <c r="N992" s="2659"/>
      <c r="O992" s="2659"/>
      <c r="P992" s="2659"/>
      <c r="Q992" s="2659"/>
      <c r="R992" s="2667"/>
    </row>
    <row r="993" spans="1:18">
      <c r="A993" s="2651">
        <v>580</v>
      </c>
      <c r="B993" s="2654" t="s">
        <v>9562</v>
      </c>
      <c r="C993" s="2652" t="s">
        <v>9065</v>
      </c>
      <c r="D993" s="2659">
        <v>579.91999999999996</v>
      </c>
      <c r="E993" s="2659">
        <v>579.32000000000005</v>
      </c>
      <c r="F993" s="2659">
        <v>576.02288599999997</v>
      </c>
      <c r="G993" s="2659">
        <v>575.66788599999995</v>
      </c>
      <c r="H993" s="2659">
        <v>573.42480799999998</v>
      </c>
      <c r="I993" s="2659">
        <v>571.97173599999996</v>
      </c>
      <c r="J993" s="2659"/>
      <c r="K993" s="2659" t="s">
        <v>9066</v>
      </c>
      <c r="L993" s="2659">
        <v>573.50480800000003</v>
      </c>
      <c r="M993" s="2659">
        <v>574.30480799999998</v>
      </c>
      <c r="N993" s="2659">
        <v>576.10288600000001</v>
      </c>
      <c r="O993" s="2659">
        <v>576.57788600000003</v>
      </c>
      <c r="P993" s="2659">
        <v>580</v>
      </c>
      <c r="Q993" s="2659">
        <v>581.34102800000005</v>
      </c>
      <c r="R993" s="2667">
        <v>522</v>
      </c>
    </row>
    <row r="994" spans="1:18">
      <c r="A994" s="2651"/>
      <c r="B994" s="2654" t="s">
        <v>9562</v>
      </c>
      <c r="C994" s="2652" t="s">
        <v>9067</v>
      </c>
      <c r="D994" s="2659">
        <v>579.91999999999996</v>
      </c>
      <c r="E994" s="2659">
        <v>579.32000000000005</v>
      </c>
      <c r="F994" s="2659">
        <v>576.02288599999997</v>
      </c>
      <c r="G994" s="2659">
        <v>575.79888600000004</v>
      </c>
      <c r="H994" s="2659">
        <v>573.42480799999998</v>
      </c>
      <c r="I994" s="2659">
        <v>572.10273600000005</v>
      </c>
      <c r="J994" s="2659"/>
      <c r="K994" s="2659"/>
      <c r="L994" s="2659"/>
      <c r="M994" s="2659"/>
      <c r="N994" s="2659"/>
      <c r="O994" s="2659"/>
      <c r="P994" s="2659"/>
      <c r="Q994" s="2659"/>
      <c r="R994" s="2667"/>
    </row>
    <row r="995" spans="1:18">
      <c r="A995" s="2651">
        <v>590</v>
      </c>
      <c r="B995" s="2654" t="s">
        <v>9563</v>
      </c>
      <c r="C995" s="2652" t="s">
        <v>9065</v>
      </c>
      <c r="D995" s="2659">
        <v>589.91999999999996</v>
      </c>
      <c r="E995" s="2659">
        <v>589.32000000000005</v>
      </c>
      <c r="F995" s="2659">
        <v>586.02288599999997</v>
      </c>
      <c r="G995" s="2659">
        <v>585.66788599999995</v>
      </c>
      <c r="H995" s="2659">
        <v>583.42480799999998</v>
      </c>
      <c r="I995" s="2659">
        <v>581.97173599999996</v>
      </c>
      <c r="J995" s="2659"/>
      <c r="K995" s="2659" t="s">
        <v>9066</v>
      </c>
      <c r="L995" s="2659">
        <v>583.50480800000003</v>
      </c>
      <c r="M995" s="2659">
        <v>584.30480799999998</v>
      </c>
      <c r="N995" s="2659">
        <v>586.10288600000001</v>
      </c>
      <c r="O995" s="2659">
        <v>586.57788600000003</v>
      </c>
      <c r="P995" s="2659">
        <v>590</v>
      </c>
      <c r="Q995" s="2659">
        <v>591.34102800000005</v>
      </c>
      <c r="R995" s="2667">
        <v>531</v>
      </c>
    </row>
    <row r="996" spans="1:18">
      <c r="A996" s="2651"/>
      <c r="B996" s="2654" t="s">
        <v>9563</v>
      </c>
      <c r="C996" s="2652" t="s">
        <v>9067</v>
      </c>
      <c r="D996" s="2659">
        <v>589.91999999999996</v>
      </c>
      <c r="E996" s="2659">
        <v>589.32000000000005</v>
      </c>
      <c r="F996" s="2659">
        <v>586.02288599999997</v>
      </c>
      <c r="G996" s="2659">
        <v>585.79888600000004</v>
      </c>
      <c r="H996" s="2659">
        <v>583.42480799999998</v>
      </c>
      <c r="I996" s="2659">
        <v>582.10273600000005</v>
      </c>
      <c r="J996" s="2659"/>
      <c r="K996" s="2659"/>
      <c r="L996" s="2659"/>
      <c r="M996" s="2659"/>
      <c r="N996" s="2659"/>
      <c r="O996" s="2659"/>
      <c r="P996" s="2659"/>
      <c r="Q996" s="2659"/>
      <c r="R996" s="2667"/>
    </row>
    <row r="997" spans="1:18">
      <c r="A997" s="2651">
        <v>600</v>
      </c>
      <c r="B997" s="2654" t="s">
        <v>9564</v>
      </c>
      <c r="C997" s="2652" t="s">
        <v>9065</v>
      </c>
      <c r="D997" s="2659">
        <v>599.91999999999996</v>
      </c>
      <c r="E997" s="2659">
        <v>599.32000000000005</v>
      </c>
      <c r="F997" s="2659">
        <v>596.02288599999997</v>
      </c>
      <c r="G997" s="2659">
        <v>595.66788599999995</v>
      </c>
      <c r="H997" s="2659">
        <v>593.42480799999998</v>
      </c>
      <c r="I997" s="2659">
        <v>591.97173599999996</v>
      </c>
      <c r="J997" s="2659"/>
      <c r="K997" s="2659" t="s">
        <v>9066</v>
      </c>
      <c r="L997" s="2659">
        <v>593.50480800000003</v>
      </c>
      <c r="M997" s="2659">
        <v>594.30480799999998</v>
      </c>
      <c r="N997" s="2659">
        <v>596.10288600000001</v>
      </c>
      <c r="O997" s="2659">
        <v>596.57788600000003</v>
      </c>
      <c r="P997" s="2659">
        <v>600</v>
      </c>
      <c r="Q997" s="2659">
        <v>601.34102800000005</v>
      </c>
      <c r="R997" s="2667">
        <v>540</v>
      </c>
    </row>
    <row r="998" spans="1:18">
      <c r="A998" s="2651"/>
      <c r="B998" s="2654" t="s">
        <v>9564</v>
      </c>
      <c r="C998" s="2652" t="s">
        <v>9067</v>
      </c>
      <c r="D998" s="2659">
        <v>599.91999999999996</v>
      </c>
      <c r="E998" s="2659">
        <v>599.32000000000005</v>
      </c>
      <c r="F998" s="2659">
        <v>596.02288599999997</v>
      </c>
      <c r="G998" s="2659">
        <v>595.79888600000004</v>
      </c>
      <c r="H998" s="2659">
        <v>593.42480799999998</v>
      </c>
      <c r="I998" s="2659">
        <v>592.10273600000005</v>
      </c>
      <c r="J998" s="2659"/>
      <c r="K998" s="2659"/>
      <c r="L998" s="2659"/>
      <c r="M998" s="2659"/>
      <c r="N998" s="2659"/>
      <c r="O998" s="2659"/>
      <c r="P998" s="2659"/>
      <c r="Q998" s="2659"/>
      <c r="R998" s="2667"/>
    </row>
    <row r="999" spans="1:18">
      <c r="A999" s="2651">
        <v>1060</v>
      </c>
      <c r="B999" s="2654" t="s">
        <v>9565</v>
      </c>
      <c r="C999" s="2652" t="s">
        <v>9065</v>
      </c>
      <c r="D999" s="2659">
        <v>1059.9000000000001</v>
      </c>
      <c r="E999" s="2659">
        <v>1059.19</v>
      </c>
      <c r="F999" s="2659">
        <v>1054.7038480000001</v>
      </c>
      <c r="G999" s="2659">
        <v>1054.2788479999999</v>
      </c>
      <c r="H999" s="2659">
        <v>1051.239744</v>
      </c>
      <c r="I999" s="2659">
        <v>1049.3506480000001</v>
      </c>
      <c r="J999" s="2659"/>
      <c r="K999" s="2659" t="s">
        <v>9066</v>
      </c>
      <c r="L999" s="2659">
        <v>1051.3397440000001</v>
      </c>
      <c r="M999" s="2659">
        <v>1052.3397440000001</v>
      </c>
      <c r="N999" s="2659">
        <v>1054.803848</v>
      </c>
      <c r="O999" s="2659">
        <v>1055.363848</v>
      </c>
      <c r="P999" s="2659">
        <v>1060</v>
      </c>
      <c r="Q999" s="2659">
        <v>1061.714704</v>
      </c>
      <c r="R999" s="2667">
        <v>954</v>
      </c>
    </row>
    <row r="1000" spans="1:18">
      <c r="A1000" s="2673"/>
      <c r="B1000" s="2674" t="s">
        <v>9565</v>
      </c>
      <c r="C1000" s="2675" t="s">
        <v>9067</v>
      </c>
      <c r="D1000" s="2676">
        <v>1059.9000000000001</v>
      </c>
      <c r="E1000" s="2676">
        <v>1059.19</v>
      </c>
      <c r="F1000" s="2676">
        <v>1054.7038480000001</v>
      </c>
      <c r="G1000" s="2676">
        <v>1054.438848</v>
      </c>
      <c r="H1000" s="2676">
        <v>1051.239744</v>
      </c>
      <c r="I1000" s="2676">
        <v>1049.5106479999999</v>
      </c>
      <c r="J1000" s="2676"/>
      <c r="K1000" s="2676"/>
      <c r="L1000" s="2676"/>
      <c r="M1000" s="2676"/>
      <c r="N1000" s="2676"/>
      <c r="O1000" s="2676"/>
      <c r="P1000" s="2676"/>
      <c r="Q1000" s="2676"/>
      <c r="R1000" s="2677"/>
    </row>
  </sheetData>
  <autoFilter ref="A1:I1000" xr:uid="{00000000-0009-0000-0000-000038000000}"/>
  <mergeCells count="8">
    <mergeCell ref="C1:I1"/>
    <mergeCell ref="K1:R1"/>
    <mergeCell ref="D2:E2"/>
    <mergeCell ref="F2:G2"/>
    <mergeCell ref="H2:I2"/>
    <mergeCell ref="L2:M2"/>
    <mergeCell ref="N2:O2"/>
    <mergeCell ref="P2:Q2"/>
  </mergeCells>
  <phoneticPr fontId="214" type="noConversion"/>
  <pageMargins left="0.75" right="0.75" top="1" bottom="1" header="0.49166666666666697" footer="0.49166666666666697"/>
  <pageSetup paperSize="9" orientation="portrait" verticalDpi="300"/>
  <headerFooter scaleWithDoc="0"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B1:K32"/>
  <sheetViews>
    <sheetView workbookViewId="0">
      <selection activeCell="L13" sqref="L13"/>
    </sheetView>
  </sheetViews>
  <sheetFormatPr defaultColWidth="8.125" defaultRowHeight="16.5"/>
  <cols>
    <col min="1" max="1" width="0.25" style="2599" customWidth="1"/>
    <col min="2" max="2" width="19.5" style="2599" customWidth="1"/>
    <col min="3" max="3" width="9.375" style="2599" customWidth="1"/>
    <col min="4" max="4" width="23.625" style="2599" customWidth="1"/>
    <col min="5" max="5" width="24.375" style="2599" customWidth="1"/>
    <col min="6" max="6" width="9.625" style="2599" customWidth="1"/>
    <col min="7" max="7" width="10.75" style="2637" customWidth="1"/>
    <col min="8" max="8" width="8.25" style="2599" customWidth="1"/>
    <col min="9" max="16384" width="8.125" style="2599"/>
  </cols>
  <sheetData>
    <row r="1" spans="2:11">
      <c r="B1" s="4895" t="s">
        <v>9566</v>
      </c>
      <c r="C1" s="4895"/>
      <c r="D1" s="4895"/>
      <c r="E1" s="2602"/>
    </row>
    <row r="3" spans="2:11">
      <c r="B3" s="4871" t="s">
        <v>9567</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9568</v>
      </c>
      <c r="C10" s="4906">
        <v>10</v>
      </c>
      <c r="D10" s="4913"/>
      <c r="E10" s="4894" t="s">
        <v>9569</v>
      </c>
      <c r="F10" s="4894" t="s">
        <v>9570</v>
      </c>
      <c r="G10" s="4888">
        <f>PI()*C10*C19</f>
        <v>188.495559215388</v>
      </c>
      <c r="H10" s="4868"/>
    </row>
    <row r="11" spans="2:11">
      <c r="B11" s="4900"/>
      <c r="C11" s="4907"/>
      <c r="D11" s="4914"/>
      <c r="E11" s="4890"/>
      <c r="F11" s="4890"/>
      <c r="G11" s="4884"/>
      <c r="H11" s="4869"/>
    </row>
    <row r="12" spans="2:11">
      <c r="B12" s="4900"/>
      <c r="C12" s="4907"/>
      <c r="D12" s="4914"/>
      <c r="E12" s="4889" t="s">
        <v>9571</v>
      </c>
      <c r="F12" s="4889"/>
      <c r="G12" s="4883">
        <f>PI()*C10*POWER(C19,3)/4</f>
        <v>1696.46003293849</v>
      </c>
      <c r="H12" s="4869"/>
    </row>
    <row r="13" spans="2:11">
      <c r="B13" s="4900"/>
      <c r="C13" s="4907"/>
      <c r="D13" s="4914"/>
      <c r="E13" s="4890"/>
      <c r="F13" s="4890"/>
      <c r="G13" s="4884"/>
      <c r="H13" s="4869"/>
      <c r="I13" s="2636"/>
    </row>
    <row r="14" spans="2:11">
      <c r="B14" s="4900"/>
      <c r="C14" s="4907"/>
      <c r="D14" s="4914"/>
      <c r="E14" s="4889" t="s">
        <v>9572</v>
      </c>
      <c r="F14" s="4889"/>
      <c r="G14" s="4883">
        <f>PI()*POWER(C10,3)*C19/4</f>
        <v>4712.3889803846896</v>
      </c>
      <c r="H14" s="4869"/>
      <c r="I14" s="2636"/>
      <c r="J14" s="2636"/>
    </row>
    <row r="15" spans="2:11">
      <c r="B15" s="4900"/>
      <c r="C15" s="4907"/>
      <c r="D15" s="4914"/>
      <c r="E15" s="4890"/>
      <c r="F15" s="4890"/>
      <c r="G15" s="4884"/>
      <c r="H15" s="4869"/>
      <c r="I15" s="2636"/>
      <c r="J15" s="2636"/>
      <c r="K15" s="2636"/>
    </row>
    <row r="16" spans="2:11" ht="16.5" customHeight="1">
      <c r="B16" s="4900"/>
      <c r="C16" s="4907"/>
      <c r="D16" s="4914"/>
      <c r="E16" s="4889" t="s">
        <v>9573</v>
      </c>
      <c r="F16" s="4889"/>
      <c r="G16" s="4883">
        <f>PI()*C10*POWER(C19,2)/4</f>
        <v>282.74333882308099</v>
      </c>
      <c r="H16" s="4869"/>
      <c r="J16" s="2636"/>
    </row>
    <row r="17" spans="2:11" ht="16.5" customHeight="1">
      <c r="B17" s="4900"/>
      <c r="C17" s="4907"/>
      <c r="D17" s="4914"/>
      <c r="E17" s="4890"/>
      <c r="F17" s="4890"/>
      <c r="G17" s="4884"/>
      <c r="H17" s="4869"/>
      <c r="J17" s="2636"/>
    </row>
    <row r="18" spans="2:11" ht="16.5" customHeight="1">
      <c r="B18" s="4901"/>
      <c r="C18" s="4908"/>
      <c r="D18" s="4914"/>
      <c r="E18" s="4889" t="s">
        <v>9574</v>
      </c>
      <c r="F18" s="4889"/>
      <c r="G18" s="4883">
        <f>PI()*POWER(C10,2)*C19/4</f>
        <v>471.23889803846902</v>
      </c>
      <c r="H18" s="4869"/>
      <c r="J18" s="2636"/>
      <c r="K18" s="2636"/>
    </row>
    <row r="19" spans="2:11" ht="16.5" customHeight="1">
      <c r="B19" s="4902" t="s">
        <v>9575</v>
      </c>
      <c r="C19" s="4909">
        <v>6</v>
      </c>
      <c r="D19" s="4914"/>
      <c r="E19" s="4890"/>
      <c r="F19" s="4890"/>
      <c r="G19" s="4884"/>
      <c r="H19" s="4869"/>
      <c r="J19" s="2636"/>
    </row>
    <row r="20" spans="2:11" ht="16.5" customHeight="1">
      <c r="B20" s="4900"/>
      <c r="C20" s="4907"/>
      <c r="D20" s="4914"/>
      <c r="E20" s="4889" t="s">
        <v>9576</v>
      </c>
      <c r="F20" s="4889"/>
      <c r="G20" s="4883">
        <f>C19</f>
        <v>6</v>
      </c>
      <c r="H20" s="4869"/>
      <c r="J20" s="2636"/>
    </row>
    <row r="21" spans="2:11" ht="16.5" customHeight="1">
      <c r="B21" s="4900"/>
      <c r="C21" s="4907"/>
      <c r="D21" s="4914"/>
      <c r="E21" s="4890"/>
      <c r="F21" s="4890"/>
      <c r="G21" s="4884"/>
      <c r="H21" s="4869"/>
      <c r="J21" s="2636"/>
    </row>
    <row r="22" spans="2:11" ht="16.5" customHeight="1">
      <c r="B22" s="4900"/>
      <c r="C22" s="4907"/>
      <c r="D22" s="4914"/>
      <c r="E22" s="4889" t="s">
        <v>9577</v>
      </c>
      <c r="F22" s="4889"/>
      <c r="G22" s="4883">
        <f>C10</f>
        <v>10</v>
      </c>
      <c r="H22" s="4869"/>
      <c r="J22" s="2636"/>
    </row>
    <row r="23" spans="2:11" ht="16.5" customHeight="1">
      <c r="B23" s="4900"/>
      <c r="C23" s="4907"/>
      <c r="D23" s="4914"/>
      <c r="E23" s="4890"/>
      <c r="F23" s="4890"/>
      <c r="G23" s="4884"/>
      <c r="H23" s="4869"/>
      <c r="J23" s="2636"/>
    </row>
    <row r="24" spans="2:11" ht="16.5" customHeight="1">
      <c r="B24" s="4900"/>
      <c r="C24" s="4907"/>
      <c r="D24" s="4914"/>
      <c r="E24" s="4889" t="s">
        <v>9578</v>
      </c>
      <c r="F24" s="4889"/>
      <c r="G24" s="4883">
        <f>C19/2</f>
        <v>3</v>
      </c>
      <c r="H24" s="4869"/>
      <c r="J24" s="2636"/>
    </row>
    <row r="25" spans="2:11" ht="16.5" customHeight="1">
      <c r="B25" s="4900"/>
      <c r="C25" s="4907"/>
      <c r="D25" s="4914"/>
      <c r="E25" s="4890"/>
      <c r="F25" s="4890"/>
      <c r="G25" s="4884"/>
      <c r="H25" s="4869"/>
      <c r="J25" s="2636"/>
    </row>
    <row r="26" spans="2:11">
      <c r="B26" s="4900"/>
      <c r="C26" s="4907"/>
      <c r="D26" s="4914"/>
      <c r="E26" s="4889" t="s">
        <v>9579</v>
      </c>
      <c r="F26" s="4889"/>
      <c r="G26" s="4883">
        <f>C10/3</f>
        <v>3.3333333333333299</v>
      </c>
      <c r="H26" s="4869"/>
      <c r="J26" s="2636"/>
    </row>
    <row r="27" spans="2:11">
      <c r="B27" s="4903"/>
      <c r="C27" s="4910"/>
      <c r="D27" s="4915"/>
      <c r="E27" s="4891"/>
      <c r="F27" s="4891"/>
      <c r="G27" s="4885"/>
      <c r="H27" s="4870"/>
    </row>
    <row r="29" spans="2:11">
      <c r="B29" s="2599" t="s">
        <v>5432</v>
      </c>
      <c r="F29" s="2636"/>
      <c r="H29" s="2636"/>
    </row>
    <row r="30" spans="2:11">
      <c r="B30" s="2599" t="s">
        <v>5433</v>
      </c>
      <c r="F30" s="2636"/>
    </row>
    <row r="32" spans="2:11">
      <c r="F32" s="2636"/>
    </row>
  </sheetData>
  <mergeCells count="45">
    <mergeCell ref="B1:D1"/>
    <mergeCell ref="B5:H5"/>
    <mergeCell ref="B8:B9"/>
    <mergeCell ref="B10:B18"/>
    <mergeCell ref="B19:B27"/>
    <mergeCell ref="C8:C9"/>
    <mergeCell ref="C10:C18"/>
    <mergeCell ref="C19:C27"/>
    <mergeCell ref="D8:D9"/>
    <mergeCell ref="D10:D27"/>
    <mergeCell ref="E8:E9"/>
    <mergeCell ref="E10:E11"/>
    <mergeCell ref="E12:E13"/>
    <mergeCell ref="E14:E15"/>
    <mergeCell ref="E16:E17"/>
    <mergeCell ref="E18:E19"/>
    <mergeCell ref="E22:E23"/>
    <mergeCell ref="E24:E25"/>
    <mergeCell ref="E26:E27"/>
    <mergeCell ref="F8:F9"/>
    <mergeCell ref="F10:F11"/>
    <mergeCell ref="F12:F13"/>
    <mergeCell ref="F14:F15"/>
    <mergeCell ref="F16:F17"/>
    <mergeCell ref="F18:F19"/>
    <mergeCell ref="F20:F21"/>
    <mergeCell ref="F22:F23"/>
    <mergeCell ref="F24:F25"/>
    <mergeCell ref="F26:F27"/>
    <mergeCell ref="H8:H9"/>
    <mergeCell ref="H10:H27"/>
    <mergeCell ref="B3:H4"/>
    <mergeCell ref="B6:D7"/>
    <mergeCell ref="E6:H7"/>
    <mergeCell ref="G18:G19"/>
    <mergeCell ref="G20:G21"/>
    <mergeCell ref="G22:G23"/>
    <mergeCell ref="G24:G25"/>
    <mergeCell ref="G26:G27"/>
    <mergeCell ref="G8:G9"/>
    <mergeCell ref="G10:G11"/>
    <mergeCell ref="G12:G13"/>
    <mergeCell ref="G14:G15"/>
    <mergeCell ref="G16:G17"/>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B1:J28"/>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5.25" style="2599" customWidth="1"/>
    <col min="6" max="6" width="12.75" style="2599" customWidth="1"/>
    <col min="7" max="7" width="11.75" style="2637" customWidth="1"/>
    <col min="8" max="8" width="8.25" style="2599" customWidth="1"/>
    <col min="9" max="16384" width="8.125" style="2599"/>
  </cols>
  <sheetData>
    <row r="1" spans="2:10">
      <c r="B1" s="4895" t="s">
        <v>9580</v>
      </c>
      <c r="C1" s="4895"/>
      <c r="D1" s="4895"/>
      <c r="E1" s="2602"/>
    </row>
    <row r="3" spans="2:10">
      <c r="B3" s="4871" t="s">
        <v>9581</v>
      </c>
      <c r="C3" s="4872"/>
      <c r="D3" s="4872"/>
      <c r="E3" s="4872"/>
      <c r="F3" s="4872"/>
      <c r="G3" s="4872"/>
      <c r="H3" s="4873"/>
    </row>
    <row r="4" spans="2:10">
      <c r="B4" s="4874"/>
      <c r="C4" s="4875"/>
      <c r="D4" s="4875"/>
      <c r="E4" s="4875"/>
      <c r="F4" s="4875"/>
      <c r="G4" s="4875"/>
      <c r="H4" s="4876"/>
    </row>
    <row r="5" spans="2:10" ht="4.5" customHeight="1">
      <c r="B5" s="4896"/>
      <c r="C5" s="4896"/>
      <c r="D5" s="4896"/>
      <c r="E5" s="4896"/>
      <c r="F5" s="4896"/>
      <c r="G5" s="4896"/>
      <c r="H5" s="4896"/>
    </row>
    <row r="6" spans="2:10">
      <c r="B6" s="4877" t="s">
        <v>5407</v>
      </c>
      <c r="C6" s="4878"/>
      <c r="D6" s="4879"/>
      <c r="E6" s="4877" t="s">
        <v>5408</v>
      </c>
      <c r="F6" s="4878"/>
      <c r="G6" s="4878"/>
      <c r="H6" s="4879"/>
    </row>
    <row r="7" spans="2:10">
      <c r="B7" s="4880"/>
      <c r="C7" s="4881"/>
      <c r="D7" s="4882"/>
      <c r="E7" s="4880"/>
      <c r="F7" s="4881"/>
      <c r="G7" s="4881"/>
      <c r="H7" s="4882"/>
    </row>
    <row r="8" spans="2:10">
      <c r="B8" s="4897" t="s">
        <v>5409</v>
      </c>
      <c r="C8" s="4904" t="s">
        <v>5410</v>
      </c>
      <c r="D8" s="4911" t="s">
        <v>5411</v>
      </c>
      <c r="E8" s="4916" t="s">
        <v>5412</v>
      </c>
      <c r="F8" s="4892" t="s">
        <v>984</v>
      </c>
      <c r="G8" s="4886" t="s">
        <v>251</v>
      </c>
      <c r="H8" s="4866" t="s">
        <v>5411</v>
      </c>
    </row>
    <row r="9" spans="2:10">
      <c r="B9" s="4898"/>
      <c r="C9" s="4905"/>
      <c r="D9" s="4912"/>
      <c r="E9" s="4917"/>
      <c r="F9" s="4893"/>
      <c r="G9" s="4887"/>
      <c r="H9" s="4867"/>
      <c r="J9" s="2636"/>
    </row>
    <row r="10" spans="2:10" ht="19.5" customHeight="1">
      <c r="B10" s="4899" t="s">
        <v>9582</v>
      </c>
      <c r="C10" s="4906">
        <v>6</v>
      </c>
      <c r="D10" s="4913"/>
      <c r="E10" s="4894" t="s">
        <v>9569</v>
      </c>
      <c r="F10" s="4894"/>
      <c r="G10" s="4888">
        <f>POWER(C10,2)</f>
        <v>36</v>
      </c>
      <c r="H10" s="4868"/>
      <c r="J10" s="2636"/>
    </row>
    <row r="11" spans="2:10">
      <c r="B11" s="4900"/>
      <c r="C11" s="4907"/>
      <c r="D11" s="4914"/>
      <c r="E11" s="4890"/>
      <c r="F11" s="4890"/>
      <c r="G11" s="4884"/>
      <c r="H11" s="4869"/>
    </row>
    <row r="12" spans="2:10">
      <c r="B12" s="4900"/>
      <c r="C12" s="4907"/>
      <c r="D12" s="4914"/>
      <c r="E12" s="4889" t="s">
        <v>9583</v>
      </c>
      <c r="F12" s="4889"/>
      <c r="G12" s="4883">
        <f>POWER(C10,4)/12</f>
        <v>108</v>
      </c>
      <c r="H12" s="4869"/>
      <c r="J12" s="2636"/>
    </row>
    <row r="13" spans="2:10">
      <c r="B13" s="4900"/>
      <c r="C13" s="4907"/>
      <c r="D13" s="4914"/>
      <c r="E13" s="4890"/>
      <c r="F13" s="4890"/>
      <c r="G13" s="4884"/>
      <c r="H13" s="4869"/>
      <c r="I13" s="2636"/>
    </row>
    <row r="14" spans="2:10" ht="16.5" customHeight="1">
      <c r="B14" s="4900"/>
      <c r="C14" s="4907"/>
      <c r="D14" s="4914"/>
      <c r="E14" s="4889" t="s">
        <v>9573</v>
      </c>
      <c r="F14" s="4889"/>
      <c r="G14" s="4883">
        <f>POWER(C10,3)/6</f>
        <v>36</v>
      </c>
      <c r="H14" s="4869"/>
      <c r="J14" s="2636"/>
    </row>
    <row r="15" spans="2:10" ht="16.5" customHeight="1">
      <c r="B15" s="4900"/>
      <c r="C15" s="4907"/>
      <c r="D15" s="4914"/>
      <c r="E15" s="4890"/>
      <c r="F15" s="4890"/>
      <c r="G15" s="4884"/>
      <c r="H15" s="4869"/>
      <c r="J15" s="2636"/>
    </row>
    <row r="16" spans="2:10" ht="16.5" customHeight="1">
      <c r="B16" s="4900"/>
      <c r="C16" s="4907"/>
      <c r="D16" s="4914"/>
      <c r="E16" s="4889" t="s">
        <v>9584</v>
      </c>
      <c r="F16" s="4889"/>
      <c r="G16" s="4883">
        <f>0.1179*POWER(C10,3)</f>
        <v>25.4664</v>
      </c>
      <c r="H16" s="4869"/>
      <c r="J16" s="2636"/>
    </row>
    <row r="17" spans="2:10" ht="16.5" customHeight="1">
      <c r="B17" s="4900"/>
      <c r="C17" s="4907"/>
      <c r="D17" s="4914"/>
      <c r="E17" s="4890"/>
      <c r="F17" s="4890"/>
      <c r="G17" s="4884"/>
      <c r="H17" s="4869"/>
      <c r="J17" s="2636"/>
    </row>
    <row r="18" spans="2:10" ht="16.5" customHeight="1">
      <c r="B18" s="4900"/>
      <c r="C18" s="4907"/>
      <c r="D18" s="4914"/>
      <c r="E18" s="4889" t="s">
        <v>9576</v>
      </c>
      <c r="F18" s="4889"/>
      <c r="G18" s="4883">
        <f>C10/2</f>
        <v>3</v>
      </c>
      <c r="H18" s="4869"/>
      <c r="J18" s="2636"/>
    </row>
    <row r="19" spans="2:10" ht="16.5" customHeight="1">
      <c r="B19" s="4900"/>
      <c r="C19" s="4907"/>
      <c r="D19" s="4914"/>
      <c r="E19" s="4890"/>
      <c r="F19" s="4890"/>
      <c r="G19" s="4884"/>
      <c r="H19" s="4869"/>
      <c r="J19" s="2636"/>
    </row>
    <row r="20" spans="2:10" ht="16.5" customHeight="1">
      <c r="B20" s="4900"/>
      <c r="C20" s="4907"/>
      <c r="D20" s="4914"/>
      <c r="E20" s="4889" t="s">
        <v>9585</v>
      </c>
      <c r="F20" s="4889"/>
      <c r="G20" s="4883">
        <f>0.7071*C10</f>
        <v>4.2426000000000004</v>
      </c>
      <c r="H20" s="4869"/>
      <c r="I20" s="2636"/>
      <c r="J20" s="2636"/>
    </row>
    <row r="21" spans="2:10" ht="16.5" customHeight="1">
      <c r="B21" s="4900"/>
      <c r="C21" s="4907"/>
      <c r="D21" s="4914"/>
      <c r="E21" s="4890"/>
      <c r="F21" s="4890"/>
      <c r="G21" s="4884"/>
      <c r="H21" s="4869"/>
      <c r="J21" s="2636"/>
    </row>
    <row r="22" spans="2:10">
      <c r="B22" s="4900"/>
      <c r="C22" s="4907"/>
      <c r="D22" s="4914"/>
      <c r="E22" s="4889" t="s">
        <v>9586</v>
      </c>
      <c r="F22" s="4889"/>
      <c r="G22" s="4883">
        <f>C10/SQRT(12)</f>
        <v>1.7320508075688801</v>
      </c>
      <c r="H22" s="4869"/>
      <c r="J22" s="2636"/>
    </row>
    <row r="23" spans="2:10">
      <c r="B23" s="4903"/>
      <c r="C23" s="4910"/>
      <c r="D23" s="4915"/>
      <c r="E23" s="4891"/>
      <c r="F23" s="4891"/>
      <c r="G23" s="4885"/>
      <c r="H23" s="4870"/>
    </row>
    <row r="25" spans="2:10">
      <c r="F25" s="2636"/>
      <c r="H25" s="2636"/>
    </row>
    <row r="26" spans="2:10">
      <c r="B26" s="2599" t="s">
        <v>5433</v>
      </c>
      <c r="F26" s="2636"/>
    </row>
    <row r="28" spans="2:10">
      <c r="F28" s="2636"/>
    </row>
  </sheetData>
  <mergeCells count="37">
    <mergeCell ref="B1:D1"/>
    <mergeCell ref="B5:H5"/>
    <mergeCell ref="B8:B9"/>
    <mergeCell ref="B10:B23"/>
    <mergeCell ref="C8:C9"/>
    <mergeCell ref="C10:C23"/>
    <mergeCell ref="D8:D9"/>
    <mergeCell ref="D10:D23"/>
    <mergeCell ref="E8:E9"/>
    <mergeCell ref="E10:E11"/>
    <mergeCell ref="E12:E13"/>
    <mergeCell ref="E14:E15"/>
    <mergeCell ref="E16:E17"/>
    <mergeCell ref="E18:E19"/>
    <mergeCell ref="E20:E21"/>
    <mergeCell ref="E22:E23"/>
    <mergeCell ref="F8:F9"/>
    <mergeCell ref="F10:F11"/>
    <mergeCell ref="F12:F13"/>
    <mergeCell ref="F14:F15"/>
    <mergeCell ref="F16:F17"/>
    <mergeCell ref="H8:H9"/>
    <mergeCell ref="H10:H23"/>
    <mergeCell ref="B3:H4"/>
    <mergeCell ref="B6:D7"/>
    <mergeCell ref="E6:H7"/>
    <mergeCell ref="F18:F19"/>
    <mergeCell ref="F20:F21"/>
    <mergeCell ref="F22:F23"/>
    <mergeCell ref="G8:G9"/>
    <mergeCell ref="G10:G11"/>
    <mergeCell ref="G12:G13"/>
    <mergeCell ref="G14:G15"/>
    <mergeCell ref="G16:G17"/>
    <mergeCell ref="G18:G19"/>
    <mergeCell ref="G20:G21"/>
    <mergeCell ref="G22:G23"/>
  </mergeCells>
  <phoneticPr fontId="214" type="noConversion"/>
  <pageMargins left="0.69930555555555596" right="0.69930555555555596" top="0.75" bottom="0.75" header="0.3" footer="0.3"/>
  <pageSetup paperSize="9" orientation="portrait" horizontalDpi="2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dimension ref="B1:L26"/>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1.5" style="2599" customWidth="1"/>
    <col min="5" max="5" width="24.375" style="2599" customWidth="1"/>
    <col min="6" max="6" width="12.25" style="2599" customWidth="1"/>
    <col min="7" max="7" width="12.625" style="2637" customWidth="1"/>
    <col min="8" max="8" width="8.25" style="2599" customWidth="1"/>
    <col min="9" max="16384" width="8.125" style="2599"/>
  </cols>
  <sheetData>
    <row r="1" spans="2:12">
      <c r="B1" s="4895" t="s">
        <v>9587</v>
      </c>
      <c r="C1" s="4895"/>
      <c r="D1" s="4895"/>
      <c r="E1" s="2602"/>
    </row>
    <row r="3" spans="2:12">
      <c r="B3" s="4871" t="s">
        <v>9588</v>
      </c>
      <c r="C3" s="4872"/>
      <c r="D3" s="4872"/>
      <c r="E3" s="4872"/>
      <c r="F3" s="4872"/>
      <c r="G3" s="4872"/>
      <c r="H3" s="4873"/>
    </row>
    <row r="4" spans="2:12">
      <c r="B4" s="4874"/>
      <c r="C4" s="4875"/>
      <c r="D4" s="4875"/>
      <c r="E4" s="4875"/>
      <c r="F4" s="4875"/>
      <c r="G4" s="4875"/>
      <c r="H4" s="4876"/>
    </row>
    <row r="5" spans="2:12" ht="4.5" customHeight="1">
      <c r="B5" s="4896"/>
      <c r="C5" s="4896"/>
      <c r="D5" s="4896"/>
      <c r="E5" s="4896"/>
      <c r="F5" s="4896"/>
      <c r="G5" s="4896"/>
      <c r="H5" s="4896"/>
    </row>
    <row r="6" spans="2:12">
      <c r="B6" s="4877" t="s">
        <v>5407</v>
      </c>
      <c r="C6" s="4878"/>
      <c r="D6" s="4879"/>
      <c r="E6" s="4877" t="s">
        <v>5408</v>
      </c>
      <c r="F6" s="4878"/>
      <c r="G6" s="4878"/>
      <c r="H6" s="4879"/>
    </row>
    <row r="7" spans="2:12">
      <c r="B7" s="4880"/>
      <c r="C7" s="4881"/>
      <c r="D7" s="4882"/>
      <c r="E7" s="4880"/>
      <c r="F7" s="4881"/>
      <c r="G7" s="4881"/>
      <c r="H7" s="4882"/>
    </row>
    <row r="8" spans="2:12">
      <c r="B8" s="4897" t="s">
        <v>5409</v>
      </c>
      <c r="C8" s="4904" t="s">
        <v>5410</v>
      </c>
      <c r="D8" s="4911" t="s">
        <v>5411</v>
      </c>
      <c r="E8" s="4916" t="s">
        <v>5412</v>
      </c>
      <c r="F8" s="4892" t="s">
        <v>984</v>
      </c>
      <c r="G8" s="4886" t="s">
        <v>251</v>
      </c>
      <c r="H8" s="4866" t="s">
        <v>5411</v>
      </c>
    </row>
    <row r="9" spans="2:12">
      <c r="B9" s="4898"/>
      <c r="C9" s="4905"/>
      <c r="D9" s="4912"/>
      <c r="E9" s="4917"/>
      <c r="F9" s="4893"/>
      <c r="G9" s="4887"/>
      <c r="H9" s="4867"/>
      <c r="J9" s="2636"/>
    </row>
    <row r="10" spans="2:12" ht="19.5" customHeight="1">
      <c r="B10" s="4899" t="s">
        <v>9589</v>
      </c>
      <c r="C10" s="4906">
        <v>12</v>
      </c>
      <c r="D10" s="4913"/>
      <c r="E10" s="4894" t="s">
        <v>9569</v>
      </c>
      <c r="F10" s="4894"/>
      <c r="G10" s="4888">
        <f>PI()/4*POWER(C10,2)</f>
        <v>113.09733552923301</v>
      </c>
      <c r="H10" s="4868"/>
    </row>
    <row r="11" spans="2:12">
      <c r="B11" s="4900"/>
      <c r="C11" s="4907"/>
      <c r="D11" s="4914"/>
      <c r="E11" s="4890"/>
      <c r="F11" s="4890"/>
      <c r="G11" s="4884"/>
      <c r="H11" s="4869"/>
    </row>
    <row r="12" spans="2:12">
      <c r="B12" s="4900"/>
      <c r="C12" s="4907"/>
      <c r="D12" s="4914"/>
      <c r="E12" s="4889" t="s">
        <v>9590</v>
      </c>
      <c r="F12" s="4889"/>
      <c r="G12" s="4883">
        <f>PI()/64*POWER(C10,4)</f>
        <v>1017.87601976309</v>
      </c>
      <c r="H12" s="4869"/>
    </row>
    <row r="13" spans="2:12">
      <c r="B13" s="4900"/>
      <c r="C13" s="4907"/>
      <c r="D13" s="4914"/>
      <c r="E13" s="4890"/>
      <c r="F13" s="4890"/>
      <c r="G13" s="4884"/>
      <c r="H13" s="4869"/>
      <c r="I13" s="2636"/>
      <c r="K13" s="2636"/>
    </row>
    <row r="14" spans="2:12">
      <c r="B14" s="4900"/>
      <c r="C14" s="4907"/>
      <c r="D14" s="4914"/>
      <c r="E14" s="4889" t="s">
        <v>9591</v>
      </c>
      <c r="F14" s="4889"/>
      <c r="G14" s="4883">
        <f>PI()*POWER(C10,4)/32</f>
        <v>2035.7520395261899</v>
      </c>
      <c r="H14" s="4869"/>
      <c r="I14" s="2636"/>
      <c r="L14" s="2636"/>
    </row>
    <row r="15" spans="2:12">
      <c r="B15" s="4900"/>
      <c r="C15" s="4907"/>
      <c r="D15" s="4914"/>
      <c r="E15" s="4890"/>
      <c r="F15" s="4890"/>
      <c r="G15" s="4884"/>
      <c r="H15" s="4869"/>
      <c r="I15" s="2636"/>
      <c r="K15" s="2636"/>
    </row>
    <row r="16" spans="2:12" ht="16.5" customHeight="1">
      <c r="B16" s="4900"/>
      <c r="C16" s="4907"/>
      <c r="D16" s="4914"/>
      <c r="E16" s="4889" t="s">
        <v>9592</v>
      </c>
      <c r="F16" s="4889"/>
      <c r="G16" s="4883">
        <f>PI()/32*POWER(C10,3)</f>
        <v>169.64600329384899</v>
      </c>
      <c r="H16" s="4869"/>
      <c r="J16" s="2636"/>
    </row>
    <row r="17" spans="2:11" ht="16.5" customHeight="1">
      <c r="B17" s="4900"/>
      <c r="C17" s="4907"/>
      <c r="D17" s="4914"/>
      <c r="E17" s="4890"/>
      <c r="F17" s="4890"/>
      <c r="G17" s="4884"/>
      <c r="H17" s="4869"/>
      <c r="J17" s="2636"/>
      <c r="K17" s="2636"/>
    </row>
    <row r="18" spans="2:11" ht="16.5" customHeight="1">
      <c r="B18" s="4900"/>
      <c r="C18" s="4907"/>
      <c r="D18" s="4914"/>
      <c r="E18" s="4889" t="s">
        <v>9576</v>
      </c>
      <c r="F18" s="4889"/>
      <c r="G18" s="4883">
        <f>C10/2</f>
        <v>6</v>
      </c>
      <c r="H18" s="4869"/>
      <c r="J18" s="2636"/>
      <c r="K18" s="2636"/>
    </row>
    <row r="19" spans="2:11" ht="16.5" customHeight="1">
      <c r="B19" s="4900"/>
      <c r="C19" s="4907"/>
      <c r="D19" s="4914"/>
      <c r="E19" s="4890"/>
      <c r="F19" s="4890"/>
      <c r="G19" s="4884"/>
      <c r="H19" s="4869"/>
      <c r="J19" s="2636"/>
    </row>
    <row r="20" spans="2:11" ht="16.5" customHeight="1">
      <c r="B20" s="4900"/>
      <c r="C20" s="4907"/>
      <c r="D20" s="4914"/>
      <c r="E20" s="4889" t="s">
        <v>9593</v>
      </c>
      <c r="F20" s="4889"/>
      <c r="G20" s="4883">
        <f>C10/4</f>
        <v>3</v>
      </c>
      <c r="H20" s="4869"/>
      <c r="J20" s="2636"/>
    </row>
    <row r="21" spans="2:11" ht="16.5" customHeight="1">
      <c r="B21" s="4903"/>
      <c r="C21" s="4910"/>
      <c r="D21" s="4915"/>
      <c r="E21" s="4891"/>
      <c r="F21" s="4891"/>
      <c r="G21" s="4885"/>
      <c r="H21" s="4870"/>
      <c r="J21" s="2636"/>
    </row>
    <row r="23" spans="2:11">
      <c r="F23" s="2636"/>
      <c r="H23" s="2636"/>
    </row>
    <row r="24" spans="2:11">
      <c r="B24" s="2599" t="s">
        <v>5433</v>
      </c>
      <c r="F24" s="2636"/>
    </row>
    <row r="26" spans="2:11">
      <c r="F26" s="2636"/>
    </row>
  </sheetData>
  <mergeCells count="34">
    <mergeCell ref="E20:E21"/>
    <mergeCell ref="F8:F9"/>
    <mergeCell ref="F16:F17"/>
    <mergeCell ref="F18:F19"/>
    <mergeCell ref="B1:D1"/>
    <mergeCell ref="B5:H5"/>
    <mergeCell ref="B8:B9"/>
    <mergeCell ref="B10:B21"/>
    <mergeCell ref="C8:C9"/>
    <mergeCell ref="C10:C21"/>
    <mergeCell ref="D8:D9"/>
    <mergeCell ref="D10:D21"/>
    <mergeCell ref="E8:E9"/>
    <mergeCell ref="E10:E11"/>
    <mergeCell ref="E12:E13"/>
    <mergeCell ref="E14:E15"/>
    <mergeCell ref="E16:E17"/>
    <mergeCell ref="E18:E19"/>
    <mergeCell ref="H8:H9"/>
    <mergeCell ref="H10:H21"/>
    <mergeCell ref="B3:H4"/>
    <mergeCell ref="B6:D7"/>
    <mergeCell ref="E6:H7"/>
    <mergeCell ref="F20:F21"/>
    <mergeCell ref="G8:G9"/>
    <mergeCell ref="G10:G11"/>
    <mergeCell ref="G12:G13"/>
    <mergeCell ref="G14:G15"/>
    <mergeCell ref="G16:G17"/>
    <mergeCell ref="G18:G19"/>
    <mergeCell ref="G20:G21"/>
    <mergeCell ref="F10:F11"/>
    <mergeCell ref="F12:F13"/>
    <mergeCell ref="F14:F15"/>
  </mergeCells>
  <phoneticPr fontId="214" type="noConversion"/>
  <pageMargins left="0.69930555555555596" right="0.69930555555555596" top="0.75" bottom="0.75" header="0.3" footer="0.3"/>
  <pageSetup paperSize="9" orientation="portrait" horizontalDpi="2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B1:L28"/>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3.75" style="2599" customWidth="1"/>
    <col min="5" max="5" width="24.375" style="2599" customWidth="1"/>
    <col min="6" max="6" width="20.875" style="2599" customWidth="1"/>
    <col min="7" max="7" width="9.625" style="2637" customWidth="1"/>
    <col min="8" max="8" width="8.25" style="2599" customWidth="1"/>
    <col min="9" max="16384" width="8.125" style="2599"/>
  </cols>
  <sheetData>
    <row r="1" spans="2:10">
      <c r="B1" s="4895" t="s">
        <v>9594</v>
      </c>
      <c r="C1" s="4895"/>
      <c r="D1" s="4895"/>
      <c r="E1" s="2602"/>
    </row>
    <row r="3" spans="2:10">
      <c r="B3" s="4871" t="s">
        <v>9595</v>
      </c>
      <c r="C3" s="4872"/>
      <c r="D3" s="4872"/>
      <c r="E3" s="4872"/>
      <c r="F3" s="4872"/>
      <c r="G3" s="4872"/>
      <c r="H3" s="4873"/>
    </row>
    <row r="4" spans="2:10">
      <c r="B4" s="4874"/>
      <c r="C4" s="4875"/>
      <c r="D4" s="4875"/>
      <c r="E4" s="4875"/>
      <c r="F4" s="4875"/>
      <c r="G4" s="4875"/>
      <c r="H4" s="4876"/>
    </row>
    <row r="5" spans="2:10" ht="4.5" customHeight="1">
      <c r="B5" s="4896"/>
      <c r="C5" s="4896"/>
      <c r="D5" s="4896"/>
      <c r="E5" s="4896"/>
      <c r="F5" s="4896"/>
      <c r="G5" s="4896"/>
      <c r="H5" s="4896"/>
    </row>
    <row r="6" spans="2:10">
      <c r="B6" s="4877" t="s">
        <v>5407</v>
      </c>
      <c r="C6" s="4878"/>
      <c r="D6" s="4879"/>
      <c r="E6" s="4877" t="s">
        <v>5408</v>
      </c>
      <c r="F6" s="4878"/>
      <c r="G6" s="4878"/>
      <c r="H6" s="4879"/>
    </row>
    <row r="7" spans="2:10">
      <c r="B7" s="4880"/>
      <c r="C7" s="4881"/>
      <c r="D7" s="4882"/>
      <c r="E7" s="4880"/>
      <c r="F7" s="4881"/>
      <c r="G7" s="4881"/>
      <c r="H7" s="4882"/>
    </row>
    <row r="8" spans="2:10">
      <c r="B8" s="4897" t="s">
        <v>5409</v>
      </c>
      <c r="C8" s="4904" t="s">
        <v>5410</v>
      </c>
      <c r="D8" s="4911" t="s">
        <v>5411</v>
      </c>
      <c r="E8" s="4916" t="s">
        <v>5412</v>
      </c>
      <c r="F8" s="4892" t="s">
        <v>984</v>
      </c>
      <c r="G8" s="4886" t="s">
        <v>251</v>
      </c>
      <c r="H8" s="4866" t="s">
        <v>5411</v>
      </c>
    </row>
    <row r="9" spans="2:10">
      <c r="B9" s="4898"/>
      <c r="C9" s="4905"/>
      <c r="D9" s="4912"/>
      <c r="E9" s="4917"/>
      <c r="F9" s="4893"/>
      <c r="G9" s="4887"/>
      <c r="H9" s="4867"/>
      <c r="J9" s="2636"/>
    </row>
    <row r="10" spans="2:10" ht="19.5" customHeight="1">
      <c r="B10" s="4899" t="s">
        <v>9596</v>
      </c>
      <c r="C10" s="4906">
        <v>9</v>
      </c>
      <c r="D10" s="4913"/>
      <c r="E10" s="4894" t="s">
        <v>9569</v>
      </c>
      <c r="F10" s="4894"/>
      <c r="G10" s="4888">
        <f>PI()*C19/180*(POWER(C10,2)-POWER(C15,2))</f>
        <v>11.7809724509617</v>
      </c>
      <c r="H10" s="4868"/>
    </row>
    <row r="11" spans="2:10">
      <c r="B11" s="4900"/>
      <c r="C11" s="4907"/>
      <c r="D11" s="4914"/>
      <c r="E11" s="4890"/>
      <c r="F11" s="4890"/>
      <c r="G11" s="4884"/>
      <c r="H11" s="4869"/>
    </row>
    <row r="12" spans="2:10">
      <c r="B12" s="4900"/>
      <c r="C12" s="4907"/>
      <c r="D12" s="4914"/>
      <c r="E12" s="4889" t="s">
        <v>9597</v>
      </c>
      <c r="F12" s="4889"/>
      <c r="G12" s="4883">
        <f>((POWER(C10,4)-POWER(C15,4))/8)*((PI()*C19)/90+2*SIN(RADIANS(C19))*COS(RADIANS(C19)))</f>
        <v>673.65594419062995</v>
      </c>
      <c r="H12" s="4869"/>
      <c r="J12" s="2636"/>
    </row>
    <row r="13" spans="2:10">
      <c r="B13" s="4900"/>
      <c r="C13" s="4907"/>
      <c r="D13" s="4914"/>
      <c r="E13" s="4890"/>
      <c r="F13" s="4890"/>
      <c r="G13" s="4884"/>
      <c r="H13" s="4869"/>
      <c r="I13" s="2636"/>
    </row>
    <row r="14" spans="2:10">
      <c r="B14" s="4901"/>
      <c r="C14" s="4908"/>
      <c r="D14" s="4914"/>
      <c r="E14" s="4889" t="s">
        <v>9571</v>
      </c>
      <c r="F14" s="4889"/>
      <c r="G14" s="4883">
        <f>G12-G10*POWER(G18,2)</f>
        <v>641.35104441973999</v>
      </c>
      <c r="H14" s="4869"/>
      <c r="I14" s="2636"/>
      <c r="J14" s="2636"/>
    </row>
    <row r="15" spans="2:10">
      <c r="B15" s="4902" t="s">
        <v>9598</v>
      </c>
      <c r="C15" s="4909">
        <v>6</v>
      </c>
      <c r="D15" s="4914"/>
      <c r="E15" s="4890"/>
      <c r="F15" s="4890"/>
      <c r="G15" s="4884"/>
      <c r="H15" s="4869"/>
      <c r="I15" s="2636"/>
      <c r="J15" s="2636"/>
    </row>
    <row r="16" spans="2:10" ht="16.5" customHeight="1">
      <c r="B16" s="4900"/>
      <c r="C16" s="4907"/>
      <c r="D16" s="4914"/>
      <c r="E16" s="4889" t="s">
        <v>9599</v>
      </c>
      <c r="F16" s="4889"/>
      <c r="G16" s="4883">
        <f>((POWER(C10,4)-POWER(C15,4))/8)*((PI()*C19)/90-(2*SIN(RADIANS(C19))*COS(RADIANS(C19))))</f>
        <v>15.5309441906304</v>
      </c>
      <c r="H16" s="4869"/>
      <c r="J16" s="2636"/>
    </row>
    <row r="17" spans="2:12" ht="16.5" customHeight="1">
      <c r="B17" s="4900"/>
      <c r="C17" s="4907"/>
      <c r="D17" s="4914"/>
      <c r="E17" s="4890"/>
      <c r="F17" s="4890"/>
      <c r="G17" s="4884"/>
      <c r="H17" s="4869"/>
      <c r="J17" s="2636"/>
    </row>
    <row r="18" spans="2:12" ht="16.5" customHeight="1">
      <c r="B18" s="4901"/>
      <c r="C18" s="4908"/>
      <c r="D18" s="4914"/>
      <c r="E18" s="4889" t="s">
        <v>9600</v>
      </c>
      <c r="F18" s="4889"/>
      <c r="G18" s="4883">
        <f>38.197*(((POWER(C10,3)-POWER(C15,3))*SIN(C19))/((POWER(C10,3)-POWER(C15,3))*C19))</f>
        <v>1.65593630869876</v>
      </c>
      <c r="H18" s="4869"/>
      <c r="J18" s="2636"/>
    </row>
    <row r="19" spans="2:12" ht="16.5" customHeight="1">
      <c r="B19" s="4902" t="s">
        <v>9601</v>
      </c>
      <c r="C19" s="4907">
        <v>15</v>
      </c>
      <c r="D19" s="4914"/>
      <c r="E19" s="4890"/>
      <c r="F19" s="4890"/>
      <c r="G19" s="4884"/>
      <c r="H19" s="4869"/>
      <c r="J19" s="2636"/>
    </row>
    <row r="20" spans="2:12" ht="21" customHeight="1">
      <c r="B20" s="4900"/>
      <c r="C20" s="4907"/>
      <c r="D20" s="4914"/>
      <c r="E20" s="4889" t="s">
        <v>9578</v>
      </c>
      <c r="F20" s="4889"/>
      <c r="G20" s="4883">
        <f>SQRT(G14/G10)</f>
        <v>7.37831738638023</v>
      </c>
      <c r="H20" s="4869"/>
      <c r="J20" s="2636"/>
      <c r="L20" s="2636"/>
    </row>
    <row r="21" spans="2:12" ht="16.5" customHeight="1">
      <c r="B21" s="4900"/>
      <c r="C21" s="4907"/>
      <c r="D21" s="4914"/>
      <c r="E21" s="4890"/>
      <c r="F21" s="4890"/>
      <c r="G21" s="4884"/>
      <c r="H21" s="4869"/>
      <c r="J21" s="2636"/>
    </row>
    <row r="22" spans="2:12" ht="16.5" customHeight="1">
      <c r="B22" s="4900"/>
      <c r="C22" s="4907"/>
      <c r="D22" s="4914"/>
      <c r="E22" s="4918" t="s">
        <v>9579</v>
      </c>
      <c r="F22" s="4889"/>
      <c r="G22" s="4883">
        <f>G16/G10</f>
        <v>1.3183074873723699</v>
      </c>
      <c r="H22" s="4869"/>
      <c r="J22" s="2636"/>
    </row>
    <row r="23" spans="2:12" ht="23.25" customHeight="1">
      <c r="B23" s="4903"/>
      <c r="C23" s="4910"/>
      <c r="D23" s="4915"/>
      <c r="E23" s="4891"/>
      <c r="F23" s="4891"/>
      <c r="G23" s="4885"/>
      <c r="H23" s="4870"/>
      <c r="J23" s="2636"/>
    </row>
    <row r="25" spans="2:12">
      <c r="F25" s="2636"/>
      <c r="H25" s="2636"/>
    </row>
    <row r="26" spans="2:12">
      <c r="B26" s="2599" t="s">
        <v>5433</v>
      </c>
      <c r="F26" s="2636"/>
      <c r="G26" s="2636"/>
    </row>
    <row r="27" spans="2:12">
      <c r="G27" s="2636"/>
    </row>
    <row r="28" spans="2:12">
      <c r="F28" s="2636"/>
    </row>
  </sheetData>
  <mergeCells count="41">
    <mergeCell ref="F8:F9"/>
    <mergeCell ref="C8:C9"/>
    <mergeCell ref="C10:C14"/>
    <mergeCell ref="C15:C18"/>
    <mergeCell ref="C19:C23"/>
    <mergeCell ref="B1:D1"/>
    <mergeCell ref="B5:H5"/>
    <mergeCell ref="B8:B9"/>
    <mergeCell ref="B10:B14"/>
    <mergeCell ref="B15:B18"/>
    <mergeCell ref="D8:D9"/>
    <mergeCell ref="D10:D23"/>
    <mergeCell ref="E8:E9"/>
    <mergeCell ref="E10:E11"/>
    <mergeCell ref="E12:E13"/>
    <mergeCell ref="E14:E15"/>
    <mergeCell ref="E16:E17"/>
    <mergeCell ref="F12:F13"/>
    <mergeCell ref="F14:F15"/>
    <mergeCell ref="F16:F17"/>
    <mergeCell ref="F18:F19"/>
    <mergeCell ref="B19:B23"/>
    <mergeCell ref="E18:E19"/>
    <mergeCell ref="E20:E21"/>
    <mergeCell ref="E22:E23"/>
    <mergeCell ref="H8:H9"/>
    <mergeCell ref="H10:H23"/>
    <mergeCell ref="B3:H4"/>
    <mergeCell ref="B6:D7"/>
    <mergeCell ref="E6:H7"/>
    <mergeCell ref="F20:F21"/>
    <mergeCell ref="F22:F23"/>
    <mergeCell ref="G8:G9"/>
    <mergeCell ref="G10:G11"/>
    <mergeCell ref="G12:G13"/>
    <mergeCell ref="G14:G15"/>
    <mergeCell ref="G16:G17"/>
    <mergeCell ref="G18:G19"/>
    <mergeCell ref="G20:G21"/>
    <mergeCell ref="G22:G23"/>
    <mergeCell ref="F10:F11"/>
  </mergeCells>
  <phoneticPr fontId="214" type="noConversion"/>
  <pageMargins left="0.69930555555555596" right="0.69930555555555596" top="0.75" bottom="0.75" header="0.3" footer="0.3"/>
  <pageSetup paperSize="9" orientation="portrait" horizontalDpi="2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dimension ref="B1:L32"/>
  <sheetViews>
    <sheetView zoomScale="70" zoomScaleNormal="70"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2.875" style="2599" customWidth="1"/>
    <col min="6" max="6" width="30.625" style="2599" customWidth="1"/>
    <col min="7" max="7" width="11.75" style="2637" customWidth="1"/>
    <col min="8" max="8" width="8.25" style="2599" customWidth="1"/>
    <col min="9" max="16384" width="8.125" style="2599"/>
  </cols>
  <sheetData>
    <row r="1" spans="2:12">
      <c r="B1" s="4895" t="s">
        <v>9602</v>
      </c>
      <c r="C1" s="4895"/>
      <c r="D1" s="4895"/>
      <c r="E1" s="2602"/>
    </row>
    <row r="3" spans="2:12">
      <c r="B3" s="4871" t="s">
        <v>9603</v>
      </c>
      <c r="C3" s="4872"/>
      <c r="D3" s="4872"/>
      <c r="E3" s="4872"/>
      <c r="F3" s="4872"/>
      <c r="G3" s="4872"/>
      <c r="H3" s="4873"/>
    </row>
    <row r="4" spans="2:12">
      <c r="B4" s="4874"/>
      <c r="C4" s="4875"/>
      <c r="D4" s="4875"/>
      <c r="E4" s="4875"/>
      <c r="F4" s="4875"/>
      <c r="G4" s="4875"/>
      <c r="H4" s="4876"/>
    </row>
    <row r="5" spans="2:12" ht="4.5" customHeight="1">
      <c r="B5" s="4896"/>
      <c r="C5" s="4896"/>
      <c r="D5" s="4896"/>
      <c r="E5" s="4896"/>
      <c r="F5" s="4896"/>
      <c r="G5" s="4896"/>
      <c r="H5" s="4896"/>
    </row>
    <row r="6" spans="2:12">
      <c r="B6" s="4877" t="s">
        <v>5407</v>
      </c>
      <c r="C6" s="4878"/>
      <c r="D6" s="4879"/>
      <c r="E6" s="4877" t="s">
        <v>5408</v>
      </c>
      <c r="F6" s="4878"/>
      <c r="G6" s="4878"/>
      <c r="H6" s="4879"/>
    </row>
    <row r="7" spans="2:12">
      <c r="B7" s="4880"/>
      <c r="C7" s="4881"/>
      <c r="D7" s="4882"/>
      <c r="E7" s="4880"/>
      <c r="F7" s="4881"/>
      <c r="G7" s="4881"/>
      <c r="H7" s="4882"/>
    </row>
    <row r="8" spans="2:12">
      <c r="B8" s="4897" t="s">
        <v>5409</v>
      </c>
      <c r="C8" s="4904" t="s">
        <v>5410</v>
      </c>
      <c r="D8" s="4911" t="s">
        <v>5411</v>
      </c>
      <c r="E8" s="4916" t="s">
        <v>5412</v>
      </c>
      <c r="F8" s="4892" t="s">
        <v>984</v>
      </c>
      <c r="G8" s="4886" t="s">
        <v>251</v>
      </c>
      <c r="H8" s="4866" t="s">
        <v>5411</v>
      </c>
    </row>
    <row r="9" spans="2:12">
      <c r="B9" s="4898"/>
      <c r="C9" s="4905"/>
      <c r="D9" s="4912"/>
      <c r="E9" s="4917"/>
      <c r="F9" s="4893"/>
      <c r="G9" s="4887"/>
      <c r="H9" s="4867"/>
      <c r="J9" s="2636"/>
    </row>
    <row r="10" spans="2:12" ht="19.5" customHeight="1">
      <c r="B10" s="4899" t="s">
        <v>9604</v>
      </c>
      <c r="C10" s="4906">
        <v>10</v>
      </c>
      <c r="D10" s="4913"/>
      <c r="E10" s="4894" t="s">
        <v>9569</v>
      </c>
      <c r="F10" s="4894"/>
      <c r="G10" s="4888">
        <f>PI()*POWER(C10,2)*C19/360</f>
        <v>17.4532925199433</v>
      </c>
      <c r="H10" s="4868"/>
    </row>
    <row r="11" spans="2:12">
      <c r="B11" s="4900"/>
      <c r="C11" s="4907"/>
      <c r="D11" s="4914"/>
      <c r="E11" s="4890"/>
      <c r="F11" s="4890"/>
      <c r="G11" s="4884"/>
      <c r="H11" s="4869"/>
      <c r="J11" s="2636"/>
      <c r="K11" s="2636"/>
    </row>
    <row r="12" spans="2:12">
      <c r="B12" s="4900"/>
      <c r="C12" s="4907"/>
      <c r="D12" s="4914"/>
      <c r="E12" s="4889" t="s">
        <v>9605</v>
      </c>
      <c r="F12" s="4889"/>
      <c r="G12" s="4883">
        <f>PI()*C10*C19/180</f>
        <v>3.49065850398866</v>
      </c>
      <c r="H12" s="4869"/>
    </row>
    <row r="13" spans="2:12">
      <c r="B13" s="4900"/>
      <c r="C13" s="4907"/>
      <c r="D13" s="4914"/>
      <c r="E13" s="4890"/>
      <c r="F13" s="4890"/>
      <c r="G13" s="4884"/>
      <c r="H13" s="4869"/>
      <c r="I13" s="2636"/>
      <c r="K13" s="2636"/>
      <c r="L13" s="2636"/>
    </row>
    <row r="14" spans="2:12">
      <c r="B14" s="4900"/>
      <c r="C14" s="4907"/>
      <c r="D14" s="4914"/>
      <c r="E14" s="4889" t="s">
        <v>9606</v>
      </c>
      <c r="F14" s="4889"/>
      <c r="G14" s="4883">
        <f>2*C10*SIN(RADIANS(C19)/2)</f>
        <v>3.4729635533386101</v>
      </c>
      <c r="H14" s="4869"/>
      <c r="I14" s="2636"/>
      <c r="K14" s="2636"/>
      <c r="L14" s="2636"/>
    </row>
    <row r="15" spans="2:12">
      <c r="B15" s="4900"/>
      <c r="C15" s="4907"/>
      <c r="D15" s="4914"/>
      <c r="E15" s="4890"/>
      <c r="F15" s="4890"/>
      <c r="G15" s="4884"/>
      <c r="H15" s="4869"/>
      <c r="I15" s="2636"/>
      <c r="K15" s="2636"/>
    </row>
    <row r="16" spans="2:12" ht="16.5" customHeight="1">
      <c r="B16" s="4900"/>
      <c r="C16" s="4907"/>
      <c r="D16" s="4914"/>
      <c r="E16" s="4889" t="s">
        <v>9597</v>
      </c>
      <c r="F16" s="4889"/>
      <c r="G16" s="4883">
        <f>POWER(C10,4)/8*(PI()*C19/180+SIN(RADIANS(C19)))</f>
        <v>863.85749215566796</v>
      </c>
      <c r="H16" s="4869"/>
      <c r="J16" s="2636"/>
    </row>
    <row r="17" spans="2:12" ht="16.5" customHeight="1">
      <c r="B17" s="4900"/>
      <c r="C17" s="4907"/>
      <c r="D17" s="4914"/>
      <c r="E17" s="4890"/>
      <c r="F17" s="4890"/>
      <c r="G17" s="4884"/>
      <c r="H17" s="4869"/>
      <c r="J17" s="2636"/>
      <c r="K17" s="2636"/>
      <c r="L17" s="2636"/>
    </row>
    <row r="18" spans="2:12" ht="16.5" customHeight="1">
      <c r="B18" s="4901"/>
      <c r="C18" s="4908"/>
      <c r="D18" s="4914"/>
      <c r="E18" s="4889" t="s">
        <v>9571</v>
      </c>
      <c r="F18" s="4889"/>
      <c r="G18" s="4883">
        <f>POWER(C10,4)/8*(PI()*C19/180+SIN(RADIANS(C19))-64/9*POWER(SIN(RADIANS(C19)/2),2)*(180/(PI()*C19)))</f>
        <v>96.000091608460195</v>
      </c>
      <c r="H18" s="4869"/>
      <c r="J18" s="2636"/>
      <c r="K18" s="2636"/>
    </row>
    <row r="19" spans="2:12" ht="16.5" customHeight="1">
      <c r="B19" s="4902" t="s">
        <v>9607</v>
      </c>
      <c r="C19" s="4909">
        <v>20</v>
      </c>
      <c r="D19" s="4914"/>
      <c r="E19" s="4890"/>
      <c r="F19" s="4890"/>
      <c r="G19" s="4884"/>
      <c r="H19" s="4869"/>
      <c r="J19" s="2636"/>
    </row>
    <row r="20" spans="2:12" ht="16.5" customHeight="1">
      <c r="B20" s="4900"/>
      <c r="C20" s="4907"/>
      <c r="D20" s="4914"/>
      <c r="E20" s="4889" t="s">
        <v>9572</v>
      </c>
      <c r="F20" s="4889"/>
      <c r="G20" s="4883">
        <f>POWER(C10,4)/8*(PI()*C19/180-SIN(RADIANS(C19)))</f>
        <v>8.8071338414964799</v>
      </c>
      <c r="H20" s="4869"/>
      <c r="J20" s="2636"/>
    </row>
    <row r="21" spans="2:12" ht="16.5" customHeight="1">
      <c r="B21" s="4900"/>
      <c r="C21" s="4907"/>
      <c r="D21" s="4914"/>
      <c r="E21" s="4890"/>
      <c r="F21" s="4890"/>
      <c r="G21" s="4884"/>
      <c r="H21" s="4869"/>
      <c r="J21" s="2636"/>
    </row>
    <row r="22" spans="2:12" ht="16.5" customHeight="1">
      <c r="B22" s="4900"/>
      <c r="C22" s="4907"/>
      <c r="D22" s="4914"/>
      <c r="E22" s="4889" t="s">
        <v>9600</v>
      </c>
      <c r="F22" s="4889"/>
      <c r="G22" s="4883">
        <f>2*C10*G14/(3*G12)</f>
        <v>6.6328718003019898</v>
      </c>
      <c r="H22" s="4869"/>
      <c r="J22" s="2636"/>
      <c r="K22" s="2636"/>
    </row>
    <row r="23" spans="2:12" ht="16.5" customHeight="1">
      <c r="B23" s="4900"/>
      <c r="C23" s="4907"/>
      <c r="D23" s="4914"/>
      <c r="E23" s="4890"/>
      <c r="F23" s="4890"/>
      <c r="G23" s="4884"/>
      <c r="H23" s="4869"/>
      <c r="J23" s="2636"/>
    </row>
    <row r="24" spans="2:12" ht="16.5" customHeight="1">
      <c r="B24" s="4900"/>
      <c r="C24" s="4907"/>
      <c r="D24" s="4914"/>
      <c r="E24" s="4889" t="s">
        <v>9578</v>
      </c>
      <c r="F24" s="4889"/>
      <c r="G24" s="4883">
        <f>C10/2*SQRT(1+(SIN(RADIANS(C19)/C19))*180/PI())-(64/9)*(POWER(SIN(RADIANS(C19)/2),2)/POWER((C19*PI()/180),2))</f>
        <v>5.3111785311252104</v>
      </c>
      <c r="H24" s="4869"/>
      <c r="J24" s="2636"/>
    </row>
    <row r="25" spans="2:12" ht="25.5" customHeight="1">
      <c r="B25" s="4900"/>
      <c r="C25" s="4907"/>
      <c r="D25" s="4914"/>
      <c r="E25" s="4890"/>
      <c r="F25" s="4890"/>
      <c r="G25" s="4884"/>
      <c r="H25" s="4869"/>
      <c r="J25" s="2636"/>
    </row>
    <row r="26" spans="2:12" ht="21.75" customHeight="1">
      <c r="B26" s="4900"/>
      <c r="C26" s="4907"/>
      <c r="D26" s="4914"/>
      <c r="E26" s="4918" t="s">
        <v>9579</v>
      </c>
      <c r="F26" s="4889"/>
      <c r="G26" s="4883">
        <f>C10/2*SQRT(1-(SIN(RADIANS(C19)/C19))*(180/PI()))</f>
        <v>3.5626112861667801E-2</v>
      </c>
      <c r="H26" s="4869"/>
      <c r="J26" s="2636"/>
    </row>
    <row r="27" spans="2:12" ht="20.25" customHeight="1">
      <c r="B27" s="4903"/>
      <c r="C27" s="4910"/>
      <c r="D27" s="4915"/>
      <c r="E27" s="4891"/>
      <c r="F27" s="4891"/>
      <c r="G27" s="4885"/>
      <c r="H27" s="4870"/>
      <c r="J27" s="2636"/>
    </row>
    <row r="29" spans="2:12">
      <c r="F29" s="2636"/>
      <c r="H29" s="2636"/>
    </row>
    <row r="30" spans="2:12">
      <c r="B30" s="2599" t="s">
        <v>5433</v>
      </c>
      <c r="F30" s="2636"/>
      <c r="G30" s="2636"/>
      <c r="H30" s="2636"/>
    </row>
    <row r="31" spans="2:12">
      <c r="F31" s="2636"/>
      <c r="G31" s="2636"/>
    </row>
    <row r="32" spans="2:12">
      <c r="F32" s="2636"/>
    </row>
  </sheetData>
  <mergeCells count="45">
    <mergeCell ref="B1:D1"/>
    <mergeCell ref="B5:H5"/>
    <mergeCell ref="B8:B9"/>
    <mergeCell ref="B10:B18"/>
    <mergeCell ref="B19:B27"/>
    <mergeCell ref="C8:C9"/>
    <mergeCell ref="C10:C18"/>
    <mergeCell ref="C19:C27"/>
    <mergeCell ref="D8:D9"/>
    <mergeCell ref="D10:D27"/>
    <mergeCell ref="E8:E9"/>
    <mergeCell ref="E10:E11"/>
    <mergeCell ref="E12:E13"/>
    <mergeCell ref="E14:E15"/>
    <mergeCell ref="E16:E17"/>
    <mergeCell ref="E18:E19"/>
    <mergeCell ref="E22:E23"/>
    <mergeCell ref="E24:E25"/>
    <mergeCell ref="E26:E27"/>
    <mergeCell ref="F8:F9"/>
    <mergeCell ref="F10:F11"/>
    <mergeCell ref="F12:F13"/>
    <mergeCell ref="F14:F15"/>
    <mergeCell ref="F16:F17"/>
    <mergeCell ref="F18:F19"/>
    <mergeCell ref="F20:F21"/>
    <mergeCell ref="F22:F23"/>
    <mergeCell ref="F24:F25"/>
    <mergeCell ref="F26:F27"/>
    <mergeCell ref="H8:H9"/>
    <mergeCell ref="H10:H27"/>
    <mergeCell ref="B3:H4"/>
    <mergeCell ref="B6:D7"/>
    <mergeCell ref="E6:H7"/>
    <mergeCell ref="G18:G19"/>
    <mergeCell ref="G20:G21"/>
    <mergeCell ref="G22:G23"/>
    <mergeCell ref="G24:G25"/>
    <mergeCell ref="G26:G27"/>
    <mergeCell ref="G8:G9"/>
    <mergeCell ref="G10:G11"/>
    <mergeCell ref="G12:G13"/>
    <mergeCell ref="G14:G15"/>
    <mergeCell ref="G16:G17"/>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dimension ref="B1:L30"/>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9.625" style="2599" customWidth="1"/>
    <col min="7" max="7" width="9.625" style="2637" customWidth="1"/>
    <col min="8" max="8" width="8.25" style="2599" customWidth="1"/>
    <col min="9" max="16384" width="8.125" style="2599"/>
  </cols>
  <sheetData>
    <row r="1" spans="2:11">
      <c r="B1" s="4895" t="s">
        <v>9594</v>
      </c>
      <c r="C1" s="4895"/>
      <c r="D1" s="4895"/>
      <c r="E1" s="2602"/>
    </row>
    <row r="3" spans="2:11">
      <c r="B3" s="4871" t="s">
        <v>9608</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9609</v>
      </c>
      <c r="C10" s="4906">
        <v>6</v>
      </c>
      <c r="D10" s="4913"/>
      <c r="E10" s="4894" t="s">
        <v>9569</v>
      </c>
      <c r="F10" s="4894"/>
      <c r="G10" s="4888">
        <f>C10*C18/2</f>
        <v>24</v>
      </c>
      <c r="H10" s="4868"/>
    </row>
    <row r="11" spans="2:11">
      <c r="B11" s="4900"/>
      <c r="C11" s="4907"/>
      <c r="D11" s="4914"/>
      <c r="E11" s="4890"/>
      <c r="F11" s="4890"/>
      <c r="G11" s="4884"/>
      <c r="H11" s="4869"/>
    </row>
    <row r="12" spans="2:11">
      <c r="B12" s="4900"/>
      <c r="C12" s="4907"/>
      <c r="D12" s="4914"/>
      <c r="E12" s="4889" t="s">
        <v>9597</v>
      </c>
      <c r="F12" s="4889"/>
      <c r="G12" s="4883">
        <f>C10*POWER(C18,3)/4</f>
        <v>768</v>
      </c>
      <c r="H12" s="4869"/>
    </row>
    <row r="13" spans="2:11">
      <c r="B13" s="4900"/>
      <c r="C13" s="4907"/>
      <c r="D13" s="4914"/>
      <c r="E13" s="4890"/>
      <c r="F13" s="4890"/>
      <c r="G13" s="4884"/>
      <c r="H13" s="4869"/>
      <c r="I13" s="2636"/>
    </row>
    <row r="14" spans="2:11">
      <c r="B14" s="4900"/>
      <c r="C14" s="4907"/>
      <c r="D14" s="4914"/>
      <c r="E14" s="4889" t="s">
        <v>9571</v>
      </c>
      <c r="F14" s="4889"/>
      <c r="G14" s="4883">
        <f>C10*POWER(C18,3)/36</f>
        <v>85.3333333333333</v>
      </c>
      <c r="H14" s="4869"/>
      <c r="I14" s="2636"/>
      <c r="J14" s="2636"/>
    </row>
    <row r="15" spans="2:11">
      <c r="B15" s="4900"/>
      <c r="C15" s="4907"/>
      <c r="D15" s="4914"/>
      <c r="E15" s="4890"/>
      <c r="F15" s="4890"/>
      <c r="G15" s="4884"/>
      <c r="H15" s="4869"/>
      <c r="I15" s="2636"/>
      <c r="J15" s="2636"/>
      <c r="K15" s="2636"/>
    </row>
    <row r="16" spans="2:11">
      <c r="B16" s="4900"/>
      <c r="C16" s="4907"/>
      <c r="D16" s="4914"/>
      <c r="E16" s="4889" t="s">
        <v>9610</v>
      </c>
      <c r="F16" s="4889"/>
      <c r="G16" s="4883">
        <f>C10*POWER(C18,3)/12</f>
        <v>256</v>
      </c>
      <c r="H16" s="4869"/>
      <c r="I16" s="2636"/>
    </row>
    <row r="17" spans="2:12">
      <c r="B17" s="4901"/>
      <c r="C17" s="4908"/>
      <c r="D17" s="4914"/>
      <c r="E17" s="4890"/>
      <c r="F17" s="4890"/>
      <c r="G17" s="4884"/>
      <c r="H17" s="4869"/>
      <c r="I17" s="2636"/>
      <c r="K17" s="2636"/>
    </row>
    <row r="18" spans="2:12" ht="16.5" customHeight="1">
      <c r="B18" s="4900" t="s">
        <v>9611</v>
      </c>
      <c r="C18" s="4909">
        <v>8</v>
      </c>
      <c r="D18" s="4914"/>
      <c r="E18" s="4889" t="s">
        <v>9584</v>
      </c>
      <c r="F18" s="4889"/>
      <c r="G18" s="4883">
        <f>C10*POWER(C18,2)/24</f>
        <v>16</v>
      </c>
      <c r="H18" s="4869"/>
      <c r="J18" s="2636"/>
    </row>
    <row r="19" spans="2:12" ht="16.5" customHeight="1">
      <c r="B19" s="4900"/>
      <c r="C19" s="4907"/>
      <c r="D19" s="4914"/>
      <c r="E19" s="4890"/>
      <c r="F19" s="4890"/>
      <c r="G19" s="4884"/>
      <c r="H19" s="4869"/>
      <c r="J19" s="2636"/>
    </row>
    <row r="20" spans="2:12" ht="16.5" customHeight="1">
      <c r="B20" s="4900"/>
      <c r="C20" s="4907"/>
      <c r="D20" s="4914"/>
      <c r="E20" s="4889" t="s">
        <v>9612</v>
      </c>
      <c r="F20" s="4889"/>
      <c r="G20" s="4883">
        <f>C10*POWER(C18,2)/12</f>
        <v>32</v>
      </c>
      <c r="H20" s="4869"/>
      <c r="J20" s="2636"/>
    </row>
    <row r="21" spans="2:12" ht="16.5" customHeight="1">
      <c r="B21" s="4900"/>
      <c r="C21" s="4907"/>
      <c r="D21" s="4914"/>
      <c r="E21" s="4890"/>
      <c r="F21" s="4890"/>
      <c r="G21" s="4884"/>
      <c r="H21" s="4869"/>
      <c r="J21" s="2636"/>
    </row>
    <row r="22" spans="2:12" ht="16.5" customHeight="1">
      <c r="B22" s="4900"/>
      <c r="C22" s="4907"/>
      <c r="D22" s="4914"/>
      <c r="E22" s="4889" t="s">
        <v>9576</v>
      </c>
      <c r="F22" s="4889"/>
      <c r="G22" s="4883">
        <f>2*C18/3</f>
        <v>5.3333333333333304</v>
      </c>
      <c r="H22" s="4869"/>
      <c r="J22" s="2636"/>
    </row>
    <row r="23" spans="2:12" ht="16.5" customHeight="1">
      <c r="B23" s="4900"/>
      <c r="C23" s="4907"/>
      <c r="D23" s="4914"/>
      <c r="E23" s="4890"/>
      <c r="F23" s="4890"/>
      <c r="G23" s="4884"/>
      <c r="H23" s="4869"/>
      <c r="J23" s="2636"/>
      <c r="K23" s="2636"/>
    </row>
    <row r="24" spans="2:12" ht="16.5" customHeight="1">
      <c r="B24" s="4900"/>
      <c r="C24" s="4907"/>
      <c r="D24" s="4914"/>
      <c r="E24" s="4889" t="s">
        <v>9578</v>
      </c>
      <c r="F24" s="4889"/>
      <c r="G24" s="4883">
        <f>0.236*C18</f>
        <v>1.8879999999999999</v>
      </c>
      <c r="H24" s="4869"/>
      <c r="J24" s="2636"/>
      <c r="L24" s="2636"/>
    </row>
    <row r="25" spans="2:12" ht="16.5" customHeight="1">
      <c r="B25" s="4903"/>
      <c r="C25" s="4910"/>
      <c r="D25" s="4915"/>
      <c r="E25" s="4891"/>
      <c r="F25" s="4891"/>
      <c r="G25" s="4885"/>
      <c r="H25" s="4870"/>
      <c r="J25" s="2636"/>
    </row>
    <row r="27" spans="2:12">
      <c r="F27" s="2636"/>
      <c r="H27" s="2636"/>
    </row>
    <row r="28" spans="2:12">
      <c r="B28" s="2599" t="s">
        <v>5433</v>
      </c>
      <c r="F28" s="2636"/>
    </row>
    <row r="30" spans="2:12">
      <c r="F30" s="2636"/>
    </row>
  </sheetData>
  <mergeCells count="42">
    <mergeCell ref="B1:D1"/>
    <mergeCell ref="B5:H5"/>
    <mergeCell ref="B8:B9"/>
    <mergeCell ref="B10:B17"/>
    <mergeCell ref="B18:B25"/>
    <mergeCell ref="C8:C9"/>
    <mergeCell ref="C10:C17"/>
    <mergeCell ref="C18:C25"/>
    <mergeCell ref="D8:D9"/>
    <mergeCell ref="D10:D25"/>
    <mergeCell ref="E8:E9"/>
    <mergeCell ref="E10:E11"/>
    <mergeCell ref="E12:E13"/>
    <mergeCell ref="E14:E15"/>
    <mergeCell ref="E16:E17"/>
    <mergeCell ref="E18:E19"/>
    <mergeCell ref="E22:E23"/>
    <mergeCell ref="E24:E25"/>
    <mergeCell ref="F8:F9"/>
    <mergeCell ref="F10:F11"/>
    <mergeCell ref="F12:F13"/>
    <mergeCell ref="F14:F15"/>
    <mergeCell ref="F16:F17"/>
    <mergeCell ref="F18:F19"/>
    <mergeCell ref="F20:F21"/>
    <mergeCell ref="F22:F23"/>
    <mergeCell ref="F24:F25"/>
    <mergeCell ref="G22:G23"/>
    <mergeCell ref="G24:G25"/>
    <mergeCell ref="H8:H9"/>
    <mergeCell ref="H10:H25"/>
    <mergeCell ref="G8:G9"/>
    <mergeCell ref="G10:G11"/>
    <mergeCell ref="G12:G13"/>
    <mergeCell ref="G14:G15"/>
    <mergeCell ref="G16:G17"/>
    <mergeCell ref="B3:H4"/>
    <mergeCell ref="B6:D7"/>
    <mergeCell ref="E6:H7"/>
    <mergeCell ref="G18:G19"/>
    <mergeCell ref="G20:G21"/>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dimension ref="B1:K28"/>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2.25" style="2599" customWidth="1"/>
    <col min="7" max="7" width="10.75" style="2637" customWidth="1"/>
    <col min="8" max="8" width="8.25" style="2599" customWidth="1"/>
    <col min="9" max="16384" width="8.125" style="2599"/>
  </cols>
  <sheetData>
    <row r="1" spans="2:11">
      <c r="B1" s="4895" t="s">
        <v>9594</v>
      </c>
      <c r="C1" s="4895"/>
      <c r="D1" s="4895"/>
      <c r="E1" s="2602"/>
    </row>
    <row r="3" spans="2:11">
      <c r="B3" s="4871" t="s">
        <v>9613</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9614</v>
      </c>
      <c r="C10" s="4906">
        <v>10</v>
      </c>
      <c r="D10" s="4913"/>
      <c r="E10" s="4894" t="s">
        <v>9569</v>
      </c>
      <c r="F10" s="4894"/>
      <c r="G10" s="4888">
        <f>2.598*POWER(C16,2)</f>
        <v>127.30200000000001</v>
      </c>
      <c r="H10" s="4868"/>
    </row>
    <row r="11" spans="2:11">
      <c r="B11" s="4900"/>
      <c r="C11" s="4907"/>
      <c r="D11" s="4914"/>
      <c r="E11" s="4890"/>
      <c r="F11" s="4890"/>
      <c r="G11" s="4884"/>
      <c r="H11" s="4869"/>
      <c r="K11" s="2636"/>
    </row>
    <row r="12" spans="2:11">
      <c r="B12" s="4900"/>
      <c r="C12" s="4907"/>
      <c r="D12" s="4914"/>
      <c r="E12" s="4889" t="s">
        <v>9590</v>
      </c>
      <c r="F12" s="4889"/>
      <c r="G12" s="4883">
        <f>0.5413*POWER(C10,4)</f>
        <v>5413</v>
      </c>
      <c r="H12" s="4869"/>
      <c r="J12" s="2636"/>
    </row>
    <row r="13" spans="2:11">
      <c r="B13" s="4900"/>
      <c r="C13" s="4907"/>
      <c r="D13" s="4914"/>
      <c r="E13" s="4890"/>
      <c r="F13" s="4890"/>
      <c r="G13" s="4884"/>
      <c r="H13" s="4869"/>
      <c r="I13" s="2636"/>
    </row>
    <row r="14" spans="2:11" ht="16.5" customHeight="1">
      <c r="B14" s="4900"/>
      <c r="C14" s="4907"/>
      <c r="D14" s="4914"/>
      <c r="E14" s="4889" t="s">
        <v>9573</v>
      </c>
      <c r="F14" s="4889"/>
      <c r="G14" s="4883">
        <f>0.625*POWER(C10,3)</f>
        <v>625</v>
      </c>
      <c r="H14" s="4869"/>
      <c r="J14" s="2636"/>
    </row>
    <row r="15" spans="2:11" ht="16.5" customHeight="1">
      <c r="B15" s="4901"/>
      <c r="C15" s="4908"/>
      <c r="D15" s="4914"/>
      <c r="E15" s="4890"/>
      <c r="F15" s="4890"/>
      <c r="G15" s="4884"/>
      <c r="H15" s="4869"/>
      <c r="J15" s="2636"/>
      <c r="K15" s="2636"/>
    </row>
    <row r="16" spans="2:11" ht="16.5" customHeight="1">
      <c r="B16" s="4902" t="s">
        <v>9615</v>
      </c>
      <c r="C16" s="4907">
        <v>7</v>
      </c>
      <c r="D16" s="4914"/>
      <c r="E16" s="4889" t="s">
        <v>9574</v>
      </c>
      <c r="F16" s="4889"/>
      <c r="G16" s="4883">
        <f>0.5413*POWER(C10,3)</f>
        <v>541.29999999999995</v>
      </c>
      <c r="H16" s="4869"/>
      <c r="J16" s="2636"/>
    </row>
    <row r="17" spans="2:10" ht="16.5" customHeight="1">
      <c r="B17" s="4900"/>
      <c r="C17" s="4907"/>
      <c r="D17" s="4914"/>
      <c r="E17" s="4890"/>
      <c r="F17" s="4890"/>
      <c r="G17" s="4884"/>
      <c r="H17" s="4869"/>
      <c r="J17" s="2636"/>
    </row>
    <row r="18" spans="2:10" ht="16.5" customHeight="1">
      <c r="B18" s="4900"/>
      <c r="C18" s="4907"/>
      <c r="D18" s="4914"/>
      <c r="E18" s="4889" t="s">
        <v>9576</v>
      </c>
      <c r="F18" s="4889"/>
      <c r="G18" s="4883">
        <f>0.866*C10</f>
        <v>8.66</v>
      </c>
      <c r="H18" s="4869"/>
      <c r="J18" s="2636"/>
    </row>
    <row r="19" spans="2:10" ht="16.5" customHeight="1">
      <c r="B19" s="4900"/>
      <c r="C19" s="4907"/>
      <c r="D19" s="4914"/>
      <c r="E19" s="4890"/>
      <c r="F19" s="4890"/>
      <c r="G19" s="4884"/>
      <c r="H19" s="4869"/>
      <c r="J19" s="2636"/>
    </row>
    <row r="20" spans="2:10" ht="16.5" customHeight="1">
      <c r="B20" s="4900"/>
      <c r="C20" s="4907"/>
      <c r="D20" s="4914"/>
      <c r="E20" s="4889" t="s">
        <v>9577</v>
      </c>
      <c r="F20" s="4889"/>
      <c r="G20" s="4883">
        <f>C10</f>
        <v>10</v>
      </c>
      <c r="H20" s="4869"/>
      <c r="J20" s="2636"/>
    </row>
    <row r="21" spans="2:10" ht="16.5" customHeight="1">
      <c r="B21" s="4900"/>
      <c r="C21" s="4907"/>
      <c r="D21" s="4914"/>
      <c r="E21" s="4890"/>
      <c r="F21" s="4890"/>
      <c r="G21" s="4884"/>
      <c r="H21" s="4869"/>
      <c r="J21" s="2636"/>
    </row>
    <row r="22" spans="2:10" ht="16.5" customHeight="1">
      <c r="B22" s="4900"/>
      <c r="C22" s="4907"/>
      <c r="D22" s="4914"/>
      <c r="E22" s="4889" t="s">
        <v>9578</v>
      </c>
      <c r="F22" s="4889"/>
      <c r="G22" s="4883">
        <f>0.4566*C10</f>
        <v>4.5659999999999998</v>
      </c>
      <c r="H22" s="4869"/>
      <c r="J22" s="2636"/>
    </row>
    <row r="23" spans="2:10" ht="16.5" customHeight="1">
      <c r="B23" s="4903"/>
      <c r="C23" s="4910"/>
      <c r="D23" s="4915"/>
      <c r="E23" s="4891"/>
      <c r="F23" s="4891"/>
      <c r="G23" s="4885"/>
      <c r="H23" s="4870"/>
      <c r="J23" s="2636"/>
    </row>
    <row r="25" spans="2:10">
      <c r="F25" s="2636"/>
      <c r="G25" s="2636"/>
      <c r="H25" s="2636"/>
    </row>
    <row r="26" spans="2:10">
      <c r="B26" s="2599" t="s">
        <v>5433</v>
      </c>
      <c r="F26" s="2636"/>
    </row>
    <row r="28" spans="2:10">
      <c r="F28" s="2636"/>
    </row>
  </sheetData>
  <mergeCells count="39">
    <mergeCell ref="B1:D1"/>
    <mergeCell ref="B5:H5"/>
    <mergeCell ref="B8:B9"/>
    <mergeCell ref="B10:B15"/>
    <mergeCell ref="B16:B23"/>
    <mergeCell ref="C8:C9"/>
    <mergeCell ref="C10:C15"/>
    <mergeCell ref="C16:C23"/>
    <mergeCell ref="D8:D9"/>
    <mergeCell ref="D10:D23"/>
    <mergeCell ref="E8:E9"/>
    <mergeCell ref="E10:E11"/>
    <mergeCell ref="E12:E13"/>
    <mergeCell ref="E14:E15"/>
    <mergeCell ref="E16:E17"/>
    <mergeCell ref="E18:E19"/>
    <mergeCell ref="E22:E23"/>
    <mergeCell ref="F8:F9"/>
    <mergeCell ref="F10:F11"/>
    <mergeCell ref="F12:F13"/>
    <mergeCell ref="F14:F15"/>
    <mergeCell ref="F16:F17"/>
    <mergeCell ref="F18:F19"/>
    <mergeCell ref="F20:F21"/>
    <mergeCell ref="F22:F23"/>
    <mergeCell ref="G22:G23"/>
    <mergeCell ref="H8:H9"/>
    <mergeCell ref="H10:H23"/>
    <mergeCell ref="G8:G9"/>
    <mergeCell ref="G10:G11"/>
    <mergeCell ref="G12:G13"/>
    <mergeCell ref="G14:G15"/>
    <mergeCell ref="G16:G17"/>
    <mergeCell ref="B3:H4"/>
    <mergeCell ref="B6:D7"/>
    <mergeCell ref="E6:H7"/>
    <mergeCell ref="G18:G19"/>
    <mergeCell ref="G20:G21"/>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dimension ref="B1:K28"/>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4.75" style="2599" customWidth="1"/>
    <col min="7" max="7" width="11.75" style="2637" customWidth="1"/>
    <col min="8" max="8" width="8.25" style="2599" customWidth="1"/>
    <col min="9" max="16384" width="8.125" style="2599"/>
  </cols>
  <sheetData>
    <row r="1" spans="2:11">
      <c r="B1" s="4895" t="s">
        <v>9580</v>
      </c>
      <c r="C1" s="4895"/>
      <c r="D1" s="4895"/>
      <c r="E1" s="2602"/>
    </row>
    <row r="3" spans="2:11">
      <c r="B3" s="4871" t="s">
        <v>9616</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c r="J7" s="2636"/>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9617</v>
      </c>
      <c r="C10" s="4906">
        <v>8</v>
      </c>
      <c r="D10" s="4913"/>
      <c r="E10" s="4894" t="s">
        <v>9569</v>
      </c>
      <c r="F10" s="4894"/>
      <c r="G10" s="4888">
        <f>POWER(C10,2)-POWER(C17,2)</f>
        <v>39</v>
      </c>
      <c r="H10" s="4868"/>
    </row>
    <row r="11" spans="2:11">
      <c r="B11" s="4900"/>
      <c r="C11" s="4907"/>
      <c r="D11" s="4914"/>
      <c r="E11" s="4890"/>
      <c r="F11" s="4890"/>
      <c r="G11" s="4884"/>
      <c r="H11" s="4869"/>
      <c r="J11" s="2636"/>
    </row>
    <row r="12" spans="2:11">
      <c r="B12" s="4900"/>
      <c r="C12" s="4907"/>
      <c r="D12" s="4914"/>
      <c r="E12" s="4889" t="s">
        <v>9618</v>
      </c>
      <c r="F12" s="4889"/>
      <c r="G12" s="4883">
        <f>(POWER(C10,4)-POWER(C17,4))/12</f>
        <v>289.25</v>
      </c>
      <c r="H12" s="4869"/>
    </row>
    <row r="13" spans="2:11">
      <c r="B13" s="4900"/>
      <c r="C13" s="4907"/>
      <c r="D13" s="4914"/>
      <c r="E13" s="4890"/>
      <c r="F13" s="4890"/>
      <c r="G13" s="4884"/>
      <c r="H13" s="4869"/>
      <c r="I13" s="2636"/>
    </row>
    <row r="14" spans="2:11" ht="16.5" customHeight="1">
      <c r="B14" s="4900"/>
      <c r="C14" s="4907"/>
      <c r="D14" s="4914"/>
      <c r="E14" s="4889" t="s">
        <v>9573</v>
      </c>
      <c r="F14" s="4889"/>
      <c r="G14" s="4883">
        <f>(POWER(C10,4)-POWER(C17,4))/(6*C10)</f>
        <v>72.3125</v>
      </c>
      <c r="H14" s="4869"/>
      <c r="J14" s="2636"/>
      <c r="K14" s="2636"/>
    </row>
    <row r="15" spans="2:11" ht="16.5" customHeight="1">
      <c r="B15" s="4900"/>
      <c r="C15" s="4907"/>
      <c r="D15" s="4914"/>
      <c r="E15" s="4890"/>
      <c r="F15" s="4890"/>
      <c r="G15" s="4884"/>
      <c r="H15" s="4869"/>
      <c r="J15" s="2636"/>
    </row>
    <row r="16" spans="2:11" ht="16.5" customHeight="1">
      <c r="B16" s="4901"/>
      <c r="C16" s="4908"/>
      <c r="D16" s="4914"/>
      <c r="E16" s="4889" t="s">
        <v>9574</v>
      </c>
      <c r="F16" s="4889"/>
      <c r="G16" s="4883">
        <f>0.1179*((POWER(C10,4)-POWER(C17,4))/C10)</f>
        <v>51.153862500000002</v>
      </c>
      <c r="H16" s="4869"/>
      <c r="J16" s="2636"/>
      <c r="K16" s="2636"/>
    </row>
    <row r="17" spans="2:10" ht="16.5" customHeight="1">
      <c r="B17" s="4902" t="s">
        <v>9619</v>
      </c>
      <c r="C17" s="4909">
        <v>5</v>
      </c>
      <c r="D17" s="4914"/>
      <c r="E17" s="4890"/>
      <c r="F17" s="4890"/>
      <c r="G17" s="4884"/>
      <c r="H17" s="4869"/>
      <c r="J17" s="2636"/>
    </row>
    <row r="18" spans="2:10" ht="16.5" customHeight="1">
      <c r="B18" s="4900"/>
      <c r="C18" s="4907"/>
      <c r="D18" s="4914"/>
      <c r="E18" s="4889" t="s">
        <v>9576</v>
      </c>
      <c r="F18" s="4889"/>
      <c r="G18" s="4883">
        <f>C10/2</f>
        <v>4</v>
      </c>
      <c r="H18" s="4869"/>
      <c r="J18" s="2636"/>
    </row>
    <row r="19" spans="2:10" ht="16.5" customHeight="1">
      <c r="B19" s="4900"/>
      <c r="C19" s="4907"/>
      <c r="D19" s="4914"/>
      <c r="E19" s="4890"/>
      <c r="F19" s="4890"/>
      <c r="G19" s="4884"/>
      <c r="H19" s="4869"/>
      <c r="J19" s="2636"/>
    </row>
    <row r="20" spans="2:10" ht="16.5" customHeight="1">
      <c r="B20" s="4900"/>
      <c r="C20" s="4907"/>
      <c r="D20" s="4914"/>
      <c r="E20" s="4889" t="s">
        <v>9585</v>
      </c>
      <c r="F20" s="4889"/>
      <c r="G20" s="4883">
        <f>0.7071*C10</f>
        <v>5.6567999999999996</v>
      </c>
      <c r="H20" s="4869"/>
      <c r="I20" s="2636"/>
      <c r="J20" s="2636"/>
    </row>
    <row r="21" spans="2:10" ht="16.5" customHeight="1">
      <c r="B21" s="4900"/>
      <c r="C21" s="4907"/>
      <c r="D21" s="4914"/>
      <c r="E21" s="4890"/>
      <c r="F21" s="4890"/>
      <c r="G21" s="4884"/>
      <c r="H21" s="4869"/>
      <c r="J21" s="2636"/>
    </row>
    <row r="22" spans="2:10">
      <c r="B22" s="4900"/>
      <c r="C22" s="4907"/>
      <c r="D22" s="4914"/>
      <c r="E22" s="4889" t="s">
        <v>9593</v>
      </c>
      <c r="F22" s="4889"/>
      <c r="G22" s="4883">
        <f>0.289*SQRT(POWER(C10,2)+POWER(C17,2))</f>
        <v>2.7264205471643601</v>
      </c>
      <c r="H22" s="4869"/>
      <c r="J22" s="2636"/>
    </row>
    <row r="23" spans="2:10">
      <c r="B23" s="4903"/>
      <c r="C23" s="4910"/>
      <c r="D23" s="4915"/>
      <c r="E23" s="4891"/>
      <c r="F23" s="4891"/>
      <c r="G23" s="4885"/>
      <c r="H23" s="4870"/>
    </row>
    <row r="25" spans="2:10">
      <c r="F25" s="2636"/>
      <c r="H25" s="2636"/>
    </row>
    <row r="26" spans="2:10">
      <c r="B26" s="2599" t="s">
        <v>5433</v>
      </c>
      <c r="F26" s="2636"/>
    </row>
    <row r="28" spans="2:10">
      <c r="F28" s="2636"/>
    </row>
  </sheetData>
  <mergeCells count="39">
    <mergeCell ref="B1:D1"/>
    <mergeCell ref="B5:H5"/>
    <mergeCell ref="B8:B9"/>
    <mergeCell ref="B10:B16"/>
    <mergeCell ref="B17:B23"/>
    <mergeCell ref="C8:C9"/>
    <mergeCell ref="C10:C16"/>
    <mergeCell ref="C17:C23"/>
    <mergeCell ref="D8:D9"/>
    <mergeCell ref="D10:D23"/>
    <mergeCell ref="E8:E9"/>
    <mergeCell ref="E10:E11"/>
    <mergeCell ref="E12:E13"/>
    <mergeCell ref="E14:E15"/>
    <mergeCell ref="E16:E17"/>
    <mergeCell ref="E18:E19"/>
    <mergeCell ref="E22:E23"/>
    <mergeCell ref="F8:F9"/>
    <mergeCell ref="F10:F11"/>
    <mergeCell ref="F12:F13"/>
    <mergeCell ref="F14:F15"/>
    <mergeCell ref="F16:F17"/>
    <mergeCell ref="F18:F19"/>
    <mergeCell ref="F20:F21"/>
    <mergeCell ref="F22:F23"/>
    <mergeCell ref="G22:G23"/>
    <mergeCell ref="H8:H9"/>
    <mergeCell ref="H10:H23"/>
    <mergeCell ref="G8:G9"/>
    <mergeCell ref="G10:G11"/>
    <mergeCell ref="G12:G13"/>
    <mergeCell ref="G14:G15"/>
    <mergeCell ref="G16:G17"/>
    <mergeCell ref="B3:H4"/>
    <mergeCell ref="B6:D7"/>
    <mergeCell ref="E6:H7"/>
    <mergeCell ref="G18:G19"/>
    <mergeCell ref="G20:G21"/>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dimension ref="B1:K26"/>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4.625" style="2599" customWidth="1"/>
    <col min="7" max="7" width="10.75" style="2637" customWidth="1"/>
    <col min="8" max="8" width="8.25" style="2599" customWidth="1"/>
    <col min="9" max="16384" width="8.125" style="2599"/>
  </cols>
  <sheetData>
    <row r="1" spans="2:11">
      <c r="B1" s="4895" t="s">
        <v>9587</v>
      </c>
      <c r="C1" s="4895"/>
      <c r="D1" s="4895"/>
      <c r="E1" s="2602"/>
    </row>
    <row r="3" spans="2:11">
      <c r="B3" s="4871" t="s">
        <v>9620</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9621</v>
      </c>
      <c r="C10" s="4906">
        <v>10</v>
      </c>
      <c r="D10" s="4913"/>
      <c r="E10" s="4894" t="s">
        <v>9569</v>
      </c>
      <c r="F10" s="4894"/>
      <c r="G10" s="4888">
        <f>POWER(C10,2)-(PI()*POWER(C15,2)/4)</f>
        <v>71.725666117691901</v>
      </c>
      <c r="H10" s="4868"/>
    </row>
    <row r="11" spans="2:11">
      <c r="B11" s="4900"/>
      <c r="C11" s="4907"/>
      <c r="D11" s="4914"/>
      <c r="E11" s="4890"/>
      <c r="F11" s="4890"/>
      <c r="G11" s="4884"/>
      <c r="H11" s="4869"/>
    </row>
    <row r="12" spans="2:11">
      <c r="B12" s="4900"/>
      <c r="C12" s="4907"/>
      <c r="D12" s="4914"/>
      <c r="E12" s="4889" t="s">
        <v>9618</v>
      </c>
      <c r="F12" s="4889"/>
      <c r="G12" s="4883">
        <f>1/12*(POWER(C10,4)-(3*PI()*POWER(C15,4)/16))</f>
        <v>769.71608209813996</v>
      </c>
      <c r="H12" s="4869"/>
    </row>
    <row r="13" spans="2:11">
      <c r="B13" s="4900"/>
      <c r="C13" s="4907"/>
      <c r="D13" s="4914"/>
      <c r="E13" s="4890"/>
      <c r="F13" s="4890"/>
      <c r="G13" s="4884"/>
      <c r="H13" s="4869"/>
      <c r="I13" s="2636"/>
      <c r="K13" s="2636"/>
    </row>
    <row r="14" spans="2:11" ht="16.5" customHeight="1">
      <c r="B14" s="4901"/>
      <c r="C14" s="4908"/>
      <c r="D14" s="4914"/>
      <c r="E14" s="4889" t="s">
        <v>9592</v>
      </c>
      <c r="F14" s="4889"/>
      <c r="G14" s="4883">
        <f>1/(6*C10)*(POWER(C10,4)-(3*PI()*POWER(C15,4)/16))</f>
        <v>153.94321641962799</v>
      </c>
      <c r="H14" s="4869"/>
      <c r="J14" s="2636"/>
    </row>
    <row r="15" spans="2:11" ht="16.5" customHeight="1">
      <c r="B15" s="4902" t="s">
        <v>9622</v>
      </c>
      <c r="C15" s="4909">
        <v>6</v>
      </c>
      <c r="D15" s="4914"/>
      <c r="E15" s="4890"/>
      <c r="F15" s="4890"/>
      <c r="G15" s="4884"/>
      <c r="H15" s="4869"/>
      <c r="J15" s="2636"/>
      <c r="K15" s="2636"/>
    </row>
    <row r="16" spans="2:11" ht="16.5" customHeight="1">
      <c r="B16" s="4900"/>
      <c r="C16" s="4907"/>
      <c r="D16" s="4914"/>
      <c r="E16" s="4889" t="s">
        <v>9576</v>
      </c>
      <c r="F16" s="4889"/>
      <c r="G16" s="4883">
        <f>C10/2</f>
        <v>5</v>
      </c>
      <c r="H16" s="4869"/>
      <c r="J16" s="2636"/>
      <c r="K16" s="2636"/>
    </row>
    <row r="17" spans="2:10" ht="16.5" customHeight="1">
      <c r="B17" s="4900"/>
      <c r="C17" s="4907"/>
      <c r="D17" s="4914"/>
      <c r="E17" s="4890"/>
      <c r="F17" s="4890"/>
      <c r="G17" s="4884"/>
      <c r="H17" s="4869"/>
      <c r="J17" s="2636"/>
    </row>
    <row r="18" spans="2:10" ht="16.5" customHeight="1">
      <c r="B18" s="4900"/>
      <c r="C18" s="4907"/>
      <c r="D18" s="4914"/>
      <c r="E18" s="4889" t="s">
        <v>9593</v>
      </c>
      <c r="F18" s="4889"/>
      <c r="G18" s="4883">
        <f>SQRT((16*POWER(C10,4)-3*PI()*POWER(C15,4))/(48*(4*POWER(C10,2)-PI()*POWER(C15,2))))</f>
        <v>3.2758800045979499</v>
      </c>
      <c r="H18" s="4869"/>
      <c r="J18" s="2636"/>
    </row>
    <row r="19" spans="2:10" ht="24" customHeight="1">
      <c r="B19" s="4903"/>
      <c r="C19" s="4910"/>
      <c r="D19" s="4915"/>
      <c r="E19" s="4891"/>
      <c r="F19" s="4891"/>
      <c r="G19" s="4885"/>
      <c r="H19" s="4870"/>
      <c r="J19" s="2636"/>
    </row>
    <row r="21" spans="2:10">
      <c r="F21" s="2636"/>
      <c r="H21" s="2636"/>
    </row>
    <row r="22" spans="2:10">
      <c r="B22" s="2599" t="s">
        <v>5433</v>
      </c>
      <c r="F22" s="2636"/>
    </row>
    <row r="24" spans="2:10">
      <c r="F24" s="2636"/>
    </row>
    <row r="25" spans="2:10">
      <c r="G25" s="2636"/>
    </row>
    <row r="26" spans="2:10">
      <c r="G26" s="2636"/>
    </row>
  </sheetData>
  <mergeCells count="33">
    <mergeCell ref="E18:E19"/>
    <mergeCell ref="F16:F17"/>
    <mergeCell ref="B1:D1"/>
    <mergeCell ref="B5:H5"/>
    <mergeCell ref="B8:B9"/>
    <mergeCell ref="B10:B14"/>
    <mergeCell ref="B15:B19"/>
    <mergeCell ref="C8:C9"/>
    <mergeCell ref="C10:C14"/>
    <mergeCell ref="C15:C19"/>
    <mergeCell ref="D8:D9"/>
    <mergeCell ref="D10:D19"/>
    <mergeCell ref="E8:E9"/>
    <mergeCell ref="E10:E11"/>
    <mergeCell ref="E12:E13"/>
    <mergeCell ref="E14:E15"/>
    <mergeCell ref="E16:E17"/>
    <mergeCell ref="H8:H9"/>
    <mergeCell ref="H10:H19"/>
    <mergeCell ref="B3:H4"/>
    <mergeCell ref="B6:D7"/>
    <mergeCell ref="E6:H7"/>
    <mergeCell ref="F18:F19"/>
    <mergeCell ref="G8:G9"/>
    <mergeCell ref="G10:G11"/>
    <mergeCell ref="G12:G13"/>
    <mergeCell ref="G14:G15"/>
    <mergeCell ref="G16:G17"/>
    <mergeCell ref="G18:G19"/>
    <mergeCell ref="F8:F9"/>
    <mergeCell ref="F10:F11"/>
    <mergeCell ref="F12:F13"/>
    <mergeCell ref="F14:F15"/>
  </mergeCells>
  <phoneticPr fontId="214" type="noConversion"/>
  <pageMargins left="0.69930555555555596" right="0.69930555555555596" top="0.75" bottom="0.75" header="0.3" footer="0.3"/>
  <pageSetup paperSize="9" orientation="portrait" horizontalDpi="2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dimension ref="B1:L26"/>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6.5" style="2599" customWidth="1"/>
    <col min="7" max="7" width="13.875" style="2637" customWidth="1"/>
    <col min="8" max="8" width="8.25" style="2599" customWidth="1"/>
    <col min="9" max="16384" width="8.125" style="2599"/>
  </cols>
  <sheetData>
    <row r="1" spans="2:12">
      <c r="B1" s="4895" t="s">
        <v>9587</v>
      </c>
      <c r="C1" s="4895"/>
      <c r="D1" s="4895"/>
      <c r="E1" s="2602"/>
    </row>
    <row r="3" spans="2:12">
      <c r="B3" s="4871" t="s">
        <v>9623</v>
      </c>
      <c r="C3" s="4872"/>
      <c r="D3" s="4872"/>
      <c r="E3" s="4872"/>
      <c r="F3" s="4872"/>
      <c r="G3" s="4872"/>
      <c r="H3" s="4873"/>
    </row>
    <row r="4" spans="2:12">
      <c r="B4" s="4874"/>
      <c r="C4" s="4875"/>
      <c r="D4" s="4875"/>
      <c r="E4" s="4875"/>
      <c r="F4" s="4875"/>
      <c r="G4" s="4875"/>
      <c r="H4" s="4876"/>
    </row>
    <row r="5" spans="2:12" ht="4.5" customHeight="1">
      <c r="B5" s="4896"/>
      <c r="C5" s="4896"/>
      <c r="D5" s="4896"/>
      <c r="E5" s="4896"/>
      <c r="F5" s="4896"/>
      <c r="G5" s="4896"/>
      <c r="H5" s="4896"/>
    </row>
    <row r="6" spans="2:12">
      <c r="B6" s="4877" t="s">
        <v>5407</v>
      </c>
      <c r="C6" s="4878"/>
      <c r="D6" s="4879"/>
      <c r="E6" s="4877" t="s">
        <v>5408</v>
      </c>
      <c r="F6" s="4878"/>
      <c r="G6" s="4878"/>
      <c r="H6" s="4879"/>
    </row>
    <row r="7" spans="2:12">
      <c r="B7" s="4880"/>
      <c r="C7" s="4881"/>
      <c r="D7" s="4882"/>
      <c r="E7" s="4880"/>
      <c r="F7" s="4881"/>
      <c r="G7" s="4881"/>
      <c r="H7" s="4882"/>
    </row>
    <row r="8" spans="2:12">
      <c r="B8" s="4897" t="s">
        <v>5409</v>
      </c>
      <c r="C8" s="4904" t="s">
        <v>5410</v>
      </c>
      <c r="D8" s="4911" t="s">
        <v>5411</v>
      </c>
      <c r="E8" s="4916" t="s">
        <v>5412</v>
      </c>
      <c r="F8" s="4892" t="s">
        <v>984</v>
      </c>
      <c r="G8" s="4886" t="s">
        <v>251</v>
      </c>
      <c r="H8" s="4866" t="s">
        <v>5411</v>
      </c>
    </row>
    <row r="9" spans="2:12">
      <c r="B9" s="4898"/>
      <c r="C9" s="4905"/>
      <c r="D9" s="4912"/>
      <c r="E9" s="4917"/>
      <c r="F9" s="4893"/>
      <c r="G9" s="4887"/>
      <c r="H9" s="4867"/>
      <c r="J9" s="2636"/>
    </row>
    <row r="10" spans="2:12" ht="19.5" customHeight="1">
      <c r="B10" s="4899" t="s">
        <v>9624</v>
      </c>
      <c r="C10" s="4906">
        <v>12</v>
      </c>
      <c r="D10" s="4913"/>
      <c r="E10" s="4894" t="s">
        <v>9569</v>
      </c>
      <c r="F10" s="4894"/>
      <c r="G10" s="4888">
        <f>PI()/4*(POWER(C10,2)-POWER(C16,2))</f>
        <v>93.462381444296298</v>
      </c>
      <c r="H10" s="4868"/>
    </row>
    <row r="11" spans="2:12">
      <c r="B11" s="4900"/>
      <c r="C11" s="4907"/>
      <c r="D11" s="4914"/>
      <c r="E11" s="4890"/>
      <c r="F11" s="4890"/>
      <c r="G11" s="4884"/>
      <c r="H11" s="4869"/>
      <c r="K11" s="2636"/>
    </row>
    <row r="12" spans="2:12">
      <c r="B12" s="4900"/>
      <c r="C12" s="4907"/>
      <c r="D12" s="4914"/>
      <c r="E12" s="4889" t="s">
        <v>9590</v>
      </c>
      <c r="F12" s="4889"/>
      <c r="G12" s="4883">
        <f>PI()/64*(POWER(C10,4)-POWER(C16,4))</f>
        <v>987.19640400538003</v>
      </c>
      <c r="H12" s="4869"/>
    </row>
    <row r="13" spans="2:12">
      <c r="B13" s="4900"/>
      <c r="C13" s="4907"/>
      <c r="D13" s="4914"/>
      <c r="E13" s="4890"/>
      <c r="F13" s="4890"/>
      <c r="G13" s="4884"/>
      <c r="H13" s="4869"/>
      <c r="I13" s="2636"/>
      <c r="K13" s="2636"/>
    </row>
    <row r="14" spans="2:12">
      <c r="B14" s="4900"/>
      <c r="C14" s="4907"/>
      <c r="D14" s="4914"/>
      <c r="E14" s="4889" t="s">
        <v>9591</v>
      </c>
      <c r="F14" s="4889"/>
      <c r="G14" s="4883">
        <f>PI()/32*(POWER(C10,4)-POWER(C16,4))</f>
        <v>1974.3928080107601</v>
      </c>
      <c r="H14" s="4869"/>
      <c r="I14" s="2636"/>
      <c r="L14" s="2636"/>
    </row>
    <row r="15" spans="2:12">
      <c r="B15" s="4901"/>
      <c r="C15" s="4908"/>
      <c r="D15" s="4914"/>
      <c r="E15" s="4890"/>
      <c r="F15" s="4890"/>
      <c r="G15" s="4884"/>
      <c r="H15" s="4869"/>
      <c r="I15" s="2636"/>
      <c r="K15" s="2636"/>
    </row>
    <row r="16" spans="2:12" ht="16.5" customHeight="1">
      <c r="B16" s="4902" t="s">
        <v>9625</v>
      </c>
      <c r="C16" s="4909">
        <v>5</v>
      </c>
      <c r="D16" s="4914"/>
      <c r="E16" s="4889" t="s">
        <v>9592</v>
      </c>
      <c r="F16" s="4889"/>
      <c r="G16" s="4883">
        <f>PI()*(POWER(C10,4)-POWER(C16,4))/(32*C10)</f>
        <v>164.53273400089699</v>
      </c>
      <c r="H16" s="4869"/>
      <c r="J16" s="2636"/>
    </row>
    <row r="17" spans="2:12" ht="16.5" customHeight="1">
      <c r="B17" s="4900"/>
      <c r="C17" s="4907"/>
      <c r="D17" s="4914"/>
      <c r="E17" s="4890"/>
      <c r="F17" s="4890"/>
      <c r="G17" s="4884"/>
      <c r="H17" s="4869"/>
      <c r="J17" s="2636"/>
      <c r="K17" s="2636"/>
      <c r="L17" s="2636"/>
    </row>
    <row r="18" spans="2:12" ht="16.5" customHeight="1">
      <c r="B18" s="4900"/>
      <c r="C18" s="4907"/>
      <c r="D18" s="4914"/>
      <c r="E18" s="4889" t="s">
        <v>9576</v>
      </c>
      <c r="F18" s="4889"/>
      <c r="G18" s="4883">
        <f>C10/2</f>
        <v>6</v>
      </c>
      <c r="H18" s="4869"/>
      <c r="J18" s="2636"/>
      <c r="K18" s="2636"/>
    </row>
    <row r="19" spans="2:12" ht="16.5" customHeight="1">
      <c r="B19" s="4900"/>
      <c r="C19" s="4907"/>
      <c r="D19" s="4914"/>
      <c r="E19" s="4890"/>
      <c r="F19" s="4890"/>
      <c r="G19" s="4884"/>
      <c r="H19" s="4869"/>
      <c r="J19" s="2636"/>
    </row>
    <row r="20" spans="2:12" ht="16.5" customHeight="1">
      <c r="B20" s="4900"/>
      <c r="C20" s="4907"/>
      <c r="D20" s="4914"/>
      <c r="E20" s="4889" t="s">
        <v>9593</v>
      </c>
      <c r="F20" s="4889"/>
      <c r="G20" s="4883">
        <f>1/4*SQRT((POWER(C10,2)+POWER(C16,2)))</f>
        <v>3.25</v>
      </c>
      <c r="H20" s="4869"/>
      <c r="J20" s="2636"/>
    </row>
    <row r="21" spans="2:12" ht="16.5" customHeight="1">
      <c r="B21" s="4903"/>
      <c r="C21" s="4910"/>
      <c r="D21" s="4915"/>
      <c r="E21" s="4891"/>
      <c r="F21" s="4891"/>
      <c r="G21" s="4885"/>
      <c r="H21" s="4870"/>
      <c r="J21" s="2636"/>
    </row>
    <row r="23" spans="2:12">
      <c r="F23" s="2636"/>
      <c r="H23" s="2636"/>
    </row>
    <row r="24" spans="2:12">
      <c r="B24" s="2599" t="s">
        <v>5433</v>
      </c>
      <c r="F24" s="2636"/>
      <c r="H24" s="2636"/>
    </row>
    <row r="25" spans="2:12">
      <c r="G25" s="2636"/>
    </row>
    <row r="26" spans="2:12">
      <c r="F26" s="2636"/>
    </row>
  </sheetData>
  <mergeCells count="36">
    <mergeCell ref="E12:E13"/>
    <mergeCell ref="E14:E15"/>
    <mergeCell ref="E16:E17"/>
    <mergeCell ref="E18:E19"/>
    <mergeCell ref="F14:F15"/>
    <mergeCell ref="F16:F17"/>
    <mergeCell ref="F18:F19"/>
    <mergeCell ref="F20:F21"/>
    <mergeCell ref="B1:D1"/>
    <mergeCell ref="B5:H5"/>
    <mergeCell ref="B8:B9"/>
    <mergeCell ref="B10:B15"/>
    <mergeCell ref="B16:B21"/>
    <mergeCell ref="C8:C9"/>
    <mergeCell ref="C10:C15"/>
    <mergeCell ref="C16:C21"/>
    <mergeCell ref="D8:D9"/>
    <mergeCell ref="D10:D21"/>
    <mergeCell ref="E8:E9"/>
    <mergeCell ref="E10:E11"/>
    <mergeCell ref="G18:G19"/>
    <mergeCell ref="G20:G21"/>
    <mergeCell ref="H8:H9"/>
    <mergeCell ref="H10:H21"/>
    <mergeCell ref="B3:H4"/>
    <mergeCell ref="B6:D7"/>
    <mergeCell ref="E6:H7"/>
    <mergeCell ref="G8:G9"/>
    <mergeCell ref="G10:G11"/>
    <mergeCell ref="G12:G13"/>
    <mergeCell ref="G14:G15"/>
    <mergeCell ref="G16:G17"/>
    <mergeCell ref="E20:E21"/>
    <mergeCell ref="F8:F9"/>
    <mergeCell ref="F10:F11"/>
    <mergeCell ref="F12:F13"/>
  </mergeCells>
  <phoneticPr fontId="214" type="noConversion"/>
  <pageMargins left="0.69930555555555596" right="0.69930555555555596" top="0.75" bottom="0.75" header="0.3" footer="0.3"/>
  <pageSetup paperSize="9" orientation="portrait" horizontalDpi="2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dimension ref="B1:M32"/>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3.625" style="2599" customWidth="1"/>
    <col min="5" max="5" width="24.375" style="2599" customWidth="1"/>
    <col min="6" max="6" width="14.375" style="2599" customWidth="1"/>
    <col min="7" max="7" width="11.75" style="2637" customWidth="1"/>
    <col min="8" max="8" width="8.25" style="2599" customWidth="1"/>
    <col min="9" max="16384" width="8.125" style="2599"/>
  </cols>
  <sheetData>
    <row r="1" spans="2:11">
      <c r="B1" s="4895" t="s">
        <v>9566</v>
      </c>
      <c r="C1" s="4895"/>
      <c r="D1" s="4895"/>
      <c r="E1" s="2602"/>
    </row>
    <row r="3" spans="2:11">
      <c r="B3" s="4871" t="s">
        <v>9626</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9627</v>
      </c>
      <c r="C10" s="4906">
        <v>10</v>
      </c>
      <c r="D10" s="4913"/>
      <c r="E10" s="4894" t="s">
        <v>9569</v>
      </c>
      <c r="F10" s="4894"/>
      <c r="G10" s="4888">
        <f>PI()*(C10*C19-C15*C24)</f>
        <v>87.964594300514193</v>
      </c>
      <c r="H10" s="4868"/>
    </row>
    <row r="11" spans="2:11">
      <c r="B11" s="4900"/>
      <c r="C11" s="4907"/>
      <c r="D11" s="4914"/>
      <c r="E11" s="4890"/>
      <c r="F11" s="4890"/>
      <c r="G11" s="4884"/>
      <c r="H11" s="4869"/>
      <c r="K11" s="2636"/>
    </row>
    <row r="12" spans="2:11">
      <c r="B12" s="4900"/>
      <c r="C12" s="4907"/>
      <c r="D12" s="4914"/>
      <c r="E12" s="4889" t="s">
        <v>9571</v>
      </c>
      <c r="F12" s="4889"/>
      <c r="G12" s="4883">
        <f>PI()/4*(C10*POWER(C19,3)-C15*POWER(C24,3))</f>
        <v>1294.3361732789899</v>
      </c>
      <c r="H12" s="4869"/>
      <c r="K12" s="2636"/>
    </row>
    <row r="13" spans="2:11">
      <c r="B13" s="4900"/>
      <c r="C13" s="4907"/>
      <c r="D13" s="4914"/>
      <c r="E13" s="4890"/>
      <c r="F13" s="4890"/>
      <c r="G13" s="4884"/>
      <c r="H13" s="4869"/>
      <c r="I13" s="2636"/>
    </row>
    <row r="14" spans="2:11">
      <c r="B14" s="4901"/>
      <c r="C14" s="4908"/>
      <c r="D14" s="4914"/>
      <c r="E14" s="4889" t="s">
        <v>9572</v>
      </c>
      <c r="F14" s="4889"/>
      <c r="G14" s="4883">
        <f>PI()/4*(POWER(C10,3)*C19-POWER(C15,3)*C24)</f>
        <v>3103.8935417467201</v>
      </c>
      <c r="H14" s="4869"/>
      <c r="I14" s="2636"/>
      <c r="J14" s="2636"/>
    </row>
    <row r="15" spans="2:11">
      <c r="B15" s="4902" t="s">
        <v>9628</v>
      </c>
      <c r="C15" s="4907">
        <v>8</v>
      </c>
      <c r="D15" s="4914"/>
      <c r="E15" s="4890"/>
      <c r="F15" s="4890"/>
      <c r="G15" s="4884"/>
      <c r="H15" s="4869"/>
      <c r="I15" s="2636"/>
      <c r="J15" s="2636"/>
      <c r="K15" s="2636"/>
    </row>
    <row r="16" spans="2:11" ht="16.5" customHeight="1">
      <c r="B16" s="4900"/>
      <c r="C16" s="4907"/>
      <c r="D16" s="4914"/>
      <c r="E16" s="4889" t="s">
        <v>9573</v>
      </c>
      <c r="F16" s="4889"/>
      <c r="G16" s="4883">
        <f>(PI()*(C10*POWER(C19,3)-C15*POWER(C24,3)))/(4*C19)</f>
        <v>215.72269554649901</v>
      </c>
      <c r="H16" s="4869"/>
      <c r="J16" s="2636"/>
      <c r="K16" s="2636"/>
    </row>
    <row r="17" spans="2:13" ht="16.5" customHeight="1">
      <c r="B17" s="4900"/>
      <c r="C17" s="4907"/>
      <c r="D17" s="4914"/>
      <c r="E17" s="4890"/>
      <c r="F17" s="4890"/>
      <c r="G17" s="4884"/>
      <c r="H17" s="4869"/>
      <c r="J17" s="2636"/>
    </row>
    <row r="18" spans="2:13" ht="16.5" customHeight="1">
      <c r="B18" s="4901"/>
      <c r="C18" s="4908"/>
      <c r="D18" s="4914"/>
      <c r="E18" s="4889" t="s">
        <v>9574</v>
      </c>
      <c r="F18" s="4889"/>
      <c r="G18" s="4883">
        <f>(PI()*(POWER(C10,3)*C19-POWER(C15,3)*C24))/(4*C10)</f>
        <v>310.38935417467201</v>
      </c>
      <c r="H18" s="4869"/>
      <c r="J18" s="2636"/>
      <c r="K18" s="2636"/>
    </row>
    <row r="19" spans="2:13" ht="16.5" customHeight="1">
      <c r="B19" s="4902" t="s">
        <v>9629</v>
      </c>
      <c r="C19" s="4909">
        <v>6</v>
      </c>
      <c r="D19" s="4914"/>
      <c r="E19" s="4890"/>
      <c r="F19" s="4890"/>
      <c r="G19" s="4884"/>
      <c r="H19" s="4869"/>
      <c r="J19" s="2636"/>
    </row>
    <row r="20" spans="2:13" ht="16.5" customHeight="1">
      <c r="B20" s="4900"/>
      <c r="C20" s="4907"/>
      <c r="D20" s="4914"/>
      <c r="E20" s="4889" t="s">
        <v>9576</v>
      </c>
      <c r="F20" s="4889"/>
      <c r="G20" s="4883">
        <f>C19</f>
        <v>6</v>
      </c>
      <c r="H20" s="4869"/>
      <c r="J20" s="2636"/>
    </row>
    <row r="21" spans="2:13" ht="16.5" customHeight="1">
      <c r="B21" s="4900"/>
      <c r="C21" s="4907"/>
      <c r="D21" s="4914"/>
      <c r="E21" s="4890"/>
      <c r="F21" s="4890"/>
      <c r="G21" s="4884"/>
      <c r="H21" s="4869"/>
      <c r="J21" s="2636"/>
    </row>
    <row r="22" spans="2:13" ht="16.5" customHeight="1">
      <c r="B22" s="4900"/>
      <c r="C22" s="4907"/>
      <c r="D22" s="4914"/>
      <c r="E22" s="4889" t="s">
        <v>9577</v>
      </c>
      <c r="F22" s="4889"/>
      <c r="G22" s="4883">
        <f>C10</f>
        <v>10</v>
      </c>
      <c r="H22" s="4869"/>
      <c r="J22" s="2636"/>
    </row>
    <row r="23" spans="2:13" ht="16.5" customHeight="1">
      <c r="B23" s="4901"/>
      <c r="C23" s="4908"/>
      <c r="D23" s="4914"/>
      <c r="E23" s="4890"/>
      <c r="F23" s="4890"/>
      <c r="G23" s="4884"/>
      <c r="H23" s="4869"/>
      <c r="J23" s="2636"/>
      <c r="M23" s="2636"/>
    </row>
    <row r="24" spans="2:13" ht="16.5" customHeight="1">
      <c r="B24" s="4902" t="s">
        <v>9630</v>
      </c>
      <c r="C24" s="4909">
        <v>4</v>
      </c>
      <c r="D24" s="4914"/>
      <c r="E24" s="4889" t="s">
        <v>9578</v>
      </c>
      <c r="F24" s="4889"/>
      <c r="G24" s="4883">
        <f>SQRT(G12/G10)</f>
        <v>3.83592045202787</v>
      </c>
      <c r="H24" s="4869"/>
      <c r="J24" s="2636"/>
      <c r="K24" s="2636"/>
    </row>
    <row r="25" spans="2:13" ht="25.5" customHeight="1">
      <c r="B25" s="4900"/>
      <c r="C25" s="4907"/>
      <c r="D25" s="4914"/>
      <c r="E25" s="4890"/>
      <c r="F25" s="4890"/>
      <c r="G25" s="4884"/>
      <c r="H25" s="4869"/>
      <c r="J25" s="2636"/>
    </row>
    <row r="26" spans="2:13">
      <c r="B26" s="4900"/>
      <c r="C26" s="4907"/>
      <c r="D26" s="4914"/>
      <c r="E26" s="4889" t="s">
        <v>9579</v>
      </c>
      <c r="F26" s="4889"/>
      <c r="G26" s="4883">
        <f>SQRT(G14/G10)</f>
        <v>5.9401779675119402</v>
      </c>
      <c r="H26" s="4869"/>
      <c r="J26" s="2636"/>
    </row>
    <row r="27" spans="2:13" ht="20.25" customHeight="1">
      <c r="B27" s="4903"/>
      <c r="C27" s="4910"/>
      <c r="D27" s="4915"/>
      <c r="E27" s="4891"/>
      <c r="F27" s="4891"/>
      <c r="G27" s="4885"/>
      <c r="H27" s="4870"/>
    </row>
    <row r="29" spans="2:13">
      <c r="F29" s="2636"/>
      <c r="H29" s="2636"/>
    </row>
    <row r="30" spans="2:13">
      <c r="B30" s="2599" t="s">
        <v>5433</v>
      </c>
      <c r="F30" s="2636"/>
    </row>
    <row r="31" spans="2:13">
      <c r="G31" s="2636"/>
    </row>
    <row r="32" spans="2:13">
      <c r="F32" s="2636"/>
    </row>
  </sheetData>
  <mergeCells count="49">
    <mergeCell ref="B1:D1"/>
    <mergeCell ref="B5:H5"/>
    <mergeCell ref="B8:B9"/>
    <mergeCell ref="B10:B14"/>
    <mergeCell ref="B15:B18"/>
    <mergeCell ref="D8:D9"/>
    <mergeCell ref="D10:D27"/>
    <mergeCell ref="E8:E9"/>
    <mergeCell ref="E10:E11"/>
    <mergeCell ref="E12:E13"/>
    <mergeCell ref="E14:E15"/>
    <mergeCell ref="E16:E17"/>
    <mergeCell ref="E18:E19"/>
    <mergeCell ref="E20:E21"/>
    <mergeCell ref="E22:E23"/>
    <mergeCell ref="E24:E25"/>
    <mergeCell ref="B19:B23"/>
    <mergeCell ref="B24:B27"/>
    <mergeCell ref="C8:C9"/>
    <mergeCell ref="C10:C14"/>
    <mergeCell ref="C15:C18"/>
    <mergeCell ref="C19:C23"/>
    <mergeCell ref="C24:C27"/>
    <mergeCell ref="F18:F19"/>
    <mergeCell ref="F20:F21"/>
    <mergeCell ref="F22:F23"/>
    <mergeCell ref="F24:F25"/>
    <mergeCell ref="F26:F27"/>
    <mergeCell ref="F8:F9"/>
    <mergeCell ref="F10:F11"/>
    <mergeCell ref="F12:F13"/>
    <mergeCell ref="F14:F15"/>
    <mergeCell ref="F16:F17"/>
    <mergeCell ref="H8:H9"/>
    <mergeCell ref="H10:H27"/>
    <mergeCell ref="B3:H4"/>
    <mergeCell ref="B6:D7"/>
    <mergeCell ref="E6:H7"/>
    <mergeCell ref="G18:G19"/>
    <mergeCell ref="G20:G21"/>
    <mergeCell ref="G22:G23"/>
    <mergeCell ref="G24:G25"/>
    <mergeCell ref="G26:G27"/>
    <mergeCell ref="G8:G9"/>
    <mergeCell ref="G10:G11"/>
    <mergeCell ref="G12:G13"/>
    <mergeCell ref="G14:G15"/>
    <mergeCell ref="G16:G17"/>
    <mergeCell ref="E26:E27"/>
  </mergeCells>
  <phoneticPr fontId="214" type="noConversion"/>
  <pageMargins left="0.69930555555555596" right="0.69930555555555596" top="0.75" bottom="0.75" header="0.3" footer="0.3"/>
  <pageSetup paperSize="9" orientation="portrait" horizontalDpi="200" verticalDpi="30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dimension ref="B1:K32"/>
  <sheetViews>
    <sheetView workbookViewId="0">
      <selection activeCell="K16" sqref="K16:K17"/>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9.625" style="2599" customWidth="1"/>
    <col min="7" max="7" width="9.625" style="2637" customWidth="1"/>
    <col min="8" max="8" width="8.25" style="2599" customWidth="1"/>
    <col min="9" max="16384" width="8.125" style="2599"/>
  </cols>
  <sheetData>
    <row r="1" spans="2:11">
      <c r="B1" s="4895" t="s">
        <v>9580</v>
      </c>
      <c r="C1" s="4895"/>
      <c r="D1" s="4895"/>
      <c r="E1" s="2602"/>
    </row>
    <row r="3" spans="2:11">
      <c r="B3" s="4871" t="s">
        <v>9631</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920"/>
      <c r="C7" s="4921"/>
      <c r="D7" s="4922"/>
      <c r="E7" s="4920"/>
      <c r="F7" s="4921"/>
      <c r="G7" s="4921"/>
      <c r="H7" s="4922"/>
    </row>
    <row r="8" spans="2:11">
      <c r="B8" s="4897" t="s">
        <v>5409</v>
      </c>
      <c r="C8" s="4904" t="s">
        <v>5410</v>
      </c>
      <c r="D8" s="4928" t="s">
        <v>5411</v>
      </c>
      <c r="E8" s="4916" t="s">
        <v>5412</v>
      </c>
      <c r="F8" s="4892" t="s">
        <v>984</v>
      </c>
      <c r="G8" s="4886" t="s">
        <v>251</v>
      </c>
      <c r="H8" s="4866" t="s">
        <v>5411</v>
      </c>
    </row>
    <row r="9" spans="2:11">
      <c r="B9" s="4926"/>
      <c r="C9" s="4927"/>
      <c r="D9" s="4929"/>
      <c r="E9" s="4930"/>
      <c r="F9" s="4925"/>
      <c r="G9" s="4923"/>
      <c r="H9" s="4919"/>
      <c r="J9" s="2636"/>
    </row>
    <row r="10" spans="2:11" ht="19.5" customHeight="1">
      <c r="B10" s="4900" t="s">
        <v>9582</v>
      </c>
      <c r="C10" s="4907">
        <v>6</v>
      </c>
      <c r="D10" s="4890"/>
      <c r="E10" s="4918" t="s">
        <v>9569</v>
      </c>
      <c r="F10" s="4918"/>
      <c r="G10" s="4924">
        <f>C10*C19</f>
        <v>72</v>
      </c>
      <c r="H10" s="4869"/>
    </row>
    <row r="11" spans="2:11">
      <c r="B11" s="4900"/>
      <c r="C11" s="4907"/>
      <c r="D11" s="4914"/>
      <c r="E11" s="4890"/>
      <c r="F11" s="4890"/>
      <c r="G11" s="4884"/>
      <c r="H11" s="4869"/>
      <c r="J11" s="2636"/>
    </row>
    <row r="12" spans="2:11">
      <c r="B12" s="4900"/>
      <c r="C12" s="4907"/>
      <c r="D12" s="4914"/>
      <c r="E12" s="4889" t="s">
        <v>9571</v>
      </c>
      <c r="F12" s="4889"/>
      <c r="G12" s="4883">
        <f>C10*POWER(C19,3)/12</f>
        <v>864</v>
      </c>
      <c r="H12" s="4869"/>
    </row>
    <row r="13" spans="2:11">
      <c r="B13" s="4900"/>
      <c r="C13" s="4907"/>
      <c r="D13" s="4914"/>
      <c r="E13" s="4890"/>
      <c r="F13" s="4890"/>
      <c r="G13" s="4884"/>
      <c r="H13" s="4869"/>
      <c r="I13" s="2636"/>
      <c r="J13" s="2599" t="s">
        <v>9632</v>
      </c>
    </row>
    <row r="14" spans="2:11">
      <c r="B14" s="4900"/>
      <c r="C14" s="4907"/>
      <c r="D14" s="4914"/>
      <c r="E14" s="4889" t="s">
        <v>9572</v>
      </c>
      <c r="F14" s="4889"/>
      <c r="G14" s="4883">
        <f>POWER(C10,3)*C19/12</f>
        <v>216</v>
      </c>
      <c r="H14" s="4869"/>
      <c r="I14" s="2636"/>
      <c r="J14" s="2636"/>
    </row>
    <row r="15" spans="2:11">
      <c r="B15" s="4900"/>
      <c r="C15" s="4907"/>
      <c r="D15" s="4914"/>
      <c r="E15" s="4890"/>
      <c r="F15" s="4890"/>
      <c r="G15" s="4884"/>
      <c r="H15" s="4869"/>
      <c r="I15" s="2636"/>
      <c r="K15" s="2636"/>
    </row>
    <row r="16" spans="2:11" ht="16.5" customHeight="1">
      <c r="B16" s="4900"/>
      <c r="C16" s="4907"/>
      <c r="D16" s="4914"/>
      <c r="E16" s="4889" t="s">
        <v>9573</v>
      </c>
      <c r="F16" s="4889"/>
      <c r="G16" s="4883">
        <f>C10*POWER(C19,2)/6</f>
        <v>144</v>
      </c>
      <c r="H16" s="4869"/>
      <c r="J16" s="2636"/>
    </row>
    <row r="17" spans="2:10" ht="16.5" customHeight="1">
      <c r="B17" s="4900"/>
      <c r="C17" s="4907"/>
      <c r="D17" s="4914"/>
      <c r="E17" s="4890"/>
      <c r="F17" s="4890"/>
      <c r="G17" s="4884"/>
      <c r="H17" s="4869"/>
      <c r="J17" s="2636"/>
    </row>
    <row r="18" spans="2:10" ht="16.5" customHeight="1">
      <c r="B18" s="4901"/>
      <c r="C18" s="4908"/>
      <c r="D18" s="4914"/>
      <c r="E18" s="4889" t="s">
        <v>9574</v>
      </c>
      <c r="F18" s="4889"/>
      <c r="G18" s="4883">
        <f>POWER(C10,2)*C19/6</f>
        <v>72</v>
      </c>
      <c r="H18" s="4869"/>
      <c r="J18" s="2636"/>
    </row>
    <row r="19" spans="2:10" ht="16.5" customHeight="1">
      <c r="B19" s="4902" t="s">
        <v>9633</v>
      </c>
      <c r="C19" s="4909">
        <v>12</v>
      </c>
      <c r="D19" s="4914"/>
      <c r="E19" s="4890"/>
      <c r="F19" s="4890"/>
      <c r="G19" s="4884"/>
      <c r="H19" s="4869"/>
      <c r="J19" s="2636"/>
    </row>
    <row r="20" spans="2:10" ht="16.5" customHeight="1">
      <c r="B20" s="4900"/>
      <c r="C20" s="4907"/>
      <c r="D20" s="4914"/>
      <c r="E20" s="4889" t="s">
        <v>9576</v>
      </c>
      <c r="F20" s="4889"/>
      <c r="G20" s="4883">
        <f>C19/2</f>
        <v>6</v>
      </c>
      <c r="H20" s="4869"/>
      <c r="J20" s="2636"/>
    </row>
    <row r="21" spans="2:10" ht="16.5" customHeight="1">
      <c r="B21" s="4900"/>
      <c r="C21" s="4907"/>
      <c r="D21" s="4914"/>
      <c r="E21" s="4890"/>
      <c r="F21" s="4890"/>
      <c r="G21" s="4884"/>
      <c r="H21" s="4869"/>
      <c r="J21" s="2636"/>
    </row>
    <row r="22" spans="2:10" ht="16.5" customHeight="1">
      <c r="B22" s="4900"/>
      <c r="C22" s="4907"/>
      <c r="D22" s="4914"/>
      <c r="E22" s="4889" t="s">
        <v>9577</v>
      </c>
      <c r="F22" s="4889"/>
      <c r="G22" s="4883">
        <f>C10/2</f>
        <v>3</v>
      </c>
      <c r="H22" s="4869"/>
      <c r="J22" s="2636"/>
    </row>
    <row r="23" spans="2:10" ht="16.5" customHeight="1">
      <c r="B23" s="4900"/>
      <c r="C23" s="4907"/>
      <c r="D23" s="4914"/>
      <c r="E23" s="4890"/>
      <c r="F23" s="4890"/>
      <c r="G23" s="4884"/>
      <c r="H23" s="4869"/>
      <c r="J23" s="2636"/>
    </row>
    <row r="24" spans="2:10" ht="16.5" customHeight="1">
      <c r="B24" s="4900"/>
      <c r="C24" s="4907"/>
      <c r="D24" s="4914"/>
      <c r="E24" s="4889" t="s">
        <v>9578</v>
      </c>
      <c r="F24" s="4889"/>
      <c r="G24" s="4883">
        <f>0.289*C19</f>
        <v>3.468</v>
      </c>
      <c r="H24" s="4869"/>
      <c r="J24" s="2636"/>
    </row>
    <row r="25" spans="2:10" ht="16.5" customHeight="1">
      <c r="B25" s="4900"/>
      <c r="C25" s="4907"/>
      <c r="D25" s="4914"/>
      <c r="E25" s="4890"/>
      <c r="F25" s="4890"/>
      <c r="G25" s="4884"/>
      <c r="H25" s="4869"/>
      <c r="I25" s="2636"/>
      <c r="J25" s="2636"/>
    </row>
    <row r="26" spans="2:10">
      <c r="B26" s="4900"/>
      <c r="C26" s="4907"/>
      <c r="D26" s="4914"/>
      <c r="E26" s="4889" t="s">
        <v>9579</v>
      </c>
      <c r="F26" s="4889"/>
      <c r="G26" s="4883">
        <f>0.289*C10</f>
        <v>1.734</v>
      </c>
      <c r="H26" s="4869"/>
      <c r="J26" s="2636"/>
    </row>
    <row r="27" spans="2:10">
      <c r="B27" s="4903"/>
      <c r="C27" s="4910"/>
      <c r="D27" s="4915"/>
      <c r="E27" s="4891"/>
      <c r="F27" s="4891"/>
      <c r="G27" s="4885"/>
      <c r="H27" s="4870"/>
    </row>
    <row r="29" spans="2:10">
      <c r="F29" s="2636"/>
      <c r="H29" s="2636"/>
    </row>
    <row r="30" spans="2:10">
      <c r="B30" s="2599" t="s">
        <v>5433</v>
      </c>
      <c r="F30" s="2636"/>
    </row>
    <row r="32" spans="2:10">
      <c r="F32" s="2636"/>
    </row>
  </sheetData>
  <mergeCells count="45">
    <mergeCell ref="B1:D1"/>
    <mergeCell ref="B5:H5"/>
    <mergeCell ref="B8:B9"/>
    <mergeCell ref="B10:B18"/>
    <mergeCell ref="B19:B27"/>
    <mergeCell ref="C8:C9"/>
    <mergeCell ref="C10:C18"/>
    <mergeCell ref="C19:C27"/>
    <mergeCell ref="D8:D9"/>
    <mergeCell ref="D10:D27"/>
    <mergeCell ref="E8:E9"/>
    <mergeCell ref="E10:E11"/>
    <mergeCell ref="E12:E13"/>
    <mergeCell ref="E14:E15"/>
    <mergeCell ref="E16:E17"/>
    <mergeCell ref="E18:E19"/>
    <mergeCell ref="E22:E23"/>
    <mergeCell ref="E24:E25"/>
    <mergeCell ref="E26:E27"/>
    <mergeCell ref="F8:F9"/>
    <mergeCell ref="F10:F11"/>
    <mergeCell ref="F12:F13"/>
    <mergeCell ref="F14:F15"/>
    <mergeCell ref="F16:F17"/>
    <mergeCell ref="F18:F19"/>
    <mergeCell ref="F20:F21"/>
    <mergeCell ref="F22:F23"/>
    <mergeCell ref="F24:F25"/>
    <mergeCell ref="F26:F27"/>
    <mergeCell ref="H8:H9"/>
    <mergeCell ref="H10:H27"/>
    <mergeCell ref="B3:H4"/>
    <mergeCell ref="B6:D7"/>
    <mergeCell ref="E6:H7"/>
    <mergeCell ref="G18:G19"/>
    <mergeCell ref="G20:G21"/>
    <mergeCell ref="G22:G23"/>
    <mergeCell ref="G24:G25"/>
    <mergeCell ref="G26:G27"/>
    <mergeCell ref="G8:G9"/>
    <mergeCell ref="G10:G11"/>
    <mergeCell ref="G12:G13"/>
    <mergeCell ref="G14:G15"/>
    <mergeCell ref="G16:G17"/>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dimension ref="B1:L26"/>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6" width="24.375" style="2599" customWidth="1"/>
    <col min="7" max="7" width="10.75" style="2637" customWidth="1"/>
    <col min="8" max="8" width="11.125" style="2599" customWidth="1"/>
    <col min="9" max="16384" width="8.125" style="2599"/>
  </cols>
  <sheetData>
    <row r="1" spans="2:12">
      <c r="B1" s="4895" t="s">
        <v>9634</v>
      </c>
      <c r="C1" s="4895"/>
      <c r="D1" s="4895"/>
      <c r="E1" s="2602"/>
    </row>
    <row r="3" spans="2:12">
      <c r="B3" s="4871" t="s">
        <v>9635</v>
      </c>
      <c r="C3" s="4872"/>
      <c r="D3" s="4872"/>
      <c r="E3" s="4872"/>
      <c r="F3" s="4872"/>
      <c r="G3" s="4872"/>
      <c r="H3" s="4873"/>
    </row>
    <row r="4" spans="2:12">
      <c r="B4" s="4874"/>
      <c r="C4" s="4875"/>
      <c r="D4" s="4875"/>
      <c r="E4" s="4875"/>
      <c r="F4" s="4875"/>
      <c r="G4" s="4875"/>
      <c r="H4" s="4876"/>
    </row>
    <row r="5" spans="2:12" ht="4.5" customHeight="1">
      <c r="B5" s="4896"/>
      <c r="C5" s="4896"/>
      <c r="D5" s="4896"/>
      <c r="E5" s="4896"/>
      <c r="F5" s="4896"/>
      <c r="G5" s="4896"/>
      <c r="H5" s="4896"/>
    </row>
    <row r="6" spans="2:12">
      <c r="B6" s="4877" t="s">
        <v>5407</v>
      </c>
      <c r="C6" s="4878"/>
      <c r="D6" s="4879"/>
      <c r="E6" s="4877" t="s">
        <v>5408</v>
      </c>
      <c r="F6" s="4878"/>
      <c r="G6" s="4878"/>
      <c r="H6" s="4879"/>
    </row>
    <row r="7" spans="2:12">
      <c r="B7" s="4880"/>
      <c r="C7" s="4881"/>
      <c r="D7" s="4882"/>
      <c r="E7" s="4880"/>
      <c r="F7" s="4881"/>
      <c r="G7" s="4881"/>
      <c r="H7" s="4882"/>
    </row>
    <row r="8" spans="2:12">
      <c r="B8" s="4897" t="s">
        <v>5409</v>
      </c>
      <c r="C8" s="4904" t="s">
        <v>5410</v>
      </c>
      <c r="D8" s="4911" t="s">
        <v>5411</v>
      </c>
      <c r="E8" s="4916" t="s">
        <v>5412</v>
      </c>
      <c r="F8" s="4892" t="s">
        <v>984</v>
      </c>
      <c r="G8" s="4886" t="s">
        <v>251</v>
      </c>
      <c r="H8" s="4866" t="s">
        <v>5411</v>
      </c>
    </row>
    <row r="9" spans="2:12">
      <c r="B9" s="4898"/>
      <c r="C9" s="4905"/>
      <c r="D9" s="4912"/>
      <c r="E9" s="4917"/>
      <c r="F9" s="4893"/>
      <c r="G9" s="4887"/>
      <c r="H9" s="4867"/>
      <c r="J9" s="2636"/>
    </row>
    <row r="10" spans="2:12" ht="19.5" customHeight="1">
      <c r="B10" s="4899" t="s">
        <v>9636</v>
      </c>
      <c r="C10" s="4906">
        <v>12</v>
      </c>
      <c r="D10" s="4913"/>
      <c r="E10" s="4894" t="s">
        <v>9569</v>
      </c>
      <c r="F10" s="4894"/>
      <c r="G10" s="4888">
        <f>PI()/4*POWER(C19,2)+((C13*C16*(C10-C19))/2)</f>
        <v>113.48451000647501</v>
      </c>
      <c r="H10" s="4868" t="s">
        <v>9637</v>
      </c>
    </row>
    <row r="11" spans="2:12">
      <c r="B11" s="4900"/>
      <c r="C11" s="4907"/>
      <c r="D11" s="4914"/>
      <c r="E11" s="4890"/>
      <c r="F11" s="4890"/>
      <c r="G11" s="4884"/>
      <c r="H11" s="4869"/>
      <c r="J11" s="2636"/>
      <c r="K11" s="2636"/>
    </row>
    <row r="12" spans="2:12">
      <c r="B12" s="4901"/>
      <c r="C12" s="4908"/>
      <c r="D12" s="4914"/>
      <c r="E12" s="4889" t="s">
        <v>9571</v>
      </c>
      <c r="F12" s="4889"/>
      <c r="G12" s="4883">
        <f>PI()*POWER(C19,4)/64+((C16*C13*(C10-C19)*POWER((C10+C19),2))/64)</f>
        <v>963.95256189482996</v>
      </c>
      <c r="H12" s="4869"/>
    </row>
    <row r="13" spans="2:12">
      <c r="B13" s="4902" t="s">
        <v>9638</v>
      </c>
      <c r="C13" s="4909">
        <v>6</v>
      </c>
      <c r="D13" s="4914"/>
      <c r="E13" s="4890"/>
      <c r="F13" s="4890"/>
      <c r="G13" s="4884"/>
      <c r="H13" s="4869"/>
      <c r="I13" s="2636"/>
      <c r="K13" s="2636"/>
      <c r="L13" s="2636"/>
    </row>
    <row r="14" spans="2:12">
      <c r="B14" s="4900"/>
      <c r="C14" s="4907"/>
      <c r="D14" s="4914"/>
      <c r="E14" s="4889" t="s">
        <v>9573</v>
      </c>
      <c r="F14" s="4889"/>
      <c r="G14" s="4883">
        <f>(PI()*POWER(C19,4)+(C16*C13*(C10-C19)*POWER((C10+C19),2)))/(32*C10)</f>
        <v>160.65876031580501</v>
      </c>
      <c r="H14" s="4869"/>
      <c r="I14" s="2636"/>
      <c r="K14" s="2636"/>
      <c r="L14" s="2636"/>
    </row>
    <row r="15" spans="2:12">
      <c r="B15" s="4901"/>
      <c r="C15" s="4908"/>
      <c r="D15" s="4914"/>
      <c r="E15" s="4890"/>
      <c r="F15" s="4890"/>
      <c r="G15" s="4884"/>
      <c r="H15" s="4869"/>
      <c r="I15" s="2636"/>
      <c r="K15" s="2636"/>
    </row>
    <row r="16" spans="2:12" ht="16.5" customHeight="1">
      <c r="B16" s="4902" t="s">
        <v>9639</v>
      </c>
      <c r="C16" s="4907">
        <v>5</v>
      </c>
      <c r="D16" s="4914"/>
      <c r="E16" s="4889" t="s">
        <v>9577</v>
      </c>
      <c r="F16" s="4889"/>
      <c r="G16" s="4883">
        <f>C10/2</f>
        <v>6</v>
      </c>
      <c r="H16" s="4869"/>
      <c r="J16" s="2636"/>
    </row>
    <row r="17" spans="2:12" ht="16.5" customHeight="1">
      <c r="B17" s="4900"/>
      <c r="C17" s="4907"/>
      <c r="D17" s="4914"/>
      <c r="E17" s="4890"/>
      <c r="F17" s="4890"/>
      <c r="G17" s="4884"/>
      <c r="H17" s="4869"/>
      <c r="J17" s="2636"/>
      <c r="K17" s="2636"/>
      <c r="L17" s="2636"/>
    </row>
    <row r="18" spans="2:12" ht="16.5" customHeight="1">
      <c r="B18" s="4901"/>
      <c r="C18" s="4908"/>
      <c r="D18" s="4914"/>
      <c r="E18" s="4889" t="s">
        <v>9576</v>
      </c>
      <c r="F18" s="4889"/>
      <c r="G18" s="4883">
        <f>C19/2</f>
        <v>3.5</v>
      </c>
      <c r="H18" s="4869"/>
      <c r="J18" s="2636"/>
      <c r="K18" s="2636"/>
    </row>
    <row r="19" spans="2:12" ht="16.5" customHeight="1">
      <c r="B19" s="4902" t="s">
        <v>9640</v>
      </c>
      <c r="C19" s="4909">
        <v>7</v>
      </c>
      <c r="D19" s="4914"/>
      <c r="E19" s="4890"/>
      <c r="F19" s="4890"/>
      <c r="G19" s="4884"/>
      <c r="H19" s="4869"/>
      <c r="J19" s="2636"/>
    </row>
    <row r="20" spans="2:12" ht="21.75" customHeight="1">
      <c r="B20" s="4900"/>
      <c r="C20" s="4907"/>
      <c r="D20" s="4914"/>
      <c r="E20" s="4889" t="s">
        <v>9593</v>
      </c>
      <c r="F20" s="4889"/>
      <c r="G20" s="4883">
        <f>1/4*SQRT(((PI()*POWER(C19,4)+(C16*C13*(C10-C19)*POWER((C10+C19),2))))/(PI()*POWER(C19,2)+2*C13*C16*(C10-C19)))</f>
        <v>2.9144696527025999</v>
      </c>
      <c r="H20" s="4869"/>
      <c r="J20" s="2636"/>
    </row>
    <row r="21" spans="2:12" ht="16.5" customHeight="1">
      <c r="B21" s="4903"/>
      <c r="C21" s="4910"/>
      <c r="D21" s="4915"/>
      <c r="E21" s="4891"/>
      <c r="F21" s="4891"/>
      <c r="G21" s="4885"/>
      <c r="H21" s="4870"/>
      <c r="J21" s="2636"/>
    </row>
    <row r="23" spans="2:12">
      <c r="F23" s="2636"/>
      <c r="H23" s="2636"/>
    </row>
    <row r="24" spans="2:12">
      <c r="B24" s="2599" t="s">
        <v>5433</v>
      </c>
      <c r="F24" s="2636"/>
      <c r="H24" s="2636"/>
    </row>
    <row r="25" spans="2:12">
      <c r="F25" s="2636"/>
      <c r="G25" s="2636"/>
    </row>
    <row r="26" spans="2:12">
      <c r="F26" s="2636"/>
    </row>
  </sheetData>
  <mergeCells count="40">
    <mergeCell ref="B1:D1"/>
    <mergeCell ref="B5:H5"/>
    <mergeCell ref="B8:B9"/>
    <mergeCell ref="B10:B12"/>
    <mergeCell ref="B13:B15"/>
    <mergeCell ref="D8:D9"/>
    <mergeCell ref="D10:D21"/>
    <mergeCell ref="E8:E9"/>
    <mergeCell ref="E10:E11"/>
    <mergeCell ref="E12:E13"/>
    <mergeCell ref="E14:E15"/>
    <mergeCell ref="E16:E17"/>
    <mergeCell ref="E18:E19"/>
    <mergeCell ref="E20:E21"/>
    <mergeCell ref="F8:F9"/>
    <mergeCell ref="F10:F11"/>
    <mergeCell ref="F20:F21"/>
    <mergeCell ref="B16:B18"/>
    <mergeCell ref="B19:B21"/>
    <mergeCell ref="C8:C9"/>
    <mergeCell ref="C10:C12"/>
    <mergeCell ref="C13:C15"/>
    <mergeCell ref="C16:C18"/>
    <mergeCell ref="C19:C21"/>
    <mergeCell ref="G18:G19"/>
    <mergeCell ref="G20:G21"/>
    <mergeCell ref="H8:H9"/>
    <mergeCell ref="H10:H21"/>
    <mergeCell ref="B3:H4"/>
    <mergeCell ref="B6:D7"/>
    <mergeCell ref="E6:H7"/>
    <mergeCell ref="G8:G9"/>
    <mergeCell ref="G10:G11"/>
    <mergeCell ref="G12:G13"/>
    <mergeCell ref="G14:G15"/>
    <mergeCell ref="G16:G17"/>
    <mergeCell ref="F12:F13"/>
    <mergeCell ref="F14:F15"/>
    <mergeCell ref="F16:F17"/>
    <mergeCell ref="F18:F19"/>
  </mergeCells>
  <phoneticPr fontId="214" type="noConversion"/>
  <pageMargins left="0.69930555555555596" right="0.69930555555555596" top="0.75" bottom="0.75" header="0.3" footer="0.3"/>
  <pageSetup paperSize="9" orientation="portrait" horizontalDpi="2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dimension ref="B1:K26"/>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19.25" style="2599" customWidth="1"/>
    <col min="5" max="5" width="24.375" style="2599" customWidth="1"/>
    <col min="6" max="6" width="13.375" style="2599" customWidth="1"/>
    <col min="7" max="7" width="10.75" style="2637" customWidth="1"/>
    <col min="8" max="8" width="8.25" style="2599" customWidth="1"/>
    <col min="9" max="16384" width="8.125" style="2599"/>
  </cols>
  <sheetData>
    <row r="1" spans="2:11">
      <c r="B1" s="4895" t="s">
        <v>9641</v>
      </c>
      <c r="C1" s="4895"/>
      <c r="D1" s="4895"/>
      <c r="E1" s="2602"/>
    </row>
    <row r="3" spans="2:11">
      <c r="B3" s="4871" t="s">
        <v>9642</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9643</v>
      </c>
      <c r="C10" s="4906">
        <v>2</v>
      </c>
      <c r="D10" s="4913"/>
      <c r="E10" s="4894" t="s">
        <v>9569</v>
      </c>
      <c r="F10" s="4894"/>
      <c r="G10" s="4888">
        <f>C10*C12+C15*C18</f>
        <v>26</v>
      </c>
      <c r="H10" s="4868"/>
    </row>
    <row r="11" spans="2:11">
      <c r="B11" s="4901"/>
      <c r="C11" s="4908"/>
      <c r="D11" s="4914"/>
      <c r="E11" s="4890"/>
      <c r="F11" s="4890"/>
      <c r="G11" s="4884"/>
      <c r="H11" s="4869"/>
    </row>
    <row r="12" spans="2:11">
      <c r="B12" s="4902" t="s">
        <v>9644</v>
      </c>
      <c r="C12" s="4907">
        <v>10</v>
      </c>
      <c r="D12" s="4914"/>
      <c r="E12" s="4889" t="s">
        <v>9618</v>
      </c>
      <c r="F12" s="4889"/>
      <c r="G12" s="4883">
        <f>C10*POWER(C12,3)+C15*POWER(C18,3)/12</f>
        <v>2002</v>
      </c>
      <c r="H12" s="4869"/>
      <c r="J12" s="2636"/>
    </row>
    <row r="13" spans="2:11">
      <c r="B13" s="4900"/>
      <c r="C13" s="4907"/>
      <c r="D13" s="4914"/>
      <c r="E13" s="4890"/>
      <c r="F13" s="4890"/>
      <c r="G13" s="4884"/>
      <c r="H13" s="4869"/>
      <c r="I13" s="2636"/>
      <c r="K13" s="2636"/>
    </row>
    <row r="14" spans="2:11" ht="16.5" customHeight="1">
      <c r="B14" s="4901"/>
      <c r="C14" s="4908"/>
      <c r="D14" s="4914"/>
      <c r="E14" s="4889" t="s">
        <v>9592</v>
      </c>
      <c r="F14" s="4889"/>
      <c r="G14" s="4883">
        <f>C10*POWER(C12,3)+C15*POWER(C18,3)/(6*C12)</f>
        <v>2000.4</v>
      </c>
      <c r="H14" s="4869"/>
      <c r="J14" s="2636"/>
    </row>
    <row r="15" spans="2:11" ht="16.5" customHeight="1">
      <c r="B15" s="4902" t="s">
        <v>9645</v>
      </c>
      <c r="C15" s="4909">
        <v>3</v>
      </c>
      <c r="D15" s="4914"/>
      <c r="E15" s="4890"/>
      <c r="F15" s="4890"/>
      <c r="G15" s="4884"/>
      <c r="H15" s="4869"/>
      <c r="J15" s="2636"/>
      <c r="K15" s="2636"/>
    </row>
    <row r="16" spans="2:11" ht="16.5" customHeight="1">
      <c r="B16" s="4900"/>
      <c r="C16" s="4907"/>
      <c r="D16" s="4914"/>
      <c r="E16" s="4889" t="s">
        <v>9576</v>
      </c>
      <c r="F16" s="4889"/>
      <c r="G16" s="4883">
        <f>C12/2</f>
        <v>5</v>
      </c>
      <c r="H16" s="4869"/>
      <c r="J16" s="2636"/>
      <c r="K16" s="2636"/>
    </row>
    <row r="17" spans="2:10" ht="16.5" customHeight="1">
      <c r="B17" s="4901"/>
      <c r="C17" s="4908"/>
      <c r="D17" s="4914"/>
      <c r="E17" s="4890"/>
      <c r="F17" s="4890"/>
      <c r="G17" s="4884"/>
      <c r="H17" s="4869"/>
      <c r="J17" s="2636"/>
    </row>
    <row r="18" spans="2:10" ht="16.5" customHeight="1">
      <c r="B18" s="4900" t="s">
        <v>9646</v>
      </c>
      <c r="C18" s="4909">
        <v>2</v>
      </c>
      <c r="D18" s="4914"/>
      <c r="E18" s="4889" t="s">
        <v>9593</v>
      </c>
      <c r="F18" s="4889"/>
      <c r="G18" s="4883">
        <f>SQRT(G12/G10)</f>
        <v>8.7749643873921208</v>
      </c>
      <c r="H18" s="4869"/>
      <c r="J18" s="2636"/>
    </row>
    <row r="19" spans="2:10" ht="24" customHeight="1">
      <c r="B19" s="4903"/>
      <c r="C19" s="4910"/>
      <c r="D19" s="4915"/>
      <c r="E19" s="4891"/>
      <c r="F19" s="4891"/>
      <c r="G19" s="4885"/>
      <c r="H19" s="4870"/>
      <c r="J19" s="2636"/>
    </row>
    <row r="21" spans="2:10">
      <c r="F21" s="2636"/>
      <c r="H21" s="2636"/>
    </row>
    <row r="22" spans="2:10">
      <c r="B22" s="2599" t="s">
        <v>5433</v>
      </c>
      <c r="F22" s="2636"/>
    </row>
    <row r="23" spans="2:10">
      <c r="G23" s="2636"/>
      <c r="I23" s="2636"/>
    </row>
    <row r="24" spans="2:10">
      <c r="F24" s="2636"/>
      <c r="G24" s="2636"/>
    </row>
    <row r="25" spans="2:10">
      <c r="G25" s="2636"/>
      <c r="H25" s="2636"/>
    </row>
    <row r="26" spans="2:10">
      <c r="F26" s="2636"/>
      <c r="G26" s="2636"/>
    </row>
  </sheetData>
  <mergeCells count="37">
    <mergeCell ref="B1:D1"/>
    <mergeCell ref="B5:H5"/>
    <mergeCell ref="B8:B9"/>
    <mergeCell ref="B10:B11"/>
    <mergeCell ref="B12:B14"/>
    <mergeCell ref="D8:D9"/>
    <mergeCell ref="D10:D19"/>
    <mergeCell ref="E8:E9"/>
    <mergeCell ref="E10:E11"/>
    <mergeCell ref="E12:E13"/>
    <mergeCell ref="E14:E15"/>
    <mergeCell ref="E16:E17"/>
    <mergeCell ref="E18:E19"/>
    <mergeCell ref="F8:F9"/>
    <mergeCell ref="F10:F11"/>
    <mergeCell ref="F12:F13"/>
    <mergeCell ref="C8:C9"/>
    <mergeCell ref="C10:C11"/>
    <mergeCell ref="C12:C14"/>
    <mergeCell ref="C15:C17"/>
    <mergeCell ref="C18:C19"/>
    <mergeCell ref="H8:H9"/>
    <mergeCell ref="H10:H19"/>
    <mergeCell ref="B3:H4"/>
    <mergeCell ref="B6:D7"/>
    <mergeCell ref="E6:H7"/>
    <mergeCell ref="F14:F15"/>
    <mergeCell ref="F16:F17"/>
    <mergeCell ref="F18:F19"/>
    <mergeCell ref="G8:G9"/>
    <mergeCell ref="G10:G11"/>
    <mergeCell ref="G12:G13"/>
    <mergeCell ref="G14:G15"/>
    <mergeCell ref="G16:G17"/>
    <mergeCell ref="G18:G19"/>
    <mergeCell ref="B15:B17"/>
    <mergeCell ref="B18:B19"/>
  </mergeCells>
  <phoneticPr fontId="214" type="noConversion"/>
  <pageMargins left="0.69930555555555596" right="0.69930555555555596" top="0.75" bottom="0.75" header="0.3" footer="0.3"/>
  <pageSetup paperSize="9" orientation="portrait" horizontalDpi="200" verticalDpi="30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dimension ref="B1:M30"/>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8.625" style="2599" customWidth="1"/>
    <col min="7" max="7" width="13.875" style="2637" customWidth="1"/>
    <col min="8" max="8" width="14.375" style="2599" customWidth="1"/>
    <col min="9" max="16384" width="8.125" style="2599"/>
  </cols>
  <sheetData>
    <row r="1" spans="2:13">
      <c r="B1" s="4895" t="s">
        <v>9634</v>
      </c>
      <c r="C1" s="4895"/>
      <c r="D1" s="4895"/>
      <c r="E1" s="2602"/>
    </row>
    <row r="3" spans="2:13">
      <c r="B3" s="4871" t="s">
        <v>9647</v>
      </c>
      <c r="C3" s="4872"/>
      <c r="D3" s="4872"/>
      <c r="E3" s="4872"/>
      <c r="F3" s="4872"/>
      <c r="G3" s="4872"/>
      <c r="H3" s="4873"/>
    </row>
    <row r="4" spans="2:13">
      <c r="B4" s="4874"/>
      <c r="C4" s="4875"/>
      <c r="D4" s="4875"/>
      <c r="E4" s="4875"/>
      <c r="F4" s="4875"/>
      <c r="G4" s="4875"/>
      <c r="H4" s="4876"/>
    </row>
    <row r="5" spans="2:13" ht="4.5" customHeight="1">
      <c r="B5" s="4896"/>
      <c r="C5" s="4896"/>
      <c r="D5" s="4896"/>
      <c r="E5" s="4896"/>
      <c r="F5" s="4896"/>
      <c r="G5" s="4896"/>
      <c r="H5" s="4896"/>
    </row>
    <row r="6" spans="2:13">
      <c r="B6" s="4877" t="s">
        <v>5407</v>
      </c>
      <c r="C6" s="4878"/>
      <c r="D6" s="4879"/>
      <c r="E6" s="4877" t="s">
        <v>5408</v>
      </c>
      <c r="F6" s="4878"/>
      <c r="G6" s="4878"/>
      <c r="H6" s="4879"/>
    </row>
    <row r="7" spans="2:13">
      <c r="B7" s="4880"/>
      <c r="C7" s="4881"/>
      <c r="D7" s="4882"/>
      <c r="E7" s="4880"/>
      <c r="F7" s="4881"/>
      <c r="G7" s="4881"/>
      <c r="H7" s="4882"/>
    </row>
    <row r="8" spans="2:13">
      <c r="B8" s="4897" t="s">
        <v>5409</v>
      </c>
      <c r="C8" s="4904" t="s">
        <v>5410</v>
      </c>
      <c r="D8" s="4911" t="s">
        <v>5411</v>
      </c>
      <c r="E8" s="4916" t="s">
        <v>5412</v>
      </c>
      <c r="F8" s="4892" t="s">
        <v>984</v>
      </c>
      <c r="G8" s="4886" t="s">
        <v>251</v>
      </c>
      <c r="H8" s="4866" t="s">
        <v>5411</v>
      </c>
    </row>
    <row r="9" spans="2:13">
      <c r="B9" s="4898"/>
      <c r="C9" s="4905"/>
      <c r="D9" s="4912"/>
      <c r="E9" s="4917"/>
      <c r="F9" s="4893"/>
      <c r="G9" s="4887"/>
      <c r="H9" s="4867"/>
      <c r="J9" s="2636"/>
    </row>
    <row r="10" spans="2:13" ht="19.5" customHeight="1">
      <c r="B10" s="4899" t="s">
        <v>9648</v>
      </c>
      <c r="C10" s="4906">
        <v>12</v>
      </c>
      <c r="D10" s="4913"/>
      <c r="E10" s="4894" t="s">
        <v>9569</v>
      </c>
      <c r="F10" s="4894"/>
      <c r="G10" s="4888">
        <f>PI()/4*POWER(C10,2)-(C10*C18)</f>
        <v>41.097335529232602</v>
      </c>
      <c r="H10" s="4868" t="s">
        <v>9649</v>
      </c>
    </row>
    <row r="11" spans="2:13">
      <c r="B11" s="4900"/>
      <c r="C11" s="4907"/>
      <c r="D11" s="4914"/>
      <c r="E11" s="4890"/>
      <c r="F11" s="4890"/>
      <c r="G11" s="4884"/>
      <c r="H11" s="4869"/>
    </row>
    <row r="12" spans="2:13">
      <c r="B12" s="4900"/>
      <c r="C12" s="4907"/>
      <c r="D12" s="4914"/>
      <c r="E12" s="4889" t="s">
        <v>9571</v>
      </c>
      <c r="F12" s="4889"/>
      <c r="G12" s="4883">
        <f>PI()*POWER(C10,4)/64*(1-1.69*C18/C10)</f>
        <v>157.770783063279</v>
      </c>
      <c r="H12" s="4869"/>
      <c r="K12" s="2636"/>
    </row>
    <row r="13" spans="2:13">
      <c r="B13" s="4900"/>
      <c r="C13" s="4907"/>
      <c r="D13" s="4914"/>
      <c r="E13" s="4890"/>
      <c r="F13" s="4890"/>
      <c r="G13" s="4884"/>
      <c r="H13" s="4869"/>
      <c r="I13" s="2636"/>
      <c r="J13" s="2636"/>
    </row>
    <row r="14" spans="2:13">
      <c r="B14" s="4900"/>
      <c r="C14" s="4907"/>
      <c r="D14" s="4914"/>
      <c r="E14" s="4889" t="s">
        <v>9572</v>
      </c>
      <c r="F14" s="4889"/>
      <c r="G14" s="4883">
        <f>PI()*POWER(C10,4)/64*(1-(1.69*POWER(C18/C10,3)))</f>
        <v>802.84971058814006</v>
      </c>
      <c r="H14" s="4869"/>
      <c r="I14" s="2636"/>
    </row>
    <row r="15" spans="2:13">
      <c r="B15" s="4900"/>
      <c r="C15" s="4907"/>
      <c r="D15" s="4914"/>
      <c r="E15" s="4890"/>
      <c r="F15" s="4890"/>
      <c r="G15" s="4884"/>
      <c r="H15" s="4869"/>
      <c r="I15" s="2636"/>
      <c r="L15" s="2636"/>
      <c r="M15" s="2636"/>
    </row>
    <row r="16" spans="2:13" ht="16.5" customHeight="1">
      <c r="B16" s="4900"/>
      <c r="C16" s="4907"/>
      <c r="D16" s="4914"/>
      <c r="E16" s="4889" t="s">
        <v>9573</v>
      </c>
      <c r="F16" s="4889"/>
      <c r="G16" s="4883">
        <f>PI()*POWER(C10,3)/32*(1-1.69*C18/C10)</f>
        <v>26.295130510546599</v>
      </c>
      <c r="H16" s="4869"/>
      <c r="J16" s="2636"/>
    </row>
    <row r="17" spans="2:11" ht="16.5" customHeight="1">
      <c r="B17" s="4901"/>
      <c r="C17" s="4908"/>
      <c r="D17" s="4914"/>
      <c r="E17" s="4890"/>
      <c r="F17" s="4890"/>
      <c r="G17" s="4884"/>
      <c r="H17" s="4869"/>
      <c r="J17" s="2636"/>
      <c r="K17" s="2636"/>
    </row>
    <row r="18" spans="2:11" ht="16.5" customHeight="1">
      <c r="B18" s="4900" t="s">
        <v>9650</v>
      </c>
      <c r="C18" s="4909">
        <v>6</v>
      </c>
      <c r="D18" s="4914"/>
      <c r="E18" s="4889" t="s">
        <v>9574</v>
      </c>
      <c r="F18" s="4889"/>
      <c r="G18" s="4883">
        <f>PI()*POWER(C10,3)/32*(1-(1.69*POWER(C18/C10,3)))</f>
        <v>133.80828509802299</v>
      </c>
      <c r="H18" s="4869"/>
      <c r="J18" s="2636"/>
    </row>
    <row r="19" spans="2:11" ht="16.5" customHeight="1">
      <c r="B19" s="4900"/>
      <c r="C19" s="4907"/>
      <c r="D19" s="4914"/>
      <c r="E19" s="4890"/>
      <c r="F19" s="4890"/>
      <c r="G19" s="4884"/>
      <c r="H19" s="4869"/>
      <c r="J19" s="2636"/>
    </row>
    <row r="20" spans="2:11" ht="16.5" customHeight="1">
      <c r="B20" s="4900"/>
      <c r="C20" s="4907"/>
      <c r="D20" s="4914"/>
      <c r="E20" s="4889" t="s">
        <v>9577</v>
      </c>
      <c r="F20" s="4889"/>
      <c r="G20" s="4883">
        <f>C10/2</f>
        <v>6</v>
      </c>
      <c r="H20" s="4869"/>
      <c r="J20" s="2636"/>
    </row>
    <row r="21" spans="2:11" ht="16.5" customHeight="1">
      <c r="B21" s="4900"/>
      <c r="C21" s="4907"/>
      <c r="D21" s="4914"/>
      <c r="E21" s="4890"/>
      <c r="F21" s="4890"/>
      <c r="G21" s="4884"/>
      <c r="H21" s="4869"/>
      <c r="J21" s="2636"/>
    </row>
    <row r="22" spans="2:11" ht="16.5" customHeight="1">
      <c r="B22" s="4900"/>
      <c r="C22" s="4907"/>
      <c r="D22" s="4914"/>
      <c r="E22" s="4889" t="s">
        <v>9576</v>
      </c>
      <c r="F22" s="4889"/>
      <c r="G22" s="4883">
        <f>C10/2</f>
        <v>6</v>
      </c>
      <c r="H22" s="4869"/>
      <c r="J22" s="2636"/>
    </row>
    <row r="23" spans="2:11" ht="16.5" customHeight="1">
      <c r="B23" s="4900"/>
      <c r="C23" s="4907"/>
      <c r="D23" s="4914"/>
      <c r="E23" s="4890"/>
      <c r="F23" s="4890"/>
      <c r="G23" s="4884"/>
      <c r="H23" s="4869"/>
      <c r="J23" s="2636"/>
    </row>
    <row r="24" spans="2:11">
      <c r="B24" s="4900"/>
      <c r="C24" s="4907"/>
      <c r="D24" s="4914"/>
      <c r="E24" s="4889" t="s">
        <v>9578</v>
      </c>
      <c r="F24" s="4889"/>
      <c r="G24" s="4883">
        <f>SQRT(G12/G10)</f>
        <v>1.95932489890481</v>
      </c>
      <c r="H24" s="4869"/>
      <c r="J24" s="2636"/>
    </row>
    <row r="25" spans="2:11" ht="20.25" customHeight="1">
      <c r="B25" s="4903"/>
      <c r="C25" s="4910"/>
      <c r="D25" s="4915"/>
      <c r="E25" s="4891"/>
      <c r="F25" s="4891"/>
      <c r="G25" s="4885"/>
      <c r="H25" s="4870"/>
    </row>
    <row r="26" spans="2:11">
      <c r="J26" s="2636"/>
    </row>
    <row r="27" spans="2:11">
      <c r="F27" s="2636"/>
      <c r="H27" s="2636"/>
    </row>
    <row r="28" spans="2:11">
      <c r="B28" s="2599" t="s">
        <v>5433</v>
      </c>
      <c r="F28" s="2636"/>
    </row>
    <row r="30" spans="2:11">
      <c r="F30" s="2636"/>
    </row>
  </sheetData>
  <mergeCells count="42">
    <mergeCell ref="B1:D1"/>
    <mergeCell ref="B5:H5"/>
    <mergeCell ref="B8:B9"/>
    <mergeCell ref="B10:B17"/>
    <mergeCell ref="B18:B25"/>
    <mergeCell ref="C8:C9"/>
    <mergeCell ref="C10:C17"/>
    <mergeCell ref="C18:C25"/>
    <mergeCell ref="D8:D9"/>
    <mergeCell ref="D10:D25"/>
    <mergeCell ref="E8:E9"/>
    <mergeCell ref="E10:E11"/>
    <mergeCell ref="E12:E13"/>
    <mergeCell ref="E14:E15"/>
    <mergeCell ref="E16:E17"/>
    <mergeCell ref="E18:E19"/>
    <mergeCell ref="E22:E23"/>
    <mergeCell ref="E24:E25"/>
    <mergeCell ref="F8:F9"/>
    <mergeCell ref="F10:F11"/>
    <mergeCell ref="F12:F13"/>
    <mergeCell ref="F14:F15"/>
    <mergeCell ref="F16:F17"/>
    <mergeCell ref="F18:F19"/>
    <mergeCell ref="F20:F21"/>
    <mergeCell ref="F22:F23"/>
    <mergeCell ref="F24:F25"/>
    <mergeCell ref="G22:G23"/>
    <mergeCell ref="G24:G25"/>
    <mergeCell ref="H8:H9"/>
    <mergeCell ref="H10:H25"/>
    <mergeCell ref="G8:G9"/>
    <mergeCell ref="G10:G11"/>
    <mergeCell ref="G12:G13"/>
    <mergeCell ref="G14:G15"/>
    <mergeCell ref="G16:G17"/>
    <mergeCell ref="B3:H4"/>
    <mergeCell ref="B6:D7"/>
    <mergeCell ref="E6:H7"/>
    <mergeCell ref="G18:G19"/>
    <mergeCell ref="G20:G21"/>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dimension ref="B1:J24"/>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2.875" style="2599" customWidth="1"/>
    <col min="7" max="7" width="11.75" style="2637" customWidth="1"/>
    <col min="8" max="8" width="12.875" style="2599" customWidth="1"/>
    <col min="9" max="16384" width="8.125" style="2599"/>
  </cols>
  <sheetData>
    <row r="1" spans="2:10">
      <c r="B1" s="4895" t="s">
        <v>9594</v>
      </c>
      <c r="C1" s="4895"/>
      <c r="D1" s="4895"/>
      <c r="E1" s="2602"/>
    </row>
    <row r="3" spans="2:10">
      <c r="B3" s="4871" t="s">
        <v>9651</v>
      </c>
      <c r="C3" s="4872"/>
      <c r="D3" s="4872"/>
      <c r="E3" s="4872"/>
      <c r="F3" s="4872"/>
      <c r="G3" s="4872"/>
      <c r="H3" s="4873"/>
    </row>
    <row r="4" spans="2:10">
      <c r="B4" s="4874"/>
      <c r="C4" s="4875"/>
      <c r="D4" s="4875"/>
      <c r="E4" s="4875"/>
      <c r="F4" s="4875"/>
      <c r="G4" s="4875"/>
      <c r="H4" s="4876"/>
    </row>
    <row r="5" spans="2:10" ht="4.5" customHeight="1">
      <c r="B5" s="4896"/>
      <c r="C5" s="4896"/>
      <c r="D5" s="4896"/>
      <c r="E5" s="4896"/>
      <c r="F5" s="4896"/>
      <c r="G5" s="4896"/>
      <c r="H5" s="4896"/>
    </row>
    <row r="6" spans="2:10">
      <c r="B6" s="4877" t="s">
        <v>5407</v>
      </c>
      <c r="C6" s="4878"/>
      <c r="D6" s="4879"/>
      <c r="E6" s="4877" t="s">
        <v>5408</v>
      </c>
      <c r="F6" s="4878"/>
      <c r="G6" s="4878"/>
      <c r="H6" s="4879"/>
    </row>
    <row r="7" spans="2:10">
      <c r="B7" s="4880"/>
      <c r="C7" s="4881"/>
      <c r="D7" s="4882"/>
      <c r="E7" s="4880"/>
      <c r="F7" s="4881"/>
      <c r="G7" s="4881"/>
      <c r="H7" s="4882"/>
    </row>
    <row r="8" spans="2:10">
      <c r="B8" s="4897" t="s">
        <v>5409</v>
      </c>
      <c r="C8" s="4904" t="s">
        <v>5410</v>
      </c>
      <c r="D8" s="4911" t="s">
        <v>5411</v>
      </c>
      <c r="E8" s="4916" t="s">
        <v>5412</v>
      </c>
      <c r="F8" s="4892" t="s">
        <v>984</v>
      </c>
      <c r="G8" s="4886" t="s">
        <v>251</v>
      </c>
      <c r="H8" s="4866" t="s">
        <v>5411</v>
      </c>
    </row>
    <row r="9" spans="2:10">
      <c r="B9" s="4898"/>
      <c r="C9" s="4905"/>
      <c r="D9" s="4912"/>
      <c r="E9" s="4917"/>
      <c r="F9" s="4893"/>
      <c r="G9" s="4887"/>
      <c r="H9" s="4867"/>
      <c r="J9" s="2636"/>
    </row>
    <row r="10" spans="2:10" ht="19.5" customHeight="1">
      <c r="B10" s="4899" t="s">
        <v>9621</v>
      </c>
      <c r="C10" s="4906">
        <v>8</v>
      </c>
      <c r="D10" s="4913"/>
      <c r="E10" s="4894" t="s">
        <v>9569</v>
      </c>
      <c r="F10" s="4894"/>
      <c r="G10" s="4888">
        <f>4*C10*(C10/15)</f>
        <v>17.066666666666698</v>
      </c>
      <c r="H10" s="4868" t="s">
        <v>9652</v>
      </c>
    </row>
    <row r="11" spans="2:10">
      <c r="B11" s="4900"/>
      <c r="C11" s="4907"/>
      <c r="D11" s="4914"/>
      <c r="E11" s="4890"/>
      <c r="F11" s="4890"/>
      <c r="G11" s="4884"/>
      <c r="H11" s="4869"/>
    </row>
    <row r="12" spans="2:10">
      <c r="B12" s="4900"/>
      <c r="C12" s="4907"/>
      <c r="D12" s="4914"/>
      <c r="E12" s="4889" t="s">
        <v>9618</v>
      </c>
      <c r="F12" s="4889"/>
      <c r="G12" s="4883">
        <f>2/3*POWER(C10,3)*(C10/15)</f>
        <v>182.044444444444</v>
      </c>
      <c r="H12" s="4869"/>
      <c r="J12" s="2636"/>
    </row>
    <row r="13" spans="2:10">
      <c r="B13" s="4900"/>
      <c r="C13" s="4907"/>
      <c r="D13" s="4914"/>
      <c r="E13" s="4890"/>
      <c r="F13" s="4890"/>
      <c r="G13" s="4884"/>
      <c r="H13" s="4869"/>
      <c r="I13" s="2636"/>
    </row>
    <row r="14" spans="2:10" ht="16.5" customHeight="1">
      <c r="B14" s="4900"/>
      <c r="C14" s="4907"/>
      <c r="D14" s="4914"/>
      <c r="E14" s="4889" t="s">
        <v>9653</v>
      </c>
      <c r="F14" s="4889"/>
      <c r="G14" s="4883">
        <f>4/3*POWER(C10,3)*(C10/15)</f>
        <v>364.08888888888902</v>
      </c>
      <c r="H14" s="4869"/>
      <c r="J14" s="2636"/>
    </row>
    <row r="15" spans="2:10" ht="16.5" customHeight="1">
      <c r="B15" s="4900"/>
      <c r="C15" s="4907"/>
      <c r="D15" s="4914"/>
      <c r="E15" s="4890"/>
      <c r="F15" s="4890"/>
      <c r="G15" s="4884"/>
      <c r="H15" s="4869"/>
      <c r="J15" s="2636"/>
    </row>
    <row r="16" spans="2:10" ht="16.5" customHeight="1">
      <c r="B16" s="4900"/>
      <c r="C16" s="4907"/>
      <c r="D16" s="4914"/>
      <c r="E16" s="4889" t="s">
        <v>9576</v>
      </c>
      <c r="F16" s="4889"/>
      <c r="G16" s="4883">
        <f>C10/2</f>
        <v>4</v>
      </c>
      <c r="H16" s="4869"/>
      <c r="J16" s="2636"/>
    </row>
    <row r="17" spans="2:10" ht="16.5" customHeight="1">
      <c r="B17" s="4900"/>
      <c r="C17" s="4907"/>
      <c r="D17" s="4914"/>
      <c r="E17" s="4890"/>
      <c r="F17" s="4890"/>
      <c r="G17" s="4884"/>
      <c r="H17" s="4869"/>
      <c r="J17" s="2636"/>
    </row>
    <row r="18" spans="2:10">
      <c r="B18" s="4900"/>
      <c r="C18" s="4907"/>
      <c r="D18" s="4914"/>
      <c r="E18" s="4889" t="s">
        <v>9593</v>
      </c>
      <c r="F18" s="4889"/>
      <c r="G18" s="4883">
        <f>C10/SQRT(6)</f>
        <v>3.2659863237109001</v>
      </c>
      <c r="H18" s="4869"/>
      <c r="J18" s="2636"/>
    </row>
    <row r="19" spans="2:10">
      <c r="B19" s="4903"/>
      <c r="C19" s="4910"/>
      <c r="D19" s="4915"/>
      <c r="E19" s="4891"/>
      <c r="F19" s="4891"/>
      <c r="G19" s="4885"/>
      <c r="H19" s="4870"/>
    </row>
    <row r="20" spans="2:10">
      <c r="G20" s="2636"/>
    </row>
    <row r="21" spans="2:10">
      <c r="F21" s="2636"/>
      <c r="H21" s="2636"/>
    </row>
    <row r="22" spans="2:10">
      <c r="B22" s="2599" t="s">
        <v>5433</v>
      </c>
      <c r="F22" s="2636"/>
      <c r="G22" s="2636"/>
    </row>
    <row r="24" spans="2:10">
      <c r="E24" s="2636"/>
      <c r="F24" s="2636"/>
      <c r="H24" s="2636"/>
    </row>
  </sheetData>
  <mergeCells count="31">
    <mergeCell ref="B1:D1"/>
    <mergeCell ref="B5:H5"/>
    <mergeCell ref="B8:B9"/>
    <mergeCell ref="B10:B19"/>
    <mergeCell ref="C8:C9"/>
    <mergeCell ref="C10:C19"/>
    <mergeCell ref="D8:D9"/>
    <mergeCell ref="D10:D19"/>
    <mergeCell ref="E8:E9"/>
    <mergeCell ref="E10:E11"/>
    <mergeCell ref="E12:E13"/>
    <mergeCell ref="E14:E15"/>
    <mergeCell ref="E16:E17"/>
    <mergeCell ref="E18:E19"/>
    <mergeCell ref="F8:F9"/>
    <mergeCell ref="F10:F11"/>
    <mergeCell ref="H8:H9"/>
    <mergeCell ref="H10:H19"/>
    <mergeCell ref="B3:H4"/>
    <mergeCell ref="B6:D7"/>
    <mergeCell ref="E6:H7"/>
    <mergeCell ref="F12:F13"/>
    <mergeCell ref="F14:F15"/>
    <mergeCell ref="F16:F17"/>
    <mergeCell ref="F18:F19"/>
    <mergeCell ref="G8:G9"/>
    <mergeCell ref="G10:G11"/>
    <mergeCell ref="G12:G13"/>
    <mergeCell ref="G14:G15"/>
    <mergeCell ref="G16:G17"/>
    <mergeCell ref="G18:G19"/>
  </mergeCells>
  <phoneticPr fontId="214" type="noConversion"/>
  <pageMargins left="0.69930555555555596" right="0.69930555555555596" top="0.75" bottom="0.75" header="0.3" footer="0.3"/>
  <pageSetup paperSize="9" orientation="portrait" horizontalDpi="200" verticalDpi="30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dimension ref="B1:K28"/>
  <sheetViews>
    <sheetView workbookViewId="0">
      <selection activeCell="B3" sqref="B3:H4"/>
    </sheetView>
  </sheetViews>
  <sheetFormatPr defaultColWidth="8.125" defaultRowHeight="16.5"/>
  <cols>
    <col min="1" max="1" width="0.25" style="2599" customWidth="1"/>
    <col min="2" max="2" width="18.375" style="2599" customWidth="1"/>
    <col min="3" max="3" width="9.25" style="2599" customWidth="1"/>
    <col min="4" max="4" width="21.875" style="2599" customWidth="1"/>
    <col min="5" max="5" width="22.75" style="2599" customWidth="1"/>
    <col min="6" max="6" width="32.25" style="2599" customWidth="1"/>
    <col min="7" max="7" width="10.75" style="2637" customWidth="1"/>
    <col min="8" max="8" width="8.25" style="2599" customWidth="1"/>
    <col min="9" max="16384" width="8.125" style="2599"/>
  </cols>
  <sheetData>
    <row r="1" spans="2:11">
      <c r="B1" s="4895" t="s">
        <v>9634</v>
      </c>
      <c r="C1" s="4895"/>
      <c r="D1" s="4895"/>
      <c r="E1" s="2602"/>
    </row>
    <row r="3" spans="2:11">
      <c r="B3" s="4871" t="s">
        <v>9654</v>
      </c>
      <c r="C3" s="4872"/>
      <c r="D3" s="4872"/>
      <c r="E3" s="4872"/>
      <c r="F3" s="4872"/>
      <c r="G3" s="4872"/>
      <c r="H3" s="4873"/>
    </row>
    <row r="4" spans="2:11">
      <c r="B4" s="4874"/>
      <c r="C4" s="4875"/>
      <c r="D4" s="4875"/>
      <c r="E4" s="4875"/>
      <c r="F4" s="4875"/>
      <c r="G4" s="4875"/>
      <c r="H4" s="4876"/>
    </row>
    <row r="5" spans="2:11" ht="4.5" customHeight="1">
      <c r="B5" s="4896"/>
      <c r="C5" s="4896"/>
      <c r="D5" s="4896"/>
      <c r="E5" s="4896"/>
      <c r="F5" s="4896"/>
      <c r="G5" s="4896"/>
      <c r="H5" s="4896"/>
    </row>
    <row r="6" spans="2:11">
      <c r="B6" s="4877" t="s">
        <v>5407</v>
      </c>
      <c r="C6" s="4878"/>
      <c r="D6" s="4879"/>
      <c r="E6" s="4877" t="s">
        <v>5408</v>
      </c>
      <c r="F6" s="4878"/>
      <c r="G6" s="4878"/>
      <c r="H6" s="4879"/>
    </row>
    <row r="7" spans="2:11">
      <c r="B7" s="4880"/>
      <c r="C7" s="4881"/>
      <c r="D7" s="4882"/>
      <c r="E7" s="4880"/>
      <c r="F7" s="4881"/>
      <c r="G7" s="4881"/>
      <c r="H7" s="4882"/>
    </row>
    <row r="8" spans="2:11">
      <c r="B8" s="4897" t="s">
        <v>5409</v>
      </c>
      <c r="C8" s="4904" t="s">
        <v>5410</v>
      </c>
      <c r="D8" s="4911" t="s">
        <v>5411</v>
      </c>
      <c r="E8" s="4916" t="s">
        <v>5412</v>
      </c>
      <c r="F8" s="4892" t="s">
        <v>984</v>
      </c>
      <c r="G8" s="4886" t="s">
        <v>251</v>
      </c>
      <c r="H8" s="4866" t="s">
        <v>5411</v>
      </c>
    </row>
    <row r="9" spans="2:11">
      <c r="B9" s="4898"/>
      <c r="C9" s="4905"/>
      <c r="D9" s="4912"/>
      <c r="E9" s="4917"/>
      <c r="F9" s="4893"/>
      <c r="G9" s="4887"/>
      <c r="H9" s="4867"/>
      <c r="J9" s="2636"/>
    </row>
    <row r="10" spans="2:11" ht="19.5" customHeight="1">
      <c r="B10" s="4899" t="s">
        <v>9655</v>
      </c>
      <c r="C10" s="4906">
        <v>9</v>
      </c>
      <c r="D10" s="4913"/>
      <c r="E10" s="4894" t="s">
        <v>9569</v>
      </c>
      <c r="F10" s="4894"/>
      <c r="G10" s="4888">
        <f>PI()*(POWER(C10,2)-POWER(C17,2))/8</f>
        <v>21.991148575128602</v>
      </c>
      <c r="H10" s="4868"/>
    </row>
    <row r="11" spans="2:11">
      <c r="B11" s="4900"/>
      <c r="C11" s="4907"/>
      <c r="D11" s="4914"/>
      <c r="E11" s="4890"/>
      <c r="F11" s="4890"/>
      <c r="G11" s="4884"/>
      <c r="H11" s="4869"/>
    </row>
    <row r="12" spans="2:11">
      <c r="B12" s="4900"/>
      <c r="C12" s="4907"/>
      <c r="D12" s="4914"/>
      <c r="E12" s="4889" t="s">
        <v>9571</v>
      </c>
      <c r="F12" s="4889"/>
      <c r="G12" s="4883">
        <f>0.00686*(POWER(C10,4)-POWER(C17,4))-(0.0177*POWER(C10,2)*POWER(C17,2)*(C10-C17))/(C10+C17)</f>
        <v>30.480245714285701</v>
      </c>
      <c r="H12" s="4869"/>
      <c r="J12" s="2636"/>
    </row>
    <row r="13" spans="2:11">
      <c r="B13" s="4900"/>
      <c r="C13" s="4907"/>
      <c r="D13" s="4914"/>
      <c r="E13" s="4890"/>
      <c r="F13" s="4890"/>
      <c r="G13" s="4884"/>
      <c r="H13" s="4869"/>
      <c r="I13" s="2636"/>
      <c r="K13" s="2636"/>
    </row>
    <row r="14" spans="2:11">
      <c r="B14" s="4900"/>
      <c r="C14" s="4907"/>
      <c r="D14" s="4914"/>
      <c r="E14" s="4889" t="s">
        <v>9572</v>
      </c>
      <c r="F14" s="4889"/>
      <c r="G14" s="4883">
        <f>PI()*(POWER(C10,4)-POWER(C17,4))/128</f>
        <v>145.691359310227</v>
      </c>
      <c r="H14" s="4869"/>
      <c r="I14" s="2636"/>
      <c r="J14" s="2636"/>
    </row>
    <row r="15" spans="2:11">
      <c r="B15" s="4900"/>
      <c r="C15" s="4907"/>
      <c r="D15" s="4914"/>
      <c r="E15" s="4890"/>
      <c r="F15" s="4890"/>
      <c r="G15" s="4884"/>
      <c r="H15" s="4869"/>
      <c r="I15" s="2636"/>
      <c r="J15" s="2636"/>
    </row>
    <row r="16" spans="2:11" ht="16.5" customHeight="1">
      <c r="B16" s="4901"/>
      <c r="C16" s="4908"/>
      <c r="D16" s="4914"/>
      <c r="E16" s="4889" t="s">
        <v>9574</v>
      </c>
      <c r="F16" s="4889"/>
      <c r="G16" s="4883">
        <f>(PI()*POWER(C17,3)/64)*(1-(POWER(C17,4)/POWER(C10,4)))</f>
        <v>5.5514159164085797</v>
      </c>
      <c r="H16" s="4869"/>
      <c r="J16" s="2636"/>
      <c r="K16" s="2636"/>
    </row>
    <row r="17" spans="2:11" ht="16.5" customHeight="1">
      <c r="B17" s="4902" t="s">
        <v>9656</v>
      </c>
      <c r="C17" s="4909">
        <v>5</v>
      </c>
      <c r="D17" s="4914"/>
      <c r="E17" s="4890"/>
      <c r="F17" s="4890"/>
      <c r="G17" s="4884"/>
      <c r="H17" s="4869"/>
      <c r="J17" s="2636"/>
    </row>
    <row r="18" spans="2:11" ht="16.5" customHeight="1">
      <c r="B18" s="4900"/>
      <c r="C18" s="4907"/>
      <c r="D18" s="4914"/>
      <c r="E18" s="4889" t="s">
        <v>9600</v>
      </c>
      <c r="F18" s="4889"/>
      <c r="G18" s="4883">
        <f>2*(POWER(C10,2)+C10*C17+POWER(C17,2))/(3*PI()*(C10+C17))</f>
        <v>2.2887996577977301</v>
      </c>
      <c r="H18" s="4869"/>
      <c r="J18" s="2636"/>
      <c r="K18" s="2636"/>
    </row>
    <row r="19" spans="2:11" ht="16.5" customHeight="1">
      <c r="B19" s="4900"/>
      <c r="C19" s="4907"/>
      <c r="D19" s="4914"/>
      <c r="E19" s="4890"/>
      <c r="F19" s="4890"/>
      <c r="G19" s="4884"/>
      <c r="H19" s="4869"/>
      <c r="J19" s="2636"/>
    </row>
    <row r="20" spans="2:11" ht="20.25" customHeight="1">
      <c r="B20" s="4900"/>
      <c r="C20" s="4907"/>
      <c r="D20" s="4914"/>
      <c r="E20" s="4889" t="s">
        <v>9578</v>
      </c>
      <c r="F20" s="4889"/>
      <c r="G20" s="4883">
        <f>SQRT(G12/G10)</f>
        <v>1.17729493477744</v>
      </c>
      <c r="H20" s="4869"/>
      <c r="J20" s="2636"/>
    </row>
    <row r="21" spans="2:11" ht="19.5" customHeight="1">
      <c r="B21" s="4900"/>
      <c r="C21" s="4907"/>
      <c r="D21" s="4914"/>
      <c r="E21" s="4890"/>
      <c r="F21" s="4890"/>
      <c r="G21" s="4884"/>
      <c r="H21" s="4869"/>
      <c r="J21" s="2636"/>
    </row>
    <row r="22" spans="2:11">
      <c r="B22" s="4900"/>
      <c r="C22" s="4907"/>
      <c r="D22" s="4914"/>
      <c r="E22" s="4889" t="s">
        <v>9579</v>
      </c>
      <c r="F22" s="4889"/>
      <c r="G22" s="4883">
        <f>1/4*SQRT(POWER(C10,2)+POWER(C17,2))</f>
        <v>2.5739075352467502</v>
      </c>
      <c r="H22" s="4869"/>
      <c r="J22" s="2636"/>
    </row>
    <row r="23" spans="2:11">
      <c r="B23" s="4903"/>
      <c r="C23" s="4910"/>
      <c r="D23" s="4915"/>
      <c r="E23" s="4891"/>
      <c r="F23" s="4891"/>
      <c r="G23" s="4885"/>
      <c r="H23" s="4870"/>
      <c r="J23" s="2636"/>
    </row>
    <row r="25" spans="2:11">
      <c r="D25" s="2636"/>
      <c r="F25" s="2636"/>
      <c r="H25" s="2636"/>
    </row>
    <row r="26" spans="2:11">
      <c r="B26" s="2599" t="s">
        <v>5433</v>
      </c>
      <c r="F26" s="2636"/>
    </row>
    <row r="28" spans="2:11">
      <c r="F28" s="2636"/>
    </row>
  </sheetData>
  <mergeCells count="39">
    <mergeCell ref="B1:D1"/>
    <mergeCell ref="B5:H5"/>
    <mergeCell ref="B8:B9"/>
    <mergeCell ref="B10:B16"/>
    <mergeCell ref="B17:B23"/>
    <mergeCell ref="C8:C9"/>
    <mergeCell ref="C10:C16"/>
    <mergeCell ref="C17:C23"/>
    <mergeCell ref="D8:D9"/>
    <mergeCell ref="D10:D23"/>
    <mergeCell ref="E8:E9"/>
    <mergeCell ref="E10:E11"/>
    <mergeCell ref="E12:E13"/>
    <mergeCell ref="E14:E15"/>
    <mergeCell ref="E16:E17"/>
    <mergeCell ref="E18:E19"/>
    <mergeCell ref="E22:E23"/>
    <mergeCell ref="F8:F9"/>
    <mergeCell ref="F10:F11"/>
    <mergeCell ref="F12:F13"/>
    <mergeCell ref="F14:F15"/>
    <mergeCell ref="F16:F17"/>
    <mergeCell ref="F18:F19"/>
    <mergeCell ref="F20:F21"/>
    <mergeCell ref="F22:F23"/>
    <mergeCell ref="G22:G23"/>
    <mergeCell ref="H8:H9"/>
    <mergeCell ref="H10:H23"/>
    <mergeCell ref="G8:G9"/>
    <mergeCell ref="G10:G11"/>
    <mergeCell ref="G12:G13"/>
    <mergeCell ref="G14:G15"/>
    <mergeCell ref="G16:G17"/>
    <mergeCell ref="B3:H4"/>
    <mergeCell ref="B6:D7"/>
    <mergeCell ref="E6:H7"/>
    <mergeCell ref="G18:G19"/>
    <mergeCell ref="G20:G21"/>
    <mergeCell ref="E20:E21"/>
  </mergeCells>
  <phoneticPr fontId="214" type="noConversion"/>
  <pageMargins left="0.69930555555555596" right="0.69930555555555596" top="0.75" bottom="0.75" header="0.3" footer="0.3"/>
  <pageSetup paperSize="9" orientation="portrait" horizontalDpi="200" verticalDpi="30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dimension ref="B1:L32"/>
  <sheetViews>
    <sheetView workbookViewId="0">
      <selection activeCell="B3" sqref="B3:H4"/>
    </sheetView>
  </sheetViews>
  <sheetFormatPr defaultColWidth="8.125" defaultRowHeight="16.5"/>
  <cols>
    <col min="1" max="1" width="0.25" style="2599" customWidth="1"/>
    <col min="2" max="2" width="19.5" style="2599" customWidth="1"/>
    <col min="3" max="3" width="9.375" style="2599" customWidth="1"/>
    <col min="4" max="4" width="22.75" style="2599" customWidth="1"/>
    <col min="5" max="5" width="24.375" style="2599" customWidth="1"/>
    <col min="6" max="6" width="12.5" style="2599" customWidth="1"/>
    <col min="7" max="7" width="13.375" style="2637" customWidth="1"/>
    <col min="8" max="8" width="8.25" style="2599" customWidth="1"/>
    <col min="9" max="16384" width="8.125" style="2599"/>
  </cols>
  <sheetData>
    <row r="1" spans="2:12">
      <c r="B1" s="4895" t="s">
        <v>9634</v>
      </c>
      <c r="C1" s="4895"/>
      <c r="D1" s="4895"/>
      <c r="E1" s="2602"/>
    </row>
    <row r="3" spans="2:12">
      <c r="B3" s="4871" t="s">
        <v>9657</v>
      </c>
      <c r="C3" s="4872"/>
      <c r="D3" s="4872"/>
      <c r="E3" s="4872"/>
      <c r="F3" s="4872"/>
      <c r="G3" s="4872"/>
      <c r="H3" s="4873"/>
    </row>
    <row r="4" spans="2:12">
      <c r="B4" s="4874"/>
      <c r="C4" s="4875"/>
      <c r="D4" s="4875"/>
      <c r="E4" s="4875"/>
      <c r="F4" s="4875"/>
      <c r="G4" s="4875"/>
      <c r="H4" s="4876"/>
    </row>
    <row r="5" spans="2:12" ht="4.5" customHeight="1">
      <c r="B5" s="4896"/>
      <c r="C5" s="4896"/>
      <c r="D5" s="4896"/>
      <c r="E5" s="4896"/>
      <c r="F5" s="4896"/>
      <c r="G5" s="4896"/>
      <c r="H5" s="4896"/>
    </row>
    <row r="6" spans="2:12">
      <c r="B6" s="4877" t="s">
        <v>5407</v>
      </c>
      <c r="C6" s="4878"/>
      <c r="D6" s="4879"/>
      <c r="E6" s="4877" t="s">
        <v>5408</v>
      </c>
      <c r="F6" s="4878"/>
      <c r="G6" s="4878"/>
      <c r="H6" s="4879"/>
    </row>
    <row r="7" spans="2:12">
      <c r="B7" s="4880"/>
      <c r="C7" s="4881"/>
      <c r="D7" s="4882"/>
      <c r="E7" s="4880"/>
      <c r="F7" s="4881"/>
      <c r="G7" s="4881"/>
      <c r="H7" s="4882"/>
    </row>
    <row r="8" spans="2:12">
      <c r="B8" s="4897" t="s">
        <v>5409</v>
      </c>
      <c r="C8" s="4904" t="s">
        <v>5410</v>
      </c>
      <c r="D8" s="4911" t="s">
        <v>5411</v>
      </c>
      <c r="E8" s="4916" t="s">
        <v>5412</v>
      </c>
      <c r="F8" s="4892" t="s">
        <v>984</v>
      </c>
      <c r="G8" s="4886" t="s">
        <v>251</v>
      </c>
      <c r="H8" s="4866" t="s">
        <v>5411</v>
      </c>
    </row>
    <row r="9" spans="2:12">
      <c r="B9" s="4898"/>
      <c r="C9" s="4905"/>
      <c r="D9" s="4912"/>
      <c r="E9" s="4917"/>
      <c r="F9" s="4893"/>
      <c r="G9" s="4887"/>
      <c r="H9" s="4867"/>
      <c r="J9" s="2636"/>
    </row>
    <row r="10" spans="2:12" ht="19.5" customHeight="1">
      <c r="B10" s="4899" t="s">
        <v>9658</v>
      </c>
      <c r="C10" s="4906">
        <v>15</v>
      </c>
      <c r="D10" s="4913"/>
      <c r="E10" s="4894" t="s">
        <v>9569</v>
      </c>
      <c r="F10" s="4894"/>
      <c r="G10" s="4888">
        <f>PI()/8*POWER(C10,2)</f>
        <v>88.357293382212902</v>
      </c>
      <c r="H10" s="4868"/>
    </row>
    <row r="11" spans="2:12">
      <c r="B11" s="4900"/>
      <c r="C11" s="4907"/>
      <c r="D11" s="4914"/>
      <c r="E11" s="4890"/>
      <c r="F11" s="4890"/>
      <c r="G11" s="4884"/>
      <c r="H11" s="4932"/>
      <c r="J11" s="2636"/>
    </row>
    <row r="12" spans="2:12">
      <c r="B12" s="4900"/>
      <c r="C12" s="4907"/>
      <c r="D12" s="4914"/>
      <c r="E12" s="4889" t="s">
        <v>9571</v>
      </c>
      <c r="F12" s="4889"/>
      <c r="G12" s="4883">
        <f>0.00686*POWER(C10,4)</f>
        <v>347.28750000000002</v>
      </c>
      <c r="H12" s="4931"/>
    </row>
    <row r="13" spans="2:12">
      <c r="B13" s="4900"/>
      <c r="C13" s="4907"/>
      <c r="D13" s="4914"/>
      <c r="E13" s="4890"/>
      <c r="F13" s="4890"/>
      <c r="G13" s="4884"/>
      <c r="H13" s="4932"/>
      <c r="I13" s="2636"/>
      <c r="K13" s="2636"/>
    </row>
    <row r="14" spans="2:12">
      <c r="B14" s="4900"/>
      <c r="C14" s="4907"/>
      <c r="D14" s="4914"/>
      <c r="E14" s="4889" t="s">
        <v>9572</v>
      </c>
      <c r="F14" s="4889"/>
      <c r="G14" s="4883">
        <f>PI()/128*POWER(C10,4)</f>
        <v>1242.5244381873699</v>
      </c>
      <c r="H14" s="4931"/>
      <c r="I14" s="2636"/>
      <c r="J14" s="2636"/>
    </row>
    <row r="15" spans="2:12">
      <c r="B15" s="4900"/>
      <c r="C15" s="4907"/>
      <c r="D15" s="4914"/>
      <c r="E15" s="4890"/>
      <c r="F15" s="4890"/>
      <c r="G15" s="4884"/>
      <c r="H15" s="4932"/>
      <c r="I15" s="2636"/>
    </row>
    <row r="16" spans="2:12" ht="16.5" customHeight="1">
      <c r="B16" s="4900"/>
      <c r="C16" s="4907"/>
      <c r="D16" s="4914"/>
      <c r="E16" s="4889" t="s">
        <v>9573</v>
      </c>
      <c r="F16" s="4889"/>
      <c r="G16" s="4883">
        <f>0.239*POWER(C10,3)</f>
        <v>806.625</v>
      </c>
      <c r="H16" s="4931"/>
      <c r="J16" s="2636"/>
      <c r="L16" s="2636"/>
    </row>
    <row r="17" spans="2:11" ht="16.5" customHeight="1">
      <c r="B17" s="4900"/>
      <c r="C17" s="4907"/>
      <c r="D17" s="4914"/>
      <c r="E17" s="4890"/>
      <c r="F17" s="4890"/>
      <c r="G17" s="4884"/>
      <c r="H17" s="4932"/>
      <c r="J17" s="2636"/>
      <c r="K17" s="2636"/>
    </row>
    <row r="18" spans="2:11" ht="16.5" customHeight="1">
      <c r="B18" s="4900"/>
      <c r="C18" s="4907"/>
      <c r="D18" s="4914"/>
      <c r="E18" s="4889" t="s">
        <v>9574</v>
      </c>
      <c r="F18" s="4889"/>
      <c r="G18" s="4883">
        <f>PI()/64*POWER(C10,3)</f>
        <v>165.66992509164899</v>
      </c>
      <c r="H18" s="4931"/>
      <c r="J18" s="2636"/>
      <c r="K18" s="2636"/>
    </row>
    <row r="19" spans="2:11" ht="16.5" customHeight="1">
      <c r="B19" s="4900"/>
      <c r="C19" s="4907"/>
      <c r="D19" s="4914"/>
      <c r="E19" s="4890"/>
      <c r="F19" s="4890"/>
      <c r="G19" s="4884"/>
      <c r="H19" s="4932"/>
      <c r="J19" s="2636"/>
    </row>
    <row r="20" spans="2:11" ht="16.5" customHeight="1">
      <c r="B20" s="4900"/>
      <c r="C20" s="4907"/>
      <c r="D20" s="4914"/>
      <c r="E20" s="4889" t="s">
        <v>9576</v>
      </c>
      <c r="F20" s="4889"/>
      <c r="G20" s="4883">
        <f>0.2878*C10</f>
        <v>4.3170000000000002</v>
      </c>
      <c r="H20" s="4931"/>
      <c r="J20" s="2636"/>
    </row>
    <row r="21" spans="2:11" ht="16.5" customHeight="1">
      <c r="B21" s="4900"/>
      <c r="C21" s="4907"/>
      <c r="D21" s="4914"/>
      <c r="E21" s="4890"/>
      <c r="F21" s="4890"/>
      <c r="G21" s="4884"/>
      <c r="H21" s="4932"/>
      <c r="J21" s="2636"/>
    </row>
    <row r="22" spans="2:11" ht="16.5" customHeight="1">
      <c r="B22" s="4900"/>
      <c r="C22" s="4907"/>
      <c r="D22" s="4914"/>
      <c r="E22" s="4889" t="s">
        <v>9600</v>
      </c>
      <c r="F22" s="4889"/>
      <c r="G22" s="4883">
        <f>0.2122*C10</f>
        <v>3.1829999999999998</v>
      </c>
      <c r="H22" s="4931"/>
      <c r="I22" s="2636"/>
      <c r="J22" s="2636"/>
    </row>
    <row r="23" spans="2:11" ht="16.5" customHeight="1">
      <c r="B23" s="4900"/>
      <c r="C23" s="4907"/>
      <c r="D23" s="4914"/>
      <c r="E23" s="4890"/>
      <c r="F23" s="4890"/>
      <c r="G23" s="4884"/>
      <c r="H23" s="4932"/>
      <c r="J23" s="2636"/>
    </row>
    <row r="24" spans="2:11" ht="16.5" customHeight="1">
      <c r="B24" s="4900"/>
      <c r="C24" s="4907"/>
      <c r="D24" s="4914"/>
      <c r="E24" s="4889" t="s">
        <v>9578</v>
      </c>
      <c r="F24" s="4889"/>
      <c r="G24" s="4883">
        <f>0.1319*C10</f>
        <v>1.9784999999999999</v>
      </c>
      <c r="H24" s="4931"/>
      <c r="J24" s="2636"/>
    </row>
    <row r="25" spans="2:11" ht="16.5" customHeight="1">
      <c r="B25" s="4900"/>
      <c r="C25" s="4907"/>
      <c r="D25" s="4914"/>
      <c r="E25" s="4890"/>
      <c r="F25" s="4890"/>
      <c r="G25" s="4884"/>
      <c r="H25" s="4932"/>
      <c r="J25" s="2636"/>
      <c r="K25" s="2636"/>
    </row>
    <row r="26" spans="2:11">
      <c r="B26" s="4900"/>
      <c r="C26" s="4907"/>
      <c r="D26" s="4914"/>
      <c r="E26" s="4889" t="s">
        <v>9579</v>
      </c>
      <c r="F26" s="4889"/>
      <c r="G26" s="4883">
        <f>C10/4</f>
        <v>3.75</v>
      </c>
      <c r="H26" s="2638"/>
      <c r="J26" s="2636"/>
    </row>
    <row r="27" spans="2:11">
      <c r="B27" s="4903"/>
      <c r="C27" s="4910"/>
      <c r="D27" s="4915"/>
      <c r="E27" s="4891"/>
      <c r="F27" s="4891"/>
      <c r="G27" s="4885"/>
      <c r="H27" s="2639"/>
    </row>
    <row r="29" spans="2:11">
      <c r="F29" s="2636"/>
      <c r="H29" s="2636"/>
    </row>
    <row r="30" spans="2:11">
      <c r="F30" s="2636"/>
    </row>
    <row r="32" spans="2:11">
      <c r="F32" s="2636"/>
    </row>
  </sheetData>
  <mergeCells count="50">
    <mergeCell ref="B1:D1"/>
    <mergeCell ref="B5:H5"/>
    <mergeCell ref="B8:B9"/>
    <mergeCell ref="B10:B27"/>
    <mergeCell ref="C8:C9"/>
    <mergeCell ref="C10:C27"/>
    <mergeCell ref="D8:D9"/>
    <mergeCell ref="D10:D27"/>
    <mergeCell ref="E8:E9"/>
    <mergeCell ref="E10:E11"/>
    <mergeCell ref="E12:E13"/>
    <mergeCell ref="E14:E15"/>
    <mergeCell ref="E16:E17"/>
    <mergeCell ref="E18:E19"/>
    <mergeCell ref="E20:E21"/>
    <mergeCell ref="E22:E23"/>
    <mergeCell ref="E24:E25"/>
    <mergeCell ref="E26:E27"/>
    <mergeCell ref="F8:F9"/>
    <mergeCell ref="F10:F11"/>
    <mergeCell ref="F12:F13"/>
    <mergeCell ref="F14:F15"/>
    <mergeCell ref="F16:F17"/>
    <mergeCell ref="F18:F19"/>
    <mergeCell ref="F20:F21"/>
    <mergeCell ref="F22:F23"/>
    <mergeCell ref="F24:F25"/>
    <mergeCell ref="F26:F27"/>
    <mergeCell ref="G26:G27"/>
    <mergeCell ref="G8:G9"/>
    <mergeCell ref="G10:G11"/>
    <mergeCell ref="G12:G13"/>
    <mergeCell ref="G14:G15"/>
    <mergeCell ref="G16:G17"/>
    <mergeCell ref="H18:H19"/>
    <mergeCell ref="H20:H21"/>
    <mergeCell ref="H22:H23"/>
    <mergeCell ref="H24:H25"/>
    <mergeCell ref="B3:H4"/>
    <mergeCell ref="B6:D7"/>
    <mergeCell ref="E6:H7"/>
    <mergeCell ref="H8:H9"/>
    <mergeCell ref="H10:H11"/>
    <mergeCell ref="H12:H13"/>
    <mergeCell ref="H14:H15"/>
    <mergeCell ref="H16:H17"/>
    <mergeCell ref="G18:G19"/>
    <mergeCell ref="G20:G21"/>
    <mergeCell ref="G22:G23"/>
    <mergeCell ref="G24:G25"/>
  </mergeCells>
  <phoneticPr fontId="214" type="noConversion"/>
  <pageMargins left="0.69930555555555596" right="0.69930555555555596" top="0.75" bottom="0.75" header="0.3" footer="0.3"/>
  <pageSetup paperSize="9" orientation="portrait" horizontalDpi="200" verticalDpi="300"/>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dimension ref="B1:I42"/>
  <sheetViews>
    <sheetView workbookViewId="0">
      <selection activeCell="B4" sqref="B4:H5"/>
    </sheetView>
  </sheetViews>
  <sheetFormatPr defaultColWidth="8.125" defaultRowHeight="16.5"/>
  <cols>
    <col min="1" max="1" width="0.25" style="2599" customWidth="1"/>
    <col min="2" max="2" width="22.75" style="2599" customWidth="1"/>
    <col min="3" max="3" width="10.75" style="2600" customWidth="1"/>
    <col min="4" max="4" width="9.25" style="2599" customWidth="1"/>
    <col min="5" max="5" width="22" style="2599" customWidth="1"/>
    <col min="6" max="6" width="17.25" style="2599" customWidth="1"/>
    <col min="7" max="7" width="9.625" style="2601" customWidth="1"/>
    <col min="8" max="8" width="8.25" style="2599" customWidth="1"/>
    <col min="9" max="16384" width="8.125" style="2599"/>
  </cols>
  <sheetData>
    <row r="1" spans="2:9" ht="3" customHeight="1"/>
    <row r="2" spans="2:9">
      <c r="B2" s="2599" t="s">
        <v>9659</v>
      </c>
      <c r="C2" s="2599"/>
      <c r="E2" s="2602"/>
    </row>
    <row r="4" spans="2:9">
      <c r="B4" s="4871" t="s">
        <v>82</v>
      </c>
      <c r="C4" s="4872"/>
      <c r="D4" s="4872"/>
      <c r="E4" s="4872"/>
      <c r="F4" s="4872"/>
      <c r="G4" s="4872"/>
      <c r="H4" s="4873"/>
    </row>
    <row r="5" spans="2:9" ht="17.25" customHeight="1">
      <c r="B5" s="4874"/>
      <c r="C5" s="4875"/>
      <c r="D5" s="4875"/>
      <c r="E5" s="4875"/>
      <c r="F5" s="4875"/>
      <c r="G5" s="4875"/>
      <c r="H5" s="4876"/>
    </row>
    <row r="6" spans="2:9" ht="6" customHeight="1"/>
    <row r="7" spans="2:9" ht="13.5" customHeight="1">
      <c r="B7" s="4877" t="s">
        <v>5407</v>
      </c>
      <c r="C7" s="4878"/>
      <c r="D7" s="4879"/>
      <c r="E7" s="4877" t="s">
        <v>5408</v>
      </c>
      <c r="F7" s="4878"/>
      <c r="G7" s="4878"/>
      <c r="H7" s="4879"/>
    </row>
    <row r="8" spans="2:9" ht="14.25" customHeight="1">
      <c r="B8" s="4880"/>
      <c r="C8" s="4881"/>
      <c r="D8" s="4882"/>
      <c r="E8" s="4880"/>
      <c r="F8" s="4881"/>
      <c r="G8" s="4881"/>
      <c r="H8" s="4882"/>
    </row>
    <row r="9" spans="2:9" ht="15" customHeight="1">
      <c r="B9" s="4897" t="s">
        <v>5409</v>
      </c>
      <c r="C9" s="4904" t="s">
        <v>5410</v>
      </c>
      <c r="D9" s="4911" t="s">
        <v>5411</v>
      </c>
      <c r="E9" s="4916" t="s">
        <v>5412</v>
      </c>
      <c r="F9" s="4892" t="s">
        <v>984</v>
      </c>
      <c r="G9" s="4948" t="s">
        <v>251</v>
      </c>
      <c r="H9" s="4866" t="s">
        <v>5411</v>
      </c>
    </row>
    <row r="10" spans="2:9" ht="13.5" customHeight="1">
      <c r="B10" s="4898"/>
      <c r="C10" s="4905"/>
      <c r="D10" s="4912"/>
      <c r="E10" s="4917"/>
      <c r="F10" s="4893"/>
      <c r="G10" s="4949"/>
      <c r="H10" s="4867"/>
    </row>
    <row r="11" spans="2:9" ht="19.5">
      <c r="B11" s="2603" t="s">
        <v>9660</v>
      </c>
      <c r="C11" s="2604">
        <v>1000</v>
      </c>
      <c r="D11" s="2605"/>
      <c r="E11" s="4955" t="s">
        <v>9661</v>
      </c>
      <c r="F11" s="4958"/>
      <c r="G11" s="4950">
        <f>C11*C12/9550</f>
        <v>52.356020942408399</v>
      </c>
      <c r="H11" s="4937"/>
      <c r="I11" s="2636"/>
    </row>
    <row r="12" spans="2:9" ht="19.5">
      <c r="B12" s="2606" t="s">
        <v>9662</v>
      </c>
      <c r="C12" s="2607">
        <v>500</v>
      </c>
      <c r="D12" s="2608"/>
      <c r="E12" s="4956"/>
      <c r="F12" s="4959"/>
      <c r="G12" s="4951"/>
      <c r="H12" s="4938"/>
    </row>
    <row r="13" spans="2:9" ht="33.75" customHeight="1">
      <c r="B13" s="2609" t="s">
        <v>9663</v>
      </c>
      <c r="C13" s="2610">
        <f>PI()*C12/30</f>
        <v>52.359877559829897</v>
      </c>
      <c r="D13" s="2611"/>
      <c r="E13" s="4957"/>
      <c r="F13" s="2611"/>
      <c r="G13" s="2612">
        <f>C11*C13/1000</f>
        <v>52.359877559829897</v>
      </c>
      <c r="H13" s="2613"/>
    </row>
    <row r="14" spans="2:9" ht="6" customHeight="1">
      <c r="C14" s="2614"/>
    </row>
    <row r="15" spans="2:9" ht="16.5" customHeight="1">
      <c r="B15" s="2615" t="s">
        <v>9664</v>
      </c>
      <c r="C15" s="2616">
        <v>500</v>
      </c>
      <c r="D15" s="4960"/>
      <c r="E15" s="4960" t="s">
        <v>9665</v>
      </c>
      <c r="F15" s="4960"/>
      <c r="G15" s="4952">
        <f>C15*C16*C17/(C18*C19*1000)</f>
        <v>250</v>
      </c>
      <c r="H15" s="4939"/>
    </row>
    <row r="16" spans="2:9" ht="18.75">
      <c r="B16" s="2618" t="s">
        <v>9666</v>
      </c>
      <c r="C16" s="2619">
        <v>20</v>
      </c>
      <c r="D16" s="4961"/>
      <c r="E16" s="4961"/>
      <c r="F16" s="4961"/>
      <c r="G16" s="4953"/>
      <c r="H16" s="4940"/>
    </row>
    <row r="17" spans="2:9" ht="16.5" customHeight="1">
      <c r="B17" s="2618" t="s">
        <v>9667</v>
      </c>
      <c r="C17" s="2619">
        <v>10</v>
      </c>
      <c r="D17" s="4961"/>
      <c r="E17" s="4961"/>
      <c r="F17" s="4961"/>
      <c r="G17" s="4953"/>
      <c r="H17" s="4940"/>
    </row>
    <row r="18" spans="2:9" ht="16.5" customHeight="1">
      <c r="B18" s="2618" t="s">
        <v>9668</v>
      </c>
      <c r="C18" s="2619">
        <v>0.4</v>
      </c>
      <c r="D18" s="4961"/>
      <c r="E18" s="4961"/>
      <c r="F18" s="4961"/>
      <c r="G18" s="4953"/>
      <c r="H18" s="4940"/>
    </row>
    <row r="19" spans="2:9" ht="19.5">
      <c r="B19" s="2621" t="s">
        <v>9669</v>
      </c>
      <c r="C19" s="2622">
        <v>1</v>
      </c>
      <c r="D19" s="4962"/>
      <c r="E19" s="4962"/>
      <c r="F19" s="4962"/>
      <c r="G19" s="4954"/>
      <c r="H19" s="4941"/>
    </row>
    <row r="20" spans="2:9" ht="6" customHeight="1">
      <c r="C20" s="2614"/>
    </row>
    <row r="21" spans="2:9" ht="19.5">
      <c r="B21" s="2603" t="s">
        <v>9669</v>
      </c>
      <c r="C21" s="2604">
        <v>1</v>
      </c>
      <c r="D21" s="4955"/>
      <c r="E21" s="4955" t="s">
        <v>9670</v>
      </c>
      <c r="F21" s="4955"/>
      <c r="G21" s="4934">
        <f>C22*C27*C28*C23*(C24+C25)/(C21*C26*1000)</f>
        <v>14.4</v>
      </c>
      <c r="H21" s="4942"/>
    </row>
    <row r="22" spans="2:9" ht="16.5" customHeight="1">
      <c r="B22" s="2623" t="s">
        <v>9664</v>
      </c>
      <c r="C22" s="2624">
        <v>2</v>
      </c>
      <c r="D22" s="4956"/>
      <c r="E22" s="4956"/>
      <c r="F22" s="4956"/>
      <c r="G22" s="4935"/>
      <c r="H22" s="4943"/>
    </row>
    <row r="23" spans="2:9" ht="18.75">
      <c r="B23" s="2623" t="s">
        <v>9671</v>
      </c>
      <c r="C23" s="2624">
        <v>100</v>
      </c>
      <c r="D23" s="4956"/>
      <c r="E23" s="4956"/>
      <c r="F23" s="4956"/>
      <c r="G23" s="4935"/>
      <c r="H23" s="4943"/>
      <c r="I23" s="2636"/>
    </row>
    <row r="24" spans="2:9">
      <c r="B24" s="2623" t="s">
        <v>9672</v>
      </c>
      <c r="C24" s="2624">
        <v>4</v>
      </c>
      <c r="D24" s="4956"/>
      <c r="E24" s="4956"/>
      <c r="F24" s="4956"/>
      <c r="G24" s="4935"/>
      <c r="H24" s="4943"/>
    </row>
    <row r="25" spans="2:9" ht="16.5" customHeight="1">
      <c r="B25" s="2623" t="s">
        <v>9673</v>
      </c>
      <c r="C25" s="2624">
        <v>4</v>
      </c>
      <c r="D25" s="4956"/>
      <c r="E25" s="4956"/>
      <c r="F25" s="4956"/>
      <c r="G25" s="4935"/>
      <c r="H25" s="4943"/>
    </row>
    <row r="26" spans="2:9" ht="16.5" customHeight="1">
      <c r="B26" s="2606" t="s">
        <v>9674</v>
      </c>
      <c r="C26" s="2607">
        <v>1</v>
      </c>
      <c r="D26" s="4956"/>
      <c r="E26" s="4956"/>
      <c r="F26" s="4956"/>
      <c r="G26" s="4935"/>
      <c r="H26" s="4944"/>
    </row>
    <row r="27" spans="2:9" ht="18.75">
      <c r="B27" s="2625" t="s">
        <v>5415</v>
      </c>
      <c r="C27" s="2626">
        <v>3</v>
      </c>
      <c r="D27" s="4956"/>
      <c r="E27" s="4956"/>
      <c r="F27" s="4956"/>
      <c r="G27" s="4935"/>
      <c r="H27" s="4944"/>
    </row>
    <row r="28" spans="2:9" ht="18.75">
      <c r="B28" s="2609" t="s">
        <v>9675</v>
      </c>
      <c r="C28" s="2627">
        <v>3</v>
      </c>
      <c r="D28" s="4957"/>
      <c r="E28" s="4957"/>
      <c r="F28" s="4957"/>
      <c r="G28" s="4936"/>
      <c r="H28" s="4945"/>
    </row>
    <row r="29" spans="2:9" ht="6" customHeight="1">
      <c r="C29" s="2614"/>
    </row>
    <row r="30" spans="2:9" ht="18.75">
      <c r="B30" s="2628" t="s">
        <v>9676</v>
      </c>
      <c r="C30" s="2616">
        <v>10</v>
      </c>
      <c r="D30" s="2617"/>
      <c r="E30" s="4960" t="s">
        <v>9677</v>
      </c>
      <c r="F30" s="4960"/>
      <c r="G30" s="4952">
        <f>C30*((C31+C32)/2)/(1000*C33)</f>
        <v>3.3333333333333301E-3</v>
      </c>
      <c r="H30" s="4946"/>
    </row>
    <row r="31" spans="2:9" ht="19.5">
      <c r="B31" s="2629" t="s">
        <v>9678</v>
      </c>
      <c r="C31" s="2619">
        <v>1</v>
      </c>
      <c r="D31" s="2620"/>
      <c r="E31" s="4961"/>
      <c r="F31" s="4961"/>
      <c r="G31" s="4953"/>
      <c r="H31" s="4947"/>
    </row>
    <row r="32" spans="2:9" ht="19.5">
      <c r="B32" s="2629" t="s">
        <v>9679</v>
      </c>
      <c r="C32" s="2619">
        <v>1</v>
      </c>
      <c r="D32" s="2620"/>
      <c r="E32" s="4961"/>
      <c r="F32" s="4961"/>
      <c r="G32" s="4953"/>
      <c r="H32" s="4947"/>
    </row>
    <row r="33" spans="2:9">
      <c r="B33" s="2630" t="s">
        <v>9680</v>
      </c>
      <c r="C33" s="2622">
        <v>3</v>
      </c>
      <c r="D33" s="2631"/>
      <c r="E33" s="4962"/>
      <c r="F33" s="4962"/>
      <c r="G33" s="4954"/>
      <c r="H33" s="4941"/>
    </row>
    <row r="34" spans="2:9" ht="5.0999999999999996" customHeight="1"/>
    <row r="35" spans="2:9" ht="16.5" customHeight="1">
      <c r="B35" s="2632" t="s">
        <v>9681</v>
      </c>
      <c r="C35" s="2604">
        <v>4</v>
      </c>
      <c r="D35" s="2605"/>
      <c r="E35" s="4955" t="s">
        <v>9682</v>
      </c>
      <c r="F35" s="4955"/>
      <c r="G35" s="4934">
        <f>C35*C36/(C37*1000)</f>
        <v>2E-3</v>
      </c>
      <c r="H35" s="4942"/>
    </row>
    <row r="36" spans="2:9" ht="16.5" customHeight="1">
      <c r="B36" s="2633" t="s">
        <v>9683</v>
      </c>
      <c r="C36" s="2626">
        <v>5</v>
      </c>
      <c r="D36" s="2634"/>
      <c r="E36" s="4956"/>
      <c r="F36" s="4956"/>
      <c r="G36" s="4935"/>
      <c r="H36" s="4943"/>
      <c r="I36" s="2636"/>
    </row>
    <row r="37" spans="2:9">
      <c r="B37" s="2609" t="s">
        <v>9684</v>
      </c>
      <c r="C37" s="2627">
        <v>10</v>
      </c>
      <c r="D37" s="2635"/>
      <c r="E37" s="4957"/>
      <c r="F37" s="4957"/>
      <c r="G37" s="4936"/>
      <c r="H37" s="4945"/>
    </row>
    <row r="38" spans="2:9" ht="16.5" customHeight="1">
      <c r="C38" s="2614"/>
    </row>
    <row r="39" spans="2:9">
      <c r="F39" s="2636"/>
    </row>
    <row r="40" spans="2:9">
      <c r="B40" s="4933"/>
      <c r="C40" s="4895"/>
      <c r="D40" s="4895"/>
      <c r="E40" s="4895"/>
      <c r="G40" s="2636"/>
    </row>
    <row r="41" spans="2:9">
      <c r="B41" s="4895"/>
      <c r="C41" s="4895"/>
      <c r="D41" s="4895"/>
      <c r="E41" s="4895"/>
    </row>
    <row r="42" spans="2:9">
      <c r="B42" s="4895"/>
      <c r="C42" s="4895"/>
      <c r="D42" s="4895"/>
      <c r="E42" s="4895"/>
    </row>
  </sheetData>
  <mergeCells count="33">
    <mergeCell ref="B9:B10"/>
    <mergeCell ref="C9:C10"/>
    <mergeCell ref="D9:D10"/>
    <mergeCell ref="D15:D19"/>
    <mergeCell ref="D21:D28"/>
    <mergeCell ref="E35:E37"/>
    <mergeCell ref="F9:F10"/>
    <mergeCell ref="F11:F12"/>
    <mergeCell ref="F15:F19"/>
    <mergeCell ref="F21:F28"/>
    <mergeCell ref="F30:F33"/>
    <mergeCell ref="F35:F37"/>
    <mergeCell ref="E9:E10"/>
    <mergeCell ref="E11:E13"/>
    <mergeCell ref="E15:E19"/>
    <mergeCell ref="E21:E28"/>
    <mergeCell ref="E30:E33"/>
    <mergeCell ref="B4:H5"/>
    <mergeCell ref="B7:D8"/>
    <mergeCell ref="E7:H8"/>
    <mergeCell ref="B40:E42"/>
    <mergeCell ref="G35:G37"/>
    <mergeCell ref="H9:H10"/>
    <mergeCell ref="H11:H12"/>
    <mergeCell ref="H15:H19"/>
    <mergeCell ref="H21:H28"/>
    <mergeCell ref="H30:H33"/>
    <mergeCell ref="H35:H37"/>
    <mergeCell ref="G9:G10"/>
    <mergeCell ref="G11:G12"/>
    <mergeCell ref="G15:G19"/>
    <mergeCell ref="G21:G28"/>
    <mergeCell ref="G30:G33"/>
  </mergeCells>
  <phoneticPr fontId="214" type="noConversion"/>
  <pageMargins left="0.69930555555555596" right="0.69930555555555596" top="0.75" bottom="0.75" header="0.3" footer="0.3"/>
  <pageSetup paperSize="9" orientation="portrait" horizontalDpi="200" verticalDpi="300"/>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dimension ref="A1:AF78"/>
  <sheetViews>
    <sheetView showGridLines="0" showRowColHeaders="0" showOutlineSymbols="0" workbookViewId="0">
      <selection activeCell="T11" sqref="T11"/>
    </sheetView>
  </sheetViews>
  <sheetFormatPr defaultColWidth="8.125" defaultRowHeight="16.5"/>
  <cols>
    <col min="1" max="11" width="4.875" style="2589" customWidth="1"/>
    <col min="12" max="12" width="5.75" style="2589" customWidth="1"/>
    <col min="13" max="15" width="4.875" style="2589" customWidth="1"/>
    <col min="16" max="16" width="0.75" style="2589" customWidth="1"/>
    <col min="17" max="24" width="4.875" style="2589" customWidth="1"/>
    <col min="25" max="25" width="5.125" style="2589" customWidth="1"/>
    <col min="26" max="26" width="3.75" style="2589" customWidth="1"/>
    <col min="27" max="27" width="7.125" style="2589" hidden="1" customWidth="1"/>
    <col min="28" max="28" width="5.125" style="2589" customWidth="1"/>
    <col min="29" max="16384" width="8.125" style="2589"/>
  </cols>
  <sheetData>
    <row r="1" spans="1:27">
      <c r="A1" t="s">
        <v>9685</v>
      </c>
      <c r="B1" s="2590"/>
      <c r="C1" s="2590"/>
      <c r="D1" s="2590"/>
      <c r="E1" s="2590"/>
      <c r="F1" s="2590"/>
      <c r="G1" s="2590"/>
      <c r="H1" s="2590"/>
      <c r="I1" s="2590"/>
      <c r="J1" s="2590"/>
      <c r="K1" s="2590"/>
      <c r="L1" s="2590"/>
      <c r="M1" s="2590"/>
      <c r="N1" s="2590"/>
      <c r="O1" s="2590"/>
      <c r="P1" s="2590"/>
      <c r="Q1" s="2590"/>
      <c r="R1" s="2590"/>
      <c r="S1" s="2590"/>
      <c r="T1" s="2590"/>
      <c r="U1" s="2590"/>
      <c r="V1" s="2590"/>
      <c r="W1" s="2590"/>
      <c r="X1" s="2590"/>
      <c r="Y1" s="2590"/>
      <c r="Z1" s="2590"/>
      <c r="AA1" s="2590"/>
    </row>
    <row r="2" spans="1:27" ht="8.25" customHeight="1">
      <c r="A2"/>
      <c r="B2" s="2590"/>
      <c r="C2" s="2590"/>
      <c r="D2" s="2590"/>
      <c r="E2" s="2590"/>
      <c r="F2" s="2590"/>
      <c r="G2" s="2590"/>
      <c r="H2" s="2590"/>
      <c r="I2" s="2590"/>
      <c r="J2" s="2590"/>
      <c r="K2" s="2590"/>
      <c r="L2" s="2590"/>
      <c r="M2" s="2590"/>
      <c r="N2" s="2590"/>
      <c r="O2" s="2590"/>
      <c r="P2" s="2590"/>
      <c r="Q2" s="2590"/>
      <c r="R2" s="2590"/>
      <c r="S2" s="2590"/>
      <c r="T2" s="2590"/>
      <c r="U2" s="2590"/>
      <c r="V2" s="2590"/>
      <c r="W2" s="2590"/>
      <c r="X2" s="2590"/>
      <c r="Y2" s="2590"/>
      <c r="Z2" s="2590"/>
      <c r="AA2" s="2590"/>
    </row>
    <row r="3" spans="1:27" customFormat="1" ht="27.95" customHeight="1">
      <c r="A3" s="4963" t="s">
        <v>9686</v>
      </c>
      <c r="B3" s="4963"/>
      <c r="C3" s="4963"/>
      <c r="D3" s="4963"/>
      <c r="E3" s="4963">
        <f>((0.7854*((F26)^2-(F17)^2))*L16)*AA27/1000000000</f>
        <v>942.22153428479999</v>
      </c>
      <c r="F3" s="4963"/>
      <c r="G3" t="s">
        <v>9687</v>
      </c>
    </row>
    <row r="4" spans="1:27" customFormat="1" ht="27.75" customHeight="1">
      <c r="A4" s="4963" t="s">
        <v>9688</v>
      </c>
      <c r="B4" s="4963"/>
      <c r="C4" s="4963"/>
      <c r="D4" s="4963"/>
      <c r="E4" s="4963">
        <f>((0.7854*((F26)^2-(F17)^2))/(L12*L14))-100</f>
        <v>9902.3517439999996</v>
      </c>
      <c r="F4" s="4963"/>
      <c r="G4" t="s">
        <v>9689</v>
      </c>
      <c r="W4" t="s">
        <v>9690</v>
      </c>
      <c r="X4" s="4963">
        <f ca="1">TODAY()</f>
        <v>45979</v>
      </c>
      <c r="Y4" s="4963"/>
    </row>
    <row r="5" spans="1:27" customFormat="1" ht="11.25" customHeight="1"/>
    <row r="6" spans="1:27">
      <c r="A6"/>
      <c r="B6" s="2591"/>
      <c r="C6" s="2591"/>
      <c r="D6" s="2591"/>
      <c r="E6" s="2591"/>
      <c r="F6" s="2591"/>
      <c r="G6" s="2591"/>
      <c r="H6" s="2591"/>
      <c r="I6" s="2591"/>
      <c r="J6" s="2591"/>
      <c r="K6" s="2591"/>
      <c r="L6" s="2591"/>
      <c r="M6" s="2591"/>
      <c r="N6" s="2591"/>
      <c r="O6" s="2594"/>
      <c r="P6" s="2590"/>
      <c r="Q6" s="4963" t="s">
        <v>9691</v>
      </c>
      <c r="R6" s="4963"/>
      <c r="S6" s="2591"/>
      <c r="T6" s="2591"/>
      <c r="U6" s="2591"/>
      <c r="V6" s="2591"/>
      <c r="W6" s="2591"/>
      <c r="X6" s="2591"/>
      <c r="Y6" s="2594"/>
      <c r="Z6" s="2590"/>
    </row>
    <row r="7" spans="1:27">
      <c r="A7" s="2592"/>
      <c r="B7" s="2590"/>
      <c r="C7" s="2590"/>
      <c r="D7" s="2590"/>
      <c r="E7" s="2590"/>
      <c r="F7" s="2590"/>
      <c r="G7" s="2590"/>
      <c r="H7" s="2590"/>
      <c r="I7" s="2590"/>
      <c r="J7" s="2590"/>
      <c r="K7" s="2590"/>
      <c r="L7" s="2590"/>
      <c r="M7" s="2590"/>
      <c r="N7" s="2590"/>
      <c r="O7" s="2595"/>
      <c r="P7" s="2590"/>
      <c r="Q7"/>
      <c r="R7"/>
      <c r="S7"/>
      <c r="T7"/>
      <c r="U7"/>
      <c r="V7"/>
      <c r="W7"/>
      <c r="X7"/>
      <c r="Y7"/>
      <c r="Z7" s="2590"/>
    </row>
    <row r="8" spans="1:27">
      <c r="A8" s="2592"/>
      <c r="B8" s="2590"/>
      <c r="C8" s="2590"/>
      <c r="D8" s="2590"/>
      <c r="E8" s="2590"/>
      <c r="F8" s="2590"/>
      <c r="G8" s="2590"/>
      <c r="H8" s="2590"/>
      <c r="I8" s="2590"/>
      <c r="J8" s="2590"/>
      <c r="K8" s="2590"/>
      <c r="L8" s="2590"/>
      <c r="M8" s="2590"/>
      <c r="N8" s="2590"/>
      <c r="O8" s="2595"/>
      <c r="P8" s="2590"/>
      <c r="Q8"/>
      <c r="R8"/>
      <c r="S8"/>
      <c r="T8"/>
      <c r="U8"/>
      <c r="V8"/>
      <c r="W8"/>
      <c r="X8"/>
      <c r="Y8"/>
      <c r="Z8" s="2590"/>
    </row>
    <row r="9" spans="1:27">
      <c r="A9" s="2592"/>
      <c r="B9" s="2590"/>
      <c r="C9" s="2590"/>
      <c r="D9" s="2590"/>
      <c r="E9" s="2590"/>
      <c r="F9" s="2590"/>
      <c r="G9" s="2590"/>
      <c r="H9" s="2590"/>
      <c r="I9" s="2590"/>
      <c r="J9" s="2590"/>
      <c r="K9" s="2590"/>
      <c r="L9" s="2590"/>
      <c r="M9" s="2590"/>
      <c r="N9" s="2590"/>
      <c r="O9" s="2595"/>
      <c r="P9" s="2590"/>
      <c r="Q9"/>
      <c r="R9"/>
      <c r="S9"/>
      <c r="T9"/>
      <c r="U9"/>
      <c r="V9"/>
      <c r="W9"/>
      <c r="X9"/>
      <c r="Y9"/>
      <c r="Z9" s="2590"/>
    </row>
    <row r="10" spans="1:27">
      <c r="A10" s="2592"/>
      <c r="B10" s="2590"/>
      <c r="C10" s="2590"/>
      <c r="D10" s="2590"/>
      <c r="E10" s="2590"/>
      <c r="F10" s="2590"/>
      <c r="G10" s="2590"/>
      <c r="H10" s="2590"/>
      <c r="I10" s="2590"/>
      <c r="J10" s="2590"/>
      <c r="K10" s="2590"/>
      <c r="L10" s="2590"/>
      <c r="M10" s="2590"/>
      <c r="N10" s="2590"/>
      <c r="O10" s="2595"/>
      <c r="P10" s="2590"/>
      <c r="Q10"/>
      <c r="R10"/>
      <c r="S10"/>
      <c r="T10"/>
      <c r="U10"/>
      <c r="V10"/>
      <c r="W10"/>
      <c r="X10"/>
      <c r="Y10"/>
      <c r="Z10" s="2590"/>
    </row>
    <row r="11" spans="1:27">
      <c r="A11" s="2592"/>
      <c r="B11" s="2590"/>
      <c r="C11" s="2590"/>
      <c r="D11" s="2590"/>
      <c r="E11" s="2590"/>
      <c r="F11" s="2590"/>
      <c r="G11" s="2590"/>
      <c r="H11" s="2590"/>
      <c r="I11" s="2590"/>
      <c r="J11" s="2590"/>
      <c r="K11" s="2590"/>
      <c r="L11" s="2590"/>
      <c r="M11" s="2590"/>
      <c r="N11" s="2590"/>
      <c r="O11" s="2595"/>
      <c r="P11" s="2590"/>
      <c r="Q11"/>
      <c r="R11"/>
      <c r="S11"/>
      <c r="T11"/>
      <c r="U11"/>
      <c r="V11"/>
      <c r="W11"/>
      <c r="X11"/>
      <c r="Y11"/>
      <c r="Z11" s="2590"/>
    </row>
    <row r="12" spans="1:27">
      <c r="A12" s="2592"/>
      <c r="B12" s="2590"/>
      <c r="C12" s="2590"/>
      <c r="D12" s="2590"/>
      <c r="E12" s="2590"/>
      <c r="F12" s="2590"/>
      <c r="G12" s="2590"/>
      <c r="H12" s="2590"/>
      <c r="I12" s="2590"/>
      <c r="J12" s="4963" t="s">
        <v>9692</v>
      </c>
      <c r="K12" s="4963"/>
      <c r="L12">
        <v>50</v>
      </c>
      <c r="M12" s="2590"/>
      <c r="N12" s="2590"/>
      <c r="O12" s="2595"/>
      <c r="P12" s="2590"/>
      <c r="Q12"/>
      <c r="R12"/>
      <c r="S12"/>
      <c r="T12"/>
      <c r="U12"/>
      <c r="V12"/>
      <c r="W12"/>
      <c r="X12"/>
      <c r="Y12"/>
      <c r="Z12" s="2590"/>
    </row>
    <row r="13" spans="1:27">
      <c r="A13" s="2592"/>
      <c r="B13" s="2590"/>
      <c r="C13" s="2590"/>
      <c r="D13" s="2590"/>
      <c r="E13" s="2590"/>
      <c r="F13" s="2590"/>
      <c r="G13" s="2590"/>
      <c r="H13" s="2590"/>
      <c r="I13" s="2590"/>
      <c r="J13" s="2590"/>
      <c r="K13" s="2590"/>
      <c r="L13" s="2590"/>
      <c r="M13" s="2590"/>
      <c r="N13" s="2590"/>
      <c r="O13" s="2595"/>
      <c r="P13" s="2590"/>
      <c r="Q13"/>
      <c r="R13"/>
      <c r="S13"/>
      <c r="T13"/>
      <c r="U13"/>
      <c r="V13"/>
      <c r="W13"/>
      <c r="X13"/>
      <c r="Y13"/>
      <c r="Z13" s="2590"/>
    </row>
    <row r="14" spans="1:27">
      <c r="A14" s="2592"/>
      <c r="B14" s="2590"/>
      <c r="C14" s="2590"/>
      <c r="D14" s="2590"/>
      <c r="E14" s="2590"/>
      <c r="F14" s="2590"/>
      <c r="G14" s="2590"/>
      <c r="H14" s="2590"/>
      <c r="I14" s="2590"/>
      <c r="J14" s="2590"/>
      <c r="K14" t="s">
        <v>9693</v>
      </c>
      <c r="L14">
        <v>2</v>
      </c>
      <c r="M14" s="2590"/>
      <c r="N14" s="2590"/>
      <c r="O14" s="2595"/>
      <c r="P14" s="2590"/>
      <c r="Q14"/>
      <c r="R14"/>
      <c r="S14"/>
      <c r="T14"/>
      <c r="U14"/>
      <c r="V14"/>
      <c r="W14"/>
      <c r="X14"/>
      <c r="Y14"/>
      <c r="Z14" s="2590"/>
    </row>
    <row r="15" spans="1:27">
      <c r="A15" s="2592"/>
      <c r="B15" s="2590"/>
      <c r="C15" s="2590"/>
      <c r="D15" s="2590"/>
      <c r="E15" s="2590"/>
      <c r="F15" s="2590"/>
      <c r="G15" s="2590"/>
      <c r="H15" s="2590"/>
      <c r="I15" s="2590"/>
      <c r="J15" s="2590"/>
      <c r="K15" s="2590"/>
      <c r="L15" s="2590"/>
      <c r="M15" s="2590"/>
      <c r="N15" s="2590"/>
      <c r="O15" s="2595"/>
      <c r="P15" s="2590"/>
      <c r="Q15"/>
      <c r="R15"/>
      <c r="S15"/>
      <c r="T15"/>
      <c r="U15"/>
      <c r="V15"/>
      <c r="W15"/>
      <c r="X15"/>
      <c r="Y15"/>
      <c r="Z15" s="2590"/>
    </row>
    <row r="16" spans="1:27">
      <c r="A16" s="2592"/>
      <c r="B16" s="2590"/>
      <c r="C16" s="2590"/>
      <c r="D16" s="2590"/>
      <c r="E16" s="2590"/>
      <c r="F16" s="2590"/>
      <c r="G16" s="2590"/>
      <c r="H16" s="2590"/>
      <c r="I16" s="2590"/>
      <c r="J16" s="2590"/>
      <c r="K16" t="s">
        <v>9694</v>
      </c>
      <c r="L16">
        <v>120</v>
      </c>
      <c r="M16" s="2590"/>
      <c r="N16" s="2590"/>
      <c r="O16" s="2595"/>
      <c r="P16" s="2590"/>
      <c r="Q16"/>
      <c r="R16"/>
      <c r="S16"/>
      <c r="T16"/>
      <c r="U16"/>
      <c r="V16"/>
      <c r="W16"/>
      <c r="X16"/>
      <c r="Y16"/>
      <c r="Z16" s="2590"/>
    </row>
    <row r="17" spans="1:32">
      <c r="A17" s="2592"/>
      <c r="B17" s="2590"/>
      <c r="C17" s="2590"/>
      <c r="D17" s="4963" t="s">
        <v>9695</v>
      </c>
      <c r="E17" s="4963"/>
      <c r="F17">
        <v>408</v>
      </c>
      <c r="G17" s="2590"/>
      <c r="H17" s="2590"/>
      <c r="I17" s="2590"/>
      <c r="J17" s="2590"/>
      <c r="K17" s="2590"/>
      <c r="L17" s="2590"/>
      <c r="M17" s="2590"/>
      <c r="N17" s="2590"/>
      <c r="O17" s="2595"/>
      <c r="P17" s="2590"/>
      <c r="Q17"/>
      <c r="R17"/>
      <c r="S17"/>
      <c r="T17"/>
      <c r="U17"/>
      <c r="V17"/>
      <c r="W17"/>
      <c r="X17"/>
      <c r="Y17"/>
      <c r="Z17" s="2590"/>
    </row>
    <row r="18" spans="1:32">
      <c r="A18" s="2592"/>
      <c r="B18" s="2590"/>
      <c r="C18" s="2590"/>
      <c r="D18" s="2590"/>
      <c r="E18" s="2590"/>
      <c r="F18" s="2590"/>
      <c r="G18" s="2590"/>
      <c r="H18" s="2590"/>
      <c r="I18" s="2590"/>
      <c r="J18"/>
      <c r="K18" t="s">
        <v>9696</v>
      </c>
      <c r="L18"/>
      <c r="N18" s="2590"/>
      <c r="O18" s="2595"/>
      <c r="P18" s="2590"/>
      <c r="Q18"/>
      <c r="R18"/>
      <c r="S18"/>
      <c r="T18"/>
      <c r="U18"/>
      <c r="V18"/>
      <c r="W18"/>
      <c r="X18"/>
      <c r="Y18"/>
      <c r="Z18" s="2590"/>
      <c r="AA18" s="2590"/>
    </row>
    <row r="19" spans="1:32">
      <c r="A19" s="2592"/>
      <c r="B19" s="2590"/>
      <c r="C19" s="2590"/>
      <c r="D19" s="2590"/>
      <c r="E19" s="2590"/>
      <c r="F19" s="2590"/>
      <c r="G19" s="2590"/>
      <c r="H19" s="2590"/>
      <c r="I19" s="2590"/>
      <c r="J19" s="2596"/>
      <c r="K19" t="s">
        <v>9697</v>
      </c>
      <c r="L19">
        <v>4</v>
      </c>
      <c r="N19" s="2590"/>
      <c r="O19" s="2595"/>
      <c r="P19" s="2590"/>
      <c r="Q19"/>
      <c r="R19"/>
      <c r="S19"/>
      <c r="T19"/>
      <c r="U19"/>
      <c r="V19"/>
      <c r="W19"/>
      <c r="X19"/>
      <c r="Y19"/>
      <c r="Z19" s="2590"/>
      <c r="AA19" s="2590"/>
    </row>
    <row r="20" spans="1:32">
      <c r="A20" s="2592"/>
      <c r="B20" s="2590"/>
      <c r="C20" s="2590"/>
      <c r="D20" s="2590"/>
      <c r="E20" s="2590"/>
      <c r="F20" s="2590"/>
      <c r="G20" s="2590"/>
      <c r="H20" s="2590"/>
      <c r="I20" s="2590"/>
      <c r="J20" t="s">
        <v>9698</v>
      </c>
      <c r="K20" s="2590"/>
      <c r="L20" s="2597"/>
      <c r="N20" s="2590"/>
      <c r="O20" s="2595"/>
      <c r="P20" s="2590"/>
      <c r="Q20"/>
      <c r="R20"/>
      <c r="S20"/>
      <c r="T20"/>
      <c r="U20"/>
      <c r="V20"/>
      <c r="W20"/>
      <c r="X20"/>
      <c r="Y20"/>
      <c r="Z20" s="2590"/>
      <c r="AA20" s="2590">
        <f>IF(L19=1,2710,0)</f>
        <v>0</v>
      </c>
    </row>
    <row r="21" spans="1:32">
      <c r="A21" s="2592"/>
      <c r="B21" s="2590"/>
      <c r="C21" s="2590"/>
      <c r="D21" s="2590"/>
      <c r="E21" s="2590"/>
      <c r="F21" s="2590"/>
      <c r="G21" s="2590"/>
      <c r="H21" s="2590"/>
      <c r="I21" s="2590"/>
      <c r="J21" t="s">
        <v>9699</v>
      </c>
      <c r="K21" s="2590"/>
      <c r="L21" s="2597"/>
      <c r="N21" s="2590"/>
      <c r="O21" s="2595"/>
      <c r="P21" s="2590"/>
      <c r="Q21"/>
      <c r="R21"/>
      <c r="S21"/>
      <c r="T21"/>
      <c r="U21"/>
      <c r="V21"/>
      <c r="W21"/>
      <c r="X21"/>
      <c r="Y21"/>
      <c r="Z21" s="2590"/>
      <c r="AA21" s="2590">
        <f>IF(L19=2,8600,0)</f>
        <v>0</v>
      </c>
    </row>
    <row r="22" spans="1:32">
      <c r="A22" s="2592"/>
      <c r="B22" s="2590"/>
      <c r="C22" s="2590"/>
      <c r="D22" s="2590"/>
      <c r="E22" s="2590"/>
      <c r="F22" s="2590"/>
      <c r="G22" s="2590"/>
      <c r="H22" s="2590"/>
      <c r="I22" s="2590"/>
      <c r="J22" t="s">
        <v>9700</v>
      </c>
      <c r="K22" s="2590"/>
      <c r="L22" s="2597"/>
      <c r="N22" s="2590"/>
      <c r="O22" s="2595"/>
      <c r="P22" s="2590"/>
      <c r="Q22"/>
      <c r="R22"/>
      <c r="S22"/>
      <c r="T22"/>
      <c r="U22"/>
      <c r="V22"/>
      <c r="W22"/>
      <c r="X22"/>
      <c r="Y22"/>
      <c r="Z22" s="2590"/>
      <c r="AA22" s="2590">
        <f>IF(L19=3,8900,0)</f>
        <v>0</v>
      </c>
    </row>
    <row r="23" spans="1:32">
      <c r="A23" s="2592"/>
      <c r="B23" s="2590"/>
      <c r="C23" s="2590"/>
      <c r="D23" s="2590"/>
      <c r="E23" s="2590"/>
      <c r="F23" s="2590"/>
      <c r="G23" s="2590"/>
      <c r="H23" s="2590"/>
      <c r="I23" s="2590"/>
      <c r="J23" t="s">
        <v>9701</v>
      </c>
      <c r="K23" s="2590"/>
      <c r="L23" s="2597"/>
      <c r="N23" s="2590"/>
      <c r="O23" s="2595"/>
      <c r="P23" s="2590"/>
      <c r="Q23"/>
      <c r="R23"/>
      <c r="S23"/>
      <c r="T23"/>
      <c r="U23"/>
      <c r="V23"/>
      <c r="W23"/>
      <c r="X23"/>
      <c r="Y23"/>
      <c r="Z23" s="2590"/>
      <c r="AA23" s="2590">
        <f>IF(L19=4,7850,0)</f>
        <v>7850</v>
      </c>
    </row>
    <row r="24" spans="1:32">
      <c r="A24" s="2592"/>
      <c r="B24" s="2590"/>
      <c r="C24" s="2590"/>
      <c r="D24" s="2590"/>
      <c r="E24" s="2590"/>
      <c r="F24" s="2590"/>
      <c r="G24" s="2590"/>
      <c r="H24" s="2590"/>
      <c r="I24" s="2590"/>
      <c r="J24" t="s">
        <v>9702</v>
      </c>
      <c r="K24" s="2590"/>
      <c r="L24" s="2597"/>
      <c r="N24" s="2590"/>
      <c r="O24" s="2595"/>
      <c r="P24" s="2590"/>
      <c r="Q24"/>
      <c r="R24"/>
      <c r="S24"/>
      <c r="T24"/>
      <c r="U24"/>
      <c r="V24"/>
      <c r="W24"/>
      <c r="X24"/>
      <c r="Y24"/>
      <c r="Z24" s="2590"/>
      <c r="AA24" s="2590">
        <f>IF(L19=5,7700,0)</f>
        <v>0</v>
      </c>
    </row>
    <row r="25" spans="1:32">
      <c r="A25" s="2592"/>
      <c r="B25" s="2590"/>
      <c r="C25" s="2590"/>
      <c r="D25" s="2590"/>
      <c r="E25" s="2590"/>
      <c r="F25" s="2590"/>
      <c r="G25" s="2590"/>
      <c r="H25" s="2590"/>
      <c r="I25" s="2590"/>
      <c r="J25" t="s">
        <v>9703</v>
      </c>
      <c r="K25" s="2590"/>
      <c r="L25" s="2597"/>
      <c r="N25" s="2590"/>
      <c r="O25" s="2595"/>
      <c r="P25" s="2590"/>
      <c r="Q25"/>
      <c r="R25"/>
      <c r="S25"/>
      <c r="T25"/>
      <c r="U25"/>
      <c r="V25"/>
      <c r="W25"/>
      <c r="X25"/>
      <c r="Y25"/>
      <c r="Z25" s="2590"/>
      <c r="AA25" s="2590">
        <f>IF(L19=6,8200,0)</f>
        <v>0</v>
      </c>
    </row>
    <row r="26" spans="1:32">
      <c r="A26" s="2592"/>
      <c r="B26" s="2590"/>
      <c r="C26" s="2590"/>
      <c r="D26" s="4963" t="s">
        <v>9704</v>
      </c>
      <c r="E26" s="4963"/>
      <c r="F26">
        <v>1200</v>
      </c>
      <c r="G26" s="2590"/>
      <c r="H26" s="2590"/>
      <c r="I26" s="2590"/>
      <c r="J26" t="s">
        <v>9705</v>
      </c>
      <c r="K26"/>
      <c r="L26"/>
      <c r="N26" s="2590"/>
      <c r="O26" s="2595"/>
      <c r="P26" s="2590"/>
      <c r="Q26"/>
      <c r="R26"/>
      <c r="S26"/>
      <c r="T26"/>
      <c r="U26"/>
      <c r="V26"/>
      <c r="W26"/>
      <c r="X26"/>
      <c r="Y26"/>
      <c r="Z26" s="2590"/>
      <c r="AA26" s="2590">
        <f>IF(L19=7,7950,0)</f>
        <v>0</v>
      </c>
    </row>
    <row r="27" spans="1:32">
      <c r="A27" s="2592"/>
      <c r="B27" s="2590"/>
      <c r="C27" s="2590"/>
      <c r="D27" s="2590"/>
      <c r="E27" s="2590"/>
      <c r="F27" s="2590"/>
      <c r="G27" s="2590"/>
      <c r="H27" s="2590"/>
      <c r="I27" s="2590"/>
      <c r="K27" s="2590"/>
      <c r="L27" s="2590"/>
      <c r="N27" s="2590"/>
      <c r="O27" s="2595"/>
      <c r="P27" s="2590"/>
      <c r="Q27"/>
      <c r="R27"/>
      <c r="S27"/>
      <c r="T27"/>
      <c r="U27"/>
      <c r="V27"/>
      <c r="W27"/>
      <c r="X27"/>
      <c r="Y27"/>
      <c r="Z27" s="2590"/>
      <c r="AA27" s="2590">
        <f>SUM(AA20:AA26)</f>
        <v>7850</v>
      </c>
    </row>
    <row r="28" spans="1:32">
      <c r="A28" s="2592"/>
      <c r="B28" s="2590"/>
      <c r="C28" s="2590"/>
      <c r="D28" s="2590"/>
      <c r="E28" s="2590"/>
      <c r="F28" s="2590"/>
      <c r="G28" s="2590"/>
      <c r="H28" s="2590"/>
      <c r="I28" s="2590"/>
      <c r="J28" s="2590"/>
      <c r="K28" s="2590"/>
      <c r="L28" s="2590"/>
      <c r="M28" s="2590"/>
      <c r="N28" s="2590"/>
      <c r="O28" s="2595"/>
      <c r="P28" s="2590"/>
      <c r="Q28"/>
      <c r="R28"/>
      <c r="S28"/>
      <c r="T28"/>
      <c r="U28"/>
      <c r="V28"/>
      <c r="W28"/>
      <c r="X28"/>
      <c r="Y28"/>
      <c r="Z28" s="2590"/>
      <c r="AA28" s="2590"/>
      <c r="AB28" s="2590"/>
      <c r="AC28" s="2590"/>
      <c r="AD28" s="2590"/>
      <c r="AE28" s="2590"/>
      <c r="AF28" s="2590"/>
    </row>
    <row r="29" spans="1:32">
      <c r="A29" s="2592"/>
      <c r="B29" s="2590"/>
      <c r="C29" s="2590"/>
      <c r="D29" s="2590"/>
      <c r="E29" s="2590"/>
      <c r="F29" s="2590"/>
      <c r="G29" s="2590"/>
      <c r="H29" s="2590"/>
      <c r="I29" s="2590"/>
      <c r="J29" s="2590"/>
      <c r="K29" s="2590"/>
      <c r="L29" s="2590"/>
      <c r="M29" s="2590"/>
      <c r="N29" s="2590"/>
      <c r="O29" s="2595"/>
      <c r="P29" s="2590"/>
      <c r="Q29"/>
      <c r="R29"/>
      <c r="S29"/>
      <c r="T29"/>
      <c r="U29"/>
      <c r="V29"/>
      <c r="W29"/>
      <c r="X29"/>
      <c r="Y29"/>
      <c r="Z29" s="2590"/>
      <c r="AA29" s="2590"/>
      <c r="AB29" s="2590"/>
      <c r="AC29" s="2590"/>
      <c r="AD29" s="2590"/>
      <c r="AE29" s="2590"/>
      <c r="AF29" s="2590"/>
    </row>
    <row r="30" spans="1:32">
      <c r="A30"/>
      <c r="B30" s="2593"/>
      <c r="C30" s="2593"/>
      <c r="D30" s="2593"/>
      <c r="E30" s="2593"/>
      <c r="F30" s="2593"/>
      <c r="G30" s="2593"/>
      <c r="H30" s="2593"/>
      <c r="I30" s="2593"/>
      <c r="J30" s="2593"/>
      <c r="K30" s="2593"/>
      <c r="L30" s="2593"/>
      <c r="M30" s="2593"/>
      <c r="N30" s="2593"/>
      <c r="O30" s="2598"/>
      <c r="P30" s="2590"/>
      <c r="Q30"/>
      <c r="R30"/>
      <c r="S30"/>
      <c r="T30"/>
      <c r="U30"/>
      <c r="V30"/>
      <c r="W30"/>
      <c r="X30"/>
      <c r="Y30"/>
      <c r="Z30" s="2590"/>
      <c r="AA30" s="2590"/>
      <c r="AB30" s="2590"/>
      <c r="AC30" s="2590"/>
      <c r="AD30" s="2590"/>
      <c r="AE30" s="2590"/>
      <c r="AF30" s="2590"/>
    </row>
    <row r="31" spans="1:32">
      <c r="A31" s="2590"/>
      <c r="B31" s="2590"/>
      <c r="C31" s="2590"/>
      <c r="D31" s="2590"/>
      <c r="E31" s="2590"/>
      <c r="F31" s="2590"/>
      <c r="G31" s="2590"/>
      <c r="H31" s="2590"/>
      <c r="I31" s="2590"/>
      <c r="J31" s="2590"/>
      <c r="K31" s="2590"/>
      <c r="L31" s="2590"/>
      <c r="M31" s="2590"/>
      <c r="N31" s="2590"/>
      <c r="O31" s="2590"/>
      <c r="P31" s="2590"/>
      <c r="Q31" s="2590"/>
      <c r="R31" s="2590"/>
      <c r="S31" s="2590"/>
      <c r="T31" s="2590"/>
      <c r="U31" s="2590"/>
      <c r="V31" s="2590"/>
      <c r="W31" s="2590"/>
      <c r="X31" s="2590"/>
      <c r="Y31" s="2590"/>
      <c r="Z31" s="2590"/>
      <c r="AA31" s="2590"/>
      <c r="AB31" s="2590"/>
      <c r="AC31" s="2590"/>
      <c r="AD31" s="2590"/>
      <c r="AE31" s="2590"/>
      <c r="AF31" s="2590"/>
    </row>
    <row r="32" spans="1:32">
      <c r="A32" s="2590"/>
      <c r="B32" s="2590"/>
      <c r="C32" s="2590"/>
      <c r="D32" s="2590"/>
      <c r="E32" s="2590"/>
      <c r="F32" s="2590"/>
      <c r="G32" s="2590"/>
      <c r="H32" s="2590"/>
      <c r="I32" s="2590"/>
      <c r="J32" s="2590"/>
      <c r="K32" s="2590"/>
      <c r="L32" s="2590"/>
      <c r="M32" s="2590"/>
      <c r="N32" s="2590"/>
      <c r="O32" s="2590"/>
      <c r="P32" s="2590"/>
      <c r="Q32" s="2590"/>
      <c r="R32" s="2590"/>
      <c r="S32" s="2590"/>
      <c r="T32" s="2590"/>
      <c r="U32" s="2590"/>
      <c r="V32" s="2590"/>
      <c r="W32" s="2590"/>
      <c r="X32" s="2590"/>
      <c r="Y32" s="2590"/>
      <c r="Z32" s="2590"/>
      <c r="AA32" s="2590"/>
      <c r="AB32" s="2590"/>
      <c r="AC32" s="2590"/>
      <c r="AD32" s="2590"/>
      <c r="AE32" s="2590"/>
      <c r="AF32" s="2590"/>
    </row>
    <row r="33" spans="1:32">
      <c r="A33" s="2590"/>
      <c r="B33" s="2590"/>
      <c r="C33" s="2590"/>
      <c r="D33" s="2590"/>
      <c r="E33" s="2590"/>
      <c r="F33" s="2590"/>
      <c r="G33" s="2590"/>
      <c r="H33" s="2590"/>
      <c r="I33" s="2590"/>
      <c r="J33" s="2590"/>
      <c r="K33" s="2590"/>
      <c r="L33" s="2590"/>
      <c r="M33" s="2590"/>
      <c r="N33" s="2590"/>
      <c r="O33" s="2590"/>
      <c r="P33" s="2590"/>
      <c r="Q33" s="2590"/>
      <c r="R33" s="2590"/>
      <c r="S33" s="2590"/>
      <c r="T33" s="2590"/>
      <c r="U33" s="2590"/>
      <c r="V33" s="2590"/>
      <c r="W33" s="2590"/>
      <c r="X33" s="2590"/>
      <c r="Y33" s="2590"/>
      <c r="Z33" s="2590"/>
      <c r="AA33" s="2590"/>
      <c r="AB33" s="2590"/>
      <c r="AC33" s="2590"/>
      <c r="AD33" s="2590"/>
      <c r="AE33" s="2590"/>
      <c r="AF33" s="2590"/>
    </row>
    <row r="34" spans="1:32">
      <c r="A34" s="2590"/>
      <c r="B34" s="2590"/>
      <c r="C34" s="2590"/>
      <c r="D34" s="2590"/>
      <c r="E34" s="2590"/>
      <c r="F34" s="2590"/>
      <c r="G34" s="2590"/>
      <c r="H34" s="2590"/>
      <c r="I34" s="2590"/>
      <c r="J34" s="2590"/>
      <c r="K34" s="2590"/>
      <c r="L34" s="2590"/>
      <c r="M34" s="2590"/>
      <c r="N34" s="2590"/>
      <c r="O34" s="2590"/>
      <c r="P34" s="2590"/>
      <c r="Q34" s="2590"/>
      <c r="R34" s="2590"/>
      <c r="S34" s="2590"/>
      <c r="T34" s="2590"/>
      <c r="U34" s="2590"/>
      <c r="V34" s="2590"/>
      <c r="W34" s="2590"/>
      <c r="X34" s="2590"/>
      <c r="Y34" s="2590"/>
      <c r="Z34" s="2590"/>
      <c r="AA34" s="2590"/>
      <c r="AB34" s="2590"/>
      <c r="AC34" s="2590"/>
      <c r="AD34" s="2590"/>
      <c r="AE34" s="2590"/>
      <c r="AF34" s="2590"/>
    </row>
    <row r="35" spans="1:32">
      <c r="A35" s="2590"/>
      <c r="B35" s="2590"/>
      <c r="C35" s="2590"/>
      <c r="D35" s="2590"/>
      <c r="E35" s="2590"/>
      <c r="F35" s="2590"/>
      <c r="G35" s="2590"/>
      <c r="H35" s="2590"/>
      <c r="I35" s="2590"/>
      <c r="J35" s="2590"/>
      <c r="K35" s="2590"/>
      <c r="L35" s="2590"/>
      <c r="M35" s="2590"/>
      <c r="N35" s="2590"/>
      <c r="O35" s="2590"/>
      <c r="P35" s="2590"/>
      <c r="Q35" s="2590"/>
      <c r="R35" s="2590"/>
      <c r="S35" s="2590"/>
      <c r="T35" s="2590"/>
      <c r="U35" s="2590"/>
      <c r="V35" s="2590"/>
      <c r="W35" s="2590"/>
      <c r="X35" s="2590"/>
      <c r="Y35" s="2590"/>
      <c r="Z35" s="2590"/>
      <c r="AA35" s="2590"/>
      <c r="AB35" s="2590"/>
      <c r="AC35" s="2590"/>
      <c r="AD35" s="2590"/>
      <c r="AE35" s="2590"/>
      <c r="AF35" s="2590"/>
    </row>
    <row r="36" spans="1:32">
      <c r="A36" s="2590"/>
      <c r="B36" s="2590"/>
      <c r="C36" s="2590"/>
      <c r="D36" s="2590"/>
      <c r="E36" s="2590"/>
      <c r="F36" s="2590"/>
      <c r="G36" s="2590"/>
      <c r="H36" s="2590"/>
      <c r="I36" s="2590"/>
      <c r="J36" s="2590"/>
      <c r="K36" s="2590"/>
      <c r="L36" s="2590"/>
      <c r="M36" s="2590"/>
      <c r="N36" s="2590"/>
      <c r="O36" s="2590"/>
      <c r="P36" s="2590"/>
      <c r="Q36" s="2590"/>
      <c r="R36" s="2590"/>
      <c r="S36" s="2590"/>
      <c r="T36" s="2590"/>
      <c r="U36" s="2590"/>
      <c r="V36" s="2590"/>
      <c r="W36" s="2590"/>
      <c r="X36" s="2590"/>
      <c r="Y36" s="2590"/>
      <c r="Z36" s="2590"/>
      <c r="AA36" s="2590"/>
      <c r="AB36" s="2590"/>
      <c r="AC36" s="2590"/>
      <c r="AD36" s="2590"/>
      <c r="AE36" s="2590"/>
      <c r="AF36" s="2590"/>
    </row>
    <row r="37" spans="1:32">
      <c r="A37" s="2590"/>
      <c r="B37" s="2590"/>
      <c r="C37" s="2590"/>
      <c r="D37" s="2590"/>
      <c r="E37" s="2590"/>
      <c r="F37" s="2590"/>
      <c r="G37" s="2590"/>
      <c r="H37" s="2590"/>
      <c r="I37" s="2590"/>
      <c r="J37" s="2590"/>
      <c r="K37" s="2590"/>
      <c r="L37" s="2590"/>
      <c r="M37" s="2590"/>
      <c r="N37" s="2590"/>
      <c r="O37" s="2590"/>
      <c r="P37" s="2590"/>
      <c r="Q37" s="2590"/>
      <c r="R37" s="2590"/>
      <c r="S37" s="2590"/>
      <c r="T37" s="2590"/>
      <c r="U37" s="2590"/>
      <c r="V37" s="2590"/>
      <c r="W37" s="2590"/>
      <c r="X37" s="2590"/>
      <c r="Y37" s="2590"/>
      <c r="Z37" s="2590"/>
      <c r="AA37" s="2590"/>
      <c r="AB37" s="2590"/>
      <c r="AC37" s="2590"/>
      <c r="AD37" s="2590"/>
      <c r="AE37" s="2590"/>
      <c r="AF37" s="2590"/>
    </row>
    <row r="38" spans="1:32">
      <c r="A38" s="2590"/>
      <c r="B38" s="2590"/>
      <c r="C38" s="2590"/>
      <c r="D38" s="2590"/>
      <c r="E38" s="2590"/>
      <c r="F38" s="2590"/>
      <c r="G38" s="2590"/>
      <c r="H38" s="2590"/>
      <c r="I38" s="2590"/>
      <c r="J38" s="2590"/>
      <c r="K38" s="2590"/>
      <c r="L38" s="2590"/>
      <c r="M38" s="2590"/>
      <c r="N38" s="2590"/>
      <c r="O38" s="2590"/>
      <c r="P38" s="2590"/>
      <c r="Q38" s="2590"/>
      <c r="R38" s="2590"/>
      <c r="S38" s="2590"/>
      <c r="T38" s="2590"/>
      <c r="U38" s="2590"/>
      <c r="V38" s="2590"/>
      <c r="W38" s="2590"/>
      <c r="X38" s="2590"/>
      <c r="Y38" s="2590"/>
      <c r="Z38" s="2590"/>
      <c r="AA38" s="2590"/>
      <c r="AB38" s="2590"/>
      <c r="AC38" s="2590"/>
      <c r="AD38" s="2590"/>
      <c r="AE38" s="2590"/>
      <c r="AF38" s="2590"/>
    </row>
    <row r="39" spans="1:32">
      <c r="A39" s="2590"/>
      <c r="B39" s="2590"/>
      <c r="C39" s="2590"/>
      <c r="D39" s="2590"/>
      <c r="E39" s="2590"/>
      <c r="F39" s="2590"/>
      <c r="G39" s="2590"/>
      <c r="H39" s="2590"/>
      <c r="I39" s="2590"/>
      <c r="J39" s="2590"/>
      <c r="K39" s="2590"/>
      <c r="L39" s="2590"/>
      <c r="M39" s="2590"/>
      <c r="N39" s="2590"/>
      <c r="O39" s="2590"/>
      <c r="P39" s="2590"/>
      <c r="Q39" s="2590"/>
      <c r="R39" s="2590"/>
      <c r="S39" s="2590"/>
      <c r="T39" s="2590"/>
      <c r="U39" s="2590"/>
      <c r="V39" s="2590"/>
      <c r="W39" s="2590"/>
      <c r="X39" s="2590"/>
      <c r="Y39" s="2590"/>
      <c r="Z39" s="2590"/>
      <c r="AA39" s="2590"/>
      <c r="AB39" s="2590"/>
      <c r="AC39" s="2590"/>
      <c r="AD39" s="2590"/>
      <c r="AE39" s="2590"/>
      <c r="AF39" s="2590"/>
    </row>
    <row r="40" spans="1:32">
      <c r="A40" s="2590"/>
      <c r="B40" s="2590"/>
      <c r="C40" s="2590"/>
      <c r="D40" s="2590"/>
      <c r="E40" s="2590"/>
      <c r="F40" s="2590"/>
      <c r="G40" s="2590"/>
      <c r="H40" s="2590"/>
      <c r="I40" s="2590"/>
      <c r="J40" s="2590"/>
      <c r="K40" s="2590"/>
      <c r="L40" s="2590"/>
      <c r="M40" s="2590"/>
      <c r="N40" s="2590"/>
      <c r="O40" s="2590"/>
      <c r="P40" s="2590"/>
      <c r="Q40" s="2590"/>
      <c r="R40" s="2590"/>
      <c r="S40" s="2590"/>
      <c r="T40" s="2590"/>
      <c r="U40" s="2590"/>
      <c r="V40" s="2590"/>
      <c r="W40" s="2590"/>
      <c r="X40" s="2590"/>
      <c r="Y40" s="2590"/>
      <c r="Z40" s="2590"/>
      <c r="AA40" s="2590"/>
      <c r="AB40" s="2590"/>
      <c r="AC40" s="2590"/>
      <c r="AD40" s="2590"/>
      <c r="AE40" s="2590"/>
      <c r="AF40" s="2590"/>
    </row>
    <row r="41" spans="1:32">
      <c r="W41" s="2590"/>
      <c r="X41" s="2590"/>
      <c r="Y41" s="2590"/>
      <c r="Z41" s="2590"/>
    </row>
    <row r="42" spans="1:32">
      <c r="W42" s="2590"/>
      <c r="X42" s="2590"/>
      <c r="Y42" s="2590"/>
      <c r="Z42" s="2590"/>
    </row>
    <row r="43" spans="1:32">
      <c r="W43" s="2590"/>
      <c r="X43" s="2590"/>
      <c r="Y43" s="2590"/>
      <c r="Z43" s="2590"/>
    </row>
    <row r="44" spans="1:32">
      <c r="W44" s="2590"/>
      <c r="X44" s="2590"/>
      <c r="Y44" s="2590"/>
      <c r="Z44" s="2590"/>
    </row>
    <row r="45" spans="1:32">
      <c r="W45" s="2590"/>
      <c r="X45" s="2590"/>
      <c r="Y45" s="2590"/>
      <c r="Z45" s="2590"/>
    </row>
    <row r="46" spans="1:32">
      <c r="W46" s="2590"/>
      <c r="X46" s="2590"/>
      <c r="Y46" s="2590"/>
      <c r="Z46" s="2590"/>
    </row>
    <row r="47" spans="1:32">
      <c r="W47" s="2590"/>
      <c r="X47" s="2590"/>
      <c r="Y47" s="2590"/>
      <c r="Z47" s="2590"/>
    </row>
    <row r="48" spans="1:32">
      <c r="W48" s="2590"/>
      <c r="X48" s="2590"/>
      <c r="Y48" s="2590"/>
      <c r="Z48" s="2590"/>
    </row>
    <row r="49" spans="23:26">
      <c r="W49" s="2590"/>
      <c r="X49" s="2590"/>
      <c r="Y49" s="2590"/>
      <c r="Z49" s="2590"/>
    </row>
    <row r="50" spans="23:26">
      <c r="W50" s="2590"/>
      <c r="X50" s="2590"/>
      <c r="Y50" s="2590"/>
      <c r="Z50" s="2590"/>
    </row>
    <row r="51" spans="23:26">
      <c r="W51" s="2590"/>
      <c r="X51" s="2590"/>
      <c r="Y51" s="2590"/>
      <c r="Z51" s="2590"/>
    </row>
    <row r="52" spans="23:26">
      <c r="W52" s="2590"/>
      <c r="X52" s="2590"/>
      <c r="Y52" s="2590"/>
      <c r="Z52" s="2590"/>
    </row>
    <row r="53" spans="23:26">
      <c r="W53" s="2590"/>
      <c r="X53" s="2590"/>
      <c r="Y53" s="2590"/>
      <c r="Z53" s="2590"/>
    </row>
    <row r="54" spans="23:26">
      <c r="W54" s="2590"/>
      <c r="X54" s="2590"/>
      <c r="Y54" s="2590"/>
      <c r="Z54" s="2590"/>
    </row>
    <row r="55" spans="23:26">
      <c r="W55" s="2590"/>
      <c r="X55" s="2590"/>
      <c r="Y55" s="2590"/>
      <c r="Z55" s="2590"/>
    </row>
    <row r="56" spans="23:26">
      <c r="W56" s="2590"/>
      <c r="X56" s="2590"/>
      <c r="Y56" s="2590"/>
      <c r="Z56" s="2590"/>
    </row>
    <row r="57" spans="23:26">
      <c r="W57" s="2590"/>
      <c r="X57" s="2590"/>
      <c r="Y57" s="2590"/>
      <c r="Z57" s="2590"/>
    </row>
    <row r="58" spans="23:26">
      <c r="W58" s="2590"/>
      <c r="X58" s="2590"/>
      <c r="Y58" s="2590"/>
      <c r="Z58" s="2590"/>
    </row>
    <row r="59" spans="23:26">
      <c r="W59" s="2590"/>
      <c r="X59" s="2590"/>
      <c r="Y59" s="2590"/>
      <c r="Z59" s="2590"/>
    </row>
    <row r="60" spans="23:26">
      <c r="W60" s="2590"/>
      <c r="X60" s="2590"/>
      <c r="Y60" s="2590"/>
      <c r="Z60" s="2590"/>
    </row>
    <row r="61" spans="23:26">
      <c r="W61" s="2590"/>
      <c r="X61" s="2590"/>
      <c r="Y61" s="2590"/>
      <c r="Z61" s="2590"/>
    </row>
    <row r="62" spans="23:26">
      <c r="W62" s="2590"/>
      <c r="X62" s="2590"/>
      <c r="Y62" s="2590"/>
      <c r="Z62" s="2590"/>
    </row>
    <row r="63" spans="23:26">
      <c r="W63" s="2590"/>
      <c r="X63" s="2590"/>
      <c r="Y63" s="2590"/>
      <c r="Z63" s="2590"/>
    </row>
    <row r="64" spans="23:26">
      <c r="W64" s="2590"/>
      <c r="X64" s="2590"/>
      <c r="Y64" s="2590"/>
      <c r="Z64" s="2590"/>
    </row>
    <row r="65" spans="23:26">
      <c r="W65" s="2590"/>
      <c r="X65" s="2590"/>
      <c r="Y65" s="2590"/>
      <c r="Z65" s="2590"/>
    </row>
    <row r="66" spans="23:26">
      <c r="W66" s="2590"/>
      <c r="X66" s="2590"/>
      <c r="Y66" s="2590"/>
      <c r="Z66" s="2590"/>
    </row>
    <row r="67" spans="23:26">
      <c r="W67" s="2590"/>
      <c r="X67" s="2590"/>
      <c r="Y67" s="2590"/>
      <c r="Z67" s="2590"/>
    </row>
    <row r="68" spans="23:26">
      <c r="W68" s="2590"/>
      <c r="X68" s="2590"/>
      <c r="Y68" s="2590"/>
      <c r="Z68" s="2590"/>
    </row>
    <row r="69" spans="23:26">
      <c r="W69" s="2590"/>
      <c r="X69" s="2590"/>
      <c r="Y69" s="2590"/>
      <c r="Z69" s="2590"/>
    </row>
    <row r="70" spans="23:26">
      <c r="W70" s="2590"/>
      <c r="X70" s="2590"/>
      <c r="Y70" s="2590"/>
      <c r="Z70" s="2590"/>
    </row>
    <row r="71" spans="23:26">
      <c r="W71" s="2590"/>
      <c r="X71" s="2590"/>
      <c r="Y71" s="2590"/>
      <c r="Z71" s="2590"/>
    </row>
    <row r="72" spans="23:26">
      <c r="W72" s="2590"/>
      <c r="X72" s="2590"/>
      <c r="Y72" s="2590"/>
      <c r="Z72" s="2590"/>
    </row>
    <row r="73" spans="23:26">
      <c r="W73" s="2590"/>
      <c r="X73" s="2590"/>
      <c r="Y73" s="2590"/>
      <c r="Z73" s="2590"/>
    </row>
    <row r="74" spans="23:26">
      <c r="W74" s="2590"/>
      <c r="X74" s="2590"/>
      <c r="Y74" s="2590"/>
      <c r="Z74" s="2590"/>
    </row>
    <row r="75" spans="23:26">
      <c r="W75" s="2590"/>
      <c r="X75" s="2590"/>
      <c r="Y75" s="2590"/>
      <c r="Z75" s="2590"/>
    </row>
    <row r="76" spans="23:26">
      <c r="W76" s="2590"/>
      <c r="X76" s="2590"/>
      <c r="Y76" s="2590"/>
      <c r="Z76" s="2590"/>
    </row>
    <row r="77" spans="23:26">
      <c r="W77" s="2590"/>
      <c r="X77" s="2590"/>
      <c r="Y77" s="2590"/>
      <c r="Z77" s="2590"/>
    </row>
    <row r="78" spans="23:26">
      <c r="W78" s="2590"/>
      <c r="X78" s="2590"/>
      <c r="Y78" s="2590"/>
      <c r="Z78" s="2590"/>
    </row>
  </sheetData>
  <mergeCells count="9">
    <mergeCell ref="X4:Y4"/>
    <mergeCell ref="Q6:R6"/>
    <mergeCell ref="J12:K12"/>
    <mergeCell ref="D17:E17"/>
    <mergeCell ref="D26:E26"/>
    <mergeCell ref="A3:D3"/>
    <mergeCell ref="E3:F3"/>
    <mergeCell ref="A4:D4"/>
    <mergeCell ref="E4:F4"/>
  </mergeCells>
  <phoneticPr fontId="214" type="noConversion"/>
  <pageMargins left="0.55000000000000004" right="0.55000000000000004" top="0.78888888888888897" bottom="0.58888888888888902" header="0.70902777777777803" footer="0.50902777777777797"/>
  <pageSetup paperSize="9" orientation="landscape"/>
  <headerFooter scaleWithDoc="0" alignWithMargins="0"/>
  <drawing r:id="rId1"/>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dimension ref="B1:AG36"/>
  <sheetViews>
    <sheetView showGridLines="0" showOutlineSymbols="0" workbookViewId="0">
      <selection activeCell="G1" sqref="G1"/>
    </sheetView>
  </sheetViews>
  <sheetFormatPr defaultColWidth="8.125" defaultRowHeight="14.25"/>
  <cols>
    <col min="1" max="1" width="3.5" customWidth="1"/>
    <col min="2" max="3" width="7.125" customWidth="1"/>
    <col min="4" max="4" width="3.375" customWidth="1"/>
    <col min="5" max="5" width="7.125" customWidth="1"/>
    <col min="6" max="6" width="7.75" customWidth="1"/>
    <col min="7" max="8" width="5.25" customWidth="1"/>
    <col min="9" max="9" width="7.25" customWidth="1"/>
    <col min="10" max="10" width="4.875" customWidth="1"/>
    <col min="11" max="12" width="3.875" customWidth="1"/>
    <col min="13" max="13" width="5.25" customWidth="1"/>
    <col min="14" max="27" width="3.875" customWidth="1"/>
    <col min="28" max="28" width="5.125" customWidth="1"/>
    <col min="29" max="29" width="7.25" customWidth="1"/>
    <col min="30" max="30" width="7" customWidth="1"/>
    <col min="31" max="31" width="3" hidden="1" customWidth="1"/>
    <col min="32" max="32" width="4.25" hidden="1" customWidth="1"/>
    <col min="33" max="33" width="6.5" hidden="1" customWidth="1"/>
  </cols>
  <sheetData>
    <row r="1" spans="2:33" ht="25.9" customHeight="1">
      <c r="B1" t="s">
        <v>9706</v>
      </c>
    </row>
    <row r="2" spans="2:33" ht="31.9" customHeight="1"/>
    <row r="3" spans="2:33" ht="27.95" customHeight="1">
      <c r="B3" s="4963" t="s">
        <v>9707</v>
      </c>
      <c r="C3" s="4963"/>
      <c r="D3" s="4963"/>
      <c r="E3" s="1611">
        <f>C10*C13*AE32*(1+AE34)*(1+AE35)*(1+AE36)/1000</f>
        <v>135.4752</v>
      </c>
      <c r="F3" t="s">
        <v>9708</v>
      </c>
      <c r="H3" t="s">
        <v>9709</v>
      </c>
      <c r="L3" s="4967">
        <f>E3*AG32*C10</f>
        <v>69.940808214827399</v>
      </c>
      <c r="M3" s="4967"/>
      <c r="N3" s="4963" t="s">
        <v>9710</v>
      </c>
      <c r="O3" s="4963"/>
      <c r="P3" t="str">
        <f>IF(C5=1,"  ",IF(C5=2,"  ","B.選擇材料特性錯誤"))</f>
        <v/>
      </c>
      <c r="Y3" s="4963" t="s">
        <v>9711</v>
      </c>
      <c r="Z3" s="4963"/>
      <c r="AA3" s="4963">
        <f ca="1">TODAY()</f>
        <v>45979</v>
      </c>
      <c r="AB3" s="4963"/>
      <c r="AC3" s="4963"/>
    </row>
    <row r="4" spans="2:33">
      <c r="B4" s="4964" t="s">
        <v>9712</v>
      </c>
      <c r="C4" s="4965"/>
      <c r="E4" s="4966" t="s">
        <v>9713</v>
      </c>
      <c r="F4" s="4963"/>
      <c r="H4" s="2579"/>
      <c r="J4" s="4963" t="s">
        <v>9714</v>
      </c>
      <c r="K4" s="4963"/>
      <c r="L4" s="4963"/>
      <c r="M4" s="4963"/>
      <c r="N4" s="4963"/>
    </row>
    <row r="5" spans="2:33">
      <c r="B5" s="2580" t="s">
        <v>9715</v>
      </c>
      <c r="C5" s="2581">
        <v>2</v>
      </c>
      <c r="E5" s="2580" t="s">
        <v>9715</v>
      </c>
      <c r="F5" s="2582">
        <v>11</v>
      </c>
      <c r="G5" t="s">
        <v>9716</v>
      </c>
      <c r="H5" s="234" t="s">
        <v>9717</v>
      </c>
      <c r="J5" t="s">
        <v>9718</v>
      </c>
      <c r="N5" t="s">
        <v>9719</v>
      </c>
      <c r="R5" t="s">
        <v>9720</v>
      </c>
      <c r="V5" t="s">
        <v>9721</v>
      </c>
      <c r="Z5" t="s">
        <v>9722</v>
      </c>
    </row>
    <row r="6" spans="2:33">
      <c r="B6" s="2583" t="s">
        <v>9723</v>
      </c>
      <c r="C6" s="2584"/>
      <c r="E6" s="2583" t="s">
        <v>9724</v>
      </c>
      <c r="F6" s="2585"/>
      <c r="G6" s="2585">
        <v>3</v>
      </c>
      <c r="H6" s="2584" t="s">
        <v>9725</v>
      </c>
      <c r="J6" s="2588"/>
      <c r="K6" s="2588"/>
      <c r="L6" s="2588"/>
      <c r="M6" s="2579"/>
      <c r="AE6" t="str">
        <f t="shared" ref="AE6:AE29" si="0">IF($C$5=1,G6,IF($C$5=2,H6,0))</f>
        <v>---</v>
      </c>
      <c r="AF6">
        <f>IF($F$5=1,AE6,0)</f>
        <v>0</v>
      </c>
      <c r="AG6" t="str">
        <f t="shared" ref="AG6:AG29" si="1">IF(AF6=0,"  ",(1/AF6^0.3)*1.5)</f>
        <v/>
      </c>
    </row>
    <row r="7" spans="2:33" ht="16.5" customHeight="1">
      <c r="B7" s="2586" t="s">
        <v>9726</v>
      </c>
      <c r="C7" s="2587"/>
      <c r="E7" s="2583" t="s">
        <v>9727</v>
      </c>
      <c r="F7" s="2585"/>
      <c r="G7" s="2585">
        <v>4</v>
      </c>
      <c r="H7" s="2584" t="s">
        <v>9725</v>
      </c>
      <c r="J7" s="684"/>
      <c r="K7" s="684"/>
      <c r="L7" s="684"/>
      <c r="M7" s="234"/>
      <c r="AE7" t="str">
        <f t="shared" si="0"/>
        <v>---</v>
      </c>
      <c r="AF7">
        <f>IF($F$5=2,AE7,0)</f>
        <v>0</v>
      </c>
      <c r="AG7" t="str">
        <f t="shared" si="1"/>
        <v/>
      </c>
    </row>
    <row r="8" spans="2:33">
      <c r="E8" s="2583" t="s">
        <v>9728</v>
      </c>
      <c r="F8" s="2585"/>
      <c r="G8" s="2585">
        <v>9</v>
      </c>
      <c r="H8" s="2584">
        <v>16</v>
      </c>
      <c r="J8" s="684"/>
      <c r="K8" s="684"/>
      <c r="L8" s="684"/>
      <c r="M8" s="234"/>
      <c r="AE8">
        <f t="shared" si="0"/>
        <v>16</v>
      </c>
      <c r="AF8">
        <f>IF($F$5=3,AE8,0)</f>
        <v>0</v>
      </c>
      <c r="AG8" t="str">
        <f t="shared" si="1"/>
        <v/>
      </c>
    </row>
    <row r="9" spans="2:33">
      <c r="B9" s="2578" t="s">
        <v>9729</v>
      </c>
      <c r="C9" s="2579"/>
      <c r="E9" s="2583" t="s">
        <v>9730</v>
      </c>
      <c r="F9" s="2585"/>
      <c r="G9" s="2585">
        <v>22</v>
      </c>
      <c r="H9" s="2584">
        <v>36</v>
      </c>
      <c r="J9" s="684"/>
      <c r="K9" s="684"/>
      <c r="L9" s="684"/>
      <c r="M9" s="234"/>
      <c r="AE9">
        <f t="shared" si="0"/>
        <v>36</v>
      </c>
      <c r="AF9">
        <f>IF($F$5=4,AE9,0)</f>
        <v>0</v>
      </c>
      <c r="AG9" t="str">
        <f t="shared" si="1"/>
        <v/>
      </c>
    </row>
    <row r="10" spans="2:33">
      <c r="B10" s="2580" t="s">
        <v>9731</v>
      </c>
      <c r="C10" s="2581">
        <v>1</v>
      </c>
      <c r="E10" s="2583" t="s">
        <v>9732</v>
      </c>
      <c r="F10" s="2585"/>
      <c r="G10" s="2585">
        <v>11</v>
      </c>
      <c r="H10" s="2584">
        <v>18</v>
      </c>
      <c r="J10" s="684"/>
      <c r="K10" s="684"/>
      <c r="L10" s="684"/>
      <c r="M10" s="234"/>
      <c r="S10" t="s">
        <v>1874</v>
      </c>
      <c r="T10" t="s">
        <v>2534</v>
      </c>
      <c r="U10" t="s">
        <v>9733</v>
      </c>
      <c r="AA10" t="s">
        <v>1874</v>
      </c>
      <c r="AB10" t="s">
        <v>2534</v>
      </c>
      <c r="AC10" t="s">
        <v>9733</v>
      </c>
      <c r="AE10">
        <f t="shared" si="0"/>
        <v>18</v>
      </c>
      <c r="AF10">
        <f>IF($F$5=5,AE10,0)</f>
        <v>0</v>
      </c>
      <c r="AG10" t="str">
        <f t="shared" si="1"/>
        <v/>
      </c>
    </row>
    <row r="11" spans="2:33">
      <c r="E11" s="2583" t="s">
        <v>9734</v>
      </c>
      <c r="F11" s="2585"/>
      <c r="G11" s="2585">
        <v>12</v>
      </c>
      <c r="H11" s="2584">
        <v>20</v>
      </c>
      <c r="J11" s="684"/>
      <c r="K11" s="684"/>
      <c r="L11" s="684"/>
      <c r="M11" s="234"/>
      <c r="O11" t="s">
        <v>1874</v>
      </c>
      <c r="P11" t="s">
        <v>2534</v>
      </c>
      <c r="Q11" t="s">
        <v>9733</v>
      </c>
      <c r="R11" t="s">
        <v>9735</v>
      </c>
      <c r="W11" t="s">
        <v>1874</v>
      </c>
      <c r="X11" t="s">
        <v>2534</v>
      </c>
      <c r="Y11" t="s">
        <v>9733</v>
      </c>
      <c r="Z11" t="s">
        <v>9736</v>
      </c>
      <c r="AE11">
        <f t="shared" si="0"/>
        <v>20</v>
      </c>
      <c r="AF11">
        <f>IF($F$5=6,AE11,0)</f>
        <v>0</v>
      </c>
      <c r="AG11" t="str">
        <f t="shared" si="1"/>
        <v/>
      </c>
    </row>
    <row r="12" spans="2:33">
      <c r="B12" s="2578" t="s">
        <v>9737</v>
      </c>
      <c r="C12" s="2579"/>
      <c r="E12" s="2583" t="s">
        <v>9738</v>
      </c>
      <c r="F12" s="2585"/>
      <c r="G12" s="2585">
        <v>20</v>
      </c>
      <c r="H12" s="2584">
        <v>30</v>
      </c>
      <c r="J12" s="981"/>
      <c r="K12" s="981" t="s">
        <v>1874</v>
      </c>
      <c r="L12" s="981" t="s">
        <v>2534</v>
      </c>
      <c r="M12" s="981" t="s">
        <v>9733</v>
      </c>
      <c r="N12" t="s">
        <v>9735</v>
      </c>
      <c r="R12" t="s">
        <v>5896</v>
      </c>
      <c r="V12" t="s">
        <v>9739</v>
      </c>
      <c r="Z12" t="s">
        <v>9740</v>
      </c>
      <c r="AE12">
        <f t="shared" si="0"/>
        <v>30</v>
      </c>
      <c r="AF12">
        <f>IF($F$5=7,AE12,0)</f>
        <v>0</v>
      </c>
      <c r="AG12" t="str">
        <f t="shared" si="1"/>
        <v/>
      </c>
    </row>
    <row r="13" spans="2:33" ht="24" customHeight="1">
      <c r="B13" s="2580" t="s">
        <v>9741</v>
      </c>
      <c r="C13" s="2581">
        <v>1920</v>
      </c>
      <c r="E13" s="2583" t="s">
        <v>9742</v>
      </c>
      <c r="F13" s="2585"/>
      <c r="G13" s="2585">
        <v>25</v>
      </c>
      <c r="H13" s="2584">
        <v>40</v>
      </c>
      <c r="J13" s="981" t="s">
        <v>9743</v>
      </c>
      <c r="K13" s="981">
        <v>8</v>
      </c>
      <c r="L13" s="981"/>
      <c r="M13" s="981"/>
      <c r="N13" t="s">
        <v>5896</v>
      </c>
      <c r="R13" t="s">
        <v>9744</v>
      </c>
      <c r="V13" t="s">
        <v>9745</v>
      </c>
      <c r="Z13" t="s">
        <v>9746</v>
      </c>
      <c r="AE13">
        <f t="shared" si="0"/>
        <v>40</v>
      </c>
      <c r="AF13">
        <f>IF($F$5=8,AE13,0)</f>
        <v>0</v>
      </c>
      <c r="AG13" t="str">
        <f t="shared" si="1"/>
        <v/>
      </c>
    </row>
    <row r="14" spans="2:33" ht="31.9" customHeight="1">
      <c r="E14" s="2583" t="s">
        <v>9747</v>
      </c>
      <c r="F14" s="2585"/>
      <c r="G14" s="2585">
        <v>35</v>
      </c>
      <c r="H14" s="2584">
        <v>60</v>
      </c>
      <c r="J14" s="981" t="s">
        <v>9748</v>
      </c>
      <c r="K14" s="981">
        <v>1</v>
      </c>
      <c r="L14" s="981"/>
      <c r="M14" s="981"/>
      <c r="N14" t="s">
        <v>9748</v>
      </c>
      <c r="R14" t="s">
        <v>9748</v>
      </c>
      <c r="V14" t="s">
        <v>9748</v>
      </c>
      <c r="Z14" t="s">
        <v>9748</v>
      </c>
      <c r="AE14">
        <f t="shared" si="0"/>
        <v>60</v>
      </c>
      <c r="AF14">
        <f>IF($F$5=9,AE14,0)</f>
        <v>0</v>
      </c>
      <c r="AG14" t="str">
        <f t="shared" si="1"/>
        <v/>
      </c>
    </row>
    <row r="15" spans="2:33">
      <c r="B15" s="2578" t="s">
        <v>9749</v>
      </c>
      <c r="C15" s="2579"/>
      <c r="E15" s="2583" t="s">
        <v>9750</v>
      </c>
      <c r="F15" s="2585"/>
      <c r="G15" s="2585">
        <v>45</v>
      </c>
      <c r="H15" s="2584">
        <v>70</v>
      </c>
      <c r="J15" s="981" t="s">
        <v>9751</v>
      </c>
      <c r="K15" s="981">
        <f t="shared" ref="K15:M15" si="2">K13*3.14159*K14</f>
        <v>25.132719999999999</v>
      </c>
      <c r="L15" s="981">
        <f t="shared" si="2"/>
        <v>0</v>
      </c>
      <c r="M15" s="981">
        <f t="shared" si="2"/>
        <v>0</v>
      </c>
      <c r="N15" t="s">
        <v>9751</v>
      </c>
      <c r="O15">
        <f t="shared" ref="O15:Q15" si="3">(O12+O13)*2*O14</f>
        <v>0</v>
      </c>
      <c r="P15">
        <f t="shared" si="3"/>
        <v>0</v>
      </c>
      <c r="Q15">
        <f t="shared" si="3"/>
        <v>0</v>
      </c>
      <c r="R15" t="s">
        <v>9751</v>
      </c>
      <c r="S15">
        <f t="shared" ref="S15:U15" si="4">((S11+S12)*2-(S13*8)+(S13*3.14159))*S14</f>
        <v>0</v>
      </c>
      <c r="T15">
        <f t="shared" si="4"/>
        <v>0</v>
      </c>
      <c r="U15">
        <f t="shared" si="4"/>
        <v>0</v>
      </c>
      <c r="V15" t="s">
        <v>9751</v>
      </c>
      <c r="W15">
        <f t="shared" ref="W15:Y15" si="5">((2*(W12^2+W13^2))^0.5*3.14059)*W14</f>
        <v>0</v>
      </c>
      <c r="X15">
        <f t="shared" si="5"/>
        <v>0</v>
      </c>
      <c r="Y15">
        <f t="shared" si="5"/>
        <v>0</v>
      </c>
      <c r="Z15" t="s">
        <v>9751</v>
      </c>
      <c r="AA15">
        <f t="shared" ref="AA15:AC15" si="6">((((((AA11-AA12)/2)^2+(AA13)^2)^0.5)*2)+AA11+AA12)*AA14</f>
        <v>0</v>
      </c>
      <c r="AB15">
        <f t="shared" si="6"/>
        <v>0</v>
      </c>
      <c r="AC15">
        <f t="shared" si="6"/>
        <v>0</v>
      </c>
      <c r="AE15">
        <f t="shared" si="0"/>
        <v>70</v>
      </c>
      <c r="AF15">
        <f>IF($F$5=10,AE15,0)</f>
        <v>0</v>
      </c>
      <c r="AG15" t="str">
        <f t="shared" si="1"/>
        <v/>
      </c>
    </row>
    <row r="16" spans="2:33">
      <c r="B16" s="2580" t="s">
        <v>9715</v>
      </c>
      <c r="C16" s="2581">
        <v>3</v>
      </c>
      <c r="E16" s="2583" t="s">
        <v>9752</v>
      </c>
      <c r="F16" s="2585"/>
      <c r="G16" s="2585">
        <v>32</v>
      </c>
      <c r="H16" s="2584">
        <v>35</v>
      </c>
      <c r="J16" s="4963" t="s">
        <v>9753</v>
      </c>
      <c r="K16" s="4963"/>
      <c r="L16" s="4963"/>
      <c r="M16" s="4963"/>
      <c r="N16" s="4963">
        <f>SUM(K15:M15,O15:Q15,S15:U15,W15:Y15,AA15:AC15)</f>
        <v>25.132719999999999</v>
      </c>
      <c r="O16" s="4963"/>
      <c r="P16" s="4963" t="s">
        <v>234</v>
      </c>
      <c r="AE16">
        <f t="shared" si="0"/>
        <v>35</v>
      </c>
      <c r="AF16">
        <f>IF($F$5=11,AE16,0)</f>
        <v>35</v>
      </c>
      <c r="AG16">
        <f t="shared" si="1"/>
        <v>0.51626281573917199</v>
      </c>
    </row>
    <row r="17" spans="2:33">
      <c r="B17" s="2583" t="s">
        <v>9754</v>
      </c>
      <c r="C17" s="2584"/>
      <c r="E17" s="2583" t="s">
        <v>9755</v>
      </c>
      <c r="F17" s="2585"/>
      <c r="G17" s="2585">
        <v>32</v>
      </c>
      <c r="H17" s="2584">
        <v>35</v>
      </c>
      <c r="J17" s="4963"/>
      <c r="K17" s="4963"/>
      <c r="L17" s="4963"/>
      <c r="M17" s="4963"/>
      <c r="N17" s="4963"/>
      <c r="O17" s="4963"/>
      <c r="P17" s="4963"/>
      <c r="AE17">
        <f t="shared" si="0"/>
        <v>35</v>
      </c>
      <c r="AF17">
        <f>IF($F$5=12,AE17,0)</f>
        <v>0</v>
      </c>
      <c r="AG17" t="str">
        <f t="shared" si="1"/>
        <v/>
      </c>
    </row>
    <row r="18" spans="2:33">
      <c r="B18" s="2583" t="s">
        <v>9756</v>
      </c>
      <c r="C18" s="2584"/>
      <c r="E18" s="2583" t="s">
        <v>9757</v>
      </c>
      <c r="F18" s="2585"/>
      <c r="G18" s="2585">
        <v>32</v>
      </c>
      <c r="H18" s="2584">
        <v>35</v>
      </c>
      <c r="AE18">
        <f t="shared" si="0"/>
        <v>35</v>
      </c>
      <c r="AF18">
        <f>IF($F$5=13,AE18,0)</f>
        <v>0</v>
      </c>
      <c r="AG18" t="str">
        <f t="shared" si="1"/>
        <v/>
      </c>
    </row>
    <row r="19" spans="2:33">
      <c r="B19" s="2586" t="s">
        <v>9758</v>
      </c>
      <c r="C19" s="2587"/>
      <c r="E19" s="2583" t="s">
        <v>9759</v>
      </c>
      <c r="F19" s="2585"/>
      <c r="G19" s="2585">
        <v>32</v>
      </c>
      <c r="H19" s="2584">
        <v>40</v>
      </c>
      <c r="J19" s="4963" t="s">
        <v>961</v>
      </c>
      <c r="K19" s="4963"/>
      <c r="L19" t="s">
        <v>407</v>
      </c>
      <c r="M19" s="4963" t="s">
        <v>1957</v>
      </c>
      <c r="N19" s="4963"/>
      <c r="O19" t="s">
        <v>407</v>
      </c>
      <c r="P19" s="4963" t="s">
        <v>2524</v>
      </c>
      <c r="Q19" s="4963"/>
      <c r="R19" t="s">
        <v>407</v>
      </c>
      <c r="S19" s="4963" t="s">
        <v>2510</v>
      </c>
      <c r="T19" s="4963"/>
      <c r="U19" t="s">
        <v>407</v>
      </c>
      <c r="V19" s="4963" t="s">
        <v>475</v>
      </c>
      <c r="W19" s="4963"/>
      <c r="X19" t="s">
        <v>407</v>
      </c>
      <c r="Y19" s="4963" t="s">
        <v>252</v>
      </c>
      <c r="Z19" s="4963"/>
      <c r="AA19" t="s">
        <v>1968</v>
      </c>
      <c r="AE19">
        <f t="shared" si="0"/>
        <v>40</v>
      </c>
      <c r="AF19">
        <f>IF($F$5=14,AE19,0)</f>
        <v>0</v>
      </c>
      <c r="AG19" t="str">
        <f t="shared" si="1"/>
        <v/>
      </c>
    </row>
    <row r="20" spans="2:33">
      <c r="E20" s="2583" t="s">
        <v>9760</v>
      </c>
      <c r="F20" s="2585"/>
      <c r="G20" s="2585">
        <v>36</v>
      </c>
      <c r="H20" s="2584">
        <v>48</v>
      </c>
      <c r="J20" s="4963">
        <f>AE32</f>
        <v>35</v>
      </c>
      <c r="K20" s="4963"/>
      <c r="L20" t="s">
        <v>407</v>
      </c>
      <c r="M20" s="4963">
        <f>C10</f>
        <v>1</v>
      </c>
      <c r="N20" s="4963"/>
      <c r="O20" t="s">
        <v>407</v>
      </c>
      <c r="P20" s="4963">
        <f>C13</f>
        <v>1920</v>
      </c>
      <c r="Q20" s="4963"/>
      <c r="R20" t="s">
        <v>407</v>
      </c>
      <c r="S20" s="4963">
        <f>AE34+1</f>
        <v>1.2</v>
      </c>
      <c r="T20" s="4963"/>
      <c r="U20" t="s">
        <v>407</v>
      </c>
      <c r="V20" s="4963">
        <f>AE35+1</f>
        <v>1.4</v>
      </c>
      <c r="W20" s="4963"/>
      <c r="X20" t="s">
        <v>407</v>
      </c>
      <c r="Y20" s="4963">
        <f>AE36+1</f>
        <v>1.2</v>
      </c>
      <c r="Z20" s="4963"/>
      <c r="AA20" t="s">
        <v>1968</v>
      </c>
      <c r="AE20">
        <f t="shared" si="0"/>
        <v>48</v>
      </c>
      <c r="AF20">
        <f>IF($F$5=15,AE20,0)</f>
        <v>0</v>
      </c>
      <c r="AG20" t="str">
        <f t="shared" si="1"/>
        <v/>
      </c>
    </row>
    <row r="21" spans="2:33">
      <c r="B21" s="2578" t="s">
        <v>9761</v>
      </c>
      <c r="C21" s="2579"/>
      <c r="E21" s="2583" t="s">
        <v>9762</v>
      </c>
      <c r="F21" s="2585"/>
      <c r="G21" s="2585">
        <v>45</v>
      </c>
      <c r="H21" s="2584">
        <v>56</v>
      </c>
      <c r="J21" t="s">
        <v>9763</v>
      </c>
      <c r="AE21">
        <f t="shared" si="0"/>
        <v>56</v>
      </c>
      <c r="AF21">
        <f>IF($F$5=16,AE21,0)</f>
        <v>0</v>
      </c>
      <c r="AG21" t="str">
        <f t="shared" si="1"/>
        <v/>
      </c>
    </row>
    <row r="22" spans="2:33">
      <c r="B22" s="2580" t="s">
        <v>9715</v>
      </c>
      <c r="C22" s="2581">
        <v>3</v>
      </c>
      <c r="E22" s="2583" t="s">
        <v>9764</v>
      </c>
      <c r="F22" s="2585"/>
      <c r="G22" s="2585">
        <v>55</v>
      </c>
      <c r="H22" s="2584">
        <v>72</v>
      </c>
      <c r="AE22">
        <f t="shared" si="0"/>
        <v>72</v>
      </c>
      <c r="AF22">
        <f>IF($F$5=17,AE22,0)</f>
        <v>0</v>
      </c>
      <c r="AG22" t="str">
        <f t="shared" si="1"/>
        <v/>
      </c>
    </row>
    <row r="23" spans="2:33">
      <c r="B23" s="2583" t="s">
        <v>9765</v>
      </c>
      <c r="C23" s="2584"/>
      <c r="E23" s="2583" t="s">
        <v>9766</v>
      </c>
      <c r="F23" s="2585"/>
      <c r="G23" s="2585">
        <v>70</v>
      </c>
      <c r="H23" s="2584">
        <v>90</v>
      </c>
      <c r="AE23">
        <f t="shared" si="0"/>
        <v>90</v>
      </c>
      <c r="AF23">
        <f>IF($F$5=18,AE23,0)</f>
        <v>0</v>
      </c>
      <c r="AG23" t="str">
        <f t="shared" si="1"/>
        <v/>
      </c>
    </row>
    <row r="24" spans="2:33">
      <c r="B24" s="2583" t="s">
        <v>9767</v>
      </c>
      <c r="C24" s="2584"/>
      <c r="E24" s="2583" t="s">
        <v>9768</v>
      </c>
      <c r="F24" s="2585"/>
      <c r="G24" s="2585">
        <v>80</v>
      </c>
      <c r="H24" s="2584">
        <v>105</v>
      </c>
      <c r="AE24">
        <f t="shared" si="0"/>
        <v>105</v>
      </c>
      <c r="AF24">
        <f>IF($F$5=19,AE24,0)</f>
        <v>0</v>
      </c>
      <c r="AG24" t="str">
        <f t="shared" si="1"/>
        <v/>
      </c>
    </row>
    <row r="25" spans="2:33">
      <c r="B25" s="2586" t="s">
        <v>9769</v>
      </c>
      <c r="C25" s="2587"/>
      <c r="E25" s="2583" t="s">
        <v>9770</v>
      </c>
      <c r="F25" s="2585"/>
      <c r="G25" s="2585">
        <v>20</v>
      </c>
      <c r="H25" s="2584">
        <v>56</v>
      </c>
      <c r="AE25">
        <f t="shared" si="0"/>
        <v>56</v>
      </c>
      <c r="AF25">
        <f>IF($F$5=20,AE25,0)</f>
        <v>0</v>
      </c>
      <c r="AG25" t="str">
        <f t="shared" si="1"/>
        <v/>
      </c>
    </row>
    <row r="26" spans="2:33">
      <c r="E26" s="2583" t="s">
        <v>9771</v>
      </c>
      <c r="F26" s="2585"/>
      <c r="G26" s="2585">
        <v>45</v>
      </c>
      <c r="H26" s="2584">
        <v>55</v>
      </c>
      <c r="AE26">
        <f t="shared" si="0"/>
        <v>55</v>
      </c>
      <c r="AF26">
        <f>IF($F$5=21,AE26,0)</f>
        <v>0</v>
      </c>
      <c r="AG26" t="str">
        <f t="shared" si="1"/>
        <v/>
      </c>
    </row>
    <row r="27" spans="2:33">
      <c r="B27" s="2578" t="s">
        <v>9772</v>
      </c>
      <c r="C27" s="2579"/>
      <c r="E27" s="2583" t="s">
        <v>9773</v>
      </c>
      <c r="F27" s="2585"/>
      <c r="G27" s="2585">
        <v>25</v>
      </c>
      <c r="H27" s="2584">
        <v>30</v>
      </c>
      <c r="AE27">
        <f t="shared" si="0"/>
        <v>30</v>
      </c>
      <c r="AF27">
        <f>IF($F$5=22,AE27,0)</f>
        <v>0</v>
      </c>
      <c r="AG27" t="str">
        <f t="shared" si="1"/>
        <v/>
      </c>
    </row>
    <row r="28" spans="2:33">
      <c r="B28" s="2580" t="s">
        <v>9715</v>
      </c>
      <c r="C28" s="2581">
        <v>2</v>
      </c>
      <c r="E28" s="2583" t="s">
        <v>9774</v>
      </c>
      <c r="F28" s="2585"/>
      <c r="G28" s="2585">
        <v>13</v>
      </c>
      <c r="H28" s="2584" t="s">
        <v>9775</v>
      </c>
      <c r="AE28" t="str">
        <f t="shared" si="0"/>
        <v>----</v>
      </c>
      <c r="AF28">
        <f>IF($F$5=23,AE28,0)</f>
        <v>0</v>
      </c>
      <c r="AG28" t="str">
        <f t="shared" si="1"/>
        <v/>
      </c>
    </row>
    <row r="29" spans="2:33">
      <c r="B29" s="2586" t="s">
        <v>9776</v>
      </c>
      <c r="C29" s="2587" t="s">
        <v>9777</v>
      </c>
      <c r="E29" s="2583" t="s">
        <v>9778</v>
      </c>
      <c r="F29" s="2585"/>
      <c r="G29" s="2585">
        <v>8</v>
      </c>
      <c r="H29" s="2587" t="s">
        <v>9775</v>
      </c>
      <c r="AE29" t="str">
        <f t="shared" si="0"/>
        <v>----</v>
      </c>
      <c r="AF29">
        <f>IF($F$5=24,AE29,0)</f>
        <v>0</v>
      </c>
      <c r="AG29" t="str">
        <f t="shared" si="1"/>
        <v/>
      </c>
    </row>
    <row r="30" spans="2:33" ht="21.75" customHeight="1"/>
    <row r="31" spans="2:33" ht="15" customHeight="1"/>
    <row r="32" spans="2:33" ht="15" customHeight="1">
      <c r="AE32">
        <f>SUM(AF6:AF29)</f>
        <v>35</v>
      </c>
      <c r="AG32">
        <f>SUM(AG6:AG29)</f>
        <v>0.51626281573917199</v>
      </c>
    </row>
    <row r="34" spans="31:31">
      <c r="AE34">
        <f>IF(C16=1,0.1,IF(C16=2,0.15,IF(C16=3,0.2,0)))</f>
        <v>0.2</v>
      </c>
    </row>
    <row r="35" spans="31:31">
      <c r="AE35">
        <f>IF(C22=1,0.3,IF(C22=2,0.35,IF(C22=3,0.4,0)))</f>
        <v>0.4</v>
      </c>
    </row>
    <row r="36" spans="31:31">
      <c r="AE36">
        <f>IF(C28=1,0.1,IF(C28=2,0.2,0))</f>
        <v>0.2</v>
      </c>
    </row>
  </sheetData>
  <mergeCells count="23">
    <mergeCell ref="B3:D3"/>
    <mergeCell ref="L3:M3"/>
    <mergeCell ref="N3:O3"/>
    <mergeCell ref="Y3:Z3"/>
    <mergeCell ref="AA3:AC3"/>
    <mergeCell ref="B4:C4"/>
    <mergeCell ref="E4:F4"/>
    <mergeCell ref="J4:N4"/>
    <mergeCell ref="J19:K19"/>
    <mergeCell ref="M19:N19"/>
    <mergeCell ref="V19:W19"/>
    <mergeCell ref="Y19:Z19"/>
    <mergeCell ref="J20:K20"/>
    <mergeCell ref="M20:N20"/>
    <mergeCell ref="P20:Q20"/>
    <mergeCell ref="S20:T20"/>
    <mergeCell ref="V20:W20"/>
    <mergeCell ref="Y20:Z20"/>
    <mergeCell ref="P16:P17"/>
    <mergeCell ref="J16:M17"/>
    <mergeCell ref="N16:O17"/>
    <mergeCell ref="P19:Q19"/>
    <mergeCell ref="S19:T19"/>
  </mergeCells>
  <phoneticPr fontId="214" type="noConversion"/>
  <pageMargins left="0.55000000000000004" right="0.55000000000000004" top="0.78888888888888897" bottom="0.58888888888888902" header="0.70902777777777803" footer="0.50902777777777797"/>
  <pageSetup paperSize="9" orientation="landscape"/>
  <headerFooter scaleWithDoc="0" alignWithMargins="0"/>
  <drawing r:id="rId1"/>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dimension ref="A1:X31"/>
  <sheetViews>
    <sheetView showGridLines="0" showOutlineSymbols="0" workbookViewId="0">
      <selection activeCell="L2" sqref="L2"/>
    </sheetView>
  </sheetViews>
  <sheetFormatPr defaultColWidth="8.125" defaultRowHeight="14.25"/>
  <cols>
    <col min="1" max="1" width="2.25" customWidth="1"/>
    <col min="2" max="2" width="6.625" customWidth="1"/>
    <col min="3" max="5" width="8.5" customWidth="1"/>
    <col min="6" max="7" width="4.625" customWidth="1"/>
    <col min="8" max="8" width="1.25" customWidth="1"/>
    <col min="9" max="11" width="5.375" customWidth="1"/>
    <col min="12" max="12" width="6.125" customWidth="1"/>
    <col min="13" max="13" width="7.25" customWidth="1"/>
    <col min="15" max="15" width="4.25" customWidth="1"/>
    <col min="16" max="16" width="1" customWidth="1"/>
    <col min="17" max="21" width="6.625" customWidth="1"/>
    <col min="22" max="22" width="6.875" customWidth="1"/>
    <col min="23" max="23" width="5.75" hidden="1" customWidth="1"/>
    <col min="24" max="24" width="8" hidden="1" customWidth="1"/>
    <col min="25" max="25" width="8.875" customWidth="1"/>
  </cols>
  <sheetData>
    <row r="1" spans="1:21">
      <c r="A1" s="4963" t="s">
        <v>9779</v>
      </c>
      <c r="B1" s="4963"/>
      <c r="C1" s="4963"/>
      <c r="D1" s="4963"/>
      <c r="E1" s="4963"/>
      <c r="F1" s="4963"/>
      <c r="G1" s="4963"/>
      <c r="H1" s="4963"/>
      <c r="I1" s="4963"/>
      <c r="J1" s="4963"/>
    </row>
    <row r="2" spans="1:21" ht="20.25">
      <c r="B2" s="4963" t="s">
        <v>9780</v>
      </c>
      <c r="C2" s="4963"/>
      <c r="D2" s="4963"/>
      <c r="E2">
        <f>IF(I20=2,F19*M22*W19/1000,IF(L26/L24&gt;0.45,"*****",F19*M22*W19/1000))</f>
        <v>1820.7</v>
      </c>
      <c r="F2" s="4963" t="s">
        <v>9781</v>
      </c>
      <c r="G2" s="4963"/>
    </row>
    <row r="3" spans="1:21" ht="20.25">
      <c r="B3" s="4963" t="s">
        <v>9782</v>
      </c>
      <c r="C3" s="4963"/>
      <c r="D3" s="4963"/>
      <c r="E3">
        <f>IF(I20=2,F19*M22*W19/1000*L26,IF(L26/L24&gt;0.45,"****",F19*M22*W19/1000*L26))</f>
        <v>910.35</v>
      </c>
      <c r="F3" s="4963" t="s">
        <v>9710</v>
      </c>
      <c r="G3" s="4963"/>
      <c r="S3" t="s">
        <v>9783</v>
      </c>
      <c r="T3" s="4963">
        <f ca="1">TODAY()</f>
        <v>45979</v>
      </c>
      <c r="U3" s="4963"/>
    </row>
    <row r="4" spans="1:21" ht="26.25" customHeight="1"/>
    <row r="7" spans="1:21">
      <c r="C7" t="s">
        <v>9784</v>
      </c>
      <c r="G7" s="4963" t="s">
        <v>9785</v>
      </c>
      <c r="H7" s="4963"/>
      <c r="I7" s="4963"/>
      <c r="N7" t="s">
        <v>9786</v>
      </c>
    </row>
    <row r="10" spans="1:21">
      <c r="C10" t="s">
        <v>9787</v>
      </c>
      <c r="G10" s="4963" t="s">
        <v>9788</v>
      </c>
      <c r="H10" s="4963"/>
      <c r="I10" s="4963"/>
      <c r="N10" t="s">
        <v>9789</v>
      </c>
    </row>
    <row r="12" spans="1:21" ht="10.5" customHeight="1"/>
    <row r="13" spans="1:21">
      <c r="B13" s="4963" t="s">
        <v>9790</v>
      </c>
      <c r="C13" s="4963"/>
      <c r="D13" s="4963"/>
      <c r="F13" s="4963" t="s">
        <v>9791</v>
      </c>
      <c r="G13" s="4963"/>
      <c r="H13" s="4963"/>
      <c r="I13" s="4963"/>
      <c r="J13" s="4963"/>
      <c r="M13" s="4963" t="s">
        <v>9792</v>
      </c>
      <c r="N13" s="4963"/>
      <c r="O13" s="4963"/>
      <c r="S13" s="4963" t="s">
        <v>9793</v>
      </c>
      <c r="T13" s="4963"/>
    </row>
    <row r="14" spans="1:21" ht="7.5" customHeight="1"/>
    <row r="15" spans="1:21">
      <c r="B15" s="4963"/>
      <c r="C15" s="4963"/>
      <c r="D15" s="4963"/>
      <c r="F15" s="4963" t="s">
        <v>9794</v>
      </c>
      <c r="G15" s="4963"/>
      <c r="H15" s="4963"/>
      <c r="I15" s="4963"/>
      <c r="J15" s="4963"/>
      <c r="M15" s="4963" t="s">
        <v>9795</v>
      </c>
      <c r="N15" s="4963"/>
      <c r="O15" s="4963"/>
      <c r="P15" s="4963"/>
      <c r="Q15" s="4963"/>
      <c r="R15" s="4963" t="s">
        <v>9796</v>
      </c>
      <c r="S15" s="4963"/>
      <c r="T15" s="4963"/>
      <c r="U15" s="4963"/>
    </row>
    <row r="16" spans="1:21">
      <c r="F16" s="4963" t="s">
        <v>9797</v>
      </c>
      <c r="G16" s="4963"/>
      <c r="H16" s="4963"/>
      <c r="I16" s="4963"/>
      <c r="J16" s="4963"/>
      <c r="K16" s="4963"/>
      <c r="M16" s="4963" t="s">
        <v>9798</v>
      </c>
      <c r="N16" s="4963"/>
      <c r="O16" s="4963"/>
      <c r="P16" s="4963"/>
      <c r="Q16" s="4963"/>
    </row>
    <row r="17" spans="1:24" ht="20.25" customHeight="1">
      <c r="X17" t="str">
        <f>IF(D19=9,B29,IF(D19=10,B30,"   "))</f>
        <v/>
      </c>
    </row>
    <row r="18" spans="1:24" ht="7.5" customHeight="1">
      <c r="I18" s="4963" t="s">
        <v>9799</v>
      </c>
      <c r="J18" s="4963"/>
      <c r="K18" s="4963"/>
      <c r="L18" s="4963"/>
      <c r="M18" s="4963"/>
      <c r="N18" s="4963"/>
      <c r="O18" s="4963"/>
    </row>
    <row r="19" spans="1:24">
      <c r="A19" s="4963" t="s">
        <v>9800</v>
      </c>
      <c r="B19" s="4963"/>
      <c r="C19" s="4963"/>
      <c r="D19">
        <v>6</v>
      </c>
      <c r="E19" t="str">
        <f>IF(D19=1,B21,IF(D19=2,B22,IF(D19=3,B23,IF(D19=4,B24,IF(D19=5,B25,IF(D19=6,B26,IF(D19=7,B27,IF(D19=8,B28,X17))))))))</f>
        <v>不銹鋼</v>
      </c>
      <c r="F19">
        <f>IF(D19="  ","  ",IF(D19&gt;10,"  ",X31))</f>
        <v>350</v>
      </c>
      <c r="G19" t="s">
        <v>9687</v>
      </c>
      <c r="I19" s="4963"/>
      <c r="J19" s="4963"/>
      <c r="K19" s="4963"/>
      <c r="L19" s="4963"/>
      <c r="M19" s="4963"/>
      <c r="N19" s="4963"/>
      <c r="O19" s="4963"/>
      <c r="Q19" t="s">
        <v>9801</v>
      </c>
      <c r="W19">
        <f>IF(L28=1,1.5,IF(L28=2,1,0))</f>
        <v>1.5</v>
      </c>
    </row>
    <row r="20" spans="1:24">
      <c r="B20" t="s">
        <v>9802</v>
      </c>
      <c r="C20" t="s">
        <v>9803</v>
      </c>
      <c r="D20" t="s">
        <v>9804</v>
      </c>
      <c r="E20" t="s">
        <v>9805</v>
      </c>
      <c r="F20" s="4963" t="s">
        <v>9806</v>
      </c>
      <c r="G20" s="4963"/>
      <c r="I20">
        <v>4</v>
      </c>
      <c r="J20" s="4963" t="str">
        <f>IF(I20=1,C20,IF(I20=2,D20,IF(I20=3,E20,IF(I20=4,F20,"壓印型式選擇不正確"))))</f>
        <v>壓縮成型</v>
      </c>
      <c r="K20" s="4963"/>
      <c r="L20" s="4963"/>
      <c r="M20" s="4963"/>
      <c r="N20" s="4963"/>
      <c r="O20" s="4963"/>
    </row>
    <row r="21" spans="1:24">
      <c r="A21" t="s">
        <v>9807</v>
      </c>
      <c r="B21" t="s">
        <v>9808</v>
      </c>
      <c r="C21">
        <v>8</v>
      </c>
      <c r="D21">
        <v>10</v>
      </c>
      <c r="E21">
        <v>15</v>
      </c>
      <c r="F21" s="4963">
        <v>110</v>
      </c>
      <c r="G21" s="4963"/>
      <c r="I21" s="4963"/>
      <c r="J21" s="4963"/>
      <c r="K21" s="4963"/>
      <c r="L21" s="4963"/>
      <c r="M21" s="4963"/>
      <c r="N21" s="4963"/>
      <c r="O21" s="4963"/>
      <c r="W21">
        <f t="shared" ref="W21:W30" si="0">IF($I$20=1,C21,IF($I$20=2,D21,IF($I$20=3,E21,IF($I$20=4,F21,"    "))))</f>
        <v>110</v>
      </c>
      <c r="X21">
        <f>IF($D$19=1,W21,0)</f>
        <v>0</v>
      </c>
    </row>
    <row r="22" spans="1:24" ht="16.5">
      <c r="A22" t="s">
        <v>9809</v>
      </c>
      <c r="B22" t="s">
        <v>9810</v>
      </c>
      <c r="C22">
        <v>15</v>
      </c>
      <c r="D22">
        <v>14</v>
      </c>
      <c r="E22">
        <v>35</v>
      </c>
      <c r="F22" s="4963">
        <v>70</v>
      </c>
      <c r="G22" s="4963"/>
      <c r="I22" s="4963" t="s">
        <v>9811</v>
      </c>
      <c r="J22" s="4963"/>
      <c r="K22" s="4963"/>
      <c r="L22" s="4963"/>
      <c r="M22">
        <v>3468</v>
      </c>
      <c r="N22" s="4963" t="s">
        <v>9812</v>
      </c>
      <c r="O22" s="4963"/>
      <c r="W22">
        <f t="shared" si="0"/>
        <v>70</v>
      </c>
      <c r="X22">
        <f>IF($D$19=2,W22,0)</f>
        <v>0</v>
      </c>
    </row>
    <row r="23" spans="1:24">
      <c r="A23" t="s">
        <v>9813</v>
      </c>
      <c r="B23" t="s">
        <v>9814</v>
      </c>
      <c r="C23">
        <v>30</v>
      </c>
      <c r="D23">
        <v>25</v>
      </c>
      <c r="E23">
        <v>90</v>
      </c>
      <c r="F23" s="4963">
        <v>120</v>
      </c>
      <c r="G23" s="4963"/>
      <c r="I23" s="4963"/>
      <c r="J23" s="4963"/>
      <c r="K23" s="4963"/>
      <c r="L23" s="4963"/>
      <c r="M23" s="4963"/>
      <c r="N23" s="4963"/>
      <c r="O23" s="4963"/>
      <c r="W23">
        <f t="shared" si="0"/>
        <v>120</v>
      </c>
      <c r="X23">
        <f>IF($D$19=3,W23,0)</f>
        <v>0</v>
      </c>
    </row>
    <row r="24" spans="1:24">
      <c r="A24" t="s">
        <v>9815</v>
      </c>
      <c r="B24" t="s">
        <v>9816</v>
      </c>
      <c r="C24">
        <v>30</v>
      </c>
      <c r="D24">
        <v>30</v>
      </c>
      <c r="E24">
        <v>100</v>
      </c>
      <c r="F24" s="4963">
        <v>180</v>
      </c>
      <c r="G24" s="4963"/>
      <c r="I24" s="4963" t="s">
        <v>9817</v>
      </c>
      <c r="J24" s="4963"/>
      <c r="K24" s="4963"/>
      <c r="L24">
        <v>1.5</v>
      </c>
      <c r="M24" s="4963" t="s">
        <v>234</v>
      </c>
      <c r="N24" s="4963"/>
      <c r="O24" s="4963"/>
      <c r="W24">
        <f t="shared" si="0"/>
        <v>180</v>
      </c>
      <c r="X24">
        <f>IF($D$19=4,W24,0)</f>
        <v>0</v>
      </c>
    </row>
    <row r="25" spans="1:24">
      <c r="A25" t="s">
        <v>9818</v>
      </c>
      <c r="B25" t="s">
        <v>9819</v>
      </c>
      <c r="C25">
        <v>40</v>
      </c>
      <c r="D25">
        <v>40</v>
      </c>
      <c r="E25">
        <v>150</v>
      </c>
      <c r="F25" s="4963">
        <v>250</v>
      </c>
      <c r="G25" s="4963"/>
      <c r="I25" s="4963"/>
      <c r="J25" s="4963"/>
      <c r="K25" s="4963"/>
      <c r="L25" s="4963"/>
      <c r="M25" s="4963"/>
      <c r="N25" s="4963"/>
      <c r="O25" s="4963"/>
      <c r="W25">
        <f t="shared" si="0"/>
        <v>250</v>
      </c>
      <c r="X25">
        <f>IF($D$19=5,W25,0)</f>
        <v>0</v>
      </c>
    </row>
    <row r="26" spans="1:24">
      <c r="A26" t="s">
        <v>9820</v>
      </c>
      <c r="B26" t="s">
        <v>9821</v>
      </c>
      <c r="C26">
        <v>80</v>
      </c>
      <c r="D26">
        <v>90</v>
      </c>
      <c r="E26">
        <v>250</v>
      </c>
      <c r="F26" s="4963">
        <v>350</v>
      </c>
      <c r="G26" s="4963"/>
      <c r="I26" s="4963" t="s">
        <v>9822</v>
      </c>
      <c r="J26" s="4963"/>
      <c r="K26" s="4963"/>
      <c r="L26">
        <v>0.5</v>
      </c>
      <c r="M26" t="s">
        <v>234</v>
      </c>
      <c r="N26" s="4963" t="str">
        <f>IF(I20=2,"  ",IF(L26/L24&gt;0.3,"壓印深度過大","    "))</f>
        <v>壓印深度過大</v>
      </c>
      <c r="O26" s="4963"/>
      <c r="W26">
        <f t="shared" si="0"/>
        <v>350</v>
      </c>
      <c r="X26">
        <f>IF($D$19=6,W26,0)</f>
        <v>350</v>
      </c>
    </row>
    <row r="27" spans="1:24">
      <c r="A27" t="s">
        <v>9823</v>
      </c>
      <c r="B27" t="s">
        <v>9824</v>
      </c>
      <c r="C27">
        <v>50</v>
      </c>
      <c r="D27">
        <v>35</v>
      </c>
      <c r="E27">
        <v>150</v>
      </c>
      <c r="F27" s="4963">
        <v>180</v>
      </c>
      <c r="G27" s="4963"/>
      <c r="I27" s="4963"/>
      <c r="J27" s="4963"/>
      <c r="K27" s="4963"/>
      <c r="L27" s="4963"/>
      <c r="M27" s="4963"/>
      <c r="N27" s="4963"/>
      <c r="O27" s="4963"/>
      <c r="W27">
        <f t="shared" si="0"/>
        <v>180</v>
      </c>
      <c r="X27">
        <f>IF($D$19=7,W27,0)</f>
        <v>0</v>
      </c>
    </row>
    <row r="28" spans="1:24">
      <c r="A28" t="s">
        <v>9825</v>
      </c>
      <c r="B28" t="s">
        <v>9826</v>
      </c>
      <c r="C28">
        <v>40</v>
      </c>
      <c r="D28">
        <v>40</v>
      </c>
      <c r="E28">
        <v>170</v>
      </c>
      <c r="F28" s="4963">
        <v>220</v>
      </c>
      <c r="G28" s="4963"/>
      <c r="I28" s="4963" t="s">
        <v>9827</v>
      </c>
      <c r="J28" s="4963"/>
      <c r="K28" s="4963"/>
      <c r="L28">
        <v>1</v>
      </c>
      <c r="M28" s="4963" t="str">
        <f>IF(L28=1,"曲柄式沖床",IF(L28=2,"肘節式沖床","請選擇正確沖床型式  "))</f>
        <v>曲柄式沖床</v>
      </c>
      <c r="N28" s="4963"/>
      <c r="O28" s="4963"/>
      <c r="W28">
        <f t="shared" si="0"/>
        <v>220</v>
      </c>
      <c r="X28">
        <f>IF($D$19=8,W28,0)</f>
        <v>0</v>
      </c>
    </row>
    <row r="29" spans="1:24">
      <c r="A29" t="s">
        <v>9828</v>
      </c>
      <c r="B29" t="s">
        <v>9829</v>
      </c>
      <c r="C29">
        <v>18</v>
      </c>
      <c r="D29">
        <v>16</v>
      </c>
      <c r="E29">
        <v>80</v>
      </c>
      <c r="F29" s="4963">
        <v>150</v>
      </c>
      <c r="G29" s="4963"/>
      <c r="I29" s="4963" t="s">
        <v>9830</v>
      </c>
      <c r="J29" s="4963"/>
      <c r="K29" s="4963"/>
      <c r="L29" s="4963"/>
      <c r="M29" s="4963"/>
      <c r="N29" s="4963"/>
      <c r="O29" s="4963"/>
      <c r="W29">
        <f t="shared" si="0"/>
        <v>150</v>
      </c>
      <c r="X29">
        <f>IF($D$19=9,W29,0)</f>
        <v>0</v>
      </c>
    </row>
    <row r="30" spans="1:24">
      <c r="A30" t="s">
        <v>3389</v>
      </c>
      <c r="B30" t="s">
        <v>9831</v>
      </c>
      <c r="C30">
        <v>20</v>
      </c>
      <c r="D30">
        <v>18</v>
      </c>
      <c r="E30">
        <v>100</v>
      </c>
      <c r="F30" s="4963">
        <v>180</v>
      </c>
      <c r="G30" s="4963"/>
      <c r="I30" s="4963" t="s">
        <v>9832</v>
      </c>
      <c r="J30" s="4963"/>
      <c r="K30" s="4963"/>
      <c r="L30" s="4963"/>
      <c r="M30" s="4963"/>
      <c r="N30" s="4963"/>
      <c r="O30" s="4963"/>
      <c r="W30">
        <f t="shared" si="0"/>
        <v>180</v>
      </c>
      <c r="X30">
        <f>IF($D$19=10,W30,0)</f>
        <v>0</v>
      </c>
    </row>
    <row r="31" spans="1:24">
      <c r="X31">
        <f>SUM(X21:X30)</f>
        <v>350</v>
      </c>
    </row>
  </sheetData>
  <mergeCells count="46">
    <mergeCell ref="A1:J1"/>
    <mergeCell ref="B2:D2"/>
    <mergeCell ref="F2:G2"/>
    <mergeCell ref="B3:D3"/>
    <mergeCell ref="F3:G3"/>
    <mergeCell ref="T3:U3"/>
    <mergeCell ref="G7:I7"/>
    <mergeCell ref="G10:I10"/>
    <mergeCell ref="B13:D13"/>
    <mergeCell ref="F13:J13"/>
    <mergeCell ref="M13:O13"/>
    <mergeCell ref="S13:T13"/>
    <mergeCell ref="B15:D15"/>
    <mergeCell ref="F15:J15"/>
    <mergeCell ref="M15:Q15"/>
    <mergeCell ref="R15:U15"/>
    <mergeCell ref="F16:K16"/>
    <mergeCell ref="M16:Q16"/>
    <mergeCell ref="A19:C19"/>
    <mergeCell ref="F20:G20"/>
    <mergeCell ref="J20:O20"/>
    <mergeCell ref="F21:G21"/>
    <mergeCell ref="I21:O21"/>
    <mergeCell ref="F25:G25"/>
    <mergeCell ref="I25:O25"/>
    <mergeCell ref="F22:G22"/>
    <mergeCell ref="I22:L22"/>
    <mergeCell ref="N22:O22"/>
    <mergeCell ref="F23:G23"/>
    <mergeCell ref="I23:O23"/>
    <mergeCell ref="F30:G30"/>
    <mergeCell ref="I30:O30"/>
    <mergeCell ref="I18:O19"/>
    <mergeCell ref="F28:G28"/>
    <mergeCell ref="I28:K28"/>
    <mergeCell ref="M28:O28"/>
    <mergeCell ref="F29:G29"/>
    <mergeCell ref="I29:O29"/>
    <mergeCell ref="F26:G26"/>
    <mergeCell ref="I26:K26"/>
    <mergeCell ref="N26:O26"/>
    <mergeCell ref="F27:G27"/>
    <mergeCell ref="I27:O27"/>
    <mergeCell ref="F24:G24"/>
    <mergeCell ref="I24:K24"/>
    <mergeCell ref="M24:O24"/>
  </mergeCells>
  <phoneticPr fontId="214" type="noConversion"/>
  <pageMargins left="0.55000000000000004" right="0.55000000000000004" top="0.78888888888888897" bottom="0.58888888888888902" header="0.70902777777777803" footer="0.50902777777777797"/>
  <pageSetup paperSize="9" orientation="landscape"/>
  <headerFooter scaleWithDoc="0" alignWithMargins="0"/>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dimension ref="A1:AD25"/>
  <sheetViews>
    <sheetView showGridLines="0" showRowColHeaders="0" showOutlineSymbols="0" workbookViewId="0">
      <selection activeCell="I1" sqref="I1"/>
    </sheetView>
  </sheetViews>
  <sheetFormatPr defaultColWidth="8.125" defaultRowHeight="14.25"/>
  <cols>
    <col min="1" max="1" width="6.875" customWidth="1"/>
    <col min="2" max="4" width="7.125" customWidth="1"/>
    <col min="5" max="5" width="2.625" customWidth="1"/>
    <col min="6" max="6" width="5.125" customWidth="1"/>
    <col min="7" max="7" width="6.875" customWidth="1"/>
    <col min="8" max="12" width="7.125" customWidth="1"/>
    <col min="13" max="13" width="7.75" customWidth="1"/>
    <col min="14" max="14" width="2.375" customWidth="1"/>
    <col min="15" max="15" width="8.25" customWidth="1"/>
    <col min="16" max="16" width="3.75" customWidth="1"/>
    <col min="17" max="17" width="2.625" customWidth="1"/>
    <col min="18" max="18" width="13.375" customWidth="1"/>
    <col min="19" max="19" width="4.375" customWidth="1"/>
    <col min="20" max="20" width="1.125" customWidth="1"/>
    <col min="21" max="21" width="8.75" customWidth="1"/>
    <col min="22" max="22" width="12" hidden="1" customWidth="1"/>
    <col min="23" max="23" width="6.375" hidden="1" customWidth="1"/>
    <col min="24" max="24" width="6.5" hidden="1" customWidth="1"/>
    <col min="25" max="25" width="5.75" hidden="1" customWidth="1"/>
    <col min="26" max="26" width="5.5" hidden="1" customWidth="1"/>
    <col min="27" max="27" width="6" hidden="1" customWidth="1"/>
    <col min="28" max="28" width="5.75" hidden="1" customWidth="1"/>
    <col min="29" max="29" width="6" hidden="1" customWidth="1"/>
    <col min="30" max="30" width="6.375" hidden="1" customWidth="1"/>
    <col min="31" max="31" width="10.125" customWidth="1"/>
  </cols>
  <sheetData>
    <row r="1" spans="1:30" ht="25.5">
      <c r="A1" t="s">
        <v>9833</v>
      </c>
    </row>
    <row r="2" spans="1:30" ht="27.95" customHeight="1">
      <c r="A2" s="4963" t="s">
        <v>9834</v>
      </c>
      <c r="B2" s="4963"/>
      <c r="C2" s="4963"/>
      <c r="D2">
        <f>(W12*(S5*K11*(K7^2)/D13))/1000</f>
        <v>1.9662500000000001</v>
      </c>
      <c r="E2" s="4963" t="s">
        <v>9781</v>
      </c>
      <c r="F2" s="4963"/>
      <c r="H2" s="4963" t="s">
        <v>9835</v>
      </c>
      <c r="I2" s="4963"/>
      <c r="J2" s="4963"/>
      <c r="K2">
        <f>(W17*(S5*K11*(K7^2)/D23))/1000</f>
        <v>5.1895517142857104</v>
      </c>
      <c r="L2" t="s">
        <v>9781</v>
      </c>
    </row>
    <row r="3" spans="1:30" ht="20.25">
      <c r="A3" s="4963" t="s">
        <v>9836</v>
      </c>
      <c r="B3" s="4963"/>
      <c r="C3" s="4963"/>
      <c r="D3">
        <f>D2*X13*W14*100</f>
        <v>816.97687499999995</v>
      </c>
      <c r="E3" s="4963" t="s">
        <v>9837</v>
      </c>
      <c r="F3" s="4963"/>
      <c r="H3" s="4963" t="s">
        <v>9838</v>
      </c>
      <c r="I3" s="4963"/>
      <c r="J3" s="4963"/>
      <c r="K3">
        <f>K2*X15*W16*100</f>
        <v>1467.34574721429</v>
      </c>
      <c r="L3" t="s">
        <v>9837</v>
      </c>
      <c r="O3" t="s">
        <v>9839</v>
      </c>
      <c r="P3" s="4963">
        <f ca="1">TODAY()</f>
        <v>45979</v>
      </c>
      <c r="Q3" s="4963"/>
      <c r="R3" s="4963"/>
    </row>
    <row r="4" spans="1:30" ht="20.100000000000001" customHeight="1"/>
    <row r="5" spans="1:30" ht="20.100000000000001" customHeight="1">
      <c r="D5" t="s">
        <v>9840</v>
      </c>
      <c r="N5" t="s">
        <v>9841</v>
      </c>
      <c r="P5">
        <v>13</v>
      </c>
      <c r="Q5" s="4963" t="str">
        <f>IF(P5&gt;14,"  ",IF(P5&gt;=8,W5,V5))</f>
        <v>碳鋼 1.0%C</v>
      </c>
      <c r="R5" s="4963"/>
      <c r="S5">
        <f>IF(P5&gt;14,"  ",IF(P5&gt;=8,Y5,X5))</f>
        <v>130</v>
      </c>
      <c r="V5" t="str">
        <f>IF(P5=1,O6,IF(P5=2,O7,IF(P5=3,O8,IF(P5=4,O9,IF(P5=5,O10,IF(P5=6,O11,IF(P5=7,O12,"  ")))))))</f>
        <v/>
      </c>
      <c r="W5" t="str">
        <f>IF(P5=8,R6,IF(P5=9,R7,IF(P5=10,R8,IF(P5=11,R9,IF(P5=12,R10,IF(P5=13,R11,IF(P5=14,R12,"  ")))))))</f>
        <v>碳鋼 1.0%C</v>
      </c>
      <c r="X5" t="str">
        <f>IF(P5=1,P6,IF(P5=2,P7,IF(P5=3,P8,IF(P5=4,P9,IF(P5=5,P10,IF(P5=6,P11,IF(P5=7,P12,"  ")))))))</f>
        <v/>
      </c>
      <c r="Y5">
        <f>IF(P5=8,S6,IF(P5=9,S7,IF(P5=10,S8,IF(P5=11,S9,IF(P5=12,S10,IF(P5=13,S11,IF(P5=14,S12,"  ")))))))</f>
        <v>130</v>
      </c>
    </row>
    <row r="6" spans="1:30" ht="20.100000000000001" customHeight="1">
      <c r="N6" t="s">
        <v>9807</v>
      </c>
      <c r="O6" t="s">
        <v>9842</v>
      </c>
      <c r="P6">
        <v>20</v>
      </c>
      <c r="Q6" t="s">
        <v>9843</v>
      </c>
      <c r="R6" t="s">
        <v>9844</v>
      </c>
      <c r="S6">
        <v>28</v>
      </c>
    </row>
    <row r="7" spans="1:30" ht="20.100000000000001" customHeight="1">
      <c r="J7" t="s">
        <v>9845</v>
      </c>
      <c r="K7">
        <v>1</v>
      </c>
      <c r="N7" t="s">
        <v>9809</v>
      </c>
      <c r="O7" t="s">
        <v>9810</v>
      </c>
      <c r="P7">
        <v>45</v>
      </c>
      <c r="Q7" t="s">
        <v>9846</v>
      </c>
      <c r="R7" t="s">
        <v>9847</v>
      </c>
      <c r="S7">
        <v>45</v>
      </c>
      <c r="W7" t="s">
        <v>9848</v>
      </c>
      <c r="X7" t="s">
        <v>9849</v>
      </c>
      <c r="Y7" t="s">
        <v>9850</v>
      </c>
      <c r="Z7" t="s">
        <v>9851</v>
      </c>
      <c r="AA7" t="s">
        <v>9852</v>
      </c>
      <c r="AB7" t="s">
        <v>9853</v>
      </c>
      <c r="AC7" t="s">
        <v>9854</v>
      </c>
      <c r="AD7" t="s">
        <v>9855</v>
      </c>
    </row>
    <row r="8" spans="1:30" ht="20.100000000000001" customHeight="1">
      <c r="D8">
        <v>1</v>
      </c>
      <c r="N8" t="s">
        <v>9813</v>
      </c>
      <c r="O8" t="s">
        <v>9856</v>
      </c>
      <c r="P8">
        <v>60</v>
      </c>
      <c r="Q8" t="s">
        <v>9857</v>
      </c>
      <c r="R8" t="s">
        <v>9858</v>
      </c>
      <c r="S8">
        <v>45</v>
      </c>
      <c r="V8" t="s">
        <v>9859</v>
      </c>
      <c r="W8">
        <v>1.8</v>
      </c>
      <c r="X8">
        <v>1.65</v>
      </c>
      <c r="Y8">
        <v>1.5</v>
      </c>
      <c r="Z8">
        <v>1.42</v>
      </c>
      <c r="AA8">
        <v>1.36</v>
      </c>
      <c r="AB8">
        <v>1.28</v>
      </c>
      <c r="AC8">
        <v>1.21</v>
      </c>
      <c r="AD8">
        <v>1.18</v>
      </c>
    </row>
    <row r="9" spans="1:30" ht="20.100000000000001" customHeight="1">
      <c r="D9" t="s">
        <v>1966</v>
      </c>
      <c r="N9" t="s">
        <v>9815</v>
      </c>
      <c r="O9" t="s">
        <v>9860</v>
      </c>
      <c r="P9">
        <v>35</v>
      </c>
      <c r="Q9" t="s">
        <v>9861</v>
      </c>
      <c r="R9" t="s">
        <v>9862</v>
      </c>
      <c r="S9">
        <v>70</v>
      </c>
      <c r="V9" t="s">
        <v>9863</v>
      </c>
      <c r="W9">
        <v>1.55</v>
      </c>
      <c r="X9">
        <v>1.5</v>
      </c>
      <c r="Y9">
        <v>1.4</v>
      </c>
      <c r="Z9">
        <v>1.35</v>
      </c>
      <c r="AA9">
        <v>1.3</v>
      </c>
      <c r="AB9">
        <v>1.25</v>
      </c>
      <c r="AC9">
        <v>1.2</v>
      </c>
      <c r="AD9">
        <v>1.18</v>
      </c>
    </row>
    <row r="10" spans="1:30" ht="20.100000000000001" customHeight="1">
      <c r="F10">
        <v>2.5</v>
      </c>
      <c r="N10" t="s">
        <v>9818</v>
      </c>
      <c r="O10" t="s">
        <v>9864</v>
      </c>
      <c r="P10">
        <v>60</v>
      </c>
      <c r="Q10" t="s">
        <v>9865</v>
      </c>
      <c r="R10" t="s">
        <v>9866</v>
      </c>
      <c r="S10">
        <v>90</v>
      </c>
      <c r="V10" t="s">
        <v>9867</v>
      </c>
      <c r="W10">
        <v>1.42</v>
      </c>
      <c r="X10">
        <v>1.39</v>
      </c>
      <c r="Y10">
        <v>1.32</v>
      </c>
      <c r="Z10">
        <v>1.28</v>
      </c>
      <c r="AA10">
        <v>1.25</v>
      </c>
      <c r="AB10">
        <v>1.21</v>
      </c>
      <c r="AC10">
        <v>1.19</v>
      </c>
      <c r="AD10">
        <v>1.18</v>
      </c>
    </row>
    <row r="11" spans="1:30" ht="20.100000000000001" customHeight="1">
      <c r="J11" t="s">
        <v>9868</v>
      </c>
      <c r="K11">
        <v>200</v>
      </c>
      <c r="N11" t="s">
        <v>9820</v>
      </c>
      <c r="O11" t="s">
        <v>9869</v>
      </c>
      <c r="P11">
        <v>50</v>
      </c>
      <c r="Q11" t="s">
        <v>9870</v>
      </c>
      <c r="R11" t="s">
        <v>9871</v>
      </c>
      <c r="S11">
        <v>130</v>
      </c>
      <c r="V11">
        <f>D8/K7</f>
        <v>1</v>
      </c>
      <c r="W11">
        <f t="shared" ref="W11:AD11" si="0">IF($V$11&lt;=1,W8,IF($V$11&lt;=1.9,W9,W10))</f>
        <v>1.8</v>
      </c>
      <c r="X11">
        <f t="shared" si="0"/>
        <v>1.65</v>
      </c>
      <c r="Y11">
        <f t="shared" si="0"/>
        <v>1.5</v>
      </c>
      <c r="Z11">
        <f t="shared" si="0"/>
        <v>1.42</v>
      </c>
      <c r="AA11">
        <f t="shared" si="0"/>
        <v>1.36</v>
      </c>
      <c r="AB11">
        <f t="shared" si="0"/>
        <v>1.28</v>
      </c>
      <c r="AC11">
        <f t="shared" si="0"/>
        <v>1.21</v>
      </c>
      <c r="AD11">
        <f t="shared" si="0"/>
        <v>1.18</v>
      </c>
    </row>
    <row r="12" spans="1:30" ht="20.100000000000001" customHeight="1">
      <c r="N12" t="s">
        <v>9823</v>
      </c>
      <c r="O12" t="s">
        <v>9872</v>
      </c>
      <c r="P12">
        <v>70</v>
      </c>
      <c r="Q12" t="s">
        <v>9873</v>
      </c>
      <c r="R12" t="s">
        <v>9874</v>
      </c>
      <c r="S12">
        <v>70</v>
      </c>
      <c r="V12">
        <f>D13/K7</f>
        <v>16</v>
      </c>
      <c r="W12">
        <f>IF(V12&lt;=5,W11,IF(V12&lt;=6,X11,IF(V12&lt;=8,Y11,IF(V12&lt;=10,Z11,IF(V12&lt;=12,AA11,IF(V12&lt;=15,AB11,IF(V12&lt;=20,AC11,AD11)))))))</f>
        <v>1.21</v>
      </c>
    </row>
    <row r="13" spans="1:30" ht="20.100000000000001" customHeight="1">
      <c r="D13">
        <v>16</v>
      </c>
      <c r="G13" t="str">
        <f>IF(D13&lt;X21,"模寬太小建議大於 "&amp;X21,"  ")</f>
        <v/>
      </c>
      <c r="V13" t="s">
        <v>9875</v>
      </c>
      <c r="W13">
        <f>(0.5*D13)-(0.35*K7)-(0.29*F10)</f>
        <v>6.9249999999999998</v>
      </c>
      <c r="X13">
        <f>IF(W13&gt;(D13/2),(D13/2),W13)</f>
        <v>6.9249999999999998</v>
      </c>
    </row>
    <row r="14" spans="1:30" ht="20.100000000000001" customHeight="1">
      <c r="I14" t="s">
        <v>9876</v>
      </c>
      <c r="V14" t="s">
        <v>9877</v>
      </c>
      <c r="W14">
        <v>0.6</v>
      </c>
    </row>
    <row r="15" spans="1:30" ht="20.100000000000001" customHeight="1">
      <c r="D15" t="s">
        <v>9878</v>
      </c>
      <c r="V15" t="s">
        <v>9875</v>
      </c>
      <c r="W15">
        <f>(0.5*D23)-(0.35*K7)-(0.29*F20)</f>
        <v>9.4250000000000007</v>
      </c>
      <c r="X15">
        <f>IF(W15&gt;(D23/2),(D23/2),W15)</f>
        <v>9.4250000000000007</v>
      </c>
    </row>
    <row r="16" spans="1:30" ht="20.100000000000001" customHeight="1">
      <c r="V16" t="s">
        <v>9877</v>
      </c>
      <c r="W16">
        <v>0.3</v>
      </c>
    </row>
    <row r="17" spans="4:24" ht="20.100000000000001" customHeight="1">
      <c r="W17">
        <f>(W12^3)+(2*W12)</f>
        <v>4.1915610000000001</v>
      </c>
    </row>
    <row r="18" spans="4:24" ht="20.100000000000001" customHeight="1">
      <c r="D18">
        <v>1</v>
      </c>
    </row>
    <row r="19" spans="4:24" ht="20.100000000000001" customHeight="1">
      <c r="D19" t="s">
        <v>1966</v>
      </c>
    </row>
    <row r="20" spans="4:24" ht="20.100000000000001" customHeight="1">
      <c r="F20">
        <v>2.5</v>
      </c>
      <c r="V20" t="s">
        <v>9879</v>
      </c>
      <c r="W20">
        <f>(S5^0.5+1/K7*10)*K7</f>
        <v>21.401754250991399</v>
      </c>
      <c r="X20">
        <f>(S5^0.5+1/K7*10)*K7*0.75</f>
        <v>16.051315688243498</v>
      </c>
    </row>
    <row r="21" spans="4:24" ht="20.100000000000001" customHeight="1">
      <c r="W21">
        <f>INT(W20)</f>
        <v>21</v>
      </c>
      <c r="X21">
        <f>INT(X20)</f>
        <v>16</v>
      </c>
    </row>
    <row r="22" spans="4:24" ht="20.100000000000001" customHeight="1"/>
    <row r="23" spans="4:24" ht="20.100000000000001" customHeight="1">
      <c r="D23">
        <v>21</v>
      </c>
    </row>
    <row r="24" spans="4:24" ht="20.100000000000001" customHeight="1">
      <c r="D24" t="str">
        <f>IF(D23&lt;W21,"模寬太小建議大於 "&amp;W21,"  ")</f>
        <v/>
      </c>
    </row>
    <row r="25" spans="4:24" ht="20.100000000000001" customHeight="1"/>
  </sheetData>
  <mergeCells count="8">
    <mergeCell ref="P3:R3"/>
    <mergeCell ref="Q5:R5"/>
    <mergeCell ref="A2:C2"/>
    <mergeCell ref="E2:F2"/>
    <mergeCell ref="H2:J2"/>
    <mergeCell ref="A3:C3"/>
    <mergeCell ref="E3:F3"/>
    <mergeCell ref="H3:J3"/>
  </mergeCells>
  <phoneticPr fontId="214" type="noConversion"/>
  <pageMargins left="0.55000000000000004" right="0.55000000000000004" top="0.78888888888888897" bottom="0.58888888888888902" header="0.70902777777777803" footer="0.50902777777777797"/>
  <pageSetup paperSize="9" orientation="landscape"/>
  <headerFooter scaleWithDoc="0" alignWithMargins="0"/>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dimension ref="A1:AM26"/>
  <sheetViews>
    <sheetView showGridLines="0" showRowColHeaders="0" showOutlineSymbols="0" zoomScale="85" zoomScaleNormal="85" workbookViewId="0">
      <selection activeCell="O1" sqref="O1"/>
    </sheetView>
  </sheetViews>
  <sheetFormatPr defaultColWidth="8.125" defaultRowHeight="14.25"/>
  <cols>
    <col min="1" max="1" width="3.75" customWidth="1"/>
    <col min="2" max="2" width="3.25" customWidth="1"/>
    <col min="3" max="3" width="4.625" customWidth="1"/>
    <col min="4" max="5" width="3.75" customWidth="1"/>
    <col min="6" max="6" width="5.75" customWidth="1"/>
    <col min="7" max="12" width="3.75" customWidth="1"/>
    <col min="13" max="13" width="3.25" customWidth="1"/>
    <col min="14" max="14" width="4.625" customWidth="1"/>
    <col min="15" max="16" width="3.75" customWidth="1"/>
    <col min="17" max="17" width="5.75" customWidth="1"/>
    <col min="18" max="19" width="3.75" customWidth="1"/>
    <col min="20" max="20" width="3.625" customWidth="1"/>
    <col min="21" max="21" width="3.75" customWidth="1"/>
    <col min="22" max="22" width="2.75" customWidth="1"/>
    <col min="23" max="23" width="2.375" customWidth="1"/>
    <col min="24" max="24" width="8.25" customWidth="1"/>
    <col min="25" max="25" width="3.75" customWidth="1"/>
    <col min="26" max="26" width="2.625" customWidth="1"/>
    <col min="27" max="27" width="13.375" customWidth="1"/>
    <col min="28" max="28" width="4.25" customWidth="1"/>
    <col min="29" max="29" width="1.5" customWidth="1"/>
    <col min="30" max="30" width="7.25" customWidth="1"/>
    <col min="31" max="31" width="6.625" hidden="1" customWidth="1"/>
    <col min="32" max="32" width="6.375" hidden="1" customWidth="1"/>
    <col min="33" max="35" width="5.25" hidden="1" customWidth="1"/>
    <col min="36" max="36" width="5.375" hidden="1" customWidth="1"/>
    <col min="37" max="37" width="5.75" hidden="1" customWidth="1"/>
    <col min="38" max="38" width="5.25" hidden="1" customWidth="1"/>
    <col min="39" max="39" width="6.75" hidden="1" customWidth="1"/>
    <col min="40" max="40" width="7.5" customWidth="1"/>
  </cols>
  <sheetData>
    <row r="1" spans="1:39" ht="25.5">
      <c r="A1" t="s">
        <v>9880</v>
      </c>
    </row>
    <row r="2" spans="1:39" ht="27.95" customHeight="1">
      <c r="A2" s="4963" t="s">
        <v>9881</v>
      </c>
      <c r="B2" s="4963"/>
      <c r="C2" s="4963"/>
      <c r="D2" s="4963"/>
      <c r="E2" s="4963"/>
      <c r="F2" s="4963">
        <f>F5+F13</f>
        <v>4.0949999999999998</v>
      </c>
      <c r="G2" s="4963"/>
      <c r="H2" t="s">
        <v>9781</v>
      </c>
      <c r="K2" s="4963" t="s">
        <v>9882</v>
      </c>
      <c r="L2" s="4963"/>
      <c r="M2" s="4963"/>
      <c r="N2" s="4963"/>
      <c r="O2" s="4963"/>
      <c r="P2" s="4963"/>
      <c r="Q2" s="4963">
        <f>Q5+Q13</f>
        <v>22.522500000000001</v>
      </c>
      <c r="R2" s="4963"/>
      <c r="S2" t="s">
        <v>9781</v>
      </c>
    </row>
    <row r="3" spans="1:39" ht="20.25">
      <c r="A3" s="4963" t="s">
        <v>9883</v>
      </c>
      <c r="B3" s="4963"/>
      <c r="C3" s="4963"/>
      <c r="D3" s="4963"/>
      <c r="E3" s="4963"/>
      <c r="F3" s="4963">
        <f>F5*AF23*AF24</f>
        <v>19.487196472080701</v>
      </c>
      <c r="G3" s="4963"/>
      <c r="H3" t="s">
        <v>9837</v>
      </c>
      <c r="K3" s="4963" t="s">
        <v>9884</v>
      </c>
      <c r="L3" s="4963"/>
      <c r="M3" s="4963"/>
      <c r="N3" s="4963"/>
      <c r="O3" s="4963"/>
      <c r="P3" s="4963"/>
      <c r="Q3" s="4963">
        <f>Q2*AJ23*AJ24</f>
        <v>66.3492641787509</v>
      </c>
      <c r="R3" s="4963"/>
      <c r="S3" t="s">
        <v>9837</v>
      </c>
      <c r="X3" t="s">
        <v>9839</v>
      </c>
      <c r="Y3" s="4963">
        <f ca="1">TODAY()</f>
        <v>45979</v>
      </c>
      <c r="Z3" s="4963"/>
      <c r="AA3" s="4963"/>
    </row>
    <row r="4" spans="1:39" ht="20.100000000000001" customHeight="1">
      <c r="C4" t="s">
        <v>9840</v>
      </c>
      <c r="N4" t="s">
        <v>9878</v>
      </c>
    </row>
    <row r="5" spans="1:39" ht="20.100000000000001" customHeight="1">
      <c r="F5">
        <f>AF14*AB5*(F14+F15)*2*F20/1000</f>
        <v>3.15</v>
      </c>
      <c r="Q5">
        <f>AG22*AB5*(Q14+Q15)*2*F20/1000</f>
        <v>17.324999999999999</v>
      </c>
      <c r="W5" t="s">
        <v>9841</v>
      </c>
      <c r="Y5">
        <v>14</v>
      </c>
      <c r="Z5" s="4963" t="str">
        <f>IF(Y5&gt;14,"  ",IF(Y5&gt;=8,AF5,AE5))</f>
        <v>不銹鋼 (SUS)</v>
      </c>
      <c r="AA5" s="4963"/>
      <c r="AB5">
        <f>IF(Y5&gt;14,"  ",IF(Y5&gt;=8,AH5,AG5))</f>
        <v>70</v>
      </c>
      <c r="AE5" t="str">
        <f>IF(Y5=1,X6,IF(Y5=2,X7,IF(Y5=3,X8,IF(Y5=4,X9,IF(Y5=5,X10,IF(Y5=6,X11,IF(Y5=7,X12,"  ")))))))</f>
        <v/>
      </c>
      <c r="AF5" t="str">
        <f>IF(Y5=8,AA6,IF(Y5=9,AA7,IF(Y5=10,AA8,IF(Y5=11,AA9,IF(Y5=12,AA10,IF(Y5=13,AA11,IF(Y5=14,AA12,"  ")))))))</f>
        <v>不銹鋼 (SUS)</v>
      </c>
      <c r="AG5" t="str">
        <f>IF(Y5=1,Y6,IF(Y5=2,Y7,IF(Y5=3,Y8,IF(Y5=4,Y9,IF(Y5=5,Y10,IF(Y5=6,Y11,IF(Y5=7,Y12,"  ")))))))</f>
        <v/>
      </c>
      <c r="AH5">
        <f>IF(Y5=8,AB6,IF(Y5=9,AB7,IF(Y5=10,AB8,IF(Y5=11,AB9,IF(Y5=12,AB10,IF(Y5=13,AB11,IF(Y5=14,AB12,"  ")))))))</f>
        <v>70</v>
      </c>
    </row>
    <row r="6" spans="1:39" ht="20.100000000000001" customHeight="1">
      <c r="B6" s="4963"/>
      <c r="C6" s="4963"/>
      <c r="W6" t="s">
        <v>9807</v>
      </c>
      <c r="X6" t="s">
        <v>9842</v>
      </c>
      <c r="Y6">
        <v>20</v>
      </c>
      <c r="Z6" t="s">
        <v>9843</v>
      </c>
      <c r="AA6" t="s">
        <v>9844</v>
      </c>
      <c r="AB6">
        <v>28</v>
      </c>
    </row>
    <row r="7" spans="1:39" ht="20.100000000000001" customHeight="1">
      <c r="I7" s="4963">
        <f>((N16^0.5)*(F20^0.75)*(N9^0.2))/3</f>
        <v>3.5200527129052999</v>
      </c>
      <c r="J7" s="4963"/>
      <c r="T7" s="4963">
        <f>((N16^0.5)*(F20^0.75)*(N9^0.2))/3</f>
        <v>3.5200527129052999</v>
      </c>
      <c r="U7" s="4963"/>
      <c r="W7" t="s">
        <v>9809</v>
      </c>
      <c r="X7" t="s">
        <v>9810</v>
      </c>
      <c r="Y7">
        <v>45</v>
      </c>
      <c r="Z7" t="s">
        <v>9846</v>
      </c>
      <c r="AA7" t="s">
        <v>9847</v>
      </c>
      <c r="AB7">
        <v>45</v>
      </c>
      <c r="AF7" t="s">
        <v>9885</v>
      </c>
      <c r="AG7" t="s">
        <v>9886</v>
      </c>
      <c r="AH7" t="s">
        <v>9887</v>
      </c>
      <c r="AI7" t="s">
        <v>9888</v>
      </c>
      <c r="AJ7" t="s">
        <v>9889</v>
      </c>
      <c r="AK7" t="s">
        <v>9890</v>
      </c>
      <c r="AL7" t="s">
        <v>9891</v>
      </c>
      <c r="AM7" t="s">
        <v>9892</v>
      </c>
    </row>
    <row r="8" spans="1:39" ht="20.100000000000001" customHeight="1">
      <c r="F8">
        <f>(L24-F20)</f>
        <v>1</v>
      </c>
      <c r="Q8">
        <f>L24-F20</f>
        <v>1</v>
      </c>
      <c r="W8" t="s">
        <v>9813</v>
      </c>
      <c r="X8" t="s">
        <v>9856</v>
      </c>
      <c r="Y8">
        <v>60</v>
      </c>
      <c r="Z8" t="s">
        <v>9857</v>
      </c>
      <c r="AA8" t="s">
        <v>9858</v>
      </c>
      <c r="AB8">
        <v>45</v>
      </c>
      <c r="AE8" t="s">
        <v>9893</v>
      </c>
      <c r="AF8">
        <v>0.6</v>
      </c>
      <c r="AG8">
        <v>0.5</v>
      </c>
      <c r="AH8">
        <v>0.4</v>
      </c>
      <c r="AI8">
        <v>0.35</v>
      </c>
      <c r="AJ8">
        <v>0.32500000000000001</v>
      </c>
      <c r="AK8">
        <v>0.3</v>
      </c>
      <c r="AL8">
        <v>0.22800000000000001</v>
      </c>
      <c r="AM8">
        <v>0.22600000000000001</v>
      </c>
    </row>
    <row r="9" spans="1:39" ht="20.100000000000001" customHeight="1">
      <c r="C9">
        <f>((1/(AB5/10))+((N16/10)^0.5))*(F20^0.5)+F20</f>
        <v>4.2996482052507501</v>
      </c>
      <c r="N9">
        <f>((1/(AB5/10))+((N16/10)^0.5))*(F20^0.5)+F20</f>
        <v>4.2996482052507501</v>
      </c>
      <c r="W9" t="s">
        <v>9815</v>
      </c>
      <c r="X9" t="s">
        <v>9860</v>
      </c>
      <c r="Y9">
        <v>35</v>
      </c>
      <c r="Z9" t="s">
        <v>9861</v>
      </c>
      <c r="AA9" t="s">
        <v>9862</v>
      </c>
      <c r="AB9">
        <v>70</v>
      </c>
      <c r="AE9" t="s">
        <v>9894</v>
      </c>
      <c r="AF9">
        <v>0.5</v>
      </c>
      <c r="AG9">
        <v>0.4</v>
      </c>
      <c r="AH9">
        <v>0.35</v>
      </c>
      <c r="AI9">
        <v>0.32500000000000001</v>
      </c>
      <c r="AJ9">
        <v>0.3</v>
      </c>
      <c r="AK9">
        <v>0.22800000000000001</v>
      </c>
      <c r="AL9">
        <v>0.22600000000000001</v>
      </c>
      <c r="AM9">
        <v>0.224</v>
      </c>
    </row>
    <row r="10" spans="1:39" ht="20.100000000000001" customHeight="1">
      <c r="W10" t="s">
        <v>9818</v>
      </c>
      <c r="X10" t="s">
        <v>9864</v>
      </c>
      <c r="Y10">
        <v>60</v>
      </c>
      <c r="Z10" t="s">
        <v>9865</v>
      </c>
      <c r="AA10" t="s">
        <v>9866</v>
      </c>
      <c r="AB10">
        <v>90</v>
      </c>
      <c r="AE10" t="s">
        <v>9863</v>
      </c>
      <c r="AF10">
        <v>0.4</v>
      </c>
      <c r="AG10">
        <v>0.35</v>
      </c>
      <c r="AH10">
        <v>0.32500000000000001</v>
      </c>
      <c r="AI10">
        <v>0.3</v>
      </c>
      <c r="AJ10">
        <v>0.22800000000000001</v>
      </c>
      <c r="AK10">
        <v>0.22600000000000001</v>
      </c>
      <c r="AL10">
        <v>0.224</v>
      </c>
      <c r="AM10">
        <v>0.222</v>
      </c>
    </row>
    <row r="11" spans="1:39" ht="19.5" customHeight="1">
      <c r="W11" t="s">
        <v>9820</v>
      </c>
      <c r="X11" t="s">
        <v>9869</v>
      </c>
      <c r="Y11">
        <v>50</v>
      </c>
      <c r="Z11" t="s">
        <v>9870</v>
      </c>
      <c r="AA11" t="s">
        <v>9895</v>
      </c>
      <c r="AB11">
        <v>130</v>
      </c>
      <c r="AE11" t="s">
        <v>9867</v>
      </c>
      <c r="AF11">
        <v>0.35</v>
      </c>
      <c r="AG11">
        <v>0.32500000000000001</v>
      </c>
      <c r="AH11">
        <v>0.3</v>
      </c>
      <c r="AI11">
        <v>0.22800000000000001</v>
      </c>
      <c r="AJ11">
        <v>0.22600000000000001</v>
      </c>
      <c r="AK11">
        <v>0.224</v>
      </c>
      <c r="AL11">
        <v>0.222</v>
      </c>
      <c r="AM11">
        <v>0.2</v>
      </c>
    </row>
    <row r="12" spans="1:39" ht="20.100000000000001" customHeight="1">
      <c r="W12" t="s">
        <v>9823</v>
      </c>
      <c r="X12" t="s">
        <v>9872</v>
      </c>
      <c r="Y12">
        <v>70</v>
      </c>
      <c r="Z12" t="s">
        <v>9873</v>
      </c>
      <c r="AA12" t="s">
        <v>9874</v>
      </c>
      <c r="AB12">
        <v>70</v>
      </c>
      <c r="AE12" t="s">
        <v>9896</v>
      </c>
      <c r="AF12">
        <v>0.32500000000000001</v>
      </c>
      <c r="AG12">
        <v>0.3</v>
      </c>
      <c r="AH12">
        <v>0.22800000000000001</v>
      </c>
      <c r="AI12">
        <v>0.22600000000000001</v>
      </c>
      <c r="AJ12">
        <v>0.224</v>
      </c>
      <c r="AK12">
        <v>0.222</v>
      </c>
      <c r="AL12">
        <v>0.2</v>
      </c>
      <c r="AM12">
        <v>0.18</v>
      </c>
    </row>
    <row r="13" spans="1:39" ht="20.100000000000001" customHeight="1">
      <c r="F13">
        <f>F5*0.3</f>
        <v>0.94499999999999995</v>
      </c>
      <c r="Q13">
        <f>Q5*0.3</f>
        <v>5.1974999999999998</v>
      </c>
      <c r="AE13">
        <f>(L24-F20)/F20</f>
        <v>0.5</v>
      </c>
      <c r="AF13">
        <f t="shared" ref="AF13:AM13" si="0">IF($AE$13&lt;=0.5,AF8,IF($AE$13&lt;=1,AF9,IF($AE$13&lt;=1.5,AF10,IF($AE$13&lt;=2,AF11,AF12))))</f>
        <v>0.6</v>
      </c>
      <c r="AG13">
        <f t="shared" si="0"/>
        <v>0.5</v>
      </c>
      <c r="AH13">
        <f t="shared" si="0"/>
        <v>0.4</v>
      </c>
      <c r="AI13">
        <f t="shared" si="0"/>
        <v>0.35</v>
      </c>
      <c r="AJ13">
        <f t="shared" si="0"/>
        <v>0.32500000000000001</v>
      </c>
      <c r="AK13">
        <f t="shared" si="0"/>
        <v>0.3</v>
      </c>
      <c r="AL13">
        <f t="shared" si="0"/>
        <v>0.22800000000000001</v>
      </c>
      <c r="AM13">
        <f t="shared" si="0"/>
        <v>0.22600000000000001</v>
      </c>
    </row>
    <row r="14" spans="1:39" ht="20.100000000000001" customHeight="1">
      <c r="E14" t="s">
        <v>2121</v>
      </c>
      <c r="F14">
        <f>L21</f>
        <v>22.5</v>
      </c>
      <c r="P14" t="s">
        <v>2121</v>
      </c>
      <c r="Q14">
        <f>L21</f>
        <v>22.5</v>
      </c>
      <c r="AE14">
        <f>C9/F20</f>
        <v>2.1498241026253702</v>
      </c>
      <c r="AF14">
        <f>IF(AE14&lt;=2,AF13,IF(AE14&lt;=3,AG13,IF(AE14&lt;=4,AH13,IF(AE14&lt;=5,AI13,IF(AE14&lt;=6,AJ13,IF(AE14&lt;=7,AK13,IF(AE14&lt;=8,AL13,AM13)))))))</f>
        <v>0.5</v>
      </c>
    </row>
    <row r="15" spans="1:39" ht="20.100000000000001" customHeight="1">
      <c r="E15" t="s">
        <v>9897</v>
      </c>
      <c r="F15">
        <f>F24</f>
        <v>0</v>
      </c>
      <c r="K15" s="4963" t="str">
        <f>IF(N16&lt;(L24+T7+F20),"高度輸入錯誤","  ")</f>
        <v/>
      </c>
      <c r="L15" s="4963"/>
      <c r="M15" s="4963"/>
      <c r="N15" s="4963"/>
      <c r="P15" t="s">
        <v>9897</v>
      </c>
      <c r="Q15">
        <f>F24</f>
        <v>0</v>
      </c>
      <c r="AF15" t="s">
        <v>9885</v>
      </c>
      <c r="AG15" t="s">
        <v>9886</v>
      </c>
      <c r="AH15" t="s">
        <v>9887</v>
      </c>
      <c r="AI15" t="s">
        <v>9888</v>
      </c>
      <c r="AJ15" t="s">
        <v>9889</v>
      </c>
      <c r="AK15" t="s">
        <v>9890</v>
      </c>
      <c r="AL15" t="s">
        <v>9891</v>
      </c>
      <c r="AM15" t="s">
        <v>9892</v>
      </c>
    </row>
    <row r="16" spans="1:39" ht="20.100000000000001" customHeight="1">
      <c r="N16">
        <v>22</v>
      </c>
      <c r="AE16" t="s">
        <v>9893</v>
      </c>
      <c r="AF16">
        <v>0.6</v>
      </c>
      <c r="AG16">
        <v>0.5</v>
      </c>
      <c r="AH16">
        <v>0.4</v>
      </c>
      <c r="AI16">
        <v>0.35</v>
      </c>
      <c r="AJ16">
        <v>0.32500000000000001</v>
      </c>
      <c r="AK16">
        <v>0.3</v>
      </c>
      <c r="AL16">
        <v>0.22800000000000001</v>
      </c>
      <c r="AM16">
        <v>0.22600000000000001</v>
      </c>
    </row>
    <row r="17" spans="5:39" ht="20.100000000000001" customHeight="1">
      <c r="P17" s="4963" t="s">
        <v>9898</v>
      </c>
      <c r="Q17" s="4963"/>
      <c r="AE17" t="s">
        <v>9894</v>
      </c>
      <c r="AF17">
        <v>0.5</v>
      </c>
      <c r="AG17">
        <v>0.4</v>
      </c>
      <c r="AH17">
        <v>0.35</v>
      </c>
      <c r="AI17">
        <v>0.32500000000000001</v>
      </c>
      <c r="AJ17">
        <v>0.3</v>
      </c>
      <c r="AK17">
        <v>0.22800000000000001</v>
      </c>
      <c r="AL17">
        <v>0.22600000000000001</v>
      </c>
      <c r="AM17">
        <v>0.224</v>
      </c>
    </row>
    <row r="18" spans="5:39" ht="20.100000000000001" customHeight="1">
      <c r="AE18" t="s">
        <v>9863</v>
      </c>
      <c r="AF18">
        <v>0.4</v>
      </c>
      <c r="AG18">
        <v>0.35</v>
      </c>
      <c r="AH18">
        <v>0.32500000000000001</v>
      </c>
      <c r="AI18">
        <v>0.3</v>
      </c>
      <c r="AJ18">
        <v>0.22800000000000001</v>
      </c>
      <c r="AK18">
        <v>0.22600000000000001</v>
      </c>
      <c r="AL18">
        <v>0.224</v>
      </c>
      <c r="AM18">
        <v>0.222</v>
      </c>
    </row>
    <row r="19" spans="5:39" ht="20.100000000000001" customHeight="1">
      <c r="AE19" t="s">
        <v>9867</v>
      </c>
      <c r="AF19">
        <v>0.35</v>
      </c>
      <c r="AG19">
        <v>0.32500000000000001</v>
      </c>
      <c r="AH19">
        <v>0.3</v>
      </c>
      <c r="AI19">
        <v>0.22800000000000001</v>
      </c>
      <c r="AJ19">
        <v>0.22600000000000001</v>
      </c>
      <c r="AK19">
        <v>0.224</v>
      </c>
      <c r="AL19">
        <v>0.222</v>
      </c>
      <c r="AM19">
        <v>0.2</v>
      </c>
    </row>
    <row r="20" spans="5:39" ht="20.100000000000001" customHeight="1">
      <c r="E20" t="s">
        <v>9899</v>
      </c>
      <c r="F20">
        <v>2</v>
      </c>
      <c r="AE20" t="s">
        <v>9896</v>
      </c>
      <c r="AF20">
        <v>0.32500000000000001</v>
      </c>
      <c r="AG20">
        <v>0.3</v>
      </c>
      <c r="AH20">
        <v>0.22800000000000001</v>
      </c>
      <c r="AI20">
        <v>0.22600000000000001</v>
      </c>
      <c r="AJ20">
        <v>0.224</v>
      </c>
      <c r="AK20">
        <v>0.222</v>
      </c>
      <c r="AL20">
        <v>0.2</v>
      </c>
      <c r="AM20">
        <v>0.18</v>
      </c>
    </row>
    <row r="21" spans="5:39" ht="20.100000000000001" customHeight="1">
      <c r="K21" t="s">
        <v>2121</v>
      </c>
      <c r="L21" s="4963">
        <v>22.5</v>
      </c>
      <c r="M21" s="4963"/>
      <c r="AE21">
        <f>(L24-F20)/F20</f>
        <v>0.5</v>
      </c>
      <c r="AF21">
        <f t="shared" ref="AF21:AK21" si="1">IF($AE$21&lt;=0.5,AF16,IF($AE$21&lt;=1,AF17,IF($AE$21&lt;=1.5,AF18,IF($AE$21&lt;=2,AF19,AF20))))</f>
        <v>0.6</v>
      </c>
      <c r="AG21">
        <f t="shared" si="1"/>
        <v>0.5</v>
      </c>
      <c r="AH21">
        <f t="shared" si="1"/>
        <v>0.4</v>
      </c>
      <c r="AI21">
        <f t="shared" si="1"/>
        <v>0.35</v>
      </c>
      <c r="AJ21">
        <f t="shared" si="1"/>
        <v>0.32500000000000001</v>
      </c>
      <c r="AK21">
        <f t="shared" si="1"/>
        <v>0.3</v>
      </c>
      <c r="AL21">
        <f>IF($AE$13&lt;=0.5,AL16,IF($AE$13&lt;=1,AL17,IF($AE$13&lt;=1.5,AL18,IF($AE$13&lt;=2,AL19,AL20))))</f>
        <v>0.22800000000000001</v>
      </c>
      <c r="AM21">
        <f>IF($AE$13&lt;=0.5,AM16,IF($AE$13&lt;=1,AM17,IF($AE$13&lt;=1.5,AM18,IF($AE$13&lt;=2,AM19,AM20))))</f>
        <v>0.22600000000000001</v>
      </c>
    </row>
    <row r="22" spans="5:39" ht="20.100000000000001" customHeight="1">
      <c r="AE22">
        <f>N9/F20</f>
        <v>2.1498241026253702</v>
      </c>
      <c r="AF22">
        <f>IF(AE22&lt;=2,AF21,IF(AE22&lt;=3,AG21,IF(AE22&lt;=4,AH21,IF(AE22&lt;=5,AI21,IF(AE22&lt;=6,AJ21,IF(AE22&lt;=7,AK21,IF(AE22&lt;=8,AL21,AM21)))))))</f>
        <v>0.5</v>
      </c>
      <c r="AG22">
        <f>(AF22^2)+(5*AF22)</f>
        <v>2.75</v>
      </c>
    </row>
    <row r="23" spans="5:39" ht="20.100000000000001" customHeight="1">
      <c r="J23" t="str">
        <f>IF((L24-F20)&lt;0,"外圓角錯誤應大於 "&amp;F20,"  ")</f>
        <v/>
      </c>
      <c r="AE23" t="s">
        <v>9875</v>
      </c>
      <c r="AF23">
        <f>F20+C9+I7</f>
        <v>9.8197009181560393</v>
      </c>
      <c r="AI23" t="s">
        <v>9875</v>
      </c>
      <c r="AJ23">
        <f>F20+N9+T7</f>
        <v>9.8197009181560393</v>
      </c>
    </row>
    <row r="24" spans="5:39" ht="20.100000000000001" customHeight="1">
      <c r="E24" t="s">
        <v>9897</v>
      </c>
      <c r="F24">
        <v>0</v>
      </c>
      <c r="J24" s="4963" t="s">
        <v>9900</v>
      </c>
      <c r="K24" s="4963"/>
      <c r="L24">
        <v>3</v>
      </c>
      <c r="AE24" t="s">
        <v>9877</v>
      </c>
      <c r="AF24">
        <v>0.63</v>
      </c>
      <c r="AI24" t="s">
        <v>9877</v>
      </c>
      <c r="AJ24">
        <v>0.3</v>
      </c>
    </row>
    <row r="25" spans="5:39" ht="20.100000000000001" customHeight="1">
      <c r="F25" t="s">
        <v>9901</v>
      </c>
    </row>
    <row r="26" spans="5:39" ht="5.0999999999999996" customHeight="1"/>
  </sheetData>
  <mergeCells count="17">
    <mergeCell ref="B6:C6"/>
    <mergeCell ref="I7:J7"/>
    <mergeCell ref="T7:U7"/>
    <mergeCell ref="A2:E2"/>
    <mergeCell ref="F2:G2"/>
    <mergeCell ref="K2:P2"/>
    <mergeCell ref="Q2:R2"/>
    <mergeCell ref="A3:E3"/>
    <mergeCell ref="F3:G3"/>
    <mergeCell ref="K3:P3"/>
    <mergeCell ref="Q3:R3"/>
    <mergeCell ref="K15:N15"/>
    <mergeCell ref="P17:Q17"/>
    <mergeCell ref="L21:M21"/>
    <mergeCell ref="J24:K24"/>
    <mergeCell ref="Y3:AA3"/>
    <mergeCell ref="Z5:AA5"/>
  </mergeCells>
  <phoneticPr fontId="214" type="noConversion"/>
  <pageMargins left="0.55000000000000004" right="0.55000000000000004" top="0.78888888888888897" bottom="0.58888888888888902" header="0.70902777777777803" footer="0.50902777777777797"/>
  <pageSetup paperSize="9" orientation="landscape"/>
  <headerFooter scaleWithDoc="0" alignWithMargins="0"/>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J49"/>
  <sheetViews>
    <sheetView workbookViewId="0">
      <selection activeCell="F1" sqref="F1"/>
    </sheetView>
  </sheetViews>
  <sheetFormatPr defaultColWidth="8.125" defaultRowHeight="15.95" customHeight="1"/>
  <cols>
    <col min="1" max="1" width="12.25" style="2568" customWidth="1"/>
    <col min="2" max="2" width="8.125" style="2568"/>
    <col min="3" max="3" width="12.75" style="2568" customWidth="1"/>
    <col min="4" max="4" width="7.375" style="2568" customWidth="1"/>
    <col min="5" max="5" width="23.125" style="2569" customWidth="1"/>
    <col min="6" max="16384" width="8.125" style="2568"/>
  </cols>
  <sheetData>
    <row r="1" spans="1:10" ht="33" customHeight="1">
      <c r="A1" s="4968" t="s">
        <v>9902</v>
      </c>
      <c r="B1" s="4968"/>
      <c r="C1" s="4968"/>
      <c r="D1" s="4968"/>
      <c r="E1" s="4968"/>
    </row>
    <row r="2" spans="1:10" ht="15.95" customHeight="1">
      <c r="A2" s="2570" t="s">
        <v>1068</v>
      </c>
      <c r="B2" s="2570" t="s">
        <v>2483</v>
      </c>
      <c r="C2" s="2571">
        <v>280</v>
      </c>
      <c r="D2" s="2572" t="s">
        <v>1075</v>
      </c>
      <c r="E2" s="2572" t="s">
        <v>9903</v>
      </c>
    </row>
    <row r="3" spans="1:10" ht="15.95" customHeight="1">
      <c r="A3" s="2570" t="s">
        <v>9904</v>
      </c>
      <c r="B3" s="2570" t="s">
        <v>9905</v>
      </c>
      <c r="C3" s="2571">
        <v>4</v>
      </c>
      <c r="D3" s="2572" t="s">
        <v>2685</v>
      </c>
      <c r="E3" s="2572"/>
    </row>
    <row r="4" spans="1:10" ht="15.95" customHeight="1">
      <c r="A4" s="2570" t="s">
        <v>9906</v>
      </c>
      <c r="B4" s="2570" t="s">
        <v>9907</v>
      </c>
      <c r="C4" s="2571">
        <v>5</v>
      </c>
      <c r="D4" s="2572" t="s">
        <v>408</v>
      </c>
      <c r="E4" s="2572"/>
    </row>
    <row r="5" spans="1:10" ht="15.95" customHeight="1">
      <c r="A5" s="2570" t="s">
        <v>5242</v>
      </c>
      <c r="B5" s="2570" t="s">
        <v>9908</v>
      </c>
      <c r="C5" s="2571">
        <v>0.15</v>
      </c>
      <c r="D5" s="2572"/>
      <c r="E5" s="2572"/>
    </row>
    <row r="6" spans="1:10" ht="15.95" customHeight="1">
      <c r="A6" s="2570" t="s">
        <v>9909</v>
      </c>
      <c r="B6" s="2570" t="s">
        <v>2483</v>
      </c>
      <c r="C6" s="2571">
        <v>3</v>
      </c>
      <c r="D6" s="2572"/>
      <c r="E6" s="2572"/>
      <c r="J6" s="2568" t="s">
        <v>9910</v>
      </c>
    </row>
    <row r="7" spans="1:10" ht="15.95" customHeight="1">
      <c r="A7" s="2570" t="s">
        <v>9911</v>
      </c>
      <c r="B7" s="2570" t="s">
        <v>9912</v>
      </c>
      <c r="C7" s="2571">
        <v>70</v>
      </c>
      <c r="D7" s="2572"/>
      <c r="E7" s="2572"/>
    </row>
    <row r="8" spans="1:10" ht="15.95" customHeight="1">
      <c r="A8" s="2570" t="s">
        <v>9913</v>
      </c>
      <c r="B8" s="2570" t="s">
        <v>9914</v>
      </c>
      <c r="C8" s="2571">
        <f>C6*C7*0.001/2</f>
        <v>0.105</v>
      </c>
      <c r="D8" s="2572" t="s">
        <v>408</v>
      </c>
      <c r="E8" s="2572"/>
    </row>
    <row r="9" spans="1:10" ht="15.95" customHeight="1">
      <c r="A9" s="2570" t="s">
        <v>9915</v>
      </c>
      <c r="B9" s="2570" t="s">
        <v>2754</v>
      </c>
      <c r="C9" s="2571">
        <v>8</v>
      </c>
      <c r="D9" s="2572" t="s">
        <v>9916</v>
      </c>
      <c r="E9" s="2572" t="s">
        <v>9917</v>
      </c>
    </row>
    <row r="10" spans="1:10" ht="15.95" customHeight="1">
      <c r="A10" s="2570" t="s">
        <v>5807</v>
      </c>
      <c r="B10" s="2570" t="s">
        <v>2481</v>
      </c>
      <c r="C10" s="2571">
        <v>2000</v>
      </c>
      <c r="D10" s="2572" t="s">
        <v>227</v>
      </c>
      <c r="E10" s="2572" t="s">
        <v>9918</v>
      </c>
    </row>
    <row r="11" spans="1:10" ht="15.95" customHeight="1">
      <c r="A11" s="2570" t="s">
        <v>5780</v>
      </c>
      <c r="B11" s="2570" t="s">
        <v>9919</v>
      </c>
      <c r="C11" s="2571">
        <v>16</v>
      </c>
      <c r="D11" s="2572"/>
      <c r="E11" s="2572"/>
    </row>
    <row r="12" spans="1:10" ht="15.95" customHeight="1">
      <c r="A12" s="2570" t="s">
        <v>9920</v>
      </c>
      <c r="B12" s="2570" t="s">
        <v>9921</v>
      </c>
      <c r="C12" s="2573">
        <f>4*C4/(C3^2)</f>
        <v>1.25</v>
      </c>
      <c r="D12" s="2572" t="s">
        <v>9922</v>
      </c>
      <c r="E12" s="2572" t="s">
        <v>9923</v>
      </c>
    </row>
    <row r="13" spans="1:10" ht="15.95" customHeight="1">
      <c r="A13" s="2570" t="s">
        <v>9924</v>
      </c>
      <c r="B13" s="2570" t="s">
        <v>9925</v>
      </c>
      <c r="C13" s="2572">
        <f>C2*9.8</f>
        <v>2744</v>
      </c>
      <c r="D13" s="2572" t="s">
        <v>464</v>
      </c>
      <c r="E13" s="2572" t="s">
        <v>9926</v>
      </c>
    </row>
    <row r="14" spans="1:10" ht="15.95" customHeight="1">
      <c r="A14" s="2570" t="s">
        <v>9927</v>
      </c>
      <c r="B14" s="2570" t="s">
        <v>9928</v>
      </c>
      <c r="C14" s="2572">
        <f>C13*C5</f>
        <v>411.6</v>
      </c>
      <c r="D14" s="2572" t="s">
        <v>464</v>
      </c>
      <c r="E14" s="2572" t="s">
        <v>9929</v>
      </c>
    </row>
    <row r="15" spans="1:10" ht="15.95" customHeight="1">
      <c r="A15" s="2570" t="s">
        <v>9930</v>
      </c>
      <c r="B15" s="2570" t="s">
        <v>9931</v>
      </c>
      <c r="C15" s="2572">
        <f>C9*C11/C8-C14</f>
        <v>807.44761904761901</v>
      </c>
      <c r="D15" s="2572" t="s">
        <v>9916</v>
      </c>
      <c r="E15" s="2572" t="s">
        <v>9932</v>
      </c>
    </row>
    <row r="16" spans="1:10" ht="15.95" customHeight="1">
      <c r="A16" s="2570" t="s">
        <v>9933</v>
      </c>
      <c r="B16" s="2570" t="s">
        <v>9934</v>
      </c>
      <c r="C16" s="2573">
        <f>C15/C2</f>
        <v>2.8837414965986401</v>
      </c>
      <c r="D16" s="2572" t="s">
        <v>9922</v>
      </c>
      <c r="E16" s="2572"/>
    </row>
    <row r="17" spans="1:5" ht="15.95" customHeight="1">
      <c r="A17" s="2570" t="s">
        <v>9935</v>
      </c>
      <c r="B17" s="2570" t="s">
        <v>9934</v>
      </c>
      <c r="C17" s="2574">
        <f>C16</f>
        <v>2.8837414965986401</v>
      </c>
      <c r="D17" s="2572" t="s">
        <v>9922</v>
      </c>
      <c r="E17" s="2572"/>
    </row>
    <row r="18" spans="1:5" ht="15.95" customHeight="1">
      <c r="A18" s="2570" t="s">
        <v>9936</v>
      </c>
      <c r="B18" s="2570" t="s">
        <v>9937</v>
      </c>
      <c r="C18" s="2572">
        <f>(C17*C3-(C17^2*C3^2-4*C17*C4)^0.5)/(2*C17)</f>
        <v>0.49462914936609698</v>
      </c>
      <c r="D18" s="2572" t="s">
        <v>2685</v>
      </c>
      <c r="E18" s="2572"/>
    </row>
    <row r="19" spans="1:5" ht="15.95" customHeight="1">
      <c r="A19" s="2570"/>
      <c r="B19" s="2570" t="s">
        <v>9937</v>
      </c>
      <c r="C19" s="2575">
        <f>(C17*C3+(C17^2*C3^2-4*C17*C4)^0.5)/(2*C17)</f>
        <v>3.5053708506338999</v>
      </c>
      <c r="D19" s="2572" t="s">
        <v>2685</v>
      </c>
      <c r="E19" s="2572" t="s">
        <v>9938</v>
      </c>
    </row>
    <row r="20" spans="1:5" ht="15.95" customHeight="1">
      <c r="A20" s="2570" t="s">
        <v>9939</v>
      </c>
      <c r="B20" s="2570" t="s">
        <v>9940</v>
      </c>
      <c r="C20" s="2576">
        <f>C3-C18*2</f>
        <v>3.0107417012678099</v>
      </c>
      <c r="D20" s="2572" t="s">
        <v>2685</v>
      </c>
      <c r="E20" s="2572"/>
    </row>
    <row r="21" spans="1:5" ht="15.95" customHeight="1">
      <c r="A21" s="2570" t="s">
        <v>9941</v>
      </c>
      <c r="B21" s="2570" t="s">
        <v>9942</v>
      </c>
      <c r="C21" s="2572">
        <f>C18*C17</f>
        <v>1.4263826034542999</v>
      </c>
      <c r="D21" s="2572" t="s">
        <v>2135</v>
      </c>
      <c r="E21" s="2577" t="s">
        <v>9943</v>
      </c>
    </row>
    <row r="22" spans="1:5" ht="15.95" customHeight="1">
      <c r="A22" s="2570" t="s">
        <v>9944</v>
      </c>
      <c r="B22" s="2570" t="s">
        <v>9907</v>
      </c>
      <c r="C22" s="2572">
        <f>C17*C18*C18+C21*C20</f>
        <v>5</v>
      </c>
      <c r="D22" s="2572" t="s">
        <v>408</v>
      </c>
      <c r="E22" s="2572"/>
    </row>
    <row r="23" spans="1:5" ht="15.95" customHeight="1">
      <c r="A23" s="2570" t="s">
        <v>9945</v>
      </c>
      <c r="B23" s="2570" t="s">
        <v>9946</v>
      </c>
      <c r="C23" s="2572">
        <f>(C21*60*C11)/(C8*2*3.14)</f>
        <v>2076.6261742737802</v>
      </c>
      <c r="D23" s="2572" t="s">
        <v>227</v>
      </c>
      <c r="E23" s="2572" t="s">
        <v>9947</v>
      </c>
    </row>
    <row r="24" spans="1:5" ht="15.95" customHeight="1">
      <c r="A24" s="2570"/>
      <c r="B24" s="2570"/>
      <c r="C24" s="2572"/>
      <c r="D24" s="2572"/>
      <c r="E24" s="2572"/>
    </row>
    <row r="25" spans="1:5" ht="15.95" customHeight="1">
      <c r="E25" s="2568"/>
    </row>
    <row r="26" spans="1:5" ht="15.95" customHeight="1">
      <c r="E26" s="2568"/>
    </row>
    <row r="27" spans="1:5" ht="15.95" customHeight="1">
      <c r="E27" s="2568"/>
    </row>
    <row r="28" spans="1:5" ht="15.95" customHeight="1">
      <c r="E28" s="2568"/>
    </row>
    <row r="29" spans="1:5" ht="15.95" customHeight="1">
      <c r="E29" s="2568"/>
    </row>
    <row r="30" spans="1:5" ht="15.95" customHeight="1">
      <c r="E30" s="2568"/>
    </row>
    <row r="31" spans="1:5" ht="15.95" customHeight="1">
      <c r="E31" s="2568"/>
    </row>
    <row r="32" spans="1:5" ht="15.95" customHeight="1">
      <c r="E32" s="2568"/>
    </row>
    <row r="33" spans="5:5" ht="15.95" customHeight="1">
      <c r="E33" s="2568"/>
    </row>
    <row r="34" spans="5:5" ht="15.95" customHeight="1">
      <c r="E34" s="2568"/>
    </row>
    <row r="35" spans="5:5" ht="15.95" customHeight="1">
      <c r="E35" s="2568"/>
    </row>
    <row r="36" spans="5:5" ht="15.95" customHeight="1">
      <c r="E36" s="2568"/>
    </row>
    <row r="37" spans="5:5" ht="15.95" customHeight="1">
      <c r="E37" s="2568"/>
    </row>
    <row r="38" spans="5:5" ht="15.95" customHeight="1">
      <c r="E38" s="2568"/>
    </row>
    <row r="39" spans="5:5" ht="15.95" customHeight="1">
      <c r="E39" s="2568"/>
    </row>
    <row r="40" spans="5:5" ht="15.95" customHeight="1">
      <c r="E40" s="2568"/>
    </row>
    <row r="41" spans="5:5" ht="15.95" customHeight="1">
      <c r="E41" s="2568"/>
    </row>
    <row r="49" spans="5:5" ht="15.95" customHeight="1">
      <c r="E49" s="2569" t="s">
        <v>9948</v>
      </c>
    </row>
  </sheetData>
  <mergeCells count="1">
    <mergeCell ref="A1:E1"/>
  </mergeCells>
  <phoneticPr fontId="214" type="noConversion"/>
  <pageMargins left="0.69930555555555596" right="0.69930555555555596"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dimension ref="A1:F362"/>
  <sheetViews>
    <sheetView workbookViewId="0">
      <selection activeCell="G1" sqref="G1"/>
    </sheetView>
  </sheetViews>
  <sheetFormatPr defaultColWidth="8.75" defaultRowHeight="14.25"/>
  <cols>
    <col min="1" max="16384" width="8.75" style="105"/>
  </cols>
  <sheetData>
    <row r="1" spans="1:6" ht="58.15" customHeight="1">
      <c r="A1" s="4969" t="s">
        <v>130</v>
      </c>
      <c r="B1" s="4969"/>
      <c r="C1" s="4969"/>
      <c r="D1" s="4969"/>
      <c r="E1" s="4969"/>
      <c r="F1" s="4969"/>
    </row>
    <row r="2" spans="1:6">
      <c r="A2" s="105" t="s">
        <v>9949</v>
      </c>
      <c r="B2" s="105" t="s">
        <v>2685</v>
      </c>
      <c r="C2" s="105" t="s">
        <v>407</v>
      </c>
      <c r="D2" s="105" t="s">
        <v>409</v>
      </c>
      <c r="E2" s="105" t="s">
        <v>9950</v>
      </c>
      <c r="F2" s="105" t="s">
        <v>9951</v>
      </c>
    </row>
    <row r="3" spans="1:6">
      <c r="A3" s="105">
        <v>1</v>
      </c>
      <c r="B3" s="105">
        <f t="shared" ref="B3:B62" si="0">30*(A3/60-SIN(2*A3*PI()/60)/(2*PI()))</f>
        <v>9.1335131460021401E-4</v>
      </c>
      <c r="C3" s="105">
        <f t="shared" ref="C3:C66" si="1">(100+B3)*SIN(A3*PI()/180)</f>
        <v>1.74525658390671</v>
      </c>
      <c r="D3" s="105">
        <f t="shared" ref="D3:D66" si="2">(100+B3)*COS(A3*PI()/180)</f>
        <v>99.985682727845898</v>
      </c>
      <c r="E3" s="105" t="s">
        <v>9952</v>
      </c>
      <c r="F3" s="105" t="s">
        <v>9953</v>
      </c>
    </row>
    <row r="4" spans="1:6">
      <c r="A4" s="105">
        <v>2</v>
      </c>
      <c r="B4" s="105">
        <f t="shared" si="0"/>
        <v>7.2948003927932699E-3</v>
      </c>
      <c r="C4" s="105">
        <f t="shared" si="1"/>
        <v>3.4902042551123502</v>
      </c>
      <c r="D4" s="105">
        <f t="shared" si="2"/>
        <v>99.946373058507106</v>
      </c>
      <c r="E4" s="105" t="s">
        <v>9954</v>
      </c>
      <c r="F4" s="105" t="s">
        <v>9955</v>
      </c>
    </row>
    <row r="5" spans="1:6">
      <c r="A5" s="105">
        <v>3</v>
      </c>
      <c r="B5" s="105">
        <f t="shared" si="0"/>
        <v>2.4552535374801301E-2</v>
      </c>
      <c r="C5" s="105">
        <f t="shared" si="1"/>
        <v>5.2348806047114103</v>
      </c>
      <c r="D5" s="105">
        <f t="shared" si="2"/>
        <v>99.887472362435801</v>
      </c>
    </row>
    <row r="6" spans="1:6">
      <c r="A6" s="105">
        <v>4</v>
      </c>
      <c r="B6" s="105">
        <f t="shared" si="0"/>
        <v>5.7975581536474502E-2</v>
      </c>
      <c r="C6" s="105">
        <f t="shared" si="1"/>
        <v>6.9796915465437799</v>
      </c>
      <c r="D6" s="105">
        <f t="shared" si="2"/>
        <v>99.814239381916096</v>
      </c>
    </row>
    <row r="7" spans="1:6">
      <c r="A7" s="105">
        <v>5</v>
      </c>
      <c r="B7" s="105">
        <f t="shared" si="0"/>
        <v>0.11267585362157</v>
      </c>
      <c r="C7" s="105">
        <f t="shared" si="1"/>
        <v>8.7253946224779302</v>
      </c>
      <c r="D7" s="105">
        <f t="shared" si="2"/>
        <v>99.731716897155295</v>
      </c>
    </row>
    <row r="8" spans="1:6">
      <c r="A8" s="105">
        <v>6</v>
      </c>
      <c r="B8" s="105">
        <f t="shared" si="0"/>
        <v>0.193532148634083</v>
      </c>
      <c r="C8" s="105">
        <f t="shared" si="1"/>
        <v>10.473075944854999</v>
      </c>
      <c r="D8" s="105">
        <f t="shared" si="2"/>
        <v>99.644661496101605</v>
      </c>
    </row>
    <row r="9" spans="1:6">
      <c r="A9" s="105">
        <v>7</v>
      </c>
      <c r="B9" s="105">
        <f t="shared" si="0"/>
        <v>0.30513669271731497</v>
      </c>
      <c r="C9" s="105">
        <f t="shared" si="1"/>
        <v>12.224121148905001</v>
      </c>
      <c r="D9" s="105">
        <f t="shared" si="2"/>
        <v>99.557477414213295</v>
      </c>
    </row>
    <row r="10" spans="1:6">
      <c r="A10" s="105">
        <v>8</v>
      </c>
      <c r="B10" s="105">
        <f t="shared" si="0"/>
        <v>0.45174482776326502</v>
      </c>
      <c r="C10" s="105">
        <f t="shared" si="1"/>
        <v>13.980180824529</v>
      </c>
      <c r="D10" s="105">
        <f t="shared" si="2"/>
        <v>99.474155352310206</v>
      </c>
    </row>
    <row r="11" spans="1:6">
      <c r="A11" s="105">
        <v>9</v>
      </c>
      <c r="B11" s="105">
        <f t="shared" si="0"/>
        <v>0.63722838899637102</v>
      </c>
      <c r="C11" s="105">
        <f t="shared" si="1"/>
        <v>15.7431309861642</v>
      </c>
      <c r="D11" s="105">
        <f t="shared" si="2"/>
        <v>99.398217109621697</v>
      </c>
    </row>
    <row r="12" spans="1:6">
      <c r="A12" s="105">
        <v>10</v>
      </c>
      <c r="B12" s="105">
        <f t="shared" si="0"/>
        <v>0.86503328433655902</v>
      </c>
      <c r="C12" s="105">
        <f t="shared" si="1"/>
        <v>17.515029220139301</v>
      </c>
      <c r="D12" s="105">
        <f t="shared" si="2"/>
        <v>99.332666786249106</v>
      </c>
    </row>
    <row r="13" spans="1:6">
      <c r="A13" s="105">
        <v>11</v>
      </c>
      <c r="B13" s="105">
        <f t="shared" si="0"/>
        <v>1.1381417403109699</v>
      </c>
      <c r="C13" s="105">
        <f t="shared" si="1"/>
        <v>19.2980672197193</v>
      </c>
      <c r="D13" s="105">
        <f t="shared" si="2"/>
        <v>99.279949215672104</v>
      </c>
    </row>
    <row r="14" spans="1:6">
      <c r="A14" s="105">
        <v>12</v>
      </c>
      <c r="B14" s="105">
        <f t="shared" si="0"/>
        <v>1.45903962815606</v>
      </c>
      <c r="C14" s="105">
        <f t="shared" si="1"/>
        <v>21.094520477835999</v>
      </c>
      <c r="D14" s="105">
        <f t="shared" si="2"/>
        <v>99.241916185036999</v>
      </c>
    </row>
    <row r="15" spans="1:6">
      <c r="A15" s="105">
        <v>13</v>
      </c>
      <c r="B15" s="105">
        <f t="shared" si="0"/>
        <v>1.82968922809212</v>
      </c>
      <c r="C15" s="105">
        <f t="shared" si="1"/>
        <v>22.9066959553674</v>
      </c>
      <c r="D15" s="105">
        <f t="shared" si="2"/>
        <v>99.219800890236499</v>
      </c>
    </row>
    <row r="16" spans="1:6">
      <c r="A16" s="105">
        <v>14</v>
      </c>
      <c r="B16" s="105">
        <f t="shared" si="0"/>
        <v>2.2515077301705602</v>
      </c>
      <c r="C16" s="105">
        <f t="shared" si="1"/>
        <v>24.736878578006898</v>
      </c>
      <c r="D16" s="105">
        <f t="shared" si="2"/>
        <v>99.2142009558615</v>
      </c>
    </row>
    <row r="17" spans="1:4">
      <c r="A17" s="105">
        <v>15</v>
      </c>
      <c r="B17" s="105">
        <f t="shared" si="0"/>
        <v>2.7253517072431399</v>
      </c>
      <c r="C17" s="105">
        <f t="shared" si="1"/>
        <v>26.587277436689298</v>
      </c>
      <c r="D17" s="105">
        <f t="shared" si="2"/>
        <v>99.225070228654005</v>
      </c>
    </row>
    <row r="18" spans="1:4">
      <c r="A18" s="105">
        <v>16</v>
      </c>
      <c r="B18" s="105">
        <f t="shared" si="0"/>
        <v>3.2515077301705602</v>
      </c>
      <c r="C18" s="105">
        <f t="shared" si="1"/>
        <v>28.4599725748627</v>
      </c>
      <c r="D18" s="105">
        <f t="shared" si="2"/>
        <v>99.251719428892201</v>
      </c>
    </row>
    <row r="19" spans="1:4">
      <c r="A19" s="105">
        <v>17</v>
      </c>
      <c r="B19" s="105">
        <f t="shared" si="0"/>
        <v>3.8296892280921102</v>
      </c>
      <c r="C19" s="105">
        <f t="shared" si="1"/>
        <v>30.3568632404493</v>
      </c>
      <c r="D19" s="105">
        <f t="shared" si="2"/>
        <v>99.292825618988402</v>
      </c>
    </row>
    <row r="20" spans="1:4">
      <c r="A20" s="105">
        <v>18</v>
      </c>
      <c r="B20" s="105">
        <f t="shared" si="0"/>
        <v>4.4590396281560603</v>
      </c>
      <c r="C20" s="105">
        <f t="shared" si="1"/>
        <v>32.279618461186303</v>
      </c>
      <c r="D20" s="105">
        <f t="shared" si="2"/>
        <v>99.346450324291496</v>
      </c>
    </row>
    <row r="21" spans="1:4">
      <c r="A21" s="105">
        <v>19</v>
      </c>
      <c r="B21" s="105">
        <f t="shared" si="0"/>
        <v>5.1381417403109699</v>
      </c>
      <c r="C21" s="105">
        <f t="shared" si="1"/>
        <v>34.229630769448001</v>
      </c>
      <c r="D21" s="105">
        <f t="shared" si="2"/>
        <v>99.410066019457901</v>
      </c>
    </row>
    <row r="22" spans="1:4">
      <c r="A22" s="105">
        <v>20</v>
      </c>
      <c r="B22" s="105">
        <f t="shared" si="0"/>
        <v>5.86503328433656</v>
      </c>
      <c r="C22" s="105">
        <f t="shared" si="1"/>
        <v>36.207973857085499</v>
      </c>
      <c r="D22" s="105">
        <f t="shared" si="2"/>
        <v>99.480590576545694</v>
      </c>
    </row>
    <row r="23" spans="1:4">
      <c r="A23" s="105">
        <v>21</v>
      </c>
      <c r="B23" s="105">
        <f t="shared" si="0"/>
        <v>6.6372283889963697</v>
      </c>
      <c r="C23" s="105">
        <f t="shared" si="1"/>
        <v>38.215364882958497</v>
      </c>
      <c r="D23" s="105">
        <f t="shared" si="2"/>
        <v>99.554429159878694</v>
      </c>
    </row>
    <row r="24" spans="1:4">
      <c r="A24" s="105">
        <v>22</v>
      </c>
      <c r="B24" s="105">
        <f t="shared" si="0"/>
        <v>7.4517448277632603</v>
      </c>
      <c r="C24" s="105">
        <f t="shared" si="1"/>
        <v>40.252132086524199</v>
      </c>
      <c r="D24" s="105">
        <f t="shared" si="2"/>
        <v>99.627522949332402</v>
      </c>
    </row>
    <row r="25" spans="1:4">
      <c r="A25" s="105">
        <v>23</v>
      </c>
      <c r="B25" s="105">
        <f t="shared" si="0"/>
        <v>8.3051366927173191</v>
      </c>
      <c r="C25" s="105">
        <f t="shared" si="1"/>
        <v>42.318188281130503</v>
      </c>
      <c r="D25" s="105">
        <f t="shared" si="2"/>
        <v>99.695403979476296</v>
      </c>
    </row>
    <row r="26" spans="1:4">
      <c r="A26" s="105">
        <v>24</v>
      </c>
      <c r="B26" s="105">
        <f t="shared" si="0"/>
        <v>9.1935321486340804</v>
      </c>
      <c r="C26" s="105">
        <f t="shared" si="1"/>
        <v>44.413010711724901</v>
      </c>
      <c r="D26" s="105">
        <f t="shared" si="2"/>
        <v>99.753255298336001</v>
      </c>
    </row>
    <row r="27" spans="1:4">
      <c r="A27" s="105">
        <v>25</v>
      </c>
      <c r="B27" s="105">
        <f t="shared" si="0"/>
        <v>10.112675853621599</v>
      </c>
      <c r="C27" s="105">
        <f t="shared" si="1"/>
        <v>46.535627664874603</v>
      </c>
      <c r="D27" s="105">
        <f t="shared" si="2"/>
        <v>99.795975577579696</v>
      </c>
    </row>
    <row r="28" spans="1:4">
      <c r="A28" s="105">
        <v>26</v>
      </c>
      <c r="B28" s="105">
        <f t="shared" si="0"/>
        <v>11.0579755815365</v>
      </c>
      <c r="C28" s="105">
        <f t="shared" si="1"/>
        <v>48.684612115751499</v>
      </c>
      <c r="D28" s="105">
        <f t="shared" si="2"/>
        <v>99.818247246723303</v>
      </c>
    </row>
    <row r="29" spans="1:4">
      <c r="A29" s="105">
        <v>27</v>
      </c>
      <c r="B29" s="105">
        <f t="shared" si="0"/>
        <v>12.0245525353748</v>
      </c>
      <c r="C29" s="105">
        <f t="shared" si="1"/>
        <v>50.858082588633899</v>
      </c>
      <c r="D29" s="105">
        <f t="shared" si="2"/>
        <v>99.8146071783015</v>
      </c>
    </row>
    <row r="30" spans="1:4">
      <c r="A30" s="105">
        <v>28</v>
      </c>
      <c r="B30" s="105">
        <f t="shared" si="0"/>
        <v>13.007294800392801</v>
      </c>
      <c r="C30" s="105">
        <f t="shared" si="1"/>
        <v>53.053711296146297</v>
      </c>
      <c r="D30" s="105">
        <f t="shared" si="2"/>
        <v>99.779518919506003</v>
      </c>
    </row>
    <row r="31" spans="1:4">
      <c r="A31" s="105">
        <v>29</v>
      </c>
      <c r="B31" s="105">
        <f t="shared" si="0"/>
        <v>14.000913351314599</v>
      </c>
      <c r="C31" s="105">
        <f t="shared" si="1"/>
        <v>55.268739509586403</v>
      </c>
      <c r="D31" s="105">
        <f t="shared" si="2"/>
        <v>99.707445448950395</v>
      </c>
    </row>
    <row r="32" spans="1:4">
      <c r="A32" s="105">
        <v>30</v>
      </c>
      <c r="B32" s="105">
        <f t="shared" si="0"/>
        <v>15</v>
      </c>
      <c r="C32" s="105">
        <f t="shared" si="1"/>
        <v>57.5</v>
      </c>
      <c r="D32" s="105">
        <f t="shared" si="2"/>
        <v>99.592921435210499</v>
      </c>
    </row>
    <row r="33" spans="1:4">
      <c r="A33" s="105">
        <v>31</v>
      </c>
      <c r="B33" s="105">
        <f t="shared" si="0"/>
        <v>15.999086648685401</v>
      </c>
      <c r="C33" s="105">
        <f t="shared" si="1"/>
        <v>59.743946278863497</v>
      </c>
      <c r="D33" s="105">
        <f t="shared" si="2"/>
        <v>99.4306239865641</v>
      </c>
    </row>
    <row r="34" spans="1:4">
      <c r="A34" s="105">
        <v>32</v>
      </c>
      <c r="B34" s="105">
        <f t="shared" si="0"/>
        <v>16.992705199607201</v>
      </c>
      <c r="C34" s="105">
        <f t="shared" si="1"/>
        <v>61.996688260028101</v>
      </c>
      <c r="D34" s="105">
        <f t="shared" si="2"/>
        <v>99.2154409087169</v>
      </c>
    </row>
    <row r="35" spans="1:4">
      <c r="A35" s="105">
        <v>33</v>
      </c>
      <c r="B35" s="105">
        <f t="shared" si="0"/>
        <v>17.975447464625201</v>
      </c>
      <c r="C35" s="105">
        <f t="shared" si="1"/>
        <v>64.254033862599499</v>
      </c>
      <c r="D35" s="105">
        <f t="shared" si="2"/>
        <v>98.942535528772794</v>
      </c>
    </row>
    <row r="36" spans="1:4">
      <c r="A36" s="105">
        <v>34</v>
      </c>
      <c r="B36" s="105">
        <f t="shared" si="0"/>
        <v>18.9420244184635</v>
      </c>
      <c r="C36" s="105">
        <f t="shared" si="1"/>
        <v>66.511535979249103</v>
      </c>
      <c r="D36" s="105">
        <f t="shared" si="2"/>
        <v>98.607407198665499</v>
      </c>
    </row>
    <row r="37" spans="1:4">
      <c r="A37" s="105">
        <v>35</v>
      </c>
      <c r="B37" s="105">
        <f t="shared" si="0"/>
        <v>19.887324146378401</v>
      </c>
      <c r="C37" s="105">
        <f t="shared" si="1"/>
        <v>68.764544147542495</v>
      </c>
      <c r="D37" s="105">
        <f t="shared" si="2"/>
        <v>98.205946658842905</v>
      </c>
    </row>
    <row r="38" spans="1:4">
      <c r="A38" s="105">
        <v>36</v>
      </c>
      <c r="B38" s="105">
        <f t="shared" si="0"/>
        <v>20.806467851365898</v>
      </c>
      <c r="C38" s="105">
        <f t="shared" si="1"/>
        <v>71.008260184577694</v>
      </c>
      <c r="D38" s="105">
        <f t="shared" si="2"/>
        <v>97.734485522165798</v>
      </c>
    </row>
    <row r="39" spans="1:4">
      <c r="A39" s="105">
        <v>37</v>
      </c>
      <c r="B39" s="105">
        <f t="shared" si="0"/>
        <v>21.694863307282699</v>
      </c>
      <c r="C39" s="105">
        <f t="shared" si="1"/>
        <v>73.2377969787577</v>
      </c>
      <c r="D39" s="105">
        <f t="shared" si="2"/>
        <v>97.189839227547296</v>
      </c>
    </row>
    <row r="40" spans="1:4">
      <c r="A40" s="105">
        <v>38</v>
      </c>
      <c r="B40" s="105">
        <f t="shared" si="0"/>
        <v>22.548255172236701</v>
      </c>
      <c r="C40" s="105">
        <f t="shared" si="1"/>
        <v>75.448239577924497</v>
      </c>
      <c r="D40" s="105">
        <f t="shared" si="2"/>
        <v>96.569342911463096</v>
      </c>
    </row>
    <row r="41" spans="1:4">
      <c r="A41" s="105">
        <v>39</v>
      </c>
      <c r="B41" s="105">
        <f t="shared" si="0"/>
        <v>23.362771611003598</v>
      </c>
      <c r="C41" s="105">
        <f t="shared" si="1"/>
        <v>77.634707671228597</v>
      </c>
      <c r="D41" s="105">
        <f t="shared" si="2"/>
        <v>95.870879751630099</v>
      </c>
    </row>
    <row r="42" spans="1:4">
      <c r="A42" s="105">
        <v>40</v>
      </c>
      <c r="B42" s="105">
        <f t="shared" si="0"/>
        <v>24.134966715663399</v>
      </c>
      <c r="C42" s="105">
        <f t="shared" si="1"/>
        <v>79.792418533679395</v>
      </c>
      <c r="D42" s="105">
        <f t="shared" si="2"/>
        <v>95.092901449293294</v>
      </c>
    </row>
    <row r="43" spans="1:4">
      <c r="A43" s="105">
        <v>41</v>
      </c>
      <c r="B43" s="105">
        <f t="shared" si="0"/>
        <v>24.861858259689001</v>
      </c>
      <c r="C43" s="105">
        <f t="shared" si="1"/>
        <v>81.916749487801894</v>
      </c>
      <c r="D43" s="105">
        <f t="shared" si="2"/>
        <v>94.234440633005207</v>
      </c>
    </row>
    <row r="44" spans="1:4">
      <c r="A44" s="105">
        <v>42</v>
      </c>
      <c r="B44" s="105">
        <f t="shared" si="0"/>
        <v>25.540960371843902</v>
      </c>
      <c r="C44" s="105">
        <f t="shared" si="1"/>
        <v>84.003298936485294</v>
      </c>
      <c r="D44" s="105">
        <f t="shared" si="2"/>
        <v>93.2951150857984</v>
      </c>
    </row>
    <row r="45" spans="1:4">
      <c r="A45" s="105">
        <v>43</v>
      </c>
      <c r="B45" s="105">
        <f t="shared" si="0"/>
        <v>26.1703107719079</v>
      </c>
      <c r="C45" s="105">
        <f t="shared" si="1"/>
        <v>86.047945035016994</v>
      </c>
      <c r="D45" s="105">
        <f t="shared" si="2"/>
        <v>92.275123817475901</v>
      </c>
    </row>
    <row r="46" spans="1:4">
      <c r="A46" s="105">
        <v>44</v>
      </c>
      <c r="B46" s="105">
        <f t="shared" si="0"/>
        <v>26.748492269829399</v>
      </c>
      <c r="C46" s="105">
        <f t="shared" si="1"/>
        <v>88.046901098294498</v>
      </c>
      <c r="D46" s="105">
        <f t="shared" si="2"/>
        <v>91.175235122604207</v>
      </c>
    </row>
    <row r="47" spans="1:4">
      <c r="A47" s="105">
        <v>45</v>
      </c>
      <c r="B47" s="105">
        <f t="shared" si="0"/>
        <v>27.274648292756901</v>
      </c>
      <c r="C47" s="105">
        <f t="shared" si="1"/>
        <v>89.996766880941195</v>
      </c>
      <c r="D47" s="105">
        <f t="shared" si="2"/>
        <v>89.996766880941195</v>
      </c>
    </row>
    <row r="48" spans="1:4">
      <c r="A48" s="105">
        <v>46</v>
      </c>
      <c r="B48" s="105">
        <f t="shared" si="0"/>
        <v>27.748492269829399</v>
      </c>
      <c r="C48" s="105">
        <f t="shared" si="1"/>
        <v>91.894574922942795</v>
      </c>
      <c r="D48" s="105">
        <f t="shared" si="2"/>
        <v>88.741559468753493</v>
      </c>
    </row>
    <row r="49" spans="1:4">
      <c r="A49" s="105">
        <v>47</v>
      </c>
      <c r="B49" s="105">
        <f t="shared" si="0"/>
        <v>28.1703107719079</v>
      </c>
      <c r="C49" s="105">
        <f t="shared" si="1"/>
        <v>93.737831220714298</v>
      </c>
      <c r="D49" s="105">
        <f t="shared" si="2"/>
        <v>87.411941755141996</v>
      </c>
    </row>
    <row r="50" spans="1:4">
      <c r="A50" s="105">
        <v>48</v>
      </c>
      <c r="B50" s="105">
        <f t="shared" si="0"/>
        <v>28.540960371843902</v>
      </c>
      <c r="C50" s="105">
        <f t="shared" si="1"/>
        <v>95.524549562230604</v>
      </c>
      <c r="D50" s="105">
        <f t="shared" si="2"/>
        <v>86.010690755561896</v>
      </c>
    </row>
    <row r="51" spans="1:4">
      <c r="A51" s="105">
        <v>49</v>
      </c>
      <c r="B51" s="105">
        <f t="shared" si="0"/>
        <v>28.861858259689001</v>
      </c>
      <c r="C51" s="105">
        <f t="shared" si="1"/>
        <v>97.253278953896299</v>
      </c>
      <c r="D51" s="105">
        <f t="shared" si="2"/>
        <v>84.540985603764</v>
      </c>
    </row>
    <row r="52" spans="1:4">
      <c r="A52" s="105">
        <v>50</v>
      </c>
      <c r="B52" s="105">
        <f t="shared" si="0"/>
        <v>29.134966715663399</v>
      </c>
      <c r="C52" s="105">
        <f t="shared" si="1"/>
        <v>98.923123664888195</v>
      </c>
      <c r="D52" s="105">
        <f t="shared" si="2"/>
        <v>83.006356582112105</v>
      </c>
    </row>
    <row r="53" spans="1:4">
      <c r="A53" s="105">
        <v>51</v>
      </c>
      <c r="B53" s="105">
        <f t="shared" si="0"/>
        <v>29.362771611003598</v>
      </c>
      <c r="C53" s="105">
        <f t="shared" si="1"/>
        <v>100.533755520372</v>
      </c>
      <c r="D53" s="105">
        <f t="shared" si="2"/>
        <v>81.410630017527595</v>
      </c>
    </row>
    <row r="54" spans="1:4">
      <c r="A54" s="105">
        <v>52</v>
      </c>
      <c r="B54" s="105">
        <f t="shared" si="0"/>
        <v>29.548255172236701</v>
      </c>
      <c r="C54" s="105">
        <f t="shared" si="1"/>
        <v>102.08541818671</v>
      </c>
      <c r="D54" s="105">
        <f t="shared" si="2"/>
        <v>79.757869905204103</v>
      </c>
    </row>
    <row r="55" spans="1:4">
      <c r="A55" s="105">
        <v>53</v>
      </c>
      <c r="B55" s="105">
        <f t="shared" si="0"/>
        <v>29.694863307282699</v>
      </c>
      <c r="C55" s="105">
        <f t="shared" si="1"/>
        <v>103.578923307926</v>
      </c>
      <c r="D55" s="105">
        <f t="shared" si="2"/>
        <v>78.052317163974095</v>
      </c>
    </row>
    <row r="56" spans="1:4">
      <c r="A56" s="105">
        <v>54</v>
      </c>
      <c r="B56" s="105">
        <f t="shared" si="0"/>
        <v>29.806467851365898</v>
      </c>
      <c r="C56" s="105">
        <f t="shared" si="1"/>
        <v>105.01563847154</v>
      </c>
      <c r="D56" s="105">
        <f t="shared" si="2"/>
        <v>76.2983274552099</v>
      </c>
    </row>
    <row r="57" spans="1:4">
      <c r="A57" s="105">
        <v>55</v>
      </c>
      <c r="B57" s="105">
        <f t="shared" si="0"/>
        <v>29.887324146378401</v>
      </c>
      <c r="C57" s="105">
        <f t="shared" si="1"/>
        <v>106.397467101733</v>
      </c>
      <c r="D57" s="105">
        <f t="shared" si="2"/>
        <v>74.500308511052907</v>
      </c>
    </row>
    <row r="58" spans="1:4">
      <c r="A58" s="105">
        <v>56</v>
      </c>
      <c r="B58" s="105">
        <f t="shared" si="0"/>
        <v>29.9420244184635</v>
      </c>
      <c r="C58" s="105">
        <f t="shared" si="1"/>
        <v>107.726820496771</v>
      </c>
      <c r="D58" s="105">
        <f t="shared" si="2"/>
        <v>72.662657917427296</v>
      </c>
    </row>
    <row r="59" spans="1:4">
      <c r="A59" s="105">
        <v>57</v>
      </c>
      <c r="B59" s="105">
        <f t="shared" si="0"/>
        <v>29.975447464625201</v>
      </c>
      <c r="C59" s="105">
        <f t="shared" si="1"/>
        <v>109.006582344118</v>
      </c>
      <c r="D59" s="105">
        <f t="shared" si="2"/>
        <v>70.7897022827798</v>
      </c>
    </row>
    <row r="60" spans="1:4">
      <c r="A60" s="105">
        <v>58</v>
      </c>
      <c r="B60" s="105">
        <f t="shared" si="0"/>
        <v>29.992705199607201</v>
      </c>
      <c r="C60" s="105">
        <f t="shared" si="1"/>
        <v>110.24006615875</v>
      </c>
      <c r="D60" s="105">
        <f t="shared" si="2"/>
        <v>68.885638695059797</v>
      </c>
    </row>
    <row r="61" spans="1:4">
      <c r="A61" s="105">
        <v>59</v>
      </c>
      <c r="B61" s="105">
        <f t="shared" si="0"/>
        <v>29.999086648685399</v>
      </c>
      <c r="C61" s="105">
        <f t="shared" si="1"/>
        <v>111.430966196394</v>
      </c>
      <c r="D61" s="105">
        <f t="shared" si="2"/>
        <v>66.954479327604304</v>
      </c>
    </row>
    <row r="62" spans="1:4">
      <c r="A62" s="105">
        <v>60</v>
      </c>
      <c r="B62" s="105">
        <f t="shared" si="0"/>
        <v>30</v>
      </c>
      <c r="C62" s="105">
        <f t="shared" si="1"/>
        <v>112.58330249197699</v>
      </c>
      <c r="D62" s="105">
        <f t="shared" si="2"/>
        <v>65</v>
      </c>
    </row>
    <row r="63" spans="1:4">
      <c r="A63" s="105">
        <v>61</v>
      </c>
      <c r="B63" s="105">
        <v>30</v>
      </c>
      <c r="C63" s="105">
        <f t="shared" si="1"/>
        <v>113.700561928121</v>
      </c>
      <c r="D63" s="105">
        <f t="shared" si="2"/>
        <v>63.025250632023798</v>
      </c>
    </row>
    <row r="64" spans="1:4">
      <c r="A64" s="105">
        <v>62</v>
      </c>
      <c r="B64" s="105">
        <v>30</v>
      </c>
      <c r="C64" s="105">
        <f t="shared" si="1"/>
        <v>114.78318707166</v>
      </c>
      <c r="D64" s="105">
        <f t="shared" si="2"/>
        <v>61.031303162165798</v>
      </c>
    </row>
    <row r="65" spans="1:4">
      <c r="A65" s="105">
        <v>63</v>
      </c>
      <c r="B65" s="105">
        <v>30</v>
      </c>
      <c r="C65" s="105">
        <f t="shared" si="1"/>
        <v>115.830848144488</v>
      </c>
      <c r="D65" s="105">
        <f t="shared" si="2"/>
        <v>59.018764966141099</v>
      </c>
    </row>
    <row r="66" spans="1:4">
      <c r="A66" s="105">
        <v>64</v>
      </c>
      <c r="B66" s="105">
        <v>30</v>
      </c>
      <c r="C66" s="105">
        <f t="shared" si="1"/>
        <v>116.843226018892</v>
      </c>
      <c r="D66" s="105">
        <f t="shared" si="2"/>
        <v>56.988249082580097</v>
      </c>
    </row>
    <row r="67" spans="1:4">
      <c r="A67" s="105">
        <v>65</v>
      </c>
      <c r="B67" s="105">
        <v>30</v>
      </c>
      <c r="C67" s="105">
        <f t="shared" ref="C67:C130" si="3">(100+B67)*SIN(A67*PI()/180)</f>
        <v>117.820012314764</v>
      </c>
      <c r="D67" s="105">
        <f t="shared" ref="D67:D130" si="4">(100+B67)*COS(A67*PI()/180)</f>
        <v>54.940374026290897</v>
      </c>
    </row>
    <row r="68" spans="1:4">
      <c r="A68" s="105">
        <v>66</v>
      </c>
      <c r="B68" s="105">
        <v>30</v>
      </c>
      <c r="C68" s="105">
        <f t="shared" si="3"/>
        <v>118.76090949353799</v>
      </c>
      <c r="D68" s="105">
        <f t="shared" si="4"/>
        <v>52.875763599853997</v>
      </c>
    </row>
    <row r="69" spans="1:4">
      <c r="A69" s="105">
        <v>67</v>
      </c>
      <c r="B69" s="105">
        <v>30</v>
      </c>
      <c r="C69" s="105">
        <f t="shared" si="3"/>
        <v>119.665630948817</v>
      </c>
      <c r="D69" s="105">
        <f t="shared" si="4"/>
        <v>50.7950467036056</v>
      </c>
    </row>
    <row r="70" spans="1:4">
      <c r="A70" s="105">
        <v>68</v>
      </c>
      <c r="B70" s="105">
        <v>30</v>
      </c>
      <c r="C70" s="105">
        <f t="shared" si="3"/>
        <v>120.533901093682</v>
      </c>
      <c r="D70" s="105">
        <f t="shared" si="4"/>
        <v>48.698857144068597</v>
      </c>
    </row>
    <row r="71" spans="1:4">
      <c r="A71" s="105">
        <v>69</v>
      </c>
      <c r="B71" s="105">
        <v>30</v>
      </c>
      <c r="C71" s="105">
        <f t="shared" si="3"/>
        <v>121.365455444636</v>
      </c>
      <c r="D71" s="105">
        <f t="shared" si="4"/>
        <v>46.587833440889</v>
      </c>
    </row>
    <row r="72" spans="1:4">
      <c r="A72" s="105">
        <v>70</v>
      </c>
      <c r="B72" s="105">
        <v>30</v>
      </c>
      <c r="C72" s="105">
        <f t="shared" si="3"/>
        <v>122.160040702168</v>
      </c>
      <c r="D72" s="105">
        <f t="shared" si="4"/>
        <v>44.462618632336898</v>
      </c>
    </row>
    <row r="73" spans="1:4">
      <c r="A73" s="105">
        <v>71</v>
      </c>
      <c r="B73" s="105">
        <v>30</v>
      </c>
      <c r="C73" s="105">
        <f t="shared" si="3"/>
        <v>122.917414827911</v>
      </c>
      <c r="D73" s="105">
        <f t="shared" si="4"/>
        <v>42.323860079430403</v>
      </c>
    </row>
    <row r="74" spans="1:4">
      <c r="A74" s="105">
        <v>72</v>
      </c>
      <c r="B74" s="105">
        <v>30</v>
      </c>
      <c r="C74" s="105">
        <f t="shared" si="3"/>
        <v>123.63734711837</v>
      </c>
      <c r="D74" s="105">
        <f t="shared" si="4"/>
        <v>40.172209268743202</v>
      </c>
    </row>
    <row r="75" spans="1:4">
      <c r="A75" s="105">
        <v>73</v>
      </c>
      <c r="B75" s="105">
        <v>30</v>
      </c>
      <c r="C75" s="105">
        <f t="shared" si="3"/>
        <v>124.319618275195</v>
      </c>
      <c r="D75" s="105">
        <f t="shared" si="4"/>
        <v>38.0083216139558</v>
      </c>
    </row>
    <row r="76" spans="1:4">
      <c r="A76" s="105">
        <v>74</v>
      </c>
      <c r="B76" s="105">
        <v>30</v>
      </c>
      <c r="C76" s="105">
        <f t="shared" si="3"/>
        <v>124.964020471981</v>
      </c>
      <c r="D76" s="105">
        <f t="shared" si="4"/>
        <v>35.832856256209901</v>
      </c>
    </row>
    <row r="77" spans="1:4">
      <c r="A77" s="105">
        <v>75</v>
      </c>
      <c r="B77" s="105">
        <v>30</v>
      </c>
      <c r="C77" s="105">
        <f t="shared" si="3"/>
        <v>125.570357417579</v>
      </c>
      <c r="D77" s="105">
        <f t="shared" si="4"/>
        <v>33.646475863327701</v>
      </c>
    </row>
    <row r="78" spans="1:4">
      <c r="A78" s="105">
        <v>76</v>
      </c>
      <c r="B78" s="105">
        <v>30</v>
      </c>
      <c r="C78" s="105">
        <f t="shared" si="3"/>
        <v>126.13844441588</v>
      </c>
      <c r="D78" s="105">
        <f t="shared" si="4"/>
        <v>31.4498464279568</v>
      </c>
    </row>
    <row r="79" spans="1:4">
      <c r="A79" s="105">
        <v>77</v>
      </c>
      <c r="B79" s="105">
        <v>30</v>
      </c>
      <c r="C79" s="105">
        <f t="shared" si="3"/>
        <v>126.668108422081</v>
      </c>
      <c r="D79" s="105">
        <f t="shared" si="4"/>
        <v>29.243637064702401</v>
      </c>
    </row>
    <row r="80" spans="1:4">
      <c r="A80" s="105">
        <v>78</v>
      </c>
      <c r="B80" s="105">
        <v>30</v>
      </c>
      <c r="C80" s="105">
        <f t="shared" si="3"/>
        <v>127.159188095395</v>
      </c>
      <c r="D80" s="105">
        <f t="shared" si="4"/>
        <v>27.028519806308701</v>
      </c>
    </row>
    <row r="81" spans="1:4">
      <c r="A81" s="105">
        <v>79</v>
      </c>
      <c r="B81" s="105">
        <v>30</v>
      </c>
      <c r="C81" s="105">
        <f t="shared" si="3"/>
        <v>127.611533848196</v>
      </c>
      <c r="D81" s="105">
        <f t="shared" si="4"/>
        <v>24.805169398950799</v>
      </c>
    </row>
    <row r="82" spans="1:4">
      <c r="A82" s="105">
        <v>80</v>
      </c>
      <c r="B82" s="105">
        <v>30</v>
      </c>
      <c r="C82" s="105">
        <f t="shared" si="3"/>
        <v>128.02500789158699</v>
      </c>
      <c r="D82" s="105">
        <f t="shared" si="4"/>
        <v>22.574263096700999</v>
      </c>
    </row>
    <row r="83" spans="1:4">
      <c r="A83" s="105">
        <v>81</v>
      </c>
      <c r="B83" s="105">
        <v>30</v>
      </c>
      <c r="C83" s="105">
        <f t="shared" si="3"/>
        <v>128.399484277368</v>
      </c>
      <c r="D83" s="105">
        <f t="shared" si="4"/>
        <v>20.336480455229999</v>
      </c>
    </row>
    <row r="84" spans="1:4">
      <c r="A84" s="105">
        <v>82</v>
      </c>
      <c r="B84" s="105">
        <v>30</v>
      </c>
      <c r="C84" s="105">
        <f t="shared" si="3"/>
        <v>128.73484893640401</v>
      </c>
      <c r="D84" s="105">
        <f t="shared" si="4"/>
        <v>18.092503124808498</v>
      </c>
    </row>
    <row r="85" spans="1:4">
      <c r="A85" s="105">
        <v>83</v>
      </c>
      <c r="B85" s="105">
        <v>30</v>
      </c>
      <c r="C85" s="105">
        <f t="shared" si="3"/>
        <v>129.03099971337201</v>
      </c>
      <c r="D85" s="105">
        <f t="shared" si="4"/>
        <v>15.8430146426692</v>
      </c>
    </row>
    <row r="86" spans="1:4">
      <c r="A86" s="105">
        <v>84</v>
      </c>
      <c r="B86" s="105">
        <v>30</v>
      </c>
      <c r="C86" s="105">
        <f t="shared" si="3"/>
        <v>129.287846397876</v>
      </c>
      <c r="D86" s="105">
        <f t="shared" si="4"/>
        <v>13.5887002247949</v>
      </c>
    </row>
    <row r="87" spans="1:4">
      <c r="A87" s="105">
        <v>85</v>
      </c>
      <c r="B87" s="105">
        <v>30</v>
      </c>
      <c r="C87" s="105">
        <f t="shared" si="3"/>
        <v>129.505310751927</v>
      </c>
      <c r="D87" s="105">
        <f t="shared" si="4"/>
        <v>11.330246557195601</v>
      </c>
    </row>
    <row r="88" spans="1:4">
      <c r="A88" s="105">
        <v>86</v>
      </c>
      <c r="B88" s="105">
        <v>30</v>
      </c>
      <c r="C88" s="105">
        <f t="shared" si="3"/>
        <v>129.68332653377701</v>
      </c>
      <c r="D88" s="105">
        <f t="shared" si="4"/>
        <v>9.0683415867363095</v>
      </c>
    </row>
    <row r="89" spans="1:4">
      <c r="A89" s="105">
        <v>87</v>
      </c>
      <c r="B89" s="105">
        <v>30</v>
      </c>
      <c r="C89" s="105">
        <f t="shared" si="3"/>
        <v>129.821839518095</v>
      </c>
      <c r="D89" s="105">
        <f t="shared" si="4"/>
        <v>6.8036743115827196</v>
      </c>
    </row>
    <row r="90" spans="1:4">
      <c r="A90" s="105">
        <v>88</v>
      </c>
      <c r="B90" s="105">
        <v>30</v>
      </c>
      <c r="C90" s="105">
        <f t="shared" si="3"/>
        <v>129.92080751248201</v>
      </c>
      <c r="D90" s="105">
        <f t="shared" si="4"/>
        <v>4.5369345713251397</v>
      </c>
    </row>
    <row r="91" spans="1:4">
      <c r="A91" s="105">
        <v>89</v>
      </c>
      <c r="B91" s="105">
        <v>30</v>
      </c>
      <c r="C91" s="105">
        <f t="shared" si="3"/>
        <v>129.980200370331</v>
      </c>
      <c r="D91" s="105">
        <f t="shared" si="4"/>
        <v>2.2688128368468399</v>
      </c>
    </row>
    <row r="92" spans="1:4">
      <c r="A92" s="105">
        <v>90</v>
      </c>
      <c r="B92" s="105">
        <v>30</v>
      </c>
      <c r="C92" s="105">
        <f t="shared" si="3"/>
        <v>130</v>
      </c>
      <c r="D92" s="105">
        <f t="shared" si="4"/>
        <v>7.9602041944578004E-15</v>
      </c>
    </row>
    <row r="93" spans="1:4">
      <c r="A93" s="105">
        <v>91</v>
      </c>
      <c r="B93" s="105">
        <v>30</v>
      </c>
      <c r="C93" s="105">
        <f t="shared" si="3"/>
        <v>129.980200370331</v>
      </c>
      <c r="D93" s="105">
        <f t="shared" si="4"/>
        <v>-2.2688128368468501</v>
      </c>
    </row>
    <row r="94" spans="1:4">
      <c r="A94" s="105">
        <v>92</v>
      </c>
      <c r="B94" s="105">
        <v>30</v>
      </c>
      <c r="C94" s="105">
        <f t="shared" si="3"/>
        <v>129.92080751248201</v>
      </c>
      <c r="D94" s="105">
        <f t="shared" si="4"/>
        <v>-4.5369345713250997</v>
      </c>
    </row>
    <row r="95" spans="1:4">
      <c r="A95" s="105">
        <v>93</v>
      </c>
      <c r="B95" s="105">
        <v>30</v>
      </c>
      <c r="C95" s="105">
        <f t="shared" si="3"/>
        <v>129.821839518095</v>
      </c>
      <c r="D95" s="105">
        <f t="shared" si="4"/>
        <v>-6.8036743115826699</v>
      </c>
    </row>
    <row r="96" spans="1:4">
      <c r="A96" s="105">
        <v>94</v>
      </c>
      <c r="B96" s="105">
        <v>30</v>
      </c>
      <c r="C96" s="105">
        <f t="shared" si="3"/>
        <v>129.68332653377701</v>
      </c>
      <c r="D96" s="105">
        <f t="shared" si="4"/>
        <v>-9.06834158673629</v>
      </c>
    </row>
    <row r="97" spans="1:4">
      <c r="A97" s="105">
        <v>95</v>
      </c>
      <c r="B97" s="105">
        <v>30</v>
      </c>
      <c r="C97" s="105">
        <f t="shared" si="3"/>
        <v>129.505310751927</v>
      </c>
      <c r="D97" s="105">
        <f t="shared" si="4"/>
        <v>-11.330246557195601</v>
      </c>
    </row>
    <row r="98" spans="1:4">
      <c r="A98" s="105">
        <v>96</v>
      </c>
      <c r="B98" s="105">
        <v>30</v>
      </c>
      <c r="C98" s="105">
        <f t="shared" si="3"/>
        <v>129.287846397876</v>
      </c>
      <c r="D98" s="105">
        <f t="shared" si="4"/>
        <v>-13.5887002247949</v>
      </c>
    </row>
    <row r="99" spans="1:4">
      <c r="A99" s="105">
        <v>97</v>
      </c>
      <c r="B99" s="105">
        <v>30</v>
      </c>
      <c r="C99" s="105">
        <f t="shared" si="3"/>
        <v>129.03099971337201</v>
      </c>
      <c r="D99" s="105">
        <f t="shared" si="4"/>
        <v>-15.8430146426692</v>
      </c>
    </row>
    <row r="100" spans="1:4">
      <c r="A100" s="105">
        <v>98</v>
      </c>
      <c r="B100" s="105">
        <v>30</v>
      </c>
      <c r="C100" s="105">
        <f t="shared" si="3"/>
        <v>128.73484893640401</v>
      </c>
      <c r="D100" s="105">
        <f t="shared" si="4"/>
        <v>-18.092503124808498</v>
      </c>
    </row>
    <row r="101" spans="1:4">
      <c r="A101" s="105">
        <v>99</v>
      </c>
      <c r="B101" s="105">
        <v>30</v>
      </c>
      <c r="C101" s="105">
        <f t="shared" si="3"/>
        <v>128.399484277368</v>
      </c>
      <c r="D101" s="105">
        <f t="shared" si="4"/>
        <v>-20.336480455229999</v>
      </c>
    </row>
    <row r="102" spans="1:4">
      <c r="A102" s="105">
        <v>100</v>
      </c>
      <c r="B102" s="105">
        <v>30</v>
      </c>
      <c r="C102" s="105">
        <f t="shared" si="3"/>
        <v>128.02500789158699</v>
      </c>
      <c r="D102" s="105">
        <f t="shared" si="4"/>
        <v>-22.5742630967009</v>
      </c>
    </row>
    <row r="103" spans="1:4">
      <c r="A103" s="105">
        <v>101</v>
      </c>
      <c r="B103" s="105">
        <v>30</v>
      </c>
      <c r="C103" s="105">
        <f t="shared" si="3"/>
        <v>127.611533848196</v>
      </c>
      <c r="D103" s="105">
        <f t="shared" si="4"/>
        <v>-24.805169398950799</v>
      </c>
    </row>
    <row r="104" spans="1:4">
      <c r="A104" s="105">
        <v>102</v>
      </c>
      <c r="B104" s="105">
        <v>30</v>
      </c>
      <c r="C104" s="105">
        <f t="shared" si="3"/>
        <v>127.159188095395</v>
      </c>
      <c r="D104" s="105">
        <f t="shared" si="4"/>
        <v>-27.028519806308701</v>
      </c>
    </row>
    <row r="105" spans="1:4">
      <c r="A105" s="105">
        <v>103</v>
      </c>
      <c r="B105" s="105">
        <v>30</v>
      </c>
      <c r="C105" s="105">
        <f t="shared" si="3"/>
        <v>126.668108422081</v>
      </c>
      <c r="D105" s="105">
        <f t="shared" si="4"/>
        <v>-29.243637064702401</v>
      </c>
    </row>
    <row r="106" spans="1:4">
      <c r="A106" s="105">
        <v>104</v>
      </c>
      <c r="B106" s="105">
        <v>30</v>
      </c>
      <c r="C106" s="105">
        <f t="shared" si="3"/>
        <v>126.13844441588</v>
      </c>
      <c r="D106" s="105">
        <f t="shared" si="4"/>
        <v>-31.4498464279568</v>
      </c>
    </row>
    <row r="107" spans="1:4">
      <c r="A107" s="105">
        <v>105</v>
      </c>
      <c r="B107" s="105">
        <v>30</v>
      </c>
      <c r="C107" s="105">
        <f t="shared" si="3"/>
        <v>125.570357417579</v>
      </c>
      <c r="D107" s="105">
        <f t="shared" si="4"/>
        <v>-33.646475863327701</v>
      </c>
    </row>
    <row r="108" spans="1:4">
      <c r="A108" s="105">
        <v>106</v>
      </c>
      <c r="B108" s="105">
        <v>30</v>
      </c>
      <c r="C108" s="105">
        <f t="shared" si="3"/>
        <v>124.964020471981</v>
      </c>
      <c r="D108" s="105">
        <f t="shared" si="4"/>
        <v>-35.832856256209901</v>
      </c>
    </row>
    <row r="109" spans="1:4">
      <c r="A109" s="105">
        <v>107</v>
      </c>
      <c r="B109" s="105">
        <v>30</v>
      </c>
      <c r="C109" s="105">
        <f t="shared" si="3"/>
        <v>124.319618275195</v>
      </c>
      <c r="D109" s="105">
        <f t="shared" si="4"/>
        <v>-38.0083216139558</v>
      </c>
    </row>
    <row r="110" spans="1:4">
      <c r="A110" s="105">
        <v>108</v>
      </c>
      <c r="B110" s="105">
        <v>30</v>
      </c>
      <c r="C110" s="105">
        <f t="shared" si="3"/>
        <v>123.63734711837</v>
      </c>
      <c r="D110" s="105">
        <f t="shared" si="4"/>
        <v>-40.172209268743202</v>
      </c>
    </row>
    <row r="111" spans="1:4">
      <c r="A111" s="105">
        <v>109</v>
      </c>
      <c r="B111" s="105">
        <v>30</v>
      </c>
      <c r="C111" s="105">
        <f t="shared" si="3"/>
        <v>122.917414827911</v>
      </c>
      <c r="D111" s="105">
        <f t="shared" si="4"/>
        <v>-42.323860079430297</v>
      </c>
    </row>
    <row r="112" spans="1:4">
      <c r="A112" s="105">
        <v>110</v>
      </c>
      <c r="B112" s="105">
        <v>30</v>
      </c>
      <c r="C112" s="105">
        <f t="shared" si="3"/>
        <v>122.160040702168</v>
      </c>
      <c r="D112" s="105">
        <f t="shared" si="4"/>
        <v>-44.462618632336898</v>
      </c>
    </row>
    <row r="113" spans="1:4">
      <c r="A113" s="105">
        <v>111</v>
      </c>
      <c r="B113" s="105">
        <v>30</v>
      </c>
      <c r="C113" s="105">
        <f t="shared" si="3"/>
        <v>121.365455444636</v>
      </c>
      <c r="D113" s="105">
        <f t="shared" si="4"/>
        <v>-46.587833440889</v>
      </c>
    </row>
    <row r="114" spans="1:4">
      <c r="A114" s="105">
        <v>112</v>
      </c>
      <c r="B114" s="105">
        <v>30</v>
      </c>
      <c r="C114" s="105">
        <f t="shared" si="3"/>
        <v>120.533901093682</v>
      </c>
      <c r="D114" s="105">
        <f t="shared" si="4"/>
        <v>-48.698857144068597</v>
      </c>
    </row>
    <row r="115" spans="1:4">
      <c r="A115" s="105">
        <v>113</v>
      </c>
      <c r="B115" s="105">
        <v>30</v>
      </c>
      <c r="C115" s="105">
        <f t="shared" si="3"/>
        <v>119.665630948817</v>
      </c>
      <c r="D115" s="105">
        <f t="shared" si="4"/>
        <v>-50.7950467036056</v>
      </c>
    </row>
    <row r="116" spans="1:4">
      <c r="A116" s="105">
        <v>114</v>
      </c>
      <c r="B116" s="105">
        <v>30</v>
      </c>
      <c r="C116" s="105">
        <f t="shared" si="3"/>
        <v>118.76090949353799</v>
      </c>
      <c r="D116" s="105">
        <f t="shared" si="4"/>
        <v>-52.875763599853997</v>
      </c>
    </row>
    <row r="117" spans="1:4">
      <c r="A117" s="105">
        <v>115</v>
      </c>
      <c r="B117" s="105">
        <v>30</v>
      </c>
      <c r="C117" s="105">
        <f t="shared" si="3"/>
        <v>117.82001231476499</v>
      </c>
      <c r="D117" s="105">
        <f t="shared" si="4"/>
        <v>-54.940374026290897</v>
      </c>
    </row>
    <row r="118" spans="1:4">
      <c r="A118" s="105">
        <v>116</v>
      </c>
      <c r="B118" s="105">
        <v>30</v>
      </c>
      <c r="C118" s="105">
        <f t="shared" si="3"/>
        <v>116.843226018892</v>
      </c>
      <c r="D118" s="105">
        <f t="shared" si="4"/>
        <v>-56.988249082580097</v>
      </c>
    </row>
    <row r="119" spans="1:4">
      <c r="A119" s="105">
        <v>117</v>
      </c>
      <c r="B119" s="105">
        <v>30</v>
      </c>
      <c r="C119" s="105">
        <f t="shared" si="3"/>
        <v>115.830848144488</v>
      </c>
      <c r="D119" s="105">
        <f t="shared" si="4"/>
        <v>-59.018764966141099</v>
      </c>
    </row>
    <row r="120" spans="1:4">
      <c r="A120" s="105">
        <v>118</v>
      </c>
      <c r="B120" s="105">
        <v>30</v>
      </c>
      <c r="C120" s="105">
        <f t="shared" si="3"/>
        <v>114.783187071661</v>
      </c>
      <c r="D120" s="105">
        <f t="shared" si="4"/>
        <v>-61.031303162165798</v>
      </c>
    </row>
    <row r="121" spans="1:4">
      <c r="A121" s="105">
        <v>119</v>
      </c>
      <c r="B121" s="105">
        <v>30</v>
      </c>
      <c r="C121" s="105">
        <f t="shared" si="3"/>
        <v>113.700561928121</v>
      </c>
      <c r="D121" s="105">
        <f t="shared" si="4"/>
        <v>-63.025250632023798</v>
      </c>
    </row>
    <row r="122" spans="1:4">
      <c r="A122" s="105">
        <v>120</v>
      </c>
      <c r="B122" s="105">
        <v>30</v>
      </c>
      <c r="C122" s="105">
        <f t="shared" si="3"/>
        <v>112.58330249197699</v>
      </c>
      <c r="D122" s="105">
        <f t="shared" si="4"/>
        <v>-65</v>
      </c>
    </row>
    <row r="123" spans="1:4">
      <c r="A123" s="105">
        <v>121</v>
      </c>
      <c r="B123" s="105">
        <v>30</v>
      </c>
      <c r="C123" s="105">
        <f t="shared" si="3"/>
        <v>111.43174909127499</v>
      </c>
      <c r="D123" s="105">
        <f t="shared" si="4"/>
        <v>-66.954949738307107</v>
      </c>
    </row>
    <row r="124" spans="1:4">
      <c r="A124" s="105">
        <v>122</v>
      </c>
      <c r="B124" s="105">
        <v>30</v>
      </c>
      <c r="C124" s="105">
        <f t="shared" si="3"/>
        <v>110.246252500335</v>
      </c>
      <c r="D124" s="105">
        <f t="shared" si="4"/>
        <v>-68.889504350316599</v>
      </c>
    </row>
    <row r="125" spans="1:4">
      <c r="A125" s="105">
        <v>123</v>
      </c>
      <c r="B125" s="105">
        <v>30</v>
      </c>
      <c r="C125" s="105">
        <f t="shared" si="3"/>
        <v>109.02717383290501</v>
      </c>
      <c r="D125" s="105">
        <f t="shared" si="4"/>
        <v>-70.8030745519535</v>
      </c>
    </row>
    <row r="126" spans="1:4">
      <c r="A126" s="105">
        <v>124</v>
      </c>
      <c r="B126" s="105">
        <v>30</v>
      </c>
      <c r="C126" s="105">
        <f t="shared" si="3"/>
        <v>107.77488443215501</v>
      </c>
      <c r="D126" s="105">
        <f t="shared" si="4"/>
        <v>-72.695077451197093</v>
      </c>
    </row>
    <row r="127" spans="1:4">
      <c r="A127" s="105">
        <v>125</v>
      </c>
      <c r="B127" s="105">
        <v>30</v>
      </c>
      <c r="C127" s="105">
        <f t="shared" si="3"/>
        <v>106.489765757569</v>
      </c>
      <c r="D127" s="105">
        <f t="shared" si="4"/>
        <v>-74.564936725636002</v>
      </c>
    </row>
    <row r="128" spans="1:4">
      <c r="A128" s="105">
        <v>126</v>
      </c>
      <c r="B128" s="105">
        <v>30</v>
      </c>
      <c r="C128" s="105">
        <f t="shared" si="3"/>
        <v>105.172209268743</v>
      </c>
      <c r="D128" s="105">
        <f t="shared" si="4"/>
        <v>-76.412082798021501</v>
      </c>
    </row>
    <row r="129" spans="1:4">
      <c r="A129" s="105">
        <v>127</v>
      </c>
      <c r="B129" s="105">
        <v>30</v>
      </c>
      <c r="C129" s="105">
        <f t="shared" si="3"/>
        <v>103.82261630614801</v>
      </c>
      <c r="D129" s="105">
        <f t="shared" si="4"/>
        <v>-78.235953009766305</v>
      </c>
    </row>
    <row r="130" spans="1:4">
      <c r="A130" s="105">
        <v>128</v>
      </c>
      <c r="B130" s="105">
        <v>30</v>
      </c>
      <c r="C130" s="105">
        <f t="shared" si="3"/>
        <v>102.441397968874</v>
      </c>
      <c r="D130" s="105">
        <f t="shared" si="4"/>
        <v>-80.035991792335594</v>
      </c>
    </row>
    <row r="131" spans="1:4">
      <c r="A131" s="105">
        <v>129</v>
      </c>
      <c r="B131" s="105">
        <v>30</v>
      </c>
      <c r="C131" s="105">
        <f t="shared" ref="C131:C194" si="5">(100+B131)*SIN(A131*PI()/180)</f>
        <v>101.028974989406</v>
      </c>
      <c r="D131" s="105">
        <f t="shared" ref="D131:D194" si="6">(100+B131)*COS(A131*PI()/180)</f>
        <v>-81.811650836478805</v>
      </c>
    </row>
    <row r="132" spans="1:4">
      <c r="A132" s="105">
        <v>130</v>
      </c>
      <c r="B132" s="105">
        <v>30</v>
      </c>
      <c r="C132" s="105">
        <f t="shared" si="5"/>
        <v>99.585777605467101</v>
      </c>
      <c r="D132" s="105">
        <f t="shared" si="6"/>
        <v>-83.562389259250097</v>
      </c>
    </row>
    <row r="133" spans="1:4">
      <c r="A133" s="105">
        <v>131</v>
      </c>
      <c r="B133" s="105">
        <v>30</v>
      </c>
      <c r="C133" s="105">
        <f t="shared" si="5"/>
        <v>98.112245428960307</v>
      </c>
      <c r="D133" s="105">
        <f t="shared" si="6"/>
        <v>-85.287673768765998</v>
      </c>
    </row>
    <row r="134" spans="1:4">
      <c r="A134" s="105">
        <v>132</v>
      </c>
      <c r="B134" s="105">
        <v>30</v>
      </c>
      <c r="C134" s="105">
        <f t="shared" si="5"/>
        <v>96.608827312061294</v>
      </c>
      <c r="D134" s="105">
        <f t="shared" si="6"/>
        <v>-86.986978826651594</v>
      </c>
    </row>
    <row r="135" spans="1:4">
      <c r="A135" s="105">
        <v>133</v>
      </c>
      <c r="B135" s="105">
        <v>30</v>
      </c>
      <c r="C135" s="105">
        <f t="shared" si="5"/>
        <v>95.075981210492202</v>
      </c>
      <c r="D135" s="105">
        <f t="shared" si="6"/>
        <v>-88.659786808124807</v>
      </c>
    </row>
    <row r="136" spans="1:4">
      <c r="A136" s="105">
        <v>134</v>
      </c>
      <c r="B136" s="105">
        <v>30</v>
      </c>
      <c r="C136" s="105">
        <f t="shared" si="5"/>
        <v>93.514174044024699</v>
      </c>
      <c r="D136" s="105">
        <f t="shared" si="6"/>
        <v>-90.305588159669597</v>
      </c>
    </row>
    <row r="137" spans="1:4">
      <c r="A137" s="105">
        <v>135</v>
      </c>
      <c r="B137" s="105">
        <v>30</v>
      </c>
      <c r="C137" s="105">
        <f t="shared" si="5"/>
        <v>91.923881554251196</v>
      </c>
      <c r="D137" s="105">
        <f t="shared" si="6"/>
        <v>-91.923881554251196</v>
      </c>
    </row>
    <row r="138" spans="1:4">
      <c r="A138" s="105">
        <v>136</v>
      </c>
      <c r="B138" s="105">
        <v>30</v>
      </c>
      <c r="C138" s="105">
        <f t="shared" si="5"/>
        <v>90.305588159669597</v>
      </c>
      <c r="D138" s="105">
        <f t="shared" si="6"/>
        <v>-93.514174044024699</v>
      </c>
    </row>
    <row r="139" spans="1:4">
      <c r="A139" s="105">
        <v>137</v>
      </c>
      <c r="B139" s="105">
        <v>30</v>
      </c>
      <c r="C139" s="105">
        <f t="shared" si="5"/>
        <v>88.659786808124807</v>
      </c>
      <c r="D139" s="105">
        <f t="shared" si="6"/>
        <v>-95.075981210492202</v>
      </c>
    </row>
    <row r="140" spans="1:4">
      <c r="A140" s="105">
        <v>138</v>
      </c>
      <c r="B140" s="105">
        <v>30</v>
      </c>
      <c r="C140" s="105">
        <f t="shared" si="5"/>
        <v>86.986978826651594</v>
      </c>
      <c r="D140" s="105">
        <f t="shared" si="6"/>
        <v>-96.608827312061194</v>
      </c>
    </row>
    <row r="141" spans="1:4">
      <c r="A141" s="105">
        <v>139</v>
      </c>
      <c r="B141" s="105">
        <v>30</v>
      </c>
      <c r="C141" s="105">
        <f t="shared" si="5"/>
        <v>85.287673768765899</v>
      </c>
      <c r="D141" s="105">
        <f t="shared" si="6"/>
        <v>-98.112245428960406</v>
      </c>
    </row>
    <row r="142" spans="1:4">
      <c r="A142" s="105">
        <v>140</v>
      </c>
      <c r="B142" s="105">
        <v>30</v>
      </c>
      <c r="C142" s="105">
        <f t="shared" si="5"/>
        <v>83.562389259250097</v>
      </c>
      <c r="D142" s="105">
        <f t="shared" si="6"/>
        <v>-99.585777605467101</v>
      </c>
    </row>
    <row r="143" spans="1:4">
      <c r="A143" s="105">
        <v>141</v>
      </c>
      <c r="B143" s="105">
        <v>30</v>
      </c>
      <c r="C143" s="105">
        <f t="shared" si="5"/>
        <v>81.811650836478904</v>
      </c>
      <c r="D143" s="105">
        <f t="shared" si="6"/>
        <v>-101.028974989406</v>
      </c>
    </row>
    <row r="144" spans="1:4">
      <c r="A144" s="105">
        <v>142</v>
      </c>
      <c r="B144" s="105">
        <v>30</v>
      </c>
      <c r="C144" s="105">
        <f t="shared" si="5"/>
        <v>80.035991792335594</v>
      </c>
      <c r="D144" s="105">
        <f t="shared" si="6"/>
        <v>-102.441397968874</v>
      </c>
    </row>
    <row r="145" spans="1:4">
      <c r="A145" s="105">
        <v>143</v>
      </c>
      <c r="B145" s="105">
        <v>30</v>
      </c>
      <c r="C145" s="105">
        <f t="shared" si="5"/>
        <v>78.235953009766305</v>
      </c>
      <c r="D145" s="105">
        <f t="shared" si="6"/>
        <v>-103.82261630614801</v>
      </c>
    </row>
    <row r="146" spans="1:4">
      <c r="A146" s="105">
        <v>144</v>
      </c>
      <c r="B146" s="105">
        <v>30</v>
      </c>
      <c r="C146" s="105">
        <f t="shared" si="5"/>
        <v>76.412082798021501</v>
      </c>
      <c r="D146" s="105">
        <f t="shared" si="6"/>
        <v>-105.172209268743</v>
      </c>
    </row>
    <row r="147" spans="1:4">
      <c r="A147" s="105">
        <v>145</v>
      </c>
      <c r="B147" s="105">
        <v>30</v>
      </c>
      <c r="C147" s="105">
        <f t="shared" si="5"/>
        <v>74.564936725636002</v>
      </c>
      <c r="D147" s="105">
        <f t="shared" si="6"/>
        <v>-106.489765757569</v>
      </c>
    </row>
    <row r="148" spans="1:4">
      <c r="A148" s="105">
        <v>146</v>
      </c>
      <c r="B148" s="105">
        <v>30</v>
      </c>
      <c r="C148" s="105">
        <f t="shared" si="5"/>
        <v>72.695077451197093</v>
      </c>
      <c r="D148" s="105">
        <f t="shared" si="6"/>
        <v>-107.77488443215501</v>
      </c>
    </row>
    <row r="149" spans="1:4">
      <c r="A149" s="105">
        <v>147</v>
      </c>
      <c r="B149" s="105">
        <v>30</v>
      </c>
      <c r="C149" s="105">
        <f t="shared" si="5"/>
        <v>70.8030745519535</v>
      </c>
      <c r="D149" s="105">
        <f t="shared" si="6"/>
        <v>-109.02717383290501</v>
      </c>
    </row>
    <row r="150" spans="1:4">
      <c r="A150" s="105">
        <v>148</v>
      </c>
      <c r="B150" s="105">
        <v>30</v>
      </c>
      <c r="C150" s="105">
        <f t="shared" si="5"/>
        <v>68.889504350316599</v>
      </c>
      <c r="D150" s="105">
        <f t="shared" si="6"/>
        <v>-110.246252500335</v>
      </c>
    </row>
    <row r="151" spans="1:4">
      <c r="A151" s="105">
        <v>149</v>
      </c>
      <c r="B151" s="105">
        <v>30</v>
      </c>
      <c r="C151" s="105">
        <f t="shared" si="5"/>
        <v>66.954949738307107</v>
      </c>
      <c r="D151" s="105">
        <f t="shared" si="6"/>
        <v>-111.43174909127499</v>
      </c>
    </row>
    <row r="152" spans="1:4">
      <c r="A152" s="105">
        <v>150</v>
      </c>
      <c r="B152" s="105">
        <v>30</v>
      </c>
      <c r="C152" s="105">
        <f t="shared" si="5"/>
        <v>65</v>
      </c>
      <c r="D152" s="105">
        <f t="shared" si="6"/>
        <v>-112.58330249197699</v>
      </c>
    </row>
    <row r="153" spans="1:4">
      <c r="A153" s="105">
        <v>151</v>
      </c>
      <c r="B153" s="105">
        <v>30</v>
      </c>
      <c r="C153" s="105">
        <f t="shared" si="5"/>
        <v>63.025250632023798</v>
      </c>
      <c r="D153" s="105">
        <f t="shared" si="6"/>
        <v>-113.700561928121</v>
      </c>
    </row>
    <row r="154" spans="1:4">
      <c r="A154" s="105">
        <v>152</v>
      </c>
      <c r="B154" s="105">
        <v>30</v>
      </c>
      <c r="C154" s="105">
        <f t="shared" si="5"/>
        <v>61.031303162165798</v>
      </c>
      <c r="D154" s="105">
        <f t="shared" si="6"/>
        <v>-114.78318707166</v>
      </c>
    </row>
    <row r="155" spans="1:4">
      <c r="A155" s="105">
        <v>153</v>
      </c>
      <c r="B155" s="105">
        <v>30</v>
      </c>
      <c r="C155" s="105">
        <f t="shared" si="5"/>
        <v>59.018764966141099</v>
      </c>
      <c r="D155" s="105">
        <f t="shared" si="6"/>
        <v>-115.830848144488</v>
      </c>
    </row>
    <row r="156" spans="1:4">
      <c r="A156" s="105">
        <v>154</v>
      </c>
      <c r="B156" s="105">
        <v>30</v>
      </c>
      <c r="C156" s="105">
        <f t="shared" si="5"/>
        <v>56.988249082579998</v>
      </c>
      <c r="D156" s="105">
        <f t="shared" si="6"/>
        <v>-116.843226018892</v>
      </c>
    </row>
    <row r="157" spans="1:4">
      <c r="A157" s="105">
        <v>155</v>
      </c>
      <c r="B157" s="105">
        <v>30</v>
      </c>
      <c r="C157" s="105">
        <f t="shared" si="5"/>
        <v>54.940374026290897</v>
      </c>
      <c r="D157" s="105">
        <f t="shared" si="6"/>
        <v>-117.820012314764</v>
      </c>
    </row>
    <row r="158" spans="1:4">
      <c r="A158" s="105">
        <v>156</v>
      </c>
      <c r="B158" s="105">
        <v>30</v>
      </c>
      <c r="C158" s="105">
        <f t="shared" si="5"/>
        <v>52.875763599854103</v>
      </c>
      <c r="D158" s="105">
        <f t="shared" si="6"/>
        <v>-118.76090949353799</v>
      </c>
    </row>
    <row r="159" spans="1:4">
      <c r="A159" s="105">
        <v>157</v>
      </c>
      <c r="B159" s="105">
        <v>30</v>
      </c>
      <c r="C159" s="105">
        <f t="shared" si="5"/>
        <v>50.7950467036056</v>
      </c>
      <c r="D159" s="105">
        <f t="shared" si="6"/>
        <v>-119.665630948817</v>
      </c>
    </row>
    <row r="160" spans="1:4">
      <c r="A160" s="105">
        <v>158</v>
      </c>
      <c r="B160" s="105">
        <v>30</v>
      </c>
      <c r="C160" s="105">
        <f t="shared" si="5"/>
        <v>48.698857144068597</v>
      </c>
      <c r="D160" s="105">
        <f t="shared" si="6"/>
        <v>-120.533901093682</v>
      </c>
    </row>
    <row r="161" spans="1:4">
      <c r="A161" s="105">
        <v>159</v>
      </c>
      <c r="B161" s="105">
        <v>30</v>
      </c>
      <c r="C161" s="105">
        <f t="shared" si="5"/>
        <v>46.587833440889</v>
      </c>
      <c r="D161" s="105">
        <f t="shared" si="6"/>
        <v>-121.365455444636</v>
      </c>
    </row>
    <row r="162" spans="1:4">
      <c r="A162" s="105">
        <v>160</v>
      </c>
      <c r="B162" s="105">
        <v>30</v>
      </c>
      <c r="C162" s="105">
        <f t="shared" si="5"/>
        <v>44.462618632336998</v>
      </c>
      <c r="D162" s="105">
        <f t="shared" si="6"/>
        <v>-122.160040702168</v>
      </c>
    </row>
    <row r="163" spans="1:4">
      <c r="A163" s="105">
        <v>161</v>
      </c>
      <c r="B163" s="105">
        <v>30</v>
      </c>
      <c r="C163" s="105">
        <f t="shared" si="5"/>
        <v>42.323860079430403</v>
      </c>
      <c r="D163" s="105">
        <f t="shared" si="6"/>
        <v>-122.917414827911</v>
      </c>
    </row>
    <row r="164" spans="1:4">
      <c r="A164" s="105">
        <v>162</v>
      </c>
      <c r="B164" s="105">
        <v>30</v>
      </c>
      <c r="C164" s="105">
        <f t="shared" si="5"/>
        <v>40.172209268743202</v>
      </c>
      <c r="D164" s="105">
        <f t="shared" si="6"/>
        <v>-123.63734711837</v>
      </c>
    </row>
    <row r="165" spans="1:4">
      <c r="A165" s="105">
        <v>163</v>
      </c>
      <c r="B165" s="105">
        <v>30</v>
      </c>
      <c r="C165" s="105">
        <f t="shared" si="5"/>
        <v>38.0083216139558</v>
      </c>
      <c r="D165" s="105">
        <f t="shared" si="6"/>
        <v>-124.319618275195</v>
      </c>
    </row>
    <row r="166" spans="1:4">
      <c r="A166" s="105">
        <v>164</v>
      </c>
      <c r="B166" s="105">
        <v>30</v>
      </c>
      <c r="C166" s="105">
        <f t="shared" si="5"/>
        <v>35.83285625621</v>
      </c>
      <c r="D166" s="105">
        <f t="shared" si="6"/>
        <v>-124.964020471981</v>
      </c>
    </row>
    <row r="167" spans="1:4">
      <c r="A167" s="105">
        <v>165</v>
      </c>
      <c r="B167" s="105">
        <v>30</v>
      </c>
      <c r="C167" s="105">
        <f t="shared" si="5"/>
        <v>33.646475863327701</v>
      </c>
      <c r="D167" s="105">
        <f t="shared" si="6"/>
        <v>-125.570357417579</v>
      </c>
    </row>
    <row r="168" spans="1:4">
      <c r="A168" s="105">
        <v>166</v>
      </c>
      <c r="B168" s="105">
        <v>30</v>
      </c>
      <c r="C168" s="105">
        <f t="shared" si="5"/>
        <v>31.4498464279568</v>
      </c>
      <c r="D168" s="105">
        <f t="shared" si="6"/>
        <v>-126.13844441588</v>
      </c>
    </row>
    <row r="169" spans="1:4">
      <c r="A169" s="105">
        <v>167</v>
      </c>
      <c r="B169" s="105">
        <v>30</v>
      </c>
      <c r="C169" s="105">
        <f t="shared" si="5"/>
        <v>29.243637064702401</v>
      </c>
      <c r="D169" s="105">
        <f t="shared" si="6"/>
        <v>-126.668108422081</v>
      </c>
    </row>
    <row r="170" spans="1:4">
      <c r="A170" s="105">
        <v>168</v>
      </c>
      <c r="B170" s="105">
        <v>30</v>
      </c>
      <c r="C170" s="105">
        <f t="shared" si="5"/>
        <v>27.028519806308701</v>
      </c>
      <c r="D170" s="105">
        <f t="shared" si="6"/>
        <v>-127.159188095395</v>
      </c>
    </row>
    <row r="171" spans="1:4">
      <c r="A171" s="105">
        <v>169</v>
      </c>
      <c r="B171" s="105">
        <v>30</v>
      </c>
      <c r="C171" s="105">
        <f t="shared" si="5"/>
        <v>24.805169398950799</v>
      </c>
      <c r="D171" s="105">
        <f t="shared" si="6"/>
        <v>-127.611533848196</v>
      </c>
    </row>
    <row r="172" spans="1:4">
      <c r="A172" s="105">
        <v>170</v>
      </c>
      <c r="B172" s="105">
        <v>30</v>
      </c>
      <c r="C172" s="105">
        <f t="shared" si="5"/>
        <v>22.5742630967009</v>
      </c>
      <c r="D172" s="105">
        <f t="shared" si="6"/>
        <v>-128.02500789158699</v>
      </c>
    </row>
    <row r="173" spans="1:4">
      <c r="A173" s="105">
        <v>171</v>
      </c>
      <c r="B173" s="105">
        <v>30</v>
      </c>
      <c r="C173" s="105">
        <f t="shared" si="5"/>
        <v>20.336480455229999</v>
      </c>
      <c r="D173" s="105">
        <f t="shared" si="6"/>
        <v>-128.399484277368</v>
      </c>
    </row>
    <row r="174" spans="1:4">
      <c r="A174" s="105">
        <v>172</v>
      </c>
      <c r="B174" s="105">
        <v>30</v>
      </c>
      <c r="C174" s="105">
        <f t="shared" si="5"/>
        <v>18.092503124808498</v>
      </c>
      <c r="D174" s="105">
        <f t="shared" si="6"/>
        <v>-128.73484893640401</v>
      </c>
    </row>
    <row r="175" spans="1:4">
      <c r="A175" s="105">
        <v>173</v>
      </c>
      <c r="B175" s="105">
        <v>30</v>
      </c>
      <c r="C175" s="105">
        <f t="shared" si="5"/>
        <v>15.8430146426692</v>
      </c>
      <c r="D175" s="105">
        <f t="shared" si="6"/>
        <v>-129.03099971337201</v>
      </c>
    </row>
    <row r="176" spans="1:4">
      <c r="A176" s="105">
        <v>174</v>
      </c>
      <c r="B176" s="105">
        <v>30</v>
      </c>
      <c r="C176" s="105">
        <f t="shared" si="5"/>
        <v>13.588700224795</v>
      </c>
      <c r="D176" s="105">
        <f t="shared" si="6"/>
        <v>-129.287846397876</v>
      </c>
    </row>
    <row r="177" spans="1:4">
      <c r="A177" s="105">
        <v>175</v>
      </c>
      <c r="B177" s="105">
        <v>30</v>
      </c>
      <c r="C177" s="105">
        <f t="shared" si="5"/>
        <v>11.330246557195601</v>
      </c>
      <c r="D177" s="105">
        <f t="shared" si="6"/>
        <v>-129.505310751927</v>
      </c>
    </row>
    <row r="178" spans="1:4">
      <c r="A178" s="105">
        <v>176</v>
      </c>
      <c r="B178" s="105">
        <v>30</v>
      </c>
      <c r="C178" s="105">
        <f t="shared" si="5"/>
        <v>9.0683415867363202</v>
      </c>
      <c r="D178" s="105">
        <f t="shared" si="6"/>
        <v>-129.68332653377701</v>
      </c>
    </row>
    <row r="179" spans="1:4">
      <c r="A179" s="105">
        <v>177</v>
      </c>
      <c r="B179" s="105">
        <v>30</v>
      </c>
      <c r="C179" s="105">
        <f t="shared" si="5"/>
        <v>6.8036743115826903</v>
      </c>
      <c r="D179" s="105">
        <f t="shared" si="6"/>
        <v>-129.821839518095</v>
      </c>
    </row>
    <row r="180" spans="1:4">
      <c r="A180" s="105">
        <v>178</v>
      </c>
      <c r="B180" s="105">
        <v>30</v>
      </c>
      <c r="C180" s="105">
        <f t="shared" si="5"/>
        <v>4.5369345713250899</v>
      </c>
      <c r="D180" s="105">
        <f t="shared" si="6"/>
        <v>-129.92080751248201</v>
      </c>
    </row>
    <row r="181" spans="1:4">
      <c r="A181" s="105">
        <v>179</v>
      </c>
      <c r="B181" s="105">
        <v>30</v>
      </c>
      <c r="C181" s="105">
        <f t="shared" si="5"/>
        <v>2.2688128368468501</v>
      </c>
      <c r="D181" s="105">
        <f t="shared" si="6"/>
        <v>-129.980200370331</v>
      </c>
    </row>
    <row r="182" spans="1:4">
      <c r="A182" s="105">
        <v>180</v>
      </c>
      <c r="B182" s="105">
        <v>30</v>
      </c>
      <c r="C182" s="105">
        <f t="shared" si="5"/>
        <v>1.5920408388915601E-14</v>
      </c>
      <c r="D182" s="105">
        <f t="shared" si="6"/>
        <v>-130</v>
      </c>
    </row>
    <row r="183" spans="1:4">
      <c r="A183" s="105">
        <v>181</v>
      </c>
      <c r="B183" s="105">
        <f t="shared" ref="B183:B242" si="7">30*(1-(A183-180)/60+SIN(2*PI()*(A183-180)/60)/(2*PI()))</f>
        <v>29.999086648685399</v>
      </c>
      <c r="C183" s="105">
        <f t="shared" si="5"/>
        <v>-2.2687968966684502</v>
      </c>
      <c r="D183" s="105">
        <f t="shared" si="6"/>
        <v>-129.97928715812401</v>
      </c>
    </row>
    <row r="184" spans="1:4">
      <c r="A184" s="105">
        <v>182</v>
      </c>
      <c r="B184" s="105">
        <f t="shared" si="7"/>
        <v>29.992705199607201</v>
      </c>
      <c r="C184" s="105">
        <f t="shared" si="5"/>
        <v>-4.5366799864628602</v>
      </c>
      <c r="D184" s="105">
        <f t="shared" si="6"/>
        <v>-129.91351715588499</v>
      </c>
    </row>
    <row r="185" spans="1:4">
      <c r="A185" s="105">
        <v>183</v>
      </c>
      <c r="B185" s="105">
        <f t="shared" si="7"/>
        <v>29.975447464625201</v>
      </c>
      <c r="C185" s="105">
        <f t="shared" si="5"/>
        <v>-6.8023893311656298</v>
      </c>
      <c r="D185" s="105">
        <f t="shared" si="6"/>
        <v>-129.79732063111601</v>
      </c>
    </row>
    <row r="186" spans="1:4">
      <c r="A186" s="105">
        <v>184</v>
      </c>
      <c r="B186" s="105">
        <f t="shared" si="7"/>
        <v>29.9420244184635</v>
      </c>
      <c r="C186" s="105">
        <f t="shared" si="5"/>
        <v>-9.0642974146049795</v>
      </c>
      <c r="D186" s="105">
        <f t="shared" si="6"/>
        <v>-129.625492177843</v>
      </c>
    </row>
    <row r="187" spans="1:4">
      <c r="A187" s="105">
        <v>185</v>
      </c>
      <c r="B187" s="105">
        <f t="shared" si="7"/>
        <v>29.887324146378401</v>
      </c>
      <c r="C187" s="105">
        <f t="shared" si="5"/>
        <v>-11.320426209483401</v>
      </c>
      <c r="D187" s="105">
        <f t="shared" si="6"/>
        <v>-129.39306366394601</v>
      </c>
    </row>
    <row r="188" spans="1:4">
      <c r="A188" s="105">
        <v>186</v>
      </c>
      <c r="B188" s="105">
        <f t="shared" si="7"/>
        <v>29.806467851365898</v>
      </c>
      <c r="C188" s="105">
        <f t="shared" si="5"/>
        <v>-13.568470606705301</v>
      </c>
      <c r="D188" s="105">
        <f t="shared" si="6"/>
        <v>-129.095374438601</v>
      </c>
    </row>
    <row r="189" spans="1:4">
      <c r="A189" s="105">
        <v>187</v>
      </c>
      <c r="B189" s="105">
        <f t="shared" si="7"/>
        <v>29.694863307282699</v>
      </c>
      <c r="C189" s="105">
        <f t="shared" si="5"/>
        <v>-15.805827834278899</v>
      </c>
      <c r="D189" s="105">
        <f t="shared" si="6"/>
        <v>-128.72813746329101</v>
      </c>
    </row>
    <row r="190" spans="1:4">
      <c r="A190" s="105">
        <v>188</v>
      </c>
      <c r="B190" s="105">
        <f t="shared" si="7"/>
        <v>29.548255172236701</v>
      </c>
      <c r="C190" s="105">
        <f t="shared" si="5"/>
        <v>-18.029632396286001</v>
      </c>
      <c r="D190" s="105">
        <f t="shared" si="6"/>
        <v>-128.287500458251</v>
      </c>
    </row>
    <row r="191" spans="1:4">
      <c r="A191" s="105">
        <v>189</v>
      </c>
      <c r="B191" s="105">
        <f t="shared" si="7"/>
        <v>29.362771611003598</v>
      </c>
      <c r="C191" s="105">
        <f t="shared" si="5"/>
        <v>-20.236795973088899</v>
      </c>
      <c r="D191" s="105">
        <f t="shared" si="6"/>
        <v>-127.77010122726</v>
      </c>
    </row>
    <row r="192" spans="1:4">
      <c r="A192" s="105">
        <v>190</v>
      </c>
      <c r="B192" s="105">
        <f t="shared" si="7"/>
        <v>29.134966715663399</v>
      </c>
      <c r="C192" s="105">
        <f t="shared" si="5"/>
        <v>-22.4240516432547</v>
      </c>
      <c r="D192" s="105">
        <f t="shared" si="6"/>
        <v>-127.173116406559</v>
      </c>
    </row>
    <row r="193" spans="1:4">
      <c r="A193" s="105">
        <v>191</v>
      </c>
      <c r="B193" s="105">
        <f t="shared" si="7"/>
        <v>28.861858259689001</v>
      </c>
      <c r="C193" s="105">
        <f t="shared" si="5"/>
        <v>-24.588001716886001</v>
      </c>
      <c r="D193" s="105">
        <f t="shared" si="6"/>
        <v>-126.494302977291</v>
      </c>
    </row>
    <row r="194" spans="1:4">
      <c r="A194" s="105">
        <v>192</v>
      </c>
      <c r="B194" s="105">
        <f t="shared" si="7"/>
        <v>28.540960371843902</v>
      </c>
      <c r="C194" s="105">
        <f t="shared" si="5"/>
        <v>-26.7251684102486</v>
      </c>
      <c r="D194" s="105">
        <f t="shared" si="6"/>
        <v>-125.732031983738</v>
      </c>
    </row>
    <row r="195" spans="1:4">
      <c r="A195" s="105">
        <v>193</v>
      </c>
      <c r="B195" s="105">
        <f t="shared" si="7"/>
        <v>28.1703107719079</v>
      </c>
      <c r="C195" s="105">
        <f t="shared" ref="C195:C258" si="8">(100+B195)*SIN(A195*PI()/180)</f>
        <v>-28.8320465437215</v>
      </c>
      <c r="D195" s="105">
        <f t="shared" ref="D195:D258" si="9">(100+B195)*COS(A195*PI()/180)</f>
        <v>-124.88531401036801</v>
      </c>
    </row>
    <row r="196" spans="1:4">
      <c r="A196" s="105">
        <v>194</v>
      </c>
      <c r="B196" s="105">
        <f t="shared" si="7"/>
        <v>27.748492269829399</v>
      </c>
      <c r="C196" s="105">
        <f t="shared" si="8"/>
        <v>-30.905157409916601</v>
      </c>
      <c r="D196" s="105">
        <f t="shared" si="9"/>
        <v>-123.95381608761799</v>
      </c>
    </row>
    <row r="197" spans="1:4">
      <c r="A197" s="105">
        <v>195</v>
      </c>
      <c r="B197" s="105">
        <f t="shared" si="7"/>
        <v>27.274648292756901</v>
      </c>
      <c r="C197" s="105">
        <f t="shared" si="8"/>
        <v>-32.941102936890502</v>
      </c>
      <c r="D197" s="105">
        <f t="shared" si="9"/>
        <v>-122.937869817832</v>
      </c>
    </row>
    <row r="198" spans="1:4">
      <c r="A198" s="105">
        <v>196</v>
      </c>
      <c r="B198" s="105">
        <f t="shared" si="7"/>
        <v>26.748492269829399</v>
      </c>
      <c r="C198" s="105">
        <f t="shared" si="8"/>
        <v>-34.936619263047099</v>
      </c>
      <c r="D198" s="105">
        <f t="shared" si="9"/>
        <v>-121.838470636921</v>
      </c>
    </row>
    <row r="199" spans="1:4">
      <c r="A199" s="105">
        <v>197</v>
      </c>
      <c r="B199" s="105">
        <f t="shared" si="7"/>
        <v>26.1703107719079</v>
      </c>
      <c r="C199" s="105">
        <f t="shared" si="8"/>
        <v>-36.888628845780097</v>
      </c>
      <c r="D199" s="105">
        <f t="shared" si="9"/>
        <v>-120.65726825250999</v>
      </c>
    </row>
    <row r="200" spans="1:4">
      <c r="A200" s="105">
        <v>198</v>
      </c>
      <c r="B200" s="105">
        <f t="shared" si="7"/>
        <v>25.540960371843902</v>
      </c>
      <c r="C200" s="105">
        <f t="shared" si="8"/>
        <v>-38.794290245051599</v>
      </c>
      <c r="D200" s="105">
        <f t="shared" si="9"/>
        <v>-119.396548423594</v>
      </c>
    </row>
    <row r="201" spans="1:4">
      <c r="A201" s="105">
        <v>199</v>
      </c>
      <c r="B201" s="105">
        <f t="shared" si="7"/>
        <v>24.861858259689001</v>
      </c>
      <c r="C201" s="105">
        <f t="shared" si="8"/>
        <v>-40.651044755698102</v>
      </c>
      <c r="D201" s="105">
        <f t="shared" si="9"/>
        <v>-118.05920636838501</v>
      </c>
    </row>
    <row r="202" spans="1:4">
      <c r="A202" s="105">
        <v>200</v>
      </c>
      <c r="B202" s="105">
        <f t="shared" si="7"/>
        <v>24.134966715663399</v>
      </c>
      <c r="C202" s="105">
        <f t="shared" si="8"/>
        <v>-42.456659107818297</v>
      </c>
      <c r="D202" s="105">
        <f t="shared" si="9"/>
        <v>-116.648712204213</v>
      </c>
    </row>
    <row r="203" spans="1:4">
      <c r="A203" s="105">
        <v>201</v>
      </c>
      <c r="B203" s="105">
        <f t="shared" si="7"/>
        <v>23.362771611003598</v>
      </c>
      <c r="C203" s="105">
        <f t="shared" si="8"/>
        <v>-44.209263512460602</v>
      </c>
      <c r="D203" s="105">
        <f t="shared" si="9"/>
        <v>-115.16906893447801</v>
      </c>
    </row>
    <row r="204" spans="1:4">
      <c r="A204" s="105">
        <v>202</v>
      </c>
      <c r="B204" s="105">
        <f t="shared" si="7"/>
        <v>22.548255172236701</v>
      </c>
      <c r="C204" s="105">
        <f t="shared" si="8"/>
        <v>-45.907384399135502</v>
      </c>
      <c r="D204" s="105">
        <f t="shared" si="9"/>
        <v>-113.624763601029</v>
      </c>
    </row>
    <row r="205" spans="1:4">
      <c r="A205" s="105">
        <v>203</v>
      </c>
      <c r="B205" s="105">
        <f t="shared" si="7"/>
        <v>21.694863307282699</v>
      </c>
      <c r="C205" s="105">
        <f t="shared" si="8"/>
        <v>-47.549971271402498</v>
      </c>
      <c r="D205" s="105">
        <f t="shared" si="9"/>
        <v>-112.020712314585</v>
      </c>
    </row>
    <row r="206" spans="1:4">
      <c r="A206" s="105">
        <v>204</v>
      </c>
      <c r="B206" s="105">
        <f t="shared" si="7"/>
        <v>20.806467851365898</v>
      </c>
      <c r="C206" s="105">
        <f t="shared" si="8"/>
        <v>-49.1364171957091</v>
      </c>
      <c r="D206" s="105">
        <f t="shared" si="9"/>
        <v>-110.362199959462</v>
      </c>
    </row>
    <row r="207" spans="1:4">
      <c r="A207" s="105">
        <v>205</v>
      </c>
      <c r="B207" s="105">
        <f t="shared" si="7"/>
        <v>19.887324146378401</v>
      </c>
      <c r="C207" s="105">
        <f t="shared" si="8"/>
        <v>-50.666572535486203</v>
      </c>
      <c r="D207" s="105">
        <f t="shared" si="9"/>
        <v>-108.65481544085</v>
      </c>
    </row>
    <row r="208" spans="1:4">
      <c r="A208" s="105">
        <v>206</v>
      </c>
      <c r="B208" s="105">
        <f t="shared" si="7"/>
        <v>18.9420244184635</v>
      </c>
      <c r="C208" s="105">
        <f t="shared" si="8"/>
        <v>-52.140751645736302</v>
      </c>
      <c r="D208" s="105">
        <f t="shared" si="9"/>
        <v>-106.904383402085</v>
      </c>
    </row>
    <row r="209" spans="1:4">
      <c r="A209" s="105">
        <v>207</v>
      </c>
      <c r="B209" s="105">
        <f t="shared" si="7"/>
        <v>17.975447464625201</v>
      </c>
      <c r="C209" s="105">
        <f t="shared" si="8"/>
        <v>-53.559732351461797</v>
      </c>
      <c r="D209" s="105">
        <f t="shared" si="9"/>
        <v>-105.116893385023</v>
      </c>
    </row>
    <row r="210" spans="1:4">
      <c r="A210" s="105">
        <v>208</v>
      </c>
      <c r="B210" s="105">
        <f t="shared" si="7"/>
        <v>16.992705199607201</v>
      </c>
      <c r="C210" s="105">
        <f t="shared" si="8"/>
        <v>-54.9247481446086</v>
      </c>
      <c r="D210" s="105">
        <f t="shared" si="9"/>
        <v>-103.298427438047</v>
      </c>
    </row>
    <row r="211" spans="1:4">
      <c r="A211" s="105">
        <v>209</v>
      </c>
      <c r="B211" s="105">
        <f t="shared" si="7"/>
        <v>15.999086648685401</v>
      </c>
      <c r="C211" s="105">
        <f t="shared" si="8"/>
        <v>-56.2374731470711</v>
      </c>
      <c r="D211" s="105">
        <f t="shared" si="9"/>
        <v>-101.455087193111</v>
      </c>
    </row>
    <row r="212" spans="1:4">
      <c r="A212" s="105">
        <v>210</v>
      </c>
      <c r="B212" s="105">
        <f t="shared" si="7"/>
        <v>15</v>
      </c>
      <c r="C212" s="105">
        <f t="shared" si="8"/>
        <v>-57.5</v>
      </c>
      <c r="D212" s="105">
        <f t="shared" si="9"/>
        <v>-99.5929214352104</v>
      </c>
    </row>
    <row r="213" spans="1:4">
      <c r="A213" s="105">
        <v>211</v>
      </c>
      <c r="B213" s="105">
        <f t="shared" si="7"/>
        <v>14.000913351314599</v>
      </c>
      <c r="C213" s="105">
        <f t="shared" si="8"/>
        <v>-58.714810950448999</v>
      </c>
      <c r="D213" s="105">
        <f t="shared" si="9"/>
        <v>-97.717855174921695</v>
      </c>
    </row>
    <row r="214" spans="1:4">
      <c r="A214" s="105">
        <v>212</v>
      </c>
      <c r="B214" s="105">
        <f t="shared" si="7"/>
        <v>13.007294800392801</v>
      </c>
      <c r="C214" s="105">
        <f t="shared" si="8"/>
        <v>-59.884742513608998</v>
      </c>
      <c r="D214" s="105">
        <f t="shared" si="9"/>
        <v>-95.835621207261099</v>
      </c>
    </row>
    <row r="215" spans="1:4">
      <c r="A215" s="105">
        <v>213</v>
      </c>
      <c r="B215" s="105">
        <f t="shared" si="7"/>
        <v>12.0245525353748</v>
      </c>
      <c r="C215" s="105">
        <f t="shared" si="8"/>
        <v>-61.0129441908567</v>
      </c>
      <c r="D215" s="105">
        <f t="shared" si="9"/>
        <v>-93.951695098674804</v>
      </c>
    </row>
    <row r="216" spans="1:4">
      <c r="A216" s="105">
        <v>214</v>
      </c>
      <c r="B216" s="105">
        <f t="shared" si="7"/>
        <v>11.0579755815365</v>
      </c>
      <c r="C216" s="105">
        <f t="shared" si="8"/>
        <v>-62.102831819022697</v>
      </c>
      <c r="D216" s="105">
        <f t="shared" si="9"/>
        <v>-92.071234488994094</v>
      </c>
    </row>
    <row r="217" spans="1:4">
      <c r="A217" s="105">
        <v>215</v>
      </c>
      <c r="B217" s="105">
        <f t="shared" si="7"/>
        <v>10.112675853621599</v>
      </c>
      <c r="C217" s="105">
        <f t="shared" si="8"/>
        <v>-63.158036213198102</v>
      </c>
      <c r="D217" s="105">
        <f t="shared" si="9"/>
        <v>-90.199023527625201</v>
      </c>
    </row>
    <row r="218" spans="1:4">
      <c r="A218" s="105">
        <v>216</v>
      </c>
      <c r="B218" s="105">
        <f t="shared" si="7"/>
        <v>9.1935321486340804</v>
      </c>
      <c r="C218" s="105">
        <f t="shared" si="8"/>
        <v>-64.1823478426912</v>
      </c>
      <c r="D218" s="105">
        <f t="shared" si="9"/>
        <v>-88.339423184072203</v>
      </c>
    </row>
    <row r="219" spans="1:4">
      <c r="A219" s="105">
        <v>217</v>
      </c>
      <c r="B219" s="105">
        <f t="shared" si="7"/>
        <v>8.3051366927173103</v>
      </c>
      <c r="C219" s="105">
        <f t="shared" si="8"/>
        <v>-65.179658346213401</v>
      </c>
      <c r="D219" s="105">
        <f t="shared" si="9"/>
        <v>-86.496328083330098</v>
      </c>
    </row>
    <row r="220" spans="1:4">
      <c r="A220" s="105">
        <v>218</v>
      </c>
      <c r="B220" s="105">
        <f t="shared" si="7"/>
        <v>7.4517448277632701</v>
      </c>
      <c r="C220" s="105">
        <f t="shared" si="8"/>
        <v>-66.153899746976904</v>
      </c>
      <c r="D220" s="105">
        <f t="shared" si="9"/>
        <v>-84.673130418082906</v>
      </c>
    </row>
    <row r="221" spans="1:4">
      <c r="A221" s="105">
        <v>219</v>
      </c>
      <c r="B221" s="105">
        <f t="shared" si="7"/>
        <v>6.6372283889963697</v>
      </c>
      <c r="C221" s="105">
        <f t="shared" si="8"/>
        <v>-67.108982270234094</v>
      </c>
      <c r="D221" s="105">
        <f t="shared" si="9"/>
        <v>-82.872691383473196</v>
      </c>
    </row>
    <row r="222" spans="1:4">
      <c r="A222" s="105">
        <v>220</v>
      </c>
      <c r="B222" s="105">
        <f t="shared" si="7"/>
        <v>5.86503328433656</v>
      </c>
      <c r="C222" s="105">
        <f t="shared" si="8"/>
        <v>-68.0487316942246</v>
      </c>
      <c r="D222" s="105">
        <f t="shared" si="9"/>
        <v>-81.0973204680717</v>
      </c>
    </row>
    <row r="223" spans="1:4">
      <c r="A223" s="105">
        <v>221</v>
      </c>
      <c r="B223" s="105">
        <f t="shared" si="7"/>
        <v>5.1381417403109699</v>
      </c>
      <c r="C223" s="105">
        <f t="shared" si="8"/>
        <v>-68.976827180014794</v>
      </c>
      <c r="D223" s="105">
        <f t="shared" si="9"/>
        <v>-79.348762818232402</v>
      </c>
    </row>
    <row r="224" spans="1:4">
      <c r="A224" s="105">
        <v>222</v>
      </c>
      <c r="B224" s="105">
        <f t="shared" si="7"/>
        <v>4.4590396281560603</v>
      </c>
      <c r="C224" s="105">
        <f t="shared" si="8"/>
        <v>-69.896740526052099</v>
      </c>
      <c r="D224" s="105">
        <f t="shared" si="9"/>
        <v>-77.628194774002296</v>
      </c>
    </row>
    <row r="225" spans="1:4">
      <c r="A225" s="105">
        <v>223</v>
      </c>
      <c r="B225" s="105">
        <f t="shared" si="7"/>
        <v>3.82968922809212</v>
      </c>
      <c r="C225" s="105">
        <f t="shared" si="8"/>
        <v>-70.811677779357694</v>
      </c>
      <c r="D225" s="105">
        <f t="shared" si="9"/>
        <v>-75.936227554933296</v>
      </c>
    </row>
    <row r="226" spans="1:4">
      <c r="A226" s="105">
        <v>224</v>
      </c>
      <c r="B226" s="105">
        <f t="shared" si="7"/>
        <v>3.2515077301705602</v>
      </c>
      <c r="C226" s="105">
        <f t="shared" si="8"/>
        <v>-71.724524107274803</v>
      </c>
      <c r="D226" s="105">
        <f t="shared" si="9"/>
        <v>-74.272918955285604</v>
      </c>
    </row>
    <row r="227" spans="1:4">
      <c r="A227" s="105">
        <v>225</v>
      </c>
      <c r="B227" s="105">
        <f t="shared" si="7"/>
        <v>2.7253517072431399</v>
      </c>
      <c r="C227" s="105">
        <f t="shared" si="8"/>
        <v>-72.637792791964699</v>
      </c>
      <c r="D227" s="105">
        <f t="shared" si="9"/>
        <v>-72.637792791964699</v>
      </c>
    </row>
    <row r="228" spans="1:4">
      <c r="A228" s="105">
        <v>226</v>
      </c>
      <c r="B228" s="105">
        <f t="shared" si="7"/>
        <v>2.2515077301705499</v>
      </c>
      <c r="C228" s="105">
        <f t="shared" si="8"/>
        <v>-73.553579154946902</v>
      </c>
      <c r="D228" s="105">
        <f t="shared" si="9"/>
        <v>-71.029865736815907</v>
      </c>
    </row>
    <row r="229" spans="1:4">
      <c r="A229" s="105">
        <v>227</v>
      </c>
      <c r="B229" s="105">
        <f t="shared" si="7"/>
        <v>1.82968922809212</v>
      </c>
      <c r="C229" s="105">
        <f t="shared" si="8"/>
        <v>-74.473520151694899</v>
      </c>
      <c r="D229" s="105">
        <f t="shared" si="9"/>
        <v>-69.447681059232707</v>
      </c>
    </row>
    <row r="230" spans="1:4">
      <c r="A230" s="105">
        <v>228</v>
      </c>
      <c r="B230" s="105">
        <f t="shared" si="7"/>
        <v>1.45903962815606</v>
      </c>
      <c r="C230" s="105">
        <f t="shared" si="8"/>
        <v>-75.398760297570007</v>
      </c>
      <c r="D230" s="105">
        <f t="shared" si="9"/>
        <v>-67.889348706975497</v>
      </c>
    </row>
    <row r="231" spans="1:4">
      <c r="A231" s="105">
        <v>229</v>
      </c>
      <c r="B231" s="105">
        <f t="shared" si="7"/>
        <v>1.1381417403109699</v>
      </c>
      <c r="C231" s="105">
        <f t="shared" si="8"/>
        <v>-76.329924497341295</v>
      </c>
      <c r="D231" s="105">
        <f t="shared" si="9"/>
        <v>-66.352591064052703</v>
      </c>
    </row>
    <row r="232" spans="1:4">
      <c r="A232" s="105">
        <v>230</v>
      </c>
      <c r="B232" s="105">
        <f t="shared" si="7"/>
        <v>0.86503328433655802</v>
      </c>
      <c r="C232" s="105">
        <f t="shared" si="8"/>
        <v>-77.267098252476799</v>
      </c>
      <c r="D232" s="105">
        <f t="shared" si="9"/>
        <v>-64.834793645791905</v>
      </c>
    </row>
    <row r="233" spans="1:4">
      <c r="A233" s="105">
        <v>231</v>
      </c>
      <c r="B233" s="105">
        <f t="shared" si="7"/>
        <v>0.63722838899637102</v>
      </c>
      <c r="C233" s="105">
        <f t="shared" si="8"/>
        <v>-78.209815614731397</v>
      </c>
      <c r="D233" s="105">
        <f t="shared" si="9"/>
        <v>-63.333059923934997</v>
      </c>
    </row>
    <row r="234" spans="1:4">
      <c r="A234" s="105">
        <v>232</v>
      </c>
      <c r="B234" s="105">
        <f t="shared" si="7"/>
        <v>0.45174482776326502</v>
      </c>
      <c r="C234" s="105">
        <f t="shared" si="8"/>
        <v>-79.157055142835901</v>
      </c>
      <c r="D234" s="105">
        <f t="shared" si="9"/>
        <v>-61.844269419697298</v>
      </c>
    </row>
    <row r="235" spans="1:4">
      <c r="A235" s="105">
        <v>233</v>
      </c>
      <c r="B235" s="105">
        <f t="shared" si="7"/>
        <v>0.30513669271731603</v>
      </c>
      <c r="C235" s="105">
        <f t="shared" si="8"/>
        <v>-80.107244002951703</v>
      </c>
      <c r="D235" s="105">
        <f t="shared" si="9"/>
        <v>-60.365138160996999</v>
      </c>
    </row>
    <row r="236" spans="1:4">
      <c r="A236" s="105">
        <v>234</v>
      </c>
      <c r="B236" s="105">
        <f t="shared" si="7"/>
        <v>0.193532148634081</v>
      </c>
      <c r="C236" s="105">
        <f t="shared" si="8"/>
        <v>-81.058270234697602</v>
      </c>
      <c r="D236" s="105">
        <f t="shared" si="9"/>
        <v>-58.892280572058901</v>
      </c>
    </row>
    <row r="237" spans="1:4">
      <c r="A237" s="105">
        <v>235</v>
      </c>
      <c r="B237" s="105">
        <f t="shared" si="7"/>
        <v>0.11267585362157299</v>
      </c>
      <c r="C237" s="105">
        <f t="shared" si="8"/>
        <v>-82.007503084735305</v>
      </c>
      <c r="D237" s="105">
        <f t="shared" si="9"/>
        <v>-57.422271849687696</v>
      </c>
    </row>
    <row r="238" spans="1:4">
      <c r="A238" s="105">
        <v>236</v>
      </c>
      <c r="B238" s="105">
        <f t="shared" si="7"/>
        <v>5.79755815364741E-2</v>
      </c>
      <c r="C238" s="105">
        <f t="shared" si="8"/>
        <v>-82.951821190888595</v>
      </c>
      <c r="D238" s="105">
        <f t="shared" si="9"/>
        <v>-55.951709880844497</v>
      </c>
    </row>
    <row r="239" spans="1:4">
      <c r="A239" s="105">
        <v>237</v>
      </c>
      <c r="B239" s="105">
        <f t="shared" si="7"/>
        <v>2.4552535374801499E-2</v>
      </c>
      <c r="C239" s="105">
        <f t="shared" si="8"/>
        <v>-83.887648283329696</v>
      </c>
      <c r="D239" s="105">
        <f t="shared" si="9"/>
        <v>-54.4772757706764</v>
      </c>
    </row>
    <row r="240" spans="1:4">
      <c r="A240" s="105">
        <v>238</v>
      </c>
      <c r="B240" s="105">
        <f t="shared" si="7"/>
        <v>7.2948003927947296E-3</v>
      </c>
      <c r="C240" s="105">
        <f t="shared" si="8"/>
        <v>-84.810995957227505</v>
      </c>
      <c r="D240" s="105">
        <f t="shared" si="9"/>
        <v>-52.995792078577402</v>
      </c>
    </row>
    <row r="241" spans="1:4">
      <c r="A241" s="105">
        <v>239</v>
      </c>
      <c r="B241" s="105">
        <f t="shared" si="7"/>
        <v>9.1335131460198299E-4</v>
      </c>
      <c r="C241" s="105">
        <f t="shared" si="8"/>
        <v>-85.717512965092098</v>
      </c>
      <c r="D241" s="105">
        <f t="shared" si="9"/>
        <v>-51.5042779017082</v>
      </c>
    </row>
    <row r="242" spans="1:4">
      <c r="A242" s="105">
        <v>240</v>
      </c>
      <c r="B242" s="105">
        <f t="shared" si="7"/>
        <v>-5.4101911250405004E-15</v>
      </c>
      <c r="C242" s="105">
        <f t="shared" si="8"/>
        <v>-86.602540378443805</v>
      </c>
      <c r="D242" s="105">
        <f t="shared" si="9"/>
        <v>-50</v>
      </c>
    </row>
    <row r="243" spans="1:4">
      <c r="A243" s="105">
        <v>241</v>
      </c>
      <c r="B243" s="105">
        <v>0</v>
      </c>
      <c r="C243" s="105">
        <f t="shared" si="8"/>
        <v>-87.461970713939607</v>
      </c>
      <c r="D243" s="105">
        <f t="shared" si="9"/>
        <v>-48.480962024633698</v>
      </c>
    </row>
    <row r="244" spans="1:4">
      <c r="A244" s="105">
        <v>242</v>
      </c>
      <c r="B244" s="105">
        <v>0</v>
      </c>
      <c r="C244" s="105">
        <f t="shared" si="8"/>
        <v>-88.294759285892695</v>
      </c>
      <c r="D244" s="105">
        <f t="shared" si="9"/>
        <v>-46.947156278589098</v>
      </c>
    </row>
    <row r="245" spans="1:4">
      <c r="A245" s="105">
        <v>243</v>
      </c>
      <c r="B245" s="105">
        <v>0</v>
      </c>
      <c r="C245" s="105">
        <f t="shared" si="8"/>
        <v>-89.100652418836802</v>
      </c>
      <c r="D245" s="105">
        <f t="shared" si="9"/>
        <v>-45.399049973954703</v>
      </c>
    </row>
    <row r="246" spans="1:4">
      <c r="A246" s="105">
        <v>244</v>
      </c>
      <c r="B246" s="105">
        <v>0</v>
      </c>
      <c r="C246" s="105">
        <f t="shared" si="8"/>
        <v>-89.879404629916706</v>
      </c>
      <c r="D246" s="105">
        <f t="shared" si="9"/>
        <v>-43.837114678907803</v>
      </c>
    </row>
    <row r="247" spans="1:4">
      <c r="A247" s="105">
        <v>245</v>
      </c>
      <c r="B247" s="105">
        <v>0</v>
      </c>
      <c r="C247" s="105">
        <f t="shared" si="8"/>
        <v>-90.630778703665001</v>
      </c>
      <c r="D247" s="105">
        <f t="shared" si="9"/>
        <v>-42.261826174070002</v>
      </c>
    </row>
    <row r="248" spans="1:4">
      <c r="A248" s="105">
        <v>246</v>
      </c>
      <c r="B248" s="105">
        <v>0</v>
      </c>
      <c r="C248" s="105">
        <f t="shared" si="8"/>
        <v>-91.354545764260095</v>
      </c>
      <c r="D248" s="105">
        <f t="shared" si="9"/>
        <v>-40.673664307579998</v>
      </c>
    </row>
    <row r="249" spans="1:4">
      <c r="A249" s="105">
        <v>247</v>
      </c>
      <c r="B249" s="105">
        <v>0</v>
      </c>
      <c r="C249" s="105">
        <f t="shared" si="8"/>
        <v>-92.050485345243999</v>
      </c>
      <c r="D249" s="105">
        <f t="shared" si="9"/>
        <v>-39.073112848927401</v>
      </c>
    </row>
    <row r="250" spans="1:4">
      <c r="A250" s="105">
        <v>248</v>
      </c>
      <c r="B250" s="105">
        <v>0</v>
      </c>
      <c r="C250" s="105">
        <f t="shared" si="8"/>
        <v>-92.718385456678703</v>
      </c>
      <c r="D250" s="105">
        <f t="shared" si="9"/>
        <v>-37.460659341591203</v>
      </c>
    </row>
    <row r="251" spans="1:4">
      <c r="A251" s="105">
        <v>249</v>
      </c>
      <c r="B251" s="105">
        <v>0</v>
      </c>
      <c r="C251" s="105">
        <f t="shared" si="8"/>
        <v>-93.358042649720204</v>
      </c>
      <c r="D251" s="105">
        <f t="shared" si="9"/>
        <v>-35.836794954530099</v>
      </c>
    </row>
    <row r="252" spans="1:4">
      <c r="A252" s="105">
        <v>250</v>
      </c>
      <c r="B252" s="105">
        <v>0</v>
      </c>
      <c r="C252" s="105">
        <f t="shared" si="8"/>
        <v>-93.969262078590802</v>
      </c>
      <c r="D252" s="105">
        <f t="shared" si="9"/>
        <v>-34.202014332566897</v>
      </c>
    </row>
    <row r="253" spans="1:4">
      <c r="A253" s="105">
        <v>251</v>
      </c>
      <c r="B253" s="105">
        <v>0</v>
      </c>
      <c r="C253" s="105">
        <f t="shared" si="8"/>
        <v>-94.551857559931705</v>
      </c>
      <c r="D253" s="105">
        <f t="shared" si="9"/>
        <v>-32.556815445715699</v>
      </c>
    </row>
    <row r="254" spans="1:4">
      <c r="A254" s="105">
        <v>252</v>
      </c>
      <c r="B254" s="105">
        <v>0</v>
      </c>
      <c r="C254" s="105">
        <f t="shared" si="8"/>
        <v>-95.105651629515293</v>
      </c>
      <c r="D254" s="105">
        <f t="shared" si="9"/>
        <v>-30.901699437494798</v>
      </c>
    </row>
    <row r="255" spans="1:4">
      <c r="A255" s="105">
        <v>253</v>
      </c>
      <c r="B255" s="105">
        <v>0</v>
      </c>
      <c r="C255" s="105">
        <f t="shared" si="8"/>
        <v>-95.630475596303498</v>
      </c>
      <c r="D255" s="105">
        <f t="shared" si="9"/>
        <v>-29.2371704722737</v>
      </c>
    </row>
    <row r="256" spans="1:4">
      <c r="A256" s="105">
        <v>254</v>
      </c>
      <c r="B256" s="105">
        <v>0</v>
      </c>
      <c r="C256" s="105">
        <f t="shared" si="8"/>
        <v>-96.126169593831904</v>
      </c>
      <c r="D256" s="105">
        <f t="shared" si="9"/>
        <v>-27.563735581699898</v>
      </c>
    </row>
    <row r="257" spans="1:4">
      <c r="A257" s="105">
        <v>255</v>
      </c>
      <c r="B257" s="105">
        <v>0</v>
      </c>
      <c r="C257" s="105">
        <f t="shared" si="8"/>
        <v>-96.592582628906797</v>
      </c>
      <c r="D257" s="105">
        <f t="shared" si="9"/>
        <v>-25.881904510252099</v>
      </c>
    </row>
    <row r="258" spans="1:4">
      <c r="A258" s="105">
        <v>256</v>
      </c>
      <c r="B258" s="105">
        <v>0</v>
      </c>
      <c r="C258" s="105">
        <f t="shared" si="8"/>
        <v>-97.029572627599606</v>
      </c>
      <c r="D258" s="105">
        <f t="shared" si="9"/>
        <v>-24.192189559966799</v>
      </c>
    </row>
    <row r="259" spans="1:4">
      <c r="A259" s="105">
        <v>257</v>
      </c>
      <c r="B259" s="105">
        <v>0</v>
      </c>
      <c r="C259" s="105">
        <f t="shared" ref="C259:C322" si="10">(100+B259)*SIN(A259*PI()/180)</f>
        <v>-97.4370064785235</v>
      </c>
      <c r="D259" s="105">
        <f t="shared" ref="D259:D322" si="11">(100+B259)*COS(A259*PI()/180)</f>
        <v>-22.495105434386499</v>
      </c>
    </row>
    <row r="260" spans="1:4">
      <c r="A260" s="105">
        <v>258</v>
      </c>
      <c r="B260" s="105">
        <v>0</v>
      </c>
      <c r="C260" s="105">
        <f t="shared" si="10"/>
        <v>-97.814760073380597</v>
      </c>
      <c r="D260" s="105">
        <f t="shared" si="11"/>
        <v>-20.791169081776001</v>
      </c>
    </row>
    <row r="261" spans="1:4">
      <c r="A261" s="105">
        <v>259</v>
      </c>
      <c r="B261" s="105">
        <v>0</v>
      </c>
      <c r="C261" s="105">
        <f t="shared" si="10"/>
        <v>-98.162718344766404</v>
      </c>
      <c r="D261" s="105">
        <f t="shared" si="11"/>
        <v>-19.080899537654499</v>
      </c>
    </row>
    <row r="262" spans="1:4">
      <c r="A262" s="105">
        <v>260</v>
      </c>
      <c r="B262" s="105">
        <v>0</v>
      </c>
      <c r="C262" s="105">
        <f t="shared" si="10"/>
        <v>-98.480775301220802</v>
      </c>
      <c r="D262" s="105">
        <f t="shared" si="11"/>
        <v>-17.364817766693001</v>
      </c>
    </row>
    <row r="263" spans="1:4">
      <c r="A263" s="105">
        <v>261</v>
      </c>
      <c r="B263" s="105">
        <v>0</v>
      </c>
      <c r="C263" s="105">
        <f t="shared" si="10"/>
        <v>-98.768834059513793</v>
      </c>
      <c r="D263" s="105">
        <f t="shared" si="11"/>
        <v>-15.6434465040231</v>
      </c>
    </row>
    <row r="264" spans="1:4">
      <c r="A264" s="105">
        <v>262</v>
      </c>
      <c r="B264" s="105">
        <v>0</v>
      </c>
      <c r="C264" s="105">
        <f t="shared" si="10"/>
        <v>-99.026806874157003</v>
      </c>
      <c r="D264" s="105">
        <f t="shared" si="11"/>
        <v>-13.917310096006499</v>
      </c>
    </row>
    <row r="265" spans="1:4">
      <c r="A265" s="105">
        <v>263</v>
      </c>
      <c r="B265" s="105">
        <v>0</v>
      </c>
      <c r="C265" s="105">
        <f t="shared" si="10"/>
        <v>-99.254615164132204</v>
      </c>
      <c r="D265" s="105">
        <f t="shared" si="11"/>
        <v>-12.1869343405147</v>
      </c>
    </row>
    <row r="266" spans="1:4">
      <c r="A266" s="105">
        <v>264</v>
      </c>
      <c r="B266" s="105">
        <v>0</v>
      </c>
      <c r="C266" s="105">
        <f t="shared" si="10"/>
        <v>-99.452189536827305</v>
      </c>
      <c r="D266" s="105">
        <f t="shared" si="11"/>
        <v>-10.4528463267653</v>
      </c>
    </row>
    <row r="267" spans="1:4">
      <c r="A267" s="105">
        <v>265</v>
      </c>
      <c r="B267" s="105">
        <v>0</v>
      </c>
      <c r="C267" s="105">
        <f t="shared" si="10"/>
        <v>-99.619469809174603</v>
      </c>
      <c r="D267" s="105">
        <f t="shared" si="11"/>
        <v>-8.7155742747658191</v>
      </c>
    </row>
    <row r="268" spans="1:4">
      <c r="A268" s="105">
        <v>266</v>
      </c>
      <c r="B268" s="105">
        <v>0</v>
      </c>
      <c r="C268" s="105">
        <f t="shared" si="10"/>
        <v>-99.756405025982403</v>
      </c>
      <c r="D268" s="105">
        <f t="shared" si="11"/>
        <v>-6.97564737441256</v>
      </c>
    </row>
    <row r="269" spans="1:4">
      <c r="A269" s="105">
        <v>267</v>
      </c>
      <c r="B269" s="105">
        <v>0</v>
      </c>
      <c r="C269" s="105">
        <f t="shared" si="10"/>
        <v>-99.862953475457402</v>
      </c>
      <c r="D269" s="105">
        <f t="shared" si="11"/>
        <v>-5.2335956242944297</v>
      </c>
    </row>
    <row r="270" spans="1:4">
      <c r="A270" s="105">
        <v>268</v>
      </c>
      <c r="B270" s="105">
        <v>0</v>
      </c>
      <c r="C270" s="105">
        <f t="shared" si="10"/>
        <v>-99.939082701909598</v>
      </c>
      <c r="D270" s="105">
        <f t="shared" si="11"/>
        <v>-3.48994967025016</v>
      </c>
    </row>
    <row r="271" spans="1:4">
      <c r="A271" s="105">
        <v>269</v>
      </c>
      <c r="B271" s="105">
        <v>0</v>
      </c>
      <c r="C271" s="105">
        <f t="shared" si="10"/>
        <v>-99.984769515639101</v>
      </c>
      <c r="D271" s="105">
        <f t="shared" si="11"/>
        <v>-1.7452406437283501</v>
      </c>
    </row>
    <row r="272" spans="1:4">
      <c r="A272" s="105">
        <v>270</v>
      </c>
      <c r="B272" s="105">
        <v>0</v>
      </c>
      <c r="C272" s="105">
        <f t="shared" si="10"/>
        <v>-100</v>
      </c>
      <c r="D272" s="105">
        <f t="shared" si="11"/>
        <v>-1.8369701987210301E-14</v>
      </c>
    </row>
    <row r="273" spans="1:4">
      <c r="A273" s="105">
        <v>271</v>
      </c>
      <c r="B273" s="105">
        <v>0</v>
      </c>
      <c r="C273" s="105">
        <f t="shared" si="10"/>
        <v>-99.984769515639101</v>
      </c>
      <c r="D273" s="105">
        <f t="shared" si="11"/>
        <v>1.7452406437283099</v>
      </c>
    </row>
    <row r="274" spans="1:4">
      <c r="A274" s="105">
        <v>272</v>
      </c>
      <c r="B274" s="105">
        <v>0</v>
      </c>
      <c r="C274" s="105">
        <f t="shared" si="10"/>
        <v>-99.939082701909598</v>
      </c>
      <c r="D274" s="105">
        <f t="shared" si="11"/>
        <v>3.4899496702501298</v>
      </c>
    </row>
    <row r="275" spans="1:4">
      <c r="A275" s="105">
        <v>273</v>
      </c>
      <c r="B275" s="105">
        <v>0</v>
      </c>
      <c r="C275" s="105">
        <f t="shared" si="10"/>
        <v>-99.862953475457402</v>
      </c>
      <c r="D275" s="105">
        <f t="shared" si="11"/>
        <v>5.2335956242943897</v>
      </c>
    </row>
    <row r="276" spans="1:4">
      <c r="A276" s="105">
        <v>274</v>
      </c>
      <c r="B276" s="105">
        <v>0</v>
      </c>
      <c r="C276" s="105">
        <f t="shared" si="10"/>
        <v>-99.756405025982403</v>
      </c>
      <c r="D276" s="105">
        <f t="shared" si="11"/>
        <v>6.97564737441252</v>
      </c>
    </row>
    <row r="277" spans="1:4">
      <c r="A277" s="105">
        <v>275</v>
      </c>
      <c r="B277" s="105">
        <v>0</v>
      </c>
      <c r="C277" s="105">
        <f t="shared" si="10"/>
        <v>-99.619469809174603</v>
      </c>
      <c r="D277" s="105">
        <f t="shared" si="11"/>
        <v>8.7155742747657907</v>
      </c>
    </row>
    <row r="278" spans="1:4">
      <c r="A278" s="105">
        <v>276</v>
      </c>
      <c r="B278" s="105">
        <v>0</v>
      </c>
      <c r="C278" s="105">
        <f t="shared" si="10"/>
        <v>-99.452189536827305</v>
      </c>
      <c r="D278" s="105">
        <f t="shared" si="11"/>
        <v>10.4528463267653</v>
      </c>
    </row>
    <row r="279" spans="1:4">
      <c r="A279" s="105">
        <v>277</v>
      </c>
      <c r="B279" s="105">
        <v>0</v>
      </c>
      <c r="C279" s="105">
        <f t="shared" si="10"/>
        <v>-99.254615164132204</v>
      </c>
      <c r="D279" s="105">
        <f t="shared" si="11"/>
        <v>12.186934340514799</v>
      </c>
    </row>
    <row r="280" spans="1:4">
      <c r="A280" s="105">
        <v>278</v>
      </c>
      <c r="B280" s="105">
        <v>0</v>
      </c>
      <c r="C280" s="105">
        <f t="shared" si="10"/>
        <v>-99.026806874157003</v>
      </c>
      <c r="D280" s="105">
        <f t="shared" si="11"/>
        <v>13.917310096006499</v>
      </c>
    </row>
    <row r="281" spans="1:4">
      <c r="A281" s="105">
        <v>279</v>
      </c>
      <c r="B281" s="105">
        <v>0</v>
      </c>
      <c r="C281" s="105">
        <f t="shared" si="10"/>
        <v>-98.768834059513793</v>
      </c>
      <c r="D281" s="105">
        <f t="shared" si="11"/>
        <v>15.6434465040231</v>
      </c>
    </row>
    <row r="282" spans="1:4">
      <c r="A282" s="105">
        <v>280</v>
      </c>
      <c r="B282" s="105">
        <v>0</v>
      </c>
      <c r="C282" s="105">
        <f t="shared" si="10"/>
        <v>-98.480775301220802</v>
      </c>
      <c r="D282" s="105">
        <f t="shared" si="11"/>
        <v>17.364817766693001</v>
      </c>
    </row>
    <row r="283" spans="1:4">
      <c r="A283" s="105">
        <v>281</v>
      </c>
      <c r="B283" s="105">
        <v>0</v>
      </c>
      <c r="C283" s="105">
        <f t="shared" si="10"/>
        <v>-98.162718344766404</v>
      </c>
      <c r="D283" s="105">
        <f t="shared" si="11"/>
        <v>19.0808995376544</v>
      </c>
    </row>
    <row r="284" spans="1:4">
      <c r="A284" s="105">
        <v>282</v>
      </c>
      <c r="B284" s="105">
        <v>0</v>
      </c>
      <c r="C284" s="105">
        <f t="shared" si="10"/>
        <v>-97.814760073380597</v>
      </c>
      <c r="D284" s="105">
        <f t="shared" si="11"/>
        <v>20.791169081775902</v>
      </c>
    </row>
    <row r="285" spans="1:4">
      <c r="A285" s="105">
        <v>283</v>
      </c>
      <c r="B285" s="105">
        <v>0</v>
      </c>
      <c r="C285" s="105">
        <f t="shared" si="10"/>
        <v>-97.4370064785235</v>
      </c>
      <c r="D285" s="105">
        <f t="shared" si="11"/>
        <v>22.495105434386499</v>
      </c>
    </row>
    <row r="286" spans="1:4">
      <c r="A286" s="105">
        <v>284</v>
      </c>
      <c r="B286" s="105">
        <v>0</v>
      </c>
      <c r="C286" s="105">
        <f t="shared" si="10"/>
        <v>-97.029572627599705</v>
      </c>
      <c r="D286" s="105">
        <f t="shared" si="11"/>
        <v>24.1921895599667</v>
      </c>
    </row>
    <row r="287" spans="1:4">
      <c r="A287" s="105">
        <v>285</v>
      </c>
      <c r="B287" s="105">
        <v>0</v>
      </c>
      <c r="C287" s="105">
        <f t="shared" si="10"/>
        <v>-96.592582628906797</v>
      </c>
      <c r="D287" s="105">
        <f t="shared" si="11"/>
        <v>25.881904510252099</v>
      </c>
    </row>
    <row r="288" spans="1:4">
      <c r="A288" s="105">
        <v>286</v>
      </c>
      <c r="B288" s="105">
        <v>0</v>
      </c>
      <c r="C288" s="105">
        <f t="shared" si="10"/>
        <v>-96.126169593831904</v>
      </c>
      <c r="D288" s="105">
        <f t="shared" si="11"/>
        <v>27.563735581699898</v>
      </c>
    </row>
    <row r="289" spans="1:4">
      <c r="A289" s="105">
        <v>287</v>
      </c>
      <c r="B289" s="105">
        <v>0</v>
      </c>
      <c r="C289" s="105">
        <f t="shared" si="10"/>
        <v>-95.630475596303498</v>
      </c>
      <c r="D289" s="105">
        <f t="shared" si="11"/>
        <v>29.2371704722737</v>
      </c>
    </row>
    <row r="290" spans="1:4">
      <c r="A290" s="105">
        <v>288</v>
      </c>
      <c r="B290" s="105">
        <v>0</v>
      </c>
      <c r="C290" s="105">
        <f t="shared" si="10"/>
        <v>-95.105651629515407</v>
      </c>
      <c r="D290" s="105">
        <f t="shared" si="11"/>
        <v>30.901699437494699</v>
      </c>
    </row>
    <row r="291" spans="1:4">
      <c r="A291" s="105">
        <v>289</v>
      </c>
      <c r="B291" s="105">
        <v>0</v>
      </c>
      <c r="C291" s="105">
        <f t="shared" si="10"/>
        <v>-94.551857559931705</v>
      </c>
      <c r="D291" s="105">
        <f t="shared" si="11"/>
        <v>32.5568154457156</v>
      </c>
    </row>
    <row r="292" spans="1:4">
      <c r="A292" s="105">
        <v>290</v>
      </c>
      <c r="B292" s="105">
        <v>0</v>
      </c>
      <c r="C292" s="105">
        <f t="shared" si="10"/>
        <v>-93.969262078590901</v>
      </c>
      <c r="D292" s="105">
        <f t="shared" si="11"/>
        <v>34.202014332566797</v>
      </c>
    </row>
    <row r="293" spans="1:4">
      <c r="A293" s="105">
        <v>291</v>
      </c>
      <c r="B293" s="105">
        <v>0</v>
      </c>
      <c r="C293" s="105">
        <f t="shared" si="10"/>
        <v>-93.358042649720204</v>
      </c>
      <c r="D293" s="105">
        <f t="shared" si="11"/>
        <v>35.836794954529999</v>
      </c>
    </row>
    <row r="294" spans="1:4">
      <c r="A294" s="105">
        <v>292</v>
      </c>
      <c r="B294" s="105">
        <v>0</v>
      </c>
      <c r="C294" s="105">
        <f t="shared" si="10"/>
        <v>-92.718385456678703</v>
      </c>
      <c r="D294" s="105">
        <f t="shared" si="11"/>
        <v>37.460659341591203</v>
      </c>
    </row>
    <row r="295" spans="1:4">
      <c r="A295" s="105">
        <v>293</v>
      </c>
      <c r="B295" s="105">
        <v>0</v>
      </c>
      <c r="C295" s="105">
        <f t="shared" si="10"/>
        <v>-92.050485345244098</v>
      </c>
      <c r="D295" s="105">
        <f t="shared" si="11"/>
        <v>39.073112848927401</v>
      </c>
    </row>
    <row r="296" spans="1:4">
      <c r="A296" s="105">
        <v>294</v>
      </c>
      <c r="B296" s="105">
        <v>0</v>
      </c>
      <c r="C296" s="105">
        <f t="shared" si="10"/>
        <v>-91.354545764260095</v>
      </c>
      <c r="D296" s="105">
        <f t="shared" si="11"/>
        <v>40.673664307580097</v>
      </c>
    </row>
    <row r="297" spans="1:4">
      <c r="A297" s="105">
        <v>295</v>
      </c>
      <c r="B297" s="105">
        <v>0</v>
      </c>
      <c r="C297" s="105">
        <f t="shared" si="10"/>
        <v>-90.630778703665001</v>
      </c>
      <c r="D297" s="105">
        <f t="shared" si="11"/>
        <v>42.261826174070002</v>
      </c>
    </row>
    <row r="298" spans="1:4">
      <c r="A298" s="105">
        <v>296</v>
      </c>
      <c r="B298" s="105">
        <v>0</v>
      </c>
      <c r="C298" s="105">
        <f t="shared" si="10"/>
        <v>-89.879404629916706</v>
      </c>
      <c r="D298" s="105">
        <f t="shared" si="11"/>
        <v>43.837114678907703</v>
      </c>
    </row>
    <row r="299" spans="1:4">
      <c r="A299" s="105">
        <v>297</v>
      </c>
      <c r="B299" s="105">
        <v>0</v>
      </c>
      <c r="C299" s="105">
        <f t="shared" si="10"/>
        <v>-89.100652418836802</v>
      </c>
      <c r="D299" s="105">
        <f t="shared" si="11"/>
        <v>45.399049973954703</v>
      </c>
    </row>
    <row r="300" spans="1:4">
      <c r="A300" s="105">
        <v>298</v>
      </c>
      <c r="B300" s="105">
        <v>0</v>
      </c>
      <c r="C300" s="105">
        <f t="shared" si="10"/>
        <v>-88.294759285892695</v>
      </c>
      <c r="D300" s="105">
        <f t="shared" si="11"/>
        <v>46.947156278588999</v>
      </c>
    </row>
    <row r="301" spans="1:4">
      <c r="A301" s="105">
        <v>299</v>
      </c>
      <c r="B301" s="105">
        <v>0</v>
      </c>
      <c r="C301" s="105">
        <f t="shared" si="10"/>
        <v>-87.461970713939607</v>
      </c>
      <c r="D301" s="105">
        <f t="shared" si="11"/>
        <v>48.480962024633598</v>
      </c>
    </row>
    <row r="302" spans="1:4">
      <c r="A302" s="105">
        <v>300</v>
      </c>
      <c r="B302" s="105">
        <v>0</v>
      </c>
      <c r="C302" s="105">
        <f t="shared" si="10"/>
        <v>-86.602540378443905</v>
      </c>
      <c r="D302" s="105">
        <f t="shared" si="11"/>
        <v>50</v>
      </c>
    </row>
    <row r="303" spans="1:4">
      <c r="A303" s="105">
        <v>301</v>
      </c>
      <c r="B303" s="105">
        <v>0</v>
      </c>
      <c r="C303" s="105">
        <f t="shared" si="10"/>
        <v>-85.716730070211199</v>
      </c>
      <c r="D303" s="105">
        <f t="shared" si="11"/>
        <v>51.503807491005396</v>
      </c>
    </row>
    <row r="304" spans="1:4">
      <c r="A304" s="105">
        <v>302</v>
      </c>
      <c r="B304" s="105">
        <v>0</v>
      </c>
      <c r="C304" s="105">
        <f t="shared" si="10"/>
        <v>-84.804809615642597</v>
      </c>
      <c r="D304" s="105">
        <f t="shared" si="11"/>
        <v>52.9919264233205</v>
      </c>
    </row>
    <row r="305" spans="1:4">
      <c r="A305" s="105">
        <v>303</v>
      </c>
      <c r="B305" s="105">
        <v>0</v>
      </c>
      <c r="C305" s="105">
        <f t="shared" si="10"/>
        <v>-83.867056794542407</v>
      </c>
      <c r="D305" s="105">
        <f t="shared" si="11"/>
        <v>54.463903501502699</v>
      </c>
    </row>
    <row r="306" spans="1:4">
      <c r="A306" s="105">
        <v>304</v>
      </c>
      <c r="B306" s="105">
        <v>0</v>
      </c>
      <c r="C306" s="105">
        <f t="shared" si="10"/>
        <v>-82.903757255504203</v>
      </c>
      <c r="D306" s="105">
        <f t="shared" si="11"/>
        <v>55.9192903470746</v>
      </c>
    </row>
    <row r="307" spans="1:4">
      <c r="A307" s="105">
        <v>305</v>
      </c>
      <c r="B307" s="105">
        <v>0</v>
      </c>
      <c r="C307" s="105">
        <f t="shared" si="10"/>
        <v>-81.915204428899202</v>
      </c>
      <c r="D307" s="105">
        <f t="shared" si="11"/>
        <v>57.357643635104601</v>
      </c>
    </row>
    <row r="308" spans="1:4">
      <c r="A308" s="105">
        <v>306</v>
      </c>
      <c r="B308" s="105">
        <v>0</v>
      </c>
      <c r="C308" s="105">
        <f t="shared" si="10"/>
        <v>-80.901699437494798</v>
      </c>
      <c r="D308" s="105">
        <f t="shared" si="11"/>
        <v>58.7785252292473</v>
      </c>
    </row>
    <row r="309" spans="1:4">
      <c r="A309" s="105">
        <v>307</v>
      </c>
      <c r="B309" s="105">
        <v>0</v>
      </c>
      <c r="C309" s="105">
        <f t="shared" si="10"/>
        <v>-79.863551004729302</v>
      </c>
      <c r="D309" s="105">
        <f t="shared" si="11"/>
        <v>60.181502315204803</v>
      </c>
    </row>
    <row r="310" spans="1:4">
      <c r="A310" s="105">
        <v>308</v>
      </c>
      <c r="B310" s="105">
        <v>0</v>
      </c>
      <c r="C310" s="105">
        <f t="shared" si="10"/>
        <v>-78.801075360672201</v>
      </c>
      <c r="D310" s="105">
        <f t="shared" si="11"/>
        <v>61.5661475325659</v>
      </c>
    </row>
    <row r="311" spans="1:4">
      <c r="A311" s="105">
        <v>309</v>
      </c>
      <c r="B311" s="105">
        <v>0</v>
      </c>
      <c r="C311" s="105">
        <f t="shared" si="10"/>
        <v>-77.714596145697101</v>
      </c>
      <c r="D311" s="105">
        <f t="shared" si="11"/>
        <v>62.932039104983801</v>
      </c>
    </row>
    <row r="312" spans="1:4">
      <c r="A312" s="105">
        <v>310</v>
      </c>
      <c r="B312" s="105">
        <v>0</v>
      </c>
      <c r="C312" s="105">
        <f t="shared" si="10"/>
        <v>-76.604444311897794</v>
      </c>
      <c r="D312" s="105">
        <f t="shared" si="11"/>
        <v>64.278760968653899</v>
      </c>
    </row>
    <row r="313" spans="1:4">
      <c r="A313" s="105">
        <v>311</v>
      </c>
      <c r="B313" s="105">
        <v>0</v>
      </c>
      <c r="C313" s="105">
        <f t="shared" si="10"/>
        <v>-75.470958022277202</v>
      </c>
      <c r="D313" s="105">
        <f t="shared" si="11"/>
        <v>65.605902899050704</v>
      </c>
    </row>
    <row r="314" spans="1:4">
      <c r="A314" s="105">
        <v>312</v>
      </c>
      <c r="B314" s="105">
        <v>0</v>
      </c>
      <c r="C314" s="105">
        <f t="shared" si="10"/>
        <v>-74.314482547739502</v>
      </c>
      <c r="D314" s="105">
        <f t="shared" si="11"/>
        <v>66.913060635885799</v>
      </c>
    </row>
    <row r="315" spans="1:4">
      <c r="A315" s="105">
        <v>313</v>
      </c>
      <c r="B315" s="105">
        <v>0</v>
      </c>
      <c r="C315" s="105">
        <f t="shared" si="10"/>
        <v>-73.135370161917095</v>
      </c>
      <c r="D315" s="105">
        <f t="shared" si="11"/>
        <v>68.199836006249797</v>
      </c>
    </row>
    <row r="316" spans="1:4">
      <c r="A316" s="105">
        <v>314</v>
      </c>
      <c r="B316" s="105">
        <v>0</v>
      </c>
      <c r="C316" s="105">
        <f t="shared" si="10"/>
        <v>-71.933980033865197</v>
      </c>
      <c r="D316" s="105">
        <f t="shared" si="11"/>
        <v>69.465837045899704</v>
      </c>
    </row>
    <row r="317" spans="1:4">
      <c r="A317" s="105">
        <v>315</v>
      </c>
      <c r="B317" s="105">
        <v>0</v>
      </c>
      <c r="C317" s="105">
        <f t="shared" si="10"/>
        <v>-70.710678118654798</v>
      </c>
      <c r="D317" s="105">
        <f t="shared" si="11"/>
        <v>70.710678118654698</v>
      </c>
    </row>
    <row r="318" spans="1:4">
      <c r="A318" s="105">
        <v>316</v>
      </c>
      <c r="B318" s="105">
        <v>0</v>
      </c>
      <c r="C318" s="105">
        <f t="shared" si="10"/>
        <v>-69.465837045899804</v>
      </c>
      <c r="D318" s="105">
        <f t="shared" si="11"/>
        <v>71.933980033865097</v>
      </c>
    </row>
    <row r="319" spans="1:4">
      <c r="A319" s="105">
        <v>317</v>
      </c>
      <c r="B319" s="105">
        <v>0</v>
      </c>
      <c r="C319" s="105">
        <f t="shared" si="10"/>
        <v>-68.199836006249797</v>
      </c>
      <c r="D319" s="105">
        <f t="shared" si="11"/>
        <v>73.135370161917095</v>
      </c>
    </row>
    <row r="320" spans="1:4">
      <c r="A320" s="105">
        <v>318</v>
      </c>
      <c r="B320" s="105">
        <v>0</v>
      </c>
      <c r="C320" s="105">
        <f t="shared" si="10"/>
        <v>-66.913060635885799</v>
      </c>
      <c r="D320" s="105">
        <f t="shared" si="11"/>
        <v>74.314482547739402</v>
      </c>
    </row>
    <row r="321" spans="1:4">
      <c r="A321" s="105">
        <v>319</v>
      </c>
      <c r="B321" s="105">
        <v>0</v>
      </c>
      <c r="C321" s="105">
        <f t="shared" si="10"/>
        <v>-65.605902899050704</v>
      </c>
      <c r="D321" s="105">
        <f t="shared" si="11"/>
        <v>75.470958022277202</v>
      </c>
    </row>
    <row r="322" spans="1:4">
      <c r="A322" s="105">
        <v>320</v>
      </c>
      <c r="B322" s="105">
        <v>0</v>
      </c>
      <c r="C322" s="105">
        <f t="shared" si="10"/>
        <v>-64.278760968653998</v>
      </c>
      <c r="D322" s="105">
        <f t="shared" si="11"/>
        <v>76.604444311897794</v>
      </c>
    </row>
    <row r="323" spans="1:4">
      <c r="A323" s="105">
        <v>321</v>
      </c>
      <c r="B323" s="105">
        <v>0</v>
      </c>
      <c r="C323" s="105">
        <f t="shared" ref="C323:C362" si="12">(100+B323)*SIN(A323*PI()/180)</f>
        <v>-62.932039104983801</v>
      </c>
      <c r="D323" s="105">
        <f t="shared" ref="D323:D362" si="13">(100+B323)*COS(A323*PI()/180)</f>
        <v>77.714596145697101</v>
      </c>
    </row>
    <row r="324" spans="1:4">
      <c r="A324" s="105">
        <v>322</v>
      </c>
      <c r="B324" s="105">
        <v>0</v>
      </c>
      <c r="C324" s="105">
        <f t="shared" si="12"/>
        <v>-61.5661475325659</v>
      </c>
      <c r="D324" s="105">
        <f t="shared" si="13"/>
        <v>78.801075360672201</v>
      </c>
    </row>
    <row r="325" spans="1:4">
      <c r="A325" s="105">
        <v>323</v>
      </c>
      <c r="B325" s="105">
        <v>0</v>
      </c>
      <c r="C325" s="105">
        <f t="shared" si="12"/>
        <v>-60.181502315204803</v>
      </c>
      <c r="D325" s="105">
        <f t="shared" si="13"/>
        <v>79.863551004729302</v>
      </c>
    </row>
    <row r="326" spans="1:4">
      <c r="A326" s="105">
        <v>324</v>
      </c>
      <c r="B326" s="105">
        <v>0</v>
      </c>
      <c r="C326" s="105">
        <f t="shared" si="12"/>
        <v>-58.7785252292473</v>
      </c>
      <c r="D326" s="105">
        <f t="shared" si="13"/>
        <v>80.901699437494699</v>
      </c>
    </row>
    <row r="327" spans="1:4">
      <c r="A327" s="105">
        <v>325</v>
      </c>
      <c r="B327" s="105">
        <v>0</v>
      </c>
      <c r="C327" s="105">
        <f t="shared" si="12"/>
        <v>-57.357643635104701</v>
      </c>
      <c r="D327" s="105">
        <f t="shared" si="13"/>
        <v>81.915204428899202</v>
      </c>
    </row>
    <row r="328" spans="1:4">
      <c r="A328" s="105">
        <v>326</v>
      </c>
      <c r="B328" s="105">
        <v>0</v>
      </c>
      <c r="C328" s="105">
        <f t="shared" si="12"/>
        <v>-55.9192903470747</v>
      </c>
      <c r="D328" s="105">
        <f t="shared" si="13"/>
        <v>82.903757255504104</v>
      </c>
    </row>
    <row r="329" spans="1:4">
      <c r="A329" s="105">
        <v>327</v>
      </c>
      <c r="B329" s="105">
        <v>0</v>
      </c>
      <c r="C329" s="105">
        <f t="shared" si="12"/>
        <v>-54.463903501502699</v>
      </c>
      <c r="D329" s="105">
        <f t="shared" si="13"/>
        <v>83.867056794542407</v>
      </c>
    </row>
    <row r="330" spans="1:4">
      <c r="A330" s="105">
        <v>328</v>
      </c>
      <c r="B330" s="105">
        <v>0</v>
      </c>
      <c r="C330" s="105">
        <f t="shared" si="12"/>
        <v>-52.991926423320599</v>
      </c>
      <c r="D330" s="105">
        <f t="shared" si="13"/>
        <v>84.804809615642498</v>
      </c>
    </row>
    <row r="331" spans="1:4">
      <c r="A331" s="105">
        <v>329</v>
      </c>
      <c r="B331" s="105">
        <v>0</v>
      </c>
      <c r="C331" s="105">
        <f t="shared" si="12"/>
        <v>-51.503807491005396</v>
      </c>
      <c r="D331" s="105">
        <f t="shared" si="13"/>
        <v>85.716730070211199</v>
      </c>
    </row>
    <row r="332" spans="1:4">
      <c r="A332" s="105">
        <v>330</v>
      </c>
      <c r="B332" s="105">
        <v>0</v>
      </c>
      <c r="C332" s="105">
        <f t="shared" si="12"/>
        <v>-50</v>
      </c>
      <c r="D332" s="105">
        <f t="shared" si="13"/>
        <v>86.602540378443805</v>
      </c>
    </row>
    <row r="333" spans="1:4">
      <c r="A333" s="105">
        <v>331</v>
      </c>
      <c r="B333" s="105">
        <v>0</v>
      </c>
      <c r="C333" s="105">
        <f t="shared" si="12"/>
        <v>-48.480962024633698</v>
      </c>
      <c r="D333" s="105">
        <f t="shared" si="13"/>
        <v>87.461970713939607</v>
      </c>
    </row>
    <row r="334" spans="1:4">
      <c r="A334" s="105">
        <v>332</v>
      </c>
      <c r="B334" s="105">
        <v>0</v>
      </c>
      <c r="C334" s="105">
        <f t="shared" si="12"/>
        <v>-46.947156278589098</v>
      </c>
      <c r="D334" s="105">
        <f t="shared" si="13"/>
        <v>88.294759285892695</v>
      </c>
    </row>
    <row r="335" spans="1:4">
      <c r="A335" s="105">
        <v>333</v>
      </c>
      <c r="B335" s="105">
        <v>0</v>
      </c>
      <c r="C335" s="105">
        <f t="shared" si="12"/>
        <v>-45.399049973954703</v>
      </c>
      <c r="D335" s="105">
        <f t="shared" si="13"/>
        <v>89.100652418836802</v>
      </c>
    </row>
    <row r="336" spans="1:4">
      <c r="A336" s="105">
        <v>334</v>
      </c>
      <c r="B336" s="105">
        <v>0</v>
      </c>
      <c r="C336" s="105">
        <f t="shared" si="12"/>
        <v>-43.837114678907703</v>
      </c>
      <c r="D336" s="105">
        <f t="shared" si="13"/>
        <v>89.879404629916706</v>
      </c>
    </row>
    <row r="337" spans="1:4">
      <c r="A337" s="105">
        <v>335</v>
      </c>
      <c r="B337" s="105">
        <v>0</v>
      </c>
      <c r="C337" s="105">
        <f t="shared" si="12"/>
        <v>-42.261826174070002</v>
      </c>
      <c r="D337" s="105">
        <f t="shared" si="13"/>
        <v>90.630778703665001</v>
      </c>
    </row>
    <row r="338" spans="1:4">
      <c r="A338" s="105">
        <v>336</v>
      </c>
      <c r="B338" s="105">
        <v>0</v>
      </c>
      <c r="C338" s="105">
        <f t="shared" si="12"/>
        <v>-40.673664307579998</v>
      </c>
      <c r="D338" s="105">
        <f t="shared" si="13"/>
        <v>91.354545764260095</v>
      </c>
    </row>
    <row r="339" spans="1:4">
      <c r="A339" s="105">
        <v>337</v>
      </c>
      <c r="B339" s="105">
        <v>0</v>
      </c>
      <c r="C339" s="105">
        <f t="shared" si="12"/>
        <v>-39.073112848927501</v>
      </c>
      <c r="D339" s="105">
        <f t="shared" si="13"/>
        <v>92.050485345243999</v>
      </c>
    </row>
    <row r="340" spans="1:4">
      <c r="A340" s="105">
        <v>338</v>
      </c>
      <c r="B340" s="105">
        <v>0</v>
      </c>
      <c r="C340" s="105">
        <f t="shared" si="12"/>
        <v>-37.460659341591203</v>
      </c>
      <c r="D340" s="105">
        <f t="shared" si="13"/>
        <v>92.718385456678703</v>
      </c>
    </row>
    <row r="341" spans="1:4">
      <c r="A341" s="105">
        <v>339</v>
      </c>
      <c r="B341" s="105">
        <v>0</v>
      </c>
      <c r="C341" s="105">
        <f t="shared" si="12"/>
        <v>-35.836794954530099</v>
      </c>
      <c r="D341" s="105">
        <f t="shared" si="13"/>
        <v>93.358042649720105</v>
      </c>
    </row>
    <row r="342" spans="1:4">
      <c r="A342" s="105">
        <v>340</v>
      </c>
      <c r="B342" s="105">
        <v>0</v>
      </c>
      <c r="C342" s="105">
        <f t="shared" si="12"/>
        <v>-34.202014332566897</v>
      </c>
      <c r="D342" s="105">
        <f t="shared" si="13"/>
        <v>93.969262078590802</v>
      </c>
    </row>
    <row r="343" spans="1:4">
      <c r="A343" s="105">
        <v>341</v>
      </c>
      <c r="B343" s="105">
        <v>0</v>
      </c>
      <c r="C343" s="105">
        <f t="shared" si="12"/>
        <v>-32.556815445715799</v>
      </c>
      <c r="D343" s="105">
        <f t="shared" si="13"/>
        <v>94.551857559931605</v>
      </c>
    </row>
    <row r="344" spans="1:4">
      <c r="A344" s="105">
        <v>342</v>
      </c>
      <c r="B344" s="105">
        <v>0</v>
      </c>
      <c r="C344" s="105">
        <f t="shared" si="12"/>
        <v>-30.901699437494798</v>
      </c>
      <c r="D344" s="105">
        <f t="shared" si="13"/>
        <v>95.105651629515293</v>
      </c>
    </row>
    <row r="345" spans="1:4">
      <c r="A345" s="105">
        <v>343</v>
      </c>
      <c r="B345" s="105">
        <v>0</v>
      </c>
      <c r="C345" s="105">
        <f t="shared" si="12"/>
        <v>-29.237170472273601</v>
      </c>
      <c r="D345" s="105">
        <f t="shared" si="13"/>
        <v>95.630475596303597</v>
      </c>
    </row>
    <row r="346" spans="1:4">
      <c r="A346" s="105">
        <v>344</v>
      </c>
      <c r="B346" s="105">
        <v>0</v>
      </c>
      <c r="C346" s="105">
        <f t="shared" si="12"/>
        <v>-27.563735581700001</v>
      </c>
      <c r="D346" s="105">
        <f t="shared" si="13"/>
        <v>96.126169593831904</v>
      </c>
    </row>
    <row r="347" spans="1:4">
      <c r="A347" s="105">
        <v>345</v>
      </c>
      <c r="B347" s="105">
        <v>0</v>
      </c>
      <c r="C347" s="105">
        <f t="shared" si="12"/>
        <v>-25.881904510252099</v>
      </c>
      <c r="D347" s="105">
        <f t="shared" si="13"/>
        <v>96.592582628906797</v>
      </c>
    </row>
    <row r="348" spans="1:4">
      <c r="A348" s="105">
        <v>346</v>
      </c>
      <c r="B348" s="105">
        <v>0</v>
      </c>
      <c r="C348" s="105">
        <f t="shared" si="12"/>
        <v>-24.192189559966799</v>
      </c>
      <c r="D348" s="105">
        <f t="shared" si="13"/>
        <v>97.029572627599606</v>
      </c>
    </row>
    <row r="349" spans="1:4">
      <c r="A349" s="105">
        <v>347</v>
      </c>
      <c r="B349" s="105">
        <v>0</v>
      </c>
      <c r="C349" s="105">
        <f t="shared" si="12"/>
        <v>-22.495105434386499</v>
      </c>
      <c r="D349" s="105">
        <f t="shared" si="13"/>
        <v>97.4370064785235</v>
      </c>
    </row>
    <row r="350" spans="1:4">
      <c r="A350" s="105">
        <v>348</v>
      </c>
      <c r="B350" s="105">
        <v>0</v>
      </c>
      <c r="C350" s="105">
        <f t="shared" si="12"/>
        <v>-20.791169081776001</v>
      </c>
      <c r="D350" s="105">
        <f t="shared" si="13"/>
        <v>97.814760073380597</v>
      </c>
    </row>
    <row r="351" spans="1:4">
      <c r="A351" s="105">
        <v>349</v>
      </c>
      <c r="B351" s="105">
        <v>0</v>
      </c>
      <c r="C351" s="105">
        <f t="shared" si="12"/>
        <v>-19.080899537654499</v>
      </c>
      <c r="D351" s="105">
        <f t="shared" si="13"/>
        <v>98.162718344766404</v>
      </c>
    </row>
    <row r="352" spans="1:4">
      <c r="A352" s="105">
        <v>350</v>
      </c>
      <c r="B352" s="105">
        <v>0</v>
      </c>
      <c r="C352" s="105">
        <f t="shared" si="12"/>
        <v>-17.364817766693101</v>
      </c>
      <c r="D352" s="105">
        <f t="shared" si="13"/>
        <v>98.480775301220802</v>
      </c>
    </row>
    <row r="353" spans="1:4">
      <c r="A353" s="105">
        <v>351</v>
      </c>
      <c r="B353" s="105">
        <v>0</v>
      </c>
      <c r="C353" s="105">
        <f t="shared" si="12"/>
        <v>-15.6434465040231</v>
      </c>
      <c r="D353" s="105">
        <f t="shared" si="13"/>
        <v>98.768834059513793</v>
      </c>
    </row>
    <row r="354" spans="1:4">
      <c r="A354" s="105">
        <v>352</v>
      </c>
      <c r="B354" s="105">
        <v>0</v>
      </c>
      <c r="C354" s="105">
        <f t="shared" si="12"/>
        <v>-13.917310096006601</v>
      </c>
      <c r="D354" s="105">
        <f t="shared" si="13"/>
        <v>99.026806874157003</v>
      </c>
    </row>
    <row r="355" spans="1:4">
      <c r="A355" s="105">
        <v>353</v>
      </c>
      <c r="B355" s="105">
        <v>0</v>
      </c>
      <c r="C355" s="105">
        <f t="shared" si="12"/>
        <v>-12.186934340514799</v>
      </c>
      <c r="D355" s="105">
        <f t="shared" si="13"/>
        <v>99.254615164132204</v>
      </c>
    </row>
    <row r="356" spans="1:4">
      <c r="A356" s="105">
        <v>354</v>
      </c>
      <c r="B356" s="105">
        <v>0</v>
      </c>
      <c r="C356" s="105">
        <f t="shared" si="12"/>
        <v>-10.4528463267653</v>
      </c>
      <c r="D356" s="105">
        <f t="shared" si="13"/>
        <v>99.452189536827305</v>
      </c>
    </row>
    <row r="357" spans="1:4">
      <c r="A357" s="105">
        <v>355</v>
      </c>
      <c r="B357" s="105">
        <v>0</v>
      </c>
      <c r="C357" s="105">
        <f t="shared" si="12"/>
        <v>-8.7155742747658298</v>
      </c>
      <c r="D357" s="105">
        <f t="shared" si="13"/>
        <v>99.619469809174603</v>
      </c>
    </row>
    <row r="358" spans="1:4">
      <c r="A358" s="105">
        <v>356</v>
      </c>
      <c r="B358" s="105">
        <v>0</v>
      </c>
      <c r="C358" s="105">
        <f t="shared" si="12"/>
        <v>-6.9756473744124801</v>
      </c>
      <c r="D358" s="105">
        <f t="shared" si="13"/>
        <v>99.756405025982403</v>
      </c>
    </row>
    <row r="359" spans="1:4">
      <c r="A359" s="105">
        <v>357</v>
      </c>
      <c r="B359" s="105">
        <v>0</v>
      </c>
      <c r="C359" s="105">
        <f t="shared" si="12"/>
        <v>-5.2335956242944404</v>
      </c>
      <c r="D359" s="105">
        <f t="shared" si="13"/>
        <v>99.862953475457402</v>
      </c>
    </row>
    <row r="360" spans="1:4">
      <c r="A360" s="105">
        <v>358</v>
      </c>
      <c r="B360" s="105">
        <v>0</v>
      </c>
      <c r="C360" s="105">
        <f t="shared" si="12"/>
        <v>-3.4899496702500801</v>
      </c>
      <c r="D360" s="105">
        <f t="shared" si="13"/>
        <v>99.939082701909598</v>
      </c>
    </row>
    <row r="361" spans="1:4">
      <c r="A361" s="105">
        <v>359</v>
      </c>
      <c r="B361" s="105">
        <v>0</v>
      </c>
      <c r="C361" s="105">
        <f t="shared" si="12"/>
        <v>-1.74524064372844</v>
      </c>
      <c r="D361" s="105">
        <f t="shared" si="13"/>
        <v>99.984769515639101</v>
      </c>
    </row>
    <row r="362" spans="1:4">
      <c r="A362" s="105">
        <v>360</v>
      </c>
      <c r="B362" s="105">
        <v>0</v>
      </c>
      <c r="C362" s="105">
        <f t="shared" si="12"/>
        <v>-2.4492935982947099E-14</v>
      </c>
      <c r="D362" s="105">
        <f t="shared" si="13"/>
        <v>100</v>
      </c>
    </row>
  </sheetData>
  <mergeCells count="1">
    <mergeCell ref="A1:F1"/>
  </mergeCells>
  <phoneticPr fontId="214" type="noConversion"/>
  <pageMargins left="0.75" right="0.75" top="1" bottom="1" header="0.5" footer="0.5"/>
  <pageSetup paperSize="9" orientation="portrait"/>
  <headerFooter scaleWithDoc="0" alignWithMargins="0"/>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dimension ref="A1:M76"/>
  <sheetViews>
    <sheetView zoomScale="85" zoomScaleNormal="85" workbookViewId="0">
      <selection activeCell="M1" sqref="M1"/>
    </sheetView>
  </sheetViews>
  <sheetFormatPr defaultColWidth="8.75" defaultRowHeight="14.25"/>
  <cols>
    <col min="1" max="1" width="6.75" style="523" customWidth="1"/>
    <col min="2" max="3" width="7.625" style="105" customWidth="1"/>
    <col min="4" max="4" width="5.375" style="105" customWidth="1"/>
    <col min="5" max="5" width="8.125" style="105" customWidth="1"/>
    <col min="6" max="6" width="8.875" style="105" customWidth="1"/>
    <col min="7" max="7" width="8.75" style="105"/>
    <col min="8" max="8" width="6.75" style="105" customWidth="1"/>
    <col min="9" max="9" width="7.125" style="105" customWidth="1"/>
    <col min="10" max="10" width="17.125" style="105" customWidth="1"/>
    <col min="11" max="11" width="17.875" style="105" customWidth="1"/>
    <col min="12" max="12" width="8.375" style="105" customWidth="1"/>
    <col min="13" max="13" width="25.375" style="105" customWidth="1"/>
    <col min="14" max="16384" width="8.75" style="105"/>
  </cols>
  <sheetData>
    <row r="1" spans="1:13" ht="33" customHeight="1">
      <c r="A1" s="4970" t="s">
        <v>9956</v>
      </c>
      <c r="B1" s="4970"/>
      <c r="C1" s="4970"/>
      <c r="D1" s="4970"/>
      <c r="E1" s="4970"/>
      <c r="F1" s="4970"/>
      <c r="G1" s="4970"/>
      <c r="H1" s="4970"/>
      <c r="I1" s="4970"/>
      <c r="J1" s="4970"/>
      <c r="K1" s="4970"/>
      <c r="L1" s="536"/>
    </row>
    <row r="2" spans="1:13" ht="23.25" customHeight="1">
      <c r="A2" s="4971" t="s">
        <v>9957</v>
      </c>
      <c r="B2" s="4971"/>
      <c r="C2" s="4971"/>
      <c r="D2" s="4971"/>
      <c r="E2" s="4971"/>
      <c r="F2" s="4971"/>
      <c r="G2" s="4971"/>
      <c r="H2" s="4971"/>
      <c r="I2" s="4971"/>
      <c r="J2" s="4971"/>
      <c r="K2" s="4971"/>
      <c r="L2" s="4971"/>
      <c r="M2" s="105" t="s">
        <v>9958</v>
      </c>
    </row>
    <row r="3" spans="1:13">
      <c r="A3" s="2564" t="s">
        <v>9959</v>
      </c>
      <c r="B3" s="2564" t="s">
        <v>9960</v>
      </c>
      <c r="C3" s="2564" t="s">
        <v>9961</v>
      </c>
      <c r="D3" s="2565" t="s">
        <v>9962</v>
      </c>
      <c r="E3" s="2566" t="s">
        <v>9963</v>
      </c>
      <c r="F3" s="2566" t="s">
        <v>9964</v>
      </c>
      <c r="G3" s="2566" t="s">
        <v>9965</v>
      </c>
      <c r="H3" s="2566" t="s">
        <v>2512</v>
      </c>
      <c r="I3" s="2565" t="s">
        <v>9966</v>
      </c>
      <c r="J3" s="2565" t="s">
        <v>9967</v>
      </c>
      <c r="K3" s="2565" t="s">
        <v>9968</v>
      </c>
      <c r="L3" s="536"/>
      <c r="M3" s="523" t="s">
        <v>9969</v>
      </c>
    </row>
    <row r="4" spans="1:13">
      <c r="A4" s="943">
        <v>0</v>
      </c>
      <c r="B4" s="536">
        <f t="shared" ref="B4:B67" si="0">PI()</f>
        <v>3.14159265358979</v>
      </c>
      <c r="C4" s="536"/>
      <c r="D4" s="536">
        <v>20</v>
      </c>
      <c r="E4" s="536">
        <v>60</v>
      </c>
      <c r="F4" s="536">
        <v>40</v>
      </c>
      <c r="G4" s="536">
        <v>60</v>
      </c>
      <c r="H4" s="536">
        <v>180</v>
      </c>
      <c r="I4" s="536">
        <v>70</v>
      </c>
      <c r="J4" s="536"/>
      <c r="K4" s="536"/>
      <c r="L4" s="536"/>
      <c r="M4" s="523" t="s">
        <v>9970</v>
      </c>
    </row>
    <row r="5" spans="1:13">
      <c r="A5" s="943">
        <v>2.5</v>
      </c>
      <c r="B5" s="536">
        <f t="shared" si="0"/>
        <v>3.14159265358979</v>
      </c>
      <c r="C5" s="536"/>
      <c r="D5" s="536">
        <v>20</v>
      </c>
      <c r="E5" s="536">
        <v>60</v>
      </c>
      <c r="F5" s="536">
        <v>40</v>
      </c>
      <c r="G5" s="536">
        <v>60</v>
      </c>
      <c r="H5" s="536">
        <v>180</v>
      </c>
      <c r="I5" s="536">
        <v>70</v>
      </c>
      <c r="J5" s="536"/>
      <c r="K5" s="536"/>
      <c r="L5" s="536"/>
    </row>
    <row r="6" spans="1:13">
      <c r="A6" s="943">
        <v>5</v>
      </c>
      <c r="B6" s="536">
        <f t="shared" si="0"/>
        <v>3.14159265358979</v>
      </c>
      <c r="C6" s="536"/>
      <c r="D6" s="536">
        <v>20</v>
      </c>
      <c r="E6" s="536">
        <v>60</v>
      </c>
      <c r="F6" s="536">
        <v>40</v>
      </c>
      <c r="G6" s="536">
        <v>60</v>
      </c>
      <c r="H6" s="536">
        <v>180</v>
      </c>
      <c r="I6" s="536">
        <v>70</v>
      </c>
      <c r="J6" s="536"/>
      <c r="K6" s="536"/>
      <c r="L6" s="536"/>
    </row>
    <row r="7" spans="1:13">
      <c r="A7" s="943">
        <v>7.5</v>
      </c>
      <c r="B7" s="536">
        <f t="shared" si="0"/>
        <v>3.14159265358979</v>
      </c>
      <c r="C7" s="536"/>
      <c r="D7" s="536">
        <v>20</v>
      </c>
      <c r="E7" s="536">
        <v>60</v>
      </c>
      <c r="F7" s="536">
        <v>40</v>
      </c>
      <c r="G7" s="536">
        <v>60</v>
      </c>
      <c r="H7" s="536">
        <v>180</v>
      </c>
      <c r="I7" s="536">
        <v>70</v>
      </c>
      <c r="J7" s="536"/>
      <c r="K7" s="536"/>
      <c r="L7" s="536"/>
    </row>
    <row r="8" spans="1:13">
      <c r="A8" s="943">
        <v>10</v>
      </c>
      <c r="B8" s="536">
        <f t="shared" si="0"/>
        <v>3.14159265358979</v>
      </c>
      <c r="C8" s="536"/>
      <c r="D8" s="536">
        <v>20</v>
      </c>
      <c r="E8" s="536">
        <v>60</v>
      </c>
      <c r="F8" s="536">
        <v>40</v>
      </c>
      <c r="G8" s="536">
        <v>60</v>
      </c>
      <c r="H8" s="536">
        <v>180</v>
      </c>
      <c r="I8" s="536">
        <v>70</v>
      </c>
      <c r="J8" s="536"/>
      <c r="K8" s="536"/>
      <c r="L8" s="536"/>
    </row>
    <row r="9" spans="1:13">
      <c r="A9" s="943">
        <v>12.5</v>
      </c>
      <c r="B9" s="2567">
        <f t="shared" si="0"/>
        <v>3.14159265358979</v>
      </c>
      <c r="C9" s="2567"/>
      <c r="D9" s="2567">
        <v>20</v>
      </c>
      <c r="E9" s="2567">
        <v>60</v>
      </c>
      <c r="F9" s="2567">
        <v>40</v>
      </c>
      <c r="G9" s="2567">
        <v>60</v>
      </c>
      <c r="H9" s="2567">
        <v>180</v>
      </c>
      <c r="I9" s="2567">
        <v>70</v>
      </c>
      <c r="J9" s="536"/>
      <c r="K9" s="536"/>
      <c r="L9" s="536"/>
    </row>
    <row r="10" spans="1:13">
      <c r="A10" s="943">
        <v>15</v>
      </c>
      <c r="B10" s="536">
        <f t="shared" si="0"/>
        <v>3.14159265358979</v>
      </c>
      <c r="C10" s="536"/>
      <c r="D10" s="536">
        <v>20</v>
      </c>
      <c r="E10" s="536">
        <v>60</v>
      </c>
      <c r="F10" s="536">
        <v>40</v>
      </c>
      <c r="G10" s="536">
        <v>60</v>
      </c>
      <c r="H10" s="536">
        <v>180</v>
      </c>
      <c r="I10" s="536">
        <v>70</v>
      </c>
      <c r="J10" s="536"/>
      <c r="K10" s="536"/>
      <c r="L10" s="536"/>
    </row>
    <row r="11" spans="1:13">
      <c r="A11" s="943">
        <v>17.5</v>
      </c>
      <c r="B11" s="536">
        <f t="shared" si="0"/>
        <v>3.14159265358979</v>
      </c>
      <c r="C11" s="536"/>
      <c r="D11" s="536">
        <v>20</v>
      </c>
      <c r="E11" s="536">
        <v>60</v>
      </c>
      <c r="F11" s="536">
        <v>40</v>
      </c>
      <c r="G11" s="536">
        <v>60</v>
      </c>
      <c r="H11" s="536">
        <v>180</v>
      </c>
      <c r="I11" s="536">
        <v>70</v>
      </c>
      <c r="J11" s="536"/>
      <c r="K11" s="536"/>
      <c r="L11" s="536"/>
    </row>
    <row r="12" spans="1:13">
      <c r="A12" s="943">
        <v>20</v>
      </c>
      <c r="B12" s="536">
        <f t="shared" si="0"/>
        <v>3.14159265358979</v>
      </c>
      <c r="C12" s="536">
        <v>20</v>
      </c>
      <c r="D12" s="536">
        <v>20</v>
      </c>
      <c r="E12" s="536">
        <v>60</v>
      </c>
      <c r="F12" s="536">
        <v>40</v>
      </c>
      <c r="G12" s="536">
        <v>60</v>
      </c>
      <c r="H12" s="536">
        <v>180</v>
      </c>
      <c r="I12" s="536">
        <v>70</v>
      </c>
      <c r="J12" s="536">
        <f t="shared" ref="J12:J36" si="1">I12+D12/2-D12*COS(3*(A12-C12)/180*B12)/2</f>
        <v>70</v>
      </c>
      <c r="K12" s="536"/>
      <c r="L12" s="536"/>
    </row>
    <row r="13" spans="1:13">
      <c r="A13" s="943">
        <v>22.5</v>
      </c>
      <c r="B13" s="536">
        <f t="shared" si="0"/>
        <v>3.14159265358979</v>
      </c>
      <c r="C13" s="536">
        <v>20</v>
      </c>
      <c r="D13" s="536">
        <v>20</v>
      </c>
      <c r="E13" s="536">
        <v>60</v>
      </c>
      <c r="F13" s="536">
        <v>40</v>
      </c>
      <c r="G13" s="536">
        <v>60</v>
      </c>
      <c r="H13" s="536">
        <v>180</v>
      </c>
      <c r="I13" s="536">
        <v>70</v>
      </c>
      <c r="J13" s="536">
        <f t="shared" si="1"/>
        <v>70.085551386261898</v>
      </c>
      <c r="K13" s="536">
        <f>I13+D13*(A13-C13)/E13-D13*SIN(6*((A13-C13)*B13/180))/2/B13</f>
        <v>70.009486725445498</v>
      </c>
      <c r="L13" s="536">
        <f>SIN(6*((A13-C13)*B13/180))</f>
        <v>0.25881904510252102</v>
      </c>
    </row>
    <row r="14" spans="1:13">
      <c r="A14" s="943">
        <v>25</v>
      </c>
      <c r="B14" s="536">
        <f t="shared" si="0"/>
        <v>3.14159265358979</v>
      </c>
      <c r="C14" s="536">
        <v>20</v>
      </c>
      <c r="D14" s="536">
        <v>20</v>
      </c>
      <c r="E14" s="536">
        <v>60</v>
      </c>
      <c r="F14" s="536">
        <v>40</v>
      </c>
      <c r="G14" s="536">
        <v>60</v>
      </c>
      <c r="H14" s="536">
        <v>180</v>
      </c>
      <c r="I14" s="536">
        <v>70</v>
      </c>
      <c r="J14" s="536">
        <f t="shared" si="1"/>
        <v>70.340741737109298</v>
      </c>
      <c r="K14" s="536">
        <f>I14+D14*(A14-C14)/E14-D14*SIN(6*((A14-C14)*B14/180))/2/B14</f>
        <v>70.075117235747697</v>
      </c>
      <c r="L14" s="536"/>
    </row>
    <row r="15" spans="1:13">
      <c r="A15" s="943">
        <v>27.5</v>
      </c>
      <c r="B15" s="536">
        <f t="shared" si="0"/>
        <v>3.14159265358979</v>
      </c>
      <c r="C15" s="536">
        <v>20</v>
      </c>
      <c r="D15" s="536">
        <v>20</v>
      </c>
      <c r="E15" s="536">
        <v>60</v>
      </c>
      <c r="F15" s="536">
        <v>40</v>
      </c>
      <c r="G15" s="536">
        <v>60</v>
      </c>
      <c r="H15" s="536">
        <v>180</v>
      </c>
      <c r="I15" s="536">
        <v>70</v>
      </c>
      <c r="J15" s="536">
        <f t="shared" si="1"/>
        <v>70.761204674887097</v>
      </c>
      <c r="K15" s="536">
        <f t="shared" ref="K15:K38" si="2">I15+D15*(A15-C15)/E15-D15*SIN(6*((A15-C15)*B15/180))/(2*B15)</f>
        <v>70.249209209607201</v>
      </c>
      <c r="L15" s="536"/>
    </row>
    <row r="16" spans="1:13">
      <c r="A16" s="943">
        <v>30</v>
      </c>
      <c r="B16" s="536">
        <f t="shared" si="0"/>
        <v>3.14159265358979</v>
      </c>
      <c r="C16" s="536">
        <v>20</v>
      </c>
      <c r="D16" s="536">
        <v>20</v>
      </c>
      <c r="E16" s="536">
        <v>60</v>
      </c>
      <c r="F16" s="536">
        <v>40</v>
      </c>
      <c r="G16" s="536">
        <v>60</v>
      </c>
      <c r="H16" s="536">
        <v>180</v>
      </c>
      <c r="I16" s="536">
        <v>70</v>
      </c>
      <c r="J16" s="536">
        <f t="shared" si="1"/>
        <v>71.339745962155604</v>
      </c>
      <c r="K16" s="536">
        <f t="shared" si="2"/>
        <v>70.576688856224393</v>
      </c>
      <c r="L16" s="536"/>
    </row>
    <row r="17" spans="1:12">
      <c r="A17" s="943">
        <v>32.5</v>
      </c>
      <c r="B17" s="536">
        <f t="shared" si="0"/>
        <v>3.14159265358979</v>
      </c>
      <c r="C17" s="536">
        <v>20</v>
      </c>
      <c r="D17" s="536">
        <v>20</v>
      </c>
      <c r="E17" s="536">
        <v>60</v>
      </c>
      <c r="F17" s="536">
        <v>40</v>
      </c>
      <c r="G17" s="536">
        <v>60</v>
      </c>
      <c r="H17" s="536">
        <v>180</v>
      </c>
      <c r="I17" s="536">
        <v>70</v>
      </c>
      <c r="J17" s="536">
        <f t="shared" si="1"/>
        <v>72.066466597087697</v>
      </c>
      <c r="K17" s="536">
        <f t="shared" si="2"/>
        <v>71.092029268386099</v>
      </c>
      <c r="L17" s="536"/>
    </row>
    <row r="18" spans="1:12">
      <c r="A18" s="943">
        <v>35</v>
      </c>
      <c r="B18" s="536">
        <f t="shared" si="0"/>
        <v>3.14159265358979</v>
      </c>
      <c r="C18" s="536">
        <v>20</v>
      </c>
      <c r="D18" s="536">
        <v>20</v>
      </c>
      <c r="E18" s="536">
        <v>60</v>
      </c>
      <c r="F18" s="536">
        <v>40</v>
      </c>
      <c r="G18" s="536">
        <v>60</v>
      </c>
      <c r="H18" s="536">
        <v>180</v>
      </c>
      <c r="I18" s="536">
        <v>70</v>
      </c>
      <c r="J18" s="536">
        <f t="shared" si="1"/>
        <v>72.928932188134496</v>
      </c>
      <c r="K18" s="536">
        <f t="shared" si="2"/>
        <v>71.816901138162095</v>
      </c>
      <c r="L18" s="536"/>
    </row>
    <row r="19" spans="1:12">
      <c r="A19" s="943">
        <v>37.5</v>
      </c>
      <c r="B19" s="536">
        <f t="shared" si="0"/>
        <v>3.14159265358979</v>
      </c>
      <c r="C19" s="536">
        <v>20</v>
      </c>
      <c r="D19" s="536">
        <v>20</v>
      </c>
      <c r="E19" s="536">
        <v>60</v>
      </c>
      <c r="F19" s="536">
        <v>40</v>
      </c>
      <c r="G19" s="536">
        <v>60</v>
      </c>
      <c r="H19" s="536">
        <v>180</v>
      </c>
      <c r="I19" s="536">
        <v>70</v>
      </c>
      <c r="J19" s="536">
        <f t="shared" si="1"/>
        <v>73.912385709912797</v>
      </c>
      <c r="K19" s="536">
        <f t="shared" si="2"/>
        <v>72.758695935052799</v>
      </c>
      <c r="L19" s="536"/>
    </row>
    <row r="20" spans="1:12">
      <c r="A20" s="943">
        <v>40</v>
      </c>
      <c r="B20" s="536">
        <f t="shared" si="0"/>
        <v>3.14159265358979</v>
      </c>
      <c r="C20" s="536">
        <v>20</v>
      </c>
      <c r="D20" s="536">
        <v>20</v>
      </c>
      <c r="E20" s="536">
        <v>60</v>
      </c>
      <c r="F20" s="536">
        <v>40</v>
      </c>
      <c r="G20" s="536">
        <v>60</v>
      </c>
      <c r="H20" s="536">
        <v>180</v>
      </c>
      <c r="I20" s="536">
        <v>70</v>
      </c>
      <c r="J20" s="536">
        <f t="shared" si="1"/>
        <v>75</v>
      </c>
      <c r="K20" s="536">
        <f t="shared" si="2"/>
        <v>73.910022189557694</v>
      </c>
      <c r="L20" s="536"/>
    </row>
    <row r="21" spans="1:12">
      <c r="A21" s="943">
        <v>42.5</v>
      </c>
      <c r="B21" s="536">
        <f t="shared" si="0"/>
        <v>3.14159265358979</v>
      </c>
      <c r="C21" s="536">
        <v>20</v>
      </c>
      <c r="D21" s="536">
        <v>20</v>
      </c>
      <c r="E21" s="536">
        <v>60</v>
      </c>
      <c r="F21" s="536">
        <v>40</v>
      </c>
      <c r="G21" s="536">
        <v>60</v>
      </c>
      <c r="H21" s="536">
        <v>180</v>
      </c>
      <c r="I21" s="536">
        <v>70</v>
      </c>
      <c r="J21" s="536">
        <f t="shared" si="1"/>
        <v>76.1731656763491</v>
      </c>
      <c r="K21" s="536">
        <f t="shared" si="2"/>
        <v>75.249209209607201</v>
      </c>
      <c r="L21" s="536"/>
    </row>
    <row r="22" spans="1:12">
      <c r="A22" s="943">
        <v>45</v>
      </c>
      <c r="B22" s="536">
        <f t="shared" si="0"/>
        <v>3.14159265358979</v>
      </c>
      <c r="C22" s="536">
        <v>20</v>
      </c>
      <c r="D22" s="536">
        <v>20</v>
      </c>
      <c r="E22" s="536">
        <v>60</v>
      </c>
      <c r="F22" s="536">
        <v>40</v>
      </c>
      <c r="G22" s="536">
        <v>60</v>
      </c>
      <c r="H22" s="536">
        <v>180</v>
      </c>
      <c r="I22" s="536">
        <v>70</v>
      </c>
      <c r="J22" s="536">
        <f t="shared" si="1"/>
        <v>77.411809548974801</v>
      </c>
      <c r="K22" s="536">
        <f t="shared" si="2"/>
        <v>76.741783902414397</v>
      </c>
      <c r="L22" s="536"/>
    </row>
    <row r="23" spans="1:12">
      <c r="A23" s="943">
        <v>47.5</v>
      </c>
      <c r="B23" s="536">
        <f t="shared" si="0"/>
        <v>3.14159265358979</v>
      </c>
      <c r="C23" s="536">
        <v>20</v>
      </c>
      <c r="D23" s="536">
        <v>20</v>
      </c>
      <c r="E23" s="536">
        <v>60</v>
      </c>
      <c r="F23" s="536">
        <v>40</v>
      </c>
      <c r="G23" s="536">
        <v>60</v>
      </c>
      <c r="H23" s="536">
        <v>180</v>
      </c>
      <c r="I23" s="536">
        <v>70</v>
      </c>
      <c r="J23" s="536">
        <f t="shared" si="1"/>
        <v>78.694738077799499</v>
      </c>
      <c r="K23" s="536">
        <f t="shared" si="2"/>
        <v>78.342820058778898</v>
      </c>
      <c r="L23" s="536"/>
    </row>
    <row r="24" spans="1:12">
      <c r="A24" s="943">
        <v>50</v>
      </c>
      <c r="B24" s="536">
        <f t="shared" si="0"/>
        <v>3.14159265358979</v>
      </c>
      <c r="C24" s="536">
        <v>20</v>
      </c>
      <c r="D24" s="536">
        <v>20</v>
      </c>
      <c r="E24" s="536">
        <v>60</v>
      </c>
      <c r="F24" s="536">
        <v>40</v>
      </c>
      <c r="G24" s="536">
        <v>60</v>
      </c>
      <c r="H24" s="536">
        <v>180</v>
      </c>
      <c r="I24" s="536">
        <v>70</v>
      </c>
      <c r="J24" s="536">
        <f t="shared" si="1"/>
        <v>80</v>
      </c>
      <c r="K24" s="536">
        <f t="shared" si="2"/>
        <v>80</v>
      </c>
      <c r="L24" s="536"/>
    </row>
    <row r="25" spans="1:12">
      <c r="A25" s="943">
        <v>52.5</v>
      </c>
      <c r="B25" s="536">
        <f t="shared" si="0"/>
        <v>3.14159265358979</v>
      </c>
      <c r="C25" s="536">
        <v>20</v>
      </c>
      <c r="D25" s="536">
        <v>20</v>
      </c>
      <c r="E25" s="536">
        <v>60</v>
      </c>
      <c r="F25" s="536">
        <v>40</v>
      </c>
      <c r="G25" s="536">
        <v>60</v>
      </c>
      <c r="H25" s="536">
        <v>180</v>
      </c>
      <c r="I25" s="536">
        <v>70</v>
      </c>
      <c r="J25" s="536">
        <f t="shared" si="1"/>
        <v>81.305261922200501</v>
      </c>
      <c r="K25" s="536">
        <f t="shared" si="2"/>
        <v>81.657179941221102</v>
      </c>
      <c r="L25" s="536"/>
    </row>
    <row r="26" spans="1:12">
      <c r="A26" s="943">
        <v>55</v>
      </c>
      <c r="B26" s="536">
        <f t="shared" si="0"/>
        <v>3.14159265358979</v>
      </c>
      <c r="C26" s="536">
        <v>20</v>
      </c>
      <c r="D26" s="536">
        <v>20</v>
      </c>
      <c r="E26" s="536">
        <v>60</v>
      </c>
      <c r="F26" s="536">
        <v>40</v>
      </c>
      <c r="G26" s="536">
        <v>60</v>
      </c>
      <c r="H26" s="536">
        <v>180</v>
      </c>
      <c r="I26" s="536">
        <v>70</v>
      </c>
      <c r="J26" s="536">
        <f t="shared" si="1"/>
        <v>82.588190451025199</v>
      </c>
      <c r="K26" s="536">
        <f t="shared" si="2"/>
        <v>83.258216097585603</v>
      </c>
      <c r="L26" s="536"/>
    </row>
    <row r="27" spans="1:12">
      <c r="A27" s="943">
        <v>57.5</v>
      </c>
      <c r="B27" s="536">
        <f t="shared" si="0"/>
        <v>3.14159265358979</v>
      </c>
      <c r="C27" s="536">
        <v>20</v>
      </c>
      <c r="D27" s="536">
        <v>20</v>
      </c>
      <c r="E27" s="536">
        <v>60</v>
      </c>
      <c r="F27" s="536">
        <v>40</v>
      </c>
      <c r="G27" s="536">
        <v>60</v>
      </c>
      <c r="H27" s="536">
        <v>180</v>
      </c>
      <c r="I27" s="536">
        <v>70</v>
      </c>
      <c r="J27" s="536">
        <f t="shared" si="1"/>
        <v>83.8268343236509</v>
      </c>
      <c r="K27" s="536">
        <f t="shared" si="2"/>
        <v>84.750790790392799</v>
      </c>
      <c r="L27" s="536"/>
    </row>
    <row r="28" spans="1:12">
      <c r="A28" s="943">
        <v>60</v>
      </c>
      <c r="B28" s="536">
        <f t="shared" si="0"/>
        <v>3.14159265358979</v>
      </c>
      <c r="C28" s="536">
        <v>20</v>
      </c>
      <c r="D28" s="536">
        <v>20</v>
      </c>
      <c r="E28" s="536">
        <v>60</v>
      </c>
      <c r="F28" s="536">
        <v>40</v>
      </c>
      <c r="G28" s="536">
        <v>60</v>
      </c>
      <c r="H28" s="536">
        <v>180</v>
      </c>
      <c r="I28" s="536">
        <v>70</v>
      </c>
      <c r="J28" s="536">
        <f t="shared" si="1"/>
        <v>85</v>
      </c>
      <c r="K28" s="536">
        <f t="shared" si="2"/>
        <v>86.089977810442306</v>
      </c>
      <c r="L28" s="536"/>
    </row>
    <row r="29" spans="1:12">
      <c r="A29" s="943">
        <v>62.5</v>
      </c>
      <c r="B29" s="536">
        <f t="shared" si="0"/>
        <v>3.14159265358979</v>
      </c>
      <c r="C29" s="536">
        <v>20</v>
      </c>
      <c r="D29" s="536">
        <v>20</v>
      </c>
      <c r="E29" s="536">
        <v>60</v>
      </c>
      <c r="F29" s="536">
        <v>40</v>
      </c>
      <c r="G29" s="536">
        <v>60</v>
      </c>
      <c r="H29" s="536">
        <v>180</v>
      </c>
      <c r="I29" s="536">
        <v>70</v>
      </c>
      <c r="J29" s="536">
        <f t="shared" si="1"/>
        <v>86.087614290087203</v>
      </c>
      <c r="K29" s="536">
        <f t="shared" si="2"/>
        <v>87.241304064947201</v>
      </c>
      <c r="L29" s="536"/>
    </row>
    <row r="30" spans="1:12">
      <c r="A30" s="943">
        <v>65</v>
      </c>
      <c r="B30" s="536">
        <f t="shared" si="0"/>
        <v>3.14159265358979</v>
      </c>
      <c r="C30" s="536">
        <v>20</v>
      </c>
      <c r="D30" s="536">
        <v>20</v>
      </c>
      <c r="E30" s="536">
        <v>60</v>
      </c>
      <c r="F30" s="536">
        <v>40</v>
      </c>
      <c r="G30" s="536">
        <v>60</v>
      </c>
      <c r="H30" s="536">
        <v>180</v>
      </c>
      <c r="I30" s="536">
        <v>70</v>
      </c>
      <c r="J30" s="536">
        <f t="shared" si="1"/>
        <v>87.071067811865504</v>
      </c>
      <c r="K30" s="536">
        <f t="shared" si="2"/>
        <v>88.183098861837905</v>
      </c>
      <c r="L30" s="536"/>
    </row>
    <row r="31" spans="1:12">
      <c r="A31" s="943">
        <v>67.5</v>
      </c>
      <c r="B31" s="536">
        <f t="shared" si="0"/>
        <v>3.14159265358979</v>
      </c>
      <c r="C31" s="536">
        <v>20</v>
      </c>
      <c r="D31" s="536">
        <v>20</v>
      </c>
      <c r="E31" s="536">
        <v>60</v>
      </c>
      <c r="F31" s="536">
        <v>40</v>
      </c>
      <c r="G31" s="536">
        <v>60</v>
      </c>
      <c r="H31" s="536">
        <v>180</v>
      </c>
      <c r="I31" s="536">
        <v>70</v>
      </c>
      <c r="J31" s="536">
        <f t="shared" si="1"/>
        <v>87.933533402912303</v>
      </c>
      <c r="K31" s="536">
        <f t="shared" si="2"/>
        <v>88.907970731613901</v>
      </c>
      <c r="L31" s="536"/>
    </row>
    <row r="32" spans="1:12">
      <c r="A32" s="943">
        <v>70</v>
      </c>
      <c r="B32" s="536">
        <f t="shared" si="0"/>
        <v>3.14159265358979</v>
      </c>
      <c r="C32" s="536">
        <v>20</v>
      </c>
      <c r="D32" s="536">
        <v>20</v>
      </c>
      <c r="E32" s="536">
        <v>60</v>
      </c>
      <c r="F32" s="536">
        <v>40</v>
      </c>
      <c r="G32" s="536">
        <v>60</v>
      </c>
      <c r="H32" s="536">
        <v>180</v>
      </c>
      <c r="I32" s="536">
        <v>70</v>
      </c>
      <c r="J32" s="536">
        <f t="shared" si="1"/>
        <v>88.660254037844396</v>
      </c>
      <c r="K32" s="536">
        <f t="shared" si="2"/>
        <v>89.423311143775607</v>
      </c>
      <c r="L32" s="536"/>
    </row>
    <row r="33" spans="1:13">
      <c r="A33" s="943">
        <v>72.5</v>
      </c>
      <c r="B33" s="536">
        <f t="shared" si="0"/>
        <v>3.14159265358979</v>
      </c>
      <c r="C33" s="536">
        <v>20</v>
      </c>
      <c r="D33" s="536">
        <v>20</v>
      </c>
      <c r="E33" s="536">
        <v>60</v>
      </c>
      <c r="F33" s="536">
        <v>40</v>
      </c>
      <c r="G33" s="536">
        <v>60</v>
      </c>
      <c r="H33" s="536">
        <v>180</v>
      </c>
      <c r="I33" s="536">
        <v>70</v>
      </c>
      <c r="J33" s="536">
        <f t="shared" si="1"/>
        <v>89.238795325112903</v>
      </c>
      <c r="K33" s="536">
        <f t="shared" si="2"/>
        <v>89.750790790392799</v>
      </c>
      <c r="L33" s="536"/>
    </row>
    <row r="34" spans="1:13">
      <c r="A34" s="943">
        <v>75</v>
      </c>
      <c r="B34" s="536">
        <f t="shared" si="0"/>
        <v>3.14159265358979</v>
      </c>
      <c r="C34" s="536">
        <v>20</v>
      </c>
      <c r="D34" s="536">
        <v>20</v>
      </c>
      <c r="E34" s="536">
        <v>60</v>
      </c>
      <c r="F34" s="536">
        <v>40</v>
      </c>
      <c r="G34" s="536">
        <v>60</v>
      </c>
      <c r="H34" s="536">
        <v>180</v>
      </c>
      <c r="I34" s="536">
        <v>70</v>
      </c>
      <c r="J34" s="536">
        <f t="shared" si="1"/>
        <v>89.659258262890702</v>
      </c>
      <c r="K34" s="536">
        <f t="shared" si="2"/>
        <v>89.924882764252303</v>
      </c>
      <c r="L34" s="536"/>
    </row>
    <row r="35" spans="1:13">
      <c r="A35" s="943">
        <v>77.5</v>
      </c>
      <c r="B35" s="536">
        <f t="shared" si="0"/>
        <v>3.14159265358979</v>
      </c>
      <c r="C35" s="536">
        <v>20</v>
      </c>
      <c r="D35" s="536">
        <v>20</v>
      </c>
      <c r="E35" s="536">
        <v>60</v>
      </c>
      <c r="F35" s="536">
        <v>40</v>
      </c>
      <c r="G35" s="536">
        <v>60</v>
      </c>
      <c r="H35" s="536">
        <v>180</v>
      </c>
      <c r="I35" s="536">
        <v>70</v>
      </c>
      <c r="J35" s="536">
        <f t="shared" si="1"/>
        <v>89.914448613738102</v>
      </c>
      <c r="K35" s="536">
        <f t="shared" si="2"/>
        <v>89.990513274554502</v>
      </c>
      <c r="L35" s="536"/>
    </row>
    <row r="36" spans="1:13">
      <c r="A36" s="943">
        <v>80</v>
      </c>
      <c r="B36" s="536">
        <f t="shared" si="0"/>
        <v>3.14159265358979</v>
      </c>
      <c r="C36" s="536">
        <v>20</v>
      </c>
      <c r="D36" s="536">
        <v>20</v>
      </c>
      <c r="E36" s="536">
        <v>60</v>
      </c>
      <c r="F36" s="536">
        <v>40</v>
      </c>
      <c r="G36" s="536">
        <v>60</v>
      </c>
      <c r="H36" s="536">
        <v>180</v>
      </c>
      <c r="I36" s="536">
        <v>70</v>
      </c>
      <c r="J36" s="536">
        <f t="shared" si="1"/>
        <v>90</v>
      </c>
      <c r="K36" s="536">
        <f t="shared" si="2"/>
        <v>90</v>
      </c>
      <c r="L36" s="536"/>
    </row>
    <row r="37" spans="1:13">
      <c r="A37" s="943"/>
      <c r="B37" s="536">
        <f t="shared" si="0"/>
        <v>3.14159265358979</v>
      </c>
      <c r="C37" s="536"/>
      <c r="D37" s="536">
        <v>20</v>
      </c>
      <c r="E37" s="536">
        <v>60</v>
      </c>
      <c r="F37" s="536">
        <v>40</v>
      </c>
      <c r="G37" s="536">
        <v>60</v>
      </c>
      <c r="H37" s="536">
        <v>180</v>
      </c>
      <c r="I37" s="536"/>
      <c r="J37" s="536"/>
      <c r="K37" s="536">
        <f t="shared" si="2"/>
        <v>0</v>
      </c>
      <c r="L37" s="536"/>
    </row>
    <row r="38" spans="1:13">
      <c r="A38" s="943">
        <v>280</v>
      </c>
      <c r="B38" s="536">
        <f t="shared" si="0"/>
        <v>3.14159265358979</v>
      </c>
      <c r="C38" s="536">
        <v>280</v>
      </c>
      <c r="D38" s="536">
        <v>20</v>
      </c>
      <c r="E38" s="536">
        <v>60</v>
      </c>
      <c r="F38" s="536">
        <v>40</v>
      </c>
      <c r="G38" s="536">
        <v>60</v>
      </c>
      <c r="H38" s="536">
        <v>180</v>
      </c>
      <c r="I38" s="536">
        <v>90</v>
      </c>
      <c r="J38" s="536">
        <f t="shared" ref="J38:J62" si="3">I38-D38/2+D38*COS(3*(A38-C38)/180*B38)/2</f>
        <v>90</v>
      </c>
      <c r="K38" s="536">
        <f t="shared" si="2"/>
        <v>90</v>
      </c>
      <c r="L38" s="536"/>
    </row>
    <row r="39" spans="1:13">
      <c r="A39" s="943">
        <v>282.5</v>
      </c>
      <c r="B39" s="536">
        <f t="shared" si="0"/>
        <v>3.14159265358979</v>
      </c>
      <c r="C39" s="536">
        <v>280</v>
      </c>
      <c r="D39" s="536">
        <v>20</v>
      </c>
      <c r="E39" s="536">
        <v>60</v>
      </c>
      <c r="F39" s="536">
        <v>40</v>
      </c>
      <c r="G39" s="536">
        <v>60</v>
      </c>
      <c r="H39" s="536">
        <v>180</v>
      </c>
      <c r="I39" s="536">
        <v>90</v>
      </c>
      <c r="J39" s="536">
        <f t="shared" si="3"/>
        <v>89.914448613738102</v>
      </c>
      <c r="K39" s="536">
        <f t="shared" ref="K39:K62" si="4">I39-D39*(A39-C39)/E39+D39*SIN(6*((A39-C39)*B39/180))/(2*B39)</f>
        <v>89.990513274554502</v>
      </c>
      <c r="L39" s="536"/>
      <c r="M39" s="105" t="s">
        <v>9971</v>
      </c>
    </row>
    <row r="40" spans="1:13">
      <c r="A40" s="943">
        <v>285</v>
      </c>
      <c r="B40" s="536">
        <f t="shared" si="0"/>
        <v>3.14159265358979</v>
      </c>
      <c r="C40" s="536">
        <v>280</v>
      </c>
      <c r="D40" s="536">
        <v>20</v>
      </c>
      <c r="E40" s="536">
        <v>60</v>
      </c>
      <c r="F40" s="536">
        <v>40</v>
      </c>
      <c r="G40" s="536">
        <v>60</v>
      </c>
      <c r="H40" s="536">
        <v>180</v>
      </c>
      <c r="I40" s="536">
        <v>90</v>
      </c>
      <c r="J40" s="536">
        <f t="shared" si="3"/>
        <v>89.659258262890702</v>
      </c>
      <c r="K40" s="536">
        <f t="shared" si="4"/>
        <v>89.924882764252303</v>
      </c>
      <c r="L40" s="536"/>
    </row>
    <row r="41" spans="1:13">
      <c r="A41" s="943">
        <v>287.5</v>
      </c>
      <c r="B41" s="536">
        <f t="shared" si="0"/>
        <v>3.14159265358979</v>
      </c>
      <c r="C41" s="536">
        <v>280</v>
      </c>
      <c r="D41" s="536">
        <v>20</v>
      </c>
      <c r="E41" s="536">
        <v>60</v>
      </c>
      <c r="F41" s="536">
        <v>40</v>
      </c>
      <c r="G41" s="536">
        <v>60</v>
      </c>
      <c r="H41" s="536">
        <v>180</v>
      </c>
      <c r="I41" s="536">
        <v>90</v>
      </c>
      <c r="J41" s="536">
        <f t="shared" si="3"/>
        <v>89.238795325112903</v>
      </c>
      <c r="K41" s="536">
        <f t="shared" si="4"/>
        <v>89.750790790392799</v>
      </c>
      <c r="L41" s="536"/>
    </row>
    <row r="42" spans="1:13">
      <c r="A42" s="943">
        <v>290</v>
      </c>
      <c r="B42" s="536">
        <f t="shared" si="0"/>
        <v>3.14159265358979</v>
      </c>
      <c r="C42" s="536">
        <v>280</v>
      </c>
      <c r="D42" s="536">
        <v>20</v>
      </c>
      <c r="E42" s="536">
        <v>60</v>
      </c>
      <c r="F42" s="536">
        <v>40</v>
      </c>
      <c r="G42" s="536">
        <v>60</v>
      </c>
      <c r="H42" s="536">
        <v>180</v>
      </c>
      <c r="I42" s="536">
        <v>90</v>
      </c>
      <c r="J42" s="536">
        <f t="shared" si="3"/>
        <v>88.660254037844396</v>
      </c>
      <c r="K42" s="536">
        <f t="shared" si="4"/>
        <v>89.423311143775607</v>
      </c>
      <c r="L42" s="536"/>
    </row>
    <row r="43" spans="1:13">
      <c r="A43" s="943">
        <v>292.5</v>
      </c>
      <c r="B43" s="536">
        <f t="shared" si="0"/>
        <v>3.14159265358979</v>
      </c>
      <c r="C43" s="536">
        <v>280</v>
      </c>
      <c r="D43" s="536">
        <v>20</v>
      </c>
      <c r="E43" s="536">
        <v>60</v>
      </c>
      <c r="F43" s="536">
        <v>40</v>
      </c>
      <c r="G43" s="536">
        <v>60</v>
      </c>
      <c r="H43" s="536">
        <v>180</v>
      </c>
      <c r="I43" s="536">
        <v>90</v>
      </c>
      <c r="J43" s="536">
        <f t="shared" si="3"/>
        <v>87.933533402912303</v>
      </c>
      <c r="K43" s="536">
        <f t="shared" si="4"/>
        <v>88.907970731613901</v>
      </c>
      <c r="L43" s="536"/>
    </row>
    <row r="44" spans="1:13">
      <c r="A44" s="943">
        <v>295</v>
      </c>
      <c r="B44" s="536">
        <f t="shared" si="0"/>
        <v>3.14159265358979</v>
      </c>
      <c r="C44" s="536">
        <v>280</v>
      </c>
      <c r="D44" s="536">
        <v>20</v>
      </c>
      <c r="E44" s="536">
        <v>60</v>
      </c>
      <c r="F44" s="536">
        <v>40</v>
      </c>
      <c r="G44" s="536">
        <v>60</v>
      </c>
      <c r="H44" s="536">
        <v>180</v>
      </c>
      <c r="I44" s="536">
        <v>90</v>
      </c>
      <c r="J44" s="536">
        <f t="shared" si="3"/>
        <v>87.071067811865504</v>
      </c>
      <c r="K44" s="536">
        <f t="shared" si="4"/>
        <v>88.183098861837905</v>
      </c>
      <c r="L44" s="536"/>
    </row>
    <row r="45" spans="1:13">
      <c r="A45" s="943">
        <v>297.5</v>
      </c>
      <c r="B45" s="536">
        <f t="shared" si="0"/>
        <v>3.14159265358979</v>
      </c>
      <c r="C45" s="536">
        <v>280</v>
      </c>
      <c r="D45" s="536">
        <v>20</v>
      </c>
      <c r="E45" s="536">
        <v>60</v>
      </c>
      <c r="F45" s="536">
        <v>40</v>
      </c>
      <c r="G45" s="536">
        <v>60</v>
      </c>
      <c r="H45" s="536">
        <v>180</v>
      </c>
      <c r="I45" s="536">
        <v>90</v>
      </c>
      <c r="J45" s="536">
        <f t="shared" si="3"/>
        <v>86.087614290087203</v>
      </c>
      <c r="K45" s="536">
        <f t="shared" si="4"/>
        <v>87.241304064947201</v>
      </c>
      <c r="L45" s="536"/>
    </row>
    <row r="46" spans="1:13">
      <c r="A46" s="943">
        <v>300</v>
      </c>
      <c r="B46" s="536">
        <f t="shared" si="0"/>
        <v>3.14159265358979</v>
      </c>
      <c r="C46" s="536">
        <v>280</v>
      </c>
      <c r="D46" s="536">
        <v>20</v>
      </c>
      <c r="E46" s="536">
        <v>60</v>
      </c>
      <c r="F46" s="536">
        <v>40</v>
      </c>
      <c r="G46" s="536">
        <v>60</v>
      </c>
      <c r="H46" s="536">
        <v>180</v>
      </c>
      <c r="I46" s="536">
        <v>90</v>
      </c>
      <c r="J46" s="536">
        <f t="shared" si="3"/>
        <v>85</v>
      </c>
      <c r="K46" s="536">
        <f t="shared" si="4"/>
        <v>86.089977810442306</v>
      </c>
      <c r="L46" s="536"/>
    </row>
    <row r="47" spans="1:13">
      <c r="A47" s="943">
        <v>302.5</v>
      </c>
      <c r="B47" s="536">
        <f t="shared" si="0"/>
        <v>3.14159265358979</v>
      </c>
      <c r="C47" s="536">
        <v>280</v>
      </c>
      <c r="D47" s="536">
        <v>20</v>
      </c>
      <c r="E47" s="536">
        <v>60</v>
      </c>
      <c r="F47" s="536">
        <v>40</v>
      </c>
      <c r="G47" s="536">
        <v>60</v>
      </c>
      <c r="H47" s="536">
        <v>180</v>
      </c>
      <c r="I47" s="536">
        <v>90</v>
      </c>
      <c r="J47" s="536">
        <f t="shared" si="3"/>
        <v>83.8268343236509</v>
      </c>
      <c r="K47" s="536">
        <f t="shared" si="4"/>
        <v>84.750790790392799</v>
      </c>
      <c r="L47" s="536"/>
    </row>
    <row r="48" spans="1:13">
      <c r="A48" s="943">
        <v>305</v>
      </c>
      <c r="B48" s="536">
        <f t="shared" si="0"/>
        <v>3.14159265358979</v>
      </c>
      <c r="C48" s="536">
        <v>280</v>
      </c>
      <c r="D48" s="536">
        <v>20</v>
      </c>
      <c r="E48" s="536">
        <v>60</v>
      </c>
      <c r="F48" s="536">
        <v>40</v>
      </c>
      <c r="G48" s="536">
        <v>60</v>
      </c>
      <c r="H48" s="536">
        <v>180</v>
      </c>
      <c r="I48" s="536">
        <v>90</v>
      </c>
      <c r="J48" s="536">
        <f t="shared" si="3"/>
        <v>82.588190451025199</v>
      </c>
      <c r="K48" s="536">
        <f t="shared" si="4"/>
        <v>83.258216097585603</v>
      </c>
      <c r="L48" s="536"/>
    </row>
    <row r="49" spans="1:12">
      <c r="A49" s="943">
        <v>307.5</v>
      </c>
      <c r="B49" s="536">
        <f t="shared" si="0"/>
        <v>3.14159265358979</v>
      </c>
      <c r="C49" s="536">
        <v>280</v>
      </c>
      <c r="D49" s="536">
        <v>20</v>
      </c>
      <c r="E49" s="536">
        <v>60</v>
      </c>
      <c r="F49" s="536">
        <v>40</v>
      </c>
      <c r="G49" s="536">
        <v>60</v>
      </c>
      <c r="H49" s="536">
        <v>180</v>
      </c>
      <c r="I49" s="536">
        <v>90</v>
      </c>
      <c r="J49" s="536">
        <f t="shared" si="3"/>
        <v>81.305261922200501</v>
      </c>
      <c r="K49" s="536">
        <f t="shared" si="4"/>
        <v>81.657179941221102</v>
      </c>
      <c r="L49" s="536"/>
    </row>
    <row r="50" spans="1:12">
      <c r="A50" s="943">
        <v>310</v>
      </c>
      <c r="B50" s="536">
        <f t="shared" si="0"/>
        <v>3.14159265358979</v>
      </c>
      <c r="C50" s="536">
        <v>280</v>
      </c>
      <c r="D50" s="536">
        <v>20</v>
      </c>
      <c r="E50" s="536">
        <v>60</v>
      </c>
      <c r="F50" s="536">
        <v>40</v>
      </c>
      <c r="G50" s="536">
        <v>60</v>
      </c>
      <c r="H50" s="536">
        <v>180</v>
      </c>
      <c r="I50" s="536">
        <v>90</v>
      </c>
      <c r="J50" s="536">
        <f t="shared" si="3"/>
        <v>80</v>
      </c>
      <c r="K50" s="536">
        <f t="shared" si="4"/>
        <v>80</v>
      </c>
      <c r="L50" s="536"/>
    </row>
    <row r="51" spans="1:12">
      <c r="A51" s="943">
        <v>312.5</v>
      </c>
      <c r="B51" s="536">
        <f t="shared" si="0"/>
        <v>3.14159265358979</v>
      </c>
      <c r="C51" s="536">
        <v>280</v>
      </c>
      <c r="D51" s="536">
        <v>20</v>
      </c>
      <c r="E51" s="536">
        <v>60</v>
      </c>
      <c r="F51" s="536">
        <v>40</v>
      </c>
      <c r="G51" s="536">
        <v>60</v>
      </c>
      <c r="H51" s="536">
        <v>180</v>
      </c>
      <c r="I51" s="536">
        <v>90</v>
      </c>
      <c r="J51" s="536">
        <f t="shared" si="3"/>
        <v>78.694738077799499</v>
      </c>
      <c r="K51" s="536">
        <f t="shared" si="4"/>
        <v>78.342820058778898</v>
      </c>
      <c r="L51" s="536"/>
    </row>
    <row r="52" spans="1:12">
      <c r="A52" s="943">
        <v>315</v>
      </c>
      <c r="B52" s="536">
        <f t="shared" si="0"/>
        <v>3.14159265358979</v>
      </c>
      <c r="C52" s="536">
        <v>280</v>
      </c>
      <c r="D52" s="536">
        <v>20</v>
      </c>
      <c r="E52" s="536">
        <v>60</v>
      </c>
      <c r="F52" s="536">
        <v>40</v>
      </c>
      <c r="G52" s="536">
        <v>60</v>
      </c>
      <c r="H52" s="536">
        <v>180</v>
      </c>
      <c r="I52" s="536">
        <v>90</v>
      </c>
      <c r="J52" s="536">
        <f t="shared" si="3"/>
        <v>77.411809548974801</v>
      </c>
      <c r="K52" s="536">
        <f t="shared" si="4"/>
        <v>76.741783902414397</v>
      </c>
      <c r="L52" s="536"/>
    </row>
    <row r="53" spans="1:12">
      <c r="A53" s="943">
        <v>317.5</v>
      </c>
      <c r="B53" s="536">
        <f t="shared" si="0"/>
        <v>3.14159265358979</v>
      </c>
      <c r="C53" s="536">
        <v>280</v>
      </c>
      <c r="D53" s="536">
        <v>20</v>
      </c>
      <c r="E53" s="536">
        <v>60</v>
      </c>
      <c r="F53" s="536">
        <v>40</v>
      </c>
      <c r="G53" s="536">
        <v>60</v>
      </c>
      <c r="H53" s="536">
        <v>180</v>
      </c>
      <c r="I53" s="536">
        <v>90</v>
      </c>
      <c r="J53" s="536">
        <f t="shared" si="3"/>
        <v>76.1731656763491</v>
      </c>
      <c r="K53" s="536">
        <f t="shared" si="4"/>
        <v>75.249209209607201</v>
      </c>
      <c r="L53" s="536"/>
    </row>
    <row r="54" spans="1:12">
      <c r="A54" s="943">
        <v>320</v>
      </c>
      <c r="B54" s="536">
        <f t="shared" si="0"/>
        <v>3.14159265358979</v>
      </c>
      <c r="C54" s="536">
        <v>280</v>
      </c>
      <c r="D54" s="536">
        <v>20</v>
      </c>
      <c r="E54" s="536">
        <v>60</v>
      </c>
      <c r="F54" s="536">
        <v>40</v>
      </c>
      <c r="G54" s="536">
        <v>60</v>
      </c>
      <c r="H54" s="536">
        <v>180</v>
      </c>
      <c r="I54" s="536">
        <v>90</v>
      </c>
      <c r="J54" s="536">
        <f t="shared" si="3"/>
        <v>75</v>
      </c>
      <c r="K54" s="536">
        <f t="shared" si="4"/>
        <v>73.910022189557694</v>
      </c>
      <c r="L54" s="536"/>
    </row>
    <row r="55" spans="1:12">
      <c r="A55" s="943">
        <v>322.5</v>
      </c>
      <c r="B55" s="536">
        <f t="shared" si="0"/>
        <v>3.14159265358979</v>
      </c>
      <c r="C55" s="536">
        <v>280</v>
      </c>
      <c r="D55" s="536">
        <v>20</v>
      </c>
      <c r="E55" s="536">
        <v>60</v>
      </c>
      <c r="F55" s="536">
        <v>40</v>
      </c>
      <c r="G55" s="536">
        <v>60</v>
      </c>
      <c r="H55" s="536">
        <v>180</v>
      </c>
      <c r="I55" s="536">
        <v>90</v>
      </c>
      <c r="J55" s="536">
        <f t="shared" si="3"/>
        <v>73.912385709912797</v>
      </c>
      <c r="K55" s="536">
        <f t="shared" si="4"/>
        <v>72.758695935052799</v>
      </c>
      <c r="L55" s="536"/>
    </row>
    <row r="56" spans="1:12">
      <c r="A56" s="943">
        <v>325</v>
      </c>
      <c r="B56" s="536">
        <f t="shared" si="0"/>
        <v>3.14159265358979</v>
      </c>
      <c r="C56" s="536">
        <v>280</v>
      </c>
      <c r="D56" s="536">
        <v>20</v>
      </c>
      <c r="E56" s="536">
        <v>60</v>
      </c>
      <c r="F56" s="536">
        <v>40</v>
      </c>
      <c r="G56" s="536">
        <v>60</v>
      </c>
      <c r="H56" s="536">
        <v>180</v>
      </c>
      <c r="I56" s="536">
        <v>90</v>
      </c>
      <c r="J56" s="536">
        <f t="shared" si="3"/>
        <v>72.928932188134496</v>
      </c>
      <c r="K56" s="536">
        <f t="shared" si="4"/>
        <v>71.816901138162095</v>
      </c>
      <c r="L56" s="536"/>
    </row>
    <row r="57" spans="1:12">
      <c r="A57" s="943">
        <v>327.5</v>
      </c>
      <c r="B57" s="536">
        <f t="shared" si="0"/>
        <v>3.14159265358979</v>
      </c>
      <c r="C57" s="536">
        <v>280</v>
      </c>
      <c r="D57" s="536">
        <v>20</v>
      </c>
      <c r="E57" s="536">
        <v>60</v>
      </c>
      <c r="F57" s="536">
        <v>40</v>
      </c>
      <c r="G57" s="536">
        <v>60</v>
      </c>
      <c r="H57" s="536">
        <v>180</v>
      </c>
      <c r="I57" s="536">
        <v>90</v>
      </c>
      <c r="J57" s="536">
        <f t="shared" si="3"/>
        <v>72.066466597087697</v>
      </c>
      <c r="K57" s="536">
        <f t="shared" si="4"/>
        <v>71.092029268386099</v>
      </c>
      <c r="L57" s="536"/>
    </row>
    <row r="58" spans="1:12">
      <c r="A58" s="943">
        <v>330</v>
      </c>
      <c r="B58" s="536">
        <f t="shared" si="0"/>
        <v>3.14159265358979</v>
      </c>
      <c r="C58" s="536">
        <v>280</v>
      </c>
      <c r="D58" s="536">
        <v>20</v>
      </c>
      <c r="E58" s="536">
        <v>60</v>
      </c>
      <c r="F58" s="536">
        <v>40</v>
      </c>
      <c r="G58" s="536">
        <v>60</v>
      </c>
      <c r="H58" s="536">
        <v>180</v>
      </c>
      <c r="I58" s="536">
        <v>90</v>
      </c>
      <c r="J58" s="536">
        <f t="shared" si="3"/>
        <v>71.339745962155604</v>
      </c>
      <c r="K58" s="536">
        <f t="shared" si="4"/>
        <v>70.576688856224393</v>
      </c>
      <c r="L58" s="536"/>
    </row>
    <row r="59" spans="1:12">
      <c r="A59" s="943">
        <v>332.5</v>
      </c>
      <c r="B59" s="536">
        <f t="shared" si="0"/>
        <v>3.14159265358979</v>
      </c>
      <c r="C59" s="536">
        <v>280</v>
      </c>
      <c r="D59" s="536">
        <v>20</v>
      </c>
      <c r="E59" s="536">
        <v>60</v>
      </c>
      <c r="F59" s="536">
        <v>40</v>
      </c>
      <c r="G59" s="536">
        <v>60</v>
      </c>
      <c r="H59" s="536">
        <v>180</v>
      </c>
      <c r="I59" s="536">
        <v>90</v>
      </c>
      <c r="J59" s="536">
        <f t="shared" si="3"/>
        <v>70.761204674887097</v>
      </c>
      <c r="K59" s="536">
        <f t="shared" si="4"/>
        <v>70.249209209607201</v>
      </c>
      <c r="L59" s="536"/>
    </row>
    <row r="60" spans="1:12">
      <c r="A60" s="943">
        <v>335</v>
      </c>
      <c r="B60" s="536">
        <f t="shared" si="0"/>
        <v>3.14159265358979</v>
      </c>
      <c r="C60" s="536">
        <v>280</v>
      </c>
      <c r="D60" s="536">
        <v>20</v>
      </c>
      <c r="E60" s="536">
        <v>60</v>
      </c>
      <c r="F60" s="536">
        <v>40</v>
      </c>
      <c r="G60" s="536">
        <v>60</v>
      </c>
      <c r="H60" s="536">
        <v>180</v>
      </c>
      <c r="I60" s="536">
        <v>90</v>
      </c>
      <c r="J60" s="536">
        <f t="shared" si="3"/>
        <v>70.340741737109298</v>
      </c>
      <c r="K60" s="536">
        <f t="shared" si="4"/>
        <v>70.075117235747697</v>
      </c>
      <c r="L60" s="536"/>
    </row>
    <row r="61" spans="1:12">
      <c r="A61" s="943">
        <v>337.5</v>
      </c>
      <c r="B61" s="536">
        <f t="shared" si="0"/>
        <v>3.14159265358979</v>
      </c>
      <c r="C61" s="536">
        <v>280</v>
      </c>
      <c r="D61" s="536">
        <v>20</v>
      </c>
      <c r="E61" s="536">
        <v>60</v>
      </c>
      <c r="F61" s="536">
        <v>40</v>
      </c>
      <c r="G61" s="536">
        <v>60</v>
      </c>
      <c r="H61" s="536">
        <v>180</v>
      </c>
      <c r="I61" s="536">
        <v>90</v>
      </c>
      <c r="J61" s="536">
        <f t="shared" si="3"/>
        <v>70.085551386261898</v>
      </c>
      <c r="K61" s="536">
        <f t="shared" si="4"/>
        <v>70.009486725445498</v>
      </c>
      <c r="L61" s="536"/>
    </row>
    <row r="62" spans="1:12">
      <c r="A62" s="943">
        <v>340</v>
      </c>
      <c r="B62" s="536">
        <f t="shared" si="0"/>
        <v>3.14159265358979</v>
      </c>
      <c r="C62" s="536">
        <v>280</v>
      </c>
      <c r="D62" s="536">
        <v>20</v>
      </c>
      <c r="E62" s="536">
        <v>60</v>
      </c>
      <c r="F62" s="536">
        <v>40</v>
      </c>
      <c r="G62" s="536">
        <v>60</v>
      </c>
      <c r="H62" s="536">
        <v>180</v>
      </c>
      <c r="I62" s="536">
        <v>90</v>
      </c>
      <c r="J62" s="536">
        <f t="shared" si="3"/>
        <v>70</v>
      </c>
      <c r="K62" s="536">
        <f t="shared" si="4"/>
        <v>70</v>
      </c>
      <c r="L62" s="536"/>
    </row>
    <row r="63" spans="1:12">
      <c r="B63" s="105">
        <f t="shared" si="0"/>
        <v>3.14159265358979</v>
      </c>
      <c r="C63" s="105">
        <v>280</v>
      </c>
      <c r="D63" s="105">
        <v>20</v>
      </c>
      <c r="E63" s="105">
        <v>60</v>
      </c>
      <c r="F63" s="105">
        <v>40</v>
      </c>
      <c r="G63" s="105">
        <v>60</v>
      </c>
      <c r="H63" s="105">
        <v>180</v>
      </c>
      <c r="I63" s="105">
        <v>90</v>
      </c>
    </row>
    <row r="64" spans="1:12">
      <c r="B64" s="105">
        <f t="shared" si="0"/>
        <v>3.14159265358979</v>
      </c>
      <c r="C64" s="105">
        <v>280</v>
      </c>
      <c r="D64" s="105">
        <v>20</v>
      </c>
      <c r="E64" s="105">
        <v>60</v>
      </c>
      <c r="F64" s="105">
        <v>40</v>
      </c>
      <c r="G64" s="105">
        <v>60</v>
      </c>
      <c r="H64" s="105">
        <v>180</v>
      </c>
      <c r="I64" s="105">
        <v>90</v>
      </c>
    </row>
    <row r="65" spans="2:9">
      <c r="B65" s="105">
        <f t="shared" si="0"/>
        <v>3.14159265358979</v>
      </c>
      <c r="C65" s="105">
        <v>280</v>
      </c>
      <c r="D65" s="105">
        <v>20</v>
      </c>
      <c r="E65" s="105">
        <v>60</v>
      </c>
      <c r="F65" s="105">
        <v>40</v>
      </c>
      <c r="G65" s="105">
        <v>60</v>
      </c>
      <c r="H65" s="105">
        <v>180</v>
      </c>
      <c r="I65" s="105">
        <v>90</v>
      </c>
    </row>
    <row r="66" spans="2:9">
      <c r="B66" s="105">
        <f t="shared" si="0"/>
        <v>3.14159265358979</v>
      </c>
      <c r="C66" s="105">
        <v>280</v>
      </c>
      <c r="D66" s="105">
        <v>20</v>
      </c>
      <c r="E66" s="105">
        <v>60</v>
      </c>
      <c r="F66" s="105">
        <v>40</v>
      </c>
      <c r="G66" s="105">
        <v>60</v>
      </c>
      <c r="H66" s="105">
        <v>180</v>
      </c>
      <c r="I66" s="105">
        <v>90</v>
      </c>
    </row>
    <row r="67" spans="2:9">
      <c r="B67" s="105">
        <f t="shared" si="0"/>
        <v>3.14159265358979</v>
      </c>
      <c r="C67" s="105">
        <v>280</v>
      </c>
      <c r="D67" s="105">
        <v>20</v>
      </c>
      <c r="E67" s="105">
        <v>60</v>
      </c>
      <c r="F67" s="105">
        <v>40</v>
      </c>
      <c r="G67" s="105">
        <v>60</v>
      </c>
      <c r="H67" s="105">
        <v>180</v>
      </c>
      <c r="I67" s="105">
        <v>90</v>
      </c>
    </row>
    <row r="68" spans="2:9">
      <c r="B68" s="105">
        <f t="shared" ref="B68:B76" si="5">PI()</f>
        <v>3.14159265358979</v>
      </c>
      <c r="C68" s="105">
        <v>280</v>
      </c>
      <c r="D68" s="105">
        <v>20</v>
      </c>
      <c r="E68" s="105">
        <v>60</v>
      </c>
      <c r="F68" s="105">
        <v>40</v>
      </c>
      <c r="G68" s="105">
        <v>60</v>
      </c>
      <c r="H68" s="105">
        <v>180</v>
      </c>
      <c r="I68" s="105">
        <v>90</v>
      </c>
    </row>
    <row r="69" spans="2:9">
      <c r="B69" s="105">
        <f t="shared" si="5"/>
        <v>3.14159265358979</v>
      </c>
      <c r="C69" s="105">
        <v>280</v>
      </c>
      <c r="D69" s="105">
        <v>20</v>
      </c>
      <c r="E69" s="105">
        <v>60</v>
      </c>
      <c r="F69" s="105">
        <v>40</v>
      </c>
      <c r="G69" s="105">
        <v>60</v>
      </c>
      <c r="H69" s="105">
        <v>180</v>
      </c>
      <c r="I69" s="105">
        <v>90</v>
      </c>
    </row>
    <row r="70" spans="2:9">
      <c r="B70" s="105">
        <f t="shared" si="5"/>
        <v>3.14159265358979</v>
      </c>
      <c r="C70" s="105">
        <v>280</v>
      </c>
      <c r="D70" s="105">
        <v>20</v>
      </c>
      <c r="E70" s="105">
        <v>60</v>
      </c>
      <c r="F70" s="105">
        <v>40</v>
      </c>
      <c r="G70" s="105">
        <v>60</v>
      </c>
      <c r="H70" s="105">
        <v>180</v>
      </c>
      <c r="I70" s="105">
        <v>90</v>
      </c>
    </row>
    <row r="71" spans="2:9">
      <c r="B71" s="105">
        <f t="shared" si="5"/>
        <v>3.14159265358979</v>
      </c>
      <c r="C71" s="105">
        <v>280</v>
      </c>
      <c r="D71" s="105">
        <v>20</v>
      </c>
      <c r="E71" s="105">
        <v>60</v>
      </c>
      <c r="F71" s="105">
        <v>40</v>
      </c>
      <c r="G71" s="105">
        <v>60</v>
      </c>
      <c r="H71" s="105">
        <v>180</v>
      </c>
      <c r="I71" s="105">
        <v>90</v>
      </c>
    </row>
    <row r="72" spans="2:9">
      <c r="B72" s="105">
        <f t="shared" si="5"/>
        <v>3.14159265358979</v>
      </c>
      <c r="C72" s="105">
        <v>280</v>
      </c>
      <c r="D72" s="105">
        <v>20</v>
      </c>
      <c r="E72" s="105">
        <v>60</v>
      </c>
      <c r="F72" s="105">
        <v>40</v>
      </c>
      <c r="G72" s="105">
        <v>60</v>
      </c>
      <c r="H72" s="105">
        <v>180</v>
      </c>
      <c r="I72" s="105">
        <v>90</v>
      </c>
    </row>
    <row r="73" spans="2:9">
      <c r="B73" s="105">
        <f t="shared" si="5"/>
        <v>3.14159265358979</v>
      </c>
      <c r="C73" s="105">
        <v>280</v>
      </c>
      <c r="D73" s="105">
        <v>20</v>
      </c>
      <c r="E73" s="105">
        <v>60</v>
      </c>
      <c r="F73" s="105">
        <v>40</v>
      </c>
      <c r="G73" s="105">
        <v>60</v>
      </c>
      <c r="H73" s="105">
        <v>180</v>
      </c>
      <c r="I73" s="105">
        <v>90</v>
      </c>
    </row>
    <row r="74" spans="2:9">
      <c r="B74" s="105">
        <f t="shared" si="5"/>
        <v>3.14159265358979</v>
      </c>
      <c r="C74" s="105">
        <v>280</v>
      </c>
      <c r="D74" s="105">
        <v>20</v>
      </c>
      <c r="E74" s="105">
        <v>60</v>
      </c>
      <c r="F74" s="105">
        <v>40</v>
      </c>
      <c r="G74" s="105">
        <v>60</v>
      </c>
      <c r="H74" s="105">
        <v>180</v>
      </c>
      <c r="I74" s="105">
        <v>90</v>
      </c>
    </row>
    <row r="75" spans="2:9">
      <c r="B75" s="105">
        <f t="shared" si="5"/>
        <v>3.14159265358979</v>
      </c>
      <c r="C75" s="105">
        <v>280</v>
      </c>
      <c r="D75" s="105">
        <v>20</v>
      </c>
      <c r="E75" s="105">
        <v>60</v>
      </c>
      <c r="F75" s="105">
        <v>40</v>
      </c>
      <c r="G75" s="105">
        <v>60</v>
      </c>
      <c r="H75" s="105">
        <v>180</v>
      </c>
      <c r="I75" s="105">
        <v>90</v>
      </c>
    </row>
    <row r="76" spans="2:9">
      <c r="B76" s="105">
        <f t="shared" si="5"/>
        <v>3.14159265358979</v>
      </c>
      <c r="C76" s="105">
        <v>280</v>
      </c>
      <c r="D76" s="105">
        <v>20</v>
      </c>
      <c r="E76" s="105">
        <v>60</v>
      </c>
      <c r="F76" s="105">
        <v>40</v>
      </c>
      <c r="G76" s="105">
        <v>60</v>
      </c>
      <c r="H76" s="105">
        <v>180</v>
      </c>
      <c r="I76" s="105">
        <v>90</v>
      </c>
    </row>
  </sheetData>
  <mergeCells count="2">
    <mergeCell ref="A1:K1"/>
    <mergeCell ref="A2:L2"/>
  </mergeCells>
  <phoneticPr fontId="214" type="noConversion"/>
  <pageMargins left="0.38888888888888901" right="0.38888888888888901" top="0.38888888888888901" bottom="0.38888888888888901" header="0.50902777777777797" footer="0.50902777777777797"/>
  <pageSetup paperSize="9" orientation="landscape"/>
  <headerFooter scaleWithDoc="0" alignWithMargins="0"/>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dimension ref="A1:N363"/>
  <sheetViews>
    <sheetView zoomScale="70" zoomScaleNormal="70" workbookViewId="0">
      <selection activeCell="M38" sqref="M38"/>
    </sheetView>
  </sheetViews>
  <sheetFormatPr defaultColWidth="8.75" defaultRowHeight="14.25"/>
  <cols>
    <col min="3" max="3" width="9" style="2556" customWidth="1"/>
    <col min="6" max="6" width="7.5" customWidth="1"/>
    <col min="7" max="7" width="18.5" customWidth="1"/>
  </cols>
  <sheetData>
    <row r="1" spans="1:14" ht="36.75" customHeight="1">
      <c r="D1" s="4972" t="s">
        <v>9972</v>
      </c>
      <c r="E1" s="4972"/>
      <c r="F1" s="4972"/>
      <c r="G1" s="4972"/>
      <c r="H1" s="4972"/>
      <c r="I1" s="4972"/>
      <c r="J1" s="4972"/>
      <c r="K1" s="4972"/>
      <c r="L1" s="4972"/>
      <c r="M1" s="4972"/>
    </row>
    <row r="2" spans="1:14" s="2555" customFormat="1" ht="20.25" customHeight="1">
      <c r="A2" s="2557" t="s">
        <v>9973</v>
      </c>
      <c r="B2" s="2558">
        <v>25</v>
      </c>
      <c r="C2" s="2557" t="s">
        <v>9974</v>
      </c>
      <c r="D2" s="2558">
        <v>40</v>
      </c>
      <c r="E2" s="2557" t="s">
        <v>9975</v>
      </c>
      <c r="F2" s="2558">
        <v>5</v>
      </c>
    </row>
    <row r="3" spans="1:14">
      <c r="A3">
        <f t="shared" ref="A3:A66" si="0">52.03-5</f>
        <v>47.03</v>
      </c>
      <c r="B3">
        <v>0</v>
      </c>
      <c r="C3" s="2556">
        <f t="shared" ref="C3:C66" si="1">B3*PI()/180</f>
        <v>0</v>
      </c>
      <c r="D3">
        <f>(2.97*7.2)/PI()*C3+A3</f>
        <v>47.03</v>
      </c>
      <c r="G3">
        <f t="shared" ref="G3:G66" si="2">D3*SIN(C3)</f>
        <v>0</v>
      </c>
      <c r="H3">
        <f t="shared" ref="H3:H66" si="3">D3*COS(C3)</f>
        <v>47.03</v>
      </c>
    </row>
    <row r="4" spans="1:14">
      <c r="A4">
        <f t="shared" si="0"/>
        <v>47.03</v>
      </c>
      <c r="B4" s="1237">
        <v>1</v>
      </c>
      <c r="C4" s="2556">
        <f t="shared" si="1"/>
        <v>1.7453292519943299E-2</v>
      </c>
      <c r="D4">
        <f>(2.97*7.2)/PI()*C4+A4</f>
        <v>47.148800000000001</v>
      </c>
      <c r="G4">
        <f t="shared" si="2"/>
        <v>0.82286002063019303</v>
      </c>
      <c r="H4">
        <f t="shared" si="3"/>
        <v>47.1416190093897</v>
      </c>
    </row>
    <row r="5" spans="1:14">
      <c r="A5">
        <f t="shared" si="0"/>
        <v>47.03</v>
      </c>
      <c r="B5" s="1237">
        <v>2</v>
      </c>
      <c r="C5" s="2556">
        <f t="shared" si="1"/>
        <v>3.4906585039886598E-2</v>
      </c>
      <c r="D5">
        <f>(2.97*7.2)/PI()*C5+A5</f>
        <v>47.267600000000002</v>
      </c>
      <c r="G5">
        <f t="shared" si="2"/>
        <v>1.6496154503351299</v>
      </c>
      <c r="H5">
        <f t="shared" si="3"/>
        <v>47.238805855207801</v>
      </c>
      <c r="J5" s="4973"/>
      <c r="K5" s="4973"/>
      <c r="L5" s="4973"/>
      <c r="M5" s="4973"/>
      <c r="N5" s="4973"/>
    </row>
    <row r="6" spans="1:14">
      <c r="A6">
        <f t="shared" si="0"/>
        <v>47.03</v>
      </c>
      <c r="B6" s="1237">
        <v>3</v>
      </c>
      <c r="C6" s="2556">
        <f t="shared" si="1"/>
        <v>5.2359877559829897E-2</v>
      </c>
      <c r="D6">
        <f t="shared" ref="D6:D27" si="4">2.97*7.2/PI()*C6+A6</f>
        <v>47.386400000000002</v>
      </c>
      <c r="G6">
        <f t="shared" si="2"/>
        <v>2.4800125569106299</v>
      </c>
      <c r="H6">
        <f t="shared" si="3"/>
        <v>47.321458585694103</v>
      </c>
      <c r="J6" s="4973"/>
      <c r="K6" s="4973"/>
      <c r="L6" s="4973"/>
      <c r="M6" s="4973"/>
      <c r="N6" s="4973"/>
    </row>
    <row r="7" spans="1:14">
      <c r="A7">
        <f t="shared" si="0"/>
        <v>47.03</v>
      </c>
      <c r="B7" s="1237">
        <v>4</v>
      </c>
      <c r="C7" s="2556">
        <f t="shared" si="1"/>
        <v>6.9813170079773196E-2</v>
      </c>
      <c r="D7">
        <f t="shared" si="4"/>
        <v>47.505200000000002</v>
      </c>
      <c r="G7">
        <f t="shared" si="2"/>
        <v>3.3137952365094199</v>
      </c>
      <c r="H7">
        <f t="shared" si="3"/>
        <v>47.389479720403003</v>
      </c>
    </row>
    <row r="8" spans="1:14">
      <c r="A8">
        <f t="shared" si="0"/>
        <v>47.03</v>
      </c>
      <c r="B8" s="1237">
        <v>5</v>
      </c>
      <c r="C8" s="2556">
        <f t="shared" si="1"/>
        <v>8.7266462599716502E-2</v>
      </c>
      <c r="D8">
        <f t="shared" si="4"/>
        <v>47.624000000000002</v>
      </c>
      <c r="G8">
        <f t="shared" si="2"/>
        <v>4.1507050926144702</v>
      </c>
      <c r="H8">
        <f t="shared" si="3"/>
        <v>47.442776301921299</v>
      </c>
    </row>
    <row r="9" spans="1:14">
      <c r="A9">
        <f t="shared" si="0"/>
        <v>47.03</v>
      </c>
      <c r="B9" s="1237">
        <v>6</v>
      </c>
      <c r="C9" s="2556">
        <f t="shared" si="1"/>
        <v>0.10471975511966</v>
      </c>
      <c r="D9">
        <f t="shared" si="4"/>
        <v>47.742800000000003</v>
      </c>
      <c r="G9">
        <f t="shared" si="2"/>
        <v>4.9904815160949303</v>
      </c>
      <c r="H9">
        <f t="shared" si="3"/>
        <v>47.481259946188402</v>
      </c>
    </row>
    <row r="10" spans="1:14">
      <c r="A10">
        <f t="shared" si="0"/>
        <v>47.03</v>
      </c>
      <c r="B10" s="1237">
        <v>7</v>
      </c>
      <c r="C10" s="2556">
        <f t="shared" si="1"/>
        <v>0.122173047639603</v>
      </c>
      <c r="D10">
        <f t="shared" si="4"/>
        <v>47.861600000000003</v>
      </c>
      <c r="G10">
        <f t="shared" si="2"/>
        <v>5.8328617663198097</v>
      </c>
      <c r="H10">
        <f t="shared" si="3"/>
        <v>47.504846891396298</v>
      </c>
    </row>
    <row r="11" spans="1:14">
      <c r="A11">
        <f t="shared" si="0"/>
        <v>47.03</v>
      </c>
      <c r="B11" s="1237">
        <v>8</v>
      </c>
      <c r="C11" s="2556">
        <f t="shared" si="1"/>
        <v>0.139626340159546</v>
      </c>
      <c r="D11">
        <f t="shared" si="4"/>
        <v>47.980400000000003</v>
      </c>
      <c r="G11">
        <f t="shared" si="2"/>
        <v>6.6775810533043201</v>
      </c>
      <c r="H11">
        <f t="shared" si="3"/>
        <v>47.513458045447997</v>
      </c>
    </row>
    <row r="12" spans="1:14">
      <c r="A12">
        <f t="shared" si="0"/>
        <v>47.03</v>
      </c>
      <c r="B12" s="1237">
        <v>9</v>
      </c>
      <c r="C12" s="2556">
        <f t="shared" si="1"/>
        <v>0.15707963267948999</v>
      </c>
      <c r="D12">
        <f t="shared" si="4"/>
        <v>48.099200000000003</v>
      </c>
      <c r="G12">
        <f t="shared" si="2"/>
        <v>7.5243726208630699</v>
      </c>
      <c r="H12">
        <f t="shared" si="3"/>
        <v>47.507019031953703</v>
      </c>
    </row>
    <row r="13" spans="1:14">
      <c r="A13">
        <f t="shared" si="0"/>
        <v>47.03</v>
      </c>
      <c r="B13" s="1237">
        <v>10</v>
      </c>
      <c r="C13" s="2556">
        <f t="shared" si="1"/>
        <v>0.174532925199433</v>
      </c>
      <c r="D13">
        <f t="shared" si="4"/>
        <v>48.218000000000004</v>
      </c>
      <c r="G13">
        <f t="shared" si="2"/>
        <v>8.3729678307440505</v>
      </c>
      <c r="H13">
        <f t="shared" si="3"/>
        <v>47.485460234742597</v>
      </c>
    </row>
    <row r="14" spans="1:14">
      <c r="A14">
        <f t="shared" si="0"/>
        <v>47.03</v>
      </c>
      <c r="B14" s="1237">
        <v>11</v>
      </c>
      <c r="C14" s="2556">
        <f t="shared" si="1"/>
        <v>0.19198621771937599</v>
      </c>
      <c r="D14">
        <f t="shared" si="4"/>
        <v>48.336799999999997</v>
      </c>
      <c r="G14">
        <f t="shared" si="2"/>
        <v>9.2230962477169705</v>
      </c>
      <c r="H14">
        <f t="shared" si="3"/>
        <v>47.448716840872997</v>
      </c>
    </row>
    <row r="15" spans="1:14">
      <c r="A15">
        <f t="shared" si="0"/>
        <v>47.03</v>
      </c>
      <c r="B15" s="1237">
        <v>12</v>
      </c>
      <c r="C15" s="2556">
        <f t="shared" si="1"/>
        <v>0.20943951023932</v>
      </c>
      <c r="D15">
        <f t="shared" si="4"/>
        <v>48.455599999999997</v>
      </c>
      <c r="G15">
        <f t="shared" si="2"/>
        <v>10.074485725589</v>
      </c>
      <c r="H15">
        <f t="shared" si="3"/>
        <v>47.396728882117003</v>
      </c>
    </row>
    <row r="16" spans="1:14">
      <c r="A16">
        <f t="shared" si="0"/>
        <v>47.03</v>
      </c>
      <c r="B16" s="1237">
        <v>13</v>
      </c>
      <c r="C16" s="2556">
        <f t="shared" si="1"/>
        <v>0.22689280275926299</v>
      </c>
      <c r="D16">
        <f t="shared" si="4"/>
        <v>48.574399999999997</v>
      </c>
      <c r="G16">
        <f t="shared" si="2"/>
        <v>10.9268624941206</v>
      </c>
      <c r="H16">
        <f t="shared" si="3"/>
        <v>47.3294412749039</v>
      </c>
    </row>
    <row r="17" spans="1:8">
      <c r="A17">
        <f t="shared" si="0"/>
        <v>47.03</v>
      </c>
      <c r="B17" s="1237">
        <v>14</v>
      </c>
      <c r="C17" s="2556">
        <f t="shared" si="1"/>
        <v>0.244346095279206</v>
      </c>
      <c r="D17">
        <f t="shared" si="4"/>
        <v>48.693199999999997</v>
      </c>
      <c r="G17">
        <f t="shared" si="2"/>
        <v>11.779951246813701</v>
      </c>
      <c r="H17">
        <f t="shared" si="3"/>
        <v>47.2468038587024</v>
      </c>
    </row>
    <row r="18" spans="1:8">
      <c r="A18">
        <f t="shared" si="0"/>
        <v>47.03</v>
      </c>
      <c r="B18" s="1237">
        <v>15</v>
      </c>
      <c r="C18" s="2556">
        <f t="shared" si="1"/>
        <v>0.26179938779914902</v>
      </c>
      <c r="D18">
        <f t="shared" si="4"/>
        <v>48.811999999999998</v>
      </c>
      <c r="G18">
        <f t="shared" si="2"/>
        <v>12.633475229544199</v>
      </c>
      <c r="H18">
        <f t="shared" si="3"/>
        <v>47.148771432822002</v>
      </c>
    </row>
    <row r="19" spans="1:8">
      <c r="A19">
        <f t="shared" si="0"/>
        <v>47.03</v>
      </c>
      <c r="B19" s="1237">
        <v>16</v>
      </c>
      <c r="C19" s="2556">
        <f t="shared" si="1"/>
        <v>0.27925268031909301</v>
      </c>
      <c r="D19">
        <f t="shared" si="4"/>
        <v>48.930799999999998</v>
      </c>
      <c r="G19">
        <f t="shared" si="2"/>
        <v>13.4871563300104</v>
      </c>
      <c r="H19">
        <f t="shared" si="3"/>
        <v>47.035303791618702</v>
      </c>
    </row>
    <row r="20" spans="1:8">
      <c r="A20">
        <f t="shared" si="0"/>
        <v>47.03</v>
      </c>
      <c r="B20" s="1237">
        <v>17</v>
      </c>
      <c r="C20" s="2556">
        <f t="shared" si="1"/>
        <v>0.29670597283903599</v>
      </c>
      <c r="D20">
        <f t="shared" si="4"/>
        <v>49.049599999999998</v>
      </c>
      <c r="G20">
        <f t="shared" si="2"/>
        <v>14.3407151679683</v>
      </c>
      <c r="H20">
        <f t="shared" si="3"/>
        <v>46.906365758084497</v>
      </c>
    </row>
    <row r="21" spans="1:8">
      <c r="A21">
        <f t="shared" si="0"/>
        <v>47.03</v>
      </c>
      <c r="B21" s="1237">
        <v>18</v>
      </c>
      <c r="C21" s="2556">
        <f t="shared" si="1"/>
        <v>0.31415926535897898</v>
      </c>
      <c r="D21">
        <f t="shared" si="4"/>
        <v>49.168399999999998</v>
      </c>
      <c r="G21">
        <f t="shared" si="2"/>
        <v>15.1938711862252</v>
      </c>
      <c r="H21">
        <f t="shared" si="3"/>
        <v>46.761927215806601</v>
      </c>
    </row>
    <row r="22" spans="1:8">
      <c r="A22">
        <f t="shared" si="0"/>
        <v>47.03</v>
      </c>
      <c r="B22" s="1237">
        <v>19</v>
      </c>
      <c r="C22" s="2556">
        <f t="shared" si="1"/>
        <v>0.33161255787892302</v>
      </c>
      <c r="D22">
        <f t="shared" si="4"/>
        <v>49.287199999999999</v>
      </c>
      <c r="G22">
        <f t="shared" si="2"/>
        <v>16.0463427423608</v>
      </c>
      <c r="H22">
        <f t="shared" si="3"/>
        <v>46.601963139278602</v>
      </c>
    </row>
    <row r="23" spans="1:8">
      <c r="A23">
        <f t="shared" si="0"/>
        <v>47.03</v>
      </c>
      <c r="B23" s="1237">
        <v>20</v>
      </c>
      <c r="C23" s="2556">
        <f t="shared" si="1"/>
        <v>0.34906585039886601</v>
      </c>
      <c r="D23">
        <f t="shared" si="4"/>
        <v>49.405999999999999</v>
      </c>
      <c r="G23">
        <f t="shared" si="2"/>
        <v>16.897847201148</v>
      </c>
      <c r="H23">
        <f t="shared" si="3"/>
        <v>46.4264536225486</v>
      </c>
    </row>
    <row r="24" spans="1:8">
      <c r="A24">
        <f t="shared" si="0"/>
        <v>47.03</v>
      </c>
      <c r="B24" s="1237">
        <v>21</v>
      </c>
      <c r="C24" s="2556">
        <f t="shared" si="1"/>
        <v>0.36651914291880899</v>
      </c>
      <c r="D24">
        <f t="shared" si="4"/>
        <v>49.524799999999999</v>
      </c>
      <c r="G24">
        <f t="shared" si="2"/>
        <v>17.748101027641098</v>
      </c>
      <c r="H24">
        <f t="shared" si="3"/>
        <v>46.235383906188602</v>
      </c>
    </row>
    <row r="25" spans="1:8">
      <c r="A25">
        <f t="shared" si="0"/>
        <v>47.03</v>
      </c>
      <c r="B25" s="1237">
        <v>22</v>
      </c>
      <c r="C25" s="2556">
        <f t="shared" si="1"/>
        <v>0.38397243543875198</v>
      </c>
      <c r="D25">
        <f t="shared" si="4"/>
        <v>49.643599999999999</v>
      </c>
      <c r="G25">
        <f t="shared" si="2"/>
        <v>18.596819880902199</v>
      </c>
      <c r="H25">
        <f t="shared" si="3"/>
        <v>46.028744402571803</v>
      </c>
    </row>
    <row r="26" spans="1:8">
      <c r="A26">
        <f t="shared" si="0"/>
        <v>47.03</v>
      </c>
      <c r="B26" s="1237">
        <v>23</v>
      </c>
      <c r="C26" s="2556">
        <f t="shared" si="1"/>
        <v>0.40142572795869602</v>
      </c>
      <c r="D26">
        <f t="shared" si="4"/>
        <v>49.7624</v>
      </c>
      <c r="G26">
        <f t="shared" si="2"/>
        <v>19.4437187083346</v>
      </c>
      <c r="H26">
        <f t="shared" si="3"/>
        <v>45.806530719441703</v>
      </c>
    </row>
    <row r="27" spans="1:8">
      <c r="A27">
        <f t="shared" si="0"/>
        <v>47.03</v>
      </c>
      <c r="B27" s="1237">
        <v>24</v>
      </c>
      <c r="C27" s="2556">
        <f t="shared" si="1"/>
        <v>0.41887902047863901</v>
      </c>
      <c r="D27">
        <f t="shared" si="4"/>
        <v>49.8812</v>
      </c>
      <c r="G27">
        <f t="shared" si="2"/>
        <v>20.288511840592601</v>
      </c>
      <c r="H27">
        <f t="shared" si="3"/>
        <v>45.568743681762101</v>
      </c>
    </row>
    <row r="28" spans="1:8">
      <c r="A28">
        <f t="shared" si="0"/>
        <v>47.03</v>
      </c>
      <c r="B28" s="1237">
        <v>25</v>
      </c>
      <c r="C28" s="2556">
        <f t="shared" si="1"/>
        <v>0.43633231299858199</v>
      </c>
      <c r="D28">
        <f>2.97*7.2/PI()*C28+A28+0.03</f>
        <v>50.03</v>
      </c>
      <c r="G28">
        <f t="shared" si="2"/>
        <v>21.143591634887201</v>
      </c>
      <c r="H28">
        <f t="shared" si="3"/>
        <v>45.342578585443597</v>
      </c>
    </row>
    <row r="29" spans="1:8">
      <c r="A29">
        <f t="shared" si="0"/>
        <v>47.03</v>
      </c>
      <c r="B29" s="55">
        <v>26</v>
      </c>
      <c r="C29" s="2556">
        <f t="shared" si="1"/>
        <v>0.45378560551852598</v>
      </c>
      <c r="D29">
        <v>50.03</v>
      </c>
      <c r="G29">
        <f t="shared" si="2"/>
        <v>21.931708473857501</v>
      </c>
      <c r="H29">
        <f t="shared" si="3"/>
        <v>44.9666661363473</v>
      </c>
    </row>
    <row r="30" spans="1:8">
      <c r="A30">
        <f t="shared" si="0"/>
        <v>47.03</v>
      </c>
      <c r="B30" s="55">
        <v>27</v>
      </c>
      <c r="C30" s="2556">
        <f t="shared" si="1"/>
        <v>0.47123889803846902</v>
      </c>
      <c r="D30">
        <v>50.03</v>
      </c>
      <c r="G30">
        <f t="shared" si="2"/>
        <v>22.713144701969501</v>
      </c>
      <c r="H30">
        <f t="shared" si="3"/>
        <v>44.577056405143999</v>
      </c>
    </row>
    <row r="31" spans="1:8">
      <c r="A31">
        <f t="shared" si="0"/>
        <v>47.03</v>
      </c>
      <c r="B31" s="55">
        <v>28</v>
      </c>
      <c r="C31" s="2556">
        <f t="shared" si="1"/>
        <v>0.48869219055841201</v>
      </c>
      <c r="D31">
        <v>50.03</v>
      </c>
      <c r="G31">
        <f t="shared" si="2"/>
        <v>23.4876622861781</v>
      </c>
      <c r="H31">
        <f t="shared" si="3"/>
        <v>44.173868070732098</v>
      </c>
    </row>
    <row r="32" spans="1:8">
      <c r="A32">
        <f t="shared" si="0"/>
        <v>47.03</v>
      </c>
      <c r="B32" s="55">
        <v>29</v>
      </c>
      <c r="C32" s="2556">
        <f t="shared" si="1"/>
        <v>0.50614548307835605</v>
      </c>
      <c r="D32">
        <v>50.03</v>
      </c>
      <c r="G32">
        <f t="shared" si="2"/>
        <v>24.255025300924199</v>
      </c>
      <c r="H32">
        <f t="shared" si="3"/>
        <v>43.757223948183999</v>
      </c>
    </row>
    <row r="33" spans="1:8">
      <c r="A33">
        <f t="shared" si="0"/>
        <v>47.03</v>
      </c>
      <c r="B33" s="55">
        <v>30</v>
      </c>
      <c r="C33" s="2556">
        <f t="shared" si="1"/>
        <v>0.52359877559829904</v>
      </c>
      <c r="D33">
        <v>50.03</v>
      </c>
      <c r="G33">
        <f t="shared" si="2"/>
        <v>25.015000000000001</v>
      </c>
      <c r="H33">
        <f t="shared" si="3"/>
        <v>43.3272509513355</v>
      </c>
    </row>
    <row r="34" spans="1:8">
      <c r="A34">
        <f t="shared" si="0"/>
        <v>47.03</v>
      </c>
      <c r="B34" s="55">
        <v>31</v>
      </c>
      <c r="C34" s="2556">
        <f t="shared" si="1"/>
        <v>0.54105206811824202</v>
      </c>
      <c r="D34">
        <v>50.03</v>
      </c>
      <c r="G34">
        <f t="shared" si="2"/>
        <v>25.767354887749999</v>
      </c>
      <c r="H34">
        <f t="shared" si="3"/>
        <v>42.884080054126699</v>
      </c>
    </row>
    <row r="35" spans="1:8">
      <c r="A35">
        <f t="shared" si="0"/>
        <v>47.03</v>
      </c>
      <c r="B35" s="55">
        <v>32</v>
      </c>
      <c r="C35" s="2556">
        <f t="shared" si="1"/>
        <v>0.55850536063818501</v>
      </c>
      <c r="D35">
        <v>50.03</v>
      </c>
      <c r="G35">
        <f t="shared" si="2"/>
        <v>26.5118607895872</v>
      </c>
      <c r="H35">
        <f t="shared" si="3"/>
        <v>42.427846250705997</v>
      </c>
    </row>
    <row r="36" spans="1:8">
      <c r="A36">
        <f t="shared" si="0"/>
        <v>47.03</v>
      </c>
      <c r="B36" s="55">
        <v>33</v>
      </c>
      <c r="C36" s="2556">
        <f t="shared" si="1"/>
        <v>0.575958653158129</v>
      </c>
      <c r="D36">
        <v>50.03</v>
      </c>
      <c r="G36">
        <f t="shared" si="2"/>
        <v>27.2482909218018</v>
      </c>
      <c r="H36">
        <f t="shared" si="3"/>
        <v>41.9586885143096</v>
      </c>
    </row>
    <row r="37" spans="1:8">
      <c r="A37">
        <f t="shared" si="0"/>
        <v>47.03</v>
      </c>
      <c r="B37" s="55">
        <v>34</v>
      </c>
      <c r="C37" s="2556">
        <f t="shared" si="1"/>
        <v>0.59341194567807198</v>
      </c>
      <c r="D37">
        <v>50.03</v>
      </c>
      <c r="G37">
        <f t="shared" si="2"/>
        <v>27.976420960641502</v>
      </c>
      <c r="H37">
        <f t="shared" si="3"/>
        <v>41.476749754928697</v>
      </c>
    </row>
    <row r="38" spans="1:8">
      <c r="A38">
        <f t="shared" si="0"/>
        <v>47.03</v>
      </c>
      <c r="B38" s="55">
        <v>35</v>
      </c>
      <c r="C38" s="2556">
        <f t="shared" si="1"/>
        <v>0.61086523819801497</v>
      </c>
      <c r="D38">
        <v>50.03</v>
      </c>
      <c r="G38">
        <f t="shared" si="2"/>
        <v>28.696029110642801</v>
      </c>
      <c r="H38">
        <f t="shared" si="3"/>
        <v>40.982176775778299</v>
      </c>
    </row>
    <row r="39" spans="1:8">
      <c r="A39">
        <f t="shared" si="0"/>
        <v>47.03</v>
      </c>
      <c r="B39" s="55">
        <v>36</v>
      </c>
      <c r="C39" s="2556">
        <f t="shared" si="1"/>
        <v>0.62831853071795896</v>
      </c>
      <c r="D39">
        <v>50.03</v>
      </c>
      <c r="G39">
        <f t="shared" si="2"/>
        <v>29.4068961721924</v>
      </c>
      <c r="H39">
        <f t="shared" si="3"/>
        <v>40.475120228578596</v>
      </c>
    </row>
    <row r="40" spans="1:8">
      <c r="A40">
        <f t="shared" si="0"/>
        <v>47.03</v>
      </c>
      <c r="B40" s="55">
        <v>37</v>
      </c>
      <c r="C40" s="2556">
        <f t="shared" si="1"/>
        <v>0.64577182323790205</v>
      </c>
      <c r="D40">
        <v>50.03</v>
      </c>
      <c r="G40">
        <f t="shared" si="2"/>
        <v>30.108805608297001</v>
      </c>
      <c r="H40">
        <f t="shared" si="3"/>
        <v>39.955734567666099</v>
      </c>
    </row>
    <row r="41" spans="1:8">
      <c r="A41">
        <f t="shared" si="0"/>
        <v>47.03</v>
      </c>
      <c r="B41" s="55">
        <v>38</v>
      </c>
      <c r="C41" s="2556">
        <f t="shared" si="1"/>
        <v>0.66322511575784504</v>
      </c>
      <c r="D41">
        <v>50.03</v>
      </c>
      <c r="G41">
        <f t="shared" si="2"/>
        <v>30.801543610542701</v>
      </c>
      <c r="H41">
        <f t="shared" si="3"/>
        <v>39.424178002944302</v>
      </c>
    </row>
    <row r="42" spans="1:8">
      <c r="A42">
        <f t="shared" si="0"/>
        <v>47.03</v>
      </c>
      <c r="B42" s="55">
        <v>39</v>
      </c>
      <c r="C42" s="2556">
        <f t="shared" si="1"/>
        <v>0.68067840827778803</v>
      </c>
      <c r="D42">
        <v>50.03</v>
      </c>
      <c r="G42">
        <f t="shared" si="2"/>
        <v>31.4848991642234</v>
      </c>
      <c r="H42">
        <f t="shared" si="3"/>
        <v>38.880612451692301</v>
      </c>
    </row>
    <row r="43" spans="1:8">
      <c r="A43">
        <f t="shared" si="0"/>
        <v>47.03</v>
      </c>
      <c r="B43" s="55">
        <v>40</v>
      </c>
      <c r="C43" s="2556">
        <f t="shared" si="1"/>
        <v>0.69813170079773201</v>
      </c>
      <c r="D43">
        <v>50.03</v>
      </c>
      <c r="G43">
        <f t="shared" si="2"/>
        <v>32.1586641126176</v>
      </c>
      <c r="H43">
        <f t="shared" si="3"/>
        <v>38.325203489242497</v>
      </c>
    </row>
    <row r="44" spans="1:8">
      <c r="A44">
        <f t="shared" si="0"/>
        <v>47.03</v>
      </c>
      <c r="B44" s="55">
        <v>41</v>
      </c>
      <c r="C44" s="2556">
        <f t="shared" si="1"/>
        <v>0.715584993317675</v>
      </c>
      <c r="D44">
        <v>50.03</v>
      </c>
      <c r="G44">
        <f t="shared" si="2"/>
        <v>32.822633220395097</v>
      </c>
      <c r="H44">
        <f t="shared" si="3"/>
        <v>37.7581202985453</v>
      </c>
    </row>
    <row r="45" spans="1:8">
      <c r="A45">
        <f t="shared" si="0"/>
        <v>47.03</v>
      </c>
      <c r="B45" s="55">
        <v>42</v>
      </c>
      <c r="C45" s="2556">
        <f t="shared" si="1"/>
        <v>0.73303828583761799</v>
      </c>
      <c r="D45">
        <v>50.03</v>
      </c>
      <c r="G45">
        <f t="shared" si="2"/>
        <v>33.476604236133703</v>
      </c>
      <c r="H45">
        <f t="shared" si="3"/>
        <v>37.179535618633999</v>
      </c>
    </row>
    <row r="46" spans="1:8">
      <c r="A46">
        <f t="shared" si="0"/>
        <v>47.03</v>
      </c>
      <c r="B46" s="55">
        <v>43</v>
      </c>
      <c r="C46" s="2556">
        <f t="shared" si="1"/>
        <v>0.75049157835756197</v>
      </c>
      <c r="D46">
        <v>50.03</v>
      </c>
      <c r="G46">
        <f t="shared" si="2"/>
        <v>34.120377953926798</v>
      </c>
      <c r="H46">
        <f t="shared" si="3"/>
        <v>36.589625692007097</v>
      </c>
    </row>
    <row r="47" spans="1:8">
      <c r="A47">
        <f t="shared" si="0"/>
        <v>47.03</v>
      </c>
      <c r="B47" s="55">
        <v>44</v>
      </c>
      <c r="C47" s="2556">
        <f t="shared" si="1"/>
        <v>0.76794487087750496</v>
      </c>
      <c r="D47">
        <v>50.03</v>
      </c>
      <c r="G47">
        <f t="shared" si="2"/>
        <v>34.7537582740636</v>
      </c>
      <c r="H47">
        <f t="shared" si="3"/>
        <v>35.988570210942697</v>
      </c>
    </row>
    <row r="48" spans="1:8">
      <c r="A48">
        <f t="shared" si="0"/>
        <v>47.03</v>
      </c>
      <c r="B48" s="55">
        <v>45</v>
      </c>
      <c r="C48" s="2556">
        <f t="shared" si="1"/>
        <v>0.78539816339744795</v>
      </c>
      <c r="D48">
        <v>50.03</v>
      </c>
      <c r="G48">
        <f t="shared" si="2"/>
        <v>35.376552262762999</v>
      </c>
      <c r="H48">
        <f t="shared" si="3"/>
        <v>35.376552262762999</v>
      </c>
    </row>
    <row r="49" spans="1:8">
      <c r="A49">
        <f t="shared" si="0"/>
        <v>47.03</v>
      </c>
      <c r="B49" s="55">
        <v>46</v>
      </c>
      <c r="C49" s="2556">
        <f t="shared" si="1"/>
        <v>0.80285145591739104</v>
      </c>
      <c r="D49">
        <v>50.03</v>
      </c>
      <c r="G49">
        <f t="shared" si="2"/>
        <v>35.988570210942697</v>
      </c>
      <c r="H49">
        <f t="shared" si="3"/>
        <v>34.7537582740636</v>
      </c>
    </row>
    <row r="50" spans="1:8">
      <c r="A50">
        <f t="shared" si="0"/>
        <v>47.03</v>
      </c>
      <c r="B50" s="55">
        <v>47</v>
      </c>
      <c r="C50" s="2556">
        <f t="shared" si="1"/>
        <v>0.82030474843733503</v>
      </c>
      <c r="D50">
        <v>50.03</v>
      </c>
      <c r="G50">
        <f t="shared" si="2"/>
        <v>36.589625692007097</v>
      </c>
      <c r="H50">
        <f t="shared" si="3"/>
        <v>34.120377953926798</v>
      </c>
    </row>
    <row r="51" spans="1:8">
      <c r="A51">
        <f t="shared" si="0"/>
        <v>47.03</v>
      </c>
      <c r="B51" s="55">
        <v>48</v>
      </c>
      <c r="C51" s="2556">
        <f t="shared" si="1"/>
        <v>0.83775804095727802</v>
      </c>
      <c r="D51">
        <v>50.03</v>
      </c>
      <c r="G51">
        <f t="shared" si="2"/>
        <v>37.179535618633999</v>
      </c>
      <c r="H51">
        <f t="shared" si="3"/>
        <v>33.476604236133703</v>
      </c>
    </row>
    <row r="52" spans="1:8">
      <c r="A52">
        <f t="shared" si="0"/>
        <v>47.03</v>
      </c>
      <c r="B52" s="55">
        <v>49</v>
      </c>
      <c r="C52" s="2556">
        <f t="shared" si="1"/>
        <v>0.855211333477221</v>
      </c>
      <c r="D52">
        <v>50.03</v>
      </c>
      <c r="G52">
        <f t="shared" si="2"/>
        <v>37.7581202985453</v>
      </c>
      <c r="H52">
        <f t="shared" si="3"/>
        <v>32.822633220395097</v>
      </c>
    </row>
    <row r="53" spans="1:8">
      <c r="A53">
        <f t="shared" si="0"/>
        <v>47.03</v>
      </c>
      <c r="B53" s="55">
        <v>50</v>
      </c>
      <c r="C53" s="2556">
        <f t="shared" si="1"/>
        <v>0.87266462599716499</v>
      </c>
      <c r="D53">
        <v>50.03</v>
      </c>
      <c r="G53">
        <f t="shared" si="2"/>
        <v>38.325203489242497</v>
      </c>
      <c r="H53">
        <f t="shared" si="3"/>
        <v>32.1586641126176</v>
      </c>
    </row>
    <row r="54" spans="1:8">
      <c r="A54">
        <f t="shared" si="0"/>
        <v>47.03</v>
      </c>
      <c r="B54" s="55">
        <v>51</v>
      </c>
      <c r="C54" s="2556">
        <f t="shared" si="1"/>
        <v>0.89011791851710798</v>
      </c>
      <c r="D54">
        <v>50.03</v>
      </c>
      <c r="G54">
        <f t="shared" si="2"/>
        <v>38.880612451692301</v>
      </c>
      <c r="H54">
        <f t="shared" si="3"/>
        <v>31.4848991642234</v>
      </c>
    </row>
    <row r="55" spans="1:8">
      <c r="A55">
        <f t="shared" si="0"/>
        <v>47.03</v>
      </c>
      <c r="B55" s="55">
        <v>52</v>
      </c>
      <c r="C55" s="2556">
        <f t="shared" si="1"/>
        <v>0.90757121103705096</v>
      </c>
      <c r="D55">
        <v>50.03</v>
      </c>
      <c r="G55">
        <f t="shared" si="2"/>
        <v>39.424178002944302</v>
      </c>
      <c r="H55">
        <f t="shared" si="3"/>
        <v>30.801543610542701</v>
      </c>
    </row>
    <row r="56" spans="1:8">
      <c r="A56">
        <f t="shared" si="0"/>
        <v>47.03</v>
      </c>
      <c r="B56" s="55">
        <v>53</v>
      </c>
      <c r="C56" s="2556">
        <f t="shared" si="1"/>
        <v>0.92502450355699495</v>
      </c>
      <c r="D56">
        <v>50.03</v>
      </c>
      <c r="G56">
        <f t="shared" si="2"/>
        <v>39.955734567666099</v>
      </c>
      <c r="H56">
        <f t="shared" si="3"/>
        <v>30.108805608297001</v>
      </c>
    </row>
    <row r="57" spans="1:8">
      <c r="A57">
        <f t="shared" si="0"/>
        <v>47.03</v>
      </c>
      <c r="B57" s="55">
        <v>54</v>
      </c>
      <c r="C57" s="2556">
        <f t="shared" si="1"/>
        <v>0.94247779607693805</v>
      </c>
      <c r="D57">
        <v>50.03</v>
      </c>
      <c r="G57">
        <f t="shared" si="2"/>
        <v>40.475120228578596</v>
      </c>
      <c r="H57">
        <f t="shared" si="3"/>
        <v>29.4068961721924</v>
      </c>
    </row>
    <row r="58" spans="1:8">
      <c r="A58">
        <f t="shared" si="0"/>
        <v>47.03</v>
      </c>
      <c r="B58" s="55">
        <v>55</v>
      </c>
      <c r="C58" s="2556">
        <f t="shared" si="1"/>
        <v>0.95993108859688103</v>
      </c>
      <c r="D58">
        <v>50.03</v>
      </c>
      <c r="G58">
        <f t="shared" si="2"/>
        <v>40.982176775778299</v>
      </c>
      <c r="H58">
        <f t="shared" si="3"/>
        <v>28.696029110642801</v>
      </c>
    </row>
    <row r="59" spans="1:8">
      <c r="A59">
        <f t="shared" si="0"/>
        <v>47.03</v>
      </c>
      <c r="B59" s="55">
        <v>56</v>
      </c>
      <c r="C59" s="2556">
        <f t="shared" si="1"/>
        <v>0.97738438111682502</v>
      </c>
      <c r="D59">
        <v>50.03</v>
      </c>
      <c r="G59">
        <f t="shared" si="2"/>
        <v>41.476749754928697</v>
      </c>
      <c r="H59">
        <f t="shared" si="3"/>
        <v>27.976420960641502</v>
      </c>
    </row>
    <row r="60" spans="1:8">
      <c r="A60">
        <f t="shared" si="0"/>
        <v>47.03</v>
      </c>
      <c r="B60" s="55">
        <v>57</v>
      </c>
      <c r="C60" s="2556">
        <f t="shared" si="1"/>
        <v>0.99483767363676801</v>
      </c>
      <c r="D60">
        <v>50.03</v>
      </c>
      <c r="G60">
        <f t="shared" si="2"/>
        <v>41.9586885143096</v>
      </c>
      <c r="H60">
        <f t="shared" si="3"/>
        <v>27.2482909218018</v>
      </c>
    </row>
    <row r="61" spans="1:8">
      <c r="A61">
        <f t="shared" si="0"/>
        <v>47.03</v>
      </c>
      <c r="B61" s="55">
        <v>58</v>
      </c>
      <c r="C61" s="2556">
        <f t="shared" si="1"/>
        <v>1.0122909661567101</v>
      </c>
      <c r="D61">
        <v>50.03</v>
      </c>
      <c r="G61">
        <f t="shared" si="2"/>
        <v>42.427846250705997</v>
      </c>
      <c r="H61">
        <f t="shared" si="3"/>
        <v>26.5118607895872</v>
      </c>
    </row>
    <row r="62" spans="1:8">
      <c r="A62">
        <f t="shared" si="0"/>
        <v>47.03</v>
      </c>
      <c r="B62" s="55">
        <v>59</v>
      </c>
      <c r="C62" s="2556">
        <f t="shared" si="1"/>
        <v>1.0297442586766501</v>
      </c>
      <c r="D62">
        <v>50.03</v>
      </c>
      <c r="G62">
        <f t="shared" si="2"/>
        <v>42.884080054126699</v>
      </c>
      <c r="H62">
        <f t="shared" si="3"/>
        <v>25.767354887749999</v>
      </c>
    </row>
    <row r="63" spans="1:8">
      <c r="A63">
        <f t="shared" si="0"/>
        <v>47.03</v>
      </c>
      <c r="B63" s="55">
        <v>60</v>
      </c>
      <c r="C63" s="2556">
        <f t="shared" si="1"/>
        <v>1.0471975511966001</v>
      </c>
      <c r="D63">
        <v>50.03</v>
      </c>
      <c r="G63">
        <f t="shared" si="2"/>
        <v>43.3272509513355</v>
      </c>
      <c r="H63">
        <f t="shared" si="3"/>
        <v>25.015000000000001</v>
      </c>
    </row>
    <row r="64" spans="1:8">
      <c r="A64">
        <f t="shared" si="0"/>
        <v>47.03</v>
      </c>
      <c r="B64" s="55">
        <v>61</v>
      </c>
      <c r="C64" s="2556">
        <f t="shared" si="1"/>
        <v>1.0646508437165401</v>
      </c>
      <c r="D64">
        <v>50.03</v>
      </c>
      <c r="G64">
        <f t="shared" si="2"/>
        <v>43.757223948183999</v>
      </c>
      <c r="H64">
        <f t="shared" si="3"/>
        <v>24.255025300924199</v>
      </c>
    </row>
    <row r="65" spans="1:8">
      <c r="A65">
        <f t="shared" si="0"/>
        <v>47.03</v>
      </c>
      <c r="B65" s="55">
        <v>62</v>
      </c>
      <c r="C65" s="2556">
        <f t="shared" si="1"/>
        <v>1.0821041362364801</v>
      </c>
      <c r="D65">
        <v>50.03</v>
      </c>
      <c r="G65">
        <f t="shared" si="2"/>
        <v>44.173868070732098</v>
      </c>
      <c r="H65">
        <f t="shared" si="3"/>
        <v>23.4876622861781</v>
      </c>
    </row>
    <row r="66" spans="1:8">
      <c r="A66">
        <f t="shared" si="0"/>
        <v>47.03</v>
      </c>
      <c r="B66" s="55">
        <v>63</v>
      </c>
      <c r="C66" s="2556">
        <f t="shared" si="1"/>
        <v>1.09955742875643</v>
      </c>
      <c r="D66">
        <v>50.03</v>
      </c>
      <c r="G66">
        <f t="shared" si="2"/>
        <v>44.577056405143999</v>
      </c>
      <c r="H66">
        <f t="shared" si="3"/>
        <v>22.713144701969501</v>
      </c>
    </row>
    <row r="67" spans="1:8">
      <c r="A67">
        <f t="shared" ref="A67:A130" si="5">52.03-5</f>
        <v>47.03</v>
      </c>
      <c r="B67" s="55">
        <v>64</v>
      </c>
      <c r="C67" s="2556">
        <f t="shared" ref="C67:C130" si="6">B67*PI()/180</f>
        <v>1.11701072127637</v>
      </c>
      <c r="D67">
        <v>50.03</v>
      </c>
      <c r="G67">
        <f t="shared" ref="G67:G130" si="7">D67*SIN(C67)</f>
        <v>44.9666661363473</v>
      </c>
      <c r="H67">
        <f t="shared" ref="H67:H130" si="8">D67*COS(C67)</f>
        <v>21.931708473857501</v>
      </c>
    </row>
    <row r="68" spans="1:8">
      <c r="A68">
        <f t="shared" si="5"/>
        <v>47.03</v>
      </c>
      <c r="B68" s="55">
        <v>65</v>
      </c>
      <c r="C68" s="2556">
        <f t="shared" si="6"/>
        <v>1.13446401379631</v>
      </c>
      <c r="D68">
        <v>50.03</v>
      </c>
      <c r="G68">
        <f t="shared" si="7"/>
        <v>45.342578585443597</v>
      </c>
      <c r="H68">
        <f t="shared" si="8"/>
        <v>21.143591634887201</v>
      </c>
    </row>
    <row r="69" spans="1:8">
      <c r="A69">
        <f t="shared" si="5"/>
        <v>47.03</v>
      </c>
      <c r="B69" s="55">
        <v>66</v>
      </c>
      <c r="C69" s="2556">
        <f t="shared" si="6"/>
        <v>1.15191730631626</v>
      </c>
      <c r="D69">
        <v>50.03</v>
      </c>
      <c r="G69">
        <f t="shared" si="7"/>
        <v>45.704679245859303</v>
      </c>
      <c r="H69">
        <f t="shared" si="8"/>
        <v>20.349034253082301</v>
      </c>
    </row>
    <row r="70" spans="1:8">
      <c r="A70">
        <f t="shared" si="5"/>
        <v>47.03</v>
      </c>
      <c r="B70" s="55">
        <v>67</v>
      </c>
      <c r="C70" s="2556">
        <f t="shared" si="6"/>
        <v>1.1693705988362</v>
      </c>
      <c r="D70">
        <v>50.03</v>
      </c>
      <c r="G70">
        <f t="shared" si="7"/>
        <v>46.052857818225597</v>
      </c>
      <c r="H70">
        <f t="shared" si="8"/>
        <v>19.548278358318399</v>
      </c>
    </row>
    <row r="71" spans="1:8">
      <c r="A71">
        <f t="shared" si="5"/>
        <v>47.03</v>
      </c>
      <c r="B71" s="55">
        <v>68</v>
      </c>
      <c r="C71" s="2556">
        <f t="shared" si="6"/>
        <v>1.18682389135614</v>
      </c>
      <c r="D71">
        <v>50.03</v>
      </c>
      <c r="G71">
        <f t="shared" si="7"/>
        <v>46.387008243976403</v>
      </c>
      <c r="H71">
        <f t="shared" si="8"/>
        <v>18.7415678685981</v>
      </c>
    </row>
    <row r="72" spans="1:8">
      <c r="A72">
        <f t="shared" si="5"/>
        <v>47.03</v>
      </c>
      <c r="B72" s="55">
        <v>69</v>
      </c>
      <c r="C72" s="2556">
        <f t="shared" si="6"/>
        <v>1.20427718387609</v>
      </c>
      <c r="D72">
        <v>50.03</v>
      </c>
      <c r="G72">
        <f t="shared" si="7"/>
        <v>46.707028737655001</v>
      </c>
      <c r="H72">
        <f t="shared" si="8"/>
        <v>17.9291485157514</v>
      </c>
    </row>
    <row r="73" spans="1:8">
      <c r="A73">
        <f t="shared" si="5"/>
        <v>47.03</v>
      </c>
      <c r="B73" s="55">
        <v>70</v>
      </c>
      <c r="C73" s="2556">
        <f t="shared" si="6"/>
        <v>1.2217304763960299</v>
      </c>
      <c r="D73">
        <v>50.03</v>
      </c>
      <c r="G73">
        <f t="shared" si="7"/>
        <v>47.012821817918997</v>
      </c>
      <c r="H73">
        <f t="shared" si="8"/>
        <v>17.111267770583201</v>
      </c>
    </row>
    <row r="74" spans="1:8">
      <c r="A74">
        <f t="shared" si="5"/>
        <v>47.03</v>
      </c>
      <c r="B74" s="55">
        <v>71</v>
      </c>
      <c r="C74" s="2556">
        <f t="shared" si="6"/>
        <v>1.2391837689159699</v>
      </c>
      <c r="D74">
        <v>50.03</v>
      </c>
      <c r="G74">
        <f t="shared" si="7"/>
        <v>47.304294337233799</v>
      </c>
      <c r="H74">
        <f t="shared" si="8"/>
        <v>16.288174767491601</v>
      </c>
    </row>
    <row r="75" spans="1:8">
      <c r="A75">
        <f t="shared" si="5"/>
        <v>47.03</v>
      </c>
      <c r="B75" s="55">
        <v>72</v>
      </c>
      <c r="C75" s="2556">
        <f t="shared" si="6"/>
        <v>1.2566370614359199</v>
      </c>
      <c r="D75">
        <v>50.03</v>
      </c>
      <c r="G75">
        <f t="shared" si="7"/>
        <v>47.581357510246498</v>
      </c>
      <c r="H75">
        <f t="shared" si="8"/>
        <v>15.460120228578599</v>
      </c>
    </row>
    <row r="76" spans="1:8">
      <c r="A76">
        <f t="shared" si="5"/>
        <v>47.03</v>
      </c>
      <c r="B76" s="55">
        <v>73</v>
      </c>
      <c r="C76" s="2556">
        <f t="shared" si="6"/>
        <v>1.2740903539558599</v>
      </c>
      <c r="D76">
        <v>50.03</v>
      </c>
      <c r="G76">
        <f t="shared" si="7"/>
        <v>47.843926940830698</v>
      </c>
      <c r="H76">
        <f t="shared" si="8"/>
        <v>14.6273563872785</v>
      </c>
    </row>
    <row r="77" spans="1:8">
      <c r="A77">
        <f t="shared" si="5"/>
        <v>47.03</v>
      </c>
      <c r="B77" s="55">
        <v>74</v>
      </c>
      <c r="C77" s="2556">
        <f t="shared" si="6"/>
        <v>1.2915436464757999</v>
      </c>
      <c r="D77">
        <v>50.03</v>
      </c>
      <c r="G77">
        <f t="shared" si="7"/>
        <v>48.0919226477941</v>
      </c>
      <c r="H77">
        <f t="shared" si="8"/>
        <v>13.790136911524501</v>
      </c>
    </row>
    <row r="78" spans="1:8">
      <c r="A78">
        <f t="shared" si="5"/>
        <v>47.03</v>
      </c>
      <c r="B78" s="55">
        <v>75</v>
      </c>
      <c r="C78" s="2556">
        <f t="shared" si="6"/>
        <v>1.3089969389957501</v>
      </c>
      <c r="D78">
        <v>50.03</v>
      </c>
      <c r="G78">
        <f t="shared" si="7"/>
        <v>48.325269089242099</v>
      </c>
      <c r="H78">
        <f t="shared" si="8"/>
        <v>12.948716826479099</v>
      </c>
    </row>
    <row r="79" spans="1:8">
      <c r="A79">
        <f t="shared" si="5"/>
        <v>47.03</v>
      </c>
      <c r="B79" s="55">
        <v>76</v>
      </c>
      <c r="C79" s="2556">
        <f t="shared" si="6"/>
        <v>1.3264502315156901</v>
      </c>
      <c r="D79">
        <v>50.03</v>
      </c>
      <c r="G79">
        <f t="shared" si="7"/>
        <v>48.543895185588099</v>
      </c>
      <c r="H79">
        <f t="shared" si="8"/>
        <v>12.1033524368514</v>
      </c>
    </row>
    <row r="80" spans="1:8">
      <c r="A80">
        <f t="shared" si="5"/>
        <v>47.03</v>
      </c>
      <c r="B80" s="55">
        <v>77</v>
      </c>
      <c r="C80" s="2556">
        <f t="shared" si="6"/>
        <v>1.3439035240356301</v>
      </c>
      <c r="D80">
        <v>50.03</v>
      </c>
      <c r="G80">
        <f t="shared" si="7"/>
        <v>48.747734341205302</v>
      </c>
      <c r="H80">
        <f t="shared" si="8"/>
        <v>11.2543012488236</v>
      </c>
    </row>
    <row r="81" spans="1:8">
      <c r="A81">
        <f t="shared" si="5"/>
        <v>47.03</v>
      </c>
      <c r="B81" s="55">
        <v>78</v>
      </c>
      <c r="C81" s="2556">
        <f t="shared" si="6"/>
        <v>1.3613568165555801</v>
      </c>
      <c r="D81">
        <v>50.03</v>
      </c>
      <c r="G81">
        <f t="shared" si="7"/>
        <v>48.936724464712299</v>
      </c>
      <c r="H81">
        <f t="shared" si="8"/>
        <v>10.401821891612499</v>
      </c>
    </row>
    <row r="82" spans="1:8">
      <c r="A82">
        <f t="shared" si="5"/>
        <v>47.03</v>
      </c>
      <c r="B82" s="55">
        <v>79</v>
      </c>
      <c r="C82" s="2556">
        <f t="shared" si="6"/>
        <v>1.37881010907552</v>
      </c>
      <c r="D82">
        <v>50.03</v>
      </c>
      <c r="G82">
        <f t="shared" si="7"/>
        <v>49.110807987886602</v>
      </c>
      <c r="H82">
        <f t="shared" si="8"/>
        <v>9.5461740386885392</v>
      </c>
    </row>
    <row r="83" spans="1:8">
      <c r="A83">
        <f t="shared" si="5"/>
        <v>47.03</v>
      </c>
      <c r="B83" s="55">
        <v>80</v>
      </c>
      <c r="C83" s="2556">
        <f t="shared" si="6"/>
        <v>1.39626340159546</v>
      </c>
      <c r="D83">
        <v>50.03</v>
      </c>
      <c r="G83">
        <f t="shared" si="7"/>
        <v>49.269931883200798</v>
      </c>
      <c r="H83">
        <f t="shared" si="8"/>
        <v>8.6876183286765301</v>
      </c>
    </row>
    <row r="84" spans="1:8">
      <c r="A84">
        <f t="shared" si="5"/>
        <v>47.03</v>
      </c>
      <c r="B84" s="55">
        <v>81</v>
      </c>
      <c r="C84" s="2556">
        <f t="shared" si="6"/>
        <v>1.41371669411541</v>
      </c>
      <c r="D84">
        <v>50.03</v>
      </c>
      <c r="G84">
        <f t="shared" si="7"/>
        <v>49.414047679974701</v>
      </c>
      <c r="H84">
        <f t="shared" si="8"/>
        <v>7.8264162859627504</v>
      </c>
    </row>
    <row r="85" spans="1:8">
      <c r="A85">
        <f t="shared" si="5"/>
        <v>47.03</v>
      </c>
      <c r="B85" s="55">
        <v>82</v>
      </c>
      <c r="C85" s="2556">
        <f t="shared" si="6"/>
        <v>1.43116998663535</v>
      </c>
      <c r="D85">
        <v>50.03</v>
      </c>
      <c r="G85">
        <f t="shared" si="7"/>
        <v>49.543111479140798</v>
      </c>
      <c r="H85">
        <f t="shared" si="8"/>
        <v>6.9628302410320897</v>
      </c>
    </row>
    <row r="86" spans="1:8">
      <c r="A86">
        <f t="shared" si="5"/>
        <v>47.03</v>
      </c>
      <c r="B86" s="55">
        <v>83</v>
      </c>
      <c r="C86" s="2556">
        <f t="shared" si="6"/>
        <v>1.44862327915529</v>
      </c>
      <c r="D86">
        <v>50.03</v>
      </c>
      <c r="G86">
        <f t="shared" si="7"/>
        <v>49.657083966615303</v>
      </c>
      <c r="H86">
        <f t="shared" si="8"/>
        <v>6.0971232505595303</v>
      </c>
    </row>
    <row r="87" spans="1:8">
      <c r="A87">
        <f t="shared" si="5"/>
        <v>47.03</v>
      </c>
      <c r="B87" s="55">
        <v>84</v>
      </c>
      <c r="C87" s="2556">
        <f t="shared" si="6"/>
        <v>1.46607657167524</v>
      </c>
      <c r="D87">
        <v>50.03</v>
      </c>
      <c r="G87">
        <f t="shared" si="7"/>
        <v>49.755930425274698</v>
      </c>
      <c r="H87">
        <f t="shared" si="8"/>
        <v>5.2295590172806996</v>
      </c>
    </row>
    <row r="88" spans="1:8">
      <c r="A88">
        <f t="shared" si="5"/>
        <v>47.03</v>
      </c>
      <c r="B88" s="55">
        <v>85</v>
      </c>
      <c r="C88" s="2556">
        <f t="shared" si="6"/>
        <v>1.48352986419518</v>
      </c>
      <c r="D88">
        <v>50.03</v>
      </c>
      <c r="G88">
        <f t="shared" si="7"/>
        <v>49.839620745529999</v>
      </c>
      <c r="H88">
        <f t="shared" si="8"/>
        <v>4.3604018096653396</v>
      </c>
    </row>
    <row r="89" spans="1:8">
      <c r="A89">
        <f t="shared" si="5"/>
        <v>47.03</v>
      </c>
      <c r="B89" s="55">
        <v>86</v>
      </c>
      <c r="C89" s="2556">
        <f t="shared" si="6"/>
        <v>1.5009831567151199</v>
      </c>
      <c r="D89">
        <v>50.03</v>
      </c>
      <c r="G89">
        <f t="shared" si="7"/>
        <v>49.908129434499003</v>
      </c>
      <c r="H89">
        <f t="shared" si="8"/>
        <v>3.4899163814185998</v>
      </c>
    </row>
    <row r="90" spans="1:8">
      <c r="A90">
        <f t="shared" si="5"/>
        <v>47.03</v>
      </c>
      <c r="B90" s="55">
        <v>87</v>
      </c>
      <c r="C90" s="2556">
        <f t="shared" si="6"/>
        <v>1.5184364492350699</v>
      </c>
      <c r="D90">
        <v>50.03</v>
      </c>
      <c r="G90">
        <f t="shared" si="7"/>
        <v>49.961435623771301</v>
      </c>
      <c r="H90">
        <f t="shared" si="8"/>
        <v>2.6183678908344898</v>
      </c>
    </row>
    <row r="91" spans="1:8">
      <c r="A91">
        <f t="shared" si="5"/>
        <v>47.03</v>
      </c>
      <c r="B91" s="55">
        <v>88</v>
      </c>
      <c r="C91" s="2556">
        <f t="shared" si="6"/>
        <v>1.5358897417550099</v>
      </c>
      <c r="D91">
        <v>50.03</v>
      </c>
      <c r="G91">
        <f t="shared" si="7"/>
        <v>49.999523075765403</v>
      </c>
      <c r="H91">
        <f t="shared" si="8"/>
        <v>1.7460218200261299</v>
      </c>
    </row>
    <row r="92" spans="1:8">
      <c r="A92">
        <f t="shared" si="5"/>
        <v>47.03</v>
      </c>
      <c r="B92" s="55">
        <v>89</v>
      </c>
      <c r="C92" s="2556">
        <f t="shared" si="6"/>
        <v>1.5533430342749499</v>
      </c>
      <c r="D92">
        <v>50.03</v>
      </c>
      <c r="G92">
        <f t="shared" si="7"/>
        <v>50.022380188674298</v>
      </c>
      <c r="H92">
        <f t="shared" si="8"/>
        <v>0.87314389405728698</v>
      </c>
    </row>
    <row r="93" spans="1:8">
      <c r="A93">
        <f t="shared" si="5"/>
        <v>47.03</v>
      </c>
      <c r="B93" s="55">
        <v>90</v>
      </c>
      <c r="C93" s="2556">
        <f t="shared" si="6"/>
        <v>1.5707963267949001</v>
      </c>
      <c r="D93">
        <v>50.03</v>
      </c>
      <c r="G93">
        <f t="shared" si="7"/>
        <v>50.03</v>
      </c>
      <c r="H93">
        <f t="shared" si="8"/>
        <v>3.0634539680671001E-15</v>
      </c>
    </row>
    <row r="94" spans="1:8">
      <c r="A94">
        <f t="shared" si="5"/>
        <v>47.03</v>
      </c>
      <c r="B94" s="55">
        <v>91</v>
      </c>
      <c r="C94" s="2556">
        <f t="shared" si="6"/>
        <v>1.5882496193148401</v>
      </c>
      <c r="D94">
        <v>50.03</v>
      </c>
      <c r="G94">
        <f t="shared" si="7"/>
        <v>50.022380188674298</v>
      </c>
      <c r="H94">
        <f t="shared" si="8"/>
        <v>-0.87314389405729198</v>
      </c>
    </row>
    <row r="95" spans="1:8">
      <c r="A95">
        <f t="shared" si="5"/>
        <v>47.03</v>
      </c>
      <c r="B95" s="55">
        <v>92</v>
      </c>
      <c r="C95" s="2556">
        <f t="shared" si="6"/>
        <v>1.6057029118347801</v>
      </c>
      <c r="D95">
        <v>50.03</v>
      </c>
      <c r="G95">
        <f t="shared" si="7"/>
        <v>49.999523075765403</v>
      </c>
      <c r="H95">
        <f t="shared" si="8"/>
        <v>-1.7460218200261099</v>
      </c>
    </row>
    <row r="96" spans="1:8">
      <c r="A96">
        <f t="shared" si="5"/>
        <v>47.03</v>
      </c>
      <c r="B96" s="55">
        <v>93</v>
      </c>
      <c r="C96" s="2556">
        <f t="shared" si="6"/>
        <v>1.6231562043547301</v>
      </c>
      <c r="D96">
        <v>50.03</v>
      </c>
      <c r="G96">
        <f t="shared" si="7"/>
        <v>49.961435623771301</v>
      </c>
      <c r="H96">
        <f t="shared" si="8"/>
        <v>-2.6183678908344699</v>
      </c>
    </row>
    <row r="97" spans="1:8">
      <c r="A97">
        <f t="shared" si="5"/>
        <v>47.03</v>
      </c>
      <c r="B97" s="55">
        <v>94</v>
      </c>
      <c r="C97" s="2556">
        <f t="shared" si="6"/>
        <v>1.6406094968746701</v>
      </c>
      <c r="D97">
        <v>50.03</v>
      </c>
      <c r="G97">
        <f t="shared" si="7"/>
        <v>49.908129434499003</v>
      </c>
      <c r="H97">
        <f t="shared" si="8"/>
        <v>-3.4899163814185901</v>
      </c>
    </row>
    <row r="98" spans="1:8">
      <c r="A98">
        <f t="shared" si="5"/>
        <v>47.03</v>
      </c>
      <c r="B98" s="55">
        <v>95</v>
      </c>
      <c r="C98" s="2556">
        <f t="shared" si="6"/>
        <v>1.65806278939461</v>
      </c>
      <c r="D98">
        <v>50.03</v>
      </c>
      <c r="G98">
        <f t="shared" si="7"/>
        <v>49.839620745529999</v>
      </c>
      <c r="H98">
        <f t="shared" si="8"/>
        <v>-4.3604018096653396</v>
      </c>
    </row>
    <row r="99" spans="1:8">
      <c r="A99">
        <f t="shared" si="5"/>
        <v>47.03</v>
      </c>
      <c r="B99" s="55">
        <v>96</v>
      </c>
      <c r="C99" s="2556">
        <f t="shared" si="6"/>
        <v>1.67551608191456</v>
      </c>
      <c r="D99">
        <v>50.03</v>
      </c>
      <c r="G99">
        <f t="shared" si="7"/>
        <v>49.755930425274698</v>
      </c>
      <c r="H99">
        <f t="shared" si="8"/>
        <v>-5.2295590172806996</v>
      </c>
    </row>
    <row r="100" spans="1:8">
      <c r="A100">
        <f t="shared" si="5"/>
        <v>47.03</v>
      </c>
      <c r="B100" s="55">
        <v>97</v>
      </c>
      <c r="C100" s="2556">
        <f t="shared" si="6"/>
        <v>1.6929693744345</v>
      </c>
      <c r="D100">
        <v>50.03</v>
      </c>
      <c r="G100">
        <f t="shared" si="7"/>
        <v>49.657083966615303</v>
      </c>
      <c r="H100">
        <f t="shared" si="8"/>
        <v>-6.0971232505595196</v>
      </c>
    </row>
    <row r="101" spans="1:8">
      <c r="A101">
        <f t="shared" si="5"/>
        <v>47.03</v>
      </c>
      <c r="B101" s="55">
        <v>98</v>
      </c>
      <c r="C101" s="2556">
        <f t="shared" si="6"/>
        <v>1.71042266695444</v>
      </c>
      <c r="D101">
        <v>50.03</v>
      </c>
      <c r="G101">
        <f t="shared" si="7"/>
        <v>49.543111479140798</v>
      </c>
      <c r="H101">
        <f t="shared" si="8"/>
        <v>-6.9628302410320702</v>
      </c>
    </row>
    <row r="102" spans="1:8">
      <c r="A102">
        <f t="shared" si="5"/>
        <v>47.03</v>
      </c>
      <c r="B102" s="55">
        <v>99</v>
      </c>
      <c r="C102" s="2556">
        <f t="shared" si="6"/>
        <v>1.72787595947439</v>
      </c>
      <c r="D102">
        <v>50.03</v>
      </c>
      <c r="G102">
        <f t="shared" si="7"/>
        <v>49.414047679974701</v>
      </c>
      <c r="H102">
        <f t="shared" si="8"/>
        <v>-7.8264162859627602</v>
      </c>
    </row>
    <row r="103" spans="1:8">
      <c r="A103">
        <f t="shared" si="5"/>
        <v>47.03</v>
      </c>
      <c r="B103" s="55">
        <v>100</v>
      </c>
      <c r="C103" s="2556">
        <f t="shared" si="6"/>
        <v>1.74532925199433</v>
      </c>
      <c r="D103">
        <v>50.03</v>
      </c>
      <c r="G103">
        <f t="shared" si="7"/>
        <v>49.269931883200798</v>
      </c>
      <c r="H103">
        <f t="shared" si="8"/>
        <v>-8.6876183286765194</v>
      </c>
    </row>
    <row r="104" spans="1:8">
      <c r="A104">
        <f t="shared" si="5"/>
        <v>47.03</v>
      </c>
      <c r="B104" s="55">
        <v>101</v>
      </c>
      <c r="C104" s="2556">
        <f t="shared" si="6"/>
        <v>1.76278254451427</v>
      </c>
      <c r="D104">
        <v>50.03</v>
      </c>
      <c r="G104">
        <f t="shared" si="7"/>
        <v>49.110807987886602</v>
      </c>
      <c r="H104">
        <f t="shared" si="8"/>
        <v>-9.5461740386885392</v>
      </c>
    </row>
    <row r="105" spans="1:8">
      <c r="A105">
        <f t="shared" si="5"/>
        <v>47.03</v>
      </c>
      <c r="B105" s="55">
        <v>102</v>
      </c>
      <c r="C105" s="2556">
        <f t="shared" si="6"/>
        <v>1.7802358370342199</v>
      </c>
      <c r="D105">
        <v>50.03</v>
      </c>
      <c r="G105">
        <f t="shared" si="7"/>
        <v>48.936724464712299</v>
      </c>
      <c r="H105">
        <f t="shared" si="8"/>
        <v>-10.401821891612499</v>
      </c>
    </row>
    <row r="106" spans="1:8">
      <c r="A106">
        <f t="shared" si="5"/>
        <v>47.03</v>
      </c>
      <c r="B106" s="2559">
        <v>103</v>
      </c>
      <c r="C106" s="2556">
        <f t="shared" si="6"/>
        <v>1.7976891295541599</v>
      </c>
      <c r="D106">
        <f t="shared" ref="D106:D136" si="9">F$106*C106+F$107+A106</f>
        <v>49.904193548387099</v>
      </c>
      <c r="E106" s="2560" t="s">
        <v>462</v>
      </c>
      <c r="F106" s="2561">
        <f>-2.97*180/31/PI()</f>
        <v>-5.4893053275436898</v>
      </c>
      <c r="G106">
        <f t="shared" si="7"/>
        <v>48.625152300796898</v>
      </c>
      <c r="H106">
        <f t="shared" si="8"/>
        <v>-11.226000954890001</v>
      </c>
    </row>
    <row r="107" spans="1:8">
      <c r="A107">
        <f t="shared" si="5"/>
        <v>47.03</v>
      </c>
      <c r="B107" s="2559">
        <v>104</v>
      </c>
      <c r="C107" s="2556">
        <f t="shared" si="6"/>
        <v>1.8151424220740999</v>
      </c>
      <c r="D107">
        <f t="shared" si="9"/>
        <v>49.808387096774197</v>
      </c>
      <c r="E107" s="2562" t="s">
        <v>1957</v>
      </c>
      <c r="F107" s="2563">
        <f>2.97*102/31+2.97</f>
        <v>12.742258064516101</v>
      </c>
      <c r="G107">
        <f t="shared" si="7"/>
        <v>48.3288651327005</v>
      </c>
      <c r="H107">
        <f t="shared" si="8"/>
        <v>-12.0497394232136</v>
      </c>
    </row>
    <row r="108" spans="1:8">
      <c r="A108">
        <f t="shared" si="5"/>
        <v>47.03</v>
      </c>
      <c r="B108" s="2559">
        <v>105</v>
      </c>
      <c r="C108" s="2556">
        <f t="shared" si="6"/>
        <v>1.8325957145940499</v>
      </c>
      <c r="D108">
        <f t="shared" si="9"/>
        <v>49.712580645161303</v>
      </c>
      <c r="G108">
        <f t="shared" si="7"/>
        <v>48.018665536639404</v>
      </c>
      <c r="H108">
        <f t="shared" si="8"/>
        <v>-12.866562652162701</v>
      </c>
    </row>
    <row r="109" spans="1:8">
      <c r="A109">
        <f t="shared" si="5"/>
        <v>47.03</v>
      </c>
      <c r="B109" s="2559">
        <v>106</v>
      </c>
      <c r="C109" s="2556">
        <f t="shared" si="6"/>
        <v>1.8500490071139899</v>
      </c>
      <c r="D109">
        <f t="shared" si="9"/>
        <v>49.616774193548402</v>
      </c>
      <c r="G109">
        <f t="shared" si="7"/>
        <v>47.694704508278903</v>
      </c>
      <c r="H109">
        <f t="shared" si="8"/>
        <v>-13.6762364428788</v>
      </c>
    </row>
    <row r="110" spans="1:8">
      <c r="A110">
        <f t="shared" si="5"/>
        <v>47.03</v>
      </c>
      <c r="B110" s="2559">
        <v>107</v>
      </c>
      <c r="C110" s="2556">
        <f t="shared" si="6"/>
        <v>1.8675022996339301</v>
      </c>
      <c r="D110">
        <f t="shared" si="9"/>
        <v>49.5209677419355</v>
      </c>
      <c r="G110">
        <f t="shared" si="7"/>
        <v>47.357136971505</v>
      </c>
      <c r="H110">
        <f t="shared" si="8"/>
        <v>-14.4785297582293</v>
      </c>
    </row>
    <row r="111" spans="1:8">
      <c r="A111">
        <f t="shared" si="5"/>
        <v>47.03</v>
      </c>
      <c r="B111" s="2559">
        <v>108</v>
      </c>
      <c r="C111" s="2556">
        <f t="shared" si="6"/>
        <v>1.8849555921538801</v>
      </c>
      <c r="D111">
        <f t="shared" si="9"/>
        <v>49.425161290322599</v>
      </c>
      <c r="G111">
        <f t="shared" si="7"/>
        <v>47.006121714100303</v>
      </c>
      <c r="H111">
        <f t="shared" si="8"/>
        <v>-15.273214788432499</v>
      </c>
    </row>
    <row r="112" spans="1:8">
      <c r="A112">
        <f t="shared" si="5"/>
        <v>47.03</v>
      </c>
      <c r="B112" s="2559">
        <v>109</v>
      </c>
      <c r="C112" s="2556">
        <f t="shared" si="6"/>
        <v>1.9024088846738201</v>
      </c>
      <c r="D112">
        <f t="shared" si="9"/>
        <v>49.329354838709698</v>
      </c>
      <c r="G112">
        <f t="shared" si="7"/>
        <v>46.641821322330003</v>
      </c>
      <c r="H112">
        <f t="shared" si="8"/>
        <v>-16.0600670154009</v>
      </c>
    </row>
    <row r="113" spans="1:8">
      <c r="A113">
        <f t="shared" si="5"/>
        <v>47.03</v>
      </c>
      <c r="B113" s="2559">
        <v>110</v>
      </c>
      <c r="C113" s="2556">
        <f t="shared" si="6"/>
        <v>1.9198621771937601</v>
      </c>
      <c r="D113">
        <f t="shared" si="9"/>
        <v>49.233548387096803</v>
      </c>
      <c r="G113">
        <f t="shared" si="7"/>
        <v>46.2644021144608</v>
      </c>
      <c r="H113">
        <f t="shared" si="8"/>
        <v>-16.838865275786102</v>
      </c>
    </row>
    <row r="114" spans="1:8">
      <c r="A114">
        <f t="shared" si="5"/>
        <v>47.03</v>
      </c>
      <c r="B114" s="2559">
        <v>111</v>
      </c>
      <c r="C114" s="2556">
        <f t="shared" si="6"/>
        <v>1.93731546971371</v>
      </c>
      <c r="D114">
        <f t="shared" si="9"/>
        <v>49.137741935483902</v>
      </c>
      <c r="G114">
        <f t="shared" si="7"/>
        <v>45.874034073238498</v>
      </c>
      <c r="H114">
        <f t="shared" si="8"/>
        <v>-17.609391822705501</v>
      </c>
    </row>
    <row r="115" spans="1:8">
      <c r="A115">
        <f t="shared" si="5"/>
        <v>47.03</v>
      </c>
      <c r="B115" s="2559">
        <v>112</v>
      </c>
      <c r="C115" s="2556">
        <f t="shared" si="6"/>
        <v>1.95476876223365</v>
      </c>
      <c r="D115">
        <f t="shared" si="9"/>
        <v>49.041935483871001</v>
      </c>
      <c r="G115">
        <f t="shared" si="7"/>
        <v>45.470890777351201</v>
      </c>
      <c r="H115">
        <f t="shared" si="8"/>
        <v>-18.371432386135801</v>
      </c>
    </row>
    <row r="116" spans="1:8">
      <c r="A116">
        <f t="shared" si="5"/>
        <v>47.03</v>
      </c>
      <c r="B116" s="2559">
        <v>113</v>
      </c>
      <c r="C116" s="2556">
        <f t="shared" si="6"/>
        <v>1.97222205475359</v>
      </c>
      <c r="D116">
        <f t="shared" si="9"/>
        <v>48.946129032258099</v>
      </c>
      <c r="G116">
        <f t="shared" si="7"/>
        <v>45.055149331903003</v>
      </c>
      <c r="H116">
        <f t="shared" si="8"/>
        <v>-19.124776231955799</v>
      </c>
    </row>
    <row r="117" spans="1:8">
      <c r="A117">
        <f t="shared" si="5"/>
        <v>47.03</v>
      </c>
      <c r="B117" s="2559">
        <v>114</v>
      </c>
      <c r="C117" s="2556">
        <f t="shared" si="6"/>
        <v>1.98967534727354</v>
      </c>
      <c r="D117">
        <f t="shared" si="9"/>
        <v>48.850322580645198</v>
      </c>
      <c r="G117">
        <f t="shared" si="7"/>
        <v>44.626990297924202</v>
      </c>
      <c r="H117">
        <f t="shared" si="8"/>
        <v>-19.869216219621599</v>
      </c>
    </row>
    <row r="118" spans="1:8">
      <c r="A118">
        <f t="shared" si="5"/>
        <v>47.03</v>
      </c>
      <c r="B118" s="2559">
        <v>115</v>
      </c>
      <c r="C118" s="2556">
        <f t="shared" si="6"/>
        <v>2.0071286397934802</v>
      </c>
      <c r="D118">
        <f t="shared" si="9"/>
        <v>48.754516129032297</v>
      </c>
      <c r="G118">
        <f t="shared" si="7"/>
        <v>44.186597620945903</v>
      </c>
      <c r="H118">
        <f t="shared" si="8"/>
        <v>-20.6045488584605</v>
      </c>
    </row>
    <row r="119" spans="1:8">
      <c r="A119">
        <f t="shared" si="5"/>
        <v>47.03</v>
      </c>
      <c r="B119" s="2559">
        <v>116</v>
      </c>
      <c r="C119" s="2556">
        <f t="shared" si="6"/>
        <v>2.0245819323134202</v>
      </c>
      <c r="D119">
        <f t="shared" si="9"/>
        <v>48.658709677419402</v>
      </c>
      <c r="G119">
        <f t="shared" si="7"/>
        <v>43.734158558664198</v>
      </c>
      <c r="H119">
        <f t="shared" si="8"/>
        <v>-21.330574362567098</v>
      </c>
    </row>
    <row r="120" spans="1:8">
      <c r="A120">
        <f t="shared" si="5"/>
        <v>47.03</v>
      </c>
      <c r="B120" s="2559">
        <v>117</v>
      </c>
      <c r="C120" s="2556">
        <f t="shared" si="6"/>
        <v>2.04203522483337</v>
      </c>
      <c r="D120">
        <f t="shared" si="9"/>
        <v>48.562903225806501</v>
      </c>
      <c r="G120">
        <f t="shared" si="7"/>
        <v>43.269863607721902</v>
      </c>
      <c r="H120">
        <f t="shared" si="8"/>
        <v>-22.0470967042871</v>
      </c>
    </row>
    <row r="121" spans="1:8">
      <c r="A121">
        <f t="shared" si="5"/>
        <v>47.03</v>
      </c>
      <c r="B121" s="2559">
        <v>118</v>
      </c>
      <c r="C121" s="2556">
        <f t="shared" si="6"/>
        <v>2.05948851735331</v>
      </c>
      <c r="D121">
        <f t="shared" si="9"/>
        <v>48.4670967741935</v>
      </c>
      <c r="G121">
        <f t="shared" si="7"/>
        <v>42.793906429634902</v>
      </c>
      <c r="H121">
        <f t="shared" si="8"/>
        <v>-22.7539236662756</v>
      </c>
    </row>
    <row r="122" spans="1:8">
      <c r="A122">
        <f t="shared" si="5"/>
        <v>47.03</v>
      </c>
      <c r="B122" s="2559">
        <v>119</v>
      </c>
      <c r="C122" s="2556">
        <f t="shared" si="6"/>
        <v>2.0769418098732499</v>
      </c>
      <c r="D122">
        <f t="shared" si="9"/>
        <v>48.371290322580599</v>
      </c>
      <c r="G122">
        <f t="shared" si="7"/>
        <v>42.3064837758902</v>
      </c>
      <c r="H122">
        <f t="shared" si="8"/>
        <v>-23.450866892115599</v>
      </c>
    </row>
    <row r="123" spans="1:8">
      <c r="A123">
        <f t="shared" si="5"/>
        <v>47.03</v>
      </c>
      <c r="B123" s="2559">
        <v>120</v>
      </c>
      <c r="C123" s="2556">
        <f t="shared" si="6"/>
        <v>2.0943951023932001</v>
      </c>
      <c r="D123">
        <f t="shared" si="9"/>
        <v>48.275483870967697</v>
      </c>
      <c r="G123">
        <f t="shared" si="7"/>
        <v>41.807795412243998</v>
      </c>
      <c r="H123">
        <f t="shared" si="8"/>
        <v>-24.137741935483898</v>
      </c>
    </row>
    <row r="124" spans="1:8">
      <c r="A124">
        <f t="shared" si="5"/>
        <v>47.03</v>
      </c>
      <c r="B124" s="2559">
        <v>121</v>
      </c>
      <c r="C124" s="2556">
        <f t="shared" si="6"/>
        <v>2.1118483949131401</v>
      </c>
      <c r="D124">
        <f t="shared" si="9"/>
        <v>48.179677419354803</v>
      </c>
      <c r="G124">
        <f t="shared" si="7"/>
        <v>41.2980440422469</v>
      </c>
      <c r="H124">
        <f t="shared" si="8"/>
        <v>-24.8143683078519</v>
      </c>
    </row>
    <row r="125" spans="1:8">
      <c r="A125">
        <f t="shared" si="5"/>
        <v>47.03</v>
      </c>
      <c r="B125" s="2559">
        <v>122</v>
      </c>
      <c r="C125" s="2556">
        <f t="shared" si="6"/>
        <v>2.1293016874330801</v>
      </c>
      <c r="D125">
        <f t="shared" si="9"/>
        <v>48.083870967741902</v>
      </c>
      <c r="G125">
        <f t="shared" si="7"/>
        <v>40.7774352300248</v>
      </c>
      <c r="H125">
        <f t="shared" si="8"/>
        <v>-25.480569524710202</v>
      </c>
    </row>
    <row r="126" spans="1:8">
      <c r="A126">
        <f t="shared" si="5"/>
        <v>47.03</v>
      </c>
      <c r="B126" s="2559">
        <v>123</v>
      </c>
      <c r="C126" s="2556">
        <f t="shared" si="6"/>
        <v>2.1467549799530299</v>
      </c>
      <c r="D126">
        <f t="shared" si="9"/>
        <v>47.988064516129</v>
      </c>
      <c r="G126">
        <f t="shared" si="7"/>
        <v>40.246177322343598</v>
      </c>
      <c r="H126">
        <f t="shared" si="8"/>
        <v>-26.136173150303399</v>
      </c>
    </row>
    <row r="127" spans="1:8">
      <c r="A127">
        <f t="shared" si="5"/>
        <v>47.03</v>
      </c>
      <c r="B127" s="2559">
        <v>124</v>
      </c>
      <c r="C127" s="2556">
        <f t="shared" si="6"/>
        <v>2.1642082724729699</v>
      </c>
      <c r="D127">
        <f t="shared" si="9"/>
        <v>47.892258064516099</v>
      </c>
      <c r="G127">
        <f t="shared" si="7"/>
        <v>39.704481369986098</v>
      </c>
      <c r="H127">
        <f t="shared" si="8"/>
        <v>-26.781010840867101</v>
      </c>
    </row>
    <row r="128" spans="1:8">
      <c r="A128">
        <f t="shared" si="5"/>
        <v>47.03</v>
      </c>
      <c r="B128" s="2559">
        <v>125</v>
      </c>
      <c r="C128" s="2556">
        <f t="shared" si="6"/>
        <v>2.1816615649929099</v>
      </c>
      <c r="D128">
        <f t="shared" si="9"/>
        <v>47.796451612903198</v>
      </c>
      <c r="G128">
        <f t="shared" si="7"/>
        <v>39.1525610484696</v>
      </c>
      <c r="H128">
        <f t="shared" si="8"/>
        <v>-27.414918386354199</v>
      </c>
    </row>
    <row r="129" spans="1:8">
      <c r="A129">
        <f t="shared" si="5"/>
        <v>47.03</v>
      </c>
      <c r="B129" s="2559">
        <v>126</v>
      </c>
      <c r="C129" s="2556">
        <f t="shared" si="6"/>
        <v>2.1991148575128601</v>
      </c>
      <c r="D129">
        <f t="shared" si="9"/>
        <v>47.700645161290304</v>
      </c>
      <c r="G129">
        <f t="shared" si="7"/>
        <v>38.590632578132997</v>
      </c>
      <c r="H129">
        <f t="shared" si="8"/>
        <v>-28.037735750642799</v>
      </c>
    </row>
    <row r="130" spans="1:8">
      <c r="A130">
        <f t="shared" si="5"/>
        <v>47.03</v>
      </c>
      <c r="B130" s="2559">
        <v>127</v>
      </c>
      <c r="C130" s="2556">
        <f t="shared" si="6"/>
        <v>2.2165681500328001</v>
      </c>
      <c r="D130">
        <f t="shared" si="9"/>
        <v>47.604838709677402</v>
      </c>
      <c r="G130">
        <f t="shared" si="7"/>
        <v>38.018914643622303</v>
      </c>
      <c r="H130">
        <f t="shared" si="8"/>
        <v>-28.649307110214</v>
      </c>
    </row>
    <row r="131" spans="1:8">
      <c r="A131">
        <f t="shared" ref="A131:A194" si="10">52.03-5</f>
        <v>47.03</v>
      </c>
      <c r="B131" s="2559">
        <v>128</v>
      </c>
      <c r="C131" s="2556">
        <f t="shared" ref="C131:C194" si="11">B131*PI()/180</f>
        <v>2.23402144255274</v>
      </c>
      <c r="D131">
        <f t="shared" si="9"/>
        <v>47.509032258064501</v>
      </c>
      <c r="G131">
        <f t="shared" ref="G131:G194" si="12">D131*SIN(C131)</f>
        <v>37.437628312803497</v>
      </c>
      <c r="H131">
        <f t="shared" ref="H131:H194" si="13">D131*COS(C131)</f>
        <v>-29.249480891294301</v>
      </c>
    </row>
    <row r="132" spans="1:8">
      <c r="A132">
        <f t="shared" si="10"/>
        <v>47.03</v>
      </c>
      <c r="B132" s="2559">
        <v>129</v>
      </c>
      <c r="C132" s="2556">
        <f t="shared" si="11"/>
        <v>2.25147473507268</v>
      </c>
      <c r="D132">
        <f t="shared" si="9"/>
        <v>47.413225806451599</v>
      </c>
      <c r="G132">
        <f t="shared" si="12"/>
        <v>36.846996955131303</v>
      </c>
      <c r="H132">
        <f t="shared" si="13"/>
        <v>-29.838109805450401</v>
      </c>
    </row>
    <row r="133" spans="1:8">
      <c r="A133">
        <f t="shared" si="10"/>
        <v>47.03</v>
      </c>
      <c r="B133" s="2559">
        <v>130</v>
      </c>
      <c r="C133" s="2556">
        <f t="shared" si="11"/>
        <v>2.2689280275926298</v>
      </c>
      <c r="D133">
        <f t="shared" si="9"/>
        <v>47.317419354838698</v>
      </c>
      <c r="G133">
        <f t="shared" si="12"/>
        <v>36.247246159504598</v>
      </c>
      <c r="H133">
        <f t="shared" si="13"/>
        <v>-30.4150508836324</v>
      </c>
    </row>
    <row r="134" spans="1:8">
      <c r="A134">
        <f t="shared" si="10"/>
        <v>47.03</v>
      </c>
      <c r="B134" s="2559">
        <v>131</v>
      </c>
      <c r="C134" s="2556">
        <f t="shared" si="11"/>
        <v>2.2863813201125698</v>
      </c>
      <c r="D134">
        <f t="shared" si="9"/>
        <v>47.221612903225797</v>
      </c>
      <c r="G134">
        <f t="shared" si="12"/>
        <v>35.638603651635798</v>
      </c>
      <c r="H134">
        <f t="shared" si="13"/>
        <v>-30.980165508655901</v>
      </c>
    </row>
    <row r="135" spans="1:8">
      <c r="A135">
        <f t="shared" si="10"/>
        <v>47.03</v>
      </c>
      <c r="B135" s="2559">
        <v>132</v>
      </c>
      <c r="C135" s="2556">
        <f t="shared" si="11"/>
        <v>2.3038346126325102</v>
      </c>
      <c r="D135">
        <f t="shared" si="9"/>
        <v>47.125806451612902</v>
      </c>
      <c r="G135">
        <f t="shared" si="12"/>
        <v>35.021299210965303</v>
      </c>
      <c r="H135">
        <f t="shared" si="13"/>
        <v>-31.5333194461179</v>
      </c>
    </row>
    <row r="136" spans="1:8">
      <c r="A136">
        <f t="shared" si="10"/>
        <v>47.03</v>
      </c>
      <c r="B136" s="2559">
        <v>133</v>
      </c>
      <c r="C136" s="2556">
        <f t="shared" si="11"/>
        <v>2.32128790515246</v>
      </c>
      <c r="D136">
        <f t="shared" si="9"/>
        <v>47.03</v>
      </c>
      <c r="G136">
        <f t="shared" si="12"/>
        <v>34.3955645871496</v>
      </c>
      <c r="H136">
        <f t="shared" si="13"/>
        <v>-32.074382873739303</v>
      </c>
    </row>
    <row r="137" spans="1:8">
      <c r="A137">
        <f t="shared" si="10"/>
        <v>47.03</v>
      </c>
      <c r="B137" s="1237">
        <v>134</v>
      </c>
      <c r="C137" s="2556">
        <f t="shared" si="11"/>
        <v>2.3387411976724</v>
      </c>
      <c r="D137">
        <v>47.03</v>
      </c>
      <c r="G137">
        <f t="shared" si="12"/>
        <v>33.830550809926798</v>
      </c>
      <c r="H137">
        <f t="shared" si="13"/>
        <v>-32.669783162686599</v>
      </c>
    </row>
    <row r="138" spans="1:8">
      <c r="A138">
        <f t="shared" si="10"/>
        <v>47.03</v>
      </c>
      <c r="B138" s="1237">
        <v>135</v>
      </c>
      <c r="C138" s="2556">
        <f t="shared" si="11"/>
        <v>2.35619449019234</v>
      </c>
      <c r="D138">
        <v>47.03</v>
      </c>
      <c r="G138">
        <f t="shared" si="12"/>
        <v>33.255231919203297</v>
      </c>
      <c r="H138">
        <f t="shared" si="13"/>
        <v>-33.255231919203297</v>
      </c>
    </row>
    <row r="139" spans="1:8">
      <c r="A139">
        <f t="shared" si="10"/>
        <v>47.03</v>
      </c>
      <c r="B139" s="1237">
        <v>136</v>
      </c>
      <c r="C139" s="2556">
        <f t="shared" si="11"/>
        <v>2.3736477827122902</v>
      </c>
      <c r="D139">
        <v>47.03</v>
      </c>
      <c r="G139">
        <f t="shared" si="12"/>
        <v>32.669783162686599</v>
      </c>
      <c r="H139">
        <f t="shared" si="13"/>
        <v>-33.830550809926798</v>
      </c>
    </row>
    <row r="140" spans="1:8">
      <c r="A140">
        <f t="shared" si="10"/>
        <v>47.03</v>
      </c>
      <c r="B140" s="1237">
        <v>137</v>
      </c>
      <c r="C140" s="2556">
        <f t="shared" si="11"/>
        <v>2.3911010752322301</v>
      </c>
      <c r="D140">
        <v>47.03</v>
      </c>
      <c r="G140">
        <f t="shared" si="12"/>
        <v>32.074382873739303</v>
      </c>
      <c r="H140">
        <f t="shared" si="13"/>
        <v>-34.3955645871496</v>
      </c>
    </row>
    <row r="141" spans="1:8">
      <c r="A141">
        <f t="shared" si="10"/>
        <v>47.03</v>
      </c>
      <c r="B141" s="1237">
        <v>138</v>
      </c>
      <c r="C141" s="2556">
        <f t="shared" si="11"/>
        <v>2.4085543677521701</v>
      </c>
      <c r="D141">
        <v>47.03</v>
      </c>
      <c r="G141">
        <f t="shared" si="12"/>
        <v>31.469212417057101</v>
      </c>
      <c r="H141">
        <f t="shared" si="13"/>
        <v>-34.950101142201802</v>
      </c>
    </row>
    <row r="142" spans="1:8">
      <c r="A142">
        <f t="shared" si="10"/>
        <v>47.03</v>
      </c>
      <c r="B142" s="1237">
        <v>139</v>
      </c>
      <c r="C142" s="2556">
        <f t="shared" si="11"/>
        <v>2.4260076602721199</v>
      </c>
      <c r="D142">
        <v>47.03</v>
      </c>
      <c r="G142">
        <f t="shared" si="12"/>
        <v>30.8544561334236</v>
      </c>
      <c r="H142">
        <f t="shared" si="13"/>
        <v>-35.493991557877003</v>
      </c>
    </row>
    <row r="143" spans="1:8">
      <c r="A143">
        <f t="shared" si="10"/>
        <v>47.03</v>
      </c>
      <c r="B143" s="1237">
        <v>140</v>
      </c>
      <c r="C143" s="2556">
        <f t="shared" si="11"/>
        <v>2.4434609527920599</v>
      </c>
      <c r="D143">
        <v>47.03</v>
      </c>
      <c r="G143">
        <f t="shared" si="12"/>
        <v>30.230301283557999</v>
      </c>
      <c r="H143">
        <f t="shared" si="13"/>
        <v>-36.027070159885497</v>
      </c>
    </row>
    <row r="144" spans="1:8">
      <c r="A144">
        <f t="shared" si="10"/>
        <v>47.03</v>
      </c>
      <c r="B144" s="1237">
        <v>141</v>
      </c>
      <c r="C144" s="2556">
        <f t="shared" si="11"/>
        <v>2.4609142453119999</v>
      </c>
      <c r="D144">
        <v>47.03</v>
      </c>
      <c r="G144">
        <f t="shared" si="12"/>
        <v>29.596937991073901</v>
      </c>
      <c r="H144">
        <f t="shared" si="13"/>
        <v>-36.549174567321302</v>
      </c>
    </row>
    <row r="145" spans="1:8">
      <c r="A145">
        <f t="shared" si="10"/>
        <v>47.03</v>
      </c>
      <c r="B145" s="1237">
        <v>142</v>
      </c>
      <c r="C145" s="2556">
        <f t="shared" si="11"/>
        <v>2.4783675378319501</v>
      </c>
      <c r="D145">
        <v>47.03</v>
      </c>
      <c r="G145">
        <f t="shared" si="12"/>
        <v>28.954559184565699</v>
      </c>
      <c r="H145">
        <f t="shared" si="13"/>
        <v>-37.060145742124099</v>
      </c>
    </row>
    <row r="146" spans="1:8">
      <c r="A146">
        <f t="shared" si="10"/>
        <v>47.03</v>
      </c>
      <c r="B146" s="1237">
        <v>143</v>
      </c>
      <c r="C146" s="2556">
        <f t="shared" si="11"/>
        <v>2.4958208303518901</v>
      </c>
      <c r="D146">
        <v>47.03</v>
      </c>
      <c r="G146">
        <f t="shared" si="12"/>
        <v>28.303360538840799</v>
      </c>
      <c r="H146">
        <f t="shared" si="13"/>
        <v>-37.559828037524198</v>
      </c>
    </row>
    <row r="147" spans="1:8">
      <c r="A147">
        <f t="shared" si="10"/>
        <v>47.03</v>
      </c>
      <c r="B147" s="1237">
        <v>144</v>
      </c>
      <c r="C147" s="2556">
        <f t="shared" si="11"/>
        <v>2.5132741228718301</v>
      </c>
      <c r="D147">
        <v>47.03</v>
      </c>
      <c r="G147">
        <f t="shared" si="12"/>
        <v>27.643540415315002</v>
      </c>
      <c r="H147">
        <f t="shared" si="13"/>
        <v>-38.048069245453803</v>
      </c>
    </row>
    <row r="148" spans="1:8">
      <c r="A148">
        <f t="shared" si="10"/>
        <v>47.03</v>
      </c>
      <c r="B148" s="1237">
        <v>145</v>
      </c>
      <c r="C148" s="2556">
        <f t="shared" si="11"/>
        <v>2.5307274153917798</v>
      </c>
      <c r="D148">
        <v>47.03</v>
      </c>
      <c r="G148">
        <f t="shared" si="12"/>
        <v>26.975299801589699</v>
      </c>
      <c r="H148">
        <f t="shared" si="13"/>
        <v>-38.524720642911298</v>
      </c>
    </row>
    <row r="149" spans="1:8">
      <c r="A149">
        <f t="shared" si="10"/>
        <v>47.03</v>
      </c>
      <c r="B149" s="1237">
        <v>146</v>
      </c>
      <c r="C149" s="2556">
        <f t="shared" si="11"/>
        <v>2.5481807079117198</v>
      </c>
      <c r="D149">
        <v>47.03</v>
      </c>
      <c r="G149">
        <f t="shared" si="12"/>
        <v>26.2988422502292</v>
      </c>
      <c r="H149">
        <f t="shared" si="13"/>
        <v>-38.989637037263599</v>
      </c>
    </row>
    <row r="150" spans="1:8">
      <c r="A150">
        <f t="shared" si="10"/>
        <v>47.03</v>
      </c>
      <c r="B150" s="1237">
        <v>147</v>
      </c>
      <c r="C150" s="2556">
        <f t="shared" si="11"/>
        <v>2.5656340004316598</v>
      </c>
      <c r="D150">
        <v>47.03</v>
      </c>
      <c r="G150">
        <f t="shared" si="12"/>
        <v>25.6143738167567</v>
      </c>
      <c r="H150">
        <f t="shared" si="13"/>
        <v>-39.442676810473301</v>
      </c>
    </row>
    <row r="151" spans="1:8">
      <c r="A151">
        <f t="shared" si="10"/>
        <v>47.03</v>
      </c>
      <c r="B151" s="1237">
        <v>148</v>
      </c>
      <c r="C151" s="2556">
        <f t="shared" si="11"/>
        <v>2.58308729295161</v>
      </c>
      <c r="D151">
        <v>47.03</v>
      </c>
      <c r="G151">
        <f t="shared" si="12"/>
        <v>24.922102996887599</v>
      </c>
      <c r="H151">
        <f t="shared" si="13"/>
        <v>-39.8837019622367</v>
      </c>
    </row>
    <row r="152" spans="1:8">
      <c r="A152">
        <f t="shared" si="10"/>
        <v>47.03</v>
      </c>
      <c r="B152" s="1237">
        <v>149</v>
      </c>
      <c r="C152" s="2556">
        <f t="shared" si="11"/>
        <v>2.60054058547155</v>
      </c>
      <c r="D152">
        <v>47.03</v>
      </c>
      <c r="G152">
        <f t="shared" si="12"/>
        <v>24.2222406630199</v>
      </c>
      <c r="H152">
        <f t="shared" si="13"/>
        <v>-40.312578152020301</v>
      </c>
    </row>
    <row r="153" spans="1:8">
      <c r="A153">
        <f t="shared" si="10"/>
        <v>47.03</v>
      </c>
      <c r="B153" s="1237">
        <v>150</v>
      </c>
      <c r="C153" s="2556">
        <f t="shared" si="11"/>
        <v>2.61799387799149</v>
      </c>
      <c r="D153">
        <v>47.03</v>
      </c>
      <c r="G153">
        <f t="shared" si="12"/>
        <v>23.515000000000001</v>
      </c>
      <c r="H153">
        <f t="shared" si="13"/>
        <v>-40.729174739982199</v>
      </c>
    </row>
    <row r="154" spans="1:8">
      <c r="A154">
        <f t="shared" si="10"/>
        <v>47.03</v>
      </c>
      <c r="B154" s="1237">
        <v>151</v>
      </c>
      <c r="C154" s="2556">
        <f t="shared" si="11"/>
        <v>2.6354471705114402</v>
      </c>
      <c r="D154">
        <v>47.03</v>
      </c>
      <c r="G154">
        <f t="shared" si="12"/>
        <v>22.800596440185199</v>
      </c>
      <c r="H154">
        <f t="shared" si="13"/>
        <v>-41.133364826765799</v>
      </c>
    </row>
    <row r="155" spans="1:8">
      <c r="A155">
        <f t="shared" si="10"/>
        <v>47.03</v>
      </c>
      <c r="B155" s="1237">
        <v>152</v>
      </c>
      <c r="C155" s="2556">
        <f t="shared" si="11"/>
        <v>2.6529004630313802</v>
      </c>
      <c r="D155">
        <v>47.03</v>
      </c>
      <c r="G155">
        <f t="shared" si="12"/>
        <v>22.079247597820501</v>
      </c>
      <c r="H155">
        <f t="shared" si="13"/>
        <v>-41.525025292155298</v>
      </c>
    </row>
    <row r="156" spans="1:8">
      <c r="A156">
        <f t="shared" si="10"/>
        <v>47.03</v>
      </c>
      <c r="B156" s="1237">
        <v>153</v>
      </c>
      <c r="C156" s="2556">
        <f t="shared" si="11"/>
        <v>2.6703537555513202</v>
      </c>
      <c r="D156">
        <v>47.03</v>
      </c>
      <c r="G156">
        <f t="shared" si="12"/>
        <v>21.3511732027509</v>
      </c>
      <c r="H156">
        <f t="shared" si="13"/>
        <v>-41.904036832578903</v>
      </c>
    </row>
    <row r="157" spans="1:8">
      <c r="A157">
        <f t="shared" si="10"/>
        <v>47.03</v>
      </c>
      <c r="B157" s="1237">
        <v>154</v>
      </c>
      <c r="C157" s="2556">
        <f t="shared" si="11"/>
        <v>2.6878070480712699</v>
      </c>
      <c r="D157">
        <v>47.03</v>
      </c>
      <c r="G157">
        <f t="shared" si="12"/>
        <v>20.616595033490299</v>
      </c>
      <c r="H157">
        <f t="shared" si="13"/>
        <v>-42.270283997449802</v>
      </c>
    </row>
    <row r="158" spans="1:8">
      <c r="A158">
        <f t="shared" si="10"/>
        <v>47.03</v>
      </c>
      <c r="B158" s="1237">
        <v>155</v>
      </c>
      <c r="C158" s="2556">
        <f t="shared" si="11"/>
        <v>2.7052603405912099</v>
      </c>
      <c r="D158">
        <v>47.03</v>
      </c>
      <c r="G158">
        <f t="shared" si="12"/>
        <v>19.875736849665099</v>
      </c>
      <c r="H158">
        <f t="shared" si="13"/>
        <v>-42.623655224333604</v>
      </c>
    </row>
    <row r="159" spans="1:8">
      <c r="A159">
        <f t="shared" si="10"/>
        <v>47.03</v>
      </c>
      <c r="B159" s="1237">
        <v>156</v>
      </c>
      <c r="C159" s="2556">
        <f t="shared" si="11"/>
        <v>2.7227136331111499</v>
      </c>
      <c r="D159">
        <v>47.03</v>
      </c>
      <c r="G159">
        <f t="shared" si="12"/>
        <v>19.1288243238549</v>
      </c>
      <c r="H159">
        <f t="shared" si="13"/>
        <v>-42.9640428729315</v>
      </c>
    </row>
    <row r="160" spans="1:8">
      <c r="A160">
        <f t="shared" si="10"/>
        <v>47.03</v>
      </c>
      <c r="B160" s="1237">
        <v>157</v>
      </c>
      <c r="C160" s="2556">
        <f t="shared" si="11"/>
        <v>2.7401669256311001</v>
      </c>
      <c r="D160">
        <v>47.03</v>
      </c>
      <c r="G160">
        <f t="shared" si="12"/>
        <v>18.376084972850599</v>
      </c>
      <c r="H160">
        <f t="shared" si="13"/>
        <v>-43.291343257868299</v>
      </c>
    </row>
    <row r="161" spans="1:8">
      <c r="A161">
        <f t="shared" si="10"/>
        <v>47.03</v>
      </c>
      <c r="B161" s="1237">
        <v>158</v>
      </c>
      <c r="C161" s="2556">
        <f t="shared" si="11"/>
        <v>2.7576202181510401</v>
      </c>
      <c r="D161">
        <v>47.03</v>
      </c>
      <c r="G161">
        <f t="shared" si="12"/>
        <v>17.6177480883504</v>
      </c>
      <c r="H161">
        <f t="shared" si="13"/>
        <v>-43.605456680275999</v>
      </c>
    </row>
    <row r="162" spans="1:8">
      <c r="A162">
        <f t="shared" si="10"/>
        <v>47.03</v>
      </c>
      <c r="B162" s="1237">
        <v>159</v>
      </c>
      <c r="C162" s="2556">
        <f t="shared" si="11"/>
        <v>2.7750735106709801</v>
      </c>
      <c r="D162">
        <v>47.03</v>
      </c>
      <c r="G162">
        <f t="shared" si="12"/>
        <v>16.854044667115499</v>
      </c>
      <c r="H162">
        <f t="shared" si="13"/>
        <v>-43.906287458163398</v>
      </c>
    </row>
    <row r="163" spans="1:8">
      <c r="A163">
        <f t="shared" si="10"/>
        <v>47.03</v>
      </c>
      <c r="B163" s="1237">
        <v>160</v>
      </c>
      <c r="C163" s="2556">
        <f t="shared" si="11"/>
        <v>2.7925268031909298</v>
      </c>
      <c r="D163">
        <v>47.03</v>
      </c>
      <c r="G163">
        <f t="shared" si="12"/>
        <v>16.0852073406062</v>
      </c>
      <c r="H163">
        <f t="shared" si="13"/>
        <v>-44.193743955561303</v>
      </c>
    </row>
    <row r="164" spans="1:8">
      <c r="A164">
        <f t="shared" si="10"/>
        <v>47.03</v>
      </c>
      <c r="B164" s="1237">
        <v>161</v>
      </c>
      <c r="C164" s="2556">
        <f t="shared" si="11"/>
        <v>2.8099800957108698</v>
      </c>
      <c r="D164">
        <v>47.03</v>
      </c>
      <c r="G164">
        <f t="shared" si="12"/>
        <v>15.3114703041201</v>
      </c>
      <c r="H164">
        <f t="shared" si="13"/>
        <v>-44.467738610435902</v>
      </c>
    </row>
    <row r="165" spans="1:8">
      <c r="A165">
        <f t="shared" si="10"/>
        <v>47.03</v>
      </c>
      <c r="B165" s="1237">
        <v>162</v>
      </c>
      <c r="C165" s="2556">
        <f t="shared" si="11"/>
        <v>2.8274333882308098</v>
      </c>
      <c r="D165">
        <v>47.03</v>
      </c>
      <c r="G165">
        <f t="shared" si="12"/>
        <v>14.533069245453801</v>
      </c>
      <c r="H165">
        <f t="shared" si="13"/>
        <v>-44.728187961361101</v>
      </c>
    </row>
    <row r="166" spans="1:8">
      <c r="A166">
        <f t="shared" si="10"/>
        <v>47.03</v>
      </c>
      <c r="B166" s="1237">
        <v>163</v>
      </c>
      <c r="C166" s="2556">
        <f t="shared" si="11"/>
        <v>2.84488668075076</v>
      </c>
      <c r="D166">
        <v>47.03</v>
      </c>
      <c r="G166">
        <f t="shared" si="12"/>
        <v>13.7502412731103</v>
      </c>
      <c r="H166">
        <f t="shared" si="13"/>
        <v>-44.975012672941602</v>
      </c>
    </row>
    <row r="167" spans="1:8">
      <c r="A167">
        <f t="shared" si="10"/>
        <v>47.03</v>
      </c>
      <c r="B167" s="1237">
        <v>164</v>
      </c>
      <c r="C167" s="2556">
        <f t="shared" si="11"/>
        <v>2.8623399732707</v>
      </c>
      <c r="D167">
        <v>47.03</v>
      </c>
      <c r="G167">
        <f t="shared" si="12"/>
        <v>12.963224844073499</v>
      </c>
      <c r="H167">
        <f t="shared" si="13"/>
        <v>-45.2081375599791</v>
      </c>
    </row>
    <row r="168" spans="1:8">
      <c r="A168">
        <f t="shared" si="10"/>
        <v>47.03</v>
      </c>
      <c r="B168" s="1237">
        <v>165</v>
      </c>
      <c r="C168" s="2556">
        <f t="shared" si="11"/>
        <v>2.87979326579064</v>
      </c>
      <c r="D168">
        <v>47.03</v>
      </c>
      <c r="G168">
        <f t="shared" si="12"/>
        <v>12.1722596911716</v>
      </c>
      <c r="H168">
        <f t="shared" si="13"/>
        <v>-45.427491610374901</v>
      </c>
    </row>
    <row r="169" spans="1:8">
      <c r="A169">
        <f t="shared" si="10"/>
        <v>47.03</v>
      </c>
      <c r="B169" s="1237">
        <v>166</v>
      </c>
      <c r="C169" s="2556">
        <f t="shared" si="11"/>
        <v>2.8972465583105902</v>
      </c>
      <c r="D169">
        <v>47.03</v>
      </c>
      <c r="G169">
        <f t="shared" si="12"/>
        <v>11.3775867500524</v>
      </c>
      <c r="H169">
        <f t="shared" si="13"/>
        <v>-45.6330080067601</v>
      </c>
    </row>
    <row r="170" spans="1:8">
      <c r="A170">
        <f t="shared" si="10"/>
        <v>47.03</v>
      </c>
      <c r="B170" s="1237">
        <v>167</v>
      </c>
      <c r="C170" s="2556">
        <f t="shared" si="11"/>
        <v>2.9146998508305302</v>
      </c>
      <c r="D170">
        <v>47.03</v>
      </c>
      <c r="G170">
        <f t="shared" si="12"/>
        <v>10.579448085792</v>
      </c>
      <c r="H170">
        <f t="shared" si="13"/>
        <v>-45.824624146849601</v>
      </c>
    </row>
    <row r="171" spans="1:8">
      <c r="A171">
        <f t="shared" si="10"/>
        <v>47.03</v>
      </c>
      <c r="B171" s="1237">
        <v>168</v>
      </c>
      <c r="C171" s="2556">
        <f t="shared" si="11"/>
        <v>2.9321531433504702</v>
      </c>
      <c r="D171">
        <v>47.03</v>
      </c>
      <c r="G171">
        <f t="shared" si="12"/>
        <v>9.7780868191592205</v>
      </c>
      <c r="H171">
        <f t="shared" si="13"/>
        <v>-46.002281662510903</v>
      </c>
    </row>
    <row r="172" spans="1:8">
      <c r="A172">
        <f t="shared" si="10"/>
        <v>47.03</v>
      </c>
      <c r="B172" s="1237">
        <v>169</v>
      </c>
      <c r="C172" s="2556">
        <f t="shared" si="11"/>
        <v>2.9496064358704199</v>
      </c>
      <c r="D172">
        <v>47.03</v>
      </c>
      <c r="G172">
        <f t="shared" si="12"/>
        <v>8.9737470525589096</v>
      </c>
      <c r="H172">
        <f t="shared" si="13"/>
        <v>-46.165926437543597</v>
      </c>
    </row>
    <row r="173" spans="1:8">
      <c r="A173">
        <f t="shared" si="10"/>
        <v>47.03</v>
      </c>
      <c r="B173" s="1237">
        <v>170</v>
      </c>
      <c r="C173" s="2556">
        <f t="shared" si="11"/>
        <v>2.9670597283903599</v>
      </c>
      <c r="D173">
        <v>47.03</v>
      </c>
      <c r="G173">
        <f t="shared" si="12"/>
        <v>8.1666737956757292</v>
      </c>
      <c r="H173">
        <f t="shared" si="13"/>
        <v>-46.315508624164103</v>
      </c>
    </row>
    <row r="174" spans="1:8">
      <c r="A174">
        <f t="shared" si="10"/>
        <v>47.03</v>
      </c>
      <c r="B174" s="1237">
        <v>171</v>
      </c>
      <c r="C174" s="2556">
        <f t="shared" si="11"/>
        <v>2.9845130209102999</v>
      </c>
      <c r="D174">
        <v>47.03</v>
      </c>
      <c r="G174">
        <f t="shared" si="12"/>
        <v>7.3571128908420604</v>
      </c>
      <c r="H174">
        <f t="shared" si="13"/>
        <v>-46.450982658189297</v>
      </c>
    </row>
    <row r="175" spans="1:8">
      <c r="A175">
        <f t="shared" si="10"/>
        <v>47.03</v>
      </c>
      <c r="B175" s="1237">
        <v>172</v>
      </c>
      <c r="C175" s="2556">
        <f t="shared" si="11"/>
        <v>3.0019663134302501</v>
      </c>
      <c r="D175">
        <v>47.03</v>
      </c>
      <c r="G175">
        <f t="shared" si="12"/>
        <v>6.5453109381518901</v>
      </c>
      <c r="H175">
        <f t="shared" si="13"/>
        <v>-46.572307272915999</v>
      </c>
    </row>
    <row r="176" spans="1:8">
      <c r="A176">
        <f t="shared" si="10"/>
        <v>47.03</v>
      </c>
      <c r="B176" s="1237">
        <v>173</v>
      </c>
      <c r="C176" s="2556">
        <f t="shared" si="11"/>
        <v>3.0194196059501901</v>
      </c>
      <c r="D176">
        <v>47.03</v>
      </c>
      <c r="G176">
        <f t="shared" si="12"/>
        <v>5.7315152203440896</v>
      </c>
      <c r="H176">
        <f t="shared" si="13"/>
        <v>-46.679445511691398</v>
      </c>
    </row>
    <row r="177" spans="1:8">
      <c r="A177">
        <f t="shared" si="10"/>
        <v>47.03</v>
      </c>
      <c r="B177" s="1237">
        <v>174</v>
      </c>
      <c r="C177" s="2556">
        <f t="shared" si="11"/>
        <v>3.0368728984701301</v>
      </c>
      <c r="D177">
        <v>47.03</v>
      </c>
      <c r="G177">
        <f t="shared" si="12"/>
        <v>4.9159736274777597</v>
      </c>
      <c r="H177">
        <f t="shared" si="13"/>
        <v>-46.772364739169902</v>
      </c>
    </row>
    <row r="178" spans="1:8">
      <c r="A178">
        <f t="shared" si="10"/>
        <v>47.03</v>
      </c>
      <c r="B178" s="1237">
        <v>175</v>
      </c>
      <c r="C178" s="2556">
        <f t="shared" si="11"/>
        <v>3.0543261909900798</v>
      </c>
      <c r="D178">
        <v>47.03</v>
      </c>
      <c r="G178">
        <f t="shared" si="12"/>
        <v>4.0989345814223901</v>
      </c>
      <c r="H178">
        <f t="shared" si="13"/>
        <v>-46.851036651254802</v>
      </c>
    </row>
    <row r="179" spans="1:8">
      <c r="A179">
        <f t="shared" si="10"/>
        <v>47.03</v>
      </c>
      <c r="B179" s="1237">
        <v>176</v>
      </c>
      <c r="C179" s="2556">
        <f t="shared" si="11"/>
        <v>3.0717794835100198</v>
      </c>
      <c r="D179">
        <v>47.03</v>
      </c>
      <c r="G179">
        <f t="shared" si="12"/>
        <v>3.2806469601862198</v>
      </c>
      <c r="H179">
        <f t="shared" si="13"/>
        <v>-46.915437283719498</v>
      </c>
    </row>
    <row r="180" spans="1:8">
      <c r="A180">
        <f t="shared" si="10"/>
        <v>47.03</v>
      </c>
      <c r="B180" s="1237">
        <v>177</v>
      </c>
      <c r="C180" s="2556">
        <f t="shared" si="11"/>
        <v>3.0892327760299598</v>
      </c>
      <c r="D180">
        <v>47.03</v>
      </c>
      <c r="G180">
        <f t="shared" si="12"/>
        <v>2.4613600221056502</v>
      </c>
      <c r="H180">
        <f t="shared" si="13"/>
        <v>-46.965547019507603</v>
      </c>
    </row>
    <row r="181" spans="1:8">
      <c r="A181">
        <f t="shared" si="10"/>
        <v>47.03</v>
      </c>
      <c r="B181" s="1237">
        <v>178</v>
      </c>
      <c r="C181" s="2556">
        <f t="shared" si="11"/>
        <v>3.10668606854991</v>
      </c>
      <c r="D181">
        <v>47.03</v>
      </c>
      <c r="G181">
        <f t="shared" si="12"/>
        <v>1.6413233299186101</v>
      </c>
      <c r="H181">
        <f t="shared" si="13"/>
        <v>-47.0013505947081</v>
      </c>
    </row>
    <row r="182" spans="1:8">
      <c r="A182">
        <f t="shared" si="10"/>
        <v>47.03</v>
      </c>
      <c r="B182" s="1237">
        <v>179</v>
      </c>
      <c r="C182" s="2556">
        <f t="shared" si="11"/>
        <v>3.12413936106985</v>
      </c>
      <c r="D182">
        <v>47.03</v>
      </c>
      <c r="G182">
        <f t="shared" si="12"/>
        <v>0.82078667474543998</v>
      </c>
      <c r="H182">
        <f t="shared" si="13"/>
        <v>-47.022837103205099</v>
      </c>
    </row>
    <row r="183" spans="1:8">
      <c r="A183">
        <f t="shared" si="10"/>
        <v>47.03</v>
      </c>
      <c r="B183" s="1237">
        <v>180</v>
      </c>
      <c r="C183" s="2556">
        <f t="shared" si="11"/>
        <v>3.14159265358979</v>
      </c>
      <c r="D183">
        <v>47.03</v>
      </c>
      <c r="G183">
        <f t="shared" si="12"/>
        <v>5.7595138963900002E-15</v>
      </c>
      <c r="H183">
        <f t="shared" si="13"/>
        <v>-47.03</v>
      </c>
    </row>
    <row r="184" spans="1:8">
      <c r="A184">
        <f t="shared" si="10"/>
        <v>47.03</v>
      </c>
      <c r="B184" s="1237">
        <v>181</v>
      </c>
      <c r="C184" s="2556">
        <f t="shared" si="11"/>
        <v>3.1590459461097402</v>
      </c>
      <c r="D184">
        <v>47.03</v>
      </c>
      <c r="G184">
        <f t="shared" si="12"/>
        <v>-0.82078667474542899</v>
      </c>
      <c r="H184">
        <f t="shared" si="13"/>
        <v>-47.022837103205099</v>
      </c>
    </row>
    <row r="185" spans="1:8">
      <c r="A185">
        <f t="shared" si="10"/>
        <v>47.03</v>
      </c>
      <c r="B185" s="1237">
        <v>182</v>
      </c>
      <c r="C185" s="2556">
        <f t="shared" si="11"/>
        <v>3.1764992386296802</v>
      </c>
      <c r="D185">
        <v>47.03</v>
      </c>
      <c r="G185">
        <f t="shared" si="12"/>
        <v>-1.6413233299186201</v>
      </c>
      <c r="H185">
        <f t="shared" si="13"/>
        <v>-47.0013505947081</v>
      </c>
    </row>
    <row r="186" spans="1:8">
      <c r="A186">
        <f t="shared" si="10"/>
        <v>47.03</v>
      </c>
      <c r="B186" s="1237">
        <v>183</v>
      </c>
      <c r="C186" s="2556">
        <f t="shared" si="11"/>
        <v>3.1939525311496202</v>
      </c>
      <c r="D186">
        <v>47.03</v>
      </c>
      <c r="G186">
        <f t="shared" si="12"/>
        <v>-2.46136002210564</v>
      </c>
      <c r="H186">
        <f t="shared" si="13"/>
        <v>-46.965547019507603</v>
      </c>
    </row>
    <row r="187" spans="1:8">
      <c r="A187">
        <f t="shared" si="10"/>
        <v>47.03</v>
      </c>
      <c r="B187" s="1237">
        <v>184</v>
      </c>
      <c r="C187" s="2556">
        <f t="shared" si="11"/>
        <v>3.2114058236695699</v>
      </c>
      <c r="D187">
        <v>47.03</v>
      </c>
      <c r="G187">
        <f t="shared" si="12"/>
        <v>-3.2806469601861901</v>
      </c>
      <c r="H187">
        <f t="shared" si="13"/>
        <v>-46.915437283719498</v>
      </c>
    </row>
    <row r="188" spans="1:8">
      <c r="A188">
        <f t="shared" si="10"/>
        <v>47.03</v>
      </c>
      <c r="B188" s="1237">
        <v>185</v>
      </c>
      <c r="C188" s="2556">
        <f t="shared" si="11"/>
        <v>3.2288591161895099</v>
      </c>
      <c r="D188">
        <v>47.03</v>
      </c>
      <c r="G188">
        <f t="shared" si="12"/>
        <v>-4.0989345814223501</v>
      </c>
      <c r="H188">
        <f t="shared" si="13"/>
        <v>-46.851036651254802</v>
      </c>
    </row>
    <row r="189" spans="1:8">
      <c r="A189">
        <f t="shared" si="10"/>
        <v>47.03</v>
      </c>
      <c r="B189" s="1237">
        <v>186</v>
      </c>
      <c r="C189" s="2556">
        <f t="shared" si="11"/>
        <v>3.2463124087094499</v>
      </c>
      <c r="D189">
        <v>47.03</v>
      </c>
      <c r="G189">
        <f t="shared" si="12"/>
        <v>-4.9159736274777197</v>
      </c>
      <c r="H189">
        <f t="shared" si="13"/>
        <v>-46.772364739169902</v>
      </c>
    </row>
    <row r="190" spans="1:8">
      <c r="A190">
        <f t="shared" si="10"/>
        <v>47.03</v>
      </c>
      <c r="B190" s="1237">
        <v>187</v>
      </c>
      <c r="C190" s="2556">
        <f t="shared" si="11"/>
        <v>3.2637657012294001</v>
      </c>
      <c r="D190">
        <v>47.03</v>
      </c>
      <c r="G190">
        <f t="shared" si="12"/>
        <v>-5.7315152203441002</v>
      </c>
      <c r="H190">
        <f t="shared" si="13"/>
        <v>-46.679445511691398</v>
      </c>
    </row>
    <row r="191" spans="1:8">
      <c r="A191">
        <f t="shared" si="10"/>
        <v>47.03</v>
      </c>
      <c r="B191" s="1237">
        <v>188</v>
      </c>
      <c r="C191" s="2556">
        <f t="shared" si="11"/>
        <v>3.2812189937493401</v>
      </c>
      <c r="D191">
        <v>47.03</v>
      </c>
      <c r="G191">
        <f t="shared" si="12"/>
        <v>-6.5453109381518804</v>
      </c>
      <c r="H191">
        <f t="shared" si="13"/>
        <v>-46.572307272915999</v>
      </c>
    </row>
    <row r="192" spans="1:8">
      <c r="A192">
        <f t="shared" si="10"/>
        <v>47.03</v>
      </c>
      <c r="B192" s="1237">
        <v>189</v>
      </c>
      <c r="C192" s="2556">
        <f t="shared" si="11"/>
        <v>3.2986722862692801</v>
      </c>
      <c r="D192">
        <v>47.03</v>
      </c>
      <c r="G192">
        <f t="shared" si="12"/>
        <v>-7.3571128908420498</v>
      </c>
      <c r="H192">
        <f t="shared" si="13"/>
        <v>-46.450982658189297</v>
      </c>
    </row>
    <row r="193" spans="1:8">
      <c r="A193">
        <f t="shared" si="10"/>
        <v>47.03</v>
      </c>
      <c r="B193" s="1237">
        <v>190</v>
      </c>
      <c r="C193" s="2556">
        <f t="shared" si="11"/>
        <v>3.3161255787892299</v>
      </c>
      <c r="D193">
        <v>47.03</v>
      </c>
      <c r="G193">
        <f t="shared" si="12"/>
        <v>-8.1666737956757398</v>
      </c>
      <c r="H193">
        <f t="shared" si="13"/>
        <v>-46.315508624164103</v>
      </c>
    </row>
    <row r="194" spans="1:8">
      <c r="A194">
        <f t="shared" si="10"/>
        <v>47.03</v>
      </c>
      <c r="B194" s="1237">
        <v>191</v>
      </c>
      <c r="C194" s="2556">
        <f t="shared" si="11"/>
        <v>3.3335788713091699</v>
      </c>
      <c r="D194">
        <v>47.03</v>
      </c>
      <c r="G194">
        <f t="shared" si="12"/>
        <v>-8.9737470525589007</v>
      </c>
      <c r="H194">
        <f t="shared" si="13"/>
        <v>-46.165926437543597</v>
      </c>
    </row>
    <row r="195" spans="1:8">
      <c r="A195">
        <f t="shared" ref="A195:A258" si="14">52.03-5</f>
        <v>47.03</v>
      </c>
      <c r="B195" s="1237">
        <v>192</v>
      </c>
      <c r="C195" s="2556">
        <f t="shared" ref="C195:C258" si="15">B195*PI()/180</f>
        <v>3.3510321638291098</v>
      </c>
      <c r="D195">
        <v>47.03</v>
      </c>
      <c r="G195">
        <f t="shared" ref="G195:G258" si="16">D195*SIN(C195)</f>
        <v>-9.7780868191592099</v>
      </c>
      <c r="H195">
        <f t="shared" ref="H195:H258" si="17">D195*COS(C195)</f>
        <v>-46.002281662510903</v>
      </c>
    </row>
    <row r="196" spans="1:8">
      <c r="A196">
        <f t="shared" si="14"/>
        <v>47.03</v>
      </c>
      <c r="B196" s="1237">
        <v>193</v>
      </c>
      <c r="C196" s="2556">
        <f t="shared" si="15"/>
        <v>3.36848545634906</v>
      </c>
      <c r="D196">
        <v>47.03</v>
      </c>
      <c r="G196">
        <f t="shared" si="16"/>
        <v>-10.579448085792</v>
      </c>
      <c r="H196">
        <f t="shared" si="17"/>
        <v>-45.824624146849601</v>
      </c>
    </row>
    <row r="197" spans="1:8">
      <c r="A197">
        <f t="shared" si="14"/>
        <v>47.03</v>
      </c>
      <c r="B197" s="1237">
        <v>194</v>
      </c>
      <c r="C197" s="2556">
        <f t="shared" si="15"/>
        <v>3.385938748869</v>
      </c>
      <c r="D197">
        <v>47.03</v>
      </c>
      <c r="G197">
        <f t="shared" si="16"/>
        <v>-11.3775867500524</v>
      </c>
      <c r="H197">
        <f t="shared" si="17"/>
        <v>-45.6330080067601</v>
      </c>
    </row>
    <row r="198" spans="1:8">
      <c r="A198">
        <f t="shared" si="14"/>
        <v>47.03</v>
      </c>
      <c r="B198" s="1237">
        <v>195</v>
      </c>
      <c r="C198" s="2556">
        <f t="shared" si="15"/>
        <v>3.40339204138894</v>
      </c>
      <c r="D198">
        <v>47.03</v>
      </c>
      <c r="G198">
        <f t="shared" si="16"/>
        <v>-12.172259691171501</v>
      </c>
      <c r="H198">
        <f t="shared" si="17"/>
        <v>-45.427491610374901</v>
      </c>
    </row>
    <row r="199" spans="1:8">
      <c r="A199">
        <f t="shared" si="14"/>
        <v>47.03</v>
      </c>
      <c r="B199" s="1237">
        <v>196</v>
      </c>
      <c r="C199" s="2556">
        <f t="shared" si="15"/>
        <v>3.4208453339088898</v>
      </c>
      <c r="D199">
        <v>47.03</v>
      </c>
      <c r="G199">
        <f t="shared" si="16"/>
        <v>-12.963224844073499</v>
      </c>
      <c r="H199">
        <f t="shared" si="17"/>
        <v>-45.2081375599791</v>
      </c>
    </row>
    <row r="200" spans="1:8">
      <c r="A200">
        <f t="shared" si="14"/>
        <v>47.03</v>
      </c>
      <c r="B200" s="1237">
        <v>197</v>
      </c>
      <c r="C200" s="2556">
        <f t="shared" si="15"/>
        <v>3.4382986264288302</v>
      </c>
      <c r="D200">
        <v>47.03</v>
      </c>
      <c r="G200">
        <f t="shared" si="16"/>
        <v>-13.7502412731103</v>
      </c>
      <c r="H200">
        <f t="shared" si="17"/>
        <v>-44.975012672941602</v>
      </c>
    </row>
    <row r="201" spans="1:8">
      <c r="A201">
        <f t="shared" si="14"/>
        <v>47.03</v>
      </c>
      <c r="B201" s="1237">
        <v>198</v>
      </c>
      <c r="C201" s="2556">
        <f t="shared" si="15"/>
        <v>3.4557519189487702</v>
      </c>
      <c r="D201">
        <v>47.03</v>
      </c>
      <c r="G201">
        <f t="shared" si="16"/>
        <v>-14.533069245453801</v>
      </c>
      <c r="H201">
        <f t="shared" si="17"/>
        <v>-44.728187961361101</v>
      </c>
    </row>
    <row r="202" spans="1:8">
      <c r="A202">
        <f t="shared" si="14"/>
        <v>47.03</v>
      </c>
      <c r="B202" s="1237">
        <v>199</v>
      </c>
      <c r="C202" s="2556">
        <f t="shared" si="15"/>
        <v>3.47320521146872</v>
      </c>
      <c r="D202">
        <v>47.03</v>
      </c>
      <c r="G202">
        <f t="shared" si="16"/>
        <v>-15.3114703041201</v>
      </c>
      <c r="H202">
        <f t="shared" si="17"/>
        <v>-44.467738610435902</v>
      </c>
    </row>
    <row r="203" spans="1:8">
      <c r="A203">
        <f t="shared" si="14"/>
        <v>47.03</v>
      </c>
      <c r="B203" s="1237">
        <v>200</v>
      </c>
      <c r="C203" s="2556">
        <f t="shared" si="15"/>
        <v>3.49065850398866</v>
      </c>
      <c r="D203">
        <v>47.03</v>
      </c>
      <c r="G203">
        <f t="shared" si="16"/>
        <v>-16.0852073406062</v>
      </c>
      <c r="H203">
        <f t="shared" si="17"/>
        <v>-44.193743955561303</v>
      </c>
    </row>
    <row r="204" spans="1:8">
      <c r="A204">
        <f t="shared" si="14"/>
        <v>47.03</v>
      </c>
      <c r="B204" s="1237">
        <v>201</v>
      </c>
      <c r="C204" s="2556">
        <f t="shared" si="15"/>
        <v>3.5081117965085999</v>
      </c>
      <c r="D204">
        <v>47.03</v>
      </c>
      <c r="G204">
        <f t="shared" si="16"/>
        <v>-16.854044667115499</v>
      </c>
      <c r="H204">
        <f t="shared" si="17"/>
        <v>-43.906287458163398</v>
      </c>
    </row>
    <row r="205" spans="1:8">
      <c r="A205">
        <f t="shared" si="14"/>
        <v>47.03</v>
      </c>
      <c r="B205" s="1237">
        <v>202</v>
      </c>
      <c r="C205" s="2556">
        <f t="shared" si="15"/>
        <v>3.5255650890285501</v>
      </c>
      <c r="D205">
        <v>47.03</v>
      </c>
      <c r="G205">
        <f t="shared" si="16"/>
        <v>-17.6177480883503</v>
      </c>
      <c r="H205">
        <f t="shared" si="17"/>
        <v>-43.605456680275999</v>
      </c>
    </row>
    <row r="206" spans="1:8">
      <c r="A206">
        <f t="shared" si="14"/>
        <v>47.03</v>
      </c>
      <c r="B206" s="1237">
        <v>203</v>
      </c>
      <c r="C206" s="2556">
        <f t="shared" si="15"/>
        <v>3.5430183815484901</v>
      </c>
      <c r="D206">
        <v>47.03</v>
      </c>
      <c r="G206">
        <f t="shared" si="16"/>
        <v>-18.376084972850499</v>
      </c>
      <c r="H206">
        <f t="shared" si="17"/>
        <v>-43.291343257868299</v>
      </c>
    </row>
    <row r="207" spans="1:8">
      <c r="A207">
        <f t="shared" si="14"/>
        <v>47.03</v>
      </c>
      <c r="B207" s="1237">
        <v>204</v>
      </c>
      <c r="C207" s="2556">
        <f t="shared" si="15"/>
        <v>3.5604716740684301</v>
      </c>
      <c r="D207">
        <v>47.03</v>
      </c>
      <c r="G207">
        <f t="shared" si="16"/>
        <v>-19.1288243238549</v>
      </c>
      <c r="H207">
        <f t="shared" si="17"/>
        <v>-42.9640428729315</v>
      </c>
    </row>
    <row r="208" spans="1:8">
      <c r="A208">
        <f t="shared" si="14"/>
        <v>47.03</v>
      </c>
      <c r="B208" s="1237">
        <v>205</v>
      </c>
      <c r="C208" s="2556">
        <f t="shared" si="15"/>
        <v>3.5779249665883799</v>
      </c>
      <c r="D208">
        <v>47.03</v>
      </c>
      <c r="G208">
        <f t="shared" si="16"/>
        <v>-19.875736849665099</v>
      </c>
      <c r="H208">
        <f t="shared" si="17"/>
        <v>-42.623655224333703</v>
      </c>
    </row>
    <row r="209" spans="1:8">
      <c r="A209">
        <f t="shared" si="14"/>
        <v>47.03</v>
      </c>
      <c r="B209" s="1237">
        <v>206</v>
      </c>
      <c r="C209" s="2556">
        <f t="shared" si="15"/>
        <v>3.5953782591083199</v>
      </c>
      <c r="D209">
        <v>47.03</v>
      </c>
      <c r="G209">
        <f t="shared" si="16"/>
        <v>-20.616595033490299</v>
      </c>
      <c r="H209">
        <f t="shared" si="17"/>
        <v>-42.270283997449802</v>
      </c>
    </row>
    <row r="210" spans="1:8">
      <c r="A210">
        <f t="shared" si="14"/>
        <v>47.03</v>
      </c>
      <c r="B210" s="1237">
        <v>207</v>
      </c>
      <c r="C210" s="2556">
        <f t="shared" si="15"/>
        <v>3.6128315516282599</v>
      </c>
      <c r="D210">
        <v>47.03</v>
      </c>
      <c r="G210">
        <f t="shared" si="16"/>
        <v>-21.3511732027509</v>
      </c>
      <c r="H210">
        <f t="shared" si="17"/>
        <v>-41.904036832579003</v>
      </c>
    </row>
    <row r="211" spans="1:8">
      <c r="A211">
        <f t="shared" si="14"/>
        <v>47.03</v>
      </c>
      <c r="B211" s="1237">
        <v>208</v>
      </c>
      <c r="C211" s="2556">
        <f t="shared" si="15"/>
        <v>3.6302848441482101</v>
      </c>
      <c r="D211">
        <v>47.03</v>
      </c>
      <c r="G211">
        <f t="shared" si="16"/>
        <v>-22.079247597820402</v>
      </c>
      <c r="H211">
        <f t="shared" si="17"/>
        <v>-41.525025292155298</v>
      </c>
    </row>
    <row r="212" spans="1:8">
      <c r="A212">
        <f t="shared" si="14"/>
        <v>47.03</v>
      </c>
      <c r="B212" s="1237">
        <v>209</v>
      </c>
      <c r="C212" s="2556">
        <f t="shared" si="15"/>
        <v>3.6477381366681501</v>
      </c>
      <c r="D212">
        <v>47.03</v>
      </c>
      <c r="G212">
        <f t="shared" si="16"/>
        <v>-22.800596440185199</v>
      </c>
      <c r="H212">
        <f t="shared" si="17"/>
        <v>-41.133364826765799</v>
      </c>
    </row>
    <row r="213" spans="1:8">
      <c r="A213">
        <f t="shared" si="14"/>
        <v>47.03</v>
      </c>
      <c r="B213" s="1237">
        <v>210</v>
      </c>
      <c r="C213" s="2556">
        <f t="shared" si="15"/>
        <v>3.66519142918809</v>
      </c>
      <c r="D213">
        <v>47.03</v>
      </c>
      <c r="G213">
        <f t="shared" si="16"/>
        <v>-23.515000000000001</v>
      </c>
      <c r="H213">
        <f t="shared" si="17"/>
        <v>-40.729174739982099</v>
      </c>
    </row>
    <row r="214" spans="1:8">
      <c r="A214">
        <f t="shared" si="14"/>
        <v>47.03</v>
      </c>
      <c r="B214" s="1237">
        <v>211</v>
      </c>
      <c r="C214" s="2556">
        <f t="shared" si="15"/>
        <v>3.6826447217080398</v>
      </c>
      <c r="D214">
        <v>47.03</v>
      </c>
      <c r="G214">
        <f t="shared" si="16"/>
        <v>-24.2222406630198</v>
      </c>
      <c r="H214">
        <f t="shared" si="17"/>
        <v>-40.312578152020301</v>
      </c>
    </row>
    <row r="215" spans="1:8">
      <c r="A215">
        <f t="shared" si="14"/>
        <v>47.03</v>
      </c>
      <c r="B215" s="1237">
        <v>212</v>
      </c>
      <c r="C215" s="2556">
        <f t="shared" si="15"/>
        <v>3.7000980142279798</v>
      </c>
      <c r="D215">
        <v>47.03</v>
      </c>
      <c r="G215">
        <f t="shared" si="16"/>
        <v>-24.922102996887599</v>
      </c>
      <c r="H215">
        <f t="shared" si="17"/>
        <v>-39.8837019622367</v>
      </c>
    </row>
    <row r="216" spans="1:8">
      <c r="A216">
        <f t="shared" si="14"/>
        <v>47.03</v>
      </c>
      <c r="B216" s="1237">
        <v>213</v>
      </c>
      <c r="C216" s="2556">
        <f t="shared" si="15"/>
        <v>3.7175513067479198</v>
      </c>
      <c r="D216">
        <v>47.03</v>
      </c>
      <c r="G216">
        <f t="shared" si="16"/>
        <v>-25.6143738167567</v>
      </c>
      <c r="H216">
        <f t="shared" si="17"/>
        <v>-39.442676810473301</v>
      </c>
    </row>
    <row r="217" spans="1:8">
      <c r="A217">
        <f t="shared" si="14"/>
        <v>47.03</v>
      </c>
      <c r="B217" s="1237">
        <v>214</v>
      </c>
      <c r="C217" s="2556">
        <f t="shared" si="15"/>
        <v>3.7350045992678602</v>
      </c>
      <c r="D217">
        <v>47.03</v>
      </c>
      <c r="G217">
        <f t="shared" si="16"/>
        <v>-26.2988422502292</v>
      </c>
      <c r="H217">
        <f t="shared" si="17"/>
        <v>-38.989637037263599</v>
      </c>
    </row>
    <row r="218" spans="1:8">
      <c r="A218">
        <f t="shared" si="14"/>
        <v>47.03</v>
      </c>
      <c r="B218" s="1237">
        <v>215</v>
      </c>
      <c r="C218" s="2556">
        <f t="shared" si="15"/>
        <v>3.75245789178781</v>
      </c>
      <c r="D218">
        <v>47.03</v>
      </c>
      <c r="G218">
        <f t="shared" si="16"/>
        <v>-26.975299801589699</v>
      </c>
      <c r="H218">
        <f t="shared" si="17"/>
        <v>-38.524720642911298</v>
      </c>
    </row>
    <row r="219" spans="1:8">
      <c r="A219">
        <f t="shared" si="14"/>
        <v>47.03</v>
      </c>
      <c r="B219" s="1237">
        <v>216</v>
      </c>
      <c r="C219" s="2556">
        <f t="shared" si="15"/>
        <v>3.76991118430775</v>
      </c>
      <c r="D219">
        <v>47.03</v>
      </c>
      <c r="G219">
        <f t="shared" si="16"/>
        <v>-27.643540415315002</v>
      </c>
      <c r="H219">
        <f t="shared" si="17"/>
        <v>-38.048069245453803</v>
      </c>
    </row>
    <row r="220" spans="1:8">
      <c r="A220">
        <f t="shared" si="14"/>
        <v>47.03</v>
      </c>
      <c r="B220" s="1237">
        <v>217</v>
      </c>
      <c r="C220" s="2556">
        <f t="shared" si="15"/>
        <v>3.78736447682769</v>
      </c>
      <c r="D220">
        <v>47.03</v>
      </c>
      <c r="G220">
        <f t="shared" si="16"/>
        <v>-28.303360538840799</v>
      </c>
      <c r="H220">
        <f t="shared" si="17"/>
        <v>-37.559828037524198</v>
      </c>
    </row>
    <row r="221" spans="1:8">
      <c r="A221">
        <f t="shared" si="14"/>
        <v>47.03</v>
      </c>
      <c r="B221" s="1237">
        <v>218</v>
      </c>
      <c r="C221" s="2556">
        <f t="shared" si="15"/>
        <v>3.8048177693476402</v>
      </c>
      <c r="D221">
        <v>47.03</v>
      </c>
      <c r="G221">
        <f t="shared" si="16"/>
        <v>-28.954559184565699</v>
      </c>
      <c r="H221">
        <f t="shared" si="17"/>
        <v>-37.060145742124099</v>
      </c>
    </row>
    <row r="222" spans="1:8">
      <c r="A222">
        <f t="shared" si="14"/>
        <v>47.03</v>
      </c>
      <c r="B222" s="1237">
        <v>219</v>
      </c>
      <c r="C222" s="2556">
        <f t="shared" si="15"/>
        <v>3.8222710618675801</v>
      </c>
      <c r="D222">
        <v>47.03</v>
      </c>
      <c r="G222">
        <f t="shared" si="16"/>
        <v>-29.596937991073901</v>
      </c>
      <c r="H222">
        <f t="shared" si="17"/>
        <v>-36.549174567321302</v>
      </c>
    </row>
    <row r="223" spans="1:8">
      <c r="A223">
        <f t="shared" si="14"/>
        <v>47.03</v>
      </c>
      <c r="B223" s="1237">
        <v>220</v>
      </c>
      <c r="C223" s="2556">
        <f t="shared" si="15"/>
        <v>3.8397243543875201</v>
      </c>
      <c r="D223">
        <v>47.03</v>
      </c>
      <c r="G223">
        <f t="shared" si="16"/>
        <v>-30.2303012835579</v>
      </c>
      <c r="H223">
        <f t="shared" si="17"/>
        <v>-36.027070159885497</v>
      </c>
    </row>
    <row r="224" spans="1:8">
      <c r="A224">
        <f t="shared" si="14"/>
        <v>47.03</v>
      </c>
      <c r="B224" s="1237">
        <v>221</v>
      </c>
      <c r="C224" s="2556">
        <f t="shared" si="15"/>
        <v>3.8571776469074699</v>
      </c>
      <c r="D224">
        <v>47.03</v>
      </c>
      <c r="G224">
        <f t="shared" si="16"/>
        <v>-30.8544561334236</v>
      </c>
      <c r="H224">
        <f t="shared" si="17"/>
        <v>-35.493991557877003</v>
      </c>
    </row>
    <row r="225" spans="1:8">
      <c r="A225">
        <f t="shared" si="14"/>
        <v>47.03</v>
      </c>
      <c r="B225" s="1237">
        <v>222</v>
      </c>
      <c r="C225" s="2556">
        <f t="shared" si="15"/>
        <v>3.8746309394274099</v>
      </c>
      <c r="D225">
        <v>47.03</v>
      </c>
      <c r="G225">
        <f t="shared" si="16"/>
        <v>-31.469212417057101</v>
      </c>
      <c r="H225">
        <f t="shared" si="17"/>
        <v>-34.950101142201902</v>
      </c>
    </row>
    <row r="226" spans="1:8">
      <c r="A226">
        <f t="shared" si="14"/>
        <v>47.03</v>
      </c>
      <c r="B226" s="1237">
        <v>223</v>
      </c>
      <c r="C226" s="2556">
        <f t="shared" si="15"/>
        <v>3.8920842319473499</v>
      </c>
      <c r="D226">
        <v>47.03</v>
      </c>
      <c r="G226">
        <f t="shared" si="16"/>
        <v>-32.074382873739303</v>
      </c>
      <c r="H226">
        <f t="shared" si="17"/>
        <v>-34.3955645871496</v>
      </c>
    </row>
    <row r="227" spans="1:8">
      <c r="A227">
        <f t="shared" si="14"/>
        <v>47.03</v>
      </c>
      <c r="B227" s="1237">
        <v>224</v>
      </c>
      <c r="C227" s="2556">
        <f t="shared" si="15"/>
        <v>3.9095375244673001</v>
      </c>
      <c r="D227">
        <v>47.03</v>
      </c>
      <c r="G227">
        <f t="shared" si="16"/>
        <v>-32.669783162686599</v>
      </c>
      <c r="H227">
        <f t="shared" si="17"/>
        <v>-33.830550809926798</v>
      </c>
    </row>
    <row r="228" spans="1:8">
      <c r="A228">
        <f t="shared" si="14"/>
        <v>47.03</v>
      </c>
      <c r="B228" s="1237">
        <v>225</v>
      </c>
      <c r="C228" s="2556">
        <f t="shared" si="15"/>
        <v>3.9269908169872401</v>
      </c>
      <c r="D228">
        <v>47.03</v>
      </c>
      <c r="G228">
        <f t="shared" si="16"/>
        <v>-33.255231919203297</v>
      </c>
      <c r="H228">
        <f t="shared" si="17"/>
        <v>-33.255231919203297</v>
      </c>
    </row>
    <row r="229" spans="1:8">
      <c r="A229">
        <f t="shared" si="14"/>
        <v>47.03</v>
      </c>
      <c r="B229" s="1237">
        <v>226</v>
      </c>
      <c r="C229" s="2556">
        <f t="shared" si="15"/>
        <v>3.9444441095071801</v>
      </c>
      <c r="D229">
        <v>47.03</v>
      </c>
      <c r="G229">
        <f t="shared" si="16"/>
        <v>-33.830550809926699</v>
      </c>
      <c r="H229">
        <f t="shared" si="17"/>
        <v>-32.669783162686699</v>
      </c>
    </row>
    <row r="230" spans="1:8">
      <c r="A230">
        <f t="shared" si="14"/>
        <v>47.03</v>
      </c>
      <c r="B230" s="1237">
        <v>227</v>
      </c>
      <c r="C230" s="2556">
        <f t="shared" si="15"/>
        <v>3.9618974020271298</v>
      </c>
      <c r="D230">
        <v>47.03</v>
      </c>
      <c r="G230">
        <f t="shared" si="16"/>
        <v>-34.3955645871496</v>
      </c>
      <c r="H230">
        <f t="shared" si="17"/>
        <v>-32.074382873739303</v>
      </c>
    </row>
    <row r="231" spans="1:8">
      <c r="A231">
        <f t="shared" si="14"/>
        <v>47.03</v>
      </c>
      <c r="B231" s="1237">
        <v>228</v>
      </c>
      <c r="C231" s="2556">
        <f t="shared" si="15"/>
        <v>3.9793506945470698</v>
      </c>
      <c r="D231">
        <v>47.03</v>
      </c>
      <c r="G231">
        <f t="shared" si="16"/>
        <v>-34.950101142201802</v>
      </c>
      <c r="H231">
        <f t="shared" si="17"/>
        <v>-31.469212417057101</v>
      </c>
    </row>
    <row r="232" spans="1:8">
      <c r="A232">
        <f t="shared" si="14"/>
        <v>47.03</v>
      </c>
      <c r="B232" s="1237">
        <v>229</v>
      </c>
      <c r="C232" s="2556">
        <f t="shared" si="15"/>
        <v>3.9968039870670098</v>
      </c>
      <c r="D232">
        <v>47.03</v>
      </c>
      <c r="G232">
        <f t="shared" si="16"/>
        <v>-35.493991557877003</v>
      </c>
      <c r="H232">
        <f t="shared" si="17"/>
        <v>-30.8544561334236</v>
      </c>
    </row>
    <row r="233" spans="1:8">
      <c r="A233">
        <f t="shared" si="14"/>
        <v>47.03</v>
      </c>
      <c r="B233" s="1237">
        <v>230</v>
      </c>
      <c r="C233" s="2556">
        <f t="shared" si="15"/>
        <v>4.0142572795869604</v>
      </c>
      <c r="D233">
        <v>47.03</v>
      </c>
      <c r="G233">
        <f t="shared" si="16"/>
        <v>-36.027070159885497</v>
      </c>
      <c r="H233">
        <f t="shared" si="17"/>
        <v>-30.230301283557999</v>
      </c>
    </row>
    <row r="234" spans="1:8">
      <c r="A234">
        <f t="shared" si="14"/>
        <v>47.03</v>
      </c>
      <c r="B234" s="1237">
        <v>231</v>
      </c>
      <c r="C234" s="2556">
        <f t="shared" si="15"/>
        <v>4.0317105721069</v>
      </c>
      <c r="D234">
        <v>47.03</v>
      </c>
      <c r="G234">
        <f t="shared" si="16"/>
        <v>-36.549174567321401</v>
      </c>
      <c r="H234">
        <f t="shared" si="17"/>
        <v>-29.596937991073801</v>
      </c>
    </row>
    <row r="235" spans="1:8">
      <c r="A235">
        <f t="shared" si="14"/>
        <v>47.03</v>
      </c>
      <c r="B235" s="1237">
        <v>232</v>
      </c>
      <c r="C235" s="2556">
        <f t="shared" si="15"/>
        <v>4.0491638646268404</v>
      </c>
      <c r="D235">
        <v>47.03</v>
      </c>
      <c r="G235">
        <f t="shared" si="16"/>
        <v>-37.060145742124099</v>
      </c>
      <c r="H235">
        <f t="shared" si="17"/>
        <v>-28.954559184565699</v>
      </c>
    </row>
    <row r="236" spans="1:8">
      <c r="A236">
        <f t="shared" si="14"/>
        <v>47.03</v>
      </c>
      <c r="B236" s="1237">
        <v>233</v>
      </c>
      <c r="C236" s="2556">
        <f t="shared" si="15"/>
        <v>4.0666171571467897</v>
      </c>
      <c r="D236">
        <v>47.03</v>
      </c>
      <c r="G236">
        <f t="shared" si="16"/>
        <v>-37.559828037524198</v>
      </c>
      <c r="H236">
        <f t="shared" si="17"/>
        <v>-28.303360538840799</v>
      </c>
    </row>
    <row r="237" spans="1:8">
      <c r="A237">
        <f t="shared" si="14"/>
        <v>47.03</v>
      </c>
      <c r="B237" s="1237">
        <v>234</v>
      </c>
      <c r="C237" s="2556">
        <f t="shared" si="15"/>
        <v>4.0840704496667302</v>
      </c>
      <c r="D237">
        <v>47.03</v>
      </c>
      <c r="G237">
        <f t="shared" si="16"/>
        <v>-38.048069245453803</v>
      </c>
      <c r="H237">
        <f t="shared" si="17"/>
        <v>-27.643540415315002</v>
      </c>
    </row>
    <row r="238" spans="1:8">
      <c r="A238">
        <f t="shared" si="14"/>
        <v>47.03</v>
      </c>
      <c r="B238" s="1237">
        <v>235</v>
      </c>
      <c r="C238" s="2556">
        <f t="shared" si="15"/>
        <v>4.1015237421866697</v>
      </c>
      <c r="D238">
        <v>47.03</v>
      </c>
      <c r="G238">
        <f t="shared" si="16"/>
        <v>-38.524720642911298</v>
      </c>
      <c r="H238">
        <f t="shared" si="17"/>
        <v>-26.975299801589699</v>
      </c>
    </row>
    <row r="239" spans="1:8">
      <c r="A239">
        <f t="shared" si="14"/>
        <v>47.03</v>
      </c>
      <c r="B239" s="1237">
        <v>236</v>
      </c>
      <c r="C239" s="2556">
        <f t="shared" si="15"/>
        <v>4.1189770347066199</v>
      </c>
      <c r="D239">
        <v>47.03</v>
      </c>
      <c r="G239">
        <f t="shared" si="16"/>
        <v>-38.989637037263599</v>
      </c>
      <c r="H239">
        <f t="shared" si="17"/>
        <v>-26.2988422502292</v>
      </c>
    </row>
    <row r="240" spans="1:8">
      <c r="A240">
        <f t="shared" si="14"/>
        <v>47.03</v>
      </c>
      <c r="B240" s="1237">
        <v>237</v>
      </c>
      <c r="C240" s="2556">
        <f t="shared" si="15"/>
        <v>4.1364303272265603</v>
      </c>
      <c r="D240">
        <v>47.03</v>
      </c>
      <c r="G240">
        <f t="shared" si="16"/>
        <v>-39.442676810473301</v>
      </c>
      <c r="H240">
        <f t="shared" si="17"/>
        <v>-25.6143738167567</v>
      </c>
    </row>
    <row r="241" spans="1:8">
      <c r="A241">
        <f t="shared" si="14"/>
        <v>47.03</v>
      </c>
      <c r="B241" s="1237">
        <v>238</v>
      </c>
      <c r="C241" s="2556">
        <f t="shared" si="15"/>
        <v>4.1538836197464999</v>
      </c>
      <c r="D241">
        <v>47.03</v>
      </c>
      <c r="G241">
        <f t="shared" si="16"/>
        <v>-39.8837019622367</v>
      </c>
      <c r="H241">
        <f t="shared" si="17"/>
        <v>-24.922102996887599</v>
      </c>
    </row>
    <row r="242" spans="1:8">
      <c r="A242">
        <f t="shared" si="14"/>
        <v>47.03</v>
      </c>
      <c r="B242" s="1237">
        <v>239</v>
      </c>
      <c r="C242" s="2556">
        <f t="shared" si="15"/>
        <v>4.1713369122664501</v>
      </c>
      <c r="D242">
        <v>47.03</v>
      </c>
      <c r="G242">
        <f t="shared" si="16"/>
        <v>-40.312578152020301</v>
      </c>
      <c r="H242">
        <f t="shared" si="17"/>
        <v>-24.2222406630199</v>
      </c>
    </row>
    <row r="243" spans="1:8">
      <c r="A243">
        <f t="shared" si="14"/>
        <v>47.03</v>
      </c>
      <c r="B243" s="1237">
        <v>240</v>
      </c>
      <c r="C243" s="2556">
        <f t="shared" si="15"/>
        <v>4.1887902047863896</v>
      </c>
      <c r="D243">
        <v>47.03</v>
      </c>
      <c r="G243">
        <f t="shared" si="16"/>
        <v>-40.729174739982099</v>
      </c>
      <c r="H243">
        <f t="shared" si="17"/>
        <v>-23.515000000000001</v>
      </c>
    </row>
    <row r="244" spans="1:8">
      <c r="A244">
        <f t="shared" si="14"/>
        <v>47.03</v>
      </c>
      <c r="B244" s="1237">
        <v>241</v>
      </c>
      <c r="C244" s="2556">
        <f t="shared" si="15"/>
        <v>4.2062434973063301</v>
      </c>
      <c r="D244">
        <v>47.03</v>
      </c>
      <c r="G244">
        <f t="shared" si="16"/>
        <v>-41.133364826765799</v>
      </c>
      <c r="H244">
        <f t="shared" si="17"/>
        <v>-22.800596440185199</v>
      </c>
    </row>
    <row r="245" spans="1:8">
      <c r="A245">
        <f t="shared" si="14"/>
        <v>47.03</v>
      </c>
      <c r="B245" s="1237">
        <v>242</v>
      </c>
      <c r="C245" s="2556">
        <f t="shared" si="15"/>
        <v>4.2236967898262803</v>
      </c>
      <c r="D245">
        <v>47.03</v>
      </c>
      <c r="G245">
        <f t="shared" si="16"/>
        <v>-41.525025292155298</v>
      </c>
      <c r="H245">
        <f t="shared" si="17"/>
        <v>-22.079247597820402</v>
      </c>
    </row>
    <row r="246" spans="1:8">
      <c r="A246">
        <f t="shared" si="14"/>
        <v>47.03</v>
      </c>
      <c r="B246" s="1237">
        <v>243</v>
      </c>
      <c r="C246" s="2556">
        <f t="shared" si="15"/>
        <v>4.2411500823462198</v>
      </c>
      <c r="D246">
        <v>47.03</v>
      </c>
      <c r="G246">
        <f t="shared" si="16"/>
        <v>-41.904036832578903</v>
      </c>
      <c r="H246">
        <f t="shared" si="17"/>
        <v>-21.3511732027509</v>
      </c>
    </row>
    <row r="247" spans="1:8">
      <c r="A247">
        <f t="shared" si="14"/>
        <v>47.03</v>
      </c>
      <c r="B247" s="1237">
        <v>244</v>
      </c>
      <c r="C247" s="2556">
        <f t="shared" si="15"/>
        <v>4.2586033748661603</v>
      </c>
      <c r="D247">
        <v>47.03</v>
      </c>
      <c r="G247">
        <f t="shared" si="16"/>
        <v>-42.270283997449802</v>
      </c>
      <c r="H247">
        <f t="shared" si="17"/>
        <v>-20.616595033490299</v>
      </c>
    </row>
    <row r="248" spans="1:8">
      <c r="A248">
        <f t="shared" si="14"/>
        <v>47.03</v>
      </c>
      <c r="B248" s="1237">
        <v>245</v>
      </c>
      <c r="C248" s="2556">
        <f t="shared" si="15"/>
        <v>4.2760566673861096</v>
      </c>
      <c r="D248">
        <v>47.03</v>
      </c>
      <c r="G248">
        <f t="shared" si="16"/>
        <v>-42.623655224333604</v>
      </c>
      <c r="H248">
        <f t="shared" si="17"/>
        <v>-19.875736849665099</v>
      </c>
    </row>
    <row r="249" spans="1:8">
      <c r="A249">
        <f t="shared" si="14"/>
        <v>47.03</v>
      </c>
      <c r="B249" s="1237">
        <v>246</v>
      </c>
      <c r="C249" s="2556">
        <f t="shared" si="15"/>
        <v>4.29350995990605</v>
      </c>
      <c r="D249">
        <v>47.03</v>
      </c>
      <c r="G249">
        <f t="shared" si="16"/>
        <v>-42.9640428729315</v>
      </c>
      <c r="H249">
        <f t="shared" si="17"/>
        <v>-19.1288243238549</v>
      </c>
    </row>
    <row r="250" spans="1:8">
      <c r="A250">
        <f t="shared" si="14"/>
        <v>47.03</v>
      </c>
      <c r="B250" s="1237">
        <v>247</v>
      </c>
      <c r="C250" s="2556">
        <f t="shared" si="15"/>
        <v>4.3109632524259904</v>
      </c>
      <c r="D250">
        <v>47.03</v>
      </c>
      <c r="G250">
        <f t="shared" si="16"/>
        <v>-43.291343257868299</v>
      </c>
      <c r="H250">
        <f t="shared" si="17"/>
        <v>-18.376084972850499</v>
      </c>
    </row>
    <row r="251" spans="1:8">
      <c r="A251">
        <f t="shared" si="14"/>
        <v>47.03</v>
      </c>
      <c r="B251" s="1237">
        <v>248</v>
      </c>
      <c r="C251" s="2556">
        <f t="shared" si="15"/>
        <v>4.3284165449459397</v>
      </c>
      <c r="D251">
        <v>47.03</v>
      </c>
      <c r="G251">
        <f t="shared" si="16"/>
        <v>-43.605456680275999</v>
      </c>
      <c r="H251">
        <f t="shared" si="17"/>
        <v>-17.6177480883504</v>
      </c>
    </row>
    <row r="252" spans="1:8">
      <c r="A252">
        <f t="shared" si="14"/>
        <v>47.03</v>
      </c>
      <c r="B252" s="1237">
        <v>249</v>
      </c>
      <c r="C252" s="2556">
        <f t="shared" si="15"/>
        <v>4.3458698374658802</v>
      </c>
      <c r="D252">
        <v>47.03</v>
      </c>
      <c r="G252">
        <f t="shared" si="16"/>
        <v>-43.906287458163398</v>
      </c>
      <c r="H252">
        <f t="shared" si="17"/>
        <v>-16.854044667115499</v>
      </c>
    </row>
    <row r="253" spans="1:8">
      <c r="A253">
        <f t="shared" si="14"/>
        <v>47.03</v>
      </c>
      <c r="B253" s="1237">
        <v>250</v>
      </c>
      <c r="C253" s="2556">
        <f t="shared" si="15"/>
        <v>4.3633231299858197</v>
      </c>
      <c r="D253">
        <v>47.03</v>
      </c>
      <c r="G253">
        <f t="shared" si="16"/>
        <v>-44.193743955561303</v>
      </c>
      <c r="H253">
        <f t="shared" si="17"/>
        <v>-16.0852073406062</v>
      </c>
    </row>
    <row r="254" spans="1:8">
      <c r="A254">
        <f t="shared" si="14"/>
        <v>47.03</v>
      </c>
      <c r="B254" s="1237">
        <v>251</v>
      </c>
      <c r="C254" s="2556">
        <f t="shared" si="15"/>
        <v>4.3807764225057699</v>
      </c>
      <c r="D254">
        <v>47.03</v>
      </c>
      <c r="G254">
        <f t="shared" si="16"/>
        <v>-44.467738610435902</v>
      </c>
      <c r="H254">
        <f t="shared" si="17"/>
        <v>-15.3114703041201</v>
      </c>
    </row>
    <row r="255" spans="1:8">
      <c r="A255">
        <f t="shared" si="14"/>
        <v>47.03</v>
      </c>
      <c r="B255" s="1237">
        <v>252</v>
      </c>
      <c r="C255" s="2556">
        <f t="shared" si="15"/>
        <v>4.3982297150257104</v>
      </c>
      <c r="D255">
        <v>47.03</v>
      </c>
      <c r="G255">
        <f t="shared" si="16"/>
        <v>-44.728187961361101</v>
      </c>
      <c r="H255">
        <f t="shared" si="17"/>
        <v>-14.533069245453801</v>
      </c>
    </row>
    <row r="256" spans="1:8">
      <c r="A256">
        <f t="shared" si="14"/>
        <v>47.03</v>
      </c>
      <c r="B256" s="1237">
        <v>253</v>
      </c>
      <c r="C256" s="2556">
        <f t="shared" si="15"/>
        <v>4.4156830075456499</v>
      </c>
      <c r="D256">
        <v>47.03</v>
      </c>
      <c r="G256">
        <f t="shared" si="16"/>
        <v>-44.975012672941602</v>
      </c>
      <c r="H256">
        <f t="shared" si="17"/>
        <v>-13.7502412731103</v>
      </c>
    </row>
    <row r="257" spans="1:8">
      <c r="A257">
        <f t="shared" si="14"/>
        <v>47.03</v>
      </c>
      <c r="B257" s="1237">
        <v>254</v>
      </c>
      <c r="C257" s="2556">
        <f t="shared" si="15"/>
        <v>4.4331363000656001</v>
      </c>
      <c r="D257">
        <v>47.03</v>
      </c>
      <c r="G257">
        <f t="shared" si="16"/>
        <v>-45.2081375599791</v>
      </c>
      <c r="H257">
        <f t="shared" si="17"/>
        <v>-12.963224844073499</v>
      </c>
    </row>
    <row r="258" spans="1:8">
      <c r="A258">
        <f t="shared" si="14"/>
        <v>47.03</v>
      </c>
      <c r="B258" s="1237">
        <v>255</v>
      </c>
      <c r="C258" s="2556">
        <f t="shared" si="15"/>
        <v>4.4505895925855397</v>
      </c>
      <c r="D258">
        <v>47.03</v>
      </c>
      <c r="G258">
        <f t="shared" si="16"/>
        <v>-45.427491610374901</v>
      </c>
      <c r="H258">
        <f t="shared" si="17"/>
        <v>-12.172259691171501</v>
      </c>
    </row>
    <row r="259" spans="1:8">
      <c r="A259">
        <f t="shared" ref="A259:A322" si="18">52.03-5</f>
        <v>47.03</v>
      </c>
      <c r="B259" s="1237">
        <v>256</v>
      </c>
      <c r="C259" s="2556">
        <f t="shared" ref="C259:C322" si="19">B259*PI()/180</f>
        <v>4.4680428851054801</v>
      </c>
      <c r="D259">
        <v>47.03</v>
      </c>
      <c r="G259">
        <f t="shared" ref="G259:G322" si="20">D259*SIN(C259)</f>
        <v>-45.6330080067601</v>
      </c>
      <c r="H259">
        <f t="shared" ref="H259:H322" si="21">D259*COS(C259)</f>
        <v>-11.3775867500524</v>
      </c>
    </row>
    <row r="260" spans="1:8">
      <c r="A260">
        <f t="shared" si="18"/>
        <v>47.03</v>
      </c>
      <c r="B260" s="1237">
        <v>257</v>
      </c>
      <c r="C260" s="2556">
        <f t="shared" si="19"/>
        <v>4.4854961776254303</v>
      </c>
      <c r="D260">
        <v>47.03</v>
      </c>
      <c r="G260">
        <f t="shared" si="20"/>
        <v>-45.824624146849601</v>
      </c>
      <c r="H260">
        <f t="shared" si="21"/>
        <v>-10.579448085792</v>
      </c>
    </row>
    <row r="261" spans="1:8">
      <c r="A261">
        <f t="shared" si="18"/>
        <v>47.03</v>
      </c>
      <c r="B261" s="1237">
        <v>258</v>
      </c>
      <c r="C261" s="2556">
        <f t="shared" si="19"/>
        <v>4.5029494701453698</v>
      </c>
      <c r="D261">
        <v>47.03</v>
      </c>
      <c r="G261">
        <f t="shared" si="20"/>
        <v>-46.002281662510903</v>
      </c>
      <c r="H261">
        <f t="shared" si="21"/>
        <v>-9.7780868191592401</v>
      </c>
    </row>
    <row r="262" spans="1:8">
      <c r="A262">
        <f t="shared" si="18"/>
        <v>47.03</v>
      </c>
      <c r="B262" s="1237">
        <v>259</v>
      </c>
      <c r="C262" s="2556">
        <f t="shared" si="19"/>
        <v>4.5204027626653103</v>
      </c>
      <c r="D262">
        <v>47.03</v>
      </c>
      <c r="G262">
        <f t="shared" si="20"/>
        <v>-46.165926437543597</v>
      </c>
      <c r="H262">
        <f t="shared" si="21"/>
        <v>-8.9737470525589291</v>
      </c>
    </row>
    <row r="263" spans="1:8">
      <c r="A263">
        <f t="shared" si="18"/>
        <v>47.03</v>
      </c>
      <c r="B263" s="1237">
        <v>260</v>
      </c>
      <c r="C263" s="2556">
        <f t="shared" si="19"/>
        <v>4.5378560551852596</v>
      </c>
      <c r="D263">
        <v>47.03</v>
      </c>
      <c r="G263">
        <f t="shared" si="20"/>
        <v>-46.315508624164103</v>
      </c>
      <c r="H263">
        <f t="shared" si="21"/>
        <v>-8.1666737956757292</v>
      </c>
    </row>
    <row r="264" spans="1:8">
      <c r="A264">
        <f t="shared" si="18"/>
        <v>47.03</v>
      </c>
      <c r="B264" s="1237">
        <v>261</v>
      </c>
      <c r="C264" s="2556">
        <f t="shared" si="19"/>
        <v>4.5553093477052</v>
      </c>
      <c r="D264">
        <v>47.03</v>
      </c>
      <c r="G264">
        <f t="shared" si="20"/>
        <v>-46.450982658189297</v>
      </c>
      <c r="H264">
        <f t="shared" si="21"/>
        <v>-7.3571128908420702</v>
      </c>
    </row>
    <row r="265" spans="1:8">
      <c r="A265">
        <f t="shared" si="18"/>
        <v>47.03</v>
      </c>
      <c r="B265" s="1237">
        <v>262</v>
      </c>
      <c r="C265" s="2556">
        <f t="shared" si="19"/>
        <v>4.5727626402251396</v>
      </c>
      <c r="D265">
        <v>47.03</v>
      </c>
      <c r="G265">
        <f t="shared" si="20"/>
        <v>-46.572307272916099</v>
      </c>
      <c r="H265">
        <f t="shared" si="21"/>
        <v>-6.5453109381518502</v>
      </c>
    </row>
    <row r="266" spans="1:8">
      <c r="A266">
        <f t="shared" si="18"/>
        <v>47.03</v>
      </c>
      <c r="B266" s="1237">
        <v>263</v>
      </c>
      <c r="C266" s="2556">
        <f t="shared" si="19"/>
        <v>4.5902159327450898</v>
      </c>
      <c r="D266">
        <v>47.03</v>
      </c>
      <c r="G266">
        <f t="shared" si="20"/>
        <v>-46.679445511691398</v>
      </c>
      <c r="H266">
        <f t="shared" si="21"/>
        <v>-5.73151522034407</v>
      </c>
    </row>
    <row r="267" spans="1:8">
      <c r="A267">
        <f t="shared" si="18"/>
        <v>47.03</v>
      </c>
      <c r="B267" s="1237">
        <v>264</v>
      </c>
      <c r="C267" s="2556">
        <f t="shared" si="19"/>
        <v>4.6076692252650302</v>
      </c>
      <c r="D267">
        <v>47.03</v>
      </c>
      <c r="G267">
        <f t="shared" si="20"/>
        <v>-46.772364739169902</v>
      </c>
      <c r="H267">
        <f t="shared" si="21"/>
        <v>-4.9159736274777401</v>
      </c>
    </row>
    <row r="268" spans="1:8">
      <c r="A268">
        <f t="shared" si="18"/>
        <v>47.03</v>
      </c>
      <c r="B268" s="1237">
        <v>265</v>
      </c>
      <c r="C268" s="2556">
        <f t="shared" si="19"/>
        <v>4.6251225177849697</v>
      </c>
      <c r="D268">
        <v>47.03</v>
      </c>
      <c r="G268">
        <f t="shared" si="20"/>
        <v>-46.851036651254802</v>
      </c>
      <c r="H268">
        <f t="shared" si="21"/>
        <v>-4.0989345814223697</v>
      </c>
    </row>
    <row r="269" spans="1:8">
      <c r="A269">
        <f t="shared" si="18"/>
        <v>47.03</v>
      </c>
      <c r="B269" s="1237">
        <v>266</v>
      </c>
      <c r="C269" s="2556">
        <f t="shared" si="19"/>
        <v>4.6425758103049199</v>
      </c>
      <c r="D269">
        <v>47.03</v>
      </c>
      <c r="G269">
        <f t="shared" si="20"/>
        <v>-46.915437283719498</v>
      </c>
      <c r="H269">
        <f t="shared" si="21"/>
        <v>-3.28064696018623</v>
      </c>
    </row>
    <row r="270" spans="1:8">
      <c r="A270">
        <f t="shared" si="18"/>
        <v>47.03</v>
      </c>
      <c r="B270" s="1237">
        <v>267</v>
      </c>
      <c r="C270" s="2556">
        <f t="shared" si="19"/>
        <v>4.6600291028248604</v>
      </c>
      <c r="D270">
        <v>47.03</v>
      </c>
      <c r="G270">
        <f t="shared" si="20"/>
        <v>-46.965547019507603</v>
      </c>
      <c r="H270">
        <f t="shared" si="21"/>
        <v>-2.4613600221056702</v>
      </c>
    </row>
    <row r="271" spans="1:8">
      <c r="A271">
        <f t="shared" si="18"/>
        <v>47.03</v>
      </c>
      <c r="B271" s="1237">
        <v>268</v>
      </c>
      <c r="C271" s="2556">
        <f t="shared" si="19"/>
        <v>4.6774823953447999</v>
      </c>
      <c r="D271">
        <v>47.03</v>
      </c>
      <c r="G271">
        <f t="shared" si="20"/>
        <v>-47.0013505947081</v>
      </c>
      <c r="H271">
        <f t="shared" si="21"/>
        <v>-1.64132332991865</v>
      </c>
    </row>
    <row r="272" spans="1:8">
      <c r="A272">
        <f t="shared" si="18"/>
        <v>47.03</v>
      </c>
      <c r="B272" s="1237">
        <v>269</v>
      </c>
      <c r="C272" s="2556">
        <f t="shared" si="19"/>
        <v>4.6949356878647501</v>
      </c>
      <c r="D272">
        <v>47.03</v>
      </c>
      <c r="G272">
        <f t="shared" si="20"/>
        <v>-47.022837103205099</v>
      </c>
      <c r="H272">
        <f t="shared" si="21"/>
        <v>-0.82078667474544298</v>
      </c>
    </row>
    <row r="273" spans="1:8">
      <c r="A273">
        <f t="shared" si="18"/>
        <v>47.03</v>
      </c>
      <c r="B273" s="1237">
        <v>270</v>
      </c>
      <c r="C273" s="2556">
        <f t="shared" si="19"/>
        <v>4.7123889803846897</v>
      </c>
      <c r="D273">
        <v>47.03</v>
      </c>
      <c r="G273">
        <f t="shared" si="20"/>
        <v>-47.03</v>
      </c>
      <c r="H273">
        <f t="shared" si="21"/>
        <v>-8.6392708445850003E-15</v>
      </c>
    </row>
    <row r="274" spans="1:8">
      <c r="A274">
        <f t="shared" si="18"/>
        <v>47.03</v>
      </c>
      <c r="B274" s="1237">
        <v>271</v>
      </c>
      <c r="C274" s="2556">
        <f t="shared" si="19"/>
        <v>4.7298422729046301</v>
      </c>
      <c r="D274">
        <v>47.03</v>
      </c>
      <c r="G274">
        <f t="shared" si="20"/>
        <v>-47.022837103205099</v>
      </c>
      <c r="H274">
        <f t="shared" si="21"/>
        <v>0.82078667474542599</v>
      </c>
    </row>
    <row r="275" spans="1:8">
      <c r="A275">
        <f t="shared" si="18"/>
        <v>47.03</v>
      </c>
      <c r="B275" s="1237">
        <v>272</v>
      </c>
      <c r="C275" s="2556">
        <f t="shared" si="19"/>
        <v>4.7472955654245803</v>
      </c>
      <c r="D275">
        <v>47.03</v>
      </c>
      <c r="G275">
        <f t="shared" si="20"/>
        <v>-47.0013505947081</v>
      </c>
      <c r="H275">
        <f t="shared" si="21"/>
        <v>1.6413233299186401</v>
      </c>
    </row>
    <row r="276" spans="1:8">
      <c r="A276">
        <f t="shared" si="18"/>
        <v>47.03</v>
      </c>
      <c r="B276" s="1237">
        <v>273</v>
      </c>
      <c r="C276" s="2556">
        <f t="shared" si="19"/>
        <v>4.7647488579445199</v>
      </c>
      <c r="D276">
        <v>47.03</v>
      </c>
      <c r="G276">
        <f t="shared" si="20"/>
        <v>-46.965547019507603</v>
      </c>
      <c r="H276">
        <f t="shared" si="21"/>
        <v>2.4613600221056502</v>
      </c>
    </row>
    <row r="277" spans="1:8">
      <c r="A277">
        <f t="shared" si="18"/>
        <v>47.03</v>
      </c>
      <c r="B277" s="1237">
        <v>274</v>
      </c>
      <c r="C277" s="2556">
        <f t="shared" si="19"/>
        <v>4.7822021504644603</v>
      </c>
      <c r="D277">
        <v>47.03</v>
      </c>
      <c r="G277">
        <f t="shared" si="20"/>
        <v>-46.915437283719498</v>
      </c>
      <c r="H277">
        <f t="shared" si="21"/>
        <v>3.28064696018621</v>
      </c>
    </row>
    <row r="278" spans="1:8">
      <c r="A278">
        <f t="shared" si="18"/>
        <v>47.03</v>
      </c>
      <c r="B278" s="1237">
        <v>275</v>
      </c>
      <c r="C278" s="2556">
        <f t="shared" si="19"/>
        <v>4.7996554429844096</v>
      </c>
      <c r="D278">
        <v>47.03</v>
      </c>
      <c r="G278">
        <f t="shared" si="20"/>
        <v>-46.851036651254802</v>
      </c>
      <c r="H278">
        <f t="shared" si="21"/>
        <v>4.0989345814223501</v>
      </c>
    </row>
    <row r="279" spans="1:8">
      <c r="A279">
        <f t="shared" si="18"/>
        <v>47.03</v>
      </c>
      <c r="B279" s="1237">
        <v>276</v>
      </c>
      <c r="C279" s="2556">
        <f t="shared" si="19"/>
        <v>4.81710873550435</v>
      </c>
      <c r="D279">
        <v>47.03</v>
      </c>
      <c r="G279">
        <f t="shared" si="20"/>
        <v>-46.772364739169902</v>
      </c>
      <c r="H279">
        <f t="shared" si="21"/>
        <v>4.9159736274777197</v>
      </c>
    </row>
    <row r="280" spans="1:8">
      <c r="A280">
        <f t="shared" si="18"/>
        <v>47.03</v>
      </c>
      <c r="B280" s="1237">
        <v>277</v>
      </c>
      <c r="C280" s="2556">
        <f t="shared" si="19"/>
        <v>4.8345620280242896</v>
      </c>
      <c r="D280">
        <v>47.03</v>
      </c>
      <c r="G280">
        <f t="shared" si="20"/>
        <v>-46.679445511691398</v>
      </c>
      <c r="H280">
        <f t="shared" si="21"/>
        <v>5.7315152203441002</v>
      </c>
    </row>
    <row r="281" spans="1:8">
      <c r="A281">
        <f t="shared" si="18"/>
        <v>47.03</v>
      </c>
      <c r="B281" s="1237">
        <v>278</v>
      </c>
      <c r="C281" s="2556">
        <f t="shared" si="19"/>
        <v>4.8520153205442398</v>
      </c>
      <c r="D281">
        <v>47.03</v>
      </c>
      <c r="G281">
        <f t="shared" si="20"/>
        <v>-46.572307272916099</v>
      </c>
      <c r="H281">
        <f t="shared" si="21"/>
        <v>6.5453109381518804</v>
      </c>
    </row>
    <row r="282" spans="1:8">
      <c r="A282">
        <f t="shared" si="18"/>
        <v>47.03</v>
      </c>
      <c r="B282" s="1237">
        <v>279</v>
      </c>
      <c r="C282" s="2556">
        <f t="shared" si="19"/>
        <v>4.8694686130641802</v>
      </c>
      <c r="D282">
        <v>47.03</v>
      </c>
      <c r="G282">
        <f t="shared" si="20"/>
        <v>-46.450982658189297</v>
      </c>
      <c r="H282">
        <f t="shared" si="21"/>
        <v>7.3571128908420498</v>
      </c>
    </row>
    <row r="283" spans="1:8">
      <c r="A283">
        <f t="shared" si="18"/>
        <v>47.03</v>
      </c>
      <c r="B283" s="1237">
        <v>280</v>
      </c>
      <c r="C283" s="2556">
        <f t="shared" si="19"/>
        <v>4.8869219055841198</v>
      </c>
      <c r="D283">
        <v>47.03</v>
      </c>
      <c r="G283">
        <f t="shared" si="20"/>
        <v>-46.315508624164202</v>
      </c>
      <c r="H283">
        <f t="shared" si="21"/>
        <v>8.1666737956757203</v>
      </c>
    </row>
    <row r="284" spans="1:8">
      <c r="A284">
        <f t="shared" si="18"/>
        <v>47.03</v>
      </c>
      <c r="B284" s="1237">
        <v>281</v>
      </c>
      <c r="C284" s="2556">
        <f t="shared" si="19"/>
        <v>4.90437519810407</v>
      </c>
      <c r="D284">
        <v>47.03</v>
      </c>
      <c r="G284">
        <f t="shared" si="20"/>
        <v>-46.165926437543597</v>
      </c>
      <c r="H284">
        <f t="shared" si="21"/>
        <v>8.9737470525588794</v>
      </c>
    </row>
    <row r="285" spans="1:8">
      <c r="A285">
        <f t="shared" si="18"/>
        <v>47.03</v>
      </c>
      <c r="B285" s="1237">
        <v>282</v>
      </c>
      <c r="C285" s="2556">
        <f t="shared" si="19"/>
        <v>4.9218284906240104</v>
      </c>
      <c r="D285">
        <v>47.03</v>
      </c>
      <c r="G285">
        <f t="shared" si="20"/>
        <v>-46.002281662510903</v>
      </c>
      <c r="H285">
        <f t="shared" si="21"/>
        <v>9.7780868191591797</v>
      </c>
    </row>
    <row r="286" spans="1:8">
      <c r="A286">
        <f t="shared" si="18"/>
        <v>47.03</v>
      </c>
      <c r="B286" s="1237">
        <v>283</v>
      </c>
      <c r="C286" s="2556">
        <f t="shared" si="19"/>
        <v>4.9392817831439499</v>
      </c>
      <c r="D286">
        <v>47.03</v>
      </c>
      <c r="G286">
        <f t="shared" si="20"/>
        <v>-45.824624146849601</v>
      </c>
      <c r="H286">
        <f t="shared" si="21"/>
        <v>10.579448085792</v>
      </c>
    </row>
    <row r="287" spans="1:8">
      <c r="A287">
        <f t="shared" si="18"/>
        <v>47.03</v>
      </c>
      <c r="B287" s="1237">
        <v>284</v>
      </c>
      <c r="C287" s="2556">
        <f t="shared" si="19"/>
        <v>4.9567350756639001</v>
      </c>
      <c r="D287">
        <v>47.03</v>
      </c>
      <c r="G287">
        <f t="shared" si="20"/>
        <v>-45.6330080067601</v>
      </c>
      <c r="H287">
        <f t="shared" si="21"/>
        <v>11.3775867500524</v>
      </c>
    </row>
    <row r="288" spans="1:8">
      <c r="A288">
        <f t="shared" si="18"/>
        <v>47.03</v>
      </c>
      <c r="B288" s="1237">
        <v>285</v>
      </c>
      <c r="C288" s="2556">
        <f t="shared" si="19"/>
        <v>4.9741883681838397</v>
      </c>
      <c r="D288">
        <v>47.03</v>
      </c>
      <c r="G288">
        <f t="shared" si="20"/>
        <v>-45.427491610374901</v>
      </c>
      <c r="H288">
        <f t="shared" si="21"/>
        <v>12.1722596911716</v>
      </c>
    </row>
    <row r="289" spans="1:8">
      <c r="A289">
        <f t="shared" si="18"/>
        <v>47.03</v>
      </c>
      <c r="B289" s="1237">
        <v>286</v>
      </c>
      <c r="C289" s="2556">
        <f t="shared" si="19"/>
        <v>4.9916416607037801</v>
      </c>
      <c r="D289">
        <v>47.03</v>
      </c>
      <c r="G289">
        <f t="shared" si="20"/>
        <v>-45.2081375599791</v>
      </c>
      <c r="H289">
        <f t="shared" si="21"/>
        <v>12.963224844073499</v>
      </c>
    </row>
    <row r="290" spans="1:8">
      <c r="A290">
        <f t="shared" si="18"/>
        <v>47.03</v>
      </c>
      <c r="B290" s="1237">
        <v>287</v>
      </c>
      <c r="C290" s="2556">
        <f t="shared" si="19"/>
        <v>5.0090949532237303</v>
      </c>
      <c r="D290">
        <v>47.03</v>
      </c>
      <c r="G290">
        <f t="shared" si="20"/>
        <v>-44.975012672941602</v>
      </c>
      <c r="H290">
        <f t="shared" si="21"/>
        <v>13.7502412731103</v>
      </c>
    </row>
    <row r="291" spans="1:8">
      <c r="A291">
        <f t="shared" si="18"/>
        <v>47.03</v>
      </c>
      <c r="B291" s="1237">
        <v>288</v>
      </c>
      <c r="C291" s="2556">
        <f t="shared" si="19"/>
        <v>5.0265482457436699</v>
      </c>
      <c r="D291">
        <v>47.03</v>
      </c>
      <c r="G291">
        <f t="shared" si="20"/>
        <v>-44.728187961361101</v>
      </c>
      <c r="H291">
        <f t="shared" si="21"/>
        <v>14.533069245453801</v>
      </c>
    </row>
    <row r="292" spans="1:8">
      <c r="A292">
        <f t="shared" si="18"/>
        <v>47.03</v>
      </c>
      <c r="B292" s="1237">
        <v>289</v>
      </c>
      <c r="C292" s="2556">
        <f t="shared" si="19"/>
        <v>5.0440015382636103</v>
      </c>
      <c r="D292">
        <v>47.03</v>
      </c>
      <c r="G292">
        <f t="shared" si="20"/>
        <v>-44.467738610435902</v>
      </c>
      <c r="H292">
        <f t="shared" si="21"/>
        <v>15.3114703041201</v>
      </c>
    </row>
    <row r="293" spans="1:8">
      <c r="A293">
        <f t="shared" si="18"/>
        <v>47.03</v>
      </c>
      <c r="B293" s="1237">
        <v>290</v>
      </c>
      <c r="C293" s="2556">
        <f t="shared" si="19"/>
        <v>5.0614548307835596</v>
      </c>
      <c r="D293">
        <v>47.03</v>
      </c>
      <c r="G293">
        <f t="shared" si="20"/>
        <v>-44.193743955561303</v>
      </c>
      <c r="H293">
        <f t="shared" si="21"/>
        <v>16.0852073406062</v>
      </c>
    </row>
    <row r="294" spans="1:8">
      <c r="A294">
        <f t="shared" si="18"/>
        <v>47.03</v>
      </c>
      <c r="B294" s="1237">
        <v>291</v>
      </c>
      <c r="C294" s="2556">
        <f t="shared" si="19"/>
        <v>5.0789081233035001</v>
      </c>
      <c r="D294">
        <v>47.03</v>
      </c>
      <c r="G294">
        <f t="shared" si="20"/>
        <v>-43.906287458163398</v>
      </c>
      <c r="H294">
        <f t="shared" si="21"/>
        <v>16.854044667115399</v>
      </c>
    </row>
    <row r="295" spans="1:8">
      <c r="A295">
        <f t="shared" si="18"/>
        <v>47.03</v>
      </c>
      <c r="B295" s="1237">
        <v>292</v>
      </c>
      <c r="C295" s="2556">
        <f t="shared" si="19"/>
        <v>5.0963614158234396</v>
      </c>
      <c r="D295">
        <v>47.03</v>
      </c>
      <c r="G295">
        <f t="shared" si="20"/>
        <v>-43.605456680275999</v>
      </c>
      <c r="H295">
        <f t="shared" si="21"/>
        <v>17.6177480883503</v>
      </c>
    </row>
    <row r="296" spans="1:8">
      <c r="A296">
        <f t="shared" si="18"/>
        <v>47.03</v>
      </c>
      <c r="B296" s="1237">
        <v>293</v>
      </c>
      <c r="C296" s="2556">
        <f t="shared" si="19"/>
        <v>5.1138147083433898</v>
      </c>
      <c r="D296">
        <v>47.03</v>
      </c>
      <c r="G296">
        <f t="shared" si="20"/>
        <v>-43.291343257868299</v>
      </c>
      <c r="H296">
        <f t="shared" si="21"/>
        <v>18.376084972850499</v>
      </c>
    </row>
    <row r="297" spans="1:8">
      <c r="A297">
        <f t="shared" si="18"/>
        <v>47.03</v>
      </c>
      <c r="B297" s="1237">
        <v>294</v>
      </c>
      <c r="C297" s="2556">
        <f t="shared" si="19"/>
        <v>5.1312680008633302</v>
      </c>
      <c r="D297">
        <v>47.03</v>
      </c>
      <c r="G297">
        <f t="shared" si="20"/>
        <v>-42.9640428729315</v>
      </c>
      <c r="H297">
        <f t="shared" si="21"/>
        <v>19.1288243238549</v>
      </c>
    </row>
    <row r="298" spans="1:8">
      <c r="A298">
        <f t="shared" si="18"/>
        <v>47.03</v>
      </c>
      <c r="B298" s="1237">
        <v>295</v>
      </c>
      <c r="C298" s="2556">
        <f t="shared" si="19"/>
        <v>5.1487212933832698</v>
      </c>
      <c r="D298">
        <v>47.03</v>
      </c>
      <c r="G298">
        <f t="shared" si="20"/>
        <v>-42.623655224333604</v>
      </c>
      <c r="H298">
        <f t="shared" si="21"/>
        <v>19.875736849665099</v>
      </c>
    </row>
    <row r="299" spans="1:8">
      <c r="A299">
        <f t="shared" si="18"/>
        <v>47.03</v>
      </c>
      <c r="B299" s="1237">
        <v>296</v>
      </c>
      <c r="C299" s="2556">
        <f t="shared" si="19"/>
        <v>5.16617458590322</v>
      </c>
      <c r="D299">
        <v>47.03</v>
      </c>
      <c r="G299">
        <f t="shared" si="20"/>
        <v>-42.270283997449802</v>
      </c>
      <c r="H299">
        <f t="shared" si="21"/>
        <v>20.616595033490299</v>
      </c>
    </row>
    <row r="300" spans="1:8">
      <c r="A300">
        <f t="shared" si="18"/>
        <v>47.03</v>
      </c>
      <c r="B300" s="1237">
        <v>297</v>
      </c>
      <c r="C300" s="2556">
        <f t="shared" si="19"/>
        <v>5.1836278784231604</v>
      </c>
      <c r="D300">
        <v>47.03</v>
      </c>
      <c r="G300">
        <f t="shared" si="20"/>
        <v>-41.904036832578903</v>
      </c>
      <c r="H300">
        <f t="shared" si="21"/>
        <v>21.3511732027509</v>
      </c>
    </row>
    <row r="301" spans="1:8">
      <c r="A301">
        <f t="shared" si="18"/>
        <v>47.03</v>
      </c>
      <c r="B301" s="1237">
        <v>298</v>
      </c>
      <c r="C301" s="2556">
        <f t="shared" si="19"/>
        <v>5.2010811709431</v>
      </c>
      <c r="D301">
        <v>47.03</v>
      </c>
      <c r="G301">
        <f t="shared" si="20"/>
        <v>-41.525025292155298</v>
      </c>
      <c r="H301">
        <f t="shared" si="21"/>
        <v>22.079247597820402</v>
      </c>
    </row>
    <row r="302" spans="1:8">
      <c r="A302">
        <f t="shared" si="18"/>
        <v>47.03</v>
      </c>
      <c r="B302" s="1237">
        <v>299</v>
      </c>
      <c r="C302" s="2556">
        <f t="shared" si="19"/>
        <v>5.2185344634630404</v>
      </c>
      <c r="D302">
        <v>47.03</v>
      </c>
      <c r="G302">
        <f t="shared" si="20"/>
        <v>-41.133364826765799</v>
      </c>
      <c r="H302">
        <f t="shared" si="21"/>
        <v>22.800596440185199</v>
      </c>
    </row>
    <row r="303" spans="1:8">
      <c r="A303">
        <f t="shared" si="18"/>
        <v>47.03</v>
      </c>
      <c r="B303" s="1237">
        <v>300</v>
      </c>
      <c r="C303" s="2556">
        <f t="shared" si="19"/>
        <v>5.2359877559829897</v>
      </c>
      <c r="D303">
        <v>47.03</v>
      </c>
      <c r="G303">
        <f t="shared" si="20"/>
        <v>-40.729174739982099</v>
      </c>
      <c r="H303">
        <f t="shared" si="21"/>
        <v>23.515000000000001</v>
      </c>
    </row>
    <row r="304" spans="1:8">
      <c r="A304">
        <f t="shared" si="18"/>
        <v>47.03</v>
      </c>
      <c r="B304" s="1237">
        <v>301</v>
      </c>
      <c r="C304" s="2556">
        <f t="shared" si="19"/>
        <v>5.2534410485029301</v>
      </c>
      <c r="D304">
        <v>47.03</v>
      </c>
      <c r="G304">
        <f t="shared" si="20"/>
        <v>-40.312578152020301</v>
      </c>
      <c r="H304">
        <f t="shared" si="21"/>
        <v>24.2222406630198</v>
      </c>
    </row>
    <row r="305" spans="1:8">
      <c r="A305">
        <f t="shared" si="18"/>
        <v>47.03</v>
      </c>
      <c r="B305" s="1237">
        <v>302</v>
      </c>
      <c r="C305" s="2556">
        <f t="shared" si="19"/>
        <v>5.2708943410228803</v>
      </c>
      <c r="D305">
        <v>47.03</v>
      </c>
      <c r="G305">
        <f t="shared" si="20"/>
        <v>-39.8837019622367</v>
      </c>
      <c r="H305">
        <f t="shared" si="21"/>
        <v>24.922102996887599</v>
      </c>
    </row>
    <row r="306" spans="1:8">
      <c r="A306">
        <f t="shared" si="18"/>
        <v>47.03</v>
      </c>
      <c r="B306" s="1237">
        <v>303</v>
      </c>
      <c r="C306" s="2556">
        <f t="shared" si="19"/>
        <v>5.2883476335428199</v>
      </c>
      <c r="D306">
        <v>47.03</v>
      </c>
      <c r="G306">
        <f t="shared" si="20"/>
        <v>-39.442676810473301</v>
      </c>
      <c r="H306">
        <f t="shared" si="21"/>
        <v>25.6143738167567</v>
      </c>
    </row>
    <row r="307" spans="1:8">
      <c r="A307">
        <f t="shared" si="18"/>
        <v>47.03</v>
      </c>
      <c r="B307" s="1237">
        <v>304</v>
      </c>
      <c r="C307" s="2556">
        <f t="shared" si="19"/>
        <v>5.3058009260627603</v>
      </c>
      <c r="D307">
        <v>47.03</v>
      </c>
      <c r="G307">
        <f t="shared" si="20"/>
        <v>-38.989637037263599</v>
      </c>
      <c r="H307">
        <f t="shared" si="21"/>
        <v>26.2988422502292</v>
      </c>
    </row>
    <row r="308" spans="1:8">
      <c r="A308">
        <f t="shared" si="18"/>
        <v>47.03</v>
      </c>
      <c r="B308" s="1237">
        <v>305</v>
      </c>
      <c r="C308" s="2556">
        <f t="shared" si="19"/>
        <v>5.3232542185827096</v>
      </c>
      <c r="D308">
        <v>47.03</v>
      </c>
      <c r="G308">
        <f t="shared" si="20"/>
        <v>-38.524720642911298</v>
      </c>
      <c r="H308">
        <f t="shared" si="21"/>
        <v>26.975299801589699</v>
      </c>
    </row>
    <row r="309" spans="1:8">
      <c r="A309">
        <f t="shared" si="18"/>
        <v>47.03</v>
      </c>
      <c r="B309" s="1237">
        <v>306</v>
      </c>
      <c r="C309" s="2556">
        <f t="shared" si="19"/>
        <v>5.3407075111026501</v>
      </c>
      <c r="D309">
        <v>47.03</v>
      </c>
      <c r="G309">
        <f t="shared" si="20"/>
        <v>-38.048069245453803</v>
      </c>
      <c r="H309">
        <f t="shared" si="21"/>
        <v>27.643540415315002</v>
      </c>
    </row>
    <row r="310" spans="1:8">
      <c r="A310">
        <f t="shared" si="18"/>
        <v>47.03</v>
      </c>
      <c r="B310" s="1237">
        <v>307</v>
      </c>
      <c r="C310" s="2556">
        <f t="shared" si="19"/>
        <v>5.3581608036225896</v>
      </c>
      <c r="D310">
        <v>47.03</v>
      </c>
      <c r="G310">
        <f t="shared" si="20"/>
        <v>-37.559828037524198</v>
      </c>
      <c r="H310">
        <f t="shared" si="21"/>
        <v>28.303360538840799</v>
      </c>
    </row>
    <row r="311" spans="1:8">
      <c r="A311">
        <f t="shared" si="18"/>
        <v>47.03</v>
      </c>
      <c r="B311" s="1237">
        <v>308</v>
      </c>
      <c r="C311" s="2556">
        <f t="shared" si="19"/>
        <v>5.3756140961425398</v>
      </c>
      <c r="D311">
        <v>47.03</v>
      </c>
      <c r="G311">
        <f t="shared" si="20"/>
        <v>-37.060145742124099</v>
      </c>
      <c r="H311">
        <f t="shared" si="21"/>
        <v>28.954559184565699</v>
      </c>
    </row>
    <row r="312" spans="1:8">
      <c r="A312">
        <f t="shared" si="18"/>
        <v>47.03</v>
      </c>
      <c r="B312" s="1237">
        <v>309</v>
      </c>
      <c r="C312" s="2556">
        <f t="shared" si="19"/>
        <v>5.3930673886624803</v>
      </c>
      <c r="D312">
        <v>47.03</v>
      </c>
      <c r="G312">
        <f t="shared" si="20"/>
        <v>-36.549174567321302</v>
      </c>
      <c r="H312">
        <f t="shared" si="21"/>
        <v>29.596937991073901</v>
      </c>
    </row>
    <row r="313" spans="1:8">
      <c r="A313">
        <f t="shared" si="18"/>
        <v>47.03</v>
      </c>
      <c r="B313" s="1237">
        <v>310</v>
      </c>
      <c r="C313" s="2556">
        <f t="shared" si="19"/>
        <v>5.4105206811824198</v>
      </c>
      <c r="D313">
        <v>47.03</v>
      </c>
      <c r="G313">
        <f t="shared" si="20"/>
        <v>-36.027070159885497</v>
      </c>
      <c r="H313">
        <f t="shared" si="21"/>
        <v>30.2303012835579</v>
      </c>
    </row>
    <row r="314" spans="1:8">
      <c r="A314">
        <f t="shared" si="18"/>
        <v>47.03</v>
      </c>
      <c r="B314" s="1237">
        <v>311</v>
      </c>
      <c r="C314" s="2556">
        <f t="shared" si="19"/>
        <v>5.4279739737023602</v>
      </c>
      <c r="D314">
        <v>47.03</v>
      </c>
      <c r="G314">
        <f t="shared" si="20"/>
        <v>-35.493991557877003</v>
      </c>
      <c r="H314">
        <f t="shared" si="21"/>
        <v>30.854456133423501</v>
      </c>
    </row>
    <row r="315" spans="1:8">
      <c r="A315">
        <f t="shared" si="18"/>
        <v>47.03</v>
      </c>
      <c r="B315" s="1237">
        <v>312</v>
      </c>
      <c r="C315" s="2556">
        <f t="shared" si="19"/>
        <v>5.4454272662223104</v>
      </c>
      <c r="D315">
        <v>47.03</v>
      </c>
      <c r="G315">
        <f t="shared" si="20"/>
        <v>-34.950101142201902</v>
      </c>
      <c r="H315">
        <f t="shared" si="21"/>
        <v>31.469212417057101</v>
      </c>
    </row>
    <row r="316" spans="1:8">
      <c r="A316">
        <f t="shared" si="18"/>
        <v>47.03</v>
      </c>
      <c r="B316" s="1237">
        <v>313</v>
      </c>
      <c r="C316" s="2556">
        <f t="shared" si="19"/>
        <v>5.46288055874225</v>
      </c>
      <c r="D316">
        <v>47.03</v>
      </c>
      <c r="G316">
        <f t="shared" si="20"/>
        <v>-34.3955645871496</v>
      </c>
      <c r="H316">
        <f t="shared" si="21"/>
        <v>32.074382873739303</v>
      </c>
    </row>
    <row r="317" spans="1:8">
      <c r="A317">
        <f t="shared" si="18"/>
        <v>47.03</v>
      </c>
      <c r="B317" s="1237">
        <v>314</v>
      </c>
      <c r="C317" s="2556">
        <f t="shared" si="19"/>
        <v>5.4803338512621904</v>
      </c>
      <c r="D317">
        <v>47.03</v>
      </c>
      <c r="G317">
        <f t="shared" si="20"/>
        <v>-33.830550809926798</v>
      </c>
      <c r="H317">
        <f t="shared" si="21"/>
        <v>32.669783162686599</v>
      </c>
    </row>
    <row r="318" spans="1:8">
      <c r="A318">
        <f t="shared" si="18"/>
        <v>47.03</v>
      </c>
      <c r="B318" s="1237">
        <v>315</v>
      </c>
      <c r="C318" s="2556">
        <f t="shared" si="19"/>
        <v>5.4977871437821397</v>
      </c>
      <c r="D318">
        <v>47.03</v>
      </c>
      <c r="G318">
        <f t="shared" si="20"/>
        <v>-33.255231919203297</v>
      </c>
      <c r="H318">
        <f t="shared" si="21"/>
        <v>33.255231919203297</v>
      </c>
    </row>
    <row r="319" spans="1:8">
      <c r="A319">
        <f t="shared" si="18"/>
        <v>47.03</v>
      </c>
      <c r="B319" s="1237">
        <v>316</v>
      </c>
      <c r="C319" s="2556">
        <f t="shared" si="19"/>
        <v>5.5152404363020802</v>
      </c>
      <c r="D319">
        <v>47.03</v>
      </c>
      <c r="G319">
        <f t="shared" si="20"/>
        <v>-32.669783162686699</v>
      </c>
      <c r="H319">
        <f t="shared" si="21"/>
        <v>33.830550809926699</v>
      </c>
    </row>
    <row r="320" spans="1:8">
      <c r="A320">
        <f t="shared" si="18"/>
        <v>47.03</v>
      </c>
      <c r="B320" s="1237">
        <v>317</v>
      </c>
      <c r="C320" s="2556">
        <f t="shared" si="19"/>
        <v>5.5326937288220304</v>
      </c>
      <c r="D320">
        <v>47.03</v>
      </c>
      <c r="G320">
        <f t="shared" si="20"/>
        <v>-32.074382873739303</v>
      </c>
      <c r="H320">
        <f t="shared" si="21"/>
        <v>34.3955645871496</v>
      </c>
    </row>
    <row r="321" spans="1:8">
      <c r="A321">
        <f t="shared" si="18"/>
        <v>47.03</v>
      </c>
      <c r="B321" s="1237">
        <v>318</v>
      </c>
      <c r="C321" s="2556">
        <f t="shared" si="19"/>
        <v>5.5501470213419699</v>
      </c>
      <c r="D321">
        <v>47.03</v>
      </c>
      <c r="G321">
        <f t="shared" si="20"/>
        <v>-31.469212417057101</v>
      </c>
      <c r="H321">
        <f t="shared" si="21"/>
        <v>34.950101142201902</v>
      </c>
    </row>
    <row r="322" spans="1:8">
      <c r="A322">
        <f t="shared" si="18"/>
        <v>47.03</v>
      </c>
      <c r="B322" s="1237">
        <v>319</v>
      </c>
      <c r="C322" s="2556">
        <f t="shared" si="19"/>
        <v>5.5676003138619103</v>
      </c>
      <c r="D322">
        <v>47.03</v>
      </c>
      <c r="G322">
        <f t="shared" si="20"/>
        <v>-30.8544561334236</v>
      </c>
      <c r="H322">
        <f t="shared" si="21"/>
        <v>35.493991557877003</v>
      </c>
    </row>
    <row r="323" spans="1:8">
      <c r="A323">
        <f t="shared" ref="A323:A363" si="22">52.03-5</f>
        <v>47.03</v>
      </c>
      <c r="B323" s="1237">
        <v>320</v>
      </c>
      <c r="C323" s="2556">
        <f t="shared" ref="C323:C363" si="23">B323*PI()/180</f>
        <v>5.5850536063818499</v>
      </c>
      <c r="D323">
        <v>47.03</v>
      </c>
      <c r="G323">
        <f t="shared" ref="G323:G362" si="24">D323*SIN(C323)</f>
        <v>-30.230301283557999</v>
      </c>
      <c r="H323">
        <f t="shared" ref="H323:H363" si="25">D323*COS(C323)</f>
        <v>36.027070159885497</v>
      </c>
    </row>
    <row r="324" spans="1:8">
      <c r="A324">
        <f t="shared" si="22"/>
        <v>47.03</v>
      </c>
      <c r="B324" s="1237">
        <v>321</v>
      </c>
      <c r="C324" s="2556">
        <f t="shared" si="23"/>
        <v>5.6025068989018001</v>
      </c>
      <c r="D324">
        <v>47.03</v>
      </c>
      <c r="G324">
        <f t="shared" si="24"/>
        <v>-29.596937991073901</v>
      </c>
      <c r="H324">
        <f t="shared" si="25"/>
        <v>36.549174567321302</v>
      </c>
    </row>
    <row r="325" spans="1:8">
      <c r="A325">
        <f t="shared" si="22"/>
        <v>47.03</v>
      </c>
      <c r="B325" s="1237">
        <v>322</v>
      </c>
      <c r="C325" s="2556">
        <f t="shared" si="23"/>
        <v>5.6199601914217396</v>
      </c>
      <c r="D325">
        <v>47.03</v>
      </c>
      <c r="G325">
        <f t="shared" si="24"/>
        <v>-28.954559184565699</v>
      </c>
      <c r="H325">
        <f t="shared" si="25"/>
        <v>37.060145742124099</v>
      </c>
    </row>
    <row r="326" spans="1:8">
      <c r="A326">
        <f t="shared" si="22"/>
        <v>47.03</v>
      </c>
      <c r="B326" s="1237">
        <v>323</v>
      </c>
      <c r="C326" s="2556">
        <f t="shared" si="23"/>
        <v>5.6374134839416801</v>
      </c>
      <c r="D326">
        <v>47.03</v>
      </c>
      <c r="G326">
        <f t="shared" si="24"/>
        <v>-28.303360538840799</v>
      </c>
      <c r="H326">
        <f t="shared" si="25"/>
        <v>37.559828037524198</v>
      </c>
    </row>
    <row r="327" spans="1:8">
      <c r="A327">
        <f t="shared" si="22"/>
        <v>47.03</v>
      </c>
      <c r="B327" s="1237">
        <v>324</v>
      </c>
      <c r="C327" s="2556">
        <f t="shared" si="23"/>
        <v>5.6548667764616303</v>
      </c>
      <c r="D327">
        <v>47.03</v>
      </c>
      <c r="G327">
        <f t="shared" si="24"/>
        <v>-27.643540415315002</v>
      </c>
      <c r="H327">
        <f t="shared" si="25"/>
        <v>38.048069245453803</v>
      </c>
    </row>
    <row r="328" spans="1:8">
      <c r="A328">
        <f t="shared" si="22"/>
        <v>47.03</v>
      </c>
      <c r="B328" s="1237">
        <v>325</v>
      </c>
      <c r="C328" s="2556">
        <f t="shared" si="23"/>
        <v>5.6723200689815698</v>
      </c>
      <c r="D328">
        <v>47.03</v>
      </c>
      <c r="G328">
        <f t="shared" si="24"/>
        <v>-26.975299801589699</v>
      </c>
      <c r="H328">
        <f t="shared" si="25"/>
        <v>38.524720642911298</v>
      </c>
    </row>
    <row r="329" spans="1:8">
      <c r="A329">
        <f t="shared" si="22"/>
        <v>47.03</v>
      </c>
      <c r="B329" s="1237">
        <v>326</v>
      </c>
      <c r="C329" s="2556">
        <f t="shared" si="23"/>
        <v>5.6897733615015103</v>
      </c>
      <c r="D329">
        <v>47.03</v>
      </c>
      <c r="G329">
        <f t="shared" si="24"/>
        <v>-26.2988422502292</v>
      </c>
      <c r="H329">
        <f t="shared" si="25"/>
        <v>38.989637037263599</v>
      </c>
    </row>
    <row r="330" spans="1:8">
      <c r="A330">
        <f t="shared" si="22"/>
        <v>47.03</v>
      </c>
      <c r="B330" s="1237">
        <v>327</v>
      </c>
      <c r="C330" s="2556">
        <f t="shared" si="23"/>
        <v>5.7072266540214596</v>
      </c>
      <c r="D330">
        <v>47.03</v>
      </c>
      <c r="G330">
        <f t="shared" si="24"/>
        <v>-25.6143738167567</v>
      </c>
      <c r="H330">
        <f t="shared" si="25"/>
        <v>39.442676810473301</v>
      </c>
    </row>
    <row r="331" spans="1:8">
      <c r="A331">
        <f t="shared" si="22"/>
        <v>47.03</v>
      </c>
      <c r="B331" s="1237">
        <v>328</v>
      </c>
      <c r="C331" s="2556">
        <f t="shared" si="23"/>
        <v>5.7246799465414</v>
      </c>
      <c r="D331">
        <v>47.03</v>
      </c>
      <c r="G331">
        <f t="shared" si="24"/>
        <v>-24.922102996887698</v>
      </c>
      <c r="H331">
        <f t="shared" si="25"/>
        <v>39.8837019622367</v>
      </c>
    </row>
    <row r="332" spans="1:8">
      <c r="A332">
        <f t="shared" si="22"/>
        <v>47.03</v>
      </c>
      <c r="B332" s="1237">
        <v>329</v>
      </c>
      <c r="C332" s="2556">
        <f t="shared" si="23"/>
        <v>5.7421332390613404</v>
      </c>
      <c r="D332">
        <v>47.03</v>
      </c>
      <c r="G332">
        <f t="shared" si="24"/>
        <v>-24.2222406630199</v>
      </c>
      <c r="H332">
        <f t="shared" si="25"/>
        <v>40.312578152020301</v>
      </c>
    </row>
    <row r="333" spans="1:8">
      <c r="A333">
        <f t="shared" si="22"/>
        <v>47.03</v>
      </c>
      <c r="B333" s="1237">
        <v>330</v>
      </c>
      <c r="C333" s="2556">
        <f t="shared" si="23"/>
        <v>5.7595865315812897</v>
      </c>
      <c r="D333">
        <v>47.03</v>
      </c>
      <c r="G333">
        <f t="shared" si="24"/>
        <v>-23.515000000000001</v>
      </c>
      <c r="H333">
        <f t="shared" si="25"/>
        <v>40.729174739982099</v>
      </c>
    </row>
    <row r="334" spans="1:8">
      <c r="A334">
        <f t="shared" si="22"/>
        <v>47.03</v>
      </c>
      <c r="B334" s="1237">
        <v>331</v>
      </c>
      <c r="C334" s="2556">
        <f t="shared" si="23"/>
        <v>5.7770398241012302</v>
      </c>
      <c r="D334">
        <v>47.03</v>
      </c>
      <c r="G334">
        <f t="shared" si="24"/>
        <v>-22.800596440185199</v>
      </c>
      <c r="H334">
        <f t="shared" si="25"/>
        <v>41.133364826765799</v>
      </c>
    </row>
    <row r="335" spans="1:8">
      <c r="A335">
        <f t="shared" si="22"/>
        <v>47.03</v>
      </c>
      <c r="B335" s="1237">
        <v>332</v>
      </c>
      <c r="C335" s="2556">
        <f t="shared" si="23"/>
        <v>5.7944931166211697</v>
      </c>
      <c r="D335">
        <v>47.03</v>
      </c>
      <c r="G335">
        <f t="shared" si="24"/>
        <v>-22.079247597820402</v>
      </c>
      <c r="H335">
        <f t="shared" si="25"/>
        <v>41.525025292155298</v>
      </c>
    </row>
    <row r="336" spans="1:8">
      <c r="A336">
        <f t="shared" si="22"/>
        <v>47.03</v>
      </c>
      <c r="B336" s="1237">
        <v>333</v>
      </c>
      <c r="C336" s="2556">
        <f t="shared" si="23"/>
        <v>5.8119464091411199</v>
      </c>
      <c r="D336">
        <v>47.03</v>
      </c>
      <c r="G336">
        <f t="shared" si="24"/>
        <v>-21.3511732027509</v>
      </c>
      <c r="H336">
        <f t="shared" si="25"/>
        <v>41.904036832578903</v>
      </c>
    </row>
    <row r="337" spans="1:8">
      <c r="A337">
        <f t="shared" si="22"/>
        <v>47.03</v>
      </c>
      <c r="B337" s="1237">
        <v>334</v>
      </c>
      <c r="C337" s="2556">
        <f t="shared" si="23"/>
        <v>5.8293997016610604</v>
      </c>
      <c r="D337">
        <v>47.03</v>
      </c>
      <c r="G337">
        <f t="shared" si="24"/>
        <v>-20.616595033490299</v>
      </c>
      <c r="H337">
        <f t="shared" si="25"/>
        <v>42.270283997449802</v>
      </c>
    </row>
    <row r="338" spans="1:8">
      <c r="A338">
        <f t="shared" si="22"/>
        <v>47.03</v>
      </c>
      <c r="B338" s="1237">
        <v>335</v>
      </c>
      <c r="C338" s="2556">
        <f t="shared" si="23"/>
        <v>5.8468529941809999</v>
      </c>
      <c r="D338">
        <v>47.03</v>
      </c>
      <c r="G338">
        <f t="shared" si="24"/>
        <v>-19.875736849665099</v>
      </c>
      <c r="H338">
        <f t="shared" si="25"/>
        <v>42.623655224333604</v>
      </c>
    </row>
    <row r="339" spans="1:8">
      <c r="A339">
        <f t="shared" si="22"/>
        <v>47.03</v>
      </c>
      <c r="B339" s="1237">
        <v>336</v>
      </c>
      <c r="C339" s="2556">
        <f t="shared" si="23"/>
        <v>5.8643062867009501</v>
      </c>
      <c r="D339">
        <v>47.03</v>
      </c>
      <c r="G339">
        <f t="shared" si="24"/>
        <v>-19.1288243238549</v>
      </c>
      <c r="H339">
        <f t="shared" si="25"/>
        <v>42.9640428729315</v>
      </c>
    </row>
    <row r="340" spans="1:8">
      <c r="A340">
        <f t="shared" si="22"/>
        <v>47.03</v>
      </c>
      <c r="B340" s="1237">
        <v>337</v>
      </c>
      <c r="C340" s="2556">
        <f t="shared" si="23"/>
        <v>5.8817595792208897</v>
      </c>
      <c r="D340">
        <v>47.03</v>
      </c>
      <c r="G340">
        <f t="shared" si="24"/>
        <v>-18.376084972850599</v>
      </c>
      <c r="H340">
        <f t="shared" si="25"/>
        <v>43.291343257868199</v>
      </c>
    </row>
    <row r="341" spans="1:8">
      <c r="A341">
        <f t="shared" si="22"/>
        <v>47.03</v>
      </c>
      <c r="B341" s="1237">
        <v>338</v>
      </c>
      <c r="C341" s="2556">
        <f t="shared" si="23"/>
        <v>5.8992128717408301</v>
      </c>
      <c r="D341">
        <v>47.03</v>
      </c>
      <c r="G341">
        <f t="shared" si="24"/>
        <v>-17.6177480883504</v>
      </c>
      <c r="H341">
        <f t="shared" si="25"/>
        <v>43.605456680275999</v>
      </c>
    </row>
    <row r="342" spans="1:8">
      <c r="A342">
        <f t="shared" si="22"/>
        <v>47.03</v>
      </c>
      <c r="B342" s="1237">
        <v>339</v>
      </c>
      <c r="C342" s="2556">
        <f t="shared" si="23"/>
        <v>5.9166661642607803</v>
      </c>
      <c r="D342">
        <v>47.03</v>
      </c>
      <c r="G342">
        <f t="shared" si="24"/>
        <v>-16.854044667115499</v>
      </c>
      <c r="H342">
        <f t="shared" si="25"/>
        <v>43.906287458163398</v>
      </c>
    </row>
    <row r="343" spans="1:8">
      <c r="A343">
        <f t="shared" si="22"/>
        <v>47.03</v>
      </c>
      <c r="B343" s="1237">
        <v>340</v>
      </c>
      <c r="C343" s="2556">
        <f t="shared" si="23"/>
        <v>5.9341194567807198</v>
      </c>
      <c r="D343">
        <v>47.03</v>
      </c>
      <c r="G343">
        <f t="shared" si="24"/>
        <v>-16.0852073406062</v>
      </c>
      <c r="H343">
        <f t="shared" si="25"/>
        <v>44.193743955561303</v>
      </c>
    </row>
    <row r="344" spans="1:8">
      <c r="A344">
        <f t="shared" si="22"/>
        <v>47.03</v>
      </c>
      <c r="B344" s="1237">
        <v>341</v>
      </c>
      <c r="C344" s="2556">
        <f t="shared" si="23"/>
        <v>5.9515727493006603</v>
      </c>
      <c r="D344">
        <v>47.03</v>
      </c>
      <c r="G344">
        <f t="shared" si="24"/>
        <v>-15.3114703041201</v>
      </c>
      <c r="H344">
        <f t="shared" si="25"/>
        <v>44.467738610435902</v>
      </c>
    </row>
    <row r="345" spans="1:8">
      <c r="A345">
        <f t="shared" si="22"/>
        <v>47.03</v>
      </c>
      <c r="B345" s="1237">
        <v>342</v>
      </c>
      <c r="C345" s="2556">
        <f t="shared" si="23"/>
        <v>5.9690260418206096</v>
      </c>
      <c r="D345">
        <v>47.03</v>
      </c>
      <c r="G345">
        <f t="shared" si="24"/>
        <v>-14.533069245453801</v>
      </c>
      <c r="H345">
        <f t="shared" si="25"/>
        <v>44.728187961361101</v>
      </c>
    </row>
    <row r="346" spans="1:8">
      <c r="A346">
        <f t="shared" si="22"/>
        <v>47.03</v>
      </c>
      <c r="B346" s="1237">
        <v>343</v>
      </c>
      <c r="C346" s="2556">
        <f t="shared" si="23"/>
        <v>5.98647933434055</v>
      </c>
      <c r="D346">
        <v>47.03</v>
      </c>
      <c r="G346">
        <f t="shared" si="24"/>
        <v>-13.7502412731103</v>
      </c>
      <c r="H346">
        <f t="shared" si="25"/>
        <v>44.975012672941602</v>
      </c>
    </row>
    <row r="347" spans="1:8">
      <c r="A347">
        <f t="shared" si="22"/>
        <v>47.03</v>
      </c>
      <c r="B347" s="1237">
        <v>344</v>
      </c>
      <c r="C347" s="2556">
        <f t="shared" si="23"/>
        <v>6.0039326268604896</v>
      </c>
      <c r="D347">
        <v>47.03</v>
      </c>
      <c r="G347">
        <f t="shared" si="24"/>
        <v>-12.963224844073499</v>
      </c>
      <c r="H347">
        <f t="shared" si="25"/>
        <v>45.2081375599791</v>
      </c>
    </row>
    <row r="348" spans="1:8">
      <c r="A348">
        <f t="shared" si="22"/>
        <v>47.03</v>
      </c>
      <c r="B348" s="1237">
        <v>345</v>
      </c>
      <c r="C348" s="2556">
        <f t="shared" si="23"/>
        <v>6.0213859193804398</v>
      </c>
      <c r="D348">
        <v>47.03</v>
      </c>
      <c r="G348">
        <f t="shared" si="24"/>
        <v>-12.172259691171501</v>
      </c>
      <c r="H348">
        <f t="shared" si="25"/>
        <v>45.427491610374901</v>
      </c>
    </row>
    <row r="349" spans="1:8">
      <c r="A349">
        <f t="shared" si="22"/>
        <v>47.03</v>
      </c>
      <c r="B349" s="1237">
        <v>346</v>
      </c>
      <c r="C349" s="2556">
        <f t="shared" si="23"/>
        <v>6.0388392119003802</v>
      </c>
      <c r="D349">
        <v>47.03</v>
      </c>
      <c r="G349">
        <f t="shared" si="24"/>
        <v>-11.3775867500524</v>
      </c>
      <c r="H349">
        <f t="shared" si="25"/>
        <v>45.6330080067601</v>
      </c>
    </row>
    <row r="350" spans="1:8">
      <c r="A350">
        <f t="shared" si="22"/>
        <v>47.03</v>
      </c>
      <c r="B350" s="1237">
        <v>347</v>
      </c>
      <c r="C350" s="2556">
        <f t="shared" si="23"/>
        <v>6.0562925044203197</v>
      </c>
      <c r="D350">
        <v>47.03</v>
      </c>
      <c r="G350">
        <f t="shared" si="24"/>
        <v>-10.579448085792</v>
      </c>
      <c r="H350">
        <f t="shared" si="25"/>
        <v>45.824624146849601</v>
      </c>
    </row>
    <row r="351" spans="1:8">
      <c r="A351">
        <f t="shared" si="22"/>
        <v>47.03</v>
      </c>
      <c r="B351" s="1237">
        <v>348</v>
      </c>
      <c r="C351" s="2556">
        <f t="shared" si="23"/>
        <v>6.0737457969402699</v>
      </c>
      <c r="D351">
        <v>47.03</v>
      </c>
      <c r="G351">
        <f t="shared" si="24"/>
        <v>-9.7780868191592507</v>
      </c>
      <c r="H351">
        <f t="shared" si="25"/>
        <v>46.002281662510903</v>
      </c>
    </row>
    <row r="352" spans="1:8">
      <c r="A352">
        <f t="shared" si="22"/>
        <v>47.03</v>
      </c>
      <c r="B352" s="1237">
        <v>349</v>
      </c>
      <c r="C352" s="2556">
        <f t="shared" si="23"/>
        <v>6.0911990894602104</v>
      </c>
      <c r="D352">
        <v>47.03</v>
      </c>
      <c r="G352">
        <f t="shared" si="24"/>
        <v>-8.9737470525589007</v>
      </c>
      <c r="H352">
        <f t="shared" si="25"/>
        <v>46.165926437543597</v>
      </c>
    </row>
    <row r="353" spans="1:8">
      <c r="A353">
        <f t="shared" si="22"/>
        <v>47.03</v>
      </c>
      <c r="B353" s="1237">
        <v>350</v>
      </c>
      <c r="C353" s="2556">
        <f t="shared" si="23"/>
        <v>6.1086523819801499</v>
      </c>
      <c r="D353">
        <v>47.03</v>
      </c>
      <c r="G353">
        <f t="shared" si="24"/>
        <v>-8.1666737956757807</v>
      </c>
      <c r="H353">
        <f t="shared" si="25"/>
        <v>46.315508624164103</v>
      </c>
    </row>
    <row r="354" spans="1:8">
      <c r="A354">
        <f t="shared" si="22"/>
        <v>47.03</v>
      </c>
      <c r="B354" s="1237">
        <v>351</v>
      </c>
      <c r="C354" s="2556">
        <f t="shared" si="23"/>
        <v>6.1261056745001001</v>
      </c>
      <c r="D354">
        <v>47.03</v>
      </c>
      <c r="G354">
        <f t="shared" si="24"/>
        <v>-7.3571128908420702</v>
      </c>
      <c r="H354">
        <f t="shared" si="25"/>
        <v>46.450982658189297</v>
      </c>
    </row>
    <row r="355" spans="1:8">
      <c r="A355">
        <f t="shared" si="22"/>
        <v>47.03</v>
      </c>
      <c r="B355" s="1237">
        <v>352</v>
      </c>
      <c r="C355" s="2556">
        <f t="shared" si="23"/>
        <v>6.1435589670200397</v>
      </c>
      <c r="D355">
        <v>47.03</v>
      </c>
      <c r="G355">
        <f t="shared" si="24"/>
        <v>-6.5453109381518999</v>
      </c>
      <c r="H355">
        <f t="shared" si="25"/>
        <v>46.572307272915999</v>
      </c>
    </row>
    <row r="356" spans="1:8">
      <c r="A356">
        <f t="shared" si="22"/>
        <v>47.03</v>
      </c>
      <c r="B356" s="1237">
        <v>353</v>
      </c>
      <c r="C356" s="2556">
        <f t="shared" si="23"/>
        <v>6.1610122595399801</v>
      </c>
      <c r="D356">
        <v>47.03</v>
      </c>
      <c r="G356">
        <f t="shared" si="24"/>
        <v>-5.7315152203441198</v>
      </c>
      <c r="H356">
        <f t="shared" si="25"/>
        <v>46.679445511691398</v>
      </c>
    </row>
    <row r="357" spans="1:8">
      <c r="A357">
        <f t="shared" si="22"/>
        <v>47.03</v>
      </c>
      <c r="B357" s="1237">
        <v>354</v>
      </c>
      <c r="C357" s="2556">
        <f t="shared" si="23"/>
        <v>6.1784655520599303</v>
      </c>
      <c r="D357">
        <v>47.03</v>
      </c>
      <c r="G357">
        <f t="shared" si="24"/>
        <v>-4.9159736274777401</v>
      </c>
      <c r="H357">
        <f t="shared" si="25"/>
        <v>46.772364739169902</v>
      </c>
    </row>
    <row r="358" spans="1:8">
      <c r="A358">
        <f t="shared" si="22"/>
        <v>47.03</v>
      </c>
      <c r="B358" s="1237">
        <v>355</v>
      </c>
      <c r="C358" s="2556">
        <f t="shared" si="23"/>
        <v>6.1959188445798699</v>
      </c>
      <c r="D358">
        <v>47.03</v>
      </c>
      <c r="G358">
        <f t="shared" si="24"/>
        <v>-4.0989345814223697</v>
      </c>
      <c r="H358">
        <f t="shared" si="25"/>
        <v>46.851036651254802</v>
      </c>
    </row>
    <row r="359" spans="1:8">
      <c r="A359">
        <f t="shared" si="22"/>
        <v>47.03</v>
      </c>
      <c r="B359" s="1237">
        <v>356</v>
      </c>
      <c r="C359" s="2556">
        <f t="shared" si="23"/>
        <v>6.2133721370998103</v>
      </c>
      <c r="D359">
        <v>47.03</v>
      </c>
      <c r="G359">
        <f t="shared" si="24"/>
        <v>-3.2806469601861901</v>
      </c>
      <c r="H359">
        <f t="shared" si="25"/>
        <v>46.915437283719498</v>
      </c>
    </row>
    <row r="360" spans="1:8">
      <c r="A360">
        <f t="shared" si="22"/>
        <v>47.03</v>
      </c>
      <c r="B360" s="1237">
        <v>357</v>
      </c>
      <c r="C360" s="2556">
        <f t="shared" si="23"/>
        <v>6.2308254296197596</v>
      </c>
      <c r="D360">
        <v>47.03</v>
      </c>
      <c r="G360">
        <f t="shared" si="24"/>
        <v>-2.4613600221056702</v>
      </c>
      <c r="H360">
        <f t="shared" si="25"/>
        <v>46.965547019507603</v>
      </c>
    </row>
    <row r="361" spans="1:8">
      <c r="A361">
        <f t="shared" si="22"/>
        <v>47.03</v>
      </c>
      <c r="B361" s="1237">
        <v>358</v>
      </c>
      <c r="C361" s="2556">
        <f t="shared" si="23"/>
        <v>6.2482787221397</v>
      </c>
      <c r="D361">
        <v>47.03</v>
      </c>
      <c r="G361">
        <f t="shared" si="24"/>
        <v>-1.6413233299186101</v>
      </c>
      <c r="H361">
        <f t="shared" si="25"/>
        <v>47.0013505947081</v>
      </c>
    </row>
    <row r="362" spans="1:8">
      <c r="A362">
        <f t="shared" si="22"/>
        <v>47.03</v>
      </c>
      <c r="B362" s="1237">
        <v>359</v>
      </c>
      <c r="C362" s="2556">
        <f t="shared" si="23"/>
        <v>6.2657320146596396</v>
      </c>
      <c r="D362">
        <v>47.03</v>
      </c>
      <c r="G362">
        <f t="shared" si="24"/>
        <v>-0.82078667474548805</v>
      </c>
      <c r="H362">
        <f t="shared" si="25"/>
        <v>47.022837103205099</v>
      </c>
    </row>
    <row r="363" spans="1:8">
      <c r="A363">
        <f t="shared" si="22"/>
        <v>47.03</v>
      </c>
      <c r="B363" s="1237">
        <v>360</v>
      </c>
      <c r="C363" s="2556">
        <f t="shared" si="23"/>
        <v>6.2831853071795898</v>
      </c>
      <c r="D363">
        <v>47.03</v>
      </c>
      <c r="G363">
        <v>0</v>
      </c>
      <c r="H363">
        <f t="shared" si="25"/>
        <v>47.03</v>
      </c>
    </row>
  </sheetData>
  <mergeCells count="2">
    <mergeCell ref="D1:M1"/>
    <mergeCell ref="J5:N6"/>
  </mergeCells>
  <phoneticPr fontId="214" type="noConversion"/>
  <pageMargins left="0.75" right="0.75" top="1" bottom="1" header="0.5" footer="0.5"/>
  <pageSetup paperSize="9" orientation="portrait"/>
  <headerFooter alignWithMargins="0"/>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pageSetUpPr fitToPage="1"/>
  </sheetPr>
  <dimension ref="A1:M42"/>
  <sheetViews>
    <sheetView zoomScale="85" zoomScaleNormal="85" workbookViewId="0">
      <selection sqref="A1:I1"/>
    </sheetView>
  </sheetViews>
  <sheetFormatPr defaultColWidth="8.75" defaultRowHeight="14.25"/>
  <cols>
    <col min="1" max="1" width="25.625" style="77" customWidth="1"/>
    <col min="2" max="3" width="9.5" style="77" customWidth="1"/>
    <col min="4" max="4" width="25.625" style="77" customWidth="1"/>
    <col min="5" max="5" width="10.25" style="77" customWidth="1"/>
    <col min="6" max="6" width="25.625" customWidth="1"/>
    <col min="7" max="7" width="10.75" customWidth="1"/>
    <col min="8" max="8" width="22.75" customWidth="1"/>
    <col min="9" max="9" width="13.75" customWidth="1"/>
    <col min="10" max="10" width="21" customWidth="1"/>
    <col min="11" max="11" width="18.75" customWidth="1"/>
  </cols>
  <sheetData>
    <row r="1" spans="1:13" ht="38.25" customHeight="1">
      <c r="A1" s="4977" t="s">
        <v>111</v>
      </c>
      <c r="B1" s="4977"/>
      <c r="C1" s="4977"/>
      <c r="D1" s="4977"/>
      <c r="E1" s="4977"/>
      <c r="F1" s="4977"/>
      <c r="G1" s="4977"/>
      <c r="H1" s="4977"/>
      <c r="I1" s="4977"/>
      <c r="L1" s="251"/>
      <c r="M1" s="251"/>
    </row>
    <row r="2" spans="1:13" ht="25.5" customHeight="1">
      <c r="A2" s="2538" t="s">
        <v>9976</v>
      </c>
      <c r="B2" s="2539" t="s">
        <v>9977</v>
      </c>
      <c r="C2" s="2539"/>
      <c r="D2" s="2538" t="s">
        <v>9978</v>
      </c>
      <c r="E2" s="2539" t="s">
        <v>9977</v>
      </c>
      <c r="F2" s="2538" t="s">
        <v>9979</v>
      </c>
      <c r="G2" s="2539" t="s">
        <v>9977</v>
      </c>
      <c r="H2" s="2539" t="s">
        <v>9980</v>
      </c>
      <c r="I2" s="2539" t="s">
        <v>9977</v>
      </c>
      <c r="J2" s="4978" t="s">
        <v>9981</v>
      </c>
      <c r="K2" s="4978"/>
    </row>
    <row r="3" spans="1:13" ht="15.75">
      <c r="A3" s="2540" t="s">
        <v>1565</v>
      </c>
      <c r="B3" s="2541" t="s">
        <v>1566</v>
      </c>
      <c r="C3" s="2541"/>
      <c r="D3" s="2542" t="s">
        <v>9982</v>
      </c>
      <c r="E3" s="2541">
        <v>8.9</v>
      </c>
      <c r="F3" s="2543" t="s">
        <v>1655</v>
      </c>
      <c r="G3" s="2541">
        <v>2.7</v>
      </c>
      <c r="H3" s="2543" t="s">
        <v>1625</v>
      </c>
      <c r="I3" s="2541">
        <v>1.74</v>
      </c>
      <c r="J3" s="2551" t="s">
        <v>9983</v>
      </c>
      <c r="K3" s="2552" t="s">
        <v>9984</v>
      </c>
    </row>
    <row r="4" spans="1:13" ht="15">
      <c r="A4" s="2540" t="s">
        <v>1568</v>
      </c>
      <c r="B4" s="2541" t="s">
        <v>9985</v>
      </c>
      <c r="C4" s="2541"/>
      <c r="D4" s="2542" t="s">
        <v>9986</v>
      </c>
      <c r="E4" s="2541">
        <v>8.5</v>
      </c>
      <c r="F4" s="2543" t="s">
        <v>9987</v>
      </c>
      <c r="G4" s="2541">
        <v>2.68</v>
      </c>
      <c r="H4" s="2543" t="s">
        <v>9988</v>
      </c>
      <c r="I4" s="2541">
        <v>1.76</v>
      </c>
      <c r="J4" s="2553" t="s">
        <v>9989</v>
      </c>
      <c r="K4" s="2554">
        <v>1.35</v>
      </c>
    </row>
    <row r="5" spans="1:13" ht="15">
      <c r="A5" s="2540" t="s">
        <v>1571</v>
      </c>
      <c r="B5" s="2541" t="s">
        <v>1572</v>
      </c>
      <c r="C5" s="2541"/>
      <c r="D5" s="2542" t="s">
        <v>9990</v>
      </c>
      <c r="E5" s="2541">
        <v>8.6999999999999993</v>
      </c>
      <c r="F5" s="2542" t="s">
        <v>1660</v>
      </c>
      <c r="G5" s="2541">
        <v>2.67</v>
      </c>
      <c r="H5" s="2542" t="s">
        <v>9991</v>
      </c>
      <c r="I5" s="2541">
        <v>1.78</v>
      </c>
      <c r="J5" s="2553" t="s">
        <v>9992</v>
      </c>
      <c r="K5" s="2554">
        <v>2.15</v>
      </c>
    </row>
    <row r="6" spans="1:13" ht="24">
      <c r="A6" s="2540" t="s">
        <v>9993</v>
      </c>
      <c r="B6" s="2541">
        <v>7.8</v>
      </c>
      <c r="C6" s="2541"/>
      <c r="D6" s="2542" t="s">
        <v>9994</v>
      </c>
      <c r="E6" s="2541">
        <v>8.8000000000000007</v>
      </c>
      <c r="F6" s="2542" t="s">
        <v>9995</v>
      </c>
      <c r="G6" s="2541">
        <v>2.65</v>
      </c>
      <c r="H6" s="2542" t="s">
        <v>1632</v>
      </c>
      <c r="I6" s="2541">
        <v>1.79</v>
      </c>
      <c r="J6" s="2553" t="s">
        <v>9996</v>
      </c>
      <c r="K6" s="2554">
        <v>1.3</v>
      </c>
    </row>
    <row r="7" spans="1:13" ht="15">
      <c r="A7" s="2540" t="s">
        <v>1576</v>
      </c>
      <c r="B7" s="2541">
        <v>7.87</v>
      </c>
      <c r="C7" s="2541"/>
      <c r="D7" s="2542" t="s">
        <v>9997</v>
      </c>
      <c r="E7" s="2541">
        <v>8.5</v>
      </c>
      <c r="F7" s="2542" t="s">
        <v>1664</v>
      </c>
      <c r="G7" s="2541">
        <v>2.64</v>
      </c>
      <c r="H7" s="2542" t="s">
        <v>9998</v>
      </c>
      <c r="I7" s="2541">
        <v>1.8</v>
      </c>
      <c r="J7" s="2553" t="s">
        <v>9999</v>
      </c>
      <c r="K7" s="2554">
        <v>1.425</v>
      </c>
    </row>
    <row r="8" spans="1:13" ht="15">
      <c r="A8" s="2540" t="s">
        <v>1578</v>
      </c>
      <c r="B8" s="2541">
        <v>7.85</v>
      </c>
      <c r="C8" s="2541"/>
      <c r="D8" s="2542" t="s">
        <v>10000</v>
      </c>
      <c r="E8" s="2541">
        <v>8.6999999999999993</v>
      </c>
      <c r="F8" s="2542" t="s">
        <v>1666</v>
      </c>
      <c r="G8" s="2541">
        <v>2.73</v>
      </c>
      <c r="H8" s="2543" t="s">
        <v>1636</v>
      </c>
      <c r="I8" s="2541">
        <v>1.8</v>
      </c>
      <c r="J8" s="2553" t="s">
        <v>10001</v>
      </c>
      <c r="K8" s="2554">
        <v>1.45</v>
      </c>
    </row>
    <row r="9" spans="1:13" ht="15">
      <c r="A9" s="2540" t="s">
        <v>1580</v>
      </c>
      <c r="B9" s="2541">
        <v>7.85</v>
      </c>
      <c r="C9" s="2541"/>
      <c r="D9" s="2542" t="s">
        <v>10002</v>
      </c>
      <c r="E9" s="2541">
        <v>8.8000000000000007</v>
      </c>
      <c r="F9" s="2544" t="s">
        <v>10003</v>
      </c>
      <c r="G9" s="2541">
        <v>2.76</v>
      </c>
      <c r="H9" s="2544" t="s">
        <v>10004</v>
      </c>
      <c r="I9" s="2541">
        <v>4.5</v>
      </c>
      <c r="J9" s="2553" t="s">
        <v>10005</v>
      </c>
      <c r="K9" s="2554">
        <v>1.8</v>
      </c>
    </row>
    <row r="10" spans="1:13" ht="15">
      <c r="A10" s="2540" t="s">
        <v>1582</v>
      </c>
      <c r="B10" s="2541">
        <v>7.85</v>
      </c>
      <c r="C10" s="2541"/>
      <c r="D10" s="2542" t="s">
        <v>10006</v>
      </c>
      <c r="E10" s="2541">
        <v>8.5399999999999991</v>
      </c>
      <c r="F10" s="2542" t="s">
        <v>1671</v>
      </c>
      <c r="G10" s="2541">
        <v>2.73</v>
      </c>
      <c r="H10" s="2543" t="s">
        <v>10007</v>
      </c>
      <c r="I10" s="2541">
        <v>4.45</v>
      </c>
      <c r="J10" s="2553" t="s">
        <v>10008</v>
      </c>
      <c r="K10" s="2554">
        <v>1.1299999999999999</v>
      </c>
    </row>
    <row r="11" spans="1:13" ht="15">
      <c r="A11" s="2540" t="s">
        <v>10009</v>
      </c>
      <c r="B11" s="2541">
        <v>7.85</v>
      </c>
      <c r="C11" s="2541"/>
      <c r="D11" s="2542" t="s">
        <v>10010</v>
      </c>
      <c r="E11" s="2541">
        <v>8.5</v>
      </c>
      <c r="F11" s="4976" t="s">
        <v>10011</v>
      </c>
      <c r="G11" s="4975">
        <v>2.8</v>
      </c>
      <c r="H11" s="2542" t="s">
        <v>1643</v>
      </c>
      <c r="I11" s="2541">
        <v>4.4000000000000004</v>
      </c>
      <c r="J11" s="2553" t="s">
        <v>10012</v>
      </c>
      <c r="K11" s="2554">
        <v>0.93</v>
      </c>
    </row>
    <row r="12" spans="1:13" ht="15">
      <c r="A12" s="2540" t="s">
        <v>1586</v>
      </c>
      <c r="B12" s="2541">
        <v>7.81</v>
      </c>
      <c r="C12" s="2541"/>
      <c r="D12" s="2542" t="s">
        <v>10013</v>
      </c>
      <c r="E12" s="2541">
        <v>8.6</v>
      </c>
      <c r="F12" s="4976"/>
      <c r="G12" s="4975"/>
      <c r="H12" s="2542" t="s">
        <v>10014</v>
      </c>
      <c r="I12" s="2541">
        <v>4.46</v>
      </c>
      <c r="J12" s="2553" t="s">
        <v>10015</v>
      </c>
      <c r="K12" s="2554">
        <v>1.41</v>
      </c>
    </row>
    <row r="13" spans="1:13" ht="15">
      <c r="A13" s="2546" t="s">
        <v>10016</v>
      </c>
      <c r="B13" s="2541">
        <v>7.74</v>
      </c>
      <c r="C13" s="2541"/>
      <c r="D13" s="4980" t="s">
        <v>10017</v>
      </c>
      <c r="E13" s="4975">
        <v>8.5</v>
      </c>
      <c r="F13" s="2542" t="s">
        <v>10018</v>
      </c>
      <c r="G13" s="2541">
        <v>2.78</v>
      </c>
      <c r="H13" s="2542" t="s">
        <v>1648</v>
      </c>
      <c r="I13" s="2541">
        <v>4.5599999999999996</v>
      </c>
      <c r="J13" s="2553" t="s">
        <v>10019</v>
      </c>
      <c r="K13" s="2554">
        <v>1.44</v>
      </c>
    </row>
    <row r="14" spans="1:13" ht="15">
      <c r="A14" s="2546" t="s">
        <v>10020</v>
      </c>
      <c r="B14" s="2541">
        <v>7.82</v>
      </c>
      <c r="C14" s="2541"/>
      <c r="D14" s="4980"/>
      <c r="E14" s="4975"/>
      <c r="F14" s="2542" t="s">
        <v>10021</v>
      </c>
      <c r="G14" s="2541">
        <v>2.84</v>
      </c>
      <c r="H14" s="2542" t="s">
        <v>10022</v>
      </c>
      <c r="I14" s="2541">
        <v>4.8899999999999997</v>
      </c>
      <c r="J14" s="2553" t="s">
        <v>10023</v>
      </c>
      <c r="K14" s="2554"/>
    </row>
    <row r="15" spans="1:13" ht="15">
      <c r="A15" s="2546" t="s">
        <v>10024</v>
      </c>
      <c r="B15" s="2541">
        <v>7.8</v>
      </c>
      <c r="C15" s="2541"/>
      <c r="D15" s="2543" t="s">
        <v>1598</v>
      </c>
      <c r="E15" s="2541">
        <v>8.5</v>
      </c>
      <c r="F15" s="2543" t="s">
        <v>10025</v>
      </c>
      <c r="G15" s="2541">
        <v>2.7</v>
      </c>
      <c r="H15" s="2542" t="s">
        <v>10026</v>
      </c>
      <c r="I15" s="2541">
        <v>4.55</v>
      </c>
      <c r="J15" s="2553" t="s">
        <v>10027</v>
      </c>
      <c r="K15" s="2554">
        <v>1.8</v>
      </c>
    </row>
    <row r="16" spans="1:13" ht="15" customHeight="1">
      <c r="A16" s="4979" t="s">
        <v>10028</v>
      </c>
      <c r="B16" s="4975">
        <v>7.85</v>
      </c>
      <c r="C16" s="2545"/>
      <c r="D16" s="2543" t="s">
        <v>1600</v>
      </c>
      <c r="E16" s="2541">
        <v>8.5</v>
      </c>
      <c r="F16" s="2542" t="s">
        <v>1681</v>
      </c>
      <c r="G16" s="2541">
        <v>2.65</v>
      </c>
      <c r="H16" s="2542" t="s">
        <v>10029</v>
      </c>
      <c r="I16" s="2541">
        <v>4.43</v>
      </c>
      <c r="J16" s="2553" t="s">
        <v>10030</v>
      </c>
      <c r="K16" s="2554">
        <v>1.2</v>
      </c>
    </row>
    <row r="17" spans="1:11" ht="15" customHeight="1">
      <c r="A17" s="4979"/>
      <c r="B17" s="4975"/>
      <c r="C17" s="2545"/>
      <c r="D17" s="2542" t="s">
        <v>10031</v>
      </c>
      <c r="E17" s="2541" t="s">
        <v>10032</v>
      </c>
      <c r="F17" s="2542" t="s">
        <v>1617</v>
      </c>
      <c r="G17" s="2541">
        <v>2.77</v>
      </c>
      <c r="H17" s="2542" t="s">
        <v>1656</v>
      </c>
      <c r="I17" s="2541">
        <v>4.4000000000000004</v>
      </c>
      <c r="J17" s="2553" t="s">
        <v>10033</v>
      </c>
      <c r="K17" s="2554">
        <v>1.4</v>
      </c>
    </row>
    <row r="18" spans="1:11" ht="15" customHeight="1">
      <c r="A18" s="4979"/>
      <c r="B18" s="4975"/>
      <c r="C18" s="2545"/>
      <c r="D18" s="2542" t="s">
        <v>10034</v>
      </c>
      <c r="E18" s="2541">
        <v>8.69</v>
      </c>
      <c r="F18" s="2542" t="s">
        <v>10035</v>
      </c>
      <c r="G18" s="2541">
        <v>2.8</v>
      </c>
      <c r="H18" s="2542" t="s">
        <v>1659</v>
      </c>
      <c r="I18" s="2541">
        <v>4.4800000000000004</v>
      </c>
      <c r="J18" s="2553" t="s">
        <v>10036</v>
      </c>
      <c r="K18" s="2554">
        <v>0.38</v>
      </c>
    </row>
    <row r="19" spans="1:11" ht="15">
      <c r="A19" s="2540" t="s">
        <v>10037</v>
      </c>
      <c r="B19" s="2541">
        <v>7.8</v>
      </c>
      <c r="C19" s="2541"/>
      <c r="D19" s="2542" t="s">
        <v>10038</v>
      </c>
      <c r="E19" s="2541">
        <v>8.82</v>
      </c>
      <c r="F19" s="2543" t="s">
        <v>1621</v>
      </c>
      <c r="G19" s="2541">
        <v>2.85</v>
      </c>
      <c r="H19" s="2542" t="s">
        <v>1661</v>
      </c>
      <c r="I19" s="2541">
        <v>4.5199999999999996</v>
      </c>
      <c r="J19" s="2553" t="s">
        <v>10039</v>
      </c>
      <c r="K19" s="2554">
        <v>1.44</v>
      </c>
    </row>
    <row r="20" spans="1:11" ht="15">
      <c r="A20" s="2540" t="s">
        <v>1599</v>
      </c>
      <c r="B20" s="2541">
        <v>7.65</v>
      </c>
      <c r="C20" s="2541"/>
      <c r="D20" s="4980" t="s">
        <v>10040</v>
      </c>
      <c r="E20" s="4975">
        <v>8.8000000000000007</v>
      </c>
      <c r="F20" s="2542" t="s">
        <v>10041</v>
      </c>
      <c r="G20" s="2541">
        <v>2.75</v>
      </c>
      <c r="H20" s="2542" t="s">
        <v>1663</v>
      </c>
      <c r="I20" s="2541">
        <v>4.53</v>
      </c>
      <c r="J20" s="2553" t="s">
        <v>5346</v>
      </c>
      <c r="K20" s="2554">
        <v>1.38</v>
      </c>
    </row>
    <row r="21" spans="1:11" ht="15">
      <c r="A21" s="2540" t="s">
        <v>10042</v>
      </c>
      <c r="B21" s="2541" t="s">
        <v>10043</v>
      </c>
      <c r="C21" s="2541"/>
      <c r="D21" s="4980"/>
      <c r="E21" s="4975"/>
      <c r="F21" s="2547"/>
      <c r="G21" s="2548"/>
      <c r="H21" s="2543" t="s">
        <v>1665</v>
      </c>
      <c r="I21" s="2541">
        <v>8.85</v>
      </c>
      <c r="J21" s="2551" t="s">
        <v>10044</v>
      </c>
      <c r="K21" s="2552">
        <v>1.18</v>
      </c>
    </row>
    <row r="22" spans="1:11" ht="15">
      <c r="A22" s="2540" t="s">
        <v>10045</v>
      </c>
      <c r="B22" s="2541">
        <v>8.6999999999999993</v>
      </c>
      <c r="C22" s="2541"/>
      <c r="D22" s="2542" t="s">
        <v>10046</v>
      </c>
      <c r="E22" s="2541">
        <v>8.9</v>
      </c>
      <c r="F22" s="2547"/>
      <c r="G22" s="2548"/>
      <c r="H22" s="2543" t="s">
        <v>1667</v>
      </c>
      <c r="I22" s="2541">
        <v>8.85</v>
      </c>
    </row>
    <row r="23" spans="1:11" ht="15">
      <c r="A23" s="2540" t="s">
        <v>1605</v>
      </c>
      <c r="B23" s="2541">
        <v>7.82</v>
      </c>
      <c r="C23" s="2541"/>
      <c r="D23" s="2542" t="s">
        <v>10047</v>
      </c>
      <c r="E23" s="2541" t="s">
        <v>10048</v>
      </c>
      <c r="F23" s="2547"/>
      <c r="G23" s="2548"/>
      <c r="H23" s="2543" t="s">
        <v>1670</v>
      </c>
      <c r="I23" s="2541">
        <v>8.7200000000000006</v>
      </c>
    </row>
    <row r="24" spans="1:11" ht="15">
      <c r="A24" s="2540" t="s">
        <v>1607</v>
      </c>
      <c r="B24" s="2541">
        <v>7.81</v>
      </c>
      <c r="C24" s="2541"/>
      <c r="D24" s="2542" t="s">
        <v>10049</v>
      </c>
      <c r="E24" s="2541">
        <v>8.1999999999999993</v>
      </c>
      <c r="F24" s="2547"/>
      <c r="G24" s="2548"/>
      <c r="H24" s="2544" t="s">
        <v>10050</v>
      </c>
      <c r="I24" s="2541">
        <v>7.15</v>
      </c>
    </row>
    <row r="25" spans="1:11" ht="15" customHeight="1">
      <c r="A25" s="4979" t="s">
        <v>10051</v>
      </c>
      <c r="B25" s="4975">
        <v>7.75</v>
      </c>
      <c r="C25" s="2545"/>
      <c r="D25" s="2542" t="s">
        <v>10052</v>
      </c>
      <c r="E25" s="2541">
        <v>7.8</v>
      </c>
      <c r="F25" s="2547"/>
      <c r="G25" s="2548"/>
      <c r="H25" s="2543" t="s">
        <v>1674</v>
      </c>
      <c r="I25" s="2541">
        <v>6.86</v>
      </c>
    </row>
    <row r="26" spans="1:11" ht="15">
      <c r="A26" s="4979"/>
      <c r="B26" s="4975"/>
      <c r="C26" s="2545"/>
      <c r="D26" s="2542" t="s">
        <v>10053</v>
      </c>
      <c r="E26" s="2541">
        <v>7.6</v>
      </c>
      <c r="F26" s="2547"/>
      <c r="G26" s="2548"/>
      <c r="H26" s="2542" t="s">
        <v>10054</v>
      </c>
      <c r="I26" s="2541">
        <v>6.9</v>
      </c>
    </row>
    <row r="27" spans="1:11" ht="15">
      <c r="A27" s="4979"/>
      <c r="B27" s="4975"/>
      <c r="C27" s="2545"/>
      <c r="D27" s="2542" t="s">
        <v>10055</v>
      </c>
      <c r="E27" s="2541">
        <v>7.5</v>
      </c>
      <c r="F27" s="2547"/>
      <c r="G27" s="2548"/>
      <c r="H27" s="2542" t="s">
        <v>10056</v>
      </c>
      <c r="I27" s="2541">
        <v>6.75</v>
      </c>
    </row>
    <row r="28" spans="1:11" ht="15">
      <c r="A28" s="4979"/>
      <c r="B28" s="4975"/>
      <c r="C28" s="2545"/>
      <c r="D28" s="2542" t="s">
        <v>10057</v>
      </c>
      <c r="E28" s="2541">
        <v>7.46</v>
      </c>
      <c r="F28" s="2547"/>
      <c r="G28" s="2548"/>
      <c r="H28" s="2543" t="s">
        <v>1680</v>
      </c>
      <c r="I28" s="2541">
        <v>11.37</v>
      </c>
    </row>
    <row r="29" spans="1:11" ht="15">
      <c r="A29" s="2546" t="s">
        <v>10058</v>
      </c>
      <c r="B29" s="2541">
        <v>7.7</v>
      </c>
      <c r="C29" s="2541"/>
      <c r="D29" s="2543" t="s">
        <v>1626</v>
      </c>
      <c r="E29" s="2541">
        <v>8.3000000000000007</v>
      </c>
      <c r="F29" s="2547"/>
      <c r="G29" s="2548"/>
      <c r="H29" s="2543" t="s">
        <v>1682</v>
      </c>
      <c r="I29" s="2541">
        <v>11.33</v>
      </c>
    </row>
    <row r="30" spans="1:11" ht="15" customHeight="1">
      <c r="A30" s="4980" t="s">
        <v>10059</v>
      </c>
      <c r="B30" s="4975">
        <v>7.85</v>
      </c>
      <c r="C30" s="2545"/>
      <c r="D30" s="2542" t="s">
        <v>10060</v>
      </c>
      <c r="E30" s="2541">
        <v>8.8000000000000007</v>
      </c>
      <c r="F30" s="2547"/>
      <c r="G30" s="2548"/>
      <c r="H30" s="2547"/>
      <c r="I30" s="2548"/>
    </row>
    <row r="31" spans="1:11" ht="15">
      <c r="A31" s="4980"/>
      <c r="B31" s="4975"/>
      <c r="C31" s="2545"/>
      <c r="D31" s="2542" t="s">
        <v>10061</v>
      </c>
      <c r="E31" s="2541">
        <v>8.4700000000000006</v>
      </c>
      <c r="F31" s="2547"/>
      <c r="G31" s="2548"/>
      <c r="H31" s="2547"/>
      <c r="I31" s="2548"/>
    </row>
    <row r="32" spans="1:11" ht="15">
      <c r="A32" s="2542" t="s">
        <v>10062</v>
      </c>
      <c r="B32" s="2541">
        <v>7.52</v>
      </c>
      <c r="C32" s="2541"/>
      <c r="D32" s="2542" t="s">
        <v>10063</v>
      </c>
      <c r="E32" s="2541">
        <v>8.6</v>
      </c>
      <c r="F32" s="2547"/>
      <c r="G32" s="2548"/>
      <c r="H32" s="2547"/>
      <c r="I32" s="2548"/>
    </row>
    <row r="33" spans="1:9" ht="15">
      <c r="A33" s="2542" t="s">
        <v>10064</v>
      </c>
      <c r="B33" s="2541">
        <v>7.9</v>
      </c>
      <c r="C33" s="2541"/>
      <c r="D33" s="2542" t="s">
        <v>10065</v>
      </c>
      <c r="E33" s="2541">
        <v>8.9</v>
      </c>
      <c r="F33" s="2547"/>
      <c r="G33" s="2548"/>
      <c r="H33" s="2547"/>
      <c r="I33" s="2548"/>
    </row>
    <row r="34" spans="1:9" ht="15">
      <c r="A34" s="2542" t="s">
        <v>1570</v>
      </c>
      <c r="B34" s="2541">
        <v>8.5</v>
      </c>
      <c r="C34" s="2541"/>
      <c r="D34" s="2542" t="s">
        <v>10066</v>
      </c>
      <c r="E34" s="2541">
        <v>8.9</v>
      </c>
      <c r="F34" s="2547"/>
      <c r="G34" s="2548"/>
      <c r="H34" s="2547"/>
      <c r="I34" s="2548"/>
    </row>
    <row r="35" spans="1:9" ht="15">
      <c r="A35" s="2542" t="s">
        <v>1573</v>
      </c>
      <c r="B35" s="2541">
        <v>8</v>
      </c>
      <c r="C35" s="2541"/>
      <c r="D35" s="2542" t="s">
        <v>10067</v>
      </c>
      <c r="E35" s="2541">
        <v>8.8000000000000007</v>
      </c>
      <c r="F35" s="2547"/>
      <c r="G35" s="2548"/>
      <c r="H35" s="2547"/>
      <c r="I35" s="2548"/>
    </row>
    <row r="36" spans="1:9" ht="15">
      <c r="A36" s="2549"/>
      <c r="B36" s="2550"/>
      <c r="C36" s="2550"/>
      <c r="D36" s="2542" t="s">
        <v>10068</v>
      </c>
      <c r="E36" s="2541">
        <v>8.6</v>
      </c>
      <c r="F36" s="2547"/>
      <c r="G36" s="2548"/>
      <c r="H36" s="2547"/>
      <c r="I36" s="2548"/>
    </row>
    <row r="37" spans="1:9" ht="15" customHeight="1">
      <c r="A37" s="2549"/>
      <c r="B37" s="2550"/>
      <c r="C37" s="2550"/>
      <c r="D37" s="4974" t="s">
        <v>10069</v>
      </c>
      <c r="E37" s="4975" t="s">
        <v>10070</v>
      </c>
      <c r="F37" s="2547"/>
      <c r="G37" s="2548"/>
      <c r="H37" s="2547"/>
      <c r="I37" s="2548"/>
    </row>
    <row r="38" spans="1:9">
      <c r="A38" s="2549"/>
      <c r="B38" s="2550"/>
      <c r="C38" s="2550"/>
      <c r="D38" s="4974"/>
      <c r="E38" s="4975"/>
      <c r="F38" s="2547"/>
      <c r="G38" s="2548"/>
      <c r="H38" s="2547"/>
      <c r="I38" s="2548"/>
    </row>
    <row r="39" spans="1:9" ht="15">
      <c r="A39" s="2549"/>
      <c r="B39" s="2550"/>
      <c r="C39" s="2550"/>
      <c r="D39" s="2542" t="s">
        <v>1647</v>
      </c>
      <c r="E39" s="2541">
        <v>8.4</v>
      </c>
      <c r="F39" s="2547"/>
      <c r="G39" s="2548"/>
      <c r="H39" s="2547"/>
      <c r="I39" s="2548"/>
    </row>
    <row r="40" spans="1:9" ht="15">
      <c r="A40" s="2549"/>
      <c r="B40" s="2550"/>
      <c r="C40" s="2550"/>
      <c r="D40" s="2542" t="s">
        <v>1649</v>
      </c>
      <c r="E40" s="2541">
        <v>8.6</v>
      </c>
      <c r="F40" s="2547"/>
      <c r="G40" s="2548"/>
      <c r="H40" s="2547"/>
      <c r="I40" s="2548"/>
    </row>
    <row r="41" spans="1:9" ht="15">
      <c r="A41" s="2549"/>
      <c r="B41" s="2550"/>
      <c r="C41" s="2550"/>
      <c r="D41" s="2542" t="s">
        <v>1651</v>
      </c>
      <c r="E41" s="2541">
        <v>8.6999999999999993</v>
      </c>
      <c r="F41" s="2547"/>
      <c r="G41" s="2548"/>
      <c r="H41" s="2547"/>
      <c r="I41" s="2548"/>
    </row>
    <row r="42" spans="1:9" ht="15">
      <c r="A42" s="2549"/>
      <c r="B42" s="2550"/>
      <c r="C42" s="2550"/>
      <c r="D42" s="2542" t="s">
        <v>1653</v>
      </c>
      <c r="E42" s="2541">
        <v>8.5</v>
      </c>
      <c r="F42" s="2547"/>
      <c r="G42" s="2548"/>
      <c r="H42" s="2547"/>
      <c r="I42" s="2548"/>
    </row>
  </sheetData>
  <mergeCells count="16">
    <mergeCell ref="A1:I1"/>
    <mergeCell ref="J2:K2"/>
    <mergeCell ref="A16:A18"/>
    <mergeCell ref="A25:A28"/>
    <mergeCell ref="A30:A31"/>
    <mergeCell ref="B16:B18"/>
    <mergeCell ref="B25:B28"/>
    <mergeCell ref="B30:B31"/>
    <mergeCell ref="D13:D14"/>
    <mergeCell ref="D20:D21"/>
    <mergeCell ref="G11:G12"/>
    <mergeCell ref="D37:D38"/>
    <mergeCell ref="E13:E14"/>
    <mergeCell ref="E20:E21"/>
    <mergeCell ref="E37:E38"/>
    <mergeCell ref="F11:F12"/>
  </mergeCells>
  <phoneticPr fontId="214" type="noConversion"/>
  <pageMargins left="0.45902777777777798" right="0.45902777777777798" top="0.13888888888888901" bottom="0.13888888888888901" header="0.12916666666666701" footer="0.13888888888888901"/>
  <pageSetup paperSize="9" scale="83" orientation="landscape" verticalDpi="300"/>
  <headerFooter scaleWithDoc="0" alignWithMargins="0"/>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dimension ref="A1:L22"/>
  <sheetViews>
    <sheetView zoomScale="85" zoomScaleNormal="85" workbookViewId="0">
      <selection activeCell="P17" sqref="P17"/>
    </sheetView>
  </sheetViews>
  <sheetFormatPr defaultColWidth="8" defaultRowHeight="13.5"/>
  <cols>
    <col min="1" max="11" width="8" style="2533"/>
    <col min="12" max="12" width="6.75" style="2533"/>
    <col min="13" max="16384" width="8" style="2533"/>
  </cols>
  <sheetData>
    <row r="1" spans="1:12" ht="45" customHeight="1">
      <c r="A1" s="4981" t="s">
        <v>102</v>
      </c>
      <c r="B1" s="4981"/>
      <c r="C1" s="4981"/>
      <c r="D1" s="4981"/>
      <c r="E1" s="4981"/>
      <c r="F1" s="4981"/>
      <c r="G1" s="4981"/>
      <c r="H1" s="4981"/>
      <c r="I1" s="4981"/>
      <c r="J1" s="4981"/>
      <c r="K1" s="4981"/>
      <c r="L1" s="4981"/>
    </row>
    <row r="2" spans="1:12">
      <c r="B2" s="2534" t="s">
        <v>10071</v>
      </c>
    </row>
    <row r="4" spans="1:12">
      <c r="B4" s="2533" t="s">
        <v>10072</v>
      </c>
      <c r="K4" s="2533" t="s">
        <v>10073</v>
      </c>
      <c r="L4" s="2535">
        <f>L13/1000*((L7+L9)*L5*L10+L7*L6*L11+(L8+L9)*L6*L12+1.1*L9*(L5+L6)*L10)</f>
        <v>2.8028</v>
      </c>
    </row>
    <row r="5" spans="1:12">
      <c r="B5" s="2533" t="s">
        <v>10074</v>
      </c>
      <c r="L5" s="2536">
        <v>5</v>
      </c>
    </row>
    <row r="6" spans="1:12">
      <c r="B6" s="2533" t="s">
        <v>10075</v>
      </c>
      <c r="L6" s="2536">
        <v>7</v>
      </c>
    </row>
    <row r="7" spans="1:12">
      <c r="B7" s="2533" t="s">
        <v>10076</v>
      </c>
      <c r="L7" s="2536">
        <v>26</v>
      </c>
    </row>
    <row r="8" spans="1:12">
      <c r="B8" s="2533" t="s">
        <v>10077</v>
      </c>
      <c r="L8" s="2536">
        <v>180</v>
      </c>
    </row>
    <row r="9" spans="1:12">
      <c r="B9" s="2533" t="s">
        <v>10078</v>
      </c>
      <c r="L9" s="2536">
        <v>2</v>
      </c>
    </row>
    <row r="10" spans="1:12">
      <c r="B10" s="2533" t="s">
        <v>10079</v>
      </c>
      <c r="L10" s="2536">
        <v>0.1</v>
      </c>
    </row>
    <row r="11" spans="1:12">
      <c r="B11" s="2533" t="s">
        <v>10080</v>
      </c>
      <c r="L11" s="2536">
        <v>0.08</v>
      </c>
    </row>
    <row r="12" spans="1:12">
      <c r="B12" s="2533" t="s">
        <v>10081</v>
      </c>
      <c r="L12" s="2536">
        <v>0.2</v>
      </c>
    </row>
    <row r="13" spans="1:12">
      <c r="B13" s="2533" t="s">
        <v>10082</v>
      </c>
      <c r="L13" s="2536">
        <v>9.8000000000000007</v>
      </c>
    </row>
    <row r="14" spans="1:12">
      <c r="B14" s="2533" t="s">
        <v>10083</v>
      </c>
      <c r="K14" s="2533" t="s">
        <v>10073</v>
      </c>
      <c r="L14" s="2535">
        <f>L4*L15/60*1.1*1/L16</f>
        <v>1.02769333333333</v>
      </c>
    </row>
    <row r="15" spans="1:12">
      <c r="B15" s="2533" t="s">
        <v>10084</v>
      </c>
      <c r="L15" s="2536">
        <v>15</v>
      </c>
    </row>
    <row r="16" spans="1:12">
      <c r="B16" s="2533" t="s">
        <v>10085</v>
      </c>
      <c r="L16" s="2536">
        <v>0.75</v>
      </c>
    </row>
    <row r="18" spans="2:12">
      <c r="B18" s="2533" t="s">
        <v>10086</v>
      </c>
      <c r="K18" s="2533" t="s">
        <v>10073</v>
      </c>
      <c r="L18" s="2537">
        <f>L4*0.6</f>
        <v>1.6816800000000001</v>
      </c>
    </row>
    <row r="20" spans="2:12">
      <c r="B20" s="2533" t="s">
        <v>10087</v>
      </c>
    </row>
    <row r="21" spans="2:12">
      <c r="B21" s="2533" t="s">
        <v>10088</v>
      </c>
    </row>
    <row r="22" spans="2:12">
      <c r="B22" s="2533" t="s">
        <v>10089</v>
      </c>
    </row>
  </sheetData>
  <mergeCells count="1">
    <mergeCell ref="A1:L1"/>
  </mergeCells>
  <phoneticPr fontId="214" type="noConversion"/>
  <pageMargins left="0.69930555555555596" right="0.69930555555555596" top="0.75" bottom="0.75" header="0.3" footer="0.3"/>
  <pageSetup paperSize="9" orientation="portrait"/>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dimension ref="B1:H28"/>
  <sheetViews>
    <sheetView showGridLines="0" zoomScale="85" zoomScaleNormal="85" workbookViewId="0">
      <selection activeCell="J10" sqref="J10"/>
    </sheetView>
  </sheetViews>
  <sheetFormatPr defaultColWidth="8.875" defaultRowHeight="15"/>
  <cols>
    <col min="1" max="1" width="1.25" style="2517" customWidth="1"/>
    <col min="2" max="2" width="8.875" style="2517"/>
    <col min="3" max="3" width="21.375" style="2517" customWidth="1"/>
    <col min="4" max="4" width="5.625" style="2518" customWidth="1"/>
    <col min="5" max="5" width="9.375" style="2519" customWidth="1"/>
    <col min="6" max="6" width="8.875" style="2517"/>
    <col min="7" max="7" width="0.875" style="2517" customWidth="1"/>
    <col min="8" max="16384" width="8.875" style="2517"/>
  </cols>
  <sheetData>
    <row r="1" spans="2:6" ht="8.25" customHeight="1"/>
    <row r="2" spans="2:6" ht="23.25">
      <c r="B2" s="4982" t="s">
        <v>10090</v>
      </c>
      <c r="C2" s="4983"/>
      <c r="D2" s="4983"/>
      <c r="E2" s="4983"/>
      <c r="F2" s="4983"/>
    </row>
    <row r="4" spans="2:6" ht="20.100000000000001" customHeight="1">
      <c r="B4" s="4984" t="s">
        <v>10091</v>
      </c>
      <c r="C4" s="2520" t="s">
        <v>10092</v>
      </c>
      <c r="D4" s="2521" t="s">
        <v>430</v>
      </c>
      <c r="E4" s="2522">
        <v>20</v>
      </c>
      <c r="F4" s="2523" t="s">
        <v>5816</v>
      </c>
    </row>
    <row r="5" spans="2:6" ht="20.100000000000001" customHeight="1">
      <c r="B5" s="4985"/>
      <c r="C5" s="2524" t="s">
        <v>10093</v>
      </c>
      <c r="D5" s="2521" t="s">
        <v>961</v>
      </c>
      <c r="E5" s="2522">
        <v>2.5</v>
      </c>
      <c r="F5" s="2523"/>
    </row>
    <row r="6" spans="2:6" ht="20.100000000000001" customHeight="1">
      <c r="B6" s="4985"/>
      <c r="C6" s="2520" t="s">
        <v>10094</v>
      </c>
      <c r="D6" s="2521" t="s">
        <v>2524</v>
      </c>
      <c r="E6" s="2522">
        <v>0.16400000000000001</v>
      </c>
      <c r="F6" s="2523" t="s">
        <v>408</v>
      </c>
    </row>
    <row r="7" spans="2:6" ht="20.100000000000001" customHeight="1">
      <c r="B7" s="4985"/>
      <c r="C7" s="2520" t="s">
        <v>10095</v>
      </c>
      <c r="D7" s="2525" t="s">
        <v>10096</v>
      </c>
      <c r="E7" s="2522">
        <v>0.85</v>
      </c>
      <c r="F7" s="2523"/>
    </row>
    <row r="8" spans="2:6" ht="20.100000000000001" customHeight="1">
      <c r="B8" s="4985"/>
      <c r="C8" s="2520" t="s">
        <v>10097</v>
      </c>
      <c r="D8" s="2525" t="s">
        <v>10098</v>
      </c>
      <c r="E8" s="2522">
        <v>0.9</v>
      </c>
      <c r="F8" s="2523"/>
    </row>
    <row r="9" spans="2:6" ht="20.100000000000001" customHeight="1">
      <c r="B9" s="4985"/>
      <c r="C9" s="2520" t="s">
        <v>10099</v>
      </c>
      <c r="D9" s="2521" t="s">
        <v>4654</v>
      </c>
      <c r="E9" s="2522">
        <v>22</v>
      </c>
      <c r="F9" s="2523"/>
    </row>
    <row r="10" spans="2:6" ht="20.100000000000001" customHeight="1">
      <c r="B10" s="4985"/>
      <c r="C10" s="2520" t="s">
        <v>10100</v>
      </c>
      <c r="D10" s="2521" t="s">
        <v>4655</v>
      </c>
      <c r="E10" s="2522">
        <v>23</v>
      </c>
      <c r="F10" s="2523"/>
    </row>
    <row r="11" spans="2:6" ht="20.100000000000001" customHeight="1">
      <c r="B11" s="4985"/>
      <c r="C11" s="2520" t="s">
        <v>10101</v>
      </c>
      <c r="D11" s="2521" t="s">
        <v>515</v>
      </c>
      <c r="E11" s="2522">
        <v>1000</v>
      </c>
      <c r="F11" s="2523" t="s">
        <v>269</v>
      </c>
    </row>
    <row r="12" spans="2:6" ht="20.100000000000001" customHeight="1">
      <c r="B12" s="4985"/>
      <c r="C12" s="2520" t="s">
        <v>10102</v>
      </c>
      <c r="D12" s="2521" t="s">
        <v>516</v>
      </c>
      <c r="E12" s="2522">
        <v>200</v>
      </c>
      <c r="F12" s="2523" t="s">
        <v>269</v>
      </c>
    </row>
    <row r="13" spans="2:6" ht="20.100000000000001" customHeight="1">
      <c r="B13" s="4985"/>
      <c r="C13" s="2520" t="s">
        <v>10103</v>
      </c>
      <c r="D13" s="2521" t="s">
        <v>517</v>
      </c>
      <c r="E13" s="2526">
        <v>150</v>
      </c>
      <c r="F13" s="2523" t="s">
        <v>269</v>
      </c>
    </row>
    <row r="14" spans="2:6" ht="20.100000000000001" customHeight="1">
      <c r="B14" s="4985"/>
      <c r="C14" s="2520" t="s">
        <v>10104</v>
      </c>
      <c r="D14" s="2521" t="s">
        <v>428</v>
      </c>
      <c r="E14" s="2526">
        <v>0.2</v>
      </c>
      <c r="F14" s="2523" t="s">
        <v>471</v>
      </c>
    </row>
    <row r="15" spans="2:6" ht="20.100000000000001" customHeight="1">
      <c r="B15" s="4986"/>
      <c r="C15" s="2520" t="s">
        <v>10105</v>
      </c>
      <c r="D15" s="2525" t="s">
        <v>10106</v>
      </c>
      <c r="E15" s="2526">
        <v>0.25</v>
      </c>
      <c r="F15" s="2523"/>
    </row>
    <row r="16" spans="2:6" s="2516" customFormat="1" ht="6" customHeight="1">
      <c r="B16" s="2527"/>
      <c r="C16" s="2527"/>
      <c r="D16" s="2528"/>
      <c r="E16" s="2529"/>
      <c r="F16" s="2527"/>
    </row>
    <row r="17" spans="2:8" ht="20.100000000000001" customHeight="1">
      <c r="B17" s="4984" t="s">
        <v>10107</v>
      </c>
      <c r="C17" s="2520" t="s">
        <v>10108</v>
      </c>
      <c r="D17" s="2521" t="s">
        <v>10109</v>
      </c>
      <c r="E17" s="2530">
        <f>E4/E5</f>
        <v>8</v>
      </c>
      <c r="F17" s="2523" t="s">
        <v>5816</v>
      </c>
    </row>
    <row r="18" spans="2:8" ht="20.100000000000001" customHeight="1">
      <c r="B18" s="4985"/>
      <c r="C18" s="2520" t="s">
        <v>10110</v>
      </c>
      <c r="D18" s="2521" t="s">
        <v>10111</v>
      </c>
      <c r="E18" s="2530">
        <f>E17/(E6*3.142)</f>
        <v>15.5252984738632</v>
      </c>
      <c r="F18" s="2523" t="s">
        <v>227</v>
      </c>
    </row>
    <row r="19" spans="2:8" ht="20.100000000000001" customHeight="1">
      <c r="B19" s="4985"/>
      <c r="C19" s="2520" t="s">
        <v>10112</v>
      </c>
      <c r="D19" s="2521" t="s">
        <v>1874</v>
      </c>
      <c r="E19" s="2530">
        <f>E17/60/E14</f>
        <v>0.66666666666666696</v>
      </c>
      <c r="F19" s="2523" t="s">
        <v>9922</v>
      </c>
    </row>
    <row r="20" spans="2:8" ht="20.100000000000001" customHeight="1">
      <c r="B20" s="4985"/>
      <c r="C20" s="2520" t="s">
        <v>10113</v>
      </c>
      <c r="D20" s="2521" t="s">
        <v>964</v>
      </c>
      <c r="E20" s="2530">
        <f>E18*3.142/60</f>
        <v>0.81300813008130102</v>
      </c>
      <c r="F20" s="2523" t="s">
        <v>10114</v>
      </c>
    </row>
    <row r="21" spans="2:8" ht="20.100000000000001" customHeight="1">
      <c r="B21" s="4985"/>
      <c r="C21" s="2520" t="s">
        <v>5790</v>
      </c>
      <c r="D21" s="2521" t="s">
        <v>10115</v>
      </c>
      <c r="E21" s="2531">
        <f>E18*E10/E9</f>
        <v>16.230993859038801</v>
      </c>
      <c r="F21" s="2523" t="s">
        <v>227</v>
      </c>
    </row>
    <row r="22" spans="2:8" ht="20.100000000000001" customHeight="1">
      <c r="B22" s="4985"/>
      <c r="C22" s="2520" t="s">
        <v>10116</v>
      </c>
      <c r="D22" s="2521" t="s">
        <v>3877</v>
      </c>
      <c r="E22" s="2530">
        <f>(E11*E19/5+E12*E19)*E6/2</f>
        <v>21.866666666666699</v>
      </c>
      <c r="F22" s="2523" t="s">
        <v>1071</v>
      </c>
      <c r="H22" s="1260"/>
    </row>
    <row r="23" spans="2:8" ht="20.100000000000001" customHeight="1">
      <c r="B23" s="4985"/>
      <c r="C23" s="2520" t="s">
        <v>10117</v>
      </c>
      <c r="D23" s="2521" t="s">
        <v>10118</v>
      </c>
      <c r="E23" s="2530">
        <f>0.5*E13*E20*(E6/2)^2</f>
        <v>0.41</v>
      </c>
      <c r="F23" s="2523" t="s">
        <v>1071</v>
      </c>
    </row>
    <row r="24" spans="2:8" ht="20.100000000000001" customHeight="1">
      <c r="B24" s="4985"/>
      <c r="C24" s="2524" t="s">
        <v>10119</v>
      </c>
      <c r="D24" s="2521" t="s">
        <v>10120</v>
      </c>
      <c r="E24" s="2530">
        <f>E15*(E11+E12)*10*E6/2</f>
        <v>246</v>
      </c>
      <c r="F24" s="2523" t="s">
        <v>1071</v>
      </c>
    </row>
    <row r="25" spans="2:8" ht="20.100000000000001" customHeight="1">
      <c r="B25" s="4985"/>
      <c r="C25" s="2520" t="s">
        <v>10121</v>
      </c>
      <c r="D25" s="2521" t="s">
        <v>10122</v>
      </c>
      <c r="E25" s="2530">
        <f>SUM(E22:E24)</f>
        <v>268.27666666666698</v>
      </c>
      <c r="F25" s="2523" t="s">
        <v>1071</v>
      </c>
    </row>
    <row r="26" spans="2:8" ht="20.100000000000001" customHeight="1">
      <c r="B26" s="4985"/>
      <c r="C26" s="2520" t="s">
        <v>10123</v>
      </c>
      <c r="D26" s="2521" t="s">
        <v>10124</v>
      </c>
      <c r="E26" s="2531">
        <f>E25*E9/(E10*E7*E8)</f>
        <v>335.441129108648</v>
      </c>
      <c r="F26" s="2523" t="s">
        <v>1071</v>
      </c>
    </row>
    <row r="27" spans="2:8" ht="20.100000000000001" customHeight="1">
      <c r="B27" s="4986"/>
      <c r="C27" s="2520" t="s">
        <v>245</v>
      </c>
      <c r="D27" s="2521" t="s">
        <v>445</v>
      </c>
      <c r="E27" s="2531">
        <f>E26*E21/9550</f>
        <v>0.57010920488287897</v>
      </c>
      <c r="F27" s="2523" t="s">
        <v>5779</v>
      </c>
    </row>
    <row r="28" spans="2:8" ht="20.100000000000001" customHeight="1">
      <c r="E28" s="2517"/>
      <c r="H28" s="2532"/>
    </row>
  </sheetData>
  <mergeCells count="3">
    <mergeCell ref="B2:F2"/>
    <mergeCell ref="B4:B15"/>
    <mergeCell ref="B17:B27"/>
  </mergeCells>
  <phoneticPr fontId="214" type="noConversion"/>
  <pageMargins left="0.75" right="0.75" top="1" bottom="1" header="0.5" footer="0.5"/>
  <pageSetup paperSize="9" scale="49" orientation="portrait"/>
  <headerFooter alignWithMargins="0"/>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dimension ref="A1:C22"/>
  <sheetViews>
    <sheetView workbookViewId="0">
      <selection activeCell="D2" sqref="D2"/>
    </sheetView>
  </sheetViews>
  <sheetFormatPr defaultColWidth="8.75" defaultRowHeight="14.25"/>
  <cols>
    <col min="1" max="1" width="14.125" customWidth="1"/>
    <col min="2" max="3" width="10.625" customWidth="1"/>
  </cols>
  <sheetData>
    <row r="1" spans="1:3" ht="8.25" customHeight="1"/>
    <row r="2" spans="1:3" ht="28.5" customHeight="1">
      <c r="A2" s="4987" t="s">
        <v>49</v>
      </c>
      <c r="B2" s="4987"/>
      <c r="C2" s="4987"/>
    </row>
    <row r="3" spans="1:3" ht="18.75" customHeight="1">
      <c r="A3" s="4990" t="s">
        <v>10125</v>
      </c>
      <c r="B3" s="4988" t="s">
        <v>10126</v>
      </c>
      <c r="C3" s="4989"/>
    </row>
    <row r="4" spans="1:3" ht="19.5" customHeight="1">
      <c r="A4" s="4991"/>
      <c r="B4" s="2505" t="s">
        <v>10127</v>
      </c>
      <c r="C4" s="2506" t="s">
        <v>10128</v>
      </c>
    </row>
    <row r="5" spans="1:3" ht="19.5" customHeight="1">
      <c r="A5" s="2507" t="s">
        <v>10129</v>
      </c>
      <c r="B5" s="2508">
        <v>2.65</v>
      </c>
      <c r="C5" s="2509">
        <v>2.6</v>
      </c>
    </row>
    <row r="6" spans="1:3" ht="19.5" customHeight="1">
      <c r="A6" s="2510" t="s">
        <v>10130</v>
      </c>
      <c r="B6" s="2511">
        <v>3.25</v>
      </c>
      <c r="C6" s="2512">
        <v>3.2</v>
      </c>
    </row>
    <row r="7" spans="1:3" ht="19.5" customHeight="1">
      <c r="A7" s="2510" t="s">
        <v>10131</v>
      </c>
      <c r="B7" s="2511">
        <v>3.75</v>
      </c>
      <c r="C7" s="2512">
        <v>3.7</v>
      </c>
    </row>
    <row r="8" spans="1:3" ht="19.5" customHeight="1">
      <c r="A8" s="2510" t="s">
        <v>10132</v>
      </c>
      <c r="B8" s="2511">
        <v>5.0999999999999996</v>
      </c>
      <c r="C8" s="2512">
        <v>5</v>
      </c>
    </row>
    <row r="9" spans="1:3" ht="19.5" customHeight="1">
      <c r="A9" s="2510" t="s">
        <v>10133</v>
      </c>
      <c r="B9" s="2511">
        <v>6.6</v>
      </c>
      <c r="C9" s="2512">
        <v>6.5</v>
      </c>
    </row>
    <row r="10" spans="1:3" ht="19.5" customHeight="1">
      <c r="A10" s="2510" t="s">
        <v>10134</v>
      </c>
      <c r="B10" s="2511">
        <v>8</v>
      </c>
      <c r="C10" s="2512">
        <v>7.9</v>
      </c>
    </row>
    <row r="11" spans="1:3" ht="19.5" customHeight="1">
      <c r="A11" s="2510" t="s">
        <v>10135</v>
      </c>
      <c r="B11" s="2511">
        <v>9.4</v>
      </c>
      <c r="C11" s="2512">
        <v>9.3000000000000007</v>
      </c>
    </row>
    <row r="12" spans="1:3" ht="19.5" customHeight="1">
      <c r="A12" s="2510" t="s">
        <v>10136</v>
      </c>
      <c r="B12" s="2511">
        <v>10.7</v>
      </c>
      <c r="C12" s="2512">
        <v>10.5</v>
      </c>
    </row>
    <row r="13" spans="1:3" ht="19.5" customHeight="1">
      <c r="A13" s="2510" t="s">
        <v>10137</v>
      </c>
      <c r="B13" s="2511">
        <v>12.3</v>
      </c>
      <c r="C13" s="2512">
        <v>12</v>
      </c>
    </row>
    <row r="14" spans="1:3" ht="19.5" customHeight="1">
      <c r="A14" s="2510" t="s">
        <v>10138</v>
      </c>
      <c r="B14" s="2511">
        <v>13.7</v>
      </c>
      <c r="C14" s="2512">
        <v>13.5</v>
      </c>
    </row>
    <row r="15" spans="1:3" ht="19.5" customHeight="1">
      <c r="A15" s="2510" t="s">
        <v>10139</v>
      </c>
      <c r="B15" s="2511">
        <v>16.7</v>
      </c>
      <c r="C15" s="2512">
        <v>16.5</v>
      </c>
    </row>
    <row r="16" spans="1:3" ht="19.5" customHeight="1">
      <c r="A16" s="2510" t="s">
        <v>10140</v>
      </c>
      <c r="B16" s="2511">
        <v>19.5</v>
      </c>
      <c r="C16" s="2512">
        <v>19.3</v>
      </c>
    </row>
    <row r="17" spans="1:3" ht="19.5" customHeight="1">
      <c r="A17" s="2510" t="s">
        <v>10141</v>
      </c>
      <c r="B17" s="2511">
        <v>22.4</v>
      </c>
      <c r="C17" s="2512">
        <v>22</v>
      </c>
    </row>
    <row r="18" spans="1:3" ht="19.5" customHeight="1">
      <c r="A18" s="2510" t="s">
        <v>10142</v>
      </c>
      <c r="B18" s="2511">
        <v>25</v>
      </c>
      <c r="C18" s="2512">
        <v>24.8</v>
      </c>
    </row>
    <row r="19" spans="1:3" ht="19.5" customHeight="1">
      <c r="A19" s="2513" t="s">
        <v>10143</v>
      </c>
      <c r="B19" s="2514">
        <v>28.3</v>
      </c>
      <c r="C19" s="2515">
        <v>28</v>
      </c>
    </row>
    <row r="21" spans="1:3" ht="14.25" customHeight="1"/>
    <row r="22" spans="1:3" ht="14.25" customHeight="1"/>
  </sheetData>
  <mergeCells count="3">
    <mergeCell ref="A2:C2"/>
    <mergeCell ref="B3:C3"/>
    <mergeCell ref="A3:A4"/>
  </mergeCells>
  <phoneticPr fontId="214" type="noConversion"/>
  <pageMargins left="0.75" right="0.75" top="1" bottom="1" header="0.5" footer="0.5"/>
  <headerFooter alignWithMargins="0"/>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0"/>
  <dimension ref="A1:S51"/>
  <sheetViews>
    <sheetView zoomScale="115" zoomScaleNormal="115" workbookViewId="0">
      <selection sqref="A1:N1"/>
    </sheetView>
  </sheetViews>
  <sheetFormatPr defaultColWidth="8.75" defaultRowHeight="14.25"/>
  <cols>
    <col min="1" max="1" width="8.75" style="66"/>
    <col min="2" max="2" width="20.5" style="1260" customWidth="1"/>
    <col min="3" max="3" width="6.25" style="1260" customWidth="1"/>
    <col min="4" max="4" width="8.75" style="1260" customWidth="1"/>
    <col min="5" max="5" width="12.75" style="1260"/>
    <col min="6" max="7" width="8.75" style="1260"/>
    <col min="8" max="8" width="11.5" style="1260" customWidth="1"/>
    <col min="9" max="16384" width="8.75" style="1260"/>
  </cols>
  <sheetData>
    <row r="1" spans="1:18" ht="42" customHeight="1">
      <c r="A1" s="4992" t="s">
        <v>10144</v>
      </c>
      <c r="B1" s="4993"/>
      <c r="C1" s="4992"/>
      <c r="D1" s="4993"/>
      <c r="E1" s="4992"/>
      <c r="F1" s="4992"/>
      <c r="G1" s="4992"/>
      <c r="H1" s="4992"/>
      <c r="I1" s="4992"/>
      <c r="J1" s="4992"/>
      <c r="K1" s="4992"/>
      <c r="L1" s="4992"/>
      <c r="M1" s="4992"/>
      <c r="N1" s="4992"/>
    </row>
    <row r="2" spans="1:18" ht="34.9" customHeight="1">
      <c r="A2" s="2459"/>
      <c r="B2" s="2459" t="s">
        <v>10145</v>
      </c>
      <c r="C2" s="2459" t="s">
        <v>4599</v>
      </c>
      <c r="D2" s="2459" t="s">
        <v>212</v>
      </c>
      <c r="E2" s="2459" t="s">
        <v>213</v>
      </c>
      <c r="F2" s="2459"/>
      <c r="G2" s="2459"/>
      <c r="H2" s="2459"/>
      <c r="I2" s="2459"/>
      <c r="J2" s="2459"/>
      <c r="K2" s="2459"/>
      <c r="L2" s="2459"/>
      <c r="M2" s="2459"/>
      <c r="N2" s="2459"/>
    </row>
    <row r="3" spans="1:18" ht="19.5">
      <c r="A3" s="4998" t="s">
        <v>10146</v>
      </c>
      <c r="B3" s="2460" t="s">
        <v>10147</v>
      </c>
      <c r="C3" s="2461" t="s">
        <v>4599</v>
      </c>
      <c r="D3" s="2461" t="s">
        <v>10148</v>
      </c>
      <c r="E3" s="2462" t="s">
        <v>213</v>
      </c>
      <c r="F3" s="2463"/>
      <c r="G3" s="2463"/>
      <c r="H3" s="2463"/>
      <c r="I3" s="2463"/>
      <c r="J3" s="2463"/>
      <c r="K3" s="2463"/>
      <c r="L3" s="2463"/>
      <c r="M3" s="2463"/>
      <c r="N3" s="2463"/>
    </row>
    <row r="4" spans="1:18" ht="19.5">
      <c r="A4" s="4998"/>
      <c r="B4" s="2464" t="s">
        <v>10149</v>
      </c>
      <c r="C4" s="2465" t="s">
        <v>408</v>
      </c>
      <c r="D4" s="2466">
        <v>50</v>
      </c>
      <c r="E4" s="2467" t="s">
        <v>10150</v>
      </c>
      <c r="F4" s="2468"/>
      <c r="G4" s="2469"/>
      <c r="H4" s="2469"/>
      <c r="I4" s="2469"/>
      <c r="J4" s="2469"/>
      <c r="K4" s="2463"/>
      <c r="L4" s="2463"/>
      <c r="M4" s="2463"/>
      <c r="N4" s="2463"/>
      <c r="O4" s="2463"/>
      <c r="P4" s="2463"/>
      <c r="Q4" s="2463"/>
      <c r="R4" s="2463"/>
    </row>
    <row r="5" spans="1:18" ht="19.149999999999999" customHeight="1">
      <c r="A5" s="4998"/>
      <c r="B5" s="2470" t="s">
        <v>10151</v>
      </c>
      <c r="C5" s="601"/>
      <c r="D5" s="2471">
        <v>3000</v>
      </c>
      <c r="E5" s="2472" t="s">
        <v>10152</v>
      </c>
    </row>
    <row r="6" spans="1:18" ht="19.149999999999999" customHeight="1">
      <c r="A6" s="4998"/>
      <c r="B6" s="2473" t="s">
        <v>10153</v>
      </c>
      <c r="C6" s="2474" t="s">
        <v>10154</v>
      </c>
      <c r="D6" s="2471">
        <v>1</v>
      </c>
      <c r="E6" s="2472" t="s">
        <v>10155</v>
      </c>
    </row>
    <row r="7" spans="1:18">
      <c r="A7" s="4998"/>
      <c r="B7" s="2470" t="s">
        <v>10156</v>
      </c>
      <c r="C7" s="601" t="s">
        <v>10157</v>
      </c>
      <c r="D7" s="2471">
        <v>0.72</v>
      </c>
      <c r="E7" s="2472" t="s">
        <v>235</v>
      </c>
    </row>
    <row r="8" spans="1:18" ht="19.5">
      <c r="A8" s="4998"/>
      <c r="B8" s="2473" t="s">
        <v>10158</v>
      </c>
      <c r="C8" s="2474" t="s">
        <v>10159</v>
      </c>
      <c r="D8" s="2475">
        <v>1</v>
      </c>
      <c r="E8" s="2472" t="s">
        <v>2135</v>
      </c>
      <c r="H8" s="2476" t="s">
        <v>10160</v>
      </c>
      <c r="I8" s="2476" t="s">
        <v>10161</v>
      </c>
      <c r="J8" s="2476">
        <v>7890</v>
      </c>
      <c r="K8" s="2476" t="s">
        <v>10162</v>
      </c>
    </row>
    <row r="9" spans="1:18" ht="19.5">
      <c r="A9" s="4998"/>
      <c r="B9" s="2470" t="s">
        <v>10163</v>
      </c>
      <c r="C9" s="601" t="s">
        <v>10164</v>
      </c>
      <c r="D9" s="2471">
        <v>0.02</v>
      </c>
      <c r="E9" s="2472" t="s">
        <v>235</v>
      </c>
      <c r="H9" s="2476" t="s">
        <v>10165</v>
      </c>
      <c r="I9" s="2476" t="s">
        <v>10166</v>
      </c>
      <c r="J9" s="2476">
        <v>2800</v>
      </c>
      <c r="K9" s="2476" t="s">
        <v>10162</v>
      </c>
    </row>
    <row r="10" spans="1:18">
      <c r="A10" s="4998"/>
      <c r="B10" s="2473" t="s">
        <v>10167</v>
      </c>
      <c r="C10" s="2474" t="s">
        <v>10168</v>
      </c>
      <c r="D10" s="2477">
        <f>(D8*60*D6)/D5</f>
        <v>0.02</v>
      </c>
      <c r="E10" s="2472" t="s">
        <v>235</v>
      </c>
      <c r="H10" s="601" t="s">
        <v>10169</v>
      </c>
      <c r="I10" s="601" t="s">
        <v>10170</v>
      </c>
      <c r="J10" s="601">
        <v>8500</v>
      </c>
      <c r="K10" s="601" t="s">
        <v>10162</v>
      </c>
    </row>
    <row r="11" spans="1:18">
      <c r="A11" s="4998"/>
      <c r="B11" s="2470" t="s">
        <v>10171</v>
      </c>
      <c r="C11" s="601" t="s">
        <v>10172</v>
      </c>
      <c r="D11" s="601">
        <v>0.9</v>
      </c>
      <c r="E11" s="2472"/>
    </row>
    <row r="12" spans="1:18">
      <c r="A12" s="4998"/>
      <c r="B12" s="2473" t="s">
        <v>10173</v>
      </c>
      <c r="C12" s="2474" t="s">
        <v>10174</v>
      </c>
      <c r="D12" s="601">
        <v>1.0000000000000001E-5</v>
      </c>
      <c r="E12" s="2472" t="s">
        <v>10175</v>
      </c>
    </row>
    <row r="13" spans="1:18">
      <c r="A13" s="4998"/>
      <c r="B13" s="2470" t="s">
        <v>5242</v>
      </c>
      <c r="C13" s="601" t="s">
        <v>10176</v>
      </c>
      <c r="D13" s="601">
        <v>0.02</v>
      </c>
      <c r="E13" s="2472"/>
    </row>
    <row r="14" spans="1:18">
      <c r="A14" s="4998"/>
      <c r="B14" s="2473" t="s">
        <v>10177</v>
      </c>
      <c r="C14" s="2474" t="s">
        <v>475</v>
      </c>
      <c r="D14" s="2471">
        <v>15</v>
      </c>
      <c r="E14" s="2472" t="s">
        <v>464</v>
      </c>
    </row>
    <row r="15" spans="1:18">
      <c r="A15" s="4998"/>
      <c r="B15" s="2470" t="s">
        <v>10178</v>
      </c>
      <c r="C15" s="601" t="s">
        <v>2244</v>
      </c>
      <c r="D15" s="601">
        <v>9.8000000000000007</v>
      </c>
      <c r="E15" s="2472" t="s">
        <v>10179</v>
      </c>
    </row>
    <row r="16" spans="1:18">
      <c r="A16" s="4998"/>
      <c r="B16" s="2473" t="s">
        <v>9936</v>
      </c>
      <c r="C16" s="2474" t="s">
        <v>10180</v>
      </c>
      <c r="D16" s="2471">
        <v>0.15</v>
      </c>
      <c r="E16" s="2472" t="s">
        <v>471</v>
      </c>
    </row>
    <row r="17" spans="1:19">
      <c r="A17" s="4998"/>
      <c r="B17" s="2470" t="s">
        <v>9939</v>
      </c>
      <c r="C17" s="601" t="s">
        <v>10181</v>
      </c>
      <c r="D17" s="2471">
        <v>0.56999999999999995</v>
      </c>
      <c r="E17" s="2472" t="s">
        <v>471</v>
      </c>
    </row>
    <row r="18" spans="1:19">
      <c r="A18" s="4998"/>
      <c r="B18" s="2473" t="s">
        <v>10182</v>
      </c>
      <c r="C18" s="2474" t="s">
        <v>10183</v>
      </c>
      <c r="D18" s="2471">
        <v>0.15</v>
      </c>
      <c r="E18" s="2472" t="s">
        <v>471</v>
      </c>
    </row>
    <row r="19" spans="1:19">
      <c r="A19" s="4998"/>
      <c r="B19" s="2478" t="s">
        <v>10184</v>
      </c>
      <c r="C19" s="2479" t="s">
        <v>2520</v>
      </c>
      <c r="D19" s="2480">
        <f>D16+D18+D17</f>
        <v>0.87</v>
      </c>
      <c r="E19" s="2481"/>
    </row>
    <row r="20" spans="1:19">
      <c r="A20" s="4998"/>
      <c r="B20" s="2482" t="s">
        <v>10185</v>
      </c>
      <c r="C20" s="2483" t="s">
        <v>10186</v>
      </c>
      <c r="D20" s="2484">
        <v>1.4</v>
      </c>
      <c r="E20" s="2485" t="s">
        <v>471</v>
      </c>
    </row>
    <row r="21" spans="1:19" s="2458" customFormat="1" ht="33" customHeight="1">
      <c r="A21" s="2486"/>
    </row>
    <row r="22" spans="1:19" ht="39" customHeight="1">
      <c r="A22" s="4994" t="s">
        <v>10187</v>
      </c>
      <c r="B22" s="4995"/>
      <c r="C22" s="4995"/>
      <c r="D22" s="4995"/>
      <c r="E22" s="4995"/>
    </row>
    <row r="23" spans="1:19">
      <c r="B23" s="2487" t="s">
        <v>10188</v>
      </c>
      <c r="C23" s="2488"/>
      <c r="D23" s="2488"/>
      <c r="E23" s="2488"/>
    </row>
    <row r="24" spans="1:19">
      <c r="B24" s="601" t="s">
        <v>10189</v>
      </c>
      <c r="C24" s="601" t="s">
        <v>10190</v>
      </c>
      <c r="E24" s="2109">
        <f>J8*3.14*D9*D9/4*D7</f>
        <v>1.7837711999999999</v>
      </c>
      <c r="F24" s="601" t="s">
        <v>10150</v>
      </c>
    </row>
    <row r="25" spans="1:19">
      <c r="B25" s="601" t="s">
        <v>10191</v>
      </c>
      <c r="C25" s="601" t="s">
        <v>10192</v>
      </c>
      <c r="E25" s="601">
        <f>D12+E24*D9*D9/8+D4*D10*D10/4/3.14/3.14</f>
        <v>6.06308524298754E-4</v>
      </c>
      <c r="F25" s="601" t="s">
        <v>10175</v>
      </c>
    </row>
    <row r="26" spans="1:19">
      <c r="B26" s="601" t="s">
        <v>10193</v>
      </c>
      <c r="C26" s="601" t="s">
        <v>10194</v>
      </c>
      <c r="E26" s="601">
        <v>1.4E-5</v>
      </c>
      <c r="F26" s="601" t="s">
        <v>10175</v>
      </c>
    </row>
    <row r="27" spans="1:19">
      <c r="B27" s="601"/>
      <c r="C27" s="601"/>
      <c r="E27" s="601"/>
      <c r="F27" s="601"/>
    </row>
    <row r="28" spans="1:19">
      <c r="B28" s="2489" t="s">
        <v>10195</v>
      </c>
      <c r="C28" s="2489" t="s">
        <v>10196</v>
      </c>
      <c r="E28" s="2489">
        <f>E25/E26</f>
        <v>43.307751735625303</v>
      </c>
      <c r="F28" s="2489" t="s">
        <v>10197</v>
      </c>
      <c r="M28" s="2504" t="s">
        <v>10198</v>
      </c>
      <c r="N28" s="2504"/>
      <c r="O28" s="2504"/>
      <c r="P28" s="2504"/>
      <c r="Q28" s="2504"/>
      <c r="R28" s="2504"/>
      <c r="S28" s="2504"/>
    </row>
    <row r="29" spans="1:19" s="2458" customFormat="1">
      <c r="A29" s="2486"/>
      <c r="M29" s="2438"/>
      <c r="N29" s="2438"/>
      <c r="O29" s="2438"/>
      <c r="P29" s="2438"/>
      <c r="Q29" s="2438"/>
      <c r="R29" s="2438"/>
      <c r="S29" s="2438"/>
    </row>
    <row r="30" spans="1:19">
      <c r="B30" s="4997" t="s">
        <v>10199</v>
      </c>
      <c r="C30" s="601" t="s">
        <v>1874</v>
      </c>
      <c r="D30" s="2490" t="s">
        <v>1968</v>
      </c>
      <c r="E30" s="601" t="s">
        <v>10200</v>
      </c>
      <c r="F30" s="601"/>
    </row>
    <row r="31" spans="1:19">
      <c r="B31" s="4997"/>
      <c r="C31" s="601"/>
      <c r="D31" s="2490" t="s">
        <v>1968</v>
      </c>
      <c r="E31" s="2491">
        <f>D8/D16</f>
        <v>6.6666666666666696</v>
      </c>
      <c r="F31" s="601" t="s">
        <v>9922</v>
      </c>
    </row>
    <row r="32" spans="1:19" s="2458" customFormat="1">
      <c r="A32" s="2492"/>
      <c r="B32" s="619"/>
      <c r="D32" s="2490"/>
      <c r="E32" s="2493"/>
      <c r="F32" s="2494"/>
    </row>
    <row r="33" spans="1:7">
      <c r="B33" s="4997" t="s">
        <v>10201</v>
      </c>
      <c r="C33" s="601" t="s">
        <v>10202</v>
      </c>
      <c r="D33" s="2490" t="s">
        <v>1968</v>
      </c>
      <c r="E33" s="4996" t="s">
        <v>10203</v>
      </c>
      <c r="F33" s="4996"/>
    </row>
    <row r="34" spans="1:7">
      <c r="B34" s="4997"/>
      <c r="C34" s="601"/>
      <c r="D34" s="2495" t="s">
        <v>1968</v>
      </c>
      <c r="E34" s="2491">
        <f>D4*E31+D4*D15*D13</f>
        <v>343.13333333333298</v>
      </c>
      <c r="F34" s="601" t="s">
        <v>5777</v>
      </c>
      <c r="G34" s="2496"/>
    </row>
    <row r="35" spans="1:7" s="2458" customFormat="1">
      <c r="A35" s="83"/>
      <c r="B35" s="619"/>
      <c r="D35" s="2497"/>
      <c r="E35" s="2498"/>
    </row>
    <row r="36" spans="1:7">
      <c r="B36" s="4997" t="s">
        <v>10204</v>
      </c>
      <c r="C36" s="601" t="s">
        <v>10205</v>
      </c>
      <c r="D36" s="601" t="s">
        <v>1968</v>
      </c>
      <c r="E36" s="4997" t="s">
        <v>10206</v>
      </c>
      <c r="F36" s="4997"/>
    </row>
    <row r="37" spans="1:7">
      <c r="B37" s="4997"/>
      <c r="C37" s="601"/>
      <c r="D37" s="601" t="s">
        <v>1968</v>
      </c>
      <c r="E37" s="2499">
        <f>D4*D15*D13</f>
        <v>9.8000000000000007</v>
      </c>
      <c r="F37" s="601" t="s">
        <v>5777</v>
      </c>
    </row>
    <row r="38" spans="1:7" s="2458" customFormat="1">
      <c r="A38" s="2486"/>
    </row>
    <row r="39" spans="1:7">
      <c r="B39" s="4997" t="s">
        <v>10207</v>
      </c>
      <c r="C39" s="601" t="s">
        <v>10208</v>
      </c>
      <c r="D39" s="2500" t="s">
        <v>1968</v>
      </c>
      <c r="E39" s="4997" t="s">
        <v>10209</v>
      </c>
      <c r="F39" s="4997"/>
    </row>
    <row r="40" spans="1:7" customFormat="1">
      <c r="A40" s="66"/>
      <c r="B40" s="4997"/>
      <c r="C40" s="601"/>
      <c r="D40" s="2500" t="s">
        <v>1968</v>
      </c>
      <c r="E40" s="2491">
        <f>D4*E31-D4*D15*D13</f>
        <v>323.53333333333302</v>
      </c>
      <c r="F40" s="601" t="s">
        <v>5777</v>
      </c>
    </row>
    <row r="41" spans="1:7" s="2458" customFormat="1">
      <c r="A41" s="83"/>
      <c r="D41" s="1279"/>
      <c r="E41" s="2498"/>
    </row>
    <row r="42" spans="1:7">
      <c r="B42" s="2501" t="s">
        <v>10210</v>
      </c>
      <c r="C42" s="2501" t="s">
        <v>10211</v>
      </c>
      <c r="E42" s="2502">
        <f>D10*(D13*D15*D4+D14)/2/3.14/D11</f>
        <v>8.7756546355272497E-2</v>
      </c>
      <c r="F42" s="2501" t="s">
        <v>5777</v>
      </c>
    </row>
    <row r="43" spans="1:7" s="2458" customFormat="1">
      <c r="A43" s="2486"/>
      <c r="E43" s="2498"/>
    </row>
    <row r="44" spans="1:7" s="2458" customFormat="1">
      <c r="A44" s="2486"/>
      <c r="D44" s="2497"/>
      <c r="E44" s="2498"/>
    </row>
    <row r="45" spans="1:7">
      <c r="B45" s="601"/>
      <c r="C45" s="601"/>
      <c r="D45" s="601"/>
      <c r="E45" s="601"/>
    </row>
    <row r="46" spans="1:7">
      <c r="B46" s="601" t="s">
        <v>10212</v>
      </c>
      <c r="C46" s="601" t="s">
        <v>10213</v>
      </c>
      <c r="D46" s="2477">
        <f>E34</f>
        <v>343.13333333333298</v>
      </c>
      <c r="E46" s="601" t="s">
        <v>5777</v>
      </c>
    </row>
    <row r="47" spans="1:7">
      <c r="B47" s="601"/>
      <c r="C47" s="601"/>
      <c r="D47" s="601"/>
      <c r="E47" s="601"/>
    </row>
    <row r="48" spans="1:7">
      <c r="B48" s="601" t="s">
        <v>10214</v>
      </c>
      <c r="C48" s="601" t="s">
        <v>10215</v>
      </c>
      <c r="D48" s="2500" t="e">
        <f>SQRT((E34*E34*D16+E42*E42*D17+D39*D39*D18)/D20)</f>
        <v>#VALUE!</v>
      </c>
      <c r="E48" s="601" t="s">
        <v>5777</v>
      </c>
    </row>
    <row r="49" spans="2:7">
      <c r="B49" s="601"/>
      <c r="C49" s="601"/>
      <c r="D49" s="601"/>
      <c r="E49" s="601"/>
      <c r="F49" s="2433" t="s">
        <v>10216</v>
      </c>
      <c r="G49" s="2433"/>
    </row>
    <row r="50" spans="2:7">
      <c r="B50" s="601" t="s">
        <v>729</v>
      </c>
      <c r="C50" s="601" t="s">
        <v>464</v>
      </c>
      <c r="D50" s="2503">
        <f>D8/D10</f>
        <v>50</v>
      </c>
      <c r="E50" s="601" t="s">
        <v>10217</v>
      </c>
    </row>
    <row r="51" spans="2:7">
      <c r="B51" s="601" t="s">
        <v>5807</v>
      </c>
      <c r="C51" s="601" t="s">
        <v>464</v>
      </c>
      <c r="D51" s="2109">
        <f>D50*60</f>
        <v>3000</v>
      </c>
      <c r="E51" s="601" t="s">
        <v>5773</v>
      </c>
    </row>
  </sheetData>
  <mergeCells count="10">
    <mergeCell ref="A1:N1"/>
    <mergeCell ref="A22:E22"/>
    <mergeCell ref="E33:F33"/>
    <mergeCell ref="E36:F36"/>
    <mergeCell ref="E39:F39"/>
    <mergeCell ref="A3:A20"/>
    <mergeCell ref="B30:B31"/>
    <mergeCell ref="B33:B34"/>
    <mergeCell ref="B36:B37"/>
    <mergeCell ref="B39:B40"/>
  </mergeCells>
  <phoneticPr fontId="214" type="noConversion"/>
  <pageMargins left="0.75" right="0.75" top="1" bottom="1" header="0.5" footer="0.5"/>
  <pageSetup paperSize="9" orientation="portrait"/>
  <headerFooter alignWithMargins="0"/>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1"/>
  <dimension ref="A1:IU146"/>
  <sheetViews>
    <sheetView zoomScale="115" zoomScaleNormal="115" workbookViewId="0">
      <selection sqref="A1:C1"/>
    </sheetView>
  </sheetViews>
  <sheetFormatPr defaultColWidth="9" defaultRowHeight="14.25"/>
  <cols>
    <col min="1" max="1" width="30.75" style="2440" customWidth="1"/>
    <col min="2" max="2" width="25.375" style="2440" customWidth="1"/>
    <col min="3" max="3" width="15.5" style="2440" customWidth="1"/>
    <col min="4" max="255" width="9" style="2440"/>
    <col min="256" max="16384" width="9" style="105"/>
  </cols>
  <sheetData>
    <row r="1" spans="1:11" ht="49.15" customHeight="1">
      <c r="A1" s="4999" t="s">
        <v>10218</v>
      </c>
      <c r="B1" s="5000"/>
      <c r="C1" s="5000"/>
    </row>
    <row r="2" spans="1:11" s="105" customFormat="1" ht="13.15" customHeight="1">
      <c r="A2" s="2441"/>
      <c r="B2" s="2441"/>
    </row>
    <row r="3" spans="1:11" ht="22.15" customHeight="1">
      <c r="A3" s="2442" t="s">
        <v>10219</v>
      </c>
      <c r="B3" s="2443">
        <v>0.75</v>
      </c>
      <c r="C3" s="2444" t="s">
        <v>10220</v>
      </c>
    </row>
    <row r="4" spans="1:11" ht="16.149999999999999" customHeight="1">
      <c r="A4" s="2442" t="s">
        <v>10221</v>
      </c>
      <c r="B4" s="2443">
        <v>1380</v>
      </c>
      <c r="C4" s="2444" t="s">
        <v>10220</v>
      </c>
    </row>
    <row r="5" spans="1:11" ht="19.149999999999999" customHeight="1">
      <c r="A5" s="2442" t="s">
        <v>10153</v>
      </c>
      <c r="B5" s="2443">
        <v>30</v>
      </c>
      <c r="C5" s="2444"/>
    </row>
    <row r="6" spans="1:11" ht="19.899999999999999" customHeight="1">
      <c r="A6" s="2442" t="s">
        <v>10222</v>
      </c>
      <c r="B6" s="2445">
        <f>9550*B3/B4*B5</f>
        <v>155.70652173913001</v>
      </c>
      <c r="C6" s="2446" t="s">
        <v>10223</v>
      </c>
    </row>
    <row r="7" spans="1:11" s="105" customFormat="1" ht="19.5">
      <c r="A7" s="2447"/>
      <c r="B7" s="2448"/>
    </row>
    <row r="8" spans="1:11" s="2439" customFormat="1" ht="24" customHeight="1">
      <c r="A8" s="2449" t="s">
        <v>10224</v>
      </c>
      <c r="B8" s="2450"/>
    </row>
    <row r="9" spans="1:11" ht="16.149999999999999" customHeight="1">
      <c r="A9" s="2451" t="s">
        <v>10225</v>
      </c>
      <c r="B9" s="2452"/>
    </row>
    <row r="10" spans="1:11" ht="19.5">
      <c r="A10" s="2453" t="s">
        <v>10226</v>
      </c>
      <c r="B10" s="2454"/>
    </row>
    <row r="11" spans="1:11" ht="19.5">
      <c r="A11" s="2449" t="s">
        <v>10227</v>
      </c>
      <c r="B11" s="2455"/>
    </row>
    <row r="12" spans="1:11" ht="30" customHeight="1">
      <c r="A12" s="2456" t="s">
        <v>10228</v>
      </c>
    </row>
    <row r="13" spans="1:11">
      <c r="A13" s="2457"/>
      <c r="B13" s="2457"/>
      <c r="C13" s="2457"/>
      <c r="D13" s="2457"/>
      <c r="E13" s="2457"/>
      <c r="F13" s="2457"/>
      <c r="G13" s="2457"/>
      <c r="H13" s="2457"/>
      <c r="I13" s="2457"/>
      <c r="J13" s="2457"/>
      <c r="K13" s="2457"/>
    </row>
    <row r="14" spans="1:11">
      <c r="A14" s="2457"/>
      <c r="B14" s="2457"/>
      <c r="C14" s="2457"/>
      <c r="D14" s="2457"/>
      <c r="E14" s="2457"/>
      <c r="F14" s="2457"/>
      <c r="G14" s="2457"/>
      <c r="H14" s="2457"/>
      <c r="I14" s="2457"/>
      <c r="J14" s="2457"/>
      <c r="K14" s="2457"/>
    </row>
    <row r="15" spans="1:11">
      <c r="A15" s="2457"/>
      <c r="B15" s="2457"/>
      <c r="C15" s="2457"/>
      <c r="D15" s="2457"/>
      <c r="E15" s="2457"/>
      <c r="F15" s="2457"/>
      <c r="G15" s="2457"/>
      <c r="H15" s="2457"/>
      <c r="I15" s="2457"/>
      <c r="J15" s="2457"/>
      <c r="K15" s="2457"/>
    </row>
    <row r="16" spans="1:11">
      <c r="A16" s="2457"/>
      <c r="B16" s="2457"/>
      <c r="C16" s="2457"/>
      <c r="D16" s="2457"/>
      <c r="E16" s="2457"/>
      <c r="F16" s="2457"/>
      <c r="G16" s="2457"/>
      <c r="H16" s="2457"/>
      <c r="I16" s="2457"/>
      <c r="J16" s="2457"/>
      <c r="K16" s="2457"/>
    </row>
    <row r="17" spans="1:11">
      <c r="A17" s="2457"/>
      <c r="B17" s="2457"/>
      <c r="C17" s="2457"/>
      <c r="D17" s="2457"/>
      <c r="E17" s="2457"/>
      <c r="F17" s="2457"/>
      <c r="G17" s="2457"/>
      <c r="H17" s="2457"/>
      <c r="I17" s="2457"/>
      <c r="J17" s="2457"/>
      <c r="K17" s="2457"/>
    </row>
    <row r="18" spans="1:11">
      <c r="A18" s="2457"/>
      <c r="B18" s="2457"/>
      <c r="C18" s="2457"/>
      <c r="D18" s="2457"/>
      <c r="E18" s="2457"/>
      <c r="F18" s="2457"/>
      <c r="G18" s="2457"/>
      <c r="H18" s="2457"/>
      <c r="I18" s="2457"/>
      <c r="J18" s="2457"/>
      <c r="K18" s="2457"/>
    </row>
    <row r="19" spans="1:11">
      <c r="A19" s="2457"/>
      <c r="B19" s="2457"/>
      <c r="C19" s="2457"/>
      <c r="D19" s="2457"/>
      <c r="E19" s="2457"/>
      <c r="F19" s="2457"/>
      <c r="G19" s="2457"/>
      <c r="H19" s="2457"/>
      <c r="I19" s="2457"/>
      <c r="J19" s="2457"/>
      <c r="K19" s="2457"/>
    </row>
    <row r="20" spans="1:11">
      <c r="A20" s="2457"/>
      <c r="B20" s="2457"/>
      <c r="C20" s="2457"/>
      <c r="D20" s="2457"/>
      <c r="E20" s="2457"/>
      <c r="F20" s="2457"/>
      <c r="G20" s="2457"/>
      <c r="H20" s="2457"/>
      <c r="I20" s="2457"/>
      <c r="J20" s="2457"/>
      <c r="K20" s="2457"/>
    </row>
    <row r="21" spans="1:11">
      <c r="A21" s="2457"/>
      <c r="B21" s="2457"/>
      <c r="C21" s="2457"/>
      <c r="D21" s="2457"/>
      <c r="E21" s="2457"/>
      <c r="F21" s="2457"/>
      <c r="G21" s="2457"/>
      <c r="H21" s="2457"/>
      <c r="I21" s="2457"/>
      <c r="J21" s="2457"/>
      <c r="K21" s="2457"/>
    </row>
    <row r="22" spans="1:11">
      <c r="A22" s="2457"/>
      <c r="B22" s="2457"/>
      <c r="C22" s="2457"/>
      <c r="D22" s="2457"/>
      <c r="E22" s="2457"/>
      <c r="F22" s="2457"/>
      <c r="G22" s="2457"/>
      <c r="H22" s="2457"/>
      <c r="I22" s="2457"/>
      <c r="J22" s="2457"/>
      <c r="K22" s="2457"/>
    </row>
    <row r="23" spans="1:11">
      <c r="A23" s="2457"/>
      <c r="B23" s="2457"/>
      <c r="C23" s="2457"/>
      <c r="D23" s="2457"/>
      <c r="E23" s="2457"/>
      <c r="F23" s="2457"/>
      <c r="G23" s="2457"/>
      <c r="H23" s="2457"/>
      <c r="I23" s="2457"/>
      <c r="J23" s="2457"/>
      <c r="K23" s="2457"/>
    </row>
    <row r="24" spans="1:11">
      <c r="A24" s="2457"/>
      <c r="B24" s="2457"/>
      <c r="C24" s="2457"/>
      <c r="D24" s="2457"/>
      <c r="E24" s="2457"/>
      <c r="F24" s="2457"/>
      <c r="G24" s="2457"/>
      <c r="H24" s="2457"/>
      <c r="I24" s="2457"/>
      <c r="J24" s="2457"/>
      <c r="K24" s="2457"/>
    </row>
    <row r="25" spans="1:11">
      <c r="A25" s="2457"/>
      <c r="B25" s="2457"/>
      <c r="C25" s="2457"/>
      <c r="D25" s="2457"/>
      <c r="E25" s="2457"/>
      <c r="F25" s="2457"/>
      <c r="G25" s="2457"/>
      <c r="H25" s="2457"/>
      <c r="I25" s="2457"/>
      <c r="J25" s="2457"/>
      <c r="K25" s="2457"/>
    </row>
    <row r="26" spans="1:11">
      <c r="A26" s="2457"/>
      <c r="B26" s="2457"/>
      <c r="C26" s="2457"/>
      <c r="D26" s="2457"/>
      <c r="E26" s="2457"/>
      <c r="F26" s="2457"/>
      <c r="G26" s="2457"/>
      <c r="H26" s="2457"/>
      <c r="I26" s="2457"/>
      <c r="J26" s="2457"/>
      <c r="K26" s="2457"/>
    </row>
    <row r="27" spans="1:11">
      <c r="A27" s="2457"/>
      <c r="B27" s="2457"/>
      <c r="C27" s="2457"/>
      <c r="D27" s="2457"/>
      <c r="E27" s="2457"/>
      <c r="F27" s="2457"/>
      <c r="G27" s="2457"/>
      <c r="H27" s="2457"/>
      <c r="I27" s="2457"/>
      <c r="J27" s="2457"/>
      <c r="K27" s="2457"/>
    </row>
    <row r="28" spans="1:11">
      <c r="A28" s="2457"/>
      <c r="B28" s="2457"/>
      <c r="C28" s="2457"/>
      <c r="D28" s="2457"/>
      <c r="E28" s="2457"/>
      <c r="F28" s="2457"/>
      <c r="G28" s="2457"/>
      <c r="H28" s="2457"/>
      <c r="I28" s="2457"/>
      <c r="J28" s="2457"/>
      <c r="K28" s="2457"/>
    </row>
    <row r="29" spans="1:11">
      <c r="A29" s="2457"/>
      <c r="B29" s="2457"/>
      <c r="C29" s="2457"/>
      <c r="D29" s="2457"/>
      <c r="E29" s="2457"/>
      <c r="F29" s="2457"/>
      <c r="G29" s="2457"/>
      <c r="H29" s="2457"/>
      <c r="I29" s="2457"/>
      <c r="J29" s="2457"/>
      <c r="K29" s="2457"/>
    </row>
    <row r="30" spans="1:11">
      <c r="A30" s="2457"/>
      <c r="B30" s="2457"/>
      <c r="C30" s="2457"/>
      <c r="D30" s="2457"/>
      <c r="E30" s="2457"/>
      <c r="F30" s="2457"/>
      <c r="G30" s="2457"/>
      <c r="H30" s="2457"/>
      <c r="I30" s="2457"/>
      <c r="J30" s="2457"/>
      <c r="K30" s="2457"/>
    </row>
    <row r="31" spans="1:11">
      <c r="A31" s="2457"/>
      <c r="B31" s="2457"/>
      <c r="C31" s="2457"/>
      <c r="D31" s="2457"/>
      <c r="E31" s="2457"/>
      <c r="F31" s="2457"/>
      <c r="G31" s="2457"/>
      <c r="H31" s="2457"/>
      <c r="I31" s="2457"/>
      <c r="J31" s="2457"/>
      <c r="K31" s="2457"/>
    </row>
    <row r="32" spans="1:11">
      <c r="A32" s="2457"/>
      <c r="B32" s="2457"/>
      <c r="C32" s="2457"/>
      <c r="D32" s="2457"/>
      <c r="E32" s="2457"/>
      <c r="F32" s="2457"/>
      <c r="G32" s="2457"/>
      <c r="H32" s="2457"/>
      <c r="I32" s="2457"/>
      <c r="J32" s="2457"/>
      <c r="K32" s="2457"/>
    </row>
    <row r="33" spans="1:11">
      <c r="A33" s="2457"/>
      <c r="B33" s="2457"/>
      <c r="C33" s="2457"/>
      <c r="D33" s="2457"/>
      <c r="E33" s="2457"/>
      <c r="F33" s="2457"/>
      <c r="G33" s="2457"/>
      <c r="H33" s="2457"/>
      <c r="I33" s="2457"/>
      <c r="J33" s="2457"/>
      <c r="K33" s="2457"/>
    </row>
    <row r="34" spans="1:11">
      <c r="A34" s="2457"/>
      <c r="B34" s="2457"/>
      <c r="C34" s="2457"/>
      <c r="D34" s="2457"/>
      <c r="E34" s="2457"/>
      <c r="F34" s="2457"/>
      <c r="G34" s="2457"/>
      <c r="H34" s="2457"/>
      <c r="I34" s="2457"/>
      <c r="J34" s="2457"/>
      <c r="K34" s="2457"/>
    </row>
    <row r="35" spans="1:11">
      <c r="A35" s="2457"/>
      <c r="B35" s="2457"/>
      <c r="C35" s="2457"/>
      <c r="D35" s="2457"/>
      <c r="E35" s="2457"/>
      <c r="F35" s="2457"/>
      <c r="G35" s="2457"/>
      <c r="H35" s="2457"/>
      <c r="I35" s="2457"/>
      <c r="J35" s="2457"/>
      <c r="K35" s="2457"/>
    </row>
    <row r="36" spans="1:11">
      <c r="A36" s="2457"/>
      <c r="B36" s="2457"/>
      <c r="C36" s="2457"/>
      <c r="D36" s="2457"/>
      <c r="E36" s="2457"/>
      <c r="F36" s="2457"/>
      <c r="G36" s="2457"/>
      <c r="H36" s="2457"/>
      <c r="I36" s="2457"/>
      <c r="J36" s="2457"/>
      <c r="K36" s="2457"/>
    </row>
    <row r="37" spans="1:11">
      <c r="A37" s="2457"/>
      <c r="B37" s="2457"/>
      <c r="C37" s="2457"/>
      <c r="D37" s="2457"/>
      <c r="E37" s="2457"/>
      <c r="F37" s="2457"/>
      <c r="G37" s="2457"/>
      <c r="H37" s="2457"/>
      <c r="I37" s="2457"/>
      <c r="J37" s="2457"/>
      <c r="K37" s="2457"/>
    </row>
    <row r="38" spans="1:11">
      <c r="A38" s="2457"/>
      <c r="B38" s="2457"/>
      <c r="C38" s="2457"/>
      <c r="D38" s="2457"/>
      <c r="E38" s="2457"/>
      <c r="F38" s="2457"/>
      <c r="G38" s="2457"/>
      <c r="H38" s="2457"/>
      <c r="I38" s="2457"/>
      <c r="J38" s="2457"/>
      <c r="K38" s="2457"/>
    </row>
    <row r="39" spans="1:11">
      <c r="A39" s="2457"/>
      <c r="B39" s="2457"/>
      <c r="C39" s="2457"/>
      <c r="D39" s="2457"/>
      <c r="E39" s="2457"/>
      <c r="F39" s="2457"/>
      <c r="G39" s="2457"/>
      <c r="H39" s="2457"/>
      <c r="I39" s="2457"/>
      <c r="J39" s="2457"/>
      <c r="K39" s="2457"/>
    </row>
    <row r="40" spans="1:11">
      <c r="A40" s="2457"/>
      <c r="B40" s="2457"/>
      <c r="C40" s="2457"/>
      <c r="D40" s="2457"/>
      <c r="E40" s="2457"/>
      <c r="F40" s="2457"/>
      <c r="G40" s="2457"/>
      <c r="H40" s="2457"/>
      <c r="I40" s="2457"/>
      <c r="J40" s="2457"/>
      <c r="K40" s="2457"/>
    </row>
    <row r="41" spans="1:11">
      <c r="A41" s="2457"/>
      <c r="B41" s="2457"/>
      <c r="C41" s="2457"/>
      <c r="D41" s="2457"/>
      <c r="E41" s="2457"/>
      <c r="F41" s="2457"/>
      <c r="G41" s="2457"/>
      <c r="H41" s="2457"/>
      <c r="I41" s="2457"/>
      <c r="J41" s="2457"/>
      <c r="K41" s="2457"/>
    </row>
    <row r="42" spans="1:11">
      <c r="A42" s="2457"/>
      <c r="B42" s="2457"/>
      <c r="C42" s="2457"/>
      <c r="D42" s="2457"/>
      <c r="E42" s="2457"/>
      <c r="F42" s="2457"/>
      <c r="G42" s="2457"/>
      <c r="H42" s="2457"/>
      <c r="I42" s="2457"/>
      <c r="J42" s="2457"/>
      <c r="K42" s="2457"/>
    </row>
    <row r="43" spans="1:11">
      <c r="A43" s="2457"/>
      <c r="B43" s="2457"/>
      <c r="C43" s="2457"/>
      <c r="D43" s="2457"/>
      <c r="E43" s="2457"/>
      <c r="F43" s="2457"/>
      <c r="G43" s="2457"/>
      <c r="H43" s="2457"/>
      <c r="I43" s="2457"/>
      <c r="J43" s="2457"/>
      <c r="K43" s="2457"/>
    </row>
    <row r="44" spans="1:11">
      <c r="A44" s="2457"/>
      <c r="B44" s="2457"/>
      <c r="C44" s="2457"/>
      <c r="D44" s="2457"/>
      <c r="E44" s="2457"/>
      <c r="F44" s="2457"/>
      <c r="G44" s="2457"/>
      <c r="H44" s="2457"/>
      <c r="I44" s="2457"/>
      <c r="J44" s="2457"/>
      <c r="K44" s="2457"/>
    </row>
    <row r="45" spans="1:11">
      <c r="A45" s="2457"/>
      <c r="B45" s="2457"/>
      <c r="C45" s="2457"/>
      <c r="D45" s="2457"/>
      <c r="E45" s="2457"/>
      <c r="F45" s="2457"/>
      <c r="G45" s="2457"/>
      <c r="H45" s="2457"/>
      <c r="I45" s="2457"/>
      <c r="J45" s="2457"/>
      <c r="K45" s="2457"/>
    </row>
    <row r="46" spans="1:11">
      <c r="A46" s="2457"/>
      <c r="B46" s="2457"/>
      <c r="C46" s="2457"/>
      <c r="D46" s="2457"/>
      <c r="E46" s="2457"/>
      <c r="F46" s="2457"/>
      <c r="G46" s="2457"/>
      <c r="H46" s="2457"/>
      <c r="I46" s="2457"/>
      <c r="J46" s="2457"/>
      <c r="K46" s="2457"/>
    </row>
    <row r="47" spans="1:11">
      <c r="A47" s="2457"/>
      <c r="B47" s="2457"/>
      <c r="C47" s="2457"/>
      <c r="D47" s="2457"/>
      <c r="E47" s="2457"/>
      <c r="F47" s="2457"/>
      <c r="G47" s="2457"/>
      <c r="H47" s="2457"/>
      <c r="I47" s="2457"/>
      <c r="J47" s="2457"/>
      <c r="K47" s="2457"/>
    </row>
    <row r="48" spans="1:11">
      <c r="A48" s="2457"/>
      <c r="B48" s="2457"/>
      <c r="C48" s="2457"/>
      <c r="D48" s="2457"/>
      <c r="E48" s="2457"/>
      <c r="F48" s="2457"/>
      <c r="G48" s="2457"/>
      <c r="H48" s="2457"/>
      <c r="I48" s="2457"/>
      <c r="J48" s="2457"/>
      <c r="K48" s="2457"/>
    </row>
    <row r="49" spans="1:11">
      <c r="A49" s="2457"/>
      <c r="B49" s="2457"/>
      <c r="C49" s="2457"/>
      <c r="D49" s="2457"/>
      <c r="E49" s="2457"/>
      <c r="F49" s="2457"/>
      <c r="G49" s="2457"/>
      <c r="H49" s="2457"/>
      <c r="I49" s="2457"/>
      <c r="J49" s="2457"/>
      <c r="K49" s="2457"/>
    </row>
    <row r="50" spans="1:11">
      <c r="A50" s="2457"/>
      <c r="B50" s="2457"/>
      <c r="C50" s="2457"/>
      <c r="D50" s="2457"/>
      <c r="E50" s="2457"/>
      <c r="F50" s="2457"/>
      <c r="G50" s="2457"/>
      <c r="H50" s="2457"/>
      <c r="I50" s="2457"/>
      <c r="J50" s="2457"/>
      <c r="K50" s="2457"/>
    </row>
    <row r="51" spans="1:11">
      <c r="A51" s="2457"/>
      <c r="B51" s="2457"/>
      <c r="C51" s="2457"/>
      <c r="D51" s="2457"/>
      <c r="E51" s="2457"/>
      <c r="F51" s="2457"/>
      <c r="G51" s="2457"/>
      <c r="H51" s="2457"/>
      <c r="I51" s="2457"/>
      <c r="J51" s="2457"/>
      <c r="K51" s="2457"/>
    </row>
    <row r="52" spans="1:11">
      <c r="A52" s="2457"/>
      <c r="B52" s="2457"/>
      <c r="C52" s="2457"/>
      <c r="D52" s="2457"/>
      <c r="E52" s="2457"/>
      <c r="F52" s="2457"/>
      <c r="G52" s="2457"/>
      <c r="H52" s="2457"/>
      <c r="I52" s="2457"/>
      <c r="J52" s="2457"/>
      <c r="K52" s="2457"/>
    </row>
    <row r="53" spans="1:11">
      <c r="A53" s="2457"/>
      <c r="B53" s="2457"/>
      <c r="C53" s="2457"/>
      <c r="D53" s="2457"/>
      <c r="E53" s="2457"/>
      <c r="F53" s="2457"/>
      <c r="G53" s="2457"/>
      <c r="H53" s="2457"/>
      <c r="I53" s="2457"/>
      <c r="J53" s="2457"/>
      <c r="K53" s="2457"/>
    </row>
    <row r="54" spans="1:11">
      <c r="A54" s="2457"/>
      <c r="B54" s="2457"/>
      <c r="C54" s="2457"/>
      <c r="D54" s="2457"/>
      <c r="E54" s="2457"/>
      <c r="F54" s="2457"/>
      <c r="G54" s="2457"/>
      <c r="H54" s="2457"/>
      <c r="I54" s="2457"/>
      <c r="J54" s="2457"/>
      <c r="K54" s="2457"/>
    </row>
    <row r="55" spans="1:11">
      <c r="A55" s="2457"/>
      <c r="B55" s="2457"/>
      <c r="C55" s="2457"/>
      <c r="D55" s="2457"/>
      <c r="E55" s="2457"/>
      <c r="F55" s="2457"/>
      <c r="G55" s="2457"/>
      <c r="H55" s="2457"/>
      <c r="I55" s="2457"/>
      <c r="J55" s="2457"/>
      <c r="K55" s="2457"/>
    </row>
    <row r="56" spans="1:11">
      <c r="A56" s="2457"/>
      <c r="B56" s="2457"/>
      <c r="C56" s="2457"/>
      <c r="D56" s="2457"/>
      <c r="E56" s="2457"/>
      <c r="F56" s="2457"/>
      <c r="G56" s="2457"/>
      <c r="H56" s="2457"/>
      <c r="I56" s="2457"/>
      <c r="J56" s="2457"/>
      <c r="K56" s="2457"/>
    </row>
    <row r="57" spans="1:11">
      <c r="A57" s="2457"/>
      <c r="B57" s="2457"/>
      <c r="C57" s="2457"/>
      <c r="D57" s="2457"/>
      <c r="E57" s="2457"/>
      <c r="F57" s="2457"/>
      <c r="G57" s="2457"/>
      <c r="H57" s="2457"/>
      <c r="I57" s="2457"/>
      <c r="J57" s="2457"/>
      <c r="K57" s="2457"/>
    </row>
    <row r="58" spans="1:11">
      <c r="A58" s="2457"/>
      <c r="B58" s="2457"/>
      <c r="C58" s="2457"/>
      <c r="D58" s="2457"/>
      <c r="E58" s="2457"/>
      <c r="F58" s="2457"/>
      <c r="G58" s="2457"/>
      <c r="H58" s="2457"/>
      <c r="I58" s="2457"/>
      <c r="J58" s="2457"/>
      <c r="K58" s="2457"/>
    </row>
    <row r="59" spans="1:11">
      <c r="A59" s="2457"/>
      <c r="B59" s="2457"/>
      <c r="C59" s="2457"/>
      <c r="D59" s="2457"/>
      <c r="E59" s="2457"/>
      <c r="F59" s="2457"/>
      <c r="G59" s="2457"/>
      <c r="H59" s="2457"/>
      <c r="I59" s="2457"/>
      <c r="J59" s="2457"/>
      <c r="K59" s="2457"/>
    </row>
    <row r="60" spans="1:11">
      <c r="A60" s="2457"/>
      <c r="B60" s="2457"/>
      <c r="C60" s="2457"/>
      <c r="D60" s="2457"/>
      <c r="E60" s="2457"/>
      <c r="F60" s="2457"/>
      <c r="G60" s="2457"/>
      <c r="H60" s="2457"/>
      <c r="I60" s="2457"/>
      <c r="J60" s="2457"/>
      <c r="K60" s="2457"/>
    </row>
    <row r="61" spans="1:11">
      <c r="A61" s="2457"/>
      <c r="B61" s="2457"/>
      <c r="C61" s="2457"/>
      <c r="D61" s="2457"/>
      <c r="E61" s="2457"/>
      <c r="F61" s="2457"/>
      <c r="G61" s="2457"/>
      <c r="H61" s="2457"/>
      <c r="I61" s="2457"/>
      <c r="J61" s="2457"/>
      <c r="K61" s="2457"/>
    </row>
    <row r="62" spans="1:11">
      <c r="A62" s="2457"/>
      <c r="B62" s="2457"/>
      <c r="C62" s="2457"/>
      <c r="D62" s="2457"/>
      <c r="E62" s="2457"/>
      <c r="F62" s="2457"/>
      <c r="G62" s="2457"/>
      <c r="H62" s="2457"/>
      <c r="I62" s="2457"/>
      <c r="J62" s="2457"/>
      <c r="K62" s="2457"/>
    </row>
    <row r="63" spans="1:11">
      <c r="A63" s="2457"/>
      <c r="B63" s="2457"/>
      <c r="C63" s="2457"/>
      <c r="D63" s="2457"/>
      <c r="E63" s="2457"/>
      <c r="F63" s="2457"/>
      <c r="G63" s="2457"/>
      <c r="H63" s="2457"/>
      <c r="I63" s="2457"/>
      <c r="J63" s="2457"/>
      <c r="K63" s="2457"/>
    </row>
    <row r="64" spans="1:11">
      <c r="A64" s="2457"/>
      <c r="B64" s="2457"/>
      <c r="C64" s="2457"/>
      <c r="D64" s="2457"/>
      <c r="E64" s="2457"/>
      <c r="F64" s="2457"/>
      <c r="G64" s="2457"/>
      <c r="H64" s="2457"/>
      <c r="I64" s="2457"/>
      <c r="J64" s="2457"/>
      <c r="K64" s="2457"/>
    </row>
    <row r="65" spans="1:11">
      <c r="A65" s="2457"/>
      <c r="B65" s="2457"/>
      <c r="C65" s="2457"/>
      <c r="D65" s="2457"/>
      <c r="E65" s="2457"/>
      <c r="F65" s="2457"/>
      <c r="G65" s="2457"/>
      <c r="H65" s="2457"/>
      <c r="I65" s="2457"/>
      <c r="J65" s="2457"/>
      <c r="K65" s="2457"/>
    </row>
    <row r="66" spans="1:11">
      <c r="A66" s="2457"/>
      <c r="B66" s="2457"/>
      <c r="C66" s="2457"/>
      <c r="D66" s="2457"/>
      <c r="E66" s="2457"/>
      <c r="F66" s="2457"/>
      <c r="G66" s="2457"/>
      <c r="H66" s="2457"/>
      <c r="I66" s="2457"/>
      <c r="J66" s="2457"/>
      <c r="K66" s="2457"/>
    </row>
    <row r="67" spans="1:11">
      <c r="A67" s="2457"/>
      <c r="B67" s="2457"/>
      <c r="C67" s="2457"/>
      <c r="D67" s="2457"/>
      <c r="E67" s="2457"/>
      <c r="F67" s="2457"/>
      <c r="G67" s="2457"/>
      <c r="H67" s="2457"/>
      <c r="I67" s="2457"/>
      <c r="J67" s="2457"/>
      <c r="K67" s="2457"/>
    </row>
    <row r="68" spans="1:11">
      <c r="A68" s="2457"/>
      <c r="B68" s="2457"/>
      <c r="C68" s="2457"/>
      <c r="D68" s="2457"/>
      <c r="E68" s="2457"/>
      <c r="F68" s="2457"/>
      <c r="G68" s="2457"/>
      <c r="H68" s="2457"/>
      <c r="I68" s="2457"/>
      <c r="J68" s="2457"/>
      <c r="K68" s="2457"/>
    </row>
    <row r="69" spans="1:11">
      <c r="A69" s="2457"/>
      <c r="B69" s="2457"/>
      <c r="C69" s="2457"/>
      <c r="D69" s="2457"/>
      <c r="E69" s="2457"/>
      <c r="F69" s="2457"/>
      <c r="G69" s="2457"/>
      <c r="H69" s="2457"/>
      <c r="I69" s="2457"/>
      <c r="J69" s="2457"/>
      <c r="K69" s="2457"/>
    </row>
    <row r="70" spans="1:11">
      <c r="A70" s="2457"/>
      <c r="B70" s="2457"/>
      <c r="C70" s="2457"/>
      <c r="D70" s="2457"/>
      <c r="E70" s="2457"/>
      <c r="F70" s="2457"/>
      <c r="G70" s="2457"/>
      <c r="H70" s="2457"/>
      <c r="I70" s="2457"/>
      <c r="J70" s="2457"/>
      <c r="K70" s="2457"/>
    </row>
    <row r="71" spans="1:11">
      <c r="A71" s="2457"/>
      <c r="B71" s="2457"/>
      <c r="C71" s="2457"/>
      <c r="D71" s="2457"/>
      <c r="E71" s="2457"/>
      <c r="F71" s="2457"/>
      <c r="G71" s="2457"/>
      <c r="H71" s="2457"/>
      <c r="I71" s="2457"/>
      <c r="J71" s="2457"/>
      <c r="K71" s="2457"/>
    </row>
    <row r="72" spans="1:11">
      <c r="A72" s="2457"/>
      <c r="B72" s="2457"/>
      <c r="C72" s="2457"/>
      <c r="D72" s="2457"/>
      <c r="E72" s="2457"/>
      <c r="F72" s="2457"/>
      <c r="G72" s="2457"/>
      <c r="H72" s="2457"/>
      <c r="I72" s="2457"/>
      <c r="J72" s="2457"/>
      <c r="K72" s="2457"/>
    </row>
    <row r="73" spans="1:11">
      <c r="A73" s="2457"/>
      <c r="B73" s="2457"/>
      <c r="C73" s="2457"/>
      <c r="D73" s="2457"/>
      <c r="E73" s="2457"/>
      <c r="F73" s="2457"/>
      <c r="G73" s="2457"/>
      <c r="H73" s="2457"/>
      <c r="I73" s="2457"/>
      <c r="J73" s="2457"/>
      <c r="K73" s="2457"/>
    </row>
    <row r="74" spans="1:11">
      <c r="A74" s="2457"/>
      <c r="B74" s="2457"/>
      <c r="C74" s="2457"/>
      <c r="D74" s="2457"/>
      <c r="E74" s="2457"/>
      <c r="F74" s="2457"/>
      <c r="G74" s="2457"/>
      <c r="H74" s="2457"/>
      <c r="I74" s="2457"/>
      <c r="J74" s="2457"/>
      <c r="K74" s="2457"/>
    </row>
    <row r="75" spans="1:11">
      <c r="A75" s="2457"/>
      <c r="B75" s="2457"/>
      <c r="C75" s="2457"/>
      <c r="D75" s="2457"/>
      <c r="E75" s="2457"/>
      <c r="F75" s="2457"/>
      <c r="G75" s="2457"/>
      <c r="H75" s="2457"/>
      <c r="I75" s="2457"/>
      <c r="J75" s="2457"/>
      <c r="K75" s="2457"/>
    </row>
    <row r="76" spans="1:11">
      <c r="A76" s="2457"/>
      <c r="B76" s="2457"/>
      <c r="C76" s="2457"/>
      <c r="D76" s="2457"/>
      <c r="E76" s="2457"/>
      <c r="F76" s="2457"/>
      <c r="G76" s="2457"/>
      <c r="H76" s="2457"/>
      <c r="I76" s="2457"/>
      <c r="J76" s="2457"/>
      <c r="K76" s="2457"/>
    </row>
    <row r="77" spans="1:11">
      <c r="A77" s="2457"/>
      <c r="B77" s="2457"/>
      <c r="C77" s="2457"/>
      <c r="D77" s="2457"/>
      <c r="E77" s="2457"/>
      <c r="F77" s="2457"/>
      <c r="G77" s="2457"/>
      <c r="H77" s="2457"/>
      <c r="I77" s="2457"/>
      <c r="J77" s="2457"/>
      <c r="K77" s="2457"/>
    </row>
    <row r="78" spans="1:11">
      <c r="A78" s="2457"/>
      <c r="B78" s="2457"/>
      <c r="C78" s="2457"/>
      <c r="D78" s="2457"/>
      <c r="E78" s="2457"/>
      <c r="F78" s="2457"/>
      <c r="G78" s="2457"/>
      <c r="H78" s="2457"/>
      <c r="I78" s="2457"/>
      <c r="J78" s="2457"/>
      <c r="K78" s="2457"/>
    </row>
    <row r="79" spans="1:11">
      <c r="A79" s="2457"/>
      <c r="B79" s="2457"/>
      <c r="C79" s="2457"/>
      <c r="D79" s="2457"/>
      <c r="E79" s="2457"/>
      <c r="F79" s="2457"/>
      <c r="G79" s="2457"/>
      <c r="H79" s="2457"/>
      <c r="I79" s="2457"/>
      <c r="J79" s="2457"/>
      <c r="K79" s="2457"/>
    </row>
    <row r="80" spans="1:11">
      <c r="A80" s="2457"/>
      <c r="B80" s="2457"/>
      <c r="C80" s="2457"/>
      <c r="D80" s="2457"/>
      <c r="E80" s="2457"/>
      <c r="F80" s="2457"/>
    </row>
    <row r="81" spans="1:6">
      <c r="A81" s="2457"/>
      <c r="B81" s="2457"/>
      <c r="C81" s="2457"/>
      <c r="D81" s="2457"/>
      <c r="E81" s="2457"/>
      <c r="F81" s="2457"/>
    </row>
    <row r="82" spans="1:6">
      <c r="A82" s="2457"/>
      <c r="B82" s="2457"/>
      <c r="C82" s="2457"/>
      <c r="D82" s="2457"/>
      <c r="E82" s="2457"/>
      <c r="F82" s="2457"/>
    </row>
    <row r="83" spans="1:6">
      <c r="A83" s="2457"/>
      <c r="B83" s="2457"/>
      <c r="C83" s="2457"/>
      <c r="D83" s="2457"/>
      <c r="E83" s="2457"/>
      <c r="F83" s="2457"/>
    </row>
    <row r="84" spans="1:6">
      <c r="A84" s="2457"/>
      <c r="B84" s="2457"/>
      <c r="C84" s="2457"/>
      <c r="D84" s="2457"/>
      <c r="E84" s="2457"/>
      <c r="F84" s="2457"/>
    </row>
    <row r="85" spans="1:6">
      <c r="A85" s="2457"/>
      <c r="B85" s="2457"/>
      <c r="C85" s="2457"/>
      <c r="D85" s="2457"/>
      <c r="E85" s="2457"/>
      <c r="F85" s="2457"/>
    </row>
    <row r="86" spans="1:6">
      <c r="A86" s="2457"/>
      <c r="B86" s="2457"/>
      <c r="C86" s="2457"/>
      <c r="D86" s="2457"/>
      <c r="E86" s="2457"/>
      <c r="F86" s="2457"/>
    </row>
    <row r="87" spans="1:6">
      <c r="A87" s="2457"/>
      <c r="B87" s="2457"/>
      <c r="C87" s="2457"/>
      <c r="D87" s="2457"/>
      <c r="E87" s="2457"/>
      <c r="F87" s="2457"/>
    </row>
    <row r="88" spans="1:6">
      <c r="A88" s="2457"/>
      <c r="B88" s="2457"/>
      <c r="C88" s="2457"/>
      <c r="D88" s="2457"/>
      <c r="E88" s="2457"/>
      <c r="F88" s="2457"/>
    </row>
    <row r="89" spans="1:6">
      <c r="A89" s="2457"/>
      <c r="B89" s="2457"/>
      <c r="C89" s="2457"/>
      <c r="D89" s="2457"/>
      <c r="E89" s="2457"/>
      <c r="F89" s="2457"/>
    </row>
    <row r="90" spans="1:6">
      <c r="A90" s="2457"/>
      <c r="B90" s="2457"/>
      <c r="C90" s="2457"/>
      <c r="D90" s="2457"/>
      <c r="E90" s="2457"/>
      <c r="F90" s="2457"/>
    </row>
    <row r="91" spans="1:6">
      <c r="A91" s="2457"/>
      <c r="B91" s="2457"/>
      <c r="C91" s="2457"/>
      <c r="D91" s="2457"/>
      <c r="E91" s="2457"/>
      <c r="F91" s="2457"/>
    </row>
    <row r="92" spans="1:6">
      <c r="A92" s="2457"/>
      <c r="B92" s="2457"/>
      <c r="C92" s="2457"/>
      <c r="D92" s="2457"/>
      <c r="E92" s="2457"/>
      <c r="F92" s="2457"/>
    </row>
    <row r="93" spans="1:6">
      <c r="A93" s="2457"/>
      <c r="B93" s="2457"/>
      <c r="C93" s="2457"/>
      <c r="D93" s="2457"/>
      <c r="E93" s="2457"/>
      <c r="F93" s="2457"/>
    </row>
    <row r="94" spans="1:6">
      <c r="A94" s="2457"/>
      <c r="B94" s="2457"/>
      <c r="C94" s="2457"/>
      <c r="D94" s="2457"/>
      <c r="E94" s="2457"/>
      <c r="F94" s="2457"/>
    </row>
    <row r="95" spans="1:6">
      <c r="A95" s="2457"/>
      <c r="B95" s="2457"/>
      <c r="C95" s="2457"/>
      <c r="D95" s="2457"/>
      <c r="E95" s="2457"/>
      <c r="F95" s="2457"/>
    </row>
    <row r="96" spans="1:6">
      <c r="A96" s="2457"/>
      <c r="B96" s="2457"/>
      <c r="C96" s="2457"/>
      <c r="D96" s="2457"/>
      <c r="E96" s="2457"/>
      <c r="F96" s="2457"/>
    </row>
    <row r="97" spans="1:6">
      <c r="A97" s="2457"/>
      <c r="B97" s="2457"/>
      <c r="C97" s="2457"/>
      <c r="D97" s="2457"/>
      <c r="E97" s="2457"/>
      <c r="F97" s="2457"/>
    </row>
    <row r="98" spans="1:6">
      <c r="A98" s="2457"/>
      <c r="B98" s="2457"/>
      <c r="C98" s="2457"/>
      <c r="D98" s="2457"/>
      <c r="E98" s="2457"/>
      <c r="F98" s="2457"/>
    </row>
    <row r="99" spans="1:6">
      <c r="A99" s="2457"/>
      <c r="B99" s="2457"/>
      <c r="C99" s="2457"/>
      <c r="D99" s="2457"/>
      <c r="E99" s="2457"/>
      <c r="F99" s="2457"/>
    </row>
    <row r="100" spans="1:6">
      <c r="A100" s="2457"/>
      <c r="B100" s="2457"/>
      <c r="C100" s="2457"/>
      <c r="D100" s="2457"/>
      <c r="E100" s="2457"/>
      <c r="F100" s="2457"/>
    </row>
    <row r="101" spans="1:6">
      <c r="A101" s="2457"/>
      <c r="B101" s="2457"/>
      <c r="C101" s="2457"/>
      <c r="D101" s="2457"/>
      <c r="E101" s="2457"/>
      <c r="F101" s="2457"/>
    </row>
    <row r="102" spans="1:6">
      <c r="A102" s="2457"/>
      <c r="B102" s="2457"/>
      <c r="C102" s="2457"/>
      <c r="D102" s="2457"/>
      <c r="E102" s="2457"/>
      <c r="F102" s="2457"/>
    </row>
    <row r="103" spans="1:6">
      <c r="A103" s="2457"/>
      <c r="B103" s="2457"/>
      <c r="C103" s="2457"/>
      <c r="D103" s="2457"/>
      <c r="E103" s="2457"/>
      <c r="F103" s="2457"/>
    </row>
    <row r="104" spans="1:6">
      <c r="A104" s="2457"/>
      <c r="B104" s="2457"/>
      <c r="C104" s="2457"/>
      <c r="D104" s="2457"/>
      <c r="E104" s="2457"/>
      <c r="F104" s="2457"/>
    </row>
    <row r="105" spans="1:6">
      <c r="A105" s="2457"/>
      <c r="B105" s="2457"/>
      <c r="C105" s="2457"/>
      <c r="D105" s="2457"/>
      <c r="E105" s="2457"/>
      <c r="F105" s="2457"/>
    </row>
    <row r="106" spans="1:6">
      <c r="A106" s="2457"/>
      <c r="B106" s="2457"/>
      <c r="C106" s="2457"/>
      <c r="D106" s="2457"/>
      <c r="E106" s="2457"/>
      <c r="F106" s="2457"/>
    </row>
    <row r="107" spans="1:6">
      <c r="A107" s="2457"/>
      <c r="B107" s="2457"/>
      <c r="C107" s="2457"/>
      <c r="D107" s="2457"/>
      <c r="E107" s="2457"/>
      <c r="F107" s="2457"/>
    </row>
    <row r="108" spans="1:6">
      <c r="A108" s="2457"/>
      <c r="B108" s="2457"/>
      <c r="C108" s="2457"/>
      <c r="D108" s="2457"/>
      <c r="E108" s="2457"/>
      <c r="F108" s="2457"/>
    </row>
    <row r="109" spans="1:6">
      <c r="A109" s="2457"/>
      <c r="B109" s="2457"/>
      <c r="C109" s="2457"/>
      <c r="D109" s="2457"/>
      <c r="E109" s="2457"/>
      <c r="F109" s="2457"/>
    </row>
    <row r="110" spans="1:6">
      <c r="A110" s="2457"/>
      <c r="B110" s="2457"/>
      <c r="C110" s="2457"/>
      <c r="D110" s="2457"/>
      <c r="E110" s="2457"/>
      <c r="F110" s="2457"/>
    </row>
    <row r="111" spans="1:6">
      <c r="A111" s="2457"/>
      <c r="B111" s="2457"/>
      <c r="C111" s="2457"/>
      <c r="D111" s="2457"/>
      <c r="E111" s="2457"/>
      <c r="F111" s="2457"/>
    </row>
    <row r="112" spans="1:6">
      <c r="A112" s="2457"/>
      <c r="B112" s="2457"/>
      <c r="C112" s="2457"/>
      <c r="D112" s="2457"/>
      <c r="E112" s="2457"/>
      <c r="F112" s="2457"/>
    </row>
    <row r="113" spans="1:6">
      <c r="A113" s="2457"/>
      <c r="B113" s="2457"/>
      <c r="C113" s="2457"/>
      <c r="D113" s="2457"/>
      <c r="E113" s="2457"/>
      <c r="F113" s="2457"/>
    </row>
    <row r="114" spans="1:6">
      <c r="A114" s="2457"/>
      <c r="B114" s="2457"/>
      <c r="C114" s="2457"/>
      <c r="D114" s="2457"/>
      <c r="E114" s="2457"/>
      <c r="F114" s="2457"/>
    </row>
    <row r="115" spans="1:6">
      <c r="A115" s="2457"/>
      <c r="B115" s="2457"/>
      <c r="C115" s="2457"/>
      <c r="D115" s="2457"/>
      <c r="E115" s="2457"/>
      <c r="F115" s="2457"/>
    </row>
    <row r="116" spans="1:6">
      <c r="A116" s="2457"/>
      <c r="B116" s="2457"/>
      <c r="C116" s="2457"/>
      <c r="D116" s="2457"/>
      <c r="E116" s="2457"/>
      <c r="F116" s="2457"/>
    </row>
    <row r="117" spans="1:6">
      <c r="A117" s="2457"/>
      <c r="B117" s="2457"/>
      <c r="C117" s="2457"/>
      <c r="D117" s="2457"/>
      <c r="E117" s="2457"/>
      <c r="F117" s="2457"/>
    </row>
    <row r="118" spans="1:6">
      <c r="A118" s="2457"/>
      <c r="B118" s="2457"/>
      <c r="C118" s="2457"/>
      <c r="D118" s="2457"/>
      <c r="E118" s="2457"/>
      <c r="F118" s="2457"/>
    </row>
    <row r="119" spans="1:6">
      <c r="A119" s="2457"/>
      <c r="B119" s="2457"/>
      <c r="C119" s="2457"/>
      <c r="D119" s="2457"/>
      <c r="E119" s="2457"/>
      <c r="F119" s="2457"/>
    </row>
    <row r="120" spans="1:6">
      <c r="A120" s="2457"/>
      <c r="B120" s="2457"/>
      <c r="C120" s="2457"/>
      <c r="D120" s="2457"/>
      <c r="E120" s="2457"/>
      <c r="F120" s="2457"/>
    </row>
    <row r="121" spans="1:6">
      <c r="A121" s="2457"/>
      <c r="B121" s="2457"/>
      <c r="C121" s="2457"/>
      <c r="D121" s="2457"/>
      <c r="E121" s="2457"/>
      <c r="F121" s="2457"/>
    </row>
    <row r="122" spans="1:6">
      <c r="A122" s="2457"/>
      <c r="B122" s="2457"/>
      <c r="C122" s="2457"/>
      <c r="D122" s="2457"/>
      <c r="E122" s="2457"/>
      <c r="F122" s="2457"/>
    </row>
    <row r="123" spans="1:6">
      <c r="A123" s="2457"/>
      <c r="B123" s="2457"/>
      <c r="C123" s="2457"/>
      <c r="D123" s="2457"/>
      <c r="E123" s="2457"/>
      <c r="F123" s="2457"/>
    </row>
    <row r="124" spans="1:6">
      <c r="A124" s="2457"/>
      <c r="B124" s="2457"/>
      <c r="C124" s="2457"/>
      <c r="D124" s="2457"/>
      <c r="E124" s="2457"/>
      <c r="F124" s="2457"/>
    </row>
    <row r="125" spans="1:6">
      <c r="A125" s="2457"/>
      <c r="B125" s="2457"/>
      <c r="C125" s="2457"/>
      <c r="D125" s="2457"/>
      <c r="E125" s="2457"/>
      <c r="F125" s="2457"/>
    </row>
    <row r="126" spans="1:6">
      <c r="A126" s="2457"/>
      <c r="B126" s="2457"/>
      <c r="C126" s="2457"/>
      <c r="D126" s="2457"/>
      <c r="E126" s="2457"/>
      <c r="F126" s="2457"/>
    </row>
    <row r="127" spans="1:6">
      <c r="A127" s="2457"/>
      <c r="B127" s="2457"/>
      <c r="C127" s="2457"/>
      <c r="D127" s="2457"/>
      <c r="E127" s="2457"/>
      <c r="F127" s="2457"/>
    </row>
    <row r="128" spans="1:6">
      <c r="A128" s="2457"/>
      <c r="B128" s="2457"/>
      <c r="C128" s="2457"/>
      <c r="D128" s="2457"/>
      <c r="E128" s="2457"/>
      <c r="F128" s="2457"/>
    </row>
    <row r="129" spans="1:6">
      <c r="A129" s="2457"/>
      <c r="B129" s="2457"/>
      <c r="C129" s="2457"/>
      <c r="D129" s="2457"/>
      <c r="E129" s="2457"/>
      <c r="F129" s="2457"/>
    </row>
    <row r="130" spans="1:6">
      <c r="A130" s="2457"/>
      <c r="B130" s="2457"/>
      <c r="C130" s="2457"/>
      <c r="D130" s="2457"/>
      <c r="E130" s="2457"/>
      <c r="F130" s="2457"/>
    </row>
    <row r="131" spans="1:6">
      <c r="A131" s="2457"/>
      <c r="B131" s="2457"/>
      <c r="C131" s="2457"/>
      <c r="D131" s="2457"/>
      <c r="E131" s="2457"/>
      <c r="F131" s="2457"/>
    </row>
    <row r="132" spans="1:6">
      <c r="A132" s="2457"/>
      <c r="B132" s="2457"/>
      <c r="C132" s="2457"/>
      <c r="D132" s="2457"/>
      <c r="E132" s="2457"/>
      <c r="F132" s="2457"/>
    </row>
    <row r="133" spans="1:6">
      <c r="A133" s="2457"/>
      <c r="B133" s="2457"/>
      <c r="C133" s="2457"/>
      <c r="D133" s="2457"/>
      <c r="E133" s="2457"/>
      <c r="F133" s="2457"/>
    </row>
    <row r="134" spans="1:6">
      <c r="A134" s="2457"/>
      <c r="B134" s="2457"/>
      <c r="C134" s="2457"/>
      <c r="D134" s="2457"/>
      <c r="E134" s="2457"/>
      <c r="F134" s="2457"/>
    </row>
    <row r="135" spans="1:6">
      <c r="A135" s="2457"/>
      <c r="B135" s="2457"/>
      <c r="C135" s="2457"/>
      <c r="D135" s="2457"/>
      <c r="E135" s="2457"/>
      <c r="F135" s="2457"/>
    </row>
    <row r="136" spans="1:6">
      <c r="A136" s="2457"/>
      <c r="B136" s="2457"/>
      <c r="C136" s="2457"/>
      <c r="D136" s="2457"/>
      <c r="E136" s="2457"/>
      <c r="F136" s="2457"/>
    </row>
    <row r="137" spans="1:6">
      <c r="A137" s="2457"/>
      <c r="B137" s="2457"/>
      <c r="C137" s="2457"/>
      <c r="D137" s="2457"/>
      <c r="E137" s="2457"/>
      <c r="F137" s="2457"/>
    </row>
    <row r="138" spans="1:6">
      <c r="A138" s="2457"/>
      <c r="B138" s="2457"/>
      <c r="C138" s="2457"/>
      <c r="D138" s="2457"/>
      <c r="E138" s="2457"/>
      <c r="F138" s="2457"/>
    </row>
    <row r="139" spans="1:6">
      <c r="A139" s="2457"/>
      <c r="B139" s="2457"/>
      <c r="C139" s="2457"/>
      <c r="D139" s="2457"/>
      <c r="E139" s="2457"/>
      <c r="F139" s="2457"/>
    </row>
    <row r="140" spans="1:6">
      <c r="A140" s="2457"/>
      <c r="B140" s="2457"/>
      <c r="C140" s="2457"/>
      <c r="D140" s="2457"/>
      <c r="E140" s="2457"/>
      <c r="F140" s="2457"/>
    </row>
    <row r="141" spans="1:6">
      <c r="A141" s="2457"/>
      <c r="B141" s="2457"/>
      <c r="C141" s="2457"/>
      <c r="D141" s="2457"/>
      <c r="E141" s="2457"/>
      <c r="F141" s="2457"/>
    </row>
    <row r="142" spans="1:6">
      <c r="A142" s="2457"/>
      <c r="B142" s="2457"/>
      <c r="C142" s="2457"/>
      <c r="D142" s="2457"/>
      <c r="E142" s="2457"/>
      <c r="F142" s="2457"/>
    </row>
    <row r="143" spans="1:6">
      <c r="A143" s="2457"/>
      <c r="B143" s="2457"/>
      <c r="C143" s="2457"/>
      <c r="D143" s="2457"/>
      <c r="E143" s="2457"/>
      <c r="F143" s="2457"/>
    </row>
    <row r="144" spans="1:6">
      <c r="A144" s="2457"/>
      <c r="B144" s="2457"/>
      <c r="C144" s="2457"/>
      <c r="D144" s="2457"/>
      <c r="E144" s="2457"/>
      <c r="F144" s="2457"/>
    </row>
    <row r="145" spans="1:6">
      <c r="A145" s="2457"/>
      <c r="B145" s="2457"/>
      <c r="C145" s="2457"/>
      <c r="D145" s="2457"/>
      <c r="E145" s="2457"/>
      <c r="F145" s="2457"/>
    </row>
    <row r="146" spans="1:6">
      <c r="A146" s="2457"/>
      <c r="B146" s="2457"/>
      <c r="C146" s="2457"/>
      <c r="D146" s="2457"/>
      <c r="E146" s="2457"/>
      <c r="F146" s="2457"/>
    </row>
  </sheetData>
  <mergeCells count="1">
    <mergeCell ref="A1:C1"/>
  </mergeCells>
  <phoneticPr fontId="214" type="noConversion"/>
  <pageMargins left="0.75" right="0.75" top="1" bottom="1" header="0.50902777777777797" footer="0.50902777777777797"/>
  <pageSetup paperSize="9" orientation="portrait" horizontalDpi="180" verticalDpi="180"/>
  <headerFooter scaleWithDoc="0" alignWithMargins="0"/>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2"/>
  <dimension ref="A1:L36"/>
  <sheetViews>
    <sheetView topLeftCell="A4" workbookViewId="0">
      <selection activeCell="C39" sqref="C39"/>
    </sheetView>
  </sheetViews>
  <sheetFormatPr defaultColWidth="8.75" defaultRowHeight="14.25"/>
  <cols>
    <col min="1" max="1" width="15.75" style="105" customWidth="1"/>
    <col min="2" max="3" width="9.25" style="105" customWidth="1"/>
    <col min="4" max="16384" width="8.75" style="105"/>
  </cols>
  <sheetData>
    <row r="1" spans="1:4">
      <c r="A1" s="2431" t="s">
        <v>10229</v>
      </c>
      <c r="B1" s="536" t="s">
        <v>10230</v>
      </c>
      <c r="C1" s="536" t="s">
        <v>10148</v>
      </c>
      <c r="D1" s="536" t="s">
        <v>213</v>
      </c>
    </row>
    <row r="2" spans="1:4">
      <c r="A2" s="96" t="s">
        <v>10149</v>
      </c>
      <c r="B2" s="536" t="s">
        <v>10231</v>
      </c>
      <c r="C2" s="98">
        <v>2</v>
      </c>
      <c r="D2" s="536" t="s">
        <v>10150</v>
      </c>
    </row>
    <row r="3" spans="1:4">
      <c r="A3" s="96" t="s">
        <v>10232</v>
      </c>
      <c r="B3" s="536" t="s">
        <v>10233</v>
      </c>
      <c r="C3" s="98">
        <v>0.05</v>
      </c>
      <c r="D3" s="536" t="s">
        <v>235</v>
      </c>
    </row>
    <row r="4" spans="1:4">
      <c r="A4" s="96" t="s">
        <v>10234</v>
      </c>
      <c r="B4" s="536" t="s">
        <v>10235</v>
      </c>
      <c r="C4" s="98">
        <v>0.5</v>
      </c>
      <c r="D4" s="536" t="s">
        <v>10150</v>
      </c>
    </row>
    <row r="5" spans="1:4">
      <c r="A5" s="536" t="s">
        <v>10236</v>
      </c>
      <c r="B5" s="536" t="s">
        <v>10172</v>
      </c>
      <c r="C5" s="536">
        <v>0.8</v>
      </c>
      <c r="D5" s="536"/>
    </row>
    <row r="6" spans="1:4">
      <c r="A6" s="96" t="s">
        <v>10173</v>
      </c>
      <c r="B6" s="536" t="s">
        <v>10174</v>
      </c>
      <c r="C6" s="98">
        <v>0</v>
      </c>
      <c r="D6" s="536" t="s">
        <v>10175</v>
      </c>
    </row>
    <row r="7" spans="1:4">
      <c r="A7" s="536" t="s">
        <v>5242</v>
      </c>
      <c r="B7" s="536" t="s">
        <v>10176</v>
      </c>
      <c r="C7" s="536">
        <v>0.1</v>
      </c>
      <c r="D7" s="536"/>
    </row>
    <row r="8" spans="1:4">
      <c r="A8" s="536" t="s">
        <v>10177</v>
      </c>
      <c r="B8" s="536" t="s">
        <v>475</v>
      </c>
      <c r="C8" s="536">
        <v>0</v>
      </c>
      <c r="D8" s="536" t="s">
        <v>464</v>
      </c>
    </row>
    <row r="9" spans="1:4">
      <c r="A9" s="536" t="s">
        <v>10178</v>
      </c>
      <c r="B9" s="536" t="s">
        <v>2244</v>
      </c>
      <c r="C9" s="536">
        <v>9.8000000000000007</v>
      </c>
      <c r="D9" s="536" t="s">
        <v>10179</v>
      </c>
    </row>
    <row r="10" spans="1:4">
      <c r="A10" s="2431" t="s">
        <v>10237</v>
      </c>
      <c r="B10" s="536"/>
      <c r="C10" s="536"/>
      <c r="D10" s="536"/>
    </row>
    <row r="11" spans="1:4">
      <c r="A11" s="668" t="s">
        <v>10238</v>
      </c>
      <c r="B11" s="536" t="s">
        <v>1167</v>
      </c>
      <c r="C11" s="98">
        <v>1</v>
      </c>
      <c r="D11" s="536" t="s">
        <v>235</v>
      </c>
    </row>
    <row r="12" spans="1:4">
      <c r="A12" s="668" t="s">
        <v>9936</v>
      </c>
      <c r="B12" s="536" t="s">
        <v>10180</v>
      </c>
      <c r="C12" s="98">
        <v>0.1</v>
      </c>
      <c r="D12" s="536" t="s">
        <v>471</v>
      </c>
    </row>
    <row r="13" spans="1:4">
      <c r="A13" s="668" t="s">
        <v>9939</v>
      </c>
      <c r="B13" s="536" t="s">
        <v>10181</v>
      </c>
      <c r="C13" s="98">
        <v>0.8</v>
      </c>
      <c r="D13" s="536" t="s">
        <v>471</v>
      </c>
    </row>
    <row r="14" spans="1:4">
      <c r="A14" s="668" t="s">
        <v>10182</v>
      </c>
      <c r="B14" s="536" t="s">
        <v>10183</v>
      </c>
      <c r="C14" s="98">
        <v>0.1</v>
      </c>
      <c r="D14" s="536" t="s">
        <v>471</v>
      </c>
    </row>
    <row r="15" spans="1:4">
      <c r="A15" s="668" t="s">
        <v>10185</v>
      </c>
      <c r="B15" s="536" t="s">
        <v>10186</v>
      </c>
      <c r="C15" s="98">
        <v>2</v>
      </c>
      <c r="D15" s="536" t="s">
        <v>471</v>
      </c>
    </row>
    <row r="16" spans="1:4">
      <c r="A16" s="2431" t="s">
        <v>10188</v>
      </c>
      <c r="B16" s="536"/>
      <c r="C16" s="536"/>
      <c r="D16" s="536"/>
    </row>
    <row r="17" spans="1:11">
      <c r="A17" s="536" t="s">
        <v>10191</v>
      </c>
      <c r="B17" s="536" t="s">
        <v>10192</v>
      </c>
      <c r="C17" s="536">
        <f>C6+C2*C3*C3/4+C4*C3*C3*2/8</f>
        <v>1.5625000000000001E-3</v>
      </c>
      <c r="D17" s="536" t="s">
        <v>10175</v>
      </c>
    </row>
    <row r="18" spans="1:11">
      <c r="A18" s="536"/>
      <c r="B18" s="536"/>
      <c r="C18" s="536"/>
      <c r="D18" s="536"/>
    </row>
    <row r="19" spans="1:11">
      <c r="A19" s="536" t="s">
        <v>10193</v>
      </c>
      <c r="B19" s="536" t="s">
        <v>10194</v>
      </c>
      <c r="C19" s="98">
        <v>8.7000000000000001E-5</v>
      </c>
      <c r="D19" s="536" t="s">
        <v>10175</v>
      </c>
    </row>
    <row r="20" spans="1:11">
      <c r="A20" s="536"/>
      <c r="B20" s="536"/>
      <c r="C20" s="536"/>
      <c r="D20" s="536"/>
    </row>
    <row r="21" spans="1:11">
      <c r="A21" s="536" t="s">
        <v>10195</v>
      </c>
      <c r="B21" s="536" t="s">
        <v>10196</v>
      </c>
      <c r="C21" s="536">
        <f>C17/C19</f>
        <v>17.959770114942501</v>
      </c>
      <c r="D21" s="536" t="s">
        <v>10197</v>
      </c>
      <c r="E21" s="2438"/>
      <c r="F21" s="2438"/>
      <c r="G21" s="2438"/>
      <c r="H21" s="2438"/>
      <c r="I21" s="2438"/>
      <c r="J21" s="2438"/>
      <c r="K21" s="2438"/>
    </row>
    <row r="22" spans="1:11">
      <c r="A22" s="536"/>
      <c r="B22" s="536"/>
      <c r="C22" s="536"/>
      <c r="D22" s="536"/>
    </row>
    <row r="23" spans="1:11">
      <c r="A23" s="536" t="s">
        <v>9943</v>
      </c>
      <c r="B23" s="536" t="s">
        <v>10159</v>
      </c>
      <c r="C23" s="2434">
        <f>C11/(0.5*C12+C13+0.5*C14)</f>
        <v>1.1111111111111101</v>
      </c>
      <c r="D23" s="536" t="s">
        <v>2135</v>
      </c>
    </row>
    <row r="24" spans="1:11">
      <c r="A24" s="536"/>
      <c r="B24" s="536"/>
      <c r="C24" s="536"/>
      <c r="D24" s="536"/>
    </row>
    <row r="25" spans="1:11">
      <c r="A25" s="536" t="s">
        <v>729</v>
      </c>
      <c r="B25" s="536" t="s">
        <v>464</v>
      </c>
      <c r="C25" s="2435">
        <f>C23/3.14/C3</f>
        <v>7.0771408351026199</v>
      </c>
      <c r="D25" s="536" t="s">
        <v>10217</v>
      </c>
    </row>
    <row r="26" spans="1:11">
      <c r="A26" s="536" t="s">
        <v>5807</v>
      </c>
      <c r="B26" s="536" t="s">
        <v>464</v>
      </c>
      <c r="C26" s="2432">
        <f>C25*60</f>
        <v>424.628450106157</v>
      </c>
      <c r="D26" s="536" t="s">
        <v>5773</v>
      </c>
    </row>
    <row r="27" spans="1:11">
      <c r="A27" s="536"/>
      <c r="B27" s="536"/>
      <c r="C27" s="2432"/>
      <c r="D27" s="536"/>
    </row>
    <row r="28" spans="1:11">
      <c r="A28" s="536" t="s">
        <v>10210</v>
      </c>
      <c r="B28" s="536" t="s">
        <v>10211</v>
      </c>
      <c r="C28" s="2434">
        <f>C3*(C7*C9*C2+C8)/2/C5</f>
        <v>6.1249999999999999E-2</v>
      </c>
      <c r="D28" s="536" t="s">
        <v>5777</v>
      </c>
    </row>
    <row r="29" spans="1:11">
      <c r="A29" s="536"/>
      <c r="B29" s="536"/>
      <c r="C29" s="536"/>
      <c r="D29" s="536"/>
    </row>
    <row r="30" spans="1:11">
      <c r="A30" s="536" t="s">
        <v>10201</v>
      </c>
      <c r="B30" s="536" t="s">
        <v>10202</v>
      </c>
      <c r="C30" s="2434">
        <f>(C17+C19)*2*3.14*C25/C12+C28</f>
        <v>0.79436111111111096</v>
      </c>
      <c r="D30" s="536" t="s">
        <v>5777</v>
      </c>
    </row>
    <row r="31" spans="1:11">
      <c r="A31" s="536"/>
      <c r="B31" s="536"/>
      <c r="C31" s="536"/>
      <c r="D31" s="536"/>
    </row>
    <row r="32" spans="1:11">
      <c r="A32" s="536" t="s">
        <v>10207</v>
      </c>
      <c r="B32" s="536" t="s">
        <v>10208</v>
      </c>
      <c r="C32" s="2434">
        <f>(C17+C19)*2*3.14*C25/C14-C28</f>
        <v>0.67186111111111102</v>
      </c>
      <c r="D32" s="536" t="s">
        <v>5777</v>
      </c>
    </row>
    <row r="33" spans="1:12">
      <c r="A33" s="536"/>
      <c r="B33" s="536"/>
      <c r="C33" s="536"/>
      <c r="D33" s="536"/>
    </row>
    <row r="34" spans="1:12">
      <c r="A34" s="536" t="s">
        <v>10212</v>
      </c>
      <c r="B34" s="536" t="s">
        <v>10213</v>
      </c>
      <c r="C34" s="536"/>
      <c r="D34" s="536" t="s">
        <v>5777</v>
      </c>
      <c r="E34" s="2438"/>
      <c r="F34" s="2438"/>
      <c r="G34" s="141"/>
      <c r="H34" s="141"/>
      <c r="I34" s="141"/>
      <c r="J34" s="141"/>
      <c r="K34" s="141"/>
      <c r="L34" s="141"/>
    </row>
    <row r="35" spans="1:12">
      <c r="A35" s="536"/>
      <c r="B35" s="536"/>
      <c r="C35" s="536"/>
      <c r="D35" s="536"/>
    </row>
    <row r="36" spans="1:12">
      <c r="A36" s="536" t="s">
        <v>10214</v>
      </c>
      <c r="B36" s="536" t="s">
        <v>10215</v>
      </c>
      <c r="C36" s="2434">
        <f>SQRT((C30*C30*C12+C28*C28*C13+C32*C32*C14)/C15)</f>
        <v>0.23584098747557999</v>
      </c>
      <c r="D36" s="536" t="s">
        <v>5777</v>
      </c>
    </row>
  </sheetData>
  <phoneticPr fontId="214" type="noConversion"/>
  <pageMargins left="0.75" right="0.75" top="1" bottom="1" header="0.5" footer="0.5"/>
  <pageSetup paperSize="9" orientation="portrait"/>
  <headerFooter alignWithMargins="0"/>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93"/>
  <dimension ref="A1:P46"/>
  <sheetViews>
    <sheetView zoomScale="85" zoomScaleNormal="85" workbookViewId="0">
      <selection sqref="A1:P1"/>
    </sheetView>
  </sheetViews>
  <sheetFormatPr defaultColWidth="8.75" defaultRowHeight="14.25"/>
  <cols>
    <col min="1" max="1" width="15.75" style="105" customWidth="1"/>
    <col min="2" max="3" width="9.25" style="105" customWidth="1"/>
    <col min="4" max="16384" width="8.75" style="105"/>
  </cols>
  <sheetData>
    <row r="1" spans="1:16" ht="85.15" customHeight="1">
      <c r="A1" s="5001" t="s">
        <v>10239</v>
      </c>
      <c r="B1" s="5002"/>
      <c r="C1" s="5002"/>
      <c r="D1" s="5002"/>
      <c r="E1" s="5002"/>
      <c r="F1" s="5002"/>
      <c r="G1" s="5002"/>
      <c r="H1" s="5002"/>
      <c r="I1" s="5002"/>
      <c r="J1" s="5002"/>
      <c r="K1" s="5002"/>
      <c r="L1" s="5002"/>
      <c r="M1" s="5002"/>
      <c r="N1" s="5002"/>
      <c r="O1" s="5002"/>
      <c r="P1" s="5002"/>
    </row>
    <row r="2" spans="1:16">
      <c r="A2" s="2431" t="s">
        <v>10147</v>
      </c>
      <c r="B2" s="536" t="s">
        <v>10230</v>
      </c>
      <c r="C2" s="536" t="s">
        <v>10148</v>
      </c>
      <c r="D2" s="536" t="s">
        <v>213</v>
      </c>
    </row>
    <row r="3" spans="1:16">
      <c r="A3" s="96" t="s">
        <v>10149</v>
      </c>
      <c r="B3" s="536" t="s">
        <v>10231</v>
      </c>
      <c r="C3" s="98">
        <v>10</v>
      </c>
      <c r="D3" s="536" t="s">
        <v>10150</v>
      </c>
    </row>
    <row r="4" spans="1:16">
      <c r="A4" s="536" t="s">
        <v>10160</v>
      </c>
      <c r="B4" s="536" t="s">
        <v>10161</v>
      </c>
      <c r="C4" s="536">
        <v>7900</v>
      </c>
      <c r="D4" s="536" t="s">
        <v>10162</v>
      </c>
    </row>
    <row r="5" spans="1:16">
      <c r="A5" s="536" t="s">
        <v>10165</v>
      </c>
      <c r="B5" s="536" t="s">
        <v>10166</v>
      </c>
      <c r="C5" s="536">
        <v>2800</v>
      </c>
      <c r="D5" s="536" t="s">
        <v>10162</v>
      </c>
    </row>
    <row r="6" spans="1:16">
      <c r="A6" s="536" t="s">
        <v>10169</v>
      </c>
      <c r="B6" s="536" t="s">
        <v>10170</v>
      </c>
      <c r="C6" s="536">
        <v>8500</v>
      </c>
      <c r="D6" s="536" t="s">
        <v>10162</v>
      </c>
    </row>
    <row r="7" spans="1:16">
      <c r="A7" s="96" t="s">
        <v>10156</v>
      </c>
      <c r="B7" s="536" t="s">
        <v>10157</v>
      </c>
      <c r="C7" s="98">
        <v>0.5</v>
      </c>
      <c r="D7" s="536" t="s">
        <v>235</v>
      </c>
    </row>
    <row r="8" spans="1:16">
      <c r="A8" s="96" t="s">
        <v>10163</v>
      </c>
      <c r="B8" s="536" t="s">
        <v>10164</v>
      </c>
      <c r="C8" s="98">
        <v>0.02</v>
      </c>
      <c r="D8" s="536" t="s">
        <v>235</v>
      </c>
    </row>
    <row r="9" spans="1:16">
      <c r="A9" s="96" t="s">
        <v>10167</v>
      </c>
      <c r="B9" s="536" t="s">
        <v>10168</v>
      </c>
      <c r="C9" s="98">
        <v>0.02</v>
      </c>
      <c r="D9" s="536" t="s">
        <v>235</v>
      </c>
    </row>
    <row r="10" spans="1:16">
      <c r="A10" s="536" t="s">
        <v>10171</v>
      </c>
      <c r="B10" s="536" t="s">
        <v>10172</v>
      </c>
      <c r="C10" s="536">
        <v>0.9</v>
      </c>
      <c r="D10" s="536"/>
    </row>
    <row r="11" spans="1:16">
      <c r="A11" s="96" t="s">
        <v>10173</v>
      </c>
      <c r="B11" s="536" t="s">
        <v>10174</v>
      </c>
      <c r="C11" s="98">
        <v>1.0000000000000001E-5</v>
      </c>
      <c r="D11" s="536" t="s">
        <v>10175</v>
      </c>
    </row>
    <row r="12" spans="1:16">
      <c r="A12" s="536" t="s">
        <v>5242</v>
      </c>
      <c r="B12" s="536" t="s">
        <v>10176</v>
      </c>
      <c r="C12" s="536">
        <v>0.1</v>
      </c>
      <c r="D12" s="536"/>
    </row>
    <row r="13" spans="1:16">
      <c r="A13" s="536" t="s">
        <v>10177</v>
      </c>
      <c r="B13" s="536" t="s">
        <v>475</v>
      </c>
      <c r="C13" s="663">
        <v>0</v>
      </c>
      <c r="D13" s="536" t="s">
        <v>464</v>
      </c>
    </row>
    <row r="14" spans="1:16">
      <c r="A14" s="536" t="s">
        <v>10178</v>
      </c>
      <c r="B14" s="536" t="s">
        <v>2244</v>
      </c>
      <c r="C14" s="536">
        <v>9.8000000000000007</v>
      </c>
      <c r="D14" s="536" t="s">
        <v>10179</v>
      </c>
    </row>
    <row r="15" spans="1:16">
      <c r="A15" s="2431" t="s">
        <v>10237</v>
      </c>
      <c r="B15" s="536"/>
      <c r="C15" s="536"/>
      <c r="D15" s="536"/>
    </row>
    <row r="16" spans="1:16">
      <c r="A16" s="668" t="s">
        <v>10238</v>
      </c>
      <c r="B16" s="536" t="s">
        <v>1167</v>
      </c>
      <c r="C16" s="98">
        <v>0.3</v>
      </c>
      <c r="D16" s="536" t="s">
        <v>235</v>
      </c>
    </row>
    <row r="17" spans="1:11">
      <c r="A17" s="668" t="s">
        <v>9936</v>
      </c>
      <c r="B17" s="536" t="s">
        <v>10180</v>
      </c>
      <c r="C17" s="98">
        <v>0.1</v>
      </c>
      <c r="D17" s="536" t="s">
        <v>471</v>
      </c>
    </row>
    <row r="18" spans="1:11">
      <c r="A18" s="668" t="s">
        <v>9939</v>
      </c>
      <c r="B18" s="536" t="s">
        <v>10181</v>
      </c>
      <c r="C18" s="98">
        <v>0.8</v>
      </c>
      <c r="D18" s="536" t="s">
        <v>471</v>
      </c>
    </row>
    <row r="19" spans="1:11">
      <c r="A19" s="668" t="s">
        <v>10182</v>
      </c>
      <c r="B19" s="536" t="s">
        <v>10183</v>
      </c>
      <c r="C19" s="98">
        <v>0.1</v>
      </c>
      <c r="D19" s="536" t="s">
        <v>471</v>
      </c>
    </row>
    <row r="20" spans="1:11">
      <c r="A20" s="668" t="s">
        <v>10185</v>
      </c>
      <c r="B20" s="536" t="s">
        <v>10186</v>
      </c>
      <c r="C20" s="98">
        <v>2</v>
      </c>
      <c r="D20" s="536" t="s">
        <v>471</v>
      </c>
    </row>
    <row r="21" spans="1:11">
      <c r="A21" s="2431" t="s">
        <v>10188</v>
      </c>
      <c r="B21" s="536"/>
      <c r="C21" s="536"/>
      <c r="D21" s="536"/>
    </row>
    <row r="22" spans="1:11">
      <c r="A22" s="536" t="s">
        <v>10189</v>
      </c>
      <c r="B22" s="536" t="s">
        <v>10190</v>
      </c>
      <c r="C22" s="2432">
        <f>C4*3.14*C8*C8/4*C7</f>
        <v>1.2403</v>
      </c>
      <c r="D22" s="536" t="s">
        <v>10150</v>
      </c>
    </row>
    <row r="23" spans="1:11">
      <c r="A23" s="536"/>
      <c r="B23" s="536"/>
      <c r="C23" s="536"/>
      <c r="D23" s="536"/>
    </row>
    <row r="24" spans="1:11">
      <c r="A24" s="536" t="s">
        <v>10191</v>
      </c>
      <c r="B24" s="536" t="s">
        <v>10192</v>
      </c>
      <c r="C24" s="536">
        <f>C11+C22*C8*C8/8+C3*C9*C9/4/3.14/3.14</f>
        <v>1.73438992859751E-4</v>
      </c>
      <c r="D24" s="536" t="s">
        <v>10175</v>
      </c>
    </row>
    <row r="25" spans="1:11">
      <c r="A25" s="536"/>
      <c r="B25" s="536"/>
      <c r="C25" s="536"/>
      <c r="D25" s="536"/>
    </row>
    <row r="26" spans="1:11">
      <c r="A26" s="536" t="s">
        <v>10193</v>
      </c>
      <c r="B26" s="536" t="s">
        <v>10194</v>
      </c>
      <c r="C26" s="98">
        <v>1.4E-5</v>
      </c>
      <c r="D26" s="536" t="s">
        <v>10175</v>
      </c>
    </row>
    <row r="27" spans="1:11">
      <c r="A27" s="536"/>
      <c r="B27" s="536"/>
      <c r="C27" s="536"/>
      <c r="D27" s="536"/>
    </row>
    <row r="28" spans="1:11">
      <c r="A28" s="536" t="s">
        <v>10195</v>
      </c>
      <c r="B28" s="536" t="s">
        <v>10196</v>
      </c>
      <c r="C28" s="536">
        <f>C24/C26</f>
        <v>12.3884994899822</v>
      </c>
      <c r="D28" s="536" t="s">
        <v>10197</v>
      </c>
      <c r="E28" s="2433" t="s">
        <v>10198</v>
      </c>
      <c r="F28" s="2433"/>
      <c r="G28" s="2433"/>
      <c r="H28" s="2433"/>
      <c r="I28" s="2433"/>
      <c r="J28" s="2433"/>
      <c r="K28" s="2433"/>
    </row>
    <row r="29" spans="1:11">
      <c r="A29" s="536"/>
      <c r="B29" s="536"/>
      <c r="C29" s="536"/>
      <c r="D29" s="536"/>
    </row>
    <row r="30" spans="1:11">
      <c r="A30" s="536" t="s">
        <v>9943</v>
      </c>
      <c r="B30" s="536" t="s">
        <v>10159</v>
      </c>
      <c r="C30" s="2434">
        <f>C16/(0.5*C17+C18+0.5*C19)</f>
        <v>0.33333333333333298</v>
      </c>
      <c r="D30" s="536" t="s">
        <v>2135</v>
      </c>
    </row>
    <row r="31" spans="1:11">
      <c r="A31" s="536"/>
      <c r="B31" s="536"/>
      <c r="C31" s="536"/>
      <c r="D31" s="536"/>
    </row>
    <row r="32" spans="1:11">
      <c r="A32" s="536" t="s">
        <v>729</v>
      </c>
      <c r="B32" s="536" t="s">
        <v>464</v>
      </c>
      <c r="C32" s="2435">
        <f>C30/C9</f>
        <v>16.6666666666667</v>
      </c>
      <c r="D32" s="536" t="s">
        <v>10217</v>
      </c>
    </row>
    <row r="33" spans="1:9">
      <c r="A33" s="536" t="s">
        <v>5807</v>
      </c>
      <c r="B33" s="536" t="s">
        <v>464</v>
      </c>
      <c r="C33" s="2432">
        <f>C32*60</f>
        <v>1000</v>
      </c>
      <c r="D33" s="536" t="s">
        <v>5773</v>
      </c>
    </row>
    <row r="34" spans="1:9">
      <c r="A34" s="536"/>
      <c r="B34" s="536"/>
      <c r="C34" s="2432"/>
      <c r="D34" s="536"/>
    </row>
    <row r="35" spans="1:9">
      <c r="A35" s="536" t="s">
        <v>10210</v>
      </c>
      <c r="B35" s="536" t="s">
        <v>10211</v>
      </c>
      <c r="C35" s="2434">
        <f>C9*(C12*C14*C3+C13)/2/3.14/C10</f>
        <v>3.46779900920028E-2</v>
      </c>
      <c r="D35" s="536" t="s">
        <v>5777</v>
      </c>
    </row>
    <row r="36" spans="1:9">
      <c r="A36" s="536"/>
      <c r="B36" s="536"/>
      <c r="C36" s="536"/>
      <c r="D36" s="536"/>
    </row>
    <row r="37" spans="1:9">
      <c r="A37" s="536" t="s">
        <v>10201</v>
      </c>
      <c r="B37" s="536" t="s">
        <v>10202</v>
      </c>
      <c r="C37" s="2434">
        <f>(C24+C26)*2*3.14*C32/C17+C35</f>
        <v>0.23086413595187499</v>
      </c>
      <c r="D37" s="536" t="s">
        <v>5777</v>
      </c>
    </row>
    <row r="38" spans="1:9">
      <c r="A38" s="536"/>
      <c r="B38" s="536"/>
      <c r="C38" s="536"/>
      <c r="D38" s="536"/>
    </row>
    <row r="39" spans="1:9">
      <c r="A39" s="536" t="s">
        <v>10207</v>
      </c>
      <c r="B39" s="536" t="s">
        <v>10208</v>
      </c>
      <c r="C39" s="2434">
        <f>(C24+C26)*2*3.14*C32/C19-C35</f>
        <v>0.16150815576787</v>
      </c>
      <c r="D39" s="536" t="s">
        <v>5777</v>
      </c>
    </row>
    <row r="40" spans="1:9">
      <c r="A40" s="536"/>
      <c r="B40" s="536"/>
      <c r="C40" s="536"/>
      <c r="D40" s="536"/>
    </row>
    <row r="41" spans="1:9">
      <c r="A41" s="536" t="s">
        <v>10212</v>
      </c>
      <c r="B41" s="536" t="s">
        <v>10213</v>
      </c>
      <c r="C41" s="536"/>
      <c r="D41" s="536" t="s">
        <v>5777</v>
      </c>
      <c r="E41" s="2433" t="s">
        <v>10216</v>
      </c>
      <c r="F41" s="2433"/>
    </row>
    <row r="42" spans="1:9">
      <c r="A42" s="536"/>
      <c r="B42" s="536"/>
      <c r="C42" s="536"/>
      <c r="D42" s="536"/>
    </row>
    <row r="43" spans="1:9">
      <c r="A43" s="536" t="s">
        <v>10214</v>
      </c>
      <c r="B43" s="536" t="s">
        <v>10215</v>
      </c>
      <c r="C43" s="2434">
        <f>SQRT((C37*C37*C17+C35*C35*C18+C39*C39*C19)/C20)</f>
        <v>6.6709683563524996E-2</v>
      </c>
      <c r="D43" s="536" t="s">
        <v>5777</v>
      </c>
    </row>
    <row r="44" spans="1:9" ht="22.15" customHeight="1"/>
    <row r="45" spans="1:9" s="2436" customFormat="1" ht="16.149999999999999" customHeight="1">
      <c r="A45" s="2437"/>
    </row>
    <row r="46" spans="1:9" ht="52.15" customHeight="1">
      <c r="A46" s="5003" t="s">
        <v>10240</v>
      </c>
      <c r="B46" s="5004"/>
      <c r="C46" s="5004"/>
      <c r="D46" s="5004"/>
      <c r="E46" s="5004"/>
      <c r="F46" s="5004"/>
      <c r="G46" s="5004"/>
      <c r="H46" s="5004"/>
      <c r="I46" s="5004"/>
    </row>
  </sheetData>
  <mergeCells count="2">
    <mergeCell ref="A1:P1"/>
    <mergeCell ref="A46:I46"/>
  </mergeCells>
  <phoneticPr fontId="214" type="noConversion"/>
  <pageMargins left="0.75" right="0.75" top="1" bottom="1" header="0.5" footer="0.5"/>
  <headerFooter alignWithMargins="0"/>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94"/>
  <dimension ref="A1:M43"/>
  <sheetViews>
    <sheetView showGridLines="0" zoomScale="85" zoomScaleNormal="85" workbookViewId="0">
      <selection sqref="A1:M1"/>
    </sheetView>
  </sheetViews>
  <sheetFormatPr defaultColWidth="8.75" defaultRowHeight="14.25"/>
  <cols>
    <col min="1" max="1" width="15.75" style="105" customWidth="1"/>
    <col min="2" max="3" width="9.25" style="105" customWidth="1"/>
    <col min="4" max="16384" width="8.75" style="105"/>
  </cols>
  <sheetData>
    <row r="1" spans="1:13" ht="67.150000000000006" customHeight="1">
      <c r="A1" s="5005" t="s">
        <v>10241</v>
      </c>
      <c r="B1" s="5006"/>
      <c r="C1" s="5006"/>
      <c r="D1" s="5006"/>
      <c r="E1" s="5006"/>
      <c r="F1" s="5006"/>
      <c r="G1" s="5006"/>
      <c r="H1" s="5006"/>
      <c r="I1" s="5006"/>
      <c r="J1" s="5006"/>
      <c r="K1" s="5006"/>
      <c r="L1" s="5006"/>
      <c r="M1" s="5006"/>
    </row>
    <row r="2" spans="1:13">
      <c r="A2" s="2431" t="s">
        <v>10147</v>
      </c>
      <c r="B2" s="536" t="s">
        <v>10230</v>
      </c>
      <c r="C2" s="536" t="s">
        <v>10148</v>
      </c>
      <c r="D2" s="536" t="s">
        <v>213</v>
      </c>
    </row>
    <row r="3" spans="1:13">
      <c r="A3" s="96" t="s">
        <v>10149</v>
      </c>
      <c r="B3" s="536" t="s">
        <v>10231</v>
      </c>
      <c r="C3" s="98">
        <v>20</v>
      </c>
      <c r="D3" s="536" t="s">
        <v>10150</v>
      </c>
    </row>
    <row r="4" spans="1:13">
      <c r="A4" s="536" t="s">
        <v>10160</v>
      </c>
      <c r="B4" s="536" t="s">
        <v>10161</v>
      </c>
      <c r="C4" s="536">
        <v>7900</v>
      </c>
      <c r="D4" s="536" t="s">
        <v>10162</v>
      </c>
    </row>
    <row r="5" spans="1:13">
      <c r="A5" s="536" t="s">
        <v>10165</v>
      </c>
      <c r="B5" s="536" t="s">
        <v>10166</v>
      </c>
      <c r="C5" s="536">
        <v>2800</v>
      </c>
      <c r="D5" s="536" t="s">
        <v>10162</v>
      </c>
    </row>
    <row r="6" spans="1:13">
      <c r="A6" s="536" t="s">
        <v>10169</v>
      </c>
      <c r="B6" s="536" t="s">
        <v>10170</v>
      </c>
      <c r="C6" s="536">
        <v>8500</v>
      </c>
      <c r="D6" s="536" t="s">
        <v>10162</v>
      </c>
    </row>
    <row r="7" spans="1:13">
      <c r="A7" s="96" t="s">
        <v>10156</v>
      </c>
      <c r="B7" s="536" t="s">
        <v>10157</v>
      </c>
      <c r="C7" s="98">
        <v>0.12</v>
      </c>
      <c r="D7" s="536" t="s">
        <v>235</v>
      </c>
    </row>
    <row r="8" spans="1:13">
      <c r="A8" s="96" t="s">
        <v>10163</v>
      </c>
      <c r="B8" s="536" t="s">
        <v>10164</v>
      </c>
      <c r="C8" s="98">
        <v>1.4999999999999999E-2</v>
      </c>
      <c r="D8" s="536" t="s">
        <v>235</v>
      </c>
    </row>
    <row r="9" spans="1:13">
      <c r="A9" s="96" t="s">
        <v>10167</v>
      </c>
      <c r="B9" s="536" t="s">
        <v>10168</v>
      </c>
      <c r="C9" s="98">
        <v>5.0000000000000001E-3</v>
      </c>
      <c r="D9" s="536" t="s">
        <v>235</v>
      </c>
    </row>
    <row r="10" spans="1:13">
      <c r="A10" s="536" t="s">
        <v>10171</v>
      </c>
      <c r="B10" s="536" t="s">
        <v>10172</v>
      </c>
      <c r="C10" s="536">
        <v>0.9</v>
      </c>
      <c r="D10" s="536"/>
    </row>
    <row r="11" spans="1:13">
      <c r="A11" s="96" t="s">
        <v>10173</v>
      </c>
      <c r="B11" s="536" t="s">
        <v>10174</v>
      </c>
      <c r="C11" s="98">
        <v>1.0000000000000001E-5</v>
      </c>
      <c r="D11" s="536" t="s">
        <v>10175</v>
      </c>
    </row>
    <row r="12" spans="1:13">
      <c r="A12" s="536" t="s">
        <v>5242</v>
      </c>
      <c r="B12" s="536" t="s">
        <v>10176</v>
      </c>
      <c r="C12" s="536">
        <v>0.3</v>
      </c>
      <c r="D12" s="536"/>
    </row>
    <row r="13" spans="1:13">
      <c r="A13" s="536" t="s">
        <v>10177</v>
      </c>
      <c r="B13" s="536" t="s">
        <v>475</v>
      </c>
      <c r="C13" s="536">
        <v>10</v>
      </c>
      <c r="D13" s="536" t="s">
        <v>464</v>
      </c>
    </row>
    <row r="14" spans="1:13">
      <c r="A14" s="536" t="s">
        <v>10178</v>
      </c>
      <c r="B14" s="536" t="s">
        <v>2244</v>
      </c>
      <c r="C14" s="536">
        <v>9.8000000000000007</v>
      </c>
      <c r="D14" s="536" t="s">
        <v>10179</v>
      </c>
    </row>
    <row r="15" spans="1:13">
      <c r="A15" s="2431" t="s">
        <v>10237</v>
      </c>
      <c r="B15" s="536"/>
      <c r="C15" s="536"/>
      <c r="D15" s="536"/>
    </row>
    <row r="16" spans="1:13">
      <c r="A16" s="668" t="s">
        <v>10238</v>
      </c>
      <c r="B16" s="536" t="s">
        <v>1167</v>
      </c>
      <c r="C16" s="98">
        <v>0.1</v>
      </c>
      <c r="D16" s="536" t="s">
        <v>235</v>
      </c>
    </row>
    <row r="17" spans="1:11">
      <c r="A17" s="668" t="s">
        <v>9936</v>
      </c>
      <c r="B17" s="536" t="s">
        <v>10180</v>
      </c>
      <c r="C17" s="98">
        <v>0.1</v>
      </c>
      <c r="D17" s="536" t="s">
        <v>471</v>
      </c>
    </row>
    <row r="18" spans="1:11">
      <c r="A18" s="668" t="s">
        <v>9939</v>
      </c>
      <c r="B18" s="536" t="s">
        <v>10181</v>
      </c>
      <c r="C18" s="98">
        <v>60</v>
      </c>
      <c r="D18" s="536" t="s">
        <v>471</v>
      </c>
    </row>
    <row r="19" spans="1:11">
      <c r="A19" s="668" t="s">
        <v>10182</v>
      </c>
      <c r="B19" s="536" t="s">
        <v>10183</v>
      </c>
      <c r="C19" s="98">
        <v>0.1</v>
      </c>
      <c r="D19" s="536" t="s">
        <v>471</v>
      </c>
    </row>
    <row r="20" spans="1:11">
      <c r="A20" s="668" t="s">
        <v>10185</v>
      </c>
      <c r="B20" s="536" t="s">
        <v>10186</v>
      </c>
      <c r="C20" s="98">
        <v>5</v>
      </c>
      <c r="D20" s="536" t="s">
        <v>471</v>
      </c>
    </row>
    <row r="21" spans="1:11">
      <c r="A21" s="2431" t="s">
        <v>10188</v>
      </c>
      <c r="B21" s="536"/>
      <c r="C21" s="536"/>
      <c r="D21" s="536"/>
    </row>
    <row r="22" spans="1:11">
      <c r="A22" s="536" t="s">
        <v>10189</v>
      </c>
      <c r="B22" s="536" t="s">
        <v>10190</v>
      </c>
      <c r="C22" s="2432">
        <f>C4*3.14*C8*C8/4*C7</f>
        <v>0.16744049999999999</v>
      </c>
      <c r="D22" s="536" t="s">
        <v>10150</v>
      </c>
    </row>
    <row r="23" spans="1:11">
      <c r="A23" s="536"/>
      <c r="B23" s="536"/>
      <c r="C23" s="536"/>
      <c r="D23" s="536"/>
    </row>
    <row r="24" spans="1:11">
      <c r="A24" s="536" t="s">
        <v>10191</v>
      </c>
      <c r="B24" s="536" t="s">
        <v>10192</v>
      </c>
      <c r="C24" s="536">
        <f>C11+C22*C8*C8/8+C3*C9*C9/4/3.14/3.14</f>
        <v>2.7387263169968901E-5</v>
      </c>
      <c r="D24" s="536" t="s">
        <v>10175</v>
      </c>
    </row>
    <row r="25" spans="1:11">
      <c r="A25" s="536"/>
      <c r="B25" s="536"/>
      <c r="C25" s="536"/>
      <c r="D25" s="536"/>
    </row>
    <row r="26" spans="1:11">
      <c r="A26" s="536" t="s">
        <v>10193</v>
      </c>
      <c r="B26" s="536" t="s">
        <v>10194</v>
      </c>
      <c r="C26" s="98">
        <v>1.4E-5</v>
      </c>
      <c r="D26" s="536" t="s">
        <v>10175</v>
      </c>
    </row>
    <row r="27" spans="1:11">
      <c r="A27" s="536"/>
      <c r="B27" s="536"/>
      <c r="C27" s="536"/>
      <c r="D27" s="536"/>
    </row>
    <row r="28" spans="1:11">
      <c r="A28" s="536" t="s">
        <v>10195</v>
      </c>
      <c r="B28" s="536" t="s">
        <v>10196</v>
      </c>
      <c r="C28" s="536">
        <f>C24/C26</f>
        <v>1.9562330835691999</v>
      </c>
      <c r="D28" s="536" t="s">
        <v>10197</v>
      </c>
      <c r="E28" s="2433" t="s">
        <v>10198</v>
      </c>
      <c r="F28" s="2433"/>
      <c r="G28" s="2433"/>
      <c r="H28" s="2433"/>
      <c r="I28" s="2433"/>
      <c r="J28" s="2433"/>
      <c r="K28" s="2433"/>
    </row>
    <row r="29" spans="1:11">
      <c r="A29" s="536"/>
      <c r="B29" s="536"/>
      <c r="C29" s="536"/>
      <c r="D29" s="536"/>
    </row>
    <row r="30" spans="1:11">
      <c r="A30" s="536" t="s">
        <v>9943</v>
      </c>
      <c r="B30" s="536" t="s">
        <v>10159</v>
      </c>
      <c r="C30" s="2434">
        <f>C16/(0.5*C17+C18+0.5*C19)</f>
        <v>1.66389351081531E-3</v>
      </c>
      <c r="D30" s="536" t="s">
        <v>2135</v>
      </c>
    </row>
    <row r="31" spans="1:11">
      <c r="A31" s="536"/>
      <c r="B31" s="536"/>
      <c r="C31" s="536"/>
      <c r="D31" s="536"/>
    </row>
    <row r="32" spans="1:11">
      <c r="A32" s="536" t="s">
        <v>729</v>
      </c>
      <c r="B32" s="536" t="s">
        <v>464</v>
      </c>
      <c r="C32" s="2435">
        <f>C30/C9</f>
        <v>0.33277870216306199</v>
      </c>
      <c r="D32" s="536" t="s">
        <v>10217</v>
      </c>
    </row>
    <row r="33" spans="1:6">
      <c r="A33" s="536" t="s">
        <v>5807</v>
      </c>
      <c r="B33" s="536" t="s">
        <v>464</v>
      </c>
      <c r="C33" s="2432">
        <f>C32*60</f>
        <v>19.966722129783701</v>
      </c>
      <c r="D33" s="536" t="s">
        <v>5773</v>
      </c>
    </row>
    <row r="34" spans="1:6">
      <c r="A34" s="536"/>
      <c r="B34" s="536"/>
      <c r="C34" s="2432"/>
      <c r="D34" s="536"/>
    </row>
    <row r="35" spans="1:6">
      <c r="A35" s="536" t="s">
        <v>10210</v>
      </c>
      <c r="B35" s="536" t="s">
        <v>10211</v>
      </c>
      <c r="C35" s="2434">
        <f>C9*(C12*C14*C3+C13)/2/3.14/C10</f>
        <v>6.0863411181882501E-2</v>
      </c>
      <c r="D35" s="536" t="s">
        <v>5777</v>
      </c>
    </row>
    <row r="36" spans="1:6">
      <c r="A36" s="536"/>
      <c r="B36" s="536"/>
      <c r="C36" s="536"/>
      <c r="D36" s="536"/>
    </row>
    <row r="37" spans="1:6">
      <c r="A37" s="536" t="s">
        <v>10201</v>
      </c>
      <c r="B37" s="536" t="s">
        <v>10202</v>
      </c>
      <c r="C37" s="2434">
        <f>(C24+C26)*2*3.14*C32/C17+C35</f>
        <v>6.1728343004536099E-2</v>
      </c>
      <c r="D37" s="536" t="s">
        <v>5777</v>
      </c>
    </row>
    <row r="38" spans="1:6">
      <c r="A38" s="536"/>
      <c r="B38" s="536"/>
      <c r="C38" s="536"/>
      <c r="D38" s="536"/>
    </row>
    <row r="39" spans="1:6">
      <c r="A39" s="536" t="s">
        <v>10207</v>
      </c>
      <c r="B39" s="536" t="s">
        <v>10208</v>
      </c>
      <c r="C39" s="2434">
        <f>(C24+C26)*2*3.14*C32/C19-C35</f>
        <v>-5.9998479359228897E-2</v>
      </c>
      <c r="D39" s="536" t="s">
        <v>5777</v>
      </c>
    </row>
    <row r="40" spans="1:6">
      <c r="A40" s="536"/>
      <c r="B40" s="536"/>
      <c r="C40" s="536"/>
      <c r="D40" s="536"/>
    </row>
    <row r="41" spans="1:6">
      <c r="A41" s="536" t="s">
        <v>10212</v>
      </c>
      <c r="B41" s="536" t="s">
        <v>10213</v>
      </c>
      <c r="C41" s="536"/>
      <c r="D41" s="536" t="s">
        <v>5777</v>
      </c>
      <c r="E41" s="2433" t="s">
        <v>10216</v>
      </c>
      <c r="F41" s="2433"/>
    </row>
    <row r="42" spans="1:6">
      <c r="A42" s="536"/>
      <c r="B42" s="536"/>
      <c r="C42" s="536"/>
      <c r="D42" s="536"/>
    </row>
    <row r="43" spans="1:6">
      <c r="A43" s="536" t="s">
        <v>10214</v>
      </c>
      <c r="B43" s="536" t="s">
        <v>10215</v>
      </c>
      <c r="C43" s="2434">
        <f>SQRT((C37*C37*C17+C35*C35*C18+C39*C39*C19)/C20)</f>
        <v>0.211188214551497</v>
      </c>
      <c r="D43" s="536" t="s">
        <v>5777</v>
      </c>
    </row>
  </sheetData>
  <mergeCells count="1">
    <mergeCell ref="A1:M1"/>
  </mergeCells>
  <phoneticPr fontId="214" type="noConversion"/>
  <pageMargins left="0.75" right="0.75" top="1" bottom="1" header="0.5" footer="0.5"/>
  <pageSetup paperSize="9" orientation="portrait"/>
  <headerFooter alignWithMargins="0"/>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95"/>
  <dimension ref="B1:AE88"/>
  <sheetViews>
    <sheetView workbookViewId="0">
      <selection activeCell="U10" sqref="U10"/>
    </sheetView>
  </sheetViews>
  <sheetFormatPr defaultColWidth="8.75" defaultRowHeight="14.25"/>
  <cols>
    <col min="1" max="1" width="0.625" customWidth="1"/>
    <col min="2" max="4" width="7.625" customWidth="1"/>
    <col min="5" max="5" width="7.625" style="2277" customWidth="1"/>
    <col min="6" max="6" width="7.875" customWidth="1"/>
    <col min="7" max="10" width="7.625" customWidth="1"/>
    <col min="11" max="11" width="5.625" customWidth="1"/>
    <col min="12" max="12" width="7.625" customWidth="1"/>
    <col min="13" max="13" width="7.625" style="2277" customWidth="1"/>
    <col min="14" max="14" width="7.875" customWidth="1"/>
    <col min="15" max="20" width="7.625" customWidth="1"/>
    <col min="21" max="21" width="5.625" customWidth="1"/>
    <col min="22" max="29" width="7.625" customWidth="1"/>
    <col min="30" max="30" width="0.125" customWidth="1"/>
    <col min="31" max="31" width="0.125" hidden="1" customWidth="1"/>
    <col min="32" max="38" width="7.625" customWidth="1"/>
  </cols>
  <sheetData>
    <row r="1" spans="2:22" ht="39" customHeight="1">
      <c r="B1" s="5027" t="s">
        <v>10242</v>
      </c>
      <c r="C1" s="5028"/>
      <c r="D1" s="5028"/>
      <c r="E1" s="5028"/>
      <c r="F1" s="5028"/>
      <c r="G1" s="5028"/>
      <c r="H1" s="5028"/>
      <c r="I1" s="5028"/>
      <c r="J1" s="5028"/>
      <c r="K1" s="5028"/>
      <c r="L1" s="5028"/>
      <c r="M1" s="5028"/>
      <c r="N1" s="5028"/>
      <c r="O1" s="5028"/>
      <c r="P1" s="5028"/>
      <c r="Q1" s="5028"/>
      <c r="R1" s="5028"/>
      <c r="S1" s="5028"/>
    </row>
    <row r="2" spans="2:22">
      <c r="C2" s="5018" t="s">
        <v>10243</v>
      </c>
      <c r="D2" s="5019"/>
      <c r="E2" s="5019"/>
      <c r="F2" s="5019"/>
      <c r="G2" s="5019"/>
      <c r="H2" s="5019"/>
      <c r="I2" s="5019"/>
      <c r="J2" s="5019"/>
      <c r="K2" s="5029" t="s">
        <v>3674</v>
      </c>
      <c r="L2" s="2367" t="s">
        <v>10244</v>
      </c>
      <c r="M2" s="2367"/>
      <c r="N2" s="2367"/>
      <c r="O2" s="2367"/>
      <c r="P2" s="2367" t="s">
        <v>10245</v>
      </c>
      <c r="Q2" s="2367"/>
      <c r="R2" s="2367"/>
      <c r="S2" s="2367"/>
    </row>
    <row r="3" spans="2:22" ht="15">
      <c r="C3" s="2278" t="s">
        <v>10246</v>
      </c>
      <c r="D3" s="2279"/>
      <c r="E3" s="2280" t="s">
        <v>10247</v>
      </c>
      <c r="F3" s="2280" t="s">
        <v>10248</v>
      </c>
      <c r="G3" s="2280" t="s">
        <v>10249</v>
      </c>
      <c r="H3" s="2280" t="s">
        <v>10250</v>
      </c>
      <c r="I3" s="2280" t="s">
        <v>10251</v>
      </c>
      <c r="J3" s="2368" t="s">
        <v>10252</v>
      </c>
      <c r="K3" s="5007"/>
      <c r="L3" s="2367" t="s">
        <v>10253</v>
      </c>
      <c r="M3" s="2369"/>
      <c r="N3" s="2370"/>
      <c r="O3" s="2367"/>
      <c r="P3" s="2367" t="s">
        <v>10254</v>
      </c>
      <c r="Q3" s="2367"/>
      <c r="R3" s="2367" t="s">
        <v>10255</v>
      </c>
      <c r="S3" s="2367" t="s">
        <v>10256</v>
      </c>
    </row>
    <row r="4" spans="2:22" ht="15">
      <c r="C4" s="2281" t="s">
        <v>10257</v>
      </c>
      <c r="D4" s="2282"/>
      <c r="E4" s="2283" t="s">
        <v>10258</v>
      </c>
      <c r="F4" s="2283" t="s">
        <v>10259</v>
      </c>
      <c r="G4" s="2283" t="s">
        <v>10260</v>
      </c>
      <c r="H4" s="2283" t="s">
        <v>10261</v>
      </c>
      <c r="I4" s="2283" t="s">
        <v>10262</v>
      </c>
      <c r="J4" s="2371" t="s">
        <v>10263</v>
      </c>
      <c r="K4" s="5007"/>
      <c r="L4" s="2285"/>
      <c r="M4" s="2367" t="s">
        <v>10264</v>
      </c>
      <c r="N4" s="2277" t="s">
        <v>10265</v>
      </c>
      <c r="P4" s="2286"/>
      <c r="Q4" s="2286"/>
      <c r="R4" s="2286"/>
      <c r="S4" s="2286"/>
    </row>
    <row r="5" spans="2:22" ht="0.75" customHeight="1">
      <c r="C5" s="2284"/>
      <c r="D5" s="2285"/>
      <c r="E5" s="2286"/>
      <c r="F5" s="2286"/>
      <c r="G5" s="2286"/>
      <c r="H5" s="2286"/>
      <c r="I5" s="2286"/>
      <c r="J5" s="2286"/>
      <c r="K5" s="5007"/>
      <c r="L5" s="2372"/>
      <c r="M5" s="2372"/>
      <c r="N5" s="2373"/>
      <c r="O5" s="2373"/>
      <c r="P5" s="2373"/>
      <c r="Q5" s="2373"/>
      <c r="R5" s="2373"/>
      <c r="S5" s="2417"/>
    </row>
    <row r="6" spans="2:22" ht="15.75">
      <c r="C6" s="5018" t="s">
        <v>10266</v>
      </c>
      <c r="D6" s="5019"/>
      <c r="E6" s="5019"/>
      <c r="F6" s="5019"/>
      <c r="G6" s="5019"/>
      <c r="H6" s="5019"/>
      <c r="I6" s="5019"/>
      <c r="J6" s="5019"/>
      <c r="K6" s="5007"/>
      <c r="L6" s="5019" t="s">
        <v>10267</v>
      </c>
      <c r="M6" s="5019"/>
      <c r="N6" s="5019"/>
      <c r="O6" s="5019"/>
      <c r="P6" s="5019"/>
      <c r="Q6" s="5019"/>
      <c r="R6" s="5019"/>
      <c r="S6" s="5020"/>
    </row>
    <row r="7" spans="2:22" ht="15.75" customHeight="1">
      <c r="C7" s="2287" t="s">
        <v>10268</v>
      </c>
      <c r="D7" s="2279"/>
      <c r="E7" s="2288">
        <v>8030</v>
      </c>
      <c r="F7" s="2289" t="s">
        <v>10269</v>
      </c>
      <c r="G7" s="2290"/>
      <c r="H7" s="2291" t="s">
        <v>10270</v>
      </c>
      <c r="I7" s="2280"/>
      <c r="J7" s="2374">
        <f>E8/E9</f>
        <v>11.136363636363599</v>
      </c>
      <c r="K7" s="5007" t="s">
        <v>3681</v>
      </c>
      <c r="L7" s="2375" t="s">
        <v>10268</v>
      </c>
      <c r="M7" s="2279"/>
      <c r="N7" s="2288">
        <v>8000</v>
      </c>
      <c r="O7" s="2289" t="s">
        <v>10269</v>
      </c>
      <c r="P7" s="2290"/>
      <c r="Q7" s="2291" t="s">
        <v>10270</v>
      </c>
      <c r="R7" s="2280"/>
      <c r="S7" s="2418">
        <f>N8/N9</f>
        <v>8.4285714285714306</v>
      </c>
    </row>
    <row r="8" spans="2:22" ht="15.75">
      <c r="C8" s="2292" t="s">
        <v>10271</v>
      </c>
      <c r="D8" s="2293"/>
      <c r="E8" s="2294">
        <v>24.5</v>
      </c>
      <c r="F8" s="2295" t="s">
        <v>234</v>
      </c>
      <c r="G8" s="1160"/>
      <c r="H8" s="2296" t="s">
        <v>10272</v>
      </c>
      <c r="I8" s="2283"/>
      <c r="J8" s="2376">
        <f>((4*J7-1)/(4*J7-4))+(0.615/J7)</f>
        <v>1.12921552118605</v>
      </c>
      <c r="K8" s="5008"/>
      <c r="L8" s="2377" t="s">
        <v>10271</v>
      </c>
      <c r="M8" s="2293"/>
      <c r="N8" s="2294">
        <v>5.9</v>
      </c>
      <c r="O8" s="2295" t="s">
        <v>234</v>
      </c>
      <c r="P8" s="1160"/>
      <c r="Q8" s="2296" t="s">
        <v>10272</v>
      </c>
      <c r="R8" s="2283"/>
      <c r="S8" s="2406">
        <f>((4*S7-1)/(4*S7-4))+(0.615/S7)</f>
        <v>1.17392764015645</v>
      </c>
    </row>
    <row r="9" spans="2:22" ht="15">
      <c r="C9" s="2297" t="s">
        <v>10273</v>
      </c>
      <c r="D9" s="2298"/>
      <c r="E9" s="2294">
        <v>2.2000000000000002</v>
      </c>
      <c r="F9" s="2295" t="s">
        <v>234</v>
      </c>
      <c r="G9" s="1160"/>
      <c r="H9" s="2299"/>
      <c r="I9" s="684"/>
      <c r="J9" s="2378"/>
      <c r="K9" s="5008"/>
      <c r="L9" s="2379" t="s">
        <v>10273</v>
      </c>
      <c r="M9" s="2298"/>
      <c r="N9" s="2294">
        <v>0.7</v>
      </c>
      <c r="O9" s="2295" t="s">
        <v>234</v>
      </c>
      <c r="P9" s="1160"/>
      <c r="Q9" s="2299"/>
      <c r="R9" s="684"/>
      <c r="S9" s="2407"/>
    </row>
    <row r="10" spans="2:22" ht="16.5" customHeight="1">
      <c r="C10" s="2300" t="s">
        <v>10274</v>
      </c>
      <c r="D10" s="2301"/>
      <c r="E10" s="2302">
        <v>30.25</v>
      </c>
      <c r="F10" s="2303"/>
      <c r="G10" s="1160"/>
      <c r="H10" s="2304" t="s">
        <v>10275</v>
      </c>
      <c r="I10" s="2380"/>
      <c r="J10" s="2381">
        <v>50</v>
      </c>
      <c r="K10" s="5008"/>
      <c r="L10" s="2382" t="s">
        <v>10274</v>
      </c>
      <c r="M10" s="2301"/>
      <c r="N10" s="2302">
        <v>4</v>
      </c>
      <c r="O10" s="2303"/>
      <c r="P10" s="1160"/>
      <c r="Q10" s="2304" t="s">
        <v>10275</v>
      </c>
      <c r="R10" s="2380"/>
      <c r="S10" s="2419">
        <v>50</v>
      </c>
    </row>
    <row r="11" spans="2:22" ht="15.75" customHeight="1">
      <c r="C11" s="2305" t="s">
        <v>10276</v>
      </c>
      <c r="D11" s="2306"/>
      <c r="E11" s="2307">
        <f>E7*E9^4/(8*E8^3*E10)</f>
        <v>5.2855799879302001E-2</v>
      </c>
      <c r="F11" s="2308" t="s">
        <v>10277</v>
      </c>
      <c r="G11" s="2309">
        <f>E11*9.80665</f>
        <v>0.51833832988635697</v>
      </c>
      <c r="H11" s="2310" t="s">
        <v>1719</v>
      </c>
      <c r="I11" s="2383"/>
      <c r="J11" s="2384" t="s">
        <v>10278</v>
      </c>
      <c r="K11" s="5007" t="s">
        <v>10279</v>
      </c>
      <c r="L11" s="2385" t="s">
        <v>10276</v>
      </c>
      <c r="M11" s="2306"/>
      <c r="N11" s="2307">
        <f>N7*N9^4/(8*N8^3*N10)</f>
        <v>0.29226454506059502</v>
      </c>
      <c r="O11" s="2308" t="s">
        <v>10277</v>
      </c>
      <c r="P11" s="2309">
        <f>N11*9.80665</f>
        <v>2.86613610081849</v>
      </c>
      <c r="Q11" s="2310" t="s">
        <v>1719</v>
      </c>
      <c r="R11" s="2383"/>
      <c r="S11" s="2411" t="s">
        <v>10278</v>
      </c>
    </row>
    <row r="12" spans="2:22" ht="15">
      <c r="C12" s="2311" t="s">
        <v>10280</v>
      </c>
      <c r="D12" s="981"/>
      <c r="E12" s="2312">
        <f>(3.1415926*E9*E9*E9*J10)/(8*J8*E8)</f>
        <v>7.5570970887753903</v>
      </c>
      <c r="F12" s="2313" t="s">
        <v>1749</v>
      </c>
      <c r="G12" s="2314">
        <f>E12*9.80665</f>
        <v>74.109806165639199</v>
      </c>
      <c r="H12" s="2295" t="s">
        <v>464</v>
      </c>
      <c r="I12" s="684"/>
      <c r="J12" s="2386" t="s">
        <v>10281</v>
      </c>
      <c r="K12" s="5008"/>
      <c r="L12" s="2387" t="s">
        <v>10280</v>
      </c>
      <c r="M12" s="981"/>
      <c r="N12" s="2312">
        <f>(3.1415926*N9*N9*N9*S10)/(8*S8*N8)</f>
        <v>0.97236801065356804</v>
      </c>
      <c r="O12" s="2313" t="s">
        <v>1749</v>
      </c>
      <c r="P12" s="2314">
        <f>N12*9.80665</f>
        <v>9.5356727516758095</v>
      </c>
      <c r="Q12" s="2295" t="s">
        <v>464</v>
      </c>
      <c r="R12" s="684"/>
      <c r="S12" s="2413" t="s">
        <v>10281</v>
      </c>
    </row>
    <row r="13" spans="2:22" ht="16.5" customHeight="1">
      <c r="C13" s="2315" t="s">
        <v>10282</v>
      </c>
      <c r="D13" s="1090"/>
      <c r="E13" s="1090"/>
      <c r="F13" s="2316" t="s">
        <v>234</v>
      </c>
      <c r="G13" s="2317">
        <f>(8*E8*E8*E8*E12*E10)/(E7*E9*E9*E9*E9)</f>
        <v>142.97573976805299</v>
      </c>
      <c r="H13" s="2318" t="s">
        <v>234</v>
      </c>
      <c r="I13" s="215"/>
      <c r="J13" s="2388">
        <f>E10*E9</f>
        <v>66.55</v>
      </c>
      <c r="K13" s="5008"/>
      <c r="L13" s="2389" t="s">
        <v>10282</v>
      </c>
      <c r="M13" s="1090"/>
      <c r="N13" s="1090"/>
      <c r="O13" s="2316" t="s">
        <v>234</v>
      </c>
      <c r="P13" s="2317">
        <f>(8*N8*N8*N8*N12*N10)/(N7*N9*N9*N9*N9)</f>
        <v>3.32701323881748</v>
      </c>
      <c r="Q13" s="2318" t="s">
        <v>234</v>
      </c>
      <c r="R13" s="215"/>
      <c r="S13" s="2420">
        <f>N10*N9+N9</f>
        <v>3.5</v>
      </c>
    </row>
    <row r="14" spans="2:22" ht="0.75" customHeight="1">
      <c r="C14" s="2319"/>
      <c r="D14" s="215"/>
      <c r="E14" s="215"/>
      <c r="F14" s="2320"/>
      <c r="G14" s="2321"/>
      <c r="H14" s="2322"/>
      <c r="I14" s="215"/>
      <c r="J14" s="2390"/>
      <c r="K14" s="5008"/>
      <c r="L14" s="2391"/>
      <c r="M14" s="215"/>
      <c r="N14" s="215"/>
      <c r="O14" s="2320"/>
      <c r="P14" s="2321"/>
      <c r="Q14" s="2322"/>
      <c r="R14" s="215"/>
      <c r="S14" s="2421"/>
    </row>
    <row r="15" spans="2:22" ht="15.75">
      <c r="C15" s="5018" t="s">
        <v>10283</v>
      </c>
      <c r="D15" s="5019"/>
      <c r="E15" s="5019"/>
      <c r="F15" s="5019"/>
      <c r="G15" s="5019"/>
      <c r="H15" s="5019"/>
      <c r="I15" s="5019"/>
      <c r="J15" s="5019"/>
      <c r="K15" s="5008"/>
      <c r="L15" s="5019" t="s">
        <v>10284</v>
      </c>
      <c r="M15" s="5019"/>
      <c r="N15" s="5019"/>
      <c r="O15" s="5019"/>
      <c r="P15" s="5019"/>
      <c r="Q15" s="5019"/>
      <c r="R15" s="5019"/>
      <c r="S15" s="5020"/>
    </row>
    <row r="16" spans="2:22" ht="15.75" customHeight="1">
      <c r="C16" s="2287" t="s">
        <v>10268</v>
      </c>
      <c r="D16" s="2279"/>
      <c r="E16" s="2288">
        <v>8030</v>
      </c>
      <c r="F16" s="2323" t="s">
        <v>10269</v>
      </c>
      <c r="G16" s="2290"/>
      <c r="H16" s="2291" t="s">
        <v>10270</v>
      </c>
      <c r="I16" s="2280"/>
      <c r="J16" s="2374">
        <f>E17/E18</f>
        <v>11.6521739130435</v>
      </c>
      <c r="K16" s="5007" t="s">
        <v>10285</v>
      </c>
      <c r="L16" s="2375" t="s">
        <v>10268</v>
      </c>
      <c r="M16" s="2279"/>
      <c r="N16" s="2288">
        <v>8030</v>
      </c>
      <c r="O16" s="2323" t="s">
        <v>10269</v>
      </c>
      <c r="P16" s="2290"/>
      <c r="Q16" s="2291" t="s">
        <v>10270</v>
      </c>
      <c r="R16" s="2280"/>
      <c r="S16" s="2418">
        <f>N17/N18</f>
        <v>12.159090909090899</v>
      </c>
      <c r="U16" s="75" t="s">
        <v>10286</v>
      </c>
      <c r="V16" s="75" t="s">
        <v>10287</v>
      </c>
    </row>
    <row r="17" spans="2:21" ht="15.75">
      <c r="C17" s="2292" t="s">
        <v>10271</v>
      </c>
      <c r="D17" s="2293"/>
      <c r="E17" s="2294">
        <v>26.8</v>
      </c>
      <c r="F17" s="2295" t="s">
        <v>234</v>
      </c>
      <c r="G17" s="1160"/>
      <c r="H17" s="2296" t="s">
        <v>10272</v>
      </c>
      <c r="I17" s="2283"/>
      <c r="J17" s="2376">
        <f>((4*J16-1)/(4*J16-4))+(0.615/J16)</f>
        <v>1.12318801401157</v>
      </c>
      <c r="K17" s="5008"/>
      <c r="L17" s="2377" t="s">
        <v>10271</v>
      </c>
      <c r="M17" s="2293"/>
      <c r="N17" s="2294">
        <v>26.75</v>
      </c>
      <c r="O17" s="2295" t="s">
        <v>234</v>
      </c>
      <c r="P17" s="1160"/>
      <c r="Q17" s="2296" t="s">
        <v>10272</v>
      </c>
      <c r="R17" s="2283"/>
      <c r="S17" s="2406">
        <f>((4*S16-1)/(4*S16-4))+(0.615/S16)</f>
        <v>1.1177892152197499</v>
      </c>
    </row>
    <row r="18" spans="2:21" ht="16.5" customHeight="1">
      <c r="C18" s="2297" t="s">
        <v>10273</v>
      </c>
      <c r="D18" s="2298"/>
      <c r="E18" s="2294">
        <v>2.2999999999999998</v>
      </c>
      <c r="F18" s="2295" t="s">
        <v>234</v>
      </c>
      <c r="G18" s="1160"/>
      <c r="H18" s="2299"/>
      <c r="I18" s="684"/>
      <c r="J18" s="2378"/>
      <c r="K18" s="5008"/>
      <c r="L18" s="2379" t="s">
        <v>10273</v>
      </c>
      <c r="M18" s="2298"/>
      <c r="N18" s="2294">
        <v>2.2000000000000002</v>
      </c>
      <c r="O18" s="2295" t="s">
        <v>234</v>
      </c>
      <c r="P18" s="1160"/>
      <c r="Q18" s="2299"/>
      <c r="R18" s="684"/>
      <c r="S18" s="2407"/>
    </row>
    <row r="19" spans="2:21" ht="16.5" customHeight="1">
      <c r="C19" s="2300" t="s">
        <v>10274</v>
      </c>
      <c r="D19" s="2301"/>
      <c r="E19" s="2302">
        <v>26.25</v>
      </c>
      <c r="F19" s="2303"/>
      <c r="G19" s="1160"/>
      <c r="H19" s="2304" t="s">
        <v>10275</v>
      </c>
      <c r="I19" s="2380"/>
      <c r="J19" s="2381">
        <v>50</v>
      </c>
      <c r="K19" s="5008"/>
      <c r="L19" s="2382" t="s">
        <v>10274</v>
      </c>
      <c r="M19" s="2301"/>
      <c r="N19" s="2302">
        <v>20.25</v>
      </c>
      <c r="O19" s="2303"/>
      <c r="P19" s="1160"/>
      <c r="Q19" s="2304" t="s">
        <v>10275</v>
      </c>
      <c r="R19" s="2380"/>
      <c r="S19" s="2419">
        <v>50</v>
      </c>
    </row>
    <row r="20" spans="2:21" ht="15.75" customHeight="1">
      <c r="C20" s="2305" t="s">
        <v>10276</v>
      </c>
      <c r="D20" s="2306"/>
      <c r="E20" s="2307">
        <f>E16*E18^4/(8*E17^3*E19)</f>
        <v>5.55908369376584E-2</v>
      </c>
      <c r="F20" s="2308" t="s">
        <v>10277</v>
      </c>
      <c r="G20" s="2309">
        <f>E20*9.80665</f>
        <v>0.54515988105468705</v>
      </c>
      <c r="H20" s="2310" t="s">
        <v>1719</v>
      </c>
      <c r="I20" s="2383"/>
      <c r="J20" s="2384" t="s">
        <v>10278</v>
      </c>
      <c r="K20" s="5007" t="s">
        <v>10288</v>
      </c>
      <c r="L20" s="2385" t="s">
        <v>10276</v>
      </c>
      <c r="M20" s="2306"/>
      <c r="N20" s="2307">
        <f>N16*N18^4/(8*N17^3*N19)</f>
        <v>6.0662442818963602E-2</v>
      </c>
      <c r="O20" s="2308" t="s">
        <v>10277</v>
      </c>
      <c r="P20" s="2360">
        <f>N20*9.80665</f>
        <v>0.59489534487058904</v>
      </c>
      <c r="Q20" s="2310" t="s">
        <v>1719</v>
      </c>
      <c r="R20" s="2383"/>
      <c r="S20" s="2411" t="s">
        <v>10278</v>
      </c>
    </row>
    <row r="21" spans="2:21" ht="16.5" customHeight="1">
      <c r="C21" s="2311" t="s">
        <v>10280</v>
      </c>
      <c r="D21" s="981"/>
      <c r="E21" s="2312">
        <f>(3.1415926*E18*E18*E18*J19)/(8*J17*E17)</f>
        <v>7.9364472926992402</v>
      </c>
      <c r="F21" s="2313" t="s">
        <v>1749</v>
      </c>
      <c r="G21" s="2314">
        <f>E21*9.80665</f>
        <v>77.829960842949006</v>
      </c>
      <c r="H21" s="2295" t="s">
        <v>464</v>
      </c>
      <c r="I21" s="684"/>
      <c r="J21" s="2386" t="s">
        <v>10281</v>
      </c>
      <c r="K21" s="5008"/>
      <c r="L21" s="2387" t="s">
        <v>10280</v>
      </c>
      <c r="M21" s="981"/>
      <c r="N21" s="2312">
        <f>(3.1415926*N18*N18*N18*S19)/(8*S17*N17)</f>
        <v>6.9922061436309297</v>
      </c>
      <c r="O21" s="2313" t="s">
        <v>1749</v>
      </c>
      <c r="P21" s="2363">
        <f>N21*9.80665</f>
        <v>68.570118378438195</v>
      </c>
      <c r="Q21" s="2295" t="s">
        <v>464</v>
      </c>
      <c r="R21" s="684"/>
      <c r="S21" s="2413" t="s">
        <v>10281</v>
      </c>
    </row>
    <row r="22" spans="2:21" ht="16.5" customHeight="1">
      <c r="C22" s="2315" t="s">
        <v>10282</v>
      </c>
      <c r="D22" s="1090"/>
      <c r="E22" s="1090"/>
      <c r="F22" s="2316" t="s">
        <v>234</v>
      </c>
      <c r="G22" s="2317">
        <f>(8*E17*E17*E17*E21*E19)/(E16*E18*E18*E18*E18)</f>
        <v>142.76538598617401</v>
      </c>
      <c r="H22" s="2318" t="s">
        <v>234</v>
      </c>
      <c r="I22" s="215"/>
      <c r="J22" s="2388">
        <f>E19*E18</f>
        <v>60.375</v>
      </c>
      <c r="K22" s="5008"/>
      <c r="L22" s="2389" t="s">
        <v>10282</v>
      </c>
      <c r="M22" s="1090"/>
      <c r="N22" s="1090"/>
      <c r="O22" s="2316" t="s">
        <v>234</v>
      </c>
      <c r="P22" s="2364">
        <f>(8*N17*N17*N17*N21*N19)/(N16*N18*N18*N18*N18)</f>
        <v>115.26417036151901</v>
      </c>
      <c r="Q22" s="2318" t="s">
        <v>234</v>
      </c>
      <c r="R22" s="215"/>
      <c r="S22" s="2420">
        <f>N19*N18</f>
        <v>44.55</v>
      </c>
    </row>
    <row r="23" spans="2:21" ht="0.75" customHeight="1">
      <c r="C23" s="2319"/>
      <c r="D23" s="215"/>
      <c r="E23" s="215"/>
      <c r="F23" s="2320"/>
      <c r="G23" s="2321"/>
      <c r="H23" s="2322"/>
      <c r="I23" s="215"/>
      <c r="J23" s="2390"/>
      <c r="K23" s="5008"/>
      <c r="L23" s="2391"/>
      <c r="M23" s="215"/>
      <c r="N23" s="215"/>
      <c r="O23" s="2320"/>
      <c r="P23" s="2321"/>
      <c r="Q23" s="2322"/>
      <c r="R23" s="215"/>
      <c r="S23" s="2421"/>
    </row>
    <row r="24" spans="2:21" ht="15.75">
      <c r="C24" s="5018" t="s">
        <v>10289</v>
      </c>
      <c r="D24" s="5019"/>
      <c r="E24" s="5019"/>
      <c r="F24" s="5019"/>
      <c r="G24" s="5019"/>
      <c r="H24" s="5019"/>
      <c r="I24" s="5019"/>
      <c r="J24" s="5019"/>
      <c r="K24" s="5008"/>
      <c r="L24" s="5019" t="s">
        <v>10290</v>
      </c>
      <c r="M24" s="5019"/>
      <c r="N24" s="5019"/>
      <c r="O24" s="5019"/>
      <c r="P24" s="5019"/>
      <c r="Q24" s="5019"/>
      <c r="R24" s="5019"/>
      <c r="S24" s="5020"/>
    </row>
    <row r="25" spans="2:21" ht="15">
      <c r="C25" s="2287" t="s">
        <v>10268</v>
      </c>
      <c r="D25" s="2279"/>
      <c r="E25" s="2288">
        <v>8030</v>
      </c>
      <c r="F25" s="2323" t="s">
        <v>10269</v>
      </c>
      <c r="G25" s="2290"/>
      <c r="H25" s="2291" t="s">
        <v>10270</v>
      </c>
      <c r="I25" s="2280"/>
      <c r="J25" s="2374">
        <f>E26/E27</f>
        <v>11.25</v>
      </c>
      <c r="K25" s="5007" t="s">
        <v>10291</v>
      </c>
      <c r="L25" s="2375" t="s">
        <v>10268</v>
      </c>
      <c r="M25" s="2279"/>
      <c r="N25" s="2288">
        <v>8140</v>
      </c>
      <c r="O25" s="2323" t="s">
        <v>10269</v>
      </c>
      <c r="P25" s="2290"/>
      <c r="Q25" s="2291" t="s">
        <v>10270</v>
      </c>
      <c r="R25" s="2280"/>
      <c r="S25" s="2418">
        <f>N26/N27</f>
        <v>12.159090909090899</v>
      </c>
    </row>
    <row r="26" spans="2:21" ht="15.75">
      <c r="C26" s="2292" t="s">
        <v>10271</v>
      </c>
      <c r="D26" s="2293"/>
      <c r="E26" s="2294">
        <v>27</v>
      </c>
      <c r="F26" s="2295" t="s">
        <v>234</v>
      </c>
      <c r="G26" s="1160"/>
      <c r="H26" s="2296" t="s">
        <v>10272</v>
      </c>
      <c r="I26" s="2283"/>
      <c r="J26" s="2376">
        <f>((4*J25-1)/(4*J25-4))+(0.615/J25)</f>
        <v>1.12783739837398</v>
      </c>
      <c r="K26" s="5007"/>
      <c r="L26" s="2377" t="s">
        <v>10271</v>
      </c>
      <c r="M26" s="2293"/>
      <c r="N26" s="2294">
        <v>26.75</v>
      </c>
      <c r="O26" s="2295" t="s">
        <v>234</v>
      </c>
      <c r="P26" s="1160"/>
      <c r="Q26" s="2296" t="s">
        <v>10272</v>
      </c>
      <c r="R26" s="2283"/>
      <c r="S26" s="2406">
        <f>((4*S25-1)/(4*S25-4))+(0.615/S25)</f>
        <v>1.1177892152197499</v>
      </c>
    </row>
    <row r="27" spans="2:21" ht="15">
      <c r="C27" s="2297" t="s">
        <v>10273</v>
      </c>
      <c r="D27" s="2298"/>
      <c r="E27" s="2294">
        <v>2.4</v>
      </c>
      <c r="F27" s="2295" t="s">
        <v>234</v>
      </c>
      <c r="G27" s="1160"/>
      <c r="H27" s="2299"/>
      <c r="I27" s="684"/>
      <c r="J27" s="2378"/>
      <c r="K27" s="5007"/>
      <c r="L27" s="2379" t="s">
        <v>10273</v>
      </c>
      <c r="M27" s="2298"/>
      <c r="N27" s="2294">
        <v>2.2000000000000002</v>
      </c>
      <c r="O27" s="2295" t="s">
        <v>234</v>
      </c>
      <c r="P27" s="1160"/>
      <c r="Q27" s="2299"/>
      <c r="R27" s="684"/>
      <c r="S27" s="2407"/>
    </row>
    <row r="28" spans="2:21" ht="16.5" customHeight="1">
      <c r="C28" s="2300" t="s">
        <v>10274</v>
      </c>
      <c r="D28" s="2301"/>
      <c r="E28" s="2302">
        <v>27.25</v>
      </c>
      <c r="F28" s="2303"/>
      <c r="G28" s="1160"/>
      <c r="H28" s="2304" t="s">
        <v>10275</v>
      </c>
      <c r="I28" s="2380"/>
      <c r="J28" s="2381">
        <v>50</v>
      </c>
      <c r="K28" s="5007"/>
      <c r="L28" s="2382" t="s">
        <v>10274</v>
      </c>
      <c r="M28" s="2301"/>
      <c r="N28" s="2302">
        <v>20.25</v>
      </c>
      <c r="O28" s="2303"/>
      <c r="P28" s="1160"/>
      <c r="Q28" s="2304" t="s">
        <v>10275</v>
      </c>
      <c r="R28" s="2380"/>
      <c r="S28" s="2419">
        <v>50</v>
      </c>
    </row>
    <row r="29" spans="2:21" ht="15">
      <c r="C29" s="2305" t="s">
        <v>10276</v>
      </c>
      <c r="D29" s="2306"/>
      <c r="E29" s="2307">
        <f>E25*E27^4/(8*E26^3*E28)</f>
        <v>6.2088722769660598E-2</v>
      </c>
      <c r="F29" s="2308" t="s">
        <v>10277</v>
      </c>
      <c r="G29" s="2309">
        <f>E29*9.80665</f>
        <v>0.60888237314909199</v>
      </c>
      <c r="H29" s="2310" t="s">
        <v>1719</v>
      </c>
      <c r="I29" s="2383"/>
      <c r="J29" s="2384" t="s">
        <v>10278</v>
      </c>
      <c r="K29" s="5009"/>
      <c r="L29" s="2385" t="s">
        <v>10276</v>
      </c>
      <c r="M29" s="2306"/>
      <c r="N29" s="2307">
        <f>N25*N27^4/(8*N26^3*N28)</f>
        <v>6.1493435186346701E-2</v>
      </c>
      <c r="O29" s="2308" t="s">
        <v>10277</v>
      </c>
      <c r="P29" s="2309">
        <f>N29*9.80665</f>
        <v>0.60304459617018602</v>
      </c>
      <c r="Q29" s="2310" t="s">
        <v>1719</v>
      </c>
      <c r="R29" s="2383"/>
      <c r="S29" s="2411" t="s">
        <v>10278</v>
      </c>
    </row>
    <row r="30" spans="2:21" ht="15">
      <c r="C30" s="2311" t="s">
        <v>10280</v>
      </c>
      <c r="D30" s="981"/>
      <c r="E30" s="2312">
        <f>(3.1415926*E27*E27*E27*J28)/(8*J26*E26)</f>
        <v>8.9136043320550105</v>
      </c>
      <c r="F30" s="2313" t="s">
        <v>1749</v>
      </c>
      <c r="G30" s="2314">
        <f>E30*9.80665</f>
        <v>87.412597922947299</v>
      </c>
      <c r="H30" s="2295" t="s">
        <v>464</v>
      </c>
      <c r="I30" s="684"/>
      <c r="J30" s="2386" t="s">
        <v>10281</v>
      </c>
      <c r="K30" s="5009"/>
      <c r="L30" s="2387" t="s">
        <v>10280</v>
      </c>
      <c r="M30" s="981"/>
      <c r="N30" s="2312">
        <f>(3.1415926*N27*N27*N27*S28)/(8*S26*N26)</f>
        <v>6.9922061436309297</v>
      </c>
      <c r="O30" s="2313" t="s">
        <v>1749</v>
      </c>
      <c r="P30" s="2314">
        <f>N30*9.80665</f>
        <v>68.570118378438195</v>
      </c>
      <c r="Q30" s="2295" t="s">
        <v>464</v>
      </c>
      <c r="R30" s="684"/>
      <c r="S30" s="2413" t="s">
        <v>10281</v>
      </c>
    </row>
    <row r="31" spans="2:21" ht="15">
      <c r="C31" s="2324" t="s">
        <v>10282</v>
      </c>
      <c r="D31" s="1065"/>
      <c r="E31" s="1065"/>
      <c r="F31" s="2325" t="s">
        <v>234</v>
      </c>
      <c r="G31" s="2326">
        <f>(8*E26*E26*E26*E30*E28)/(E25*E27*E27*E27*E27)</f>
        <v>143.56237227045401</v>
      </c>
      <c r="H31" s="2327" t="s">
        <v>234</v>
      </c>
      <c r="I31" s="684"/>
      <c r="J31" s="2392">
        <f>E28*E27</f>
        <v>65.400000000000006</v>
      </c>
      <c r="K31" s="5009"/>
      <c r="L31" s="2393" t="s">
        <v>10282</v>
      </c>
      <c r="M31" s="1065"/>
      <c r="N31" s="1065"/>
      <c r="O31" s="2325" t="s">
        <v>234</v>
      </c>
      <c r="P31" s="2326">
        <f>(8*N26*N26*N26*N30*N28)/(N25*N27*N27*N27*N27)</f>
        <v>113.70654643771501</v>
      </c>
      <c r="Q31" s="2327" t="s">
        <v>234</v>
      </c>
      <c r="R31" s="684"/>
      <c r="S31" s="2422">
        <f>N28*N27</f>
        <v>44.55</v>
      </c>
    </row>
    <row r="32" spans="2:21" ht="33" customHeight="1">
      <c r="B32" s="5021" t="s">
        <v>10292</v>
      </c>
      <c r="C32" s="5022"/>
      <c r="D32" s="5022"/>
      <c r="E32" s="5022"/>
      <c r="F32" s="5022"/>
      <c r="G32" s="5022"/>
      <c r="H32" s="5022"/>
      <c r="I32" s="5022"/>
      <c r="J32" s="5022"/>
      <c r="K32" s="5022"/>
      <c r="L32" s="5022"/>
      <c r="M32" s="5022"/>
      <c r="N32" s="5022"/>
      <c r="O32" s="5022"/>
      <c r="P32" s="5022"/>
      <c r="Q32" s="5022"/>
      <c r="R32" s="5022"/>
      <c r="S32" s="5022"/>
      <c r="T32" s="5022"/>
      <c r="U32" s="5023"/>
    </row>
    <row r="33" spans="2:21">
      <c r="B33" s="5024" t="s">
        <v>10293</v>
      </c>
      <c r="C33" s="5025"/>
      <c r="D33" s="5025"/>
      <c r="E33" s="5025"/>
      <c r="F33" s="5025"/>
      <c r="G33" s="5025"/>
      <c r="H33" s="5025"/>
      <c r="I33" s="5025"/>
      <c r="J33" s="5025"/>
      <c r="K33" s="5026"/>
      <c r="L33" s="5013" t="s">
        <v>10294</v>
      </c>
      <c r="M33" s="5014"/>
      <c r="N33" s="5014"/>
      <c r="O33" s="5014"/>
      <c r="P33" s="5014"/>
      <c r="Q33" s="5014"/>
      <c r="R33" s="5014"/>
      <c r="S33" s="5014"/>
      <c r="T33" s="5014"/>
      <c r="U33" s="5015"/>
    </row>
    <row r="34" spans="2:21" ht="15.75">
      <c r="B34" s="2328" t="s">
        <v>10295</v>
      </c>
      <c r="C34" s="2329"/>
      <c r="D34" s="2330" t="s">
        <v>10296</v>
      </c>
      <c r="E34" s="2331">
        <v>60</v>
      </c>
      <c r="F34" s="2332" t="s">
        <v>10269</v>
      </c>
      <c r="G34" s="2328" t="s">
        <v>1129</v>
      </c>
      <c r="H34" s="2329"/>
      <c r="I34" s="2330" t="s">
        <v>428</v>
      </c>
      <c r="J34" s="2394">
        <f>E39+E47</f>
        <v>7.0212328030438904</v>
      </c>
      <c r="K34" s="2395" t="s">
        <v>234</v>
      </c>
      <c r="L34" s="2328" t="s">
        <v>10295</v>
      </c>
      <c r="M34" s="2329"/>
      <c r="N34" s="2330" t="s">
        <v>10296</v>
      </c>
      <c r="O34" s="2331">
        <f t="shared" ref="O34:O36" si="0">E34</f>
        <v>60</v>
      </c>
      <c r="P34" s="2332" t="s">
        <v>10269</v>
      </c>
      <c r="Q34" s="2328" t="s">
        <v>1129</v>
      </c>
      <c r="R34" s="2329"/>
      <c r="S34" s="2330" t="s">
        <v>428</v>
      </c>
      <c r="T34" s="2394">
        <f>O39+O47</f>
        <v>7.0679749330182302</v>
      </c>
      <c r="U34" s="2395" t="s">
        <v>234</v>
      </c>
    </row>
    <row r="35" spans="2:21" ht="15.75">
      <c r="B35" s="2328" t="s">
        <v>10295</v>
      </c>
      <c r="C35" s="2329"/>
      <c r="D35" s="2333" t="s">
        <v>10297</v>
      </c>
      <c r="E35" s="2334">
        <v>75</v>
      </c>
      <c r="F35" s="2332" t="s">
        <v>10269</v>
      </c>
      <c r="G35" s="2335" t="s">
        <v>10298</v>
      </c>
      <c r="H35" s="2336"/>
      <c r="I35" s="2337" t="s">
        <v>487</v>
      </c>
      <c r="J35" s="2396">
        <f>(E47*E41+(E42+1)*E39)</f>
        <v>26.4268335654764</v>
      </c>
      <c r="K35" s="2397" t="s">
        <v>234</v>
      </c>
      <c r="L35" s="2328" t="s">
        <v>10295</v>
      </c>
      <c r="M35" s="2329"/>
      <c r="N35" s="2333" t="s">
        <v>10297</v>
      </c>
      <c r="O35" s="2334">
        <f t="shared" si="0"/>
        <v>75</v>
      </c>
      <c r="P35" s="2332" t="s">
        <v>10269</v>
      </c>
      <c r="Q35" s="2335" t="s">
        <v>10298</v>
      </c>
      <c r="R35" s="2336"/>
      <c r="S35" s="2337" t="s">
        <v>487</v>
      </c>
      <c r="T35" s="2396">
        <f>(O47*O41+(O42+1)*O39)</f>
        <v>48.857170605947097</v>
      </c>
      <c r="U35" s="2397" t="s">
        <v>234</v>
      </c>
    </row>
    <row r="36" spans="2:21" ht="15.75">
      <c r="B36" s="2335" t="s">
        <v>10299</v>
      </c>
      <c r="C36" s="2336"/>
      <c r="D36" s="2337" t="s">
        <v>252</v>
      </c>
      <c r="E36" s="2338">
        <v>8030</v>
      </c>
      <c r="F36" s="2339" t="s">
        <v>10269</v>
      </c>
      <c r="G36" s="2335"/>
      <c r="H36" s="2340" t="s">
        <v>10300</v>
      </c>
      <c r="I36" s="2337" t="s">
        <v>487</v>
      </c>
      <c r="J36" s="2398">
        <f>(E47*E41+(E42-0.5)*E39)</f>
        <v>21.5046930811578</v>
      </c>
      <c r="K36" s="2397" t="s">
        <v>234</v>
      </c>
      <c r="L36" s="2335" t="s">
        <v>10299</v>
      </c>
      <c r="M36" s="2336"/>
      <c r="N36" s="2337" t="s">
        <v>252</v>
      </c>
      <c r="O36" s="2338">
        <f t="shared" si="0"/>
        <v>8030</v>
      </c>
      <c r="P36" s="2339" t="s">
        <v>10269</v>
      </c>
      <c r="Q36" s="2335"/>
      <c r="R36" s="2340" t="s">
        <v>10300</v>
      </c>
      <c r="S36" s="2337" t="s">
        <v>487</v>
      </c>
      <c r="T36" s="2398">
        <f>(O47*O41+(O42-0.5)*O39)</f>
        <v>42.857170605947097</v>
      </c>
      <c r="U36" s="2397" t="s">
        <v>234</v>
      </c>
    </row>
    <row r="37" spans="2:21" ht="15.75">
      <c r="B37" s="2335" t="s">
        <v>10301</v>
      </c>
      <c r="C37" s="2336"/>
      <c r="D37" s="2337" t="s">
        <v>1957</v>
      </c>
      <c r="E37" s="2341">
        <v>5.75</v>
      </c>
      <c r="F37" s="2342"/>
      <c r="G37" s="2335"/>
      <c r="H37" s="2313" t="s">
        <v>10302</v>
      </c>
      <c r="I37" s="2337" t="s">
        <v>487</v>
      </c>
      <c r="J37" s="2396">
        <f>E39*E41</f>
        <v>7.7499831116894198</v>
      </c>
      <c r="K37" s="2397" t="s">
        <v>234</v>
      </c>
      <c r="L37" s="2335" t="s">
        <v>10301</v>
      </c>
      <c r="M37" s="2336"/>
      <c r="N37" s="2337" t="s">
        <v>1957</v>
      </c>
      <c r="O37" s="2341">
        <v>5.75</v>
      </c>
      <c r="P37" s="2342"/>
      <c r="Q37" s="2335"/>
      <c r="R37" s="2313" t="s">
        <v>10302</v>
      </c>
      <c r="S37" s="2337" t="s">
        <v>487</v>
      </c>
      <c r="T37" s="2396">
        <f>O39*O41</f>
        <v>20.8586877883609</v>
      </c>
      <c r="U37" s="2397" t="s">
        <v>234</v>
      </c>
    </row>
    <row r="38" spans="2:21" ht="15.75">
      <c r="B38" s="2335" t="s">
        <v>10303</v>
      </c>
      <c r="C38" s="2336"/>
      <c r="D38" s="2337" t="s">
        <v>462</v>
      </c>
      <c r="E38" s="2343">
        <f>((4*E37-1)/(4*E37-4))+(0.615/E37)</f>
        <v>1.2648512585812399</v>
      </c>
      <c r="F38" s="2339"/>
      <c r="G38" s="2335" t="s">
        <v>10304</v>
      </c>
      <c r="H38" s="2336"/>
      <c r="I38" s="2337" t="s">
        <v>10305</v>
      </c>
      <c r="J38" s="2396">
        <f>J35/E40</f>
        <v>1.1489927637163599</v>
      </c>
      <c r="K38" s="1060"/>
      <c r="L38" s="2335" t="s">
        <v>10303</v>
      </c>
      <c r="M38" s="2336"/>
      <c r="N38" s="2337" t="s">
        <v>462</v>
      </c>
      <c r="O38" s="2343">
        <f>((4*O37-1)/(4*O37-4))+(0.615/O37)</f>
        <v>1.2648512585812399</v>
      </c>
      <c r="P38" s="2399"/>
      <c r="Q38" s="2335" t="s">
        <v>10304</v>
      </c>
      <c r="R38" s="2336"/>
      <c r="S38" s="2337" t="s">
        <v>10305</v>
      </c>
      <c r="T38" s="2396">
        <f>T35/O40</f>
        <v>2.1242248089542199</v>
      </c>
      <c r="U38" s="1060"/>
    </row>
    <row r="39" spans="2:21" ht="15.75">
      <c r="B39" s="2335" t="s">
        <v>10306</v>
      </c>
      <c r="C39" s="2336"/>
      <c r="D39" s="2337" t="s">
        <v>411</v>
      </c>
      <c r="E39" s="2344">
        <f>1.6*((E38*E44*E37)/E34)^(1/2)</f>
        <v>3.28142698954575</v>
      </c>
      <c r="F39" s="2339" t="s">
        <v>234</v>
      </c>
      <c r="G39" s="2335"/>
      <c r="H39" s="2313" t="s">
        <v>10307</v>
      </c>
      <c r="I39" s="2337" t="s">
        <v>10305</v>
      </c>
      <c r="J39" s="2398">
        <f>J36/E40</f>
        <v>0.93498665570251105</v>
      </c>
      <c r="K39" s="1060"/>
      <c r="L39" s="2335" t="s">
        <v>10306</v>
      </c>
      <c r="M39" s="2336"/>
      <c r="N39" s="2337" t="s">
        <v>411</v>
      </c>
      <c r="O39" s="2400">
        <v>4</v>
      </c>
      <c r="P39" s="2339" t="s">
        <v>234</v>
      </c>
      <c r="Q39" s="2335"/>
      <c r="R39" s="2313" t="s">
        <v>10307</v>
      </c>
      <c r="S39" s="2337" t="s">
        <v>10305</v>
      </c>
      <c r="T39" s="2398">
        <f>T36/O40</f>
        <v>1.8633552437368299</v>
      </c>
      <c r="U39" s="1060"/>
    </row>
    <row r="40" spans="2:21" ht="15.75">
      <c r="B40" s="2335" t="s">
        <v>1698</v>
      </c>
      <c r="C40" s="2336"/>
      <c r="D40" s="2337" t="s">
        <v>756</v>
      </c>
      <c r="E40" s="2345">
        <v>23</v>
      </c>
      <c r="F40" s="2339" t="s">
        <v>234</v>
      </c>
      <c r="G40" s="2335"/>
      <c r="H40" s="2313" t="s">
        <v>10302</v>
      </c>
      <c r="I40" s="2337" t="s">
        <v>10305</v>
      </c>
      <c r="J40" s="2396">
        <f>J37/E40</f>
        <v>0.33695578746475702</v>
      </c>
      <c r="K40" s="1060"/>
      <c r="L40" s="2335" t="s">
        <v>1698</v>
      </c>
      <c r="M40" s="2336"/>
      <c r="N40" s="2337" t="s">
        <v>756</v>
      </c>
      <c r="O40" s="2345">
        <v>23</v>
      </c>
      <c r="P40" s="2339" t="s">
        <v>234</v>
      </c>
      <c r="Q40" s="2335"/>
      <c r="R40" s="2313" t="s">
        <v>10302</v>
      </c>
      <c r="S40" s="2337" t="s">
        <v>10305</v>
      </c>
      <c r="T40" s="2396">
        <f>T37/O40</f>
        <v>0.90689946905917196</v>
      </c>
      <c r="U40" s="1060"/>
    </row>
    <row r="41" spans="2:21" ht="15.75">
      <c r="B41" s="2335" t="s">
        <v>10308</v>
      </c>
      <c r="C41" s="2336"/>
      <c r="D41" s="2337" t="s">
        <v>2487</v>
      </c>
      <c r="E41" s="2344">
        <f>((J43-J42)*E36*E39*E39*E39*E39)/(8*(E44-E43)*E40*E40*E40)</f>
        <v>2.3617722217742401</v>
      </c>
      <c r="F41" s="2346"/>
      <c r="G41" s="2335"/>
      <c r="H41" s="2347" t="s">
        <v>10309</v>
      </c>
      <c r="I41" s="981"/>
      <c r="J41" s="2401"/>
      <c r="K41" s="1060"/>
      <c r="L41" s="2335" t="s">
        <v>10308</v>
      </c>
      <c r="M41" s="2336"/>
      <c r="N41" s="2337" t="s">
        <v>2487</v>
      </c>
      <c r="O41" s="2344">
        <f>((T43-T42)*O36*O39*O39*O39*O39)/(8*(O44-O43)*O40*O40*O40)</f>
        <v>5.2146719470902401</v>
      </c>
      <c r="P41" s="2346"/>
      <c r="Q41" s="2335"/>
      <c r="R41" s="2347" t="s">
        <v>10309</v>
      </c>
      <c r="S41" s="981"/>
      <c r="T41" s="2401"/>
      <c r="U41" s="1060"/>
    </row>
    <row r="42" spans="2:21" ht="15.75">
      <c r="B42" s="2335" t="s">
        <v>10310</v>
      </c>
      <c r="C42" s="2336"/>
      <c r="D42" s="2337" t="s">
        <v>10115</v>
      </c>
      <c r="E42" s="2344">
        <f>E41+2</f>
        <v>4.3617722217742401</v>
      </c>
      <c r="F42" s="2346"/>
      <c r="G42" s="2335" t="s">
        <v>10311</v>
      </c>
      <c r="H42" s="2336"/>
      <c r="I42" s="2337" t="s">
        <v>3812</v>
      </c>
      <c r="J42" s="2402">
        <v>7</v>
      </c>
      <c r="K42" s="2397" t="s">
        <v>234</v>
      </c>
      <c r="L42" s="2335" t="s">
        <v>10310</v>
      </c>
      <c r="M42" s="2336"/>
      <c r="N42" s="2337" t="s">
        <v>10115</v>
      </c>
      <c r="O42" s="2344">
        <f>O41+2</f>
        <v>7.2146719470902401</v>
      </c>
      <c r="P42" s="2346"/>
      <c r="Q42" s="2335" t="s">
        <v>10311</v>
      </c>
      <c r="R42" s="2336"/>
      <c r="S42" s="2337" t="s">
        <v>3812</v>
      </c>
      <c r="T42" s="2402">
        <v>7</v>
      </c>
      <c r="U42" s="2397" t="s">
        <v>234</v>
      </c>
    </row>
    <row r="43" spans="2:21" ht="15.75">
      <c r="B43" s="2335" t="s">
        <v>10312</v>
      </c>
      <c r="C43" s="2336"/>
      <c r="D43" s="2337" t="s">
        <v>10161</v>
      </c>
      <c r="E43" s="2345">
        <v>26.6</v>
      </c>
      <c r="F43" s="2348" t="s">
        <v>1749</v>
      </c>
      <c r="G43" s="2335" t="s">
        <v>10313</v>
      </c>
      <c r="H43" s="2336"/>
      <c r="I43" s="2337" t="s">
        <v>10314</v>
      </c>
      <c r="J43" s="2402">
        <v>9</v>
      </c>
      <c r="K43" s="2397" t="s">
        <v>234</v>
      </c>
      <c r="L43" s="2335" t="s">
        <v>10312</v>
      </c>
      <c r="M43" s="2336"/>
      <c r="N43" s="2337" t="s">
        <v>10161</v>
      </c>
      <c r="O43" s="2345">
        <v>26.6</v>
      </c>
      <c r="P43" s="2348" t="s">
        <v>1749</v>
      </c>
      <c r="Q43" s="2335" t="s">
        <v>10313</v>
      </c>
      <c r="R43" s="2336"/>
      <c r="S43" s="2337" t="s">
        <v>10314</v>
      </c>
      <c r="T43" s="2402">
        <v>9</v>
      </c>
      <c r="U43" s="2397" t="s">
        <v>234</v>
      </c>
    </row>
    <row r="44" spans="2:21" ht="15.75">
      <c r="B44" s="2335" t="s">
        <v>10315</v>
      </c>
      <c r="C44" s="981"/>
      <c r="D44" s="2337" t="s">
        <v>10166</v>
      </c>
      <c r="E44" s="2345">
        <v>34.700000000000003</v>
      </c>
      <c r="F44" s="2348" t="s">
        <v>1749</v>
      </c>
      <c r="G44" s="2335" t="s">
        <v>10316</v>
      </c>
      <c r="H44" s="2336"/>
      <c r="I44" s="2337" t="s">
        <v>5262</v>
      </c>
      <c r="J44" s="2398">
        <f>E45/E48</f>
        <v>8.8325694851497101</v>
      </c>
      <c r="K44" s="2397" t="s">
        <v>234</v>
      </c>
      <c r="L44" s="2335" t="s">
        <v>10315</v>
      </c>
      <c r="M44" s="981"/>
      <c r="N44" s="2337" t="s">
        <v>10166</v>
      </c>
      <c r="O44" s="2345">
        <v>34.700000000000003</v>
      </c>
      <c r="P44" s="2348" t="s">
        <v>1749</v>
      </c>
      <c r="Q44" s="2335" t="s">
        <v>10316</v>
      </c>
      <c r="R44" s="2336"/>
      <c r="S44" s="2337" t="s">
        <v>5262</v>
      </c>
      <c r="T44" s="2398">
        <f>O45/O48</f>
        <v>15.998482817586201</v>
      </c>
      <c r="U44" s="2397" t="s">
        <v>234</v>
      </c>
    </row>
    <row r="45" spans="2:21" ht="15.75">
      <c r="B45" s="2335" t="s">
        <v>10317</v>
      </c>
      <c r="C45" s="2336"/>
      <c r="D45" s="2337" t="s">
        <v>10170</v>
      </c>
      <c r="E45" s="2344">
        <f>(3.1415926*E39*E39*E39*E35)/(8*E38*E40)</f>
        <v>35.771906414856304</v>
      </c>
      <c r="F45" s="2348" t="s">
        <v>1749</v>
      </c>
      <c r="G45" s="2335" t="s">
        <v>10318</v>
      </c>
      <c r="H45" s="2336"/>
      <c r="I45" s="2337" t="s">
        <v>4295</v>
      </c>
      <c r="J45" s="2403" t="s">
        <v>10319</v>
      </c>
      <c r="K45" s="2397" t="s">
        <v>234</v>
      </c>
      <c r="L45" s="2335" t="s">
        <v>10317</v>
      </c>
      <c r="M45" s="2336"/>
      <c r="N45" s="2337" t="s">
        <v>10170</v>
      </c>
      <c r="O45" s="2344">
        <f>(3.1415926*O39*O39*O39*E35)/(8*O38*O40)</f>
        <v>64.793855411224101</v>
      </c>
      <c r="P45" s="2348" t="s">
        <v>1749</v>
      </c>
      <c r="Q45" s="2335" t="s">
        <v>10318</v>
      </c>
      <c r="R45" s="2336"/>
      <c r="S45" s="2337" t="s">
        <v>4295</v>
      </c>
      <c r="T45" s="2403" t="s">
        <v>10319</v>
      </c>
      <c r="U45" s="2397" t="s">
        <v>234</v>
      </c>
    </row>
    <row r="46" spans="2:21" ht="15.75">
      <c r="B46" s="2335" t="s">
        <v>10320</v>
      </c>
      <c r="C46" s="2336"/>
      <c r="D46" s="2337" t="s">
        <v>10321</v>
      </c>
      <c r="E46" s="2344">
        <f>(8*E40*E40*E40*E45)/(E36*E39*E39*E39*E39)</f>
        <v>3.73980581349814</v>
      </c>
      <c r="F46" s="2339" t="s">
        <v>234</v>
      </c>
      <c r="G46" s="2335" t="s">
        <v>10322</v>
      </c>
      <c r="H46" s="2336"/>
      <c r="I46" s="2337" t="s">
        <v>4326</v>
      </c>
      <c r="J46" s="2403" t="s">
        <v>10323</v>
      </c>
      <c r="K46" s="2397" t="s">
        <v>234</v>
      </c>
      <c r="L46" s="2335" t="s">
        <v>10320</v>
      </c>
      <c r="M46" s="2336"/>
      <c r="N46" s="2337" t="s">
        <v>10321</v>
      </c>
      <c r="O46" s="2344">
        <f>(8*O40*O40*O40*O45)/(O36*O39*O39*O39*O39)</f>
        <v>3.0679749330182302</v>
      </c>
      <c r="P46" s="2339" t="s">
        <v>234</v>
      </c>
      <c r="Q46" s="2335" t="s">
        <v>10322</v>
      </c>
      <c r="R46" s="2336"/>
      <c r="S46" s="2337" t="s">
        <v>4326</v>
      </c>
      <c r="T46" s="2403" t="s">
        <v>10323</v>
      </c>
      <c r="U46" s="2397" t="s">
        <v>234</v>
      </c>
    </row>
    <row r="47" spans="2:21" ht="15.75">
      <c r="B47" s="2335" t="s">
        <v>10324</v>
      </c>
      <c r="C47" s="2336"/>
      <c r="D47" s="2347" t="s">
        <v>10325</v>
      </c>
      <c r="E47" s="2344">
        <f>E46</f>
        <v>3.73980581349814</v>
      </c>
      <c r="F47" s="2339" t="s">
        <v>234</v>
      </c>
      <c r="G47" s="2335" t="s">
        <v>10326</v>
      </c>
      <c r="H47" s="2336"/>
      <c r="I47" s="2337" t="s">
        <v>10327</v>
      </c>
      <c r="J47" s="2403" t="s">
        <v>10328</v>
      </c>
      <c r="K47" s="2397" t="s">
        <v>234</v>
      </c>
      <c r="L47" s="2335" t="s">
        <v>10324</v>
      </c>
      <c r="M47" s="2336"/>
      <c r="N47" s="2347" t="s">
        <v>10325</v>
      </c>
      <c r="O47" s="2344">
        <f>O46</f>
        <v>3.0679749330182302</v>
      </c>
      <c r="P47" s="2339" t="s">
        <v>234</v>
      </c>
      <c r="Q47" s="2335" t="s">
        <v>10326</v>
      </c>
      <c r="R47" s="2336"/>
      <c r="S47" s="2337" t="s">
        <v>10327</v>
      </c>
      <c r="T47" s="2403" t="s">
        <v>10328</v>
      </c>
      <c r="U47" s="2397" t="s">
        <v>234</v>
      </c>
    </row>
    <row r="48" spans="2:21" ht="15.75">
      <c r="B48" s="2335" t="s">
        <v>10329</v>
      </c>
      <c r="C48" s="2336"/>
      <c r="D48" s="2337" t="s">
        <v>10330</v>
      </c>
      <c r="E48" s="2343">
        <f>(E36*E39*E39*E39*E39)/(8*E40*E40*E40*E41)</f>
        <v>4.05</v>
      </c>
      <c r="F48" s="2339" t="s">
        <v>10277</v>
      </c>
      <c r="G48" s="2335" t="s">
        <v>10331</v>
      </c>
      <c r="H48" s="2336"/>
      <c r="I48" s="2337" t="s">
        <v>10332</v>
      </c>
      <c r="J48" s="2398">
        <f>J34/(3.1415926*E40)</f>
        <v>9.7170776196980793E-2</v>
      </c>
      <c r="K48" s="1060"/>
      <c r="L48" s="2335" t="s">
        <v>10329</v>
      </c>
      <c r="M48" s="2336"/>
      <c r="N48" s="2337" t="s">
        <v>10330</v>
      </c>
      <c r="O48" s="2343">
        <f>(O36*O39*O39*O39*O39)/(8*O40*O40*O40*O41)</f>
        <v>4.05</v>
      </c>
      <c r="P48" s="2339" t="s">
        <v>10277</v>
      </c>
      <c r="Q48" s="2335" t="s">
        <v>10331</v>
      </c>
      <c r="R48" s="2336"/>
      <c r="S48" s="2337" t="s">
        <v>10332</v>
      </c>
      <c r="T48" s="2398">
        <f>T34/(3.1415926*O40)</f>
        <v>9.7817666732890302E-2</v>
      </c>
      <c r="U48" s="1060"/>
    </row>
    <row r="49" spans="2:21" ht="15.75">
      <c r="B49" s="2281" t="s">
        <v>10333</v>
      </c>
      <c r="C49" s="2282"/>
      <c r="D49" s="2349" t="s">
        <v>10334</v>
      </c>
      <c r="E49" s="2350">
        <f>E47-E44/(E48*E41)</f>
        <v>0.11206341074796</v>
      </c>
      <c r="F49" s="2351" t="s">
        <v>234</v>
      </c>
      <c r="G49" s="2281" t="s">
        <v>10335</v>
      </c>
      <c r="H49" s="1090"/>
      <c r="I49" s="1090"/>
      <c r="J49" s="1090"/>
      <c r="K49" s="1091"/>
      <c r="L49" s="2281" t="s">
        <v>10333</v>
      </c>
      <c r="M49" s="2282"/>
      <c r="N49" s="2349" t="s">
        <v>10334</v>
      </c>
      <c r="O49" s="2350">
        <f>O47-O44/(O48*O41)</f>
        <v>1.42493749528473</v>
      </c>
      <c r="P49" s="2351" t="s">
        <v>234</v>
      </c>
      <c r="Q49" s="2281" t="s">
        <v>10335</v>
      </c>
      <c r="R49" s="1090"/>
      <c r="S49" s="1090"/>
      <c r="T49" s="1090"/>
      <c r="U49" s="1091"/>
    </row>
    <row r="50" spans="2:21" ht="15.75">
      <c r="E50" s="75"/>
      <c r="F50" s="2352"/>
      <c r="K50" s="72"/>
      <c r="M50"/>
      <c r="P50" s="77"/>
    </row>
    <row r="51" spans="2:21" ht="15.75">
      <c r="B51" s="5010" t="s">
        <v>10336</v>
      </c>
      <c r="C51" s="5011"/>
      <c r="D51" s="5011"/>
      <c r="E51" s="5011"/>
      <c r="F51" s="5011"/>
      <c r="G51" s="5011"/>
      <c r="H51" s="5011"/>
      <c r="I51" s="5012"/>
      <c r="J51" s="2404"/>
      <c r="L51" s="5013" t="s">
        <v>10337</v>
      </c>
      <c r="M51" s="5014"/>
      <c r="N51" s="5014"/>
      <c r="O51" s="5014"/>
      <c r="P51" s="5014"/>
      <c r="Q51" s="5014"/>
      <c r="R51" s="5014"/>
      <c r="S51" s="5014"/>
      <c r="T51" s="5014"/>
      <c r="U51" s="5015"/>
    </row>
    <row r="52" spans="2:21" ht="15.75">
      <c r="B52" s="2278" t="s">
        <v>10338</v>
      </c>
      <c r="C52" s="2279"/>
      <c r="D52" s="2288">
        <v>8030</v>
      </c>
      <c r="E52" s="2353" t="s">
        <v>10269</v>
      </c>
      <c r="F52" s="2290"/>
      <c r="G52" s="2354" t="s">
        <v>10270</v>
      </c>
      <c r="H52" s="2330"/>
      <c r="I52" s="2405">
        <f>D53/D54</f>
        <v>12.181818181818199</v>
      </c>
      <c r="J52" s="1181"/>
      <c r="L52" s="2328" t="s">
        <v>10295</v>
      </c>
      <c r="M52" s="2329"/>
      <c r="N52" s="2330" t="s">
        <v>10296</v>
      </c>
      <c r="O52" s="2331">
        <f t="shared" ref="O52:O54" si="1">E34</f>
        <v>60</v>
      </c>
      <c r="P52" s="2332" t="s">
        <v>10269</v>
      </c>
      <c r="Q52" s="2328" t="s">
        <v>1129</v>
      </c>
      <c r="R52" s="2329"/>
      <c r="S52" s="2330" t="s">
        <v>428</v>
      </c>
      <c r="T52" s="2394">
        <f>O57+O65</f>
        <v>7.0679749330182302</v>
      </c>
      <c r="U52" s="2395" t="s">
        <v>234</v>
      </c>
    </row>
    <row r="53" spans="2:21" ht="15.75">
      <c r="B53" s="2292" t="s">
        <v>10271</v>
      </c>
      <c r="C53" s="2293"/>
      <c r="D53" s="2294">
        <v>26.8</v>
      </c>
      <c r="E53" s="2355" t="s">
        <v>234</v>
      </c>
      <c r="F53" s="1160"/>
      <c r="G53" s="2296" t="s">
        <v>10272</v>
      </c>
      <c r="H53" s="2283"/>
      <c r="I53" s="2406">
        <f>((4*I52-1)/(4*I52-4))+(0.615/I52)</f>
        <v>1.11755824535857</v>
      </c>
      <c r="J53" s="1181"/>
      <c r="L53" s="2328" t="s">
        <v>10295</v>
      </c>
      <c r="M53" s="2329"/>
      <c r="N53" s="2333" t="s">
        <v>10297</v>
      </c>
      <c r="O53" s="2334">
        <f t="shared" si="1"/>
        <v>75</v>
      </c>
      <c r="P53" s="2332" t="s">
        <v>10269</v>
      </c>
      <c r="Q53" s="2335" t="s">
        <v>10298</v>
      </c>
      <c r="R53" s="2336"/>
      <c r="S53" s="2337" t="s">
        <v>487</v>
      </c>
      <c r="T53" s="2396">
        <f>(O65*O59+(O60+1)*O57)</f>
        <v>54.407849598109401</v>
      </c>
      <c r="U53" s="2397" t="s">
        <v>234</v>
      </c>
    </row>
    <row r="54" spans="2:21" ht="15.75">
      <c r="B54" s="2297" t="s">
        <v>10273</v>
      </c>
      <c r="C54" s="2298"/>
      <c r="D54" s="2294">
        <v>2.2000000000000002</v>
      </c>
      <c r="E54" s="2355" t="s">
        <v>234</v>
      </c>
      <c r="F54" s="1160"/>
      <c r="G54" s="2299"/>
      <c r="H54" s="684"/>
      <c r="I54" s="2407"/>
      <c r="J54" s="2408"/>
      <c r="L54" s="2335" t="s">
        <v>10299</v>
      </c>
      <c r="M54" s="2336"/>
      <c r="N54" s="2337" t="s">
        <v>252</v>
      </c>
      <c r="O54" s="2338">
        <f t="shared" si="1"/>
        <v>8030</v>
      </c>
      <c r="P54" s="2339" t="s">
        <v>10269</v>
      </c>
      <c r="Q54" s="2335"/>
      <c r="R54" s="2340" t="s">
        <v>10300</v>
      </c>
      <c r="S54" s="2337" t="s">
        <v>487</v>
      </c>
      <c r="T54" s="2398">
        <f>(O65*O59+(O60-0.5)*O57)</f>
        <v>48.407849598109401</v>
      </c>
      <c r="U54" s="2397" t="s">
        <v>234</v>
      </c>
    </row>
    <row r="55" spans="2:21" ht="15.75">
      <c r="B55" s="2300" t="s">
        <v>10274</v>
      </c>
      <c r="C55" s="2301"/>
      <c r="D55" s="2302">
        <v>28.25</v>
      </c>
      <c r="E55" s="2356"/>
      <c r="F55" s="1160"/>
      <c r="G55" s="2357" t="s">
        <v>10275</v>
      </c>
      <c r="H55" s="2358"/>
      <c r="I55" s="2409">
        <v>75</v>
      </c>
      <c r="J55" s="2410"/>
      <c r="L55" s="2335" t="s">
        <v>10301</v>
      </c>
      <c r="M55" s="2336"/>
      <c r="N55" s="2337" t="s">
        <v>1957</v>
      </c>
      <c r="O55" s="2341">
        <v>5.75</v>
      </c>
      <c r="P55" s="2342"/>
      <c r="Q55" s="2335"/>
      <c r="R55" s="2313" t="s">
        <v>10302</v>
      </c>
      <c r="S55" s="2337" t="s">
        <v>487</v>
      </c>
      <c r="T55" s="2396">
        <f>O57*O59</f>
        <v>24</v>
      </c>
      <c r="U55" s="2397" t="s">
        <v>234</v>
      </c>
    </row>
    <row r="56" spans="2:21" ht="15.75">
      <c r="B56" s="2305" t="s">
        <v>10276</v>
      </c>
      <c r="C56" s="2306"/>
      <c r="D56" s="2307">
        <f>D52*D54^4/(8*D53^3*D55)</f>
        <v>4.3240772826185797E-2</v>
      </c>
      <c r="E56" s="2359" t="s">
        <v>10277</v>
      </c>
      <c r="F56" s="2360">
        <f>D56*9.80665</f>
        <v>0.424047124835915</v>
      </c>
      <c r="G56" s="2310" t="s">
        <v>1719</v>
      </c>
      <c r="H56" s="2361"/>
      <c r="I56" s="2411" t="s">
        <v>10278</v>
      </c>
      <c r="J56" s="2412"/>
      <c r="L56" s="2335" t="s">
        <v>10303</v>
      </c>
      <c r="M56" s="2336"/>
      <c r="N56" s="2337" t="s">
        <v>462</v>
      </c>
      <c r="O56" s="2343">
        <f>((4*O55-1)/(4*O55-4))+(0.615/O55)</f>
        <v>1.2648512585812399</v>
      </c>
      <c r="P56" s="2399"/>
      <c r="Q56" s="2335" t="s">
        <v>10304</v>
      </c>
      <c r="R56" s="2336"/>
      <c r="S56" s="2337" t="s">
        <v>10305</v>
      </c>
      <c r="T56" s="2396">
        <f>T53/O58</f>
        <v>2.3655586781786702</v>
      </c>
      <c r="U56" s="1060"/>
    </row>
    <row r="57" spans="2:21" ht="15.75">
      <c r="B57" s="2311" t="s">
        <v>10280</v>
      </c>
      <c r="C57" s="981"/>
      <c r="D57" s="2312">
        <f>(3.1415926*D54*D54*D54*I55)/(8*I53*D53)</f>
        <v>10.4709050875671</v>
      </c>
      <c r="E57" s="2362" t="s">
        <v>1749</v>
      </c>
      <c r="F57" s="2363">
        <f>D57*9.80665</f>
        <v>102.68450137699</v>
      </c>
      <c r="G57" s="2295" t="s">
        <v>464</v>
      </c>
      <c r="H57" s="684"/>
      <c r="I57" s="2413" t="s">
        <v>10281</v>
      </c>
      <c r="J57" s="2414"/>
      <c r="L57" s="2335" t="s">
        <v>10306</v>
      </c>
      <c r="M57" s="2336"/>
      <c r="N57" s="2337" t="s">
        <v>411</v>
      </c>
      <c r="O57" s="2345">
        <v>4</v>
      </c>
      <c r="P57" s="2339" t="s">
        <v>234</v>
      </c>
      <c r="Q57" s="2335"/>
      <c r="R57" s="2313" t="s">
        <v>10307</v>
      </c>
      <c r="S57" s="2337" t="s">
        <v>10305</v>
      </c>
      <c r="T57" s="2398">
        <f>T54/O58</f>
        <v>2.1046891129612799</v>
      </c>
      <c r="U57" s="1060"/>
    </row>
    <row r="58" spans="2:21" ht="15.75">
      <c r="B58" s="2315" t="s">
        <v>10282</v>
      </c>
      <c r="C58" s="1090"/>
      <c r="D58" s="1090"/>
      <c r="E58" s="215"/>
      <c r="F58" s="2364">
        <f>(8*D53*D53*D53*D57*D55)/(D52*D54*D54*D54*D54)</f>
        <v>242.15351399145399</v>
      </c>
      <c r="G58" s="2318" t="s">
        <v>234</v>
      </c>
      <c r="H58" s="215"/>
      <c r="I58" s="2415">
        <f>D55*D54</f>
        <v>62.15</v>
      </c>
      <c r="J58" s="2414"/>
      <c r="L58" s="2335" t="s">
        <v>1698</v>
      </c>
      <c r="M58" s="2336"/>
      <c r="N58" s="2337" t="s">
        <v>756</v>
      </c>
      <c r="O58" s="2345">
        <v>23</v>
      </c>
      <c r="P58" s="2339" t="s">
        <v>234</v>
      </c>
      <c r="Q58" s="2335"/>
      <c r="R58" s="2313" t="s">
        <v>10302</v>
      </c>
      <c r="S58" s="2337" t="s">
        <v>10305</v>
      </c>
      <c r="T58" s="2396">
        <f>T55/O58</f>
        <v>1.0434782608695701</v>
      </c>
      <c r="U58" s="1060"/>
    </row>
    <row r="59" spans="2:21" ht="15.75">
      <c r="E59" s="75"/>
      <c r="F59" s="2352"/>
      <c r="J59" s="2416"/>
      <c r="L59" s="2335" t="s">
        <v>10308</v>
      </c>
      <c r="M59" s="2336"/>
      <c r="N59" s="2337" t="s">
        <v>2487</v>
      </c>
      <c r="O59" s="2345">
        <v>6</v>
      </c>
      <c r="P59" s="2346"/>
      <c r="Q59" s="2335"/>
      <c r="R59" s="2347" t="s">
        <v>10309</v>
      </c>
      <c r="S59" s="981"/>
      <c r="T59" s="2401"/>
      <c r="U59" s="1060"/>
    </row>
    <row r="60" spans="2:21" ht="15.75">
      <c r="B60" s="2365" t="s">
        <v>10339</v>
      </c>
      <c r="E60" s="75"/>
      <c r="F60" s="2352"/>
      <c r="L60" s="2335" t="s">
        <v>10310</v>
      </c>
      <c r="M60" s="2336"/>
      <c r="N60" s="2337" t="s">
        <v>10115</v>
      </c>
      <c r="O60" s="2344">
        <f>O59+2</f>
        <v>8</v>
      </c>
      <c r="P60" s="2346"/>
      <c r="Q60" s="2335" t="s">
        <v>10311</v>
      </c>
      <c r="R60" s="2336"/>
      <c r="S60" s="2337" t="s">
        <v>3812</v>
      </c>
      <c r="T60" s="2402">
        <f>O61/O66</f>
        <v>7.5570252179327504</v>
      </c>
      <c r="U60" s="2397" t="s">
        <v>234</v>
      </c>
    </row>
    <row r="61" spans="2:21" ht="15.75">
      <c r="B61" s="2366" t="s">
        <v>10340</v>
      </c>
      <c r="E61" s="75"/>
      <c r="F61" s="2352"/>
      <c r="L61" s="2335" t="s">
        <v>10312</v>
      </c>
      <c r="M61" s="2336"/>
      <c r="N61" s="2337" t="s">
        <v>10161</v>
      </c>
      <c r="O61" s="2345">
        <v>26.6</v>
      </c>
      <c r="P61" s="2348" t="s">
        <v>1749</v>
      </c>
      <c r="Q61" s="2335" t="s">
        <v>10313</v>
      </c>
      <c r="R61" s="2336"/>
      <c r="S61" s="2337" t="s">
        <v>10314</v>
      </c>
      <c r="T61" s="2402">
        <f>O62/O66</f>
        <v>9.8582246264010003</v>
      </c>
      <c r="U61" s="2397" t="s">
        <v>234</v>
      </c>
    </row>
    <row r="62" spans="2:21" ht="15.75">
      <c r="E62" s="75"/>
      <c r="F62" s="2352"/>
      <c r="L62" s="2335" t="s">
        <v>10315</v>
      </c>
      <c r="M62" s="981"/>
      <c r="N62" s="2337" t="s">
        <v>10166</v>
      </c>
      <c r="O62" s="2345">
        <v>34.700000000000003</v>
      </c>
      <c r="P62" s="2348" t="s">
        <v>1749</v>
      </c>
      <c r="Q62" s="2335" t="s">
        <v>10316</v>
      </c>
      <c r="R62" s="2336"/>
      <c r="S62" s="2337" t="s">
        <v>5262</v>
      </c>
      <c r="T62" s="2398">
        <f>O63/O66</f>
        <v>18.407849598109401</v>
      </c>
      <c r="U62" s="2397" t="s">
        <v>234</v>
      </c>
    </row>
    <row r="63" spans="2:21" ht="15.75">
      <c r="B63" s="5016" t="s">
        <v>10341</v>
      </c>
      <c r="C63" s="5011"/>
      <c r="D63" s="5011"/>
      <c r="E63" s="5011"/>
      <c r="F63" s="5011"/>
      <c r="G63" s="5011"/>
      <c r="H63" s="5011"/>
      <c r="I63" s="5012"/>
      <c r="L63" s="2335" t="s">
        <v>10317</v>
      </c>
      <c r="M63" s="2336"/>
      <c r="N63" s="2337" t="s">
        <v>10170</v>
      </c>
      <c r="O63" s="2344">
        <f>(3.1415926*O57*O57*O57*E35)/(8*O56*O58)</f>
        <v>64.793855411224101</v>
      </c>
      <c r="P63" s="2348" t="s">
        <v>1749</v>
      </c>
      <c r="Q63" s="2335" t="s">
        <v>10318</v>
      </c>
      <c r="R63" s="2336"/>
      <c r="S63" s="2337" t="s">
        <v>4295</v>
      </c>
      <c r="T63" s="2423">
        <f>T54-T60</f>
        <v>40.850824380176597</v>
      </c>
      <c r="U63" s="2397" t="s">
        <v>234</v>
      </c>
    </row>
    <row r="64" spans="2:21" ht="15.75">
      <c r="B64" s="2278" t="s">
        <v>10338</v>
      </c>
      <c r="C64" s="2279"/>
      <c r="D64" s="2288">
        <v>8000</v>
      </c>
      <c r="E64" s="2353" t="s">
        <v>10269</v>
      </c>
      <c r="F64" s="2290"/>
      <c r="G64" s="2354" t="s">
        <v>10270</v>
      </c>
      <c r="H64" s="2330"/>
      <c r="I64" s="2405">
        <f>D65/D66</f>
        <v>12.181818181818199</v>
      </c>
      <c r="L64" s="2335" t="s">
        <v>10320</v>
      </c>
      <c r="M64" s="2336"/>
      <c r="N64" s="2337" t="s">
        <v>10321</v>
      </c>
      <c r="O64" s="2344">
        <f>(8*O58*O58*O58*O63)/(O54*O57*O57*O57*O57)</f>
        <v>3.0679749330182302</v>
      </c>
      <c r="P64" s="2339" t="s">
        <v>234</v>
      </c>
      <c r="Q64" s="2335" t="s">
        <v>10322</v>
      </c>
      <c r="R64" s="2336"/>
      <c r="S64" s="2337" t="s">
        <v>4326</v>
      </c>
      <c r="T64" s="2423">
        <f>T54-T61</f>
        <v>38.549624971708397</v>
      </c>
      <c r="U64" s="2397" t="s">
        <v>234</v>
      </c>
    </row>
    <row r="65" spans="2:21" ht="15.75">
      <c r="B65" s="2292" t="s">
        <v>10271</v>
      </c>
      <c r="C65" s="2293"/>
      <c r="D65" s="2294">
        <v>26.8</v>
      </c>
      <c r="E65" s="2355" t="s">
        <v>234</v>
      </c>
      <c r="F65" s="1160"/>
      <c r="G65" s="2296" t="s">
        <v>10272</v>
      </c>
      <c r="H65" s="2283"/>
      <c r="I65" s="2406">
        <f>((4*I64-1)/(4*I64-4))+(0.615/I64)</f>
        <v>1.11755824535857</v>
      </c>
      <c r="L65" s="2335" t="s">
        <v>10324</v>
      </c>
      <c r="M65" s="2336"/>
      <c r="N65" s="2347" t="s">
        <v>10325</v>
      </c>
      <c r="O65" s="2344">
        <f>O64</f>
        <v>3.0679749330182302</v>
      </c>
      <c r="P65" s="2339" t="s">
        <v>234</v>
      </c>
      <c r="Q65" s="2335" t="s">
        <v>10326</v>
      </c>
      <c r="R65" s="2336"/>
      <c r="S65" s="2337" t="s">
        <v>10327</v>
      </c>
      <c r="T65" s="2423">
        <f>(O60-0.5)*O57</f>
        <v>30</v>
      </c>
      <c r="U65" s="2397" t="s">
        <v>234</v>
      </c>
    </row>
    <row r="66" spans="2:21" ht="15.75">
      <c r="B66" s="2297" t="s">
        <v>10273</v>
      </c>
      <c r="C66" s="2298"/>
      <c r="D66" s="2294">
        <v>2.2000000000000002</v>
      </c>
      <c r="E66" s="2355" t="s">
        <v>234</v>
      </c>
      <c r="F66" s="1160"/>
      <c r="G66" s="2299"/>
      <c r="H66" s="684"/>
      <c r="I66" s="2407"/>
      <c r="L66" s="2335" t="s">
        <v>10329</v>
      </c>
      <c r="M66" s="2336"/>
      <c r="N66" s="2337" t="s">
        <v>10330</v>
      </c>
      <c r="O66" s="2343">
        <f>(O54*O57*O57*O57*O57)/(8*O58*O58*O58*O59)</f>
        <v>3.5199035642859098</v>
      </c>
      <c r="P66" s="2339" t="s">
        <v>10277</v>
      </c>
      <c r="Q66" s="2335" t="s">
        <v>10331</v>
      </c>
      <c r="R66" s="2336"/>
      <c r="S66" s="2337" t="s">
        <v>10332</v>
      </c>
      <c r="T66" s="2398">
        <f>T52/(3.1415926*O58)</f>
        <v>9.7817666732890302E-2</v>
      </c>
      <c r="U66" s="1060"/>
    </row>
    <row r="67" spans="2:21" ht="15.75">
      <c r="B67" s="2300" t="s">
        <v>10274</v>
      </c>
      <c r="C67" s="2301"/>
      <c r="D67" s="2302">
        <v>28.25</v>
      </c>
      <c r="E67" s="2356"/>
      <c r="F67" s="1160"/>
      <c r="G67" s="2357" t="s">
        <v>10275</v>
      </c>
      <c r="H67" s="2358"/>
      <c r="I67" s="2409">
        <v>75</v>
      </c>
      <c r="L67" s="2281" t="s">
        <v>10333</v>
      </c>
      <c r="M67" s="2282"/>
      <c r="N67" s="2349" t="s">
        <v>10334</v>
      </c>
      <c r="O67" s="2350">
        <f>O65-O62/(O66*O59)</f>
        <v>1.42493749528473</v>
      </c>
      <c r="P67" s="2351" t="s">
        <v>234</v>
      </c>
      <c r="Q67" s="2281" t="s">
        <v>10335</v>
      </c>
      <c r="R67" s="1090"/>
      <c r="S67" s="1090"/>
      <c r="T67" s="1090"/>
      <c r="U67" s="1091"/>
    </row>
    <row r="68" spans="2:21" ht="15.75">
      <c r="B68" s="2305" t="s">
        <v>10276</v>
      </c>
      <c r="C68" s="2306"/>
      <c r="D68" s="2307">
        <f>D64*D66^4/(8*D65^3*D67)</f>
        <v>4.3079225729699397E-2</v>
      </c>
      <c r="E68" s="2359" t="s">
        <v>10277</v>
      </c>
      <c r="F68" s="2360">
        <f>D68*9.80665</f>
        <v>0.422462889002157</v>
      </c>
      <c r="G68" s="2310" t="s">
        <v>1719</v>
      </c>
      <c r="H68" s="2361"/>
      <c r="I68" s="2411" t="s">
        <v>10278</v>
      </c>
      <c r="M68"/>
      <c r="P68" s="77"/>
    </row>
    <row r="69" spans="2:21" ht="15.75">
      <c r="B69" s="2311" t="s">
        <v>10280</v>
      </c>
      <c r="C69" s="981"/>
      <c r="D69" s="2312">
        <f>(3.1415926*D66*D66*D66*I67)/(8*I65*D65)</f>
        <v>10.4709050875671</v>
      </c>
      <c r="E69" s="2362" t="s">
        <v>1749</v>
      </c>
      <c r="F69" s="2363">
        <f>D69*9.80665</f>
        <v>102.68450137699</v>
      </c>
      <c r="G69" s="2295" t="s">
        <v>464</v>
      </c>
      <c r="H69" s="684"/>
      <c r="I69" s="2413" t="s">
        <v>10281</v>
      </c>
    </row>
    <row r="70" spans="2:21" ht="15">
      <c r="B70" s="2315" t="s">
        <v>10282</v>
      </c>
      <c r="C70" s="1090"/>
      <c r="D70" s="1090"/>
      <c r="E70" s="215"/>
      <c r="F70" s="2364">
        <f>(8*D65*D65*D65*D69*D67)/(D64*D66*D66*D66*D66)</f>
        <v>243.06158966892201</v>
      </c>
      <c r="G70" s="2318" t="s">
        <v>234</v>
      </c>
      <c r="H70" s="215"/>
      <c r="I70" s="2415">
        <f>D67*D66</f>
        <v>62.15</v>
      </c>
    </row>
    <row r="72" spans="2:21" ht="15.75">
      <c r="B72" s="5017" t="s">
        <v>10342</v>
      </c>
      <c r="C72" s="5011"/>
      <c r="D72" s="5011"/>
      <c r="E72" s="5011"/>
      <c r="F72" s="5011"/>
      <c r="G72" s="5011"/>
      <c r="H72" s="5011"/>
      <c r="I72" s="5012"/>
      <c r="J72" s="2352" t="s">
        <v>234</v>
      </c>
      <c r="N72" s="2352" t="s">
        <v>464</v>
      </c>
      <c r="O72" s="2352" t="s">
        <v>10343</v>
      </c>
    </row>
    <row r="73" spans="2:21" ht="15.75">
      <c r="B73" s="2278" t="s">
        <v>10338</v>
      </c>
      <c r="C73" s="2279"/>
      <c r="D73" s="2288">
        <v>8000</v>
      </c>
      <c r="E73" s="2353" t="s">
        <v>10269</v>
      </c>
      <c r="F73" s="2290"/>
      <c r="G73" s="2354" t="s">
        <v>10270</v>
      </c>
      <c r="H73" s="2330"/>
      <c r="I73" s="2405"/>
      <c r="J73">
        <v>0</v>
      </c>
      <c r="K73">
        <v>0</v>
      </c>
      <c r="L73">
        <v>0</v>
      </c>
      <c r="M73">
        <v>0</v>
      </c>
      <c r="N73" s="2427">
        <f t="shared" ref="N73:N78" si="2">(K73+L73+M73)/3</f>
        <v>0</v>
      </c>
      <c r="O73" s="2428">
        <v>0</v>
      </c>
    </row>
    <row r="74" spans="2:21" ht="15.75">
      <c r="B74" s="2292" t="s">
        <v>10344</v>
      </c>
      <c r="C74" s="2293"/>
      <c r="D74" s="2294">
        <v>1.9</v>
      </c>
      <c r="E74" s="2355" t="s">
        <v>234</v>
      </c>
      <c r="F74" s="2290"/>
      <c r="G74" s="2424"/>
      <c r="H74" s="2425"/>
      <c r="I74" s="2429"/>
      <c r="J74">
        <v>10</v>
      </c>
      <c r="K74">
        <v>4.2</v>
      </c>
      <c r="L74">
        <v>4.0999999999999996</v>
      </c>
      <c r="M74">
        <v>4.2</v>
      </c>
      <c r="N74" s="2427">
        <f t="shared" si="2"/>
        <v>4.1666666666666696</v>
      </c>
      <c r="O74" s="2428">
        <f t="shared" ref="O74:O78" si="3">N74/J74</f>
        <v>0.41666666666666702</v>
      </c>
    </row>
    <row r="75" spans="2:21" ht="15.75">
      <c r="B75" s="2292" t="s">
        <v>10345</v>
      </c>
      <c r="C75" s="2293"/>
      <c r="D75" s="2294">
        <v>2.4</v>
      </c>
      <c r="E75" s="2355" t="s">
        <v>234</v>
      </c>
      <c r="F75" s="1160"/>
      <c r="G75" s="2296" t="s">
        <v>10272</v>
      </c>
      <c r="H75" s="2283"/>
      <c r="I75" s="2406"/>
      <c r="J75">
        <v>20</v>
      </c>
      <c r="K75">
        <v>8.4</v>
      </c>
      <c r="L75">
        <v>8.3000000000000007</v>
      </c>
      <c r="M75">
        <v>8.4</v>
      </c>
      <c r="N75" s="2427">
        <f t="shared" si="2"/>
        <v>8.3666666666666707</v>
      </c>
      <c r="O75" s="2428">
        <f t="shared" si="3"/>
        <v>0.418333333333333</v>
      </c>
    </row>
    <row r="76" spans="2:21" ht="15.75">
      <c r="B76" s="2297" t="s">
        <v>10273</v>
      </c>
      <c r="C76" s="2298"/>
      <c r="D76" s="2294">
        <v>0.3</v>
      </c>
      <c r="E76" s="2355" t="s">
        <v>234</v>
      </c>
      <c r="F76" s="1160"/>
      <c r="G76" s="2299"/>
      <c r="H76" s="684"/>
      <c r="I76" s="2407"/>
      <c r="J76">
        <v>30</v>
      </c>
      <c r="K76">
        <v>12.6</v>
      </c>
      <c r="L76">
        <v>12.6</v>
      </c>
      <c r="M76">
        <v>12.7</v>
      </c>
      <c r="N76" s="2427">
        <f t="shared" si="2"/>
        <v>12.633333333333301</v>
      </c>
      <c r="O76" s="2428">
        <f t="shared" si="3"/>
        <v>0.42111111111111099</v>
      </c>
    </row>
    <row r="77" spans="2:21" ht="15">
      <c r="B77" s="2300" t="s">
        <v>10274</v>
      </c>
      <c r="C77" s="2301"/>
      <c r="D77" s="2302">
        <v>2.5</v>
      </c>
      <c r="E77" s="2356"/>
      <c r="F77" s="1160"/>
      <c r="G77" s="2357" t="s">
        <v>10275</v>
      </c>
      <c r="H77" s="2358"/>
      <c r="I77" s="2409">
        <v>75</v>
      </c>
      <c r="J77">
        <v>40</v>
      </c>
      <c r="K77">
        <v>16.899999999999999</v>
      </c>
      <c r="L77">
        <v>16.899999999999999</v>
      </c>
      <c r="M77">
        <v>16.899999999999999</v>
      </c>
      <c r="N77" s="2427">
        <f t="shared" si="2"/>
        <v>16.899999999999999</v>
      </c>
      <c r="O77" s="2428">
        <f t="shared" si="3"/>
        <v>0.42249999999999999</v>
      </c>
    </row>
    <row r="78" spans="2:21" ht="15.75">
      <c r="B78" s="2305" t="s">
        <v>10276</v>
      </c>
      <c r="C78" s="2306"/>
      <c r="D78" s="2307">
        <f>D73*D76^4/(16*D77*(D74^2+D75^2)*(D74+D75))</f>
        <v>4.0207490506564698E-2</v>
      </c>
      <c r="E78" s="2359" t="s">
        <v>10277</v>
      </c>
      <c r="F78" s="2360">
        <f>D78*9.80665</f>
        <v>0.394300786776203</v>
      </c>
      <c r="G78" s="2310" t="s">
        <v>1719</v>
      </c>
      <c r="H78" s="2361"/>
      <c r="I78" s="2411" t="s">
        <v>10278</v>
      </c>
      <c r="J78">
        <v>50</v>
      </c>
      <c r="K78">
        <v>21.1</v>
      </c>
      <c r="L78">
        <v>21.1</v>
      </c>
      <c r="M78">
        <v>21.1</v>
      </c>
      <c r="N78" s="2427">
        <f t="shared" si="2"/>
        <v>21.1</v>
      </c>
      <c r="O78" s="2428">
        <f t="shared" si="3"/>
        <v>0.42199999999999999</v>
      </c>
    </row>
    <row r="79" spans="2:21" ht="15.75">
      <c r="B79" s="2311" t="s">
        <v>10280</v>
      </c>
      <c r="C79" s="981"/>
      <c r="D79" s="2312" t="e">
        <f>(3.1415926*D76*D76*D76*I77)/(8*I75*D75)</f>
        <v>#DIV/0!</v>
      </c>
      <c r="E79" s="2362" t="s">
        <v>1749</v>
      </c>
      <c r="F79" s="2363"/>
      <c r="G79" s="2295" t="s">
        <v>464</v>
      </c>
      <c r="H79" s="684"/>
      <c r="I79" s="2413" t="s">
        <v>10281</v>
      </c>
      <c r="K79" s="2430" t="s">
        <v>10346</v>
      </c>
      <c r="L79" s="2430" t="s">
        <v>10347</v>
      </c>
      <c r="M79" s="2430" t="s">
        <v>10348</v>
      </c>
      <c r="O79" s="2428">
        <f>(O74+O75+O76+O77+O78)/5</f>
        <v>0.42012222222222201</v>
      </c>
    </row>
    <row r="80" spans="2:21" ht="15">
      <c r="B80" s="2315" t="s">
        <v>10282</v>
      </c>
      <c r="C80" s="1090"/>
      <c r="D80" s="1090"/>
      <c r="E80" s="215"/>
      <c r="F80" s="2364"/>
      <c r="G80" s="2318" t="s">
        <v>234</v>
      </c>
      <c r="H80" s="215"/>
      <c r="I80" s="2415"/>
      <c r="M80"/>
      <c r="N80" s="2427"/>
      <c r="O80" s="2428"/>
    </row>
    <row r="81" spans="2:15">
      <c r="B81" s="5017" t="s">
        <v>10349</v>
      </c>
      <c r="C81" s="5011"/>
      <c r="D81" s="5011"/>
      <c r="E81" s="5011"/>
      <c r="F81" s="5011"/>
      <c r="G81" s="5011"/>
      <c r="H81" s="5011"/>
      <c r="I81" s="5012"/>
    </row>
    <row r="82" spans="2:15" ht="15.75">
      <c r="B82" s="2278" t="s">
        <v>10338</v>
      </c>
      <c r="C82" s="2279"/>
      <c r="D82" s="2288">
        <v>8030</v>
      </c>
      <c r="E82" s="2353" t="s">
        <v>10269</v>
      </c>
      <c r="F82" s="2290"/>
      <c r="G82" s="2354" t="s">
        <v>10270</v>
      </c>
      <c r="H82" s="2330"/>
      <c r="I82" s="2405">
        <f>D83/D84</f>
        <v>5.8571428571428603</v>
      </c>
      <c r="M82"/>
      <c r="N82" s="2427"/>
      <c r="O82" s="2428"/>
    </row>
    <row r="83" spans="2:15" ht="15.75">
      <c r="B83" s="2292" t="s">
        <v>10271</v>
      </c>
      <c r="C83" s="2293"/>
      <c r="D83" s="2294">
        <v>20.5</v>
      </c>
      <c r="E83" s="2355" t="s">
        <v>234</v>
      </c>
      <c r="F83" s="1160"/>
      <c r="G83" s="2296" t="s">
        <v>10272</v>
      </c>
      <c r="H83" s="2283"/>
      <c r="I83" s="2406">
        <f>((4*I82-1)/(4*I82-4))+(0.615/I82)</f>
        <v>1.25941176470588</v>
      </c>
    </row>
    <row r="84" spans="2:15" ht="15.75">
      <c r="B84" s="2297" t="s">
        <v>10273</v>
      </c>
      <c r="C84" s="2298"/>
      <c r="D84" s="2294">
        <v>3.5</v>
      </c>
      <c r="E84" s="2355" t="s">
        <v>234</v>
      </c>
      <c r="F84" s="1160"/>
      <c r="G84" s="2299"/>
      <c r="H84" s="684"/>
      <c r="I84" s="2407"/>
    </row>
    <row r="85" spans="2:15" ht="15.75">
      <c r="B85" s="2300" t="s">
        <v>10274</v>
      </c>
      <c r="C85" s="2301"/>
      <c r="D85" s="2302">
        <v>1.5</v>
      </c>
      <c r="E85" s="2356"/>
      <c r="F85" s="1160"/>
      <c r="G85" s="2357" t="s">
        <v>10275</v>
      </c>
      <c r="H85" s="2358"/>
      <c r="I85" s="2409">
        <v>75</v>
      </c>
      <c r="J85" s="75"/>
    </row>
    <row r="86" spans="2:15" ht="15.75">
      <c r="B86" s="2305" t="s">
        <v>10276</v>
      </c>
      <c r="C86" s="2306"/>
      <c r="D86" s="2307">
        <f>D82*D84^4/(8*D83^3*D85)</f>
        <v>11.655875325856201</v>
      </c>
      <c r="E86" s="2359" t="s">
        <v>10277</v>
      </c>
      <c r="F86" s="2426">
        <f>D86*9.80665</f>
        <v>114.305089764307</v>
      </c>
      <c r="G86" s="2310" t="s">
        <v>1719</v>
      </c>
      <c r="H86" s="2361"/>
      <c r="I86" s="2411" t="s">
        <v>10278</v>
      </c>
      <c r="J86" s="75"/>
    </row>
    <row r="87" spans="2:15" ht="15.75">
      <c r="B87" s="2311" t="s">
        <v>10280</v>
      </c>
      <c r="C87" s="981"/>
      <c r="D87" s="2312">
        <f>(3.1415926*D84*D84*D84*I85)/(8*I83*D83)</f>
        <v>48.910676278002903</v>
      </c>
      <c r="E87" s="2362" t="s">
        <v>1749</v>
      </c>
      <c r="F87" s="2363">
        <f>D87*9.80665</f>
        <v>479.649883521677</v>
      </c>
      <c r="G87" s="2295" t="s">
        <v>464</v>
      </c>
      <c r="H87" s="684"/>
      <c r="I87" s="2413" t="s">
        <v>10281</v>
      </c>
      <c r="J87" s="75"/>
    </row>
    <row r="88" spans="2:15" ht="15">
      <c r="B88" s="2315" t="s">
        <v>10282</v>
      </c>
      <c r="C88" s="1090"/>
      <c r="D88" s="1090"/>
      <c r="E88" s="215"/>
      <c r="F88" s="2364">
        <f>(8*D83*D83*D83*D87*D85)/(D82*D84*D84*D84*D84)</f>
        <v>4.1962250719604599</v>
      </c>
      <c r="G88" s="2318" t="s">
        <v>234</v>
      </c>
      <c r="H88" s="215"/>
      <c r="I88" s="2415">
        <f>D85*D84</f>
        <v>5.25</v>
      </c>
    </row>
  </sheetData>
  <mergeCells count="23">
    <mergeCell ref="B1:S1"/>
    <mergeCell ref="C2:J2"/>
    <mergeCell ref="C6:J6"/>
    <mergeCell ref="L6:S6"/>
    <mergeCell ref="C15:J15"/>
    <mergeCell ref="L15:S15"/>
    <mergeCell ref="K2:K6"/>
    <mergeCell ref="K7:K10"/>
    <mergeCell ref="K11:K15"/>
    <mergeCell ref="L51:U51"/>
    <mergeCell ref="B63:I63"/>
    <mergeCell ref="B72:I72"/>
    <mergeCell ref="B81:I81"/>
    <mergeCell ref="C24:J24"/>
    <mergeCell ref="L24:S24"/>
    <mergeCell ref="B32:U32"/>
    <mergeCell ref="B33:K33"/>
    <mergeCell ref="L33:U33"/>
    <mergeCell ref="K16:K19"/>
    <mergeCell ref="K20:K24"/>
    <mergeCell ref="K25:K28"/>
    <mergeCell ref="K29:K31"/>
    <mergeCell ref="B51:I51"/>
  </mergeCells>
  <phoneticPr fontId="214" type="noConversion"/>
  <pageMargins left="0.55000000000000004" right="0.55000000000000004" top="0.78888888888888897" bottom="0.97916666666666696" header="0.30902777777777801" footer="0.50902777777777797"/>
  <pageSetup paperSize="9" orientation="landscape"/>
  <headerFooter scaleWithDoc="0" alignWithMargins="0"/>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96"/>
  <dimension ref="A1:N15"/>
  <sheetViews>
    <sheetView zoomScale="75" zoomScaleNormal="75" workbookViewId="0"/>
  </sheetViews>
  <sheetFormatPr defaultColWidth="8.75" defaultRowHeight="14.25"/>
  <cols>
    <col min="1" max="1" width="16.25" style="105" customWidth="1"/>
    <col min="2" max="2" width="8.75" style="105"/>
    <col min="3" max="3" width="24" style="105" customWidth="1"/>
    <col min="4" max="16384" width="8.75" style="105"/>
  </cols>
  <sheetData>
    <row r="1" spans="1:14" ht="23.25" customHeight="1"/>
    <row r="2" spans="1:14" ht="29.25" customHeight="1">
      <c r="A2" s="5030" t="s">
        <v>10350</v>
      </c>
      <c r="B2" s="5031"/>
      <c r="C2" s="1046" t="s">
        <v>10351</v>
      </c>
      <c r="D2" s="2249">
        <v>30</v>
      </c>
      <c r="E2" s="2250">
        <v>14</v>
      </c>
      <c r="F2" s="2249">
        <v>14</v>
      </c>
      <c r="G2" s="2251">
        <v>20</v>
      </c>
      <c r="H2" s="2249">
        <v>14</v>
      </c>
      <c r="I2" s="2266">
        <v>14</v>
      </c>
      <c r="J2" s="2249">
        <v>14</v>
      </c>
      <c r="K2" s="2267">
        <v>14</v>
      </c>
      <c r="L2" s="2268">
        <v>14</v>
      </c>
      <c r="M2" s="2269">
        <v>14</v>
      </c>
      <c r="N2" s="2268">
        <v>14</v>
      </c>
    </row>
    <row r="3" spans="1:14" ht="25.5" customHeight="1">
      <c r="A3" s="2252"/>
      <c r="B3" s="2253"/>
      <c r="C3" s="1027"/>
      <c r="D3" s="5032" t="s">
        <v>10352</v>
      </c>
      <c r="E3" s="5032"/>
      <c r="F3" s="5032"/>
      <c r="G3" s="5032"/>
      <c r="H3" s="5032"/>
      <c r="I3" s="5032"/>
      <c r="J3" s="5032"/>
      <c r="K3" s="5032"/>
      <c r="L3" s="5032"/>
      <c r="M3" s="5032"/>
      <c r="N3" s="5033"/>
    </row>
    <row r="4" spans="1:14" ht="27" customHeight="1">
      <c r="A4" s="5038" t="s">
        <v>10353</v>
      </c>
      <c r="B4" s="5039"/>
      <c r="C4" s="636" t="s">
        <v>10354</v>
      </c>
      <c r="D4" s="2254" t="s">
        <v>10355</v>
      </c>
      <c r="E4" s="2142" t="s">
        <v>10356</v>
      </c>
      <c r="F4" s="2141" t="s">
        <v>10357</v>
      </c>
      <c r="G4" s="2143" t="s">
        <v>10358</v>
      </c>
      <c r="H4" s="2141" t="s">
        <v>10359</v>
      </c>
      <c r="I4" s="1682" t="s">
        <v>10360</v>
      </c>
      <c r="J4" s="2141" t="s">
        <v>10361</v>
      </c>
      <c r="K4" s="2270" t="s">
        <v>10362</v>
      </c>
      <c r="L4" s="2141" t="s">
        <v>10363</v>
      </c>
      <c r="M4" s="2163" t="s">
        <v>10364</v>
      </c>
      <c r="N4" s="2141" t="s">
        <v>10365</v>
      </c>
    </row>
    <row r="5" spans="1:14" ht="27" customHeight="1">
      <c r="A5" s="5040"/>
      <c r="B5" s="5041"/>
      <c r="C5" s="636" t="s">
        <v>10366</v>
      </c>
      <c r="D5" s="2255">
        <v>9.5250000000000004</v>
      </c>
      <c r="E5" s="2142">
        <v>12.7</v>
      </c>
      <c r="F5" s="2141">
        <v>12.7</v>
      </c>
      <c r="G5" s="2143">
        <v>15.875</v>
      </c>
      <c r="H5" s="2141">
        <v>15.875</v>
      </c>
      <c r="I5" s="1682">
        <v>19.05</v>
      </c>
      <c r="J5" s="2141">
        <v>19.05</v>
      </c>
      <c r="K5" s="2270">
        <v>25.4</v>
      </c>
      <c r="L5" s="2141">
        <v>25.4</v>
      </c>
      <c r="M5" s="2163">
        <v>31.75</v>
      </c>
      <c r="N5" s="2141">
        <v>31.75</v>
      </c>
    </row>
    <row r="6" spans="1:14" ht="24.75" customHeight="1">
      <c r="A6" s="5042"/>
      <c r="B6" s="5043"/>
      <c r="C6" s="636" t="s">
        <v>10367</v>
      </c>
      <c r="D6" s="2256">
        <v>6.35</v>
      </c>
      <c r="E6" s="2257">
        <v>7.92</v>
      </c>
      <c r="F6" s="2258">
        <v>8.51</v>
      </c>
      <c r="G6" s="2259">
        <v>10.16</v>
      </c>
      <c r="H6" s="2258">
        <v>10.16</v>
      </c>
      <c r="I6" s="2131">
        <v>11.91</v>
      </c>
      <c r="J6" s="2258">
        <v>12.07</v>
      </c>
      <c r="K6" s="2271">
        <v>15.88</v>
      </c>
      <c r="L6" s="2272">
        <v>15.88</v>
      </c>
      <c r="M6" s="2273">
        <v>19.05</v>
      </c>
      <c r="N6" s="2272">
        <v>19.05</v>
      </c>
    </row>
    <row r="7" spans="1:14" ht="25.5" customHeight="1">
      <c r="A7" s="2260" t="s">
        <v>10368</v>
      </c>
      <c r="B7" s="2260" t="s">
        <v>4599</v>
      </c>
      <c r="C7" s="2260" t="s">
        <v>10369</v>
      </c>
      <c r="D7" s="5034" t="s">
        <v>10370</v>
      </c>
      <c r="E7" s="5032"/>
      <c r="F7" s="5032"/>
      <c r="G7" s="5032"/>
      <c r="H7" s="5032"/>
      <c r="I7" s="5032"/>
      <c r="J7" s="5032"/>
      <c r="K7" s="5032"/>
      <c r="L7" s="5032"/>
      <c r="M7" s="5032"/>
      <c r="N7" s="5033"/>
    </row>
    <row r="8" spans="1:14" ht="30" customHeight="1">
      <c r="A8" s="2260" t="s">
        <v>10371</v>
      </c>
      <c r="B8" s="2260" t="s">
        <v>10372</v>
      </c>
      <c r="C8" s="2260"/>
      <c r="D8" s="2261">
        <f t="shared" ref="D8:N8" si="0">0.008*D6*(D2*D2+180)</f>
        <v>54.863999999999997</v>
      </c>
      <c r="E8" s="2262">
        <f t="shared" si="0"/>
        <v>23.823360000000001</v>
      </c>
      <c r="F8" s="2263">
        <f t="shared" si="0"/>
        <v>25.59808</v>
      </c>
      <c r="G8" s="2264">
        <f t="shared" si="0"/>
        <v>47.142400000000002</v>
      </c>
      <c r="H8" s="2263">
        <f t="shared" si="0"/>
        <v>30.56128</v>
      </c>
      <c r="I8" s="2274">
        <f t="shared" si="0"/>
        <v>35.825279999999999</v>
      </c>
      <c r="J8" s="2263">
        <f t="shared" si="0"/>
        <v>36.306559999999998</v>
      </c>
      <c r="K8" s="2275">
        <f t="shared" si="0"/>
        <v>47.767040000000001</v>
      </c>
      <c r="L8" s="2263">
        <f t="shared" si="0"/>
        <v>47.767040000000001</v>
      </c>
      <c r="M8" s="2276">
        <f t="shared" si="0"/>
        <v>57.302399999999999</v>
      </c>
      <c r="N8" s="2263">
        <f t="shared" si="0"/>
        <v>57.302399999999999</v>
      </c>
    </row>
    <row r="9" spans="1:14" ht="35.25" customHeight="1">
      <c r="A9" s="2260" t="s">
        <v>10373</v>
      </c>
      <c r="B9" s="2260" t="s">
        <v>10374</v>
      </c>
      <c r="C9" s="2260"/>
      <c r="D9" s="2261">
        <f t="shared" ref="D9:N9" si="1">0.505*D6+0.069*POWER(D6,1/3)</f>
        <v>3.3345233650327901</v>
      </c>
      <c r="E9" s="2262">
        <f t="shared" si="1"/>
        <v>4.1371384580909396</v>
      </c>
      <c r="F9" s="2263">
        <f t="shared" si="1"/>
        <v>4.4384223017670097</v>
      </c>
      <c r="G9" s="2264">
        <f t="shared" si="1"/>
        <v>5.2802446343308196</v>
      </c>
      <c r="H9" s="2263">
        <f t="shared" si="1"/>
        <v>5.2802446343308196</v>
      </c>
      <c r="I9" s="2274">
        <f t="shared" si="1"/>
        <v>6.1721246476081504</v>
      </c>
      <c r="J9" s="2263">
        <f t="shared" si="1"/>
        <v>6.2536271351236099</v>
      </c>
      <c r="K9" s="2275">
        <f t="shared" si="1"/>
        <v>8.1928333408907701</v>
      </c>
      <c r="L9" s="2263">
        <f t="shared" si="1"/>
        <v>8.1928333408907701</v>
      </c>
      <c r="M9" s="2276">
        <f t="shared" si="1"/>
        <v>9.8045310808152806</v>
      </c>
      <c r="N9" s="2263">
        <f t="shared" si="1"/>
        <v>9.8045310808152806</v>
      </c>
    </row>
    <row r="10" spans="1:14" ht="45" customHeight="1">
      <c r="A10" s="2260" t="s">
        <v>10375</v>
      </c>
      <c r="B10" s="2260" t="s">
        <v>10376</v>
      </c>
      <c r="C10" s="2260"/>
      <c r="D10" s="2261">
        <f t="shared" ref="D10:N10" si="2">120-90/D2</f>
        <v>117</v>
      </c>
      <c r="E10" s="2262">
        <f t="shared" si="2"/>
        <v>113.571428571429</v>
      </c>
      <c r="F10" s="2263">
        <f t="shared" si="2"/>
        <v>113.571428571429</v>
      </c>
      <c r="G10" s="2264">
        <f t="shared" si="2"/>
        <v>115.5</v>
      </c>
      <c r="H10" s="2263">
        <f t="shared" si="2"/>
        <v>113.571428571429</v>
      </c>
      <c r="I10" s="2274">
        <f t="shared" si="2"/>
        <v>113.571428571429</v>
      </c>
      <c r="J10" s="2263">
        <f t="shared" si="2"/>
        <v>113.571428571429</v>
      </c>
      <c r="K10" s="2275">
        <f t="shared" si="2"/>
        <v>113.571428571429</v>
      </c>
      <c r="L10" s="2263">
        <f t="shared" si="2"/>
        <v>113.571428571429</v>
      </c>
      <c r="M10" s="2276">
        <f t="shared" si="2"/>
        <v>113.571428571429</v>
      </c>
      <c r="N10" s="2263">
        <f t="shared" si="2"/>
        <v>113.571428571429</v>
      </c>
    </row>
    <row r="11" spans="1:14" ht="25.5" customHeight="1">
      <c r="A11" s="2260" t="s">
        <v>10368</v>
      </c>
      <c r="B11" s="2265" t="s">
        <v>4599</v>
      </c>
      <c r="C11" s="2260" t="s">
        <v>10377</v>
      </c>
      <c r="D11" s="5035" t="s">
        <v>10378</v>
      </c>
      <c r="E11" s="5036"/>
      <c r="F11" s="5036"/>
      <c r="G11" s="5036"/>
      <c r="H11" s="5036"/>
      <c r="I11" s="5036"/>
      <c r="J11" s="5036"/>
      <c r="K11" s="5036"/>
      <c r="L11" s="5036"/>
      <c r="M11" s="5036"/>
      <c r="N11" s="5037"/>
    </row>
    <row r="12" spans="1:14" ht="30" customHeight="1">
      <c r="A12" s="2260" t="s">
        <v>10371</v>
      </c>
      <c r="B12" s="2260" t="s">
        <v>10372</v>
      </c>
      <c r="C12" s="2260"/>
      <c r="D12" s="2261">
        <f t="shared" ref="D12:N12" si="3">0.12*D6*(D2+2)</f>
        <v>24.384</v>
      </c>
      <c r="E12" s="2262">
        <f t="shared" si="3"/>
        <v>15.2064</v>
      </c>
      <c r="F12" s="2263">
        <f t="shared" si="3"/>
        <v>16.339200000000002</v>
      </c>
      <c r="G12" s="2264">
        <f t="shared" si="3"/>
        <v>26.822399999999998</v>
      </c>
      <c r="H12" s="2263">
        <f t="shared" si="3"/>
        <v>19.507200000000001</v>
      </c>
      <c r="I12" s="2274">
        <f t="shared" si="3"/>
        <v>22.8672</v>
      </c>
      <c r="J12" s="2263">
        <f t="shared" si="3"/>
        <v>23.174399999999999</v>
      </c>
      <c r="K12" s="2275">
        <f t="shared" si="3"/>
        <v>30.489599999999999</v>
      </c>
      <c r="L12" s="2263">
        <f t="shared" si="3"/>
        <v>30.489599999999999</v>
      </c>
      <c r="M12" s="2276">
        <f t="shared" si="3"/>
        <v>36.576000000000001</v>
      </c>
      <c r="N12" s="2263">
        <f t="shared" si="3"/>
        <v>36.576000000000001</v>
      </c>
    </row>
    <row r="13" spans="1:14" ht="35.25" customHeight="1">
      <c r="A13" s="2260" t="s">
        <v>10373</v>
      </c>
      <c r="B13" s="2260" t="s">
        <v>10374</v>
      </c>
      <c r="C13" s="2260"/>
      <c r="D13" s="2261">
        <f t="shared" ref="D13:N13" si="4">0.505*D6</f>
        <v>3.20675</v>
      </c>
      <c r="E13" s="2262">
        <f t="shared" si="4"/>
        <v>3.9996</v>
      </c>
      <c r="F13" s="2263">
        <f t="shared" si="4"/>
        <v>4.2975500000000002</v>
      </c>
      <c r="G13" s="2264">
        <f t="shared" si="4"/>
        <v>5.1307999999999998</v>
      </c>
      <c r="H13" s="2263">
        <f t="shared" si="4"/>
        <v>5.1307999999999998</v>
      </c>
      <c r="I13" s="2274">
        <f t="shared" si="4"/>
        <v>6.0145499999999998</v>
      </c>
      <c r="J13" s="2263">
        <f t="shared" si="4"/>
        <v>6.0953499999999998</v>
      </c>
      <c r="K13" s="2275">
        <f t="shared" si="4"/>
        <v>8.0193999999999992</v>
      </c>
      <c r="L13" s="2263">
        <f t="shared" si="4"/>
        <v>8.0193999999999992</v>
      </c>
      <c r="M13" s="2276">
        <f t="shared" si="4"/>
        <v>9.6202500000000004</v>
      </c>
      <c r="N13" s="2263">
        <f t="shared" si="4"/>
        <v>9.6202500000000004</v>
      </c>
    </row>
    <row r="14" spans="1:14" ht="45" customHeight="1">
      <c r="A14" s="2260" t="s">
        <v>10375</v>
      </c>
      <c r="B14" s="2260" t="s">
        <v>10376</v>
      </c>
      <c r="C14" s="2260"/>
      <c r="D14" s="2261">
        <f t="shared" ref="D14:N14" si="5">140-90/D2</f>
        <v>137</v>
      </c>
      <c r="E14" s="2262">
        <f t="shared" si="5"/>
        <v>133.57142857142901</v>
      </c>
      <c r="F14" s="2263">
        <f t="shared" si="5"/>
        <v>133.57142857142901</v>
      </c>
      <c r="G14" s="2264">
        <f t="shared" si="5"/>
        <v>135.5</v>
      </c>
      <c r="H14" s="2263">
        <f t="shared" si="5"/>
        <v>133.57142857142901</v>
      </c>
      <c r="I14" s="2274">
        <f t="shared" si="5"/>
        <v>133.57142857142901</v>
      </c>
      <c r="J14" s="2263">
        <f t="shared" si="5"/>
        <v>133.57142857142901</v>
      </c>
      <c r="K14" s="2275">
        <f t="shared" si="5"/>
        <v>133.57142857142901</v>
      </c>
      <c r="L14" s="2263">
        <f t="shared" si="5"/>
        <v>133.57142857142901</v>
      </c>
      <c r="M14" s="2276">
        <f t="shared" si="5"/>
        <v>133.57142857142901</v>
      </c>
      <c r="N14" s="2263">
        <f t="shared" si="5"/>
        <v>133.57142857142901</v>
      </c>
    </row>
    <row r="15" spans="1:14" ht="25.5" customHeight="1"/>
  </sheetData>
  <mergeCells count="5">
    <mergeCell ref="A2:B2"/>
    <mergeCell ref="D3:N3"/>
    <mergeCell ref="D7:N7"/>
    <mergeCell ref="D11:N11"/>
    <mergeCell ref="A4:B6"/>
  </mergeCells>
  <phoneticPr fontId="214" type="noConversion"/>
  <pageMargins left="0.75" right="0.75" top="1" bottom="1" header="0.5" footer="0.5"/>
  <pageSetup paperSize="9" orientation="portrait"/>
  <headerFooter scaleWithDoc="0" alignWithMargins="0"/>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97"/>
  <dimension ref="A1:R24"/>
  <sheetViews>
    <sheetView workbookViewId="0">
      <selection sqref="A1:R1"/>
    </sheetView>
  </sheetViews>
  <sheetFormatPr defaultColWidth="8.75" defaultRowHeight="14.25"/>
  <cols>
    <col min="1" max="1" width="3.5" style="105" customWidth="1"/>
    <col min="2" max="2" width="3" style="105" customWidth="1"/>
    <col min="3" max="3" width="8.5" style="105" customWidth="1"/>
    <col min="4" max="4" width="6.25" style="105" customWidth="1"/>
    <col min="5" max="5" width="22" style="105" customWidth="1"/>
    <col min="6" max="6" width="7.5" style="105" customWidth="1"/>
    <col min="7" max="7" width="7.75" style="2184" customWidth="1"/>
    <col min="8" max="17" width="7.75" style="231" customWidth="1"/>
    <col min="18" max="16384" width="8.75" style="105"/>
  </cols>
  <sheetData>
    <row r="1" spans="1:18" ht="39" customHeight="1">
      <c r="A1" s="5060" t="s">
        <v>10379</v>
      </c>
      <c r="B1" s="5061"/>
      <c r="C1" s="5061"/>
      <c r="D1" s="5061"/>
      <c r="E1" s="5061"/>
      <c r="F1" s="5061"/>
      <c r="G1" s="5061"/>
      <c r="H1" s="5061"/>
      <c r="I1" s="5061"/>
      <c r="J1" s="5061"/>
      <c r="K1" s="5061"/>
      <c r="L1" s="5061"/>
      <c r="M1" s="5061"/>
      <c r="N1" s="5061"/>
      <c r="O1" s="5061"/>
      <c r="P1" s="5061"/>
      <c r="Q1" s="5061"/>
      <c r="R1" s="5061"/>
    </row>
    <row r="2" spans="1:18" ht="7.9" customHeight="1">
      <c r="A2" s="2185"/>
      <c r="B2" s="2185"/>
      <c r="C2" s="2185"/>
      <c r="D2" s="2185"/>
      <c r="E2" s="2185"/>
      <c r="F2" s="2185"/>
      <c r="G2" s="2185"/>
      <c r="H2" s="2185"/>
      <c r="I2" s="2185"/>
      <c r="J2" s="2185"/>
      <c r="K2" s="2185"/>
      <c r="L2" s="2185"/>
      <c r="M2" s="2185"/>
      <c r="N2" s="2185"/>
      <c r="O2" s="2185"/>
      <c r="P2" s="2185"/>
      <c r="Q2" s="2185"/>
      <c r="R2" s="2185"/>
    </row>
    <row r="3" spans="1:18" ht="24.75" customHeight="1">
      <c r="A3" s="5062" t="s">
        <v>10380</v>
      </c>
      <c r="B3" s="5062"/>
      <c r="C3" s="5062"/>
      <c r="D3" s="5062"/>
      <c r="E3" s="5063"/>
      <c r="F3" s="2186" t="s">
        <v>1139</v>
      </c>
      <c r="G3" s="2187">
        <v>36</v>
      </c>
      <c r="H3" s="2187">
        <v>36</v>
      </c>
      <c r="I3" s="2187">
        <v>30</v>
      </c>
      <c r="J3" s="2187">
        <v>18</v>
      </c>
      <c r="K3" s="2187">
        <v>16</v>
      </c>
      <c r="L3" s="2187">
        <v>17</v>
      </c>
      <c r="M3" s="2187">
        <v>20</v>
      </c>
      <c r="N3" s="2187">
        <v>20</v>
      </c>
      <c r="O3" s="2187">
        <v>20</v>
      </c>
      <c r="P3" s="2187">
        <v>20</v>
      </c>
      <c r="Q3" s="2187">
        <v>15</v>
      </c>
      <c r="R3" s="2187">
        <v>15</v>
      </c>
    </row>
    <row r="4" spans="1:18" ht="7.15" customHeight="1">
      <c r="A4" s="2188"/>
      <c r="B4" s="2188"/>
      <c r="C4" s="2188"/>
      <c r="D4" s="2188"/>
      <c r="E4" s="2188"/>
      <c r="F4" s="2188"/>
      <c r="G4" s="2188"/>
      <c r="H4" s="2188"/>
      <c r="I4" s="2188"/>
      <c r="J4" s="2188"/>
      <c r="K4" s="2188"/>
      <c r="L4" s="2188"/>
      <c r="M4" s="2188"/>
      <c r="N4" s="2188"/>
      <c r="O4" s="2188"/>
      <c r="P4" s="2188"/>
      <c r="Q4" s="2188"/>
    </row>
    <row r="5" spans="1:18" ht="21" customHeight="1">
      <c r="A5" s="5064" t="s">
        <v>1931</v>
      </c>
      <c r="B5" s="5056"/>
      <c r="C5" s="5056"/>
      <c r="D5" s="2189" t="s">
        <v>4599</v>
      </c>
      <c r="E5" s="2189" t="s">
        <v>984</v>
      </c>
      <c r="F5" s="2190" t="s">
        <v>2492</v>
      </c>
      <c r="G5" s="2191" t="s">
        <v>10355</v>
      </c>
      <c r="H5" s="2191" t="s">
        <v>10356</v>
      </c>
      <c r="I5" s="2191" t="s">
        <v>10357</v>
      </c>
      <c r="J5" s="2191" t="s">
        <v>10358</v>
      </c>
      <c r="K5" s="2191" t="s">
        <v>10359</v>
      </c>
      <c r="L5" s="2191" t="s">
        <v>10360</v>
      </c>
      <c r="M5" s="2191" t="s">
        <v>10361</v>
      </c>
      <c r="N5" s="2191" t="s">
        <v>10362</v>
      </c>
      <c r="O5" s="2191" t="s">
        <v>10363</v>
      </c>
      <c r="P5" s="2191" t="s">
        <v>10364</v>
      </c>
      <c r="Q5" s="2191" t="s">
        <v>10365</v>
      </c>
      <c r="R5" s="2191" t="s">
        <v>10381</v>
      </c>
    </row>
    <row r="6" spans="1:18" ht="24.75" customHeight="1">
      <c r="A6" s="5046" t="s">
        <v>10353</v>
      </c>
      <c r="B6" s="5046" t="s">
        <v>10382</v>
      </c>
      <c r="C6" s="2169" t="s">
        <v>1129</v>
      </c>
      <c r="D6" s="2169" t="s">
        <v>445</v>
      </c>
      <c r="E6" s="2169"/>
      <c r="F6" s="2192" t="s">
        <v>445</v>
      </c>
      <c r="G6" s="2193">
        <v>9.5250000000000004</v>
      </c>
      <c r="H6" s="2194">
        <v>12.7</v>
      </c>
      <c r="I6" s="2194">
        <v>12.7</v>
      </c>
      <c r="J6" s="2194">
        <v>15.875</v>
      </c>
      <c r="K6" s="2194">
        <v>15.875</v>
      </c>
      <c r="L6" s="2194">
        <v>19.05</v>
      </c>
      <c r="M6" s="2194">
        <v>19.05</v>
      </c>
      <c r="N6" s="2194">
        <v>25.4</v>
      </c>
      <c r="O6" s="2194">
        <v>25.4</v>
      </c>
      <c r="P6" s="2194">
        <v>31.75</v>
      </c>
      <c r="Q6" s="2194">
        <v>31.75</v>
      </c>
      <c r="R6" s="2194">
        <v>38.1</v>
      </c>
    </row>
    <row r="7" spans="1:18" ht="24.75" customHeight="1">
      <c r="A7" s="5047"/>
      <c r="B7" s="5047"/>
      <c r="C7" s="2189" t="s">
        <v>1130</v>
      </c>
      <c r="D7" s="2189" t="s">
        <v>10383</v>
      </c>
      <c r="E7" s="2189"/>
      <c r="F7" s="2195" t="s">
        <v>10383</v>
      </c>
      <c r="G7" s="2196">
        <v>6.35</v>
      </c>
      <c r="H7" s="2197">
        <v>7.92</v>
      </c>
      <c r="I7" s="2197">
        <v>8.51</v>
      </c>
      <c r="J7" s="2197">
        <v>10.16</v>
      </c>
      <c r="K7" s="2197">
        <v>10.16</v>
      </c>
      <c r="L7" s="2228">
        <v>11.91</v>
      </c>
      <c r="M7" s="2197">
        <v>12.07</v>
      </c>
      <c r="N7" s="2229">
        <v>15.88</v>
      </c>
      <c r="O7" s="2191">
        <v>15.88</v>
      </c>
      <c r="P7" s="2191">
        <v>19.05</v>
      </c>
      <c r="Q7" s="2191">
        <v>19.05</v>
      </c>
      <c r="R7" s="2191">
        <v>25.4</v>
      </c>
    </row>
    <row r="8" spans="1:18" ht="24.75" customHeight="1">
      <c r="A8" s="5047"/>
      <c r="B8" s="5047"/>
      <c r="C8" s="2169" t="s">
        <v>10384</v>
      </c>
      <c r="D8" s="2169" t="s">
        <v>10385</v>
      </c>
      <c r="E8" s="2169"/>
      <c r="F8" s="2192" t="s">
        <v>10385</v>
      </c>
      <c r="G8" s="2198">
        <v>10.24</v>
      </c>
      <c r="H8" s="2199">
        <v>14.38</v>
      </c>
      <c r="I8" s="2199">
        <v>13.92</v>
      </c>
      <c r="J8" s="2199">
        <v>18.11</v>
      </c>
      <c r="K8" s="2199">
        <v>16.59</v>
      </c>
      <c r="L8" s="921">
        <v>22.78</v>
      </c>
      <c r="M8" s="2199">
        <v>19.46</v>
      </c>
      <c r="N8" s="2230">
        <v>29.29</v>
      </c>
      <c r="O8" s="2194">
        <v>31.88</v>
      </c>
      <c r="P8" s="2194">
        <v>35.76</v>
      </c>
      <c r="Q8" s="2194">
        <v>36.450000000000003</v>
      </c>
      <c r="R8" s="2194">
        <v>48.36</v>
      </c>
    </row>
    <row r="9" spans="1:18" ht="24.75" customHeight="1">
      <c r="A9" s="5047"/>
      <c r="B9" s="5047"/>
      <c r="C9" s="2189" t="s">
        <v>10386</v>
      </c>
      <c r="D9" s="2189" t="s">
        <v>10387</v>
      </c>
      <c r="E9" s="2189"/>
      <c r="F9" s="2195" t="s">
        <v>10387</v>
      </c>
      <c r="G9" s="2196">
        <v>5.72</v>
      </c>
      <c r="H9" s="2197">
        <v>7.85</v>
      </c>
      <c r="I9" s="2197">
        <v>7.75</v>
      </c>
      <c r="J9" s="2197">
        <v>9.4</v>
      </c>
      <c r="K9" s="2231">
        <v>9.65</v>
      </c>
      <c r="L9" s="2197">
        <v>12.57</v>
      </c>
      <c r="M9" s="2197">
        <v>11.68</v>
      </c>
      <c r="N9" s="2229">
        <v>15.75</v>
      </c>
      <c r="O9" s="2191">
        <v>17.02</v>
      </c>
      <c r="P9" s="2191">
        <v>18.899999999999999</v>
      </c>
      <c r="Q9" s="2191">
        <v>19.559999999999999</v>
      </c>
      <c r="R9" s="2191">
        <v>25.4</v>
      </c>
    </row>
    <row r="10" spans="1:18" ht="24.75" customHeight="1">
      <c r="A10" s="5048"/>
      <c r="B10" s="5048"/>
      <c r="C10" s="2169" t="s">
        <v>10388</v>
      </c>
      <c r="D10" s="2169" t="s">
        <v>4112</v>
      </c>
      <c r="E10" s="2169"/>
      <c r="F10" s="2192" t="s">
        <v>4112</v>
      </c>
      <c r="G10" s="2200">
        <v>8.26</v>
      </c>
      <c r="H10" s="2201">
        <v>12.07</v>
      </c>
      <c r="I10" s="921">
        <v>11.81</v>
      </c>
      <c r="J10" s="2201">
        <v>15.09</v>
      </c>
      <c r="K10" s="2201">
        <v>14.73</v>
      </c>
      <c r="L10" s="2201">
        <v>18.079999999999998</v>
      </c>
      <c r="M10" s="2201">
        <v>16.13</v>
      </c>
      <c r="N10" s="2232">
        <v>24.13</v>
      </c>
      <c r="O10" s="921">
        <v>21.08</v>
      </c>
      <c r="P10" s="2233">
        <v>30.18</v>
      </c>
      <c r="Q10" s="2233">
        <v>26.42</v>
      </c>
      <c r="R10" s="2233">
        <v>33.4</v>
      </c>
    </row>
    <row r="11" spans="1:18" ht="48.75" customHeight="1">
      <c r="A11" s="5049" t="s">
        <v>10389</v>
      </c>
      <c r="B11" s="5056" t="s">
        <v>1132</v>
      </c>
      <c r="C11" s="5056"/>
      <c r="D11" s="2189" t="s">
        <v>411</v>
      </c>
      <c r="E11" s="2189"/>
      <c r="F11" s="5054" t="s">
        <v>10390</v>
      </c>
      <c r="G11" s="2202">
        <f t="shared" ref="G11:R11" si="0">G6/(SIN(PI()/G3))</f>
        <v>109.287118665005</v>
      </c>
      <c r="H11" s="2203">
        <f t="shared" si="0"/>
        <v>145.716158220007</v>
      </c>
      <c r="I11" s="2203">
        <f t="shared" si="0"/>
        <v>121.498007365521</v>
      </c>
      <c r="J11" s="2203">
        <f t="shared" si="0"/>
        <v>91.420481419905201</v>
      </c>
      <c r="K11" s="2203">
        <f t="shared" si="0"/>
        <v>81.372565465792803</v>
      </c>
      <c r="L11" s="2203">
        <f t="shared" si="0"/>
        <v>103.67374144087201</v>
      </c>
      <c r="M11" s="2203">
        <f t="shared" si="0"/>
        <v>121.776233869569</v>
      </c>
      <c r="N11" s="2203">
        <f t="shared" si="0"/>
        <v>162.368311826091</v>
      </c>
      <c r="O11" s="2203">
        <f t="shared" si="0"/>
        <v>162.368311826091</v>
      </c>
      <c r="P11" s="2203">
        <f t="shared" si="0"/>
        <v>202.96038978261399</v>
      </c>
      <c r="Q11" s="2242">
        <f t="shared" si="0"/>
        <v>152.70906544562601</v>
      </c>
      <c r="R11" s="2242">
        <f t="shared" si="0"/>
        <v>183.250878534751</v>
      </c>
    </row>
    <row r="12" spans="1:18" ht="30" customHeight="1">
      <c r="A12" s="5050"/>
      <c r="B12" s="5056" t="s">
        <v>1134</v>
      </c>
      <c r="C12" s="5056"/>
      <c r="D12" s="5053" t="s">
        <v>1869</v>
      </c>
      <c r="E12" s="2189" t="s">
        <v>10391</v>
      </c>
      <c r="F12" s="5055"/>
      <c r="G12" s="2205">
        <f t="shared" ref="G12:R12" si="1">G11+1.25*G6-G7</f>
        <v>114.843368665005</v>
      </c>
      <c r="H12" s="2198">
        <f t="shared" si="1"/>
        <v>153.67115822000699</v>
      </c>
      <c r="I12" s="2198">
        <f t="shared" si="1"/>
        <v>128.86300736552101</v>
      </c>
      <c r="J12" s="2198">
        <f t="shared" si="1"/>
        <v>101.10423141990501</v>
      </c>
      <c r="K12" s="2198">
        <f t="shared" si="1"/>
        <v>91.056315465792807</v>
      </c>
      <c r="L12" s="2198">
        <f t="shared" si="1"/>
        <v>115.576241440872</v>
      </c>
      <c r="M12" s="2198">
        <f t="shared" si="1"/>
        <v>133.51873386956899</v>
      </c>
      <c r="N12" s="2198">
        <f t="shared" si="1"/>
        <v>178.23831182609101</v>
      </c>
      <c r="O12" s="2198">
        <f t="shared" si="1"/>
        <v>178.23831182609101</v>
      </c>
      <c r="P12" s="2198">
        <f t="shared" si="1"/>
        <v>223.597889782614</v>
      </c>
      <c r="Q12" s="2243">
        <f t="shared" si="1"/>
        <v>173.346565445626</v>
      </c>
      <c r="R12" s="2243">
        <f t="shared" si="1"/>
        <v>205.47587853475099</v>
      </c>
    </row>
    <row r="13" spans="1:18" ht="30.75" customHeight="1">
      <c r="A13" s="5050"/>
      <c r="B13" s="5056"/>
      <c r="C13" s="5056"/>
      <c r="D13" s="5053"/>
      <c r="E13" s="2189" t="s">
        <v>10392</v>
      </c>
      <c r="F13" s="5055"/>
      <c r="G13" s="2206">
        <f t="shared" ref="G13:R13" si="2">G11+(1-1.6/G3)*G6-G7</f>
        <v>112.038785331672</v>
      </c>
      <c r="H13" s="2196">
        <f t="shared" si="2"/>
        <v>149.931713775563</v>
      </c>
      <c r="I13" s="2196">
        <f t="shared" si="2"/>
        <v>125.01067403218801</v>
      </c>
      <c r="J13" s="2196">
        <f t="shared" si="2"/>
        <v>95.724370308794093</v>
      </c>
      <c r="K13" s="2196">
        <f t="shared" si="2"/>
        <v>85.500065465792801</v>
      </c>
      <c r="L13" s="2196">
        <f t="shared" si="2"/>
        <v>109.020800264401</v>
      </c>
      <c r="M13" s="2196">
        <f t="shared" si="2"/>
        <v>127.232233869569</v>
      </c>
      <c r="N13" s="2196">
        <f t="shared" si="2"/>
        <v>169.856311826091</v>
      </c>
      <c r="O13" s="2196">
        <f t="shared" si="2"/>
        <v>169.856311826091</v>
      </c>
      <c r="P13" s="2196">
        <f t="shared" si="2"/>
        <v>213.12038978261401</v>
      </c>
      <c r="Q13" s="2244">
        <f t="shared" si="2"/>
        <v>162.022398778959</v>
      </c>
      <c r="R13" s="2244">
        <f t="shared" si="2"/>
        <v>191.88687853475099</v>
      </c>
    </row>
    <row r="14" spans="1:18" ht="43.5" customHeight="1">
      <c r="A14" s="5050"/>
      <c r="B14" s="5056"/>
      <c r="C14" s="5056"/>
      <c r="D14" s="5053"/>
      <c r="E14" s="2204" t="s">
        <v>10393</v>
      </c>
      <c r="F14" s="5055"/>
      <c r="G14" s="2207">
        <f t="shared" ref="G14:R14" si="3">G6*(0.54+1/(TAN(PI()/G3)))</f>
        <v>114.014748183802</v>
      </c>
      <c r="H14" s="2208">
        <f t="shared" si="3"/>
        <v>152.01966424506901</v>
      </c>
      <c r="I14" s="2208">
        <f t="shared" si="3"/>
        <v>127.690428568627</v>
      </c>
      <c r="J14" s="2208">
        <f t="shared" si="3"/>
        <v>98.604098886431103</v>
      </c>
      <c r="K14" s="2208">
        <f t="shared" si="3"/>
        <v>88.381514437497799</v>
      </c>
      <c r="L14" s="2208">
        <f t="shared" si="3"/>
        <v>112.195498979961</v>
      </c>
      <c r="M14" s="2208">
        <f t="shared" si="3"/>
        <v>130.56396635455999</v>
      </c>
      <c r="N14" s="2208">
        <f t="shared" si="3"/>
        <v>174.08528847274599</v>
      </c>
      <c r="O14" s="2208">
        <f t="shared" si="3"/>
        <v>174.08528847274599</v>
      </c>
      <c r="P14" s="2208">
        <f t="shared" si="3"/>
        <v>217.606610590933</v>
      </c>
      <c r="Q14" s="2245">
        <f t="shared" si="3"/>
        <v>166.517005975941</v>
      </c>
      <c r="R14" s="2245">
        <f t="shared" si="3"/>
        <v>199.82040717112901</v>
      </c>
    </row>
    <row r="15" spans="1:18" ht="23.25" customHeight="1">
      <c r="A15" s="5050"/>
      <c r="B15" s="5056" t="s">
        <v>1133</v>
      </c>
      <c r="C15" s="5056"/>
      <c r="D15" s="2189" t="s">
        <v>1871</v>
      </c>
      <c r="E15" s="2189" t="s">
        <v>10394</v>
      </c>
      <c r="F15" s="2190"/>
      <c r="G15" s="2206">
        <f t="shared" ref="G15:R15" si="4">G11-G7</f>
        <v>102.937118665005</v>
      </c>
      <c r="H15" s="2196">
        <f t="shared" si="4"/>
        <v>137.79615822000699</v>
      </c>
      <c r="I15" s="2196">
        <f t="shared" si="4"/>
        <v>112.988007365521</v>
      </c>
      <c r="J15" s="2196">
        <f t="shared" si="4"/>
        <v>81.260481419905204</v>
      </c>
      <c r="K15" s="2196">
        <f t="shared" si="4"/>
        <v>71.212565465792807</v>
      </c>
      <c r="L15" s="2196">
        <f t="shared" si="4"/>
        <v>91.763741440871897</v>
      </c>
      <c r="M15" s="2196">
        <f t="shared" si="4"/>
        <v>109.706233869569</v>
      </c>
      <c r="N15" s="2196">
        <f t="shared" si="4"/>
        <v>146.48831182609101</v>
      </c>
      <c r="O15" s="2196">
        <f t="shared" si="4"/>
        <v>146.48831182609101</v>
      </c>
      <c r="P15" s="2196">
        <f t="shared" si="4"/>
        <v>183.910389782614</v>
      </c>
      <c r="Q15" s="2244">
        <f t="shared" si="4"/>
        <v>133.659065445626</v>
      </c>
      <c r="R15" s="2244">
        <f t="shared" si="4"/>
        <v>157.85087853475099</v>
      </c>
    </row>
    <row r="16" spans="1:18" ht="36" customHeight="1">
      <c r="A16" s="5051"/>
      <c r="B16" s="5057" t="s">
        <v>10395</v>
      </c>
      <c r="C16" s="5058"/>
      <c r="D16" s="2209" t="s">
        <v>10396</v>
      </c>
      <c r="E16" s="2209" t="s">
        <v>10397</v>
      </c>
      <c r="F16" s="2210"/>
      <c r="G16" s="2211">
        <f t="shared" ref="G16:R16" si="5">G6*TAN(PI()/2-PI()/G3)-1.04*G10-0.76</f>
        <v>99.520848183801803</v>
      </c>
      <c r="H16" s="2212">
        <f t="shared" si="5"/>
        <v>131.848864245069</v>
      </c>
      <c r="I16" s="2212">
        <f t="shared" si="5"/>
        <v>107.79002856862699</v>
      </c>
      <c r="J16" s="2212">
        <f t="shared" si="5"/>
        <v>73.577998886431104</v>
      </c>
      <c r="K16" s="2212">
        <f t="shared" si="5"/>
        <v>63.729814437497801</v>
      </c>
      <c r="L16" s="2212">
        <f t="shared" si="5"/>
        <v>82.345298979961299</v>
      </c>
      <c r="M16" s="2212">
        <f t="shared" si="5"/>
        <v>102.74176635456</v>
      </c>
      <c r="N16" s="2212">
        <f t="shared" si="5"/>
        <v>134.51408847274601</v>
      </c>
      <c r="O16" s="2212">
        <f t="shared" si="5"/>
        <v>137.68608847274601</v>
      </c>
      <c r="P16" s="2212">
        <f t="shared" si="5"/>
        <v>168.31441059093299</v>
      </c>
      <c r="Q16" s="2246">
        <f t="shared" si="5"/>
        <v>121.13520597594101</v>
      </c>
      <c r="R16" s="2246">
        <f t="shared" si="5"/>
        <v>143.75040717112901</v>
      </c>
    </row>
    <row r="17" spans="1:18" ht="26.25" customHeight="1">
      <c r="A17" s="2213"/>
      <c r="B17" s="2213"/>
      <c r="C17" s="2213"/>
      <c r="D17" s="2213"/>
      <c r="E17" s="2213"/>
      <c r="F17" s="2213"/>
      <c r="G17" s="2214"/>
      <c r="H17" s="2215"/>
      <c r="I17" s="2215"/>
      <c r="J17" s="2215"/>
      <c r="K17" s="2215"/>
      <c r="L17" s="2215"/>
      <c r="M17" s="2215"/>
      <c r="N17" s="2215"/>
      <c r="O17" s="2215"/>
      <c r="P17" s="2215"/>
      <c r="Q17" s="2215"/>
      <c r="R17" s="2215"/>
    </row>
    <row r="18" spans="1:18" ht="24.75" customHeight="1">
      <c r="A18" s="2216" t="s">
        <v>10398</v>
      </c>
      <c r="B18" s="2217"/>
      <c r="C18" s="2217"/>
      <c r="D18" s="2217"/>
      <c r="E18" s="2217"/>
      <c r="F18" s="2217"/>
      <c r="G18" s="2218"/>
      <c r="H18" s="2218"/>
      <c r="I18" s="2218"/>
      <c r="J18" s="2218"/>
      <c r="K18" s="2218"/>
      <c r="L18" s="2218"/>
      <c r="M18" s="2218"/>
      <c r="N18" s="2218"/>
      <c r="O18" s="2218"/>
      <c r="P18" s="2218"/>
      <c r="Q18" s="2247"/>
      <c r="R18" s="2247"/>
    </row>
    <row r="19" spans="1:18" ht="23.25" customHeight="1">
      <c r="A19" s="5059" t="s">
        <v>1784</v>
      </c>
      <c r="B19" s="5044"/>
      <c r="C19" s="5044"/>
      <c r="D19" s="536" t="s">
        <v>4599</v>
      </c>
      <c r="E19" s="5044" t="s">
        <v>984</v>
      </c>
      <c r="F19" s="5044"/>
      <c r="G19" s="2219" t="s">
        <v>10355</v>
      </c>
      <c r="H19" s="2220" t="s">
        <v>10356</v>
      </c>
      <c r="I19" s="2219" t="s">
        <v>10357</v>
      </c>
      <c r="J19" s="2234" t="s">
        <v>10358</v>
      </c>
      <c r="K19" s="2219" t="s">
        <v>10359</v>
      </c>
      <c r="L19" s="2235" t="s">
        <v>10360</v>
      </c>
      <c r="M19" s="2219" t="s">
        <v>10361</v>
      </c>
      <c r="N19" s="2236" t="s">
        <v>10362</v>
      </c>
      <c r="O19" s="2219" t="s">
        <v>10363</v>
      </c>
      <c r="P19" s="2237" t="s">
        <v>10364</v>
      </c>
      <c r="Q19" s="2219" t="s">
        <v>10365</v>
      </c>
      <c r="R19" s="2235" t="s">
        <v>10381</v>
      </c>
    </row>
    <row r="20" spans="1:18" ht="30" customHeight="1">
      <c r="A20" s="5052" t="s">
        <v>10399</v>
      </c>
      <c r="B20" s="5044" t="s">
        <v>10400</v>
      </c>
      <c r="C20" s="5044"/>
      <c r="D20" s="5044" t="s">
        <v>10401</v>
      </c>
      <c r="E20" s="5045" t="s">
        <v>10402</v>
      </c>
      <c r="F20" s="5045"/>
      <c r="G20" s="2221">
        <f t="shared" ref="G20:R20" si="6">IF(MOD(G3,2)=0,G11+G7,G11*COS(PI()/2/G3)+G7)</f>
        <v>115.637118665005</v>
      </c>
      <c r="H20" s="2222">
        <f t="shared" si="6"/>
        <v>153.63615822000699</v>
      </c>
      <c r="I20" s="2221">
        <f t="shared" si="6"/>
        <v>130.008007365521</v>
      </c>
      <c r="J20" s="2238">
        <f t="shared" si="6"/>
        <v>101.580481419905</v>
      </c>
      <c r="K20" s="2221">
        <f t="shared" si="6"/>
        <v>91.5325654657928</v>
      </c>
      <c r="L20" s="2239">
        <f t="shared" si="6"/>
        <v>115.14148753705101</v>
      </c>
      <c r="M20" s="2221">
        <f t="shared" si="6"/>
        <v>133.84623386956901</v>
      </c>
      <c r="N20" s="2240">
        <f t="shared" si="6"/>
        <v>178.248311826091</v>
      </c>
      <c r="O20" s="2221">
        <f t="shared" si="6"/>
        <v>178.248311826091</v>
      </c>
      <c r="P20" s="2241">
        <f t="shared" si="6"/>
        <v>222.010389782614</v>
      </c>
      <c r="Q20" s="2221">
        <f t="shared" si="6"/>
        <v>170.92250920690199</v>
      </c>
      <c r="R20" s="2239">
        <f t="shared" si="6"/>
        <v>207.647011048282</v>
      </c>
    </row>
    <row r="21" spans="1:18" ht="40.5" customHeight="1">
      <c r="A21" s="5052"/>
      <c r="B21" s="5044" t="s">
        <v>10403</v>
      </c>
      <c r="C21" s="5044"/>
      <c r="D21" s="5044"/>
      <c r="E21" s="5045" t="s">
        <v>10404</v>
      </c>
      <c r="F21" s="5045"/>
      <c r="G21" s="2221">
        <f t="shared" ref="G21:R21" si="7">IF(MOD(G3,2)=0,G11+G7,G11*COS(PI()/2/G3)+G7)</f>
        <v>115.637118665005</v>
      </c>
      <c r="H21" s="2222">
        <f t="shared" si="7"/>
        <v>153.63615822000699</v>
      </c>
      <c r="I21" s="2221">
        <f t="shared" si="7"/>
        <v>130.008007365521</v>
      </c>
      <c r="J21" s="2238">
        <f t="shared" si="7"/>
        <v>101.580481419905</v>
      </c>
      <c r="K21" s="2221">
        <f t="shared" si="7"/>
        <v>91.5325654657928</v>
      </c>
      <c r="L21" s="2239">
        <f t="shared" si="7"/>
        <v>115.14148753705101</v>
      </c>
      <c r="M21" s="2221">
        <f t="shared" si="7"/>
        <v>133.84623386956901</v>
      </c>
      <c r="N21" s="2240">
        <f t="shared" si="7"/>
        <v>178.248311826091</v>
      </c>
      <c r="O21" s="2221">
        <f t="shared" si="7"/>
        <v>178.248311826091</v>
      </c>
      <c r="P21" s="2241">
        <f t="shared" si="7"/>
        <v>222.010389782614</v>
      </c>
      <c r="Q21" s="2221">
        <f t="shared" si="7"/>
        <v>170.92250920690199</v>
      </c>
      <c r="R21" s="2239">
        <f t="shared" si="7"/>
        <v>207.647011048282</v>
      </c>
    </row>
    <row r="22" spans="1:18">
      <c r="A22" s="2223"/>
      <c r="B22" s="141"/>
      <c r="C22" s="141"/>
      <c r="D22" s="141"/>
      <c r="E22" s="141"/>
      <c r="F22" s="141"/>
      <c r="G22" s="2224"/>
      <c r="H22" s="509"/>
      <c r="I22" s="509"/>
      <c r="J22" s="509"/>
      <c r="K22" s="509"/>
      <c r="L22" s="509"/>
      <c r="M22" s="509"/>
      <c r="N22" s="509"/>
      <c r="O22" s="509"/>
      <c r="P22" s="509"/>
      <c r="Q22" s="2076"/>
      <c r="R22" s="2076"/>
    </row>
    <row r="23" spans="1:18">
      <c r="A23" s="2223"/>
      <c r="B23" s="141"/>
      <c r="C23" s="141"/>
      <c r="D23" s="141"/>
      <c r="E23" s="141"/>
      <c r="F23" s="141"/>
      <c r="G23" s="2224"/>
      <c r="H23" s="509"/>
      <c r="I23" s="509"/>
      <c r="J23" s="509"/>
      <c r="K23" s="509"/>
      <c r="L23" s="509"/>
      <c r="M23" s="509"/>
      <c r="N23" s="509"/>
      <c r="O23" s="509"/>
      <c r="P23" s="509"/>
      <c r="Q23" s="2076"/>
      <c r="R23" s="2076"/>
    </row>
    <row r="24" spans="1:18">
      <c r="A24" s="2225"/>
      <c r="B24" s="126"/>
      <c r="C24" s="126"/>
      <c r="D24" s="126"/>
      <c r="E24" s="126"/>
      <c r="F24" s="126"/>
      <c r="G24" s="2226"/>
      <c r="H24" s="2227"/>
      <c r="I24" s="2227"/>
      <c r="J24" s="2227"/>
      <c r="K24" s="2227"/>
      <c r="L24" s="2227"/>
      <c r="M24" s="2227"/>
      <c r="N24" s="2227"/>
      <c r="O24" s="2227"/>
      <c r="P24" s="2227"/>
      <c r="Q24" s="2248"/>
      <c r="R24" s="2248"/>
    </row>
  </sheetData>
  <mergeCells count="20">
    <mergeCell ref="A1:R1"/>
    <mergeCell ref="A3:E3"/>
    <mergeCell ref="A5:C5"/>
    <mergeCell ref="B11:C11"/>
    <mergeCell ref="B15:C15"/>
    <mergeCell ref="B21:C21"/>
    <mergeCell ref="E21:F21"/>
    <mergeCell ref="A6:A10"/>
    <mergeCell ref="A11:A16"/>
    <mergeCell ref="A20:A21"/>
    <mergeCell ref="B6:B10"/>
    <mergeCell ref="D12:D14"/>
    <mergeCell ref="D20:D21"/>
    <mergeCell ref="F11:F14"/>
    <mergeCell ref="B12:C14"/>
    <mergeCell ref="B16:C16"/>
    <mergeCell ref="A19:C19"/>
    <mergeCell ref="E19:F19"/>
    <mergeCell ref="B20:C20"/>
    <mergeCell ref="E20:F20"/>
  </mergeCells>
  <phoneticPr fontId="214" type="noConversion"/>
  <pageMargins left="0.45902777777777798" right="0.50902777777777797" top="1" bottom="1" header="0.5" footer="0.5"/>
  <pageSetup paperSize="9" orientation="landscape"/>
  <headerFooter scaleWithDoc="0" alignWithMargins="0"/>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98"/>
  <dimension ref="A1:O23"/>
  <sheetViews>
    <sheetView zoomScale="85" zoomScaleNormal="85" workbookViewId="0">
      <selection activeCell="Q1" sqref="Q1"/>
    </sheetView>
  </sheetViews>
  <sheetFormatPr defaultColWidth="8.75" defaultRowHeight="14.25"/>
  <cols>
    <col min="1" max="1" width="6.375" style="2172" customWidth="1"/>
    <col min="2" max="2" width="5.5" style="2172" customWidth="1"/>
    <col min="3" max="4" width="7.625" style="2172" customWidth="1"/>
    <col min="5" max="5" width="9" style="2172"/>
    <col min="6" max="6" width="8.25" style="2172" customWidth="1"/>
    <col min="7" max="15" width="7.625" style="2172" customWidth="1"/>
    <col min="16" max="32" width="9" style="2172"/>
    <col min="33" max="16384" width="8.75" style="2172"/>
  </cols>
  <sheetData>
    <row r="1" spans="1:15" ht="399.75" customHeight="1"/>
    <row r="2" spans="1:15" ht="24.75" customHeight="1">
      <c r="A2" s="2173" t="s">
        <v>10405</v>
      </c>
      <c r="B2" s="2174"/>
    </row>
    <row r="3" spans="1:15" ht="14.25" customHeight="1">
      <c r="A3" s="5068" t="s">
        <v>10406</v>
      </c>
      <c r="B3" s="5065" t="s">
        <v>10354</v>
      </c>
      <c r="C3" s="2175" t="s">
        <v>1129</v>
      </c>
      <c r="D3" s="2175" t="s">
        <v>10384</v>
      </c>
      <c r="E3" s="2175" t="s">
        <v>10407</v>
      </c>
      <c r="F3" s="5069" t="s">
        <v>10386</v>
      </c>
      <c r="G3" s="2176" t="s">
        <v>10408</v>
      </c>
      <c r="H3" s="5065" t="s">
        <v>10409</v>
      </c>
      <c r="I3" s="5066"/>
      <c r="J3" s="5067"/>
      <c r="K3" s="2183" t="s">
        <v>10388</v>
      </c>
      <c r="L3" s="5065" t="s">
        <v>10410</v>
      </c>
      <c r="M3" s="5066"/>
      <c r="N3" s="5067"/>
      <c r="O3" s="2175" t="s">
        <v>10411</v>
      </c>
    </row>
    <row r="4" spans="1:15">
      <c r="A4" s="5068"/>
      <c r="B4" s="5065"/>
      <c r="C4" s="2177"/>
      <c r="D4" s="2177"/>
      <c r="E4" s="2177"/>
      <c r="F4" s="5070"/>
      <c r="G4" s="2177"/>
      <c r="H4" s="2177" t="s">
        <v>1144</v>
      </c>
      <c r="I4" s="2177" t="s">
        <v>10412</v>
      </c>
      <c r="J4" s="2177" t="s">
        <v>10413</v>
      </c>
      <c r="K4" s="2177"/>
      <c r="L4" s="2177" t="s">
        <v>1144</v>
      </c>
      <c r="M4" s="2177" t="s">
        <v>10412</v>
      </c>
      <c r="N4" s="2177" t="s">
        <v>10413</v>
      </c>
      <c r="O4" s="2177"/>
    </row>
    <row r="5" spans="1:15">
      <c r="A5" s="5068"/>
      <c r="B5" s="5065"/>
      <c r="C5" s="2178" t="s">
        <v>1858</v>
      </c>
      <c r="D5" s="2178" t="s">
        <v>10385</v>
      </c>
      <c r="E5" s="2178" t="s">
        <v>10383</v>
      </c>
      <c r="F5" s="2178" t="s">
        <v>10414</v>
      </c>
      <c r="G5" s="2178" t="s">
        <v>1976</v>
      </c>
      <c r="H5" s="2178" t="s">
        <v>10415</v>
      </c>
      <c r="I5" s="2178" t="s">
        <v>10416</v>
      </c>
      <c r="J5" s="2178" t="s">
        <v>10417</v>
      </c>
      <c r="K5" s="2178" t="s">
        <v>10418</v>
      </c>
      <c r="L5" s="2178" t="s">
        <v>10419</v>
      </c>
      <c r="M5" s="2178" t="s">
        <v>10419</v>
      </c>
      <c r="N5" s="2178" t="s">
        <v>10419</v>
      </c>
      <c r="O5" s="2178" t="s">
        <v>1155</v>
      </c>
    </row>
    <row r="6" spans="1:15">
      <c r="A6" s="5068"/>
      <c r="B6" s="5065"/>
      <c r="C6" s="2179" t="s">
        <v>234</v>
      </c>
      <c r="D6" s="2179" t="s">
        <v>234</v>
      </c>
      <c r="E6" s="2179" t="s">
        <v>234</v>
      </c>
      <c r="F6" s="2179" t="s">
        <v>234</v>
      </c>
      <c r="G6" s="2179" t="s">
        <v>234</v>
      </c>
      <c r="H6" s="2179" t="s">
        <v>234</v>
      </c>
      <c r="I6" s="2179" t="s">
        <v>234</v>
      </c>
      <c r="J6" s="2179" t="s">
        <v>234</v>
      </c>
      <c r="K6" s="2179" t="s">
        <v>234</v>
      </c>
      <c r="L6" s="2179" t="s">
        <v>2429</v>
      </c>
      <c r="M6" s="2179" t="s">
        <v>2429</v>
      </c>
      <c r="N6" s="2179" t="s">
        <v>2429</v>
      </c>
      <c r="O6" s="2179" t="s">
        <v>2053</v>
      </c>
    </row>
    <row r="7" spans="1:15">
      <c r="A7" s="2180" t="s">
        <v>10420</v>
      </c>
      <c r="B7" s="2181" t="s">
        <v>10355</v>
      </c>
      <c r="C7" s="2182">
        <v>9.5250000000000004</v>
      </c>
      <c r="D7" s="2182">
        <v>10.24</v>
      </c>
      <c r="E7" s="2182">
        <v>6.35</v>
      </c>
      <c r="F7" s="2182">
        <v>5.72</v>
      </c>
      <c r="G7" s="2182">
        <v>3.82</v>
      </c>
      <c r="H7" s="2182">
        <v>13.5</v>
      </c>
      <c r="I7" s="2182">
        <v>23.8</v>
      </c>
      <c r="J7" s="2182">
        <v>34</v>
      </c>
      <c r="K7" s="2182">
        <v>8.26</v>
      </c>
      <c r="L7" s="2182">
        <v>8.82</v>
      </c>
      <c r="M7" s="2182">
        <v>17.64</v>
      </c>
      <c r="N7" s="2182">
        <v>26.46</v>
      </c>
      <c r="O7" s="2182">
        <v>0.4</v>
      </c>
    </row>
    <row r="8" spans="1:15">
      <c r="A8" s="2180" t="s">
        <v>10421</v>
      </c>
      <c r="B8" s="2181" t="s">
        <v>10356</v>
      </c>
      <c r="C8" s="2181">
        <v>12.7</v>
      </c>
      <c r="D8" s="2181">
        <v>14.38</v>
      </c>
      <c r="E8" s="2181">
        <v>7.92</v>
      </c>
      <c r="F8" s="2181">
        <v>7.85</v>
      </c>
      <c r="G8" s="2181">
        <v>3.96</v>
      </c>
      <c r="H8" s="2181">
        <v>17.8</v>
      </c>
      <c r="I8" s="2181">
        <v>32.299999999999997</v>
      </c>
      <c r="J8" s="2181">
        <v>46.7</v>
      </c>
      <c r="K8" s="2181">
        <v>12.07</v>
      </c>
      <c r="L8" s="2181">
        <v>13.72</v>
      </c>
      <c r="M8" s="2181">
        <v>27.44</v>
      </c>
      <c r="N8" s="2181">
        <v>41.16</v>
      </c>
      <c r="O8" s="2181">
        <v>0.6</v>
      </c>
    </row>
    <row r="9" spans="1:15">
      <c r="A9" s="2180" t="s">
        <v>10357</v>
      </c>
      <c r="B9" s="2181" t="s">
        <v>10357</v>
      </c>
      <c r="C9" s="2181">
        <v>12.7</v>
      </c>
      <c r="D9" s="2181">
        <v>13.92</v>
      </c>
      <c r="E9" s="2181">
        <v>8.51</v>
      </c>
      <c r="F9" s="2181">
        <v>7.75</v>
      </c>
      <c r="G9" s="2181">
        <v>4.45</v>
      </c>
      <c r="H9" s="2181">
        <v>17</v>
      </c>
      <c r="I9" s="2181">
        <v>31</v>
      </c>
      <c r="J9" s="2181">
        <v>44.9</v>
      </c>
      <c r="K9" s="2181">
        <v>11.81</v>
      </c>
      <c r="L9" s="2181">
        <v>17.8</v>
      </c>
      <c r="M9" s="2181">
        <v>31.1</v>
      </c>
      <c r="N9" s="2181">
        <v>44.5</v>
      </c>
      <c r="O9" s="2181">
        <v>0.7</v>
      </c>
    </row>
    <row r="10" spans="1:15">
      <c r="A10" s="2180" t="s">
        <v>10422</v>
      </c>
      <c r="B10" s="2181" t="s">
        <v>10358</v>
      </c>
      <c r="C10" s="2181">
        <v>15.875</v>
      </c>
      <c r="D10" s="2181">
        <v>18.11</v>
      </c>
      <c r="E10" s="2181">
        <v>10.16</v>
      </c>
      <c r="F10" s="2181">
        <v>9.4</v>
      </c>
      <c r="G10" s="2181">
        <v>5.08</v>
      </c>
      <c r="H10" s="2181">
        <v>21.8</v>
      </c>
      <c r="I10" s="2181">
        <v>39.9</v>
      </c>
      <c r="J10" s="2181">
        <v>57.9</v>
      </c>
      <c r="K10" s="2181">
        <v>15.09</v>
      </c>
      <c r="L10" s="2181">
        <v>21.8</v>
      </c>
      <c r="M10" s="2181">
        <v>43.6</v>
      </c>
      <c r="N10" s="2181">
        <v>65.400000000000006</v>
      </c>
      <c r="O10" s="2181">
        <v>1</v>
      </c>
    </row>
    <row r="11" spans="1:15">
      <c r="A11" s="2180" t="s">
        <v>10422</v>
      </c>
      <c r="B11" s="2181" t="s">
        <v>10359</v>
      </c>
      <c r="C11" s="2181">
        <v>15.875</v>
      </c>
      <c r="D11" s="2181">
        <v>16.59</v>
      </c>
      <c r="E11" s="2181">
        <v>10.16</v>
      </c>
      <c r="F11" s="2181">
        <v>9.65</v>
      </c>
      <c r="G11" s="2181">
        <v>5.08</v>
      </c>
      <c r="H11" s="2181">
        <v>19.600000000000001</v>
      </c>
      <c r="I11" s="2181">
        <v>36.200000000000003</v>
      </c>
      <c r="J11" s="2181">
        <v>52.8</v>
      </c>
      <c r="K11" s="2181">
        <v>14.73</v>
      </c>
      <c r="L11" s="2181">
        <v>22.2</v>
      </c>
      <c r="M11" s="2181">
        <v>44.5</v>
      </c>
      <c r="N11" s="2181">
        <v>66.7</v>
      </c>
      <c r="O11" s="2181">
        <v>0.95</v>
      </c>
    </row>
    <row r="12" spans="1:15">
      <c r="A12" s="2180" t="s">
        <v>10423</v>
      </c>
      <c r="B12" s="2181" t="s">
        <v>10360</v>
      </c>
      <c r="C12" s="2181">
        <v>19.05</v>
      </c>
      <c r="D12" s="2181">
        <v>22.78</v>
      </c>
      <c r="E12" s="2181">
        <v>11.91</v>
      </c>
      <c r="F12" s="2181">
        <v>12.57</v>
      </c>
      <c r="G12" s="2181">
        <v>5.94</v>
      </c>
      <c r="H12" s="2181">
        <v>26.9</v>
      </c>
      <c r="I12" s="2181">
        <v>49.8</v>
      </c>
      <c r="J12" s="2181">
        <v>72.599999999999994</v>
      </c>
      <c r="K12" s="2181">
        <v>18.079999999999998</v>
      </c>
      <c r="L12" s="2181">
        <v>31.1</v>
      </c>
      <c r="M12" s="2181">
        <v>62.3</v>
      </c>
      <c r="N12" s="2181">
        <v>93.4</v>
      </c>
      <c r="O12" s="2181">
        <v>1.5</v>
      </c>
    </row>
    <row r="13" spans="1:15">
      <c r="A13" s="2180" t="s">
        <v>10423</v>
      </c>
      <c r="B13" s="2181" t="s">
        <v>10361</v>
      </c>
      <c r="C13" s="2181">
        <v>19.05</v>
      </c>
      <c r="D13" s="2181">
        <v>19.46</v>
      </c>
      <c r="E13" s="2181">
        <v>12.07</v>
      </c>
      <c r="F13" s="2181">
        <v>11.68</v>
      </c>
      <c r="G13" s="2181">
        <v>5.72</v>
      </c>
      <c r="H13" s="2181">
        <v>22.7</v>
      </c>
      <c r="I13" s="2181">
        <v>42.2</v>
      </c>
      <c r="J13" s="2181">
        <v>61.7</v>
      </c>
      <c r="K13" s="2181">
        <v>16.13</v>
      </c>
      <c r="L13" s="2181">
        <v>28.9</v>
      </c>
      <c r="M13" s="2181">
        <v>57.8</v>
      </c>
      <c r="N13" s="2181">
        <v>86.7</v>
      </c>
      <c r="O13" s="2181">
        <v>1.25</v>
      </c>
    </row>
    <row r="14" spans="1:15">
      <c r="A14" s="2180" t="s">
        <v>10424</v>
      </c>
      <c r="B14" s="2181" t="s">
        <v>10362</v>
      </c>
      <c r="C14" s="2181">
        <v>25.4</v>
      </c>
      <c r="D14" s="2181">
        <v>29.29</v>
      </c>
      <c r="E14" s="2181">
        <v>15.88</v>
      </c>
      <c r="F14" s="2181">
        <v>15.75</v>
      </c>
      <c r="G14" s="2181">
        <v>7.92</v>
      </c>
      <c r="H14" s="2181">
        <v>33.5</v>
      </c>
      <c r="I14" s="2181">
        <v>62.7</v>
      </c>
      <c r="J14" s="2181">
        <v>91.7</v>
      </c>
      <c r="K14" s="2181">
        <v>24.13</v>
      </c>
      <c r="L14" s="2181">
        <v>55.6</v>
      </c>
      <c r="M14" s="2181">
        <v>111.2</v>
      </c>
      <c r="N14" s="2181">
        <v>166.8</v>
      </c>
      <c r="O14" s="2181">
        <v>2.6</v>
      </c>
    </row>
    <row r="15" spans="1:15">
      <c r="A15" s="2180" t="s">
        <v>10424</v>
      </c>
      <c r="B15" s="2181" t="s">
        <v>10363</v>
      </c>
      <c r="C15" s="2181">
        <v>25.4</v>
      </c>
      <c r="D15" s="2181">
        <v>31.88</v>
      </c>
      <c r="E15" s="2181">
        <v>15.88</v>
      </c>
      <c r="F15" s="2181">
        <v>17.02</v>
      </c>
      <c r="G15" s="2181">
        <v>8.2799999999999994</v>
      </c>
      <c r="H15" s="2181">
        <v>36.1</v>
      </c>
      <c r="I15" s="2181">
        <v>68</v>
      </c>
      <c r="J15" s="2181">
        <v>99.9</v>
      </c>
      <c r="K15" s="2181">
        <v>21.08</v>
      </c>
      <c r="L15" s="2181">
        <v>60</v>
      </c>
      <c r="M15" s="2181">
        <v>106</v>
      </c>
      <c r="N15" s="2181">
        <v>160</v>
      </c>
      <c r="O15" s="2181">
        <v>2.7</v>
      </c>
    </row>
    <row r="16" spans="1:15">
      <c r="A16" s="2180" t="s">
        <v>10425</v>
      </c>
      <c r="B16" s="2181" t="s">
        <v>10364</v>
      </c>
      <c r="C16" s="2181">
        <v>31.75</v>
      </c>
      <c r="D16" s="2181">
        <v>35.76</v>
      </c>
      <c r="E16" s="2181">
        <v>19.05</v>
      </c>
      <c r="F16" s="2181">
        <v>18.899999999999999</v>
      </c>
      <c r="G16" s="2181">
        <v>9.5299999999999994</v>
      </c>
      <c r="H16" s="2181">
        <v>41.1</v>
      </c>
      <c r="I16" s="2181">
        <v>77</v>
      </c>
      <c r="J16" s="2181">
        <v>113</v>
      </c>
      <c r="K16" s="2181">
        <v>30.18</v>
      </c>
      <c r="L16" s="2181">
        <v>86.7</v>
      </c>
      <c r="M16" s="2181">
        <v>174.5</v>
      </c>
      <c r="N16" s="2181">
        <v>260.2</v>
      </c>
      <c r="O16" s="2181">
        <v>3.8</v>
      </c>
    </row>
    <row r="17" spans="1:15">
      <c r="A17" s="2180" t="s">
        <v>10425</v>
      </c>
      <c r="B17" s="2181" t="s">
        <v>10365</v>
      </c>
      <c r="C17" s="2181">
        <v>31.75</v>
      </c>
      <c r="D17" s="2181">
        <v>36.450000000000003</v>
      </c>
      <c r="E17" s="2181">
        <v>19.05</v>
      </c>
      <c r="F17" s="2181">
        <v>19.579999999999998</v>
      </c>
      <c r="G17" s="2181">
        <v>10.19</v>
      </c>
      <c r="H17" s="2181">
        <v>43.2</v>
      </c>
      <c r="I17" s="2181">
        <v>79</v>
      </c>
      <c r="J17" s="2181">
        <v>116</v>
      </c>
      <c r="K17" s="2181">
        <v>26.4</v>
      </c>
      <c r="L17" s="2181">
        <v>95</v>
      </c>
      <c r="M17" s="2181">
        <v>170</v>
      </c>
      <c r="N17" s="2181">
        <v>250</v>
      </c>
      <c r="O17" s="2181">
        <v>3.6</v>
      </c>
    </row>
    <row r="18" spans="1:15">
      <c r="A18" s="2180" t="s">
        <v>10426</v>
      </c>
      <c r="B18" s="2181" t="s">
        <v>10427</v>
      </c>
      <c r="C18" s="2181">
        <v>38.1</v>
      </c>
      <c r="D18" s="2181">
        <v>45.44</v>
      </c>
      <c r="E18" s="2181">
        <v>22.23</v>
      </c>
      <c r="F18" s="2181">
        <v>25.22</v>
      </c>
      <c r="G18" s="2181">
        <v>11.1</v>
      </c>
      <c r="H18" s="2181">
        <v>50.8</v>
      </c>
      <c r="I18" s="2181">
        <v>96.3</v>
      </c>
      <c r="J18" s="2181">
        <v>141.69999999999999</v>
      </c>
      <c r="K18" s="2181">
        <v>36.200000000000003</v>
      </c>
      <c r="L18" s="2181">
        <v>124.6</v>
      </c>
      <c r="M18" s="2181">
        <v>249.1</v>
      </c>
      <c r="N18" s="2181">
        <v>373.7</v>
      </c>
      <c r="O18" s="2181">
        <v>5.6</v>
      </c>
    </row>
    <row r="19" spans="1:15">
      <c r="A19" s="2180" t="s">
        <v>10426</v>
      </c>
      <c r="B19" s="2181" t="s">
        <v>10381</v>
      </c>
      <c r="C19" s="2181">
        <v>38.1</v>
      </c>
      <c r="D19" s="2181">
        <v>48.36</v>
      </c>
      <c r="E19" s="2181">
        <v>25.4</v>
      </c>
      <c r="F19" s="2181">
        <v>25.4</v>
      </c>
      <c r="G19" s="2181">
        <v>14.63</v>
      </c>
      <c r="H19" s="2181">
        <v>53.4</v>
      </c>
      <c r="I19" s="2181">
        <v>101</v>
      </c>
      <c r="J19" s="2181">
        <v>150</v>
      </c>
      <c r="K19" s="2181">
        <v>33.4</v>
      </c>
      <c r="L19" s="2181">
        <v>160</v>
      </c>
      <c r="M19" s="2181">
        <v>280</v>
      </c>
      <c r="N19" s="2181">
        <v>425</v>
      </c>
      <c r="O19" s="2181">
        <v>6.7</v>
      </c>
    </row>
    <row r="20" spans="1:15">
      <c r="A20" s="2180" t="s">
        <v>10428</v>
      </c>
      <c r="B20" s="2181" t="s">
        <v>10429</v>
      </c>
      <c r="C20" s="2181">
        <v>44.45</v>
      </c>
      <c r="D20" s="2181">
        <v>48.87</v>
      </c>
      <c r="E20" s="2181">
        <v>25.4</v>
      </c>
      <c r="F20" s="2181">
        <v>25.22</v>
      </c>
      <c r="G20" s="2181">
        <v>12.7</v>
      </c>
      <c r="H20" s="2181">
        <v>54.9</v>
      </c>
      <c r="I20" s="2181">
        <v>103.6</v>
      </c>
      <c r="J20" s="2181">
        <v>152.4</v>
      </c>
      <c r="K20" s="2181">
        <v>42.24</v>
      </c>
      <c r="L20" s="2181">
        <v>169</v>
      </c>
      <c r="M20" s="2181">
        <v>338.1</v>
      </c>
      <c r="N20" s="2181">
        <v>507.1</v>
      </c>
      <c r="O20" s="2181">
        <v>7.5</v>
      </c>
    </row>
    <row r="21" spans="1:15">
      <c r="A21" s="2180" t="s">
        <v>10428</v>
      </c>
      <c r="B21" s="2181" t="s">
        <v>10430</v>
      </c>
      <c r="C21" s="2181">
        <v>44.45</v>
      </c>
      <c r="D21" s="2181">
        <v>59.56</v>
      </c>
      <c r="E21" s="2181">
        <v>27.94</v>
      </c>
      <c r="F21" s="2181">
        <v>30.99</v>
      </c>
      <c r="G21" s="2181">
        <v>15.9</v>
      </c>
      <c r="H21" s="2181">
        <v>65.099999999999994</v>
      </c>
      <c r="I21" s="2181">
        <v>124</v>
      </c>
      <c r="J21" s="2181">
        <v>184</v>
      </c>
      <c r="K21" s="2181">
        <v>37</v>
      </c>
      <c r="L21" s="2181">
        <v>200</v>
      </c>
      <c r="M21" s="2181">
        <v>360</v>
      </c>
      <c r="N21" s="2181">
        <v>530</v>
      </c>
      <c r="O21" s="2181">
        <v>8.3000000000000007</v>
      </c>
    </row>
    <row r="22" spans="1:15">
      <c r="A22" s="2180" t="s">
        <v>10431</v>
      </c>
      <c r="B22" s="2181" t="s">
        <v>10432</v>
      </c>
      <c r="C22" s="2181">
        <v>50.8</v>
      </c>
      <c r="D22" s="2181">
        <v>58.55</v>
      </c>
      <c r="E22" s="2181">
        <v>28.58</v>
      </c>
      <c r="F22" s="2181">
        <v>31.55</v>
      </c>
      <c r="G22" s="2181">
        <v>14.27</v>
      </c>
      <c r="H22" s="2181">
        <v>65.5</v>
      </c>
      <c r="I22" s="2181">
        <v>124.2</v>
      </c>
      <c r="J22" s="2181">
        <v>182.9</v>
      </c>
      <c r="K22" s="2181">
        <v>48.26</v>
      </c>
      <c r="L22" s="2181">
        <v>222.4</v>
      </c>
      <c r="M22" s="2181">
        <v>444.8</v>
      </c>
      <c r="N22" s="2181">
        <v>667.2</v>
      </c>
      <c r="O22" s="2181">
        <v>10.1</v>
      </c>
    </row>
    <row r="23" spans="1:15">
      <c r="A23" s="2180" t="s">
        <v>10431</v>
      </c>
      <c r="B23" s="2181" t="s">
        <v>10433</v>
      </c>
      <c r="C23" s="2181">
        <v>50.8</v>
      </c>
      <c r="D23" s="2181">
        <v>58.55</v>
      </c>
      <c r="E23" s="2181">
        <v>29.21</v>
      </c>
      <c r="F23" s="2181">
        <v>30.99</v>
      </c>
      <c r="G23" s="2181">
        <v>17.809999999999999</v>
      </c>
      <c r="H23" s="2181">
        <v>67.400000000000006</v>
      </c>
      <c r="I23" s="2181">
        <v>126</v>
      </c>
      <c r="J23" s="2181">
        <v>184</v>
      </c>
      <c r="K23" s="2181">
        <v>42.2</v>
      </c>
      <c r="L23" s="2181">
        <v>250</v>
      </c>
      <c r="M23" s="2181">
        <v>450</v>
      </c>
      <c r="N23" s="2181">
        <v>670</v>
      </c>
      <c r="O23" s="2181">
        <v>10.5</v>
      </c>
    </row>
  </sheetData>
  <mergeCells count="5">
    <mergeCell ref="H3:J3"/>
    <mergeCell ref="L3:N3"/>
    <mergeCell ref="A3:A6"/>
    <mergeCell ref="B3:B6"/>
    <mergeCell ref="F3:F4"/>
  </mergeCells>
  <phoneticPr fontId="214" type="noConversion"/>
  <pageMargins left="0.75" right="0.75" top="1" bottom="1" header="0.5" footer="0.5"/>
  <pageSetup paperSize="9" orientation="landscape"/>
  <headerFooter scaleWithDoc="0" alignWithMargins="0"/>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99"/>
  <dimension ref="A1:P14"/>
  <sheetViews>
    <sheetView zoomScale="84" zoomScaleNormal="84" workbookViewId="0">
      <selection sqref="A1:N1"/>
    </sheetView>
  </sheetViews>
  <sheetFormatPr defaultColWidth="8.75" defaultRowHeight="14.25"/>
  <cols>
    <col min="1" max="1" width="26" style="2133" customWidth="1"/>
    <col min="2" max="2" width="32.375" style="2134" customWidth="1"/>
    <col min="3" max="3" width="8" style="2134" customWidth="1"/>
    <col min="4" max="4" width="7.75" style="2135" customWidth="1"/>
    <col min="5" max="5" width="8.625" style="2135" customWidth="1"/>
    <col min="6" max="8" width="7.75" style="2135" customWidth="1"/>
    <col min="9" max="9" width="9.25" style="2135" customWidth="1"/>
    <col min="10" max="10" width="9.375" style="2135" customWidth="1"/>
    <col min="11" max="11" width="9" style="2135" customWidth="1"/>
    <col min="12" max="14" width="7.75" style="2135" customWidth="1"/>
    <col min="15" max="33" width="9" style="2134"/>
    <col min="34" max="16384" width="8.75" style="2134"/>
  </cols>
  <sheetData>
    <row r="1" spans="1:16" ht="49.15" customHeight="1">
      <c r="A1" s="5071" t="s">
        <v>10434</v>
      </c>
      <c r="B1" s="5071"/>
      <c r="C1" s="5071"/>
      <c r="D1" s="5071"/>
      <c r="E1" s="5071"/>
      <c r="F1" s="5071"/>
      <c r="G1" s="5071"/>
      <c r="H1" s="5071"/>
      <c r="I1" s="5071"/>
      <c r="J1" s="5071"/>
      <c r="K1" s="5071"/>
      <c r="L1" s="5071"/>
      <c r="M1" s="5071"/>
      <c r="N1" s="5071"/>
    </row>
    <row r="2" spans="1:16" ht="24.75" customHeight="1">
      <c r="A2" s="2136" t="s">
        <v>10435</v>
      </c>
      <c r="B2" s="2137" t="s">
        <v>250</v>
      </c>
      <c r="C2" s="2138"/>
      <c r="D2" s="5072" t="s">
        <v>10405</v>
      </c>
      <c r="E2" s="5073"/>
      <c r="F2" s="5073"/>
      <c r="G2" s="5073"/>
      <c r="H2" s="5073"/>
      <c r="I2" s="5073"/>
      <c r="J2" s="5073"/>
      <c r="K2" s="5073"/>
      <c r="L2" s="5073"/>
      <c r="M2" s="5073"/>
      <c r="N2" s="5073"/>
    </row>
    <row r="3" spans="1:16" ht="27" customHeight="1">
      <c r="A3" s="2139" t="s">
        <v>10354</v>
      </c>
      <c r="B3" s="2140"/>
      <c r="C3" s="2141" t="s">
        <v>10436</v>
      </c>
      <c r="D3" s="2141" t="s">
        <v>10355</v>
      </c>
      <c r="E3" s="2142" t="s">
        <v>10356</v>
      </c>
      <c r="F3" s="2141" t="s">
        <v>10357</v>
      </c>
      <c r="G3" s="2143" t="s">
        <v>10358</v>
      </c>
      <c r="H3" s="2141" t="s">
        <v>10359</v>
      </c>
      <c r="I3" s="1682" t="s">
        <v>10360</v>
      </c>
      <c r="J3" s="2141" t="s">
        <v>10361</v>
      </c>
      <c r="K3" s="636" t="s">
        <v>10362</v>
      </c>
      <c r="L3" s="2141" t="s">
        <v>10363</v>
      </c>
      <c r="M3" s="2163" t="s">
        <v>10364</v>
      </c>
      <c r="N3" s="2141" t="s">
        <v>10365</v>
      </c>
    </row>
    <row r="4" spans="1:16" ht="27" customHeight="1">
      <c r="A4" s="2139" t="s">
        <v>10366</v>
      </c>
      <c r="B4" s="2140"/>
      <c r="C4" s="2144">
        <v>6.35</v>
      </c>
      <c r="D4" s="2144">
        <v>9.5250000000000004</v>
      </c>
      <c r="E4" s="2142">
        <v>12.7</v>
      </c>
      <c r="F4" s="2141">
        <v>12.7</v>
      </c>
      <c r="G4" s="2143">
        <v>15.875</v>
      </c>
      <c r="H4" s="2141">
        <v>15.875</v>
      </c>
      <c r="I4" s="1682">
        <v>19.05</v>
      </c>
      <c r="J4" s="2141">
        <v>19.05</v>
      </c>
      <c r="K4" s="636">
        <v>25.4</v>
      </c>
      <c r="L4" s="2141">
        <v>25.4</v>
      </c>
      <c r="M4" s="2163">
        <v>31.75</v>
      </c>
      <c r="N4" s="2141">
        <v>31.75</v>
      </c>
    </row>
    <row r="5" spans="1:16" ht="35.25" customHeight="1">
      <c r="A5" s="2139" t="s">
        <v>10367</v>
      </c>
      <c r="B5" s="2140"/>
      <c r="C5" s="2145">
        <v>3.3</v>
      </c>
      <c r="D5" s="2145">
        <v>6.35</v>
      </c>
      <c r="E5" s="2146">
        <v>7.92</v>
      </c>
      <c r="F5" s="2147">
        <v>8.51</v>
      </c>
      <c r="G5" s="2148">
        <v>10.16</v>
      </c>
      <c r="H5" s="2147">
        <v>10.16</v>
      </c>
      <c r="I5" s="1681">
        <v>11.91</v>
      </c>
      <c r="J5" s="2147">
        <v>12.07</v>
      </c>
      <c r="K5" s="2164">
        <v>15.88</v>
      </c>
      <c r="L5" s="2141">
        <v>15.88</v>
      </c>
      <c r="M5" s="2163">
        <v>19.05</v>
      </c>
      <c r="N5" s="2141">
        <v>19.05</v>
      </c>
    </row>
    <row r="6" spans="1:16" ht="27" customHeight="1">
      <c r="A6" s="2149" t="s">
        <v>10437</v>
      </c>
      <c r="B6" s="2150"/>
      <c r="C6" s="2151">
        <v>24</v>
      </c>
      <c r="D6" s="2151">
        <v>12</v>
      </c>
      <c r="E6" s="2152">
        <v>30</v>
      </c>
      <c r="F6" s="2151">
        <v>30</v>
      </c>
      <c r="G6" s="2153">
        <v>18</v>
      </c>
      <c r="H6" s="2151">
        <v>19</v>
      </c>
      <c r="I6" s="2165">
        <v>18</v>
      </c>
      <c r="J6" s="2151">
        <v>22</v>
      </c>
      <c r="K6" s="2166">
        <v>14</v>
      </c>
      <c r="L6" s="2167"/>
      <c r="M6" s="2168"/>
      <c r="N6" s="2167"/>
    </row>
    <row r="7" spans="1:16" ht="27" customHeight="1">
      <c r="A7" s="2149" t="s">
        <v>10438</v>
      </c>
      <c r="B7" s="2150"/>
      <c r="C7" s="2151">
        <v>31</v>
      </c>
      <c r="D7" s="2151">
        <v>12</v>
      </c>
      <c r="E7" s="2152">
        <v>30</v>
      </c>
      <c r="F7" s="2151">
        <v>30</v>
      </c>
      <c r="G7" s="2153">
        <v>18</v>
      </c>
      <c r="H7" s="2151">
        <v>29</v>
      </c>
      <c r="I7" s="2165">
        <v>18</v>
      </c>
      <c r="J7" s="2151">
        <v>48</v>
      </c>
      <c r="K7" s="2166">
        <v>28</v>
      </c>
      <c r="L7" s="2167"/>
      <c r="M7" s="2168"/>
      <c r="N7" s="2167"/>
    </row>
    <row r="8" spans="1:16" ht="32.25" customHeight="1">
      <c r="A8" s="2139" t="s">
        <v>10439</v>
      </c>
      <c r="B8" s="2150"/>
      <c r="C8" s="2151">
        <v>102</v>
      </c>
      <c r="D8" s="2151">
        <v>130</v>
      </c>
      <c r="E8" s="2152">
        <v>317</v>
      </c>
      <c r="F8" s="2151">
        <v>300</v>
      </c>
      <c r="G8" s="2153">
        <v>298</v>
      </c>
      <c r="H8" s="2151">
        <v>250</v>
      </c>
      <c r="I8" s="2165">
        <v>396</v>
      </c>
      <c r="J8" s="2151">
        <v>650</v>
      </c>
      <c r="K8" s="2166">
        <v>672</v>
      </c>
      <c r="L8" s="2167"/>
      <c r="M8" s="2168"/>
      <c r="N8" s="2167"/>
    </row>
    <row r="9" spans="1:16" ht="57" customHeight="1">
      <c r="A9" s="2149" t="s">
        <v>10440</v>
      </c>
      <c r="B9" s="2150"/>
      <c r="C9" s="2154">
        <f>C8/C4</f>
        <v>16.062992125984302</v>
      </c>
      <c r="D9" s="2154">
        <f t="shared" ref="D9:K9" si="0">D8/D4</f>
        <v>13.6482939632546</v>
      </c>
      <c r="E9" s="2154">
        <f t="shared" si="0"/>
        <v>24.960629921259802</v>
      </c>
      <c r="F9" s="2154">
        <f t="shared" si="0"/>
        <v>23.6220472440945</v>
      </c>
      <c r="G9" s="2154">
        <f t="shared" si="0"/>
        <v>18.771653543307099</v>
      </c>
      <c r="H9" s="2154">
        <f t="shared" si="0"/>
        <v>15.748031496063</v>
      </c>
      <c r="I9" s="2154">
        <f t="shared" si="0"/>
        <v>20.787401574803098</v>
      </c>
      <c r="J9" s="2154">
        <f t="shared" si="0"/>
        <v>34.120734908136498</v>
      </c>
      <c r="K9" s="2154">
        <f t="shared" si="0"/>
        <v>26.456692913385801</v>
      </c>
      <c r="L9" s="2169"/>
      <c r="M9" s="2170"/>
      <c r="N9" s="2169"/>
    </row>
    <row r="10" spans="1:16" ht="39.75" customHeight="1">
      <c r="A10" s="2149" t="s">
        <v>10441</v>
      </c>
      <c r="B10" s="2155"/>
      <c r="C10" s="2154">
        <f>((C7-C6)/(2*PI()))^2</f>
        <v>1.2411844996186401</v>
      </c>
      <c r="D10" s="2154">
        <f t="shared" ref="D10:N10" si="1">((D7-D6)/(2*PI()))^2</f>
        <v>0</v>
      </c>
      <c r="E10" s="2154">
        <f t="shared" si="1"/>
        <v>0</v>
      </c>
      <c r="F10" s="2154">
        <f t="shared" si="1"/>
        <v>0</v>
      </c>
      <c r="G10" s="2154">
        <f t="shared" si="1"/>
        <v>0</v>
      </c>
      <c r="H10" s="2154">
        <f t="shared" si="1"/>
        <v>2.5330295910584399</v>
      </c>
      <c r="I10" s="2154">
        <f t="shared" si="1"/>
        <v>0</v>
      </c>
      <c r="J10" s="2154">
        <f t="shared" si="1"/>
        <v>17.123280035555101</v>
      </c>
      <c r="K10" s="2154">
        <f t="shared" si="1"/>
        <v>4.9647379984745497</v>
      </c>
      <c r="L10" s="2154">
        <f t="shared" si="1"/>
        <v>0</v>
      </c>
      <c r="M10" s="2154">
        <f t="shared" si="1"/>
        <v>0</v>
      </c>
      <c r="N10" s="2154">
        <f t="shared" si="1"/>
        <v>0</v>
      </c>
    </row>
    <row r="11" spans="1:16" ht="64.5" customHeight="1">
      <c r="A11" s="2149" t="s">
        <v>10442</v>
      </c>
      <c r="B11" s="2155"/>
      <c r="C11" s="2154">
        <f>2*C9+(C6+C7)/2+C10/C9</f>
        <v>59.703254071307498</v>
      </c>
      <c r="D11" s="2156">
        <f t="shared" ref="D11:K11" si="2">2*D9+(D6+D7)/2+D10/D9</f>
        <v>39.296587926509197</v>
      </c>
      <c r="E11" s="2157">
        <f t="shared" si="2"/>
        <v>79.921259842519703</v>
      </c>
      <c r="F11" s="2156">
        <f t="shared" si="2"/>
        <v>77.244094488189006</v>
      </c>
      <c r="G11" s="2158">
        <f t="shared" si="2"/>
        <v>55.543307086614199</v>
      </c>
      <c r="H11" s="2156">
        <f t="shared" si="2"/>
        <v>55.656910371158197</v>
      </c>
      <c r="I11" s="2171">
        <f t="shared" si="2"/>
        <v>59.574803149606304</v>
      </c>
      <c r="J11" s="2156">
        <f t="shared" si="2"/>
        <v>103.743313638853</v>
      </c>
      <c r="K11" s="2156">
        <f t="shared" si="2"/>
        <v>74.101041102309196</v>
      </c>
      <c r="L11" s="2169"/>
      <c r="M11" s="2170"/>
      <c r="N11" s="2169"/>
    </row>
    <row r="12" spans="1:16" ht="36" customHeight="1">
      <c r="A12" s="2149" t="s">
        <v>10443</v>
      </c>
      <c r="B12" s="2155" t="s">
        <v>10444</v>
      </c>
      <c r="C12" s="2159">
        <f>INT(C11+0.5)</f>
        <v>60</v>
      </c>
      <c r="D12" s="2159">
        <f t="shared" ref="D12:K12" si="3">INT(D11+0.5)</f>
        <v>39</v>
      </c>
      <c r="E12" s="2159">
        <f t="shared" si="3"/>
        <v>80</v>
      </c>
      <c r="F12" s="2159">
        <f t="shared" si="3"/>
        <v>77</v>
      </c>
      <c r="G12" s="2159">
        <f t="shared" si="3"/>
        <v>56</v>
      </c>
      <c r="H12" s="2159">
        <f t="shared" si="3"/>
        <v>56</v>
      </c>
      <c r="I12" s="2159">
        <f t="shared" si="3"/>
        <v>60</v>
      </c>
      <c r="J12" s="2159">
        <f t="shared" si="3"/>
        <v>104</v>
      </c>
      <c r="K12" s="2159">
        <f t="shared" si="3"/>
        <v>74</v>
      </c>
      <c r="L12" s="2169"/>
      <c r="M12" s="2170"/>
      <c r="N12" s="2169"/>
    </row>
    <row r="13" spans="1:16" ht="36" customHeight="1">
      <c r="A13" s="2160" t="s">
        <v>10445</v>
      </c>
      <c r="B13" s="2161" t="s">
        <v>10446</v>
      </c>
      <c r="C13" s="2154">
        <f>C12*C4</f>
        <v>381</v>
      </c>
      <c r="D13" s="2156">
        <f>D12*D4</f>
        <v>371.47500000000002</v>
      </c>
      <c r="E13" s="2156">
        <f t="shared" ref="E13:K13" si="4">E12*E4</f>
        <v>1016</v>
      </c>
      <c r="F13" s="2156">
        <f t="shared" si="4"/>
        <v>977.9</v>
      </c>
      <c r="G13" s="2156">
        <f t="shared" si="4"/>
        <v>889</v>
      </c>
      <c r="H13" s="2156">
        <f t="shared" si="4"/>
        <v>889</v>
      </c>
      <c r="I13" s="2156">
        <f t="shared" si="4"/>
        <v>1143</v>
      </c>
      <c r="J13" s="2156">
        <f t="shared" si="4"/>
        <v>1981.2</v>
      </c>
      <c r="K13" s="2156">
        <f t="shared" si="4"/>
        <v>1879.6</v>
      </c>
      <c r="L13" s="2169"/>
      <c r="M13" s="2170"/>
      <c r="N13" s="2169"/>
      <c r="P13" s="2134" t="s">
        <v>3205</v>
      </c>
    </row>
    <row r="14" spans="1:16" ht="33" customHeight="1">
      <c r="A14" s="2162" t="s">
        <v>10447</v>
      </c>
    </row>
  </sheetData>
  <mergeCells count="2">
    <mergeCell ref="A1:N1"/>
    <mergeCell ref="D2:N2"/>
  </mergeCells>
  <phoneticPr fontId="214" type="noConversion"/>
  <pageMargins left="0.75" right="0.75" top="1" bottom="1" header="0.5" footer="0.5"/>
  <pageSetup paperSize="9" orientation="portrait"/>
  <headerFooter scaleWithDoc="0" alignWithMargins="0"/>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00"/>
  <dimension ref="A1:R17"/>
  <sheetViews>
    <sheetView zoomScale="85" zoomScaleNormal="85" workbookViewId="0">
      <selection activeCell="I1" sqref="I1"/>
    </sheetView>
  </sheetViews>
  <sheetFormatPr defaultColWidth="8.75" defaultRowHeight="14.25"/>
  <cols>
    <col min="1" max="1" width="3.75" style="105" customWidth="1"/>
    <col min="2" max="2" width="11.25" style="105" customWidth="1"/>
    <col min="3" max="3" width="4.375" style="105" customWidth="1"/>
    <col min="4" max="4" width="8.75" style="105" customWidth="1"/>
    <col min="5" max="5" width="7.5" style="105" customWidth="1"/>
    <col min="6" max="6" width="19.75" style="105" customWidth="1"/>
    <col min="7" max="7" width="8.75" style="105"/>
    <col min="8" max="8" width="7.625" style="105" customWidth="1"/>
    <col min="9" max="10" width="7.375" style="105" customWidth="1"/>
    <col min="11" max="11" width="6.875" style="105" customWidth="1"/>
    <col min="12" max="12" width="8.5" style="105" customWidth="1"/>
    <col min="13" max="13" width="7.25" style="105" customWidth="1"/>
    <col min="14" max="16384" width="8.75" style="105"/>
  </cols>
  <sheetData>
    <row r="1" spans="1:18" ht="146.25" customHeight="1"/>
    <row r="2" spans="1:18" ht="21" customHeight="1">
      <c r="A2" s="5088" t="s">
        <v>10354</v>
      </c>
      <c r="B2" s="5089"/>
      <c r="C2" s="5089"/>
      <c r="D2" s="5089"/>
      <c r="E2" s="5089"/>
      <c r="F2" s="5090"/>
      <c r="G2" s="2102" t="s">
        <v>10355</v>
      </c>
      <c r="H2" s="2103" t="s">
        <v>10356</v>
      </c>
      <c r="I2" s="2102" t="s">
        <v>10357</v>
      </c>
      <c r="J2" s="2115" t="s">
        <v>10358</v>
      </c>
      <c r="K2" s="2102" t="s">
        <v>10359</v>
      </c>
      <c r="L2" s="2116" t="s">
        <v>10360</v>
      </c>
      <c r="M2" s="2102" t="s">
        <v>10361</v>
      </c>
      <c r="N2" s="2117" t="s">
        <v>10362</v>
      </c>
      <c r="O2" s="2102" t="s">
        <v>10363</v>
      </c>
      <c r="P2" s="2118" t="s">
        <v>10364</v>
      </c>
      <c r="Q2" s="2129" t="s">
        <v>10365</v>
      </c>
      <c r="R2" s="1682" t="s">
        <v>10448</v>
      </c>
    </row>
    <row r="3" spans="1:18" ht="24.75" customHeight="1">
      <c r="A3" s="5084" t="s">
        <v>10353</v>
      </c>
      <c r="B3" s="5085"/>
      <c r="C3" s="5085"/>
      <c r="D3" s="5081" t="s">
        <v>1129</v>
      </c>
      <c r="E3" s="5081"/>
      <c r="F3" s="1003" t="s">
        <v>445</v>
      </c>
      <c r="G3" s="2102">
        <v>9.5250000000000004</v>
      </c>
      <c r="H3" s="2103">
        <v>12.7</v>
      </c>
      <c r="I3" s="2102">
        <v>12.7</v>
      </c>
      <c r="J3" s="2115">
        <v>15.875</v>
      </c>
      <c r="K3" s="2102">
        <v>15.875</v>
      </c>
      <c r="L3" s="2116">
        <v>19.05</v>
      </c>
      <c r="M3" s="2102">
        <v>19.05</v>
      </c>
      <c r="N3" s="2117">
        <v>25.4</v>
      </c>
      <c r="O3" s="2102">
        <v>25.4</v>
      </c>
      <c r="P3" s="2118">
        <v>31.75</v>
      </c>
      <c r="Q3" s="2129">
        <v>31.75</v>
      </c>
      <c r="R3" s="1682">
        <v>38.1</v>
      </c>
    </row>
    <row r="4" spans="1:18" ht="24.75" customHeight="1">
      <c r="A4" s="5084"/>
      <c r="B4" s="5085"/>
      <c r="C4" s="5085"/>
      <c r="D4" s="5081" t="s">
        <v>1130</v>
      </c>
      <c r="E4" s="5081"/>
      <c r="F4" s="1003" t="s">
        <v>10383</v>
      </c>
      <c r="G4" s="2104">
        <v>6.35</v>
      </c>
      <c r="H4" s="2105">
        <v>7.92</v>
      </c>
      <c r="I4" s="2104">
        <v>8.51</v>
      </c>
      <c r="J4" s="2119">
        <v>10.16</v>
      </c>
      <c r="K4" s="2104">
        <v>10.16</v>
      </c>
      <c r="L4" s="2120">
        <v>11.91</v>
      </c>
      <c r="M4" s="2104">
        <v>12.07</v>
      </c>
      <c r="N4" s="2121">
        <v>15.88</v>
      </c>
      <c r="O4" s="2102">
        <v>15.88</v>
      </c>
      <c r="P4" s="2118">
        <v>19.05</v>
      </c>
      <c r="Q4" s="2129">
        <v>19.05</v>
      </c>
      <c r="R4" s="1682">
        <v>25.4</v>
      </c>
    </row>
    <row r="5" spans="1:18" ht="24.75" customHeight="1">
      <c r="A5" s="5084"/>
      <c r="B5" s="5085"/>
      <c r="C5" s="5085"/>
      <c r="D5" s="5081" t="s">
        <v>10384</v>
      </c>
      <c r="E5" s="5081"/>
      <c r="F5" s="1003" t="s">
        <v>10385</v>
      </c>
      <c r="G5" s="2104">
        <v>10.24</v>
      </c>
      <c r="H5" s="2105">
        <v>14.38</v>
      </c>
      <c r="I5" s="2104">
        <v>13.92</v>
      </c>
      <c r="J5" s="2119">
        <v>18.11</v>
      </c>
      <c r="K5" s="2104">
        <v>16.59</v>
      </c>
      <c r="L5" s="2120">
        <v>22.78</v>
      </c>
      <c r="M5" s="2104">
        <v>19.46</v>
      </c>
      <c r="N5" s="999">
        <v>29.29</v>
      </c>
      <c r="O5" s="2102">
        <v>31.88</v>
      </c>
      <c r="P5" s="2118">
        <v>35.76</v>
      </c>
      <c r="Q5" s="2129">
        <v>36.450000000000003</v>
      </c>
      <c r="R5" s="1682">
        <v>48.36</v>
      </c>
    </row>
    <row r="6" spans="1:18" ht="24.75" customHeight="1">
      <c r="A6" s="5084"/>
      <c r="B6" s="5085"/>
      <c r="C6" s="5085"/>
      <c r="D6" s="5081" t="s">
        <v>10386</v>
      </c>
      <c r="E6" s="5081"/>
      <c r="F6" s="1003" t="s">
        <v>10387</v>
      </c>
      <c r="G6" s="2104">
        <v>5.72</v>
      </c>
      <c r="H6" s="2105">
        <v>7.85</v>
      </c>
      <c r="I6" s="2104">
        <v>7.75</v>
      </c>
      <c r="J6" s="2119">
        <v>9.4</v>
      </c>
      <c r="K6" s="2122">
        <v>9.65</v>
      </c>
      <c r="L6" s="2123">
        <v>12.57</v>
      </c>
      <c r="M6" s="2104">
        <v>11.68</v>
      </c>
      <c r="N6" s="2121">
        <v>15.75</v>
      </c>
      <c r="O6" s="2102">
        <v>17.02</v>
      </c>
      <c r="P6" s="2118">
        <v>18.899999999999999</v>
      </c>
      <c r="Q6" s="2129">
        <v>19.559999999999999</v>
      </c>
      <c r="R6" s="1682">
        <v>25.4</v>
      </c>
    </row>
    <row r="7" spans="1:18" ht="24.75" customHeight="1">
      <c r="A7" s="5084"/>
      <c r="B7" s="5085"/>
      <c r="C7" s="5085"/>
      <c r="D7" s="5081" t="s">
        <v>10388</v>
      </c>
      <c r="E7" s="5081"/>
      <c r="F7" s="1003" t="s">
        <v>4112</v>
      </c>
      <c r="G7" s="2104">
        <v>8.26</v>
      </c>
      <c r="H7" s="2105">
        <v>12.07</v>
      </c>
      <c r="I7" s="2122">
        <v>11.81</v>
      </c>
      <c r="J7" s="2119">
        <v>15.09</v>
      </c>
      <c r="K7" s="2104">
        <v>14.73</v>
      </c>
      <c r="L7" s="2123">
        <v>18.079999999999998</v>
      </c>
      <c r="M7" s="2104">
        <v>16.13</v>
      </c>
      <c r="N7" s="2121">
        <v>24.13</v>
      </c>
      <c r="O7" s="2122">
        <v>21.08</v>
      </c>
      <c r="P7" s="2124">
        <v>30.18</v>
      </c>
      <c r="Q7" s="2130">
        <v>26.42</v>
      </c>
      <c r="R7" s="2131">
        <v>33.4</v>
      </c>
    </row>
    <row r="8" spans="1:18" ht="26.25" customHeight="1">
      <c r="A8" s="2106" t="s">
        <v>77</v>
      </c>
      <c r="B8" s="2107"/>
      <c r="C8" s="2107"/>
      <c r="D8" s="2107"/>
      <c r="E8" s="2107"/>
      <c r="F8" s="2107"/>
      <c r="G8" s="2107"/>
      <c r="H8" s="2107"/>
      <c r="I8" s="2107"/>
      <c r="J8" s="2107"/>
      <c r="K8" s="2107"/>
      <c r="L8" s="2107"/>
      <c r="M8" s="2107"/>
      <c r="N8" s="2107"/>
      <c r="O8" s="2107"/>
      <c r="P8" s="2107"/>
      <c r="Q8" s="2107"/>
    </row>
    <row r="9" spans="1:18" ht="20.25" customHeight="1">
      <c r="A9" s="5086" t="s">
        <v>1931</v>
      </c>
      <c r="B9" s="5087"/>
      <c r="C9" s="536" t="s">
        <v>4599</v>
      </c>
      <c r="D9" s="5034" t="s">
        <v>984</v>
      </c>
      <c r="E9" s="5033"/>
      <c r="F9" s="536" t="s">
        <v>1515</v>
      </c>
      <c r="G9" s="2102" t="s">
        <v>10355</v>
      </c>
      <c r="H9" s="2103" t="s">
        <v>10356</v>
      </c>
      <c r="I9" s="2102" t="s">
        <v>10357</v>
      </c>
      <c r="J9" s="2115" t="s">
        <v>10358</v>
      </c>
      <c r="K9" s="2102" t="s">
        <v>10359</v>
      </c>
      <c r="L9" s="2116" t="s">
        <v>10360</v>
      </c>
      <c r="M9" s="2102" t="s">
        <v>10361</v>
      </c>
      <c r="N9" s="2117" t="s">
        <v>10362</v>
      </c>
      <c r="O9" s="2102" t="s">
        <v>10363</v>
      </c>
      <c r="P9" s="2118" t="s">
        <v>10364</v>
      </c>
      <c r="Q9" s="2129" t="s">
        <v>10365</v>
      </c>
      <c r="R9" s="1682" t="s">
        <v>10448</v>
      </c>
    </row>
    <row r="10" spans="1:18" ht="20.25" customHeight="1">
      <c r="A10" s="5086"/>
      <c r="B10" s="5087"/>
      <c r="C10" s="536"/>
      <c r="D10" s="536" t="s">
        <v>10449</v>
      </c>
      <c r="E10" s="536" t="s">
        <v>10450</v>
      </c>
      <c r="F10" s="536"/>
      <c r="G10" s="5044" t="s">
        <v>10449</v>
      </c>
      <c r="H10" s="5044"/>
      <c r="I10" s="5044"/>
      <c r="J10" s="1027" t="s">
        <v>10450</v>
      </c>
      <c r="K10" s="1028"/>
      <c r="L10" s="1028"/>
      <c r="M10" s="1028"/>
      <c r="N10" s="1028"/>
      <c r="O10" s="1028"/>
      <c r="P10" s="1028"/>
      <c r="Q10" s="2132"/>
    </row>
    <row r="11" spans="1:18" ht="24" customHeight="1">
      <c r="A11" s="5078" t="s">
        <v>10451</v>
      </c>
      <c r="B11" s="2108" t="s">
        <v>1144</v>
      </c>
      <c r="C11" s="5079" t="s">
        <v>10452</v>
      </c>
      <c r="D11" s="2108" t="s">
        <v>10453</v>
      </c>
      <c r="E11" s="2108" t="s">
        <v>10454</v>
      </c>
      <c r="F11" s="5082" t="s">
        <v>10455</v>
      </c>
      <c r="G11" s="2109">
        <f t="shared" ref="G11:R11" si="0">IF(G3&gt;12.7,G6*0.95,G6*0.93)</f>
        <v>5.3196000000000003</v>
      </c>
      <c r="H11" s="2110">
        <f t="shared" si="0"/>
        <v>7.3005000000000004</v>
      </c>
      <c r="I11" s="2109">
        <f t="shared" si="0"/>
        <v>7.2074999999999996</v>
      </c>
      <c r="J11" s="2125">
        <f t="shared" si="0"/>
        <v>8.93</v>
      </c>
      <c r="K11" s="2109">
        <f t="shared" si="0"/>
        <v>9.1675000000000004</v>
      </c>
      <c r="L11" s="2126">
        <f t="shared" si="0"/>
        <v>11.9415</v>
      </c>
      <c r="M11" s="2109">
        <f t="shared" si="0"/>
        <v>11.096</v>
      </c>
      <c r="N11" s="2127">
        <f t="shared" si="0"/>
        <v>14.9625</v>
      </c>
      <c r="O11" s="2109">
        <f t="shared" si="0"/>
        <v>16.169</v>
      </c>
      <c r="P11" s="2128">
        <f t="shared" si="0"/>
        <v>17.954999999999998</v>
      </c>
      <c r="Q11" s="2109">
        <f t="shared" si="0"/>
        <v>18.582000000000001</v>
      </c>
      <c r="R11" s="2109">
        <f t="shared" si="0"/>
        <v>24.13</v>
      </c>
    </row>
    <row r="12" spans="1:18" ht="20.25" customHeight="1">
      <c r="A12" s="5074"/>
      <c r="B12" s="536" t="s">
        <v>10456</v>
      </c>
      <c r="C12" s="5080"/>
      <c r="D12" s="536" t="s">
        <v>10457</v>
      </c>
      <c r="E12" s="536" t="s">
        <v>10453</v>
      </c>
      <c r="F12" s="5083"/>
      <c r="G12" s="2109">
        <f t="shared" ref="G12:R12" si="1">IF(G3&gt;12.7,G6*0.93,G6*0.91)</f>
        <v>5.2051999999999996</v>
      </c>
      <c r="H12" s="2110">
        <f t="shared" si="1"/>
        <v>7.1435000000000004</v>
      </c>
      <c r="I12" s="2109">
        <f t="shared" si="1"/>
        <v>7.0525000000000002</v>
      </c>
      <c r="J12" s="2125">
        <f t="shared" si="1"/>
        <v>8.7420000000000009</v>
      </c>
      <c r="K12" s="2109">
        <f t="shared" si="1"/>
        <v>8.9745000000000008</v>
      </c>
      <c r="L12" s="2126">
        <f t="shared" si="1"/>
        <v>11.690099999999999</v>
      </c>
      <c r="M12" s="2109">
        <f t="shared" si="1"/>
        <v>10.862399999999999</v>
      </c>
      <c r="N12" s="2127">
        <f t="shared" si="1"/>
        <v>14.647500000000001</v>
      </c>
      <c r="O12" s="2109">
        <f t="shared" si="1"/>
        <v>15.8286</v>
      </c>
      <c r="P12" s="2128">
        <f t="shared" si="1"/>
        <v>17.577000000000002</v>
      </c>
      <c r="Q12" s="2109">
        <f t="shared" si="1"/>
        <v>18.190799999999999</v>
      </c>
      <c r="R12" s="2109">
        <f t="shared" si="1"/>
        <v>23.622</v>
      </c>
    </row>
    <row r="13" spans="1:18" ht="24.75" customHeight="1">
      <c r="A13" s="2111" t="s">
        <v>10458</v>
      </c>
      <c r="B13" s="1044"/>
      <c r="C13" s="498"/>
      <c r="D13" s="5075" t="s">
        <v>10459</v>
      </c>
      <c r="E13" s="5075"/>
      <c r="F13" s="2112" t="s">
        <v>10460</v>
      </c>
      <c r="G13" s="2109">
        <f t="shared" ref="G13:R13" si="2">G3*0.13</f>
        <v>1.2382500000000001</v>
      </c>
      <c r="H13" s="2110">
        <f t="shared" si="2"/>
        <v>1.651</v>
      </c>
      <c r="I13" s="2109">
        <f t="shared" si="2"/>
        <v>1.651</v>
      </c>
      <c r="J13" s="2125">
        <f t="shared" si="2"/>
        <v>2.0637500000000002</v>
      </c>
      <c r="K13" s="2109">
        <f t="shared" si="2"/>
        <v>2.0637500000000002</v>
      </c>
      <c r="L13" s="2126">
        <f t="shared" si="2"/>
        <v>2.4765000000000001</v>
      </c>
      <c r="M13" s="2109">
        <f t="shared" si="2"/>
        <v>2.4765000000000001</v>
      </c>
      <c r="N13" s="2127">
        <f t="shared" si="2"/>
        <v>3.302</v>
      </c>
      <c r="O13" s="2109">
        <f t="shared" si="2"/>
        <v>3.302</v>
      </c>
      <c r="P13" s="2128">
        <f t="shared" si="2"/>
        <v>4.1275000000000004</v>
      </c>
      <c r="Q13" s="2109">
        <f t="shared" si="2"/>
        <v>4.1275000000000004</v>
      </c>
      <c r="R13" s="2109">
        <f t="shared" si="2"/>
        <v>4.9530000000000003</v>
      </c>
    </row>
    <row r="14" spans="1:18" ht="24.75" customHeight="1">
      <c r="A14" s="5074" t="s">
        <v>10461</v>
      </c>
      <c r="B14" s="5075"/>
      <c r="C14" s="536" t="s">
        <v>10462</v>
      </c>
      <c r="D14" s="5075" t="s">
        <v>10463</v>
      </c>
      <c r="E14" s="5075"/>
      <c r="F14" s="536"/>
      <c r="G14" s="2109">
        <f t="shared" ref="G14:R14" si="3">G3</f>
        <v>9.5250000000000004</v>
      </c>
      <c r="H14" s="2110">
        <f t="shared" si="3"/>
        <v>12.7</v>
      </c>
      <c r="I14" s="2109">
        <f t="shared" si="3"/>
        <v>12.7</v>
      </c>
      <c r="J14" s="2125">
        <f t="shared" si="3"/>
        <v>15.875</v>
      </c>
      <c r="K14" s="2109">
        <f t="shared" si="3"/>
        <v>15.875</v>
      </c>
      <c r="L14" s="2126">
        <f t="shared" si="3"/>
        <v>19.05</v>
      </c>
      <c r="M14" s="2109">
        <f t="shared" si="3"/>
        <v>19.05</v>
      </c>
      <c r="N14" s="2127">
        <f t="shared" si="3"/>
        <v>25.4</v>
      </c>
      <c r="O14" s="2109">
        <f t="shared" si="3"/>
        <v>25.4</v>
      </c>
      <c r="P14" s="2128">
        <f t="shared" si="3"/>
        <v>31.75</v>
      </c>
      <c r="Q14" s="2109">
        <f t="shared" si="3"/>
        <v>31.75</v>
      </c>
      <c r="R14" s="2109">
        <f t="shared" si="3"/>
        <v>38.1</v>
      </c>
    </row>
    <row r="15" spans="1:18" ht="21" customHeight="1">
      <c r="A15" s="5074" t="s">
        <v>10464</v>
      </c>
      <c r="B15" s="5075"/>
      <c r="C15" s="536" t="s">
        <v>408</v>
      </c>
      <c r="D15" s="5034" t="s">
        <v>408</v>
      </c>
      <c r="E15" s="5033"/>
      <c r="F15" s="536" t="s">
        <v>10465</v>
      </c>
      <c r="G15" s="2109">
        <v>2</v>
      </c>
      <c r="H15" s="2110">
        <v>2</v>
      </c>
      <c r="I15" s="2109">
        <v>2</v>
      </c>
      <c r="J15" s="2125">
        <v>2</v>
      </c>
      <c r="K15" s="2109">
        <v>2</v>
      </c>
      <c r="L15" s="2126">
        <v>2</v>
      </c>
      <c r="M15" s="2109">
        <v>2</v>
      </c>
      <c r="N15" s="2127">
        <v>2</v>
      </c>
      <c r="O15" s="2109">
        <v>2</v>
      </c>
      <c r="P15" s="2128">
        <v>2</v>
      </c>
      <c r="Q15" s="2109">
        <v>3</v>
      </c>
      <c r="R15" s="2109">
        <v>2</v>
      </c>
    </row>
    <row r="16" spans="1:18" ht="20.25" customHeight="1">
      <c r="A16" s="5076" t="s">
        <v>10466</v>
      </c>
      <c r="B16" s="5077"/>
      <c r="C16" s="2113" t="s">
        <v>10467</v>
      </c>
      <c r="D16" s="5077" t="s">
        <v>10468</v>
      </c>
      <c r="E16" s="5077"/>
      <c r="F16" s="2113" t="s">
        <v>10469</v>
      </c>
      <c r="G16" s="2109">
        <f t="shared" ref="G16:R16" si="4">(G15-1)*G5+G12</f>
        <v>15.4452</v>
      </c>
      <c r="H16" s="2110">
        <f t="shared" si="4"/>
        <v>21.523499999999999</v>
      </c>
      <c r="I16" s="2109">
        <f t="shared" si="4"/>
        <v>20.9725</v>
      </c>
      <c r="J16" s="2125">
        <f t="shared" si="4"/>
        <v>26.852</v>
      </c>
      <c r="K16" s="2109">
        <f t="shared" si="4"/>
        <v>25.564499999999999</v>
      </c>
      <c r="L16" s="2126">
        <f t="shared" si="4"/>
        <v>34.470100000000002</v>
      </c>
      <c r="M16" s="2109">
        <f t="shared" si="4"/>
        <v>30.322399999999998</v>
      </c>
      <c r="N16" s="2127">
        <f t="shared" si="4"/>
        <v>43.9375</v>
      </c>
      <c r="O16" s="2109">
        <f t="shared" si="4"/>
        <v>47.708599999999997</v>
      </c>
      <c r="P16" s="2128">
        <f t="shared" si="4"/>
        <v>53.337000000000003</v>
      </c>
      <c r="Q16" s="2109">
        <f t="shared" si="4"/>
        <v>91.090800000000002</v>
      </c>
      <c r="R16" s="2109">
        <f t="shared" si="4"/>
        <v>71.981999999999999</v>
      </c>
    </row>
    <row r="17" spans="8:13" ht="25.5" customHeight="1">
      <c r="H17" s="2114"/>
      <c r="I17" s="2114"/>
      <c r="J17" s="2114"/>
      <c r="K17" s="2114"/>
      <c r="L17" s="2114"/>
      <c r="M17" s="2114"/>
    </row>
  </sheetData>
  <mergeCells count="20">
    <mergeCell ref="A2:F2"/>
    <mergeCell ref="D3:E3"/>
    <mergeCell ref="D4:E4"/>
    <mergeCell ref="D5:E5"/>
    <mergeCell ref="D6:E6"/>
    <mergeCell ref="D7:E7"/>
    <mergeCell ref="D9:E9"/>
    <mergeCell ref="G10:I10"/>
    <mergeCell ref="D13:E13"/>
    <mergeCell ref="A14:B14"/>
    <mergeCell ref="D14:E14"/>
    <mergeCell ref="F11:F12"/>
    <mergeCell ref="A3:C7"/>
    <mergeCell ref="A9:B10"/>
    <mergeCell ref="A15:B15"/>
    <mergeCell ref="D15:E15"/>
    <mergeCell ref="A16:B16"/>
    <mergeCell ref="D16:E16"/>
    <mergeCell ref="A11:A12"/>
    <mergeCell ref="C11:C12"/>
  </mergeCells>
  <phoneticPr fontId="214" type="noConversion"/>
  <pageMargins left="0.75" right="0.75" top="1" bottom="1" header="0.5" footer="0.5"/>
  <headerFooter scaleWithDoc="0" alignWithMargins="0"/>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01"/>
  <dimension ref="A1:X25"/>
  <sheetViews>
    <sheetView zoomScale="75" zoomScaleNormal="75" workbookViewId="0">
      <selection sqref="A1:X1"/>
    </sheetView>
  </sheetViews>
  <sheetFormatPr defaultColWidth="8.75" defaultRowHeight="14.25"/>
  <cols>
    <col min="2" max="2" width="6.875" customWidth="1"/>
    <col min="4" max="4" width="2.25" customWidth="1"/>
    <col min="5" max="5" width="8.375" customWidth="1"/>
    <col min="6" max="6" width="0.375" hidden="1" customWidth="1"/>
    <col min="7" max="7" width="8.375" customWidth="1"/>
    <col min="8" max="8" width="0.375" customWidth="1"/>
    <col min="10" max="10" width="5.25" customWidth="1"/>
    <col min="12" max="12" width="2.25" customWidth="1"/>
    <col min="13" max="13" width="7.5" customWidth="1"/>
    <col min="14" max="14" width="0.125" hidden="1" customWidth="1"/>
    <col min="15" max="15" width="8.25" customWidth="1"/>
    <col min="16" max="16" width="0.125" hidden="1" customWidth="1"/>
    <col min="18" max="18" width="7.125" customWidth="1"/>
    <col min="20" max="20" width="2.375" customWidth="1"/>
    <col min="21" max="21" width="7.25" customWidth="1"/>
    <col min="22" max="22" width="0.375" hidden="1" customWidth="1"/>
    <col min="23" max="23" width="8.25" customWidth="1"/>
    <col min="24" max="24" width="5.625" customWidth="1"/>
  </cols>
  <sheetData>
    <row r="1" spans="1:24" s="77" customFormat="1" ht="51" customHeight="1">
      <c r="A1" s="5150" t="s">
        <v>10470</v>
      </c>
      <c r="B1" s="5151"/>
      <c r="C1" s="5151"/>
      <c r="D1" s="5151"/>
      <c r="E1" s="5151"/>
      <c r="F1" s="5151"/>
      <c r="G1" s="5151"/>
      <c r="H1" s="5151"/>
      <c r="I1" s="5151"/>
      <c r="J1" s="5151"/>
      <c r="K1" s="5151"/>
      <c r="L1" s="5151"/>
      <c r="M1" s="5151"/>
      <c r="N1" s="5151"/>
      <c r="O1" s="5151"/>
      <c r="P1" s="5151"/>
      <c r="Q1" s="5151"/>
      <c r="R1" s="5151"/>
      <c r="S1" s="5151"/>
      <c r="T1" s="5151"/>
      <c r="U1" s="5151"/>
      <c r="V1" s="5151"/>
      <c r="W1" s="5151"/>
      <c r="X1" s="5152"/>
    </row>
    <row r="2" spans="1:24" ht="16.899999999999999" customHeight="1">
      <c r="A2" s="2099"/>
      <c r="B2" s="2100"/>
      <c r="C2" s="2100"/>
      <c r="D2" s="2100"/>
      <c r="E2" s="2100"/>
      <c r="F2" s="2100"/>
      <c r="G2" s="2100"/>
      <c r="H2" s="2100"/>
      <c r="I2" s="2100"/>
      <c r="J2" s="2100"/>
      <c r="K2" s="2100"/>
      <c r="L2" s="2100"/>
      <c r="M2" s="2100"/>
      <c r="N2" s="2100"/>
      <c r="O2" s="2100"/>
      <c r="P2" s="2100"/>
      <c r="Q2" s="2100"/>
      <c r="R2" s="2100"/>
      <c r="S2" s="2100"/>
      <c r="T2" s="2100"/>
      <c r="U2" s="2100"/>
      <c r="V2" s="2100"/>
      <c r="W2" s="2100"/>
      <c r="X2" s="2101"/>
    </row>
    <row r="3" spans="1:24" ht="23.25" customHeight="1">
      <c r="A3" s="5101" t="s">
        <v>10471</v>
      </c>
      <c r="B3" s="5102"/>
      <c r="C3" s="5153" t="s">
        <v>10472</v>
      </c>
      <c r="D3" s="5154"/>
      <c r="E3" s="5154"/>
      <c r="F3" s="5154"/>
      <c r="G3" s="5154"/>
      <c r="H3" s="5154"/>
      <c r="I3" s="5105" t="s">
        <v>10473</v>
      </c>
      <c r="J3" s="5106"/>
      <c r="K3" s="5155" t="s">
        <v>10472</v>
      </c>
      <c r="L3" s="5156"/>
      <c r="M3" s="5156"/>
      <c r="N3" s="5156"/>
      <c r="O3" s="5156"/>
      <c r="P3" s="5156"/>
      <c r="Q3" s="5109" t="s">
        <v>10474</v>
      </c>
      <c r="R3" s="5110"/>
      <c r="S3" s="5157" t="s">
        <v>10472</v>
      </c>
      <c r="T3" s="5157"/>
      <c r="U3" s="5157"/>
      <c r="V3" s="5157"/>
      <c r="W3" s="5157"/>
      <c r="X3" s="5158"/>
    </row>
    <row r="4" spans="1:24" ht="21">
      <c r="A4" s="5103"/>
      <c r="B4" s="5104"/>
      <c r="C4" s="5159" t="s">
        <v>10475</v>
      </c>
      <c r="D4" s="5160"/>
      <c r="E4" s="5161" t="s">
        <v>9062</v>
      </c>
      <c r="F4" s="5160"/>
      <c r="G4" s="5161" t="s">
        <v>9061</v>
      </c>
      <c r="H4" s="5159"/>
      <c r="I4" s="5107"/>
      <c r="J4" s="5108"/>
      <c r="K4" s="5162" t="s">
        <v>10475</v>
      </c>
      <c r="L4" s="5163"/>
      <c r="M4" s="5164" t="s">
        <v>9062</v>
      </c>
      <c r="N4" s="5163"/>
      <c r="O4" s="5164" t="s">
        <v>9061</v>
      </c>
      <c r="P4" s="5162"/>
      <c r="Q4" s="5111"/>
      <c r="R4" s="5112"/>
      <c r="S4" s="5165" t="s">
        <v>10475</v>
      </c>
      <c r="T4" s="5165"/>
      <c r="U4" s="5166" t="s">
        <v>9062</v>
      </c>
      <c r="V4" s="5165"/>
      <c r="W4" s="5166" t="s">
        <v>9061</v>
      </c>
      <c r="X4" s="5167"/>
    </row>
    <row r="5" spans="1:24" s="2098" customFormat="1" ht="21">
      <c r="A5" s="5137" t="s">
        <v>10476</v>
      </c>
      <c r="B5" s="5138"/>
      <c r="C5" s="5139" t="s">
        <v>10477</v>
      </c>
      <c r="D5" s="5138"/>
      <c r="E5" s="5140">
        <v>1.425</v>
      </c>
      <c r="F5" s="5141"/>
      <c r="G5" s="5140">
        <v>1.5820000000000001</v>
      </c>
      <c r="H5" s="5142"/>
      <c r="I5" s="5143" t="s">
        <v>10478</v>
      </c>
      <c r="J5" s="5138"/>
      <c r="K5" s="5139" t="s">
        <v>10479</v>
      </c>
      <c r="L5" s="5138"/>
      <c r="M5" s="5139">
        <v>1.47</v>
      </c>
      <c r="N5" s="5138"/>
      <c r="O5" s="5139">
        <v>1.61</v>
      </c>
      <c r="P5" s="5144"/>
      <c r="Q5" s="5145" t="s">
        <v>10480</v>
      </c>
      <c r="R5" s="5122"/>
      <c r="S5" s="5122" t="s">
        <v>10481</v>
      </c>
      <c r="T5" s="5122"/>
      <c r="U5" s="5122">
        <v>8.4</v>
      </c>
      <c r="V5" s="5122"/>
      <c r="W5" s="5122">
        <v>8.6999999999999993</v>
      </c>
      <c r="X5" s="5123"/>
    </row>
    <row r="6" spans="1:24" s="2098" customFormat="1" ht="21">
      <c r="A6" s="5124" t="s">
        <v>10482</v>
      </c>
      <c r="B6" s="5125"/>
      <c r="C6" s="5126" t="s">
        <v>10483</v>
      </c>
      <c r="D6" s="5125"/>
      <c r="E6" s="5127">
        <v>1.69</v>
      </c>
      <c r="F6" s="5128"/>
      <c r="G6" s="5127">
        <v>1.87</v>
      </c>
      <c r="H6" s="5129"/>
      <c r="I6" s="5130" t="s">
        <v>10484</v>
      </c>
      <c r="J6" s="5131"/>
      <c r="K6" s="5132" t="s">
        <v>10485</v>
      </c>
      <c r="L6" s="5131"/>
      <c r="M6" s="5132">
        <v>1.75</v>
      </c>
      <c r="N6" s="5131"/>
      <c r="O6" s="5132">
        <v>1.91</v>
      </c>
      <c r="P6" s="5133"/>
      <c r="Q6" s="5134" t="s">
        <v>10486</v>
      </c>
      <c r="R6" s="5135"/>
      <c r="S6" s="5135" t="s">
        <v>10487</v>
      </c>
      <c r="T6" s="5135"/>
      <c r="U6" s="5135">
        <v>11.1</v>
      </c>
      <c r="V6" s="5135"/>
      <c r="W6" s="5135">
        <v>11.4</v>
      </c>
      <c r="X6" s="5136"/>
    </row>
    <row r="7" spans="1:24" s="2098" customFormat="1" ht="21">
      <c r="A7" s="5137" t="s">
        <v>10488</v>
      </c>
      <c r="B7" s="5138"/>
      <c r="C7" s="5139" t="s">
        <v>10489</v>
      </c>
      <c r="D7" s="5138"/>
      <c r="E7" s="5140">
        <v>1.94</v>
      </c>
      <c r="F7" s="5141"/>
      <c r="G7" s="5140">
        <v>2.15</v>
      </c>
      <c r="H7" s="5142"/>
      <c r="I7" s="5143" t="s">
        <v>10490</v>
      </c>
      <c r="J7" s="5138"/>
      <c r="K7" s="5139" t="s">
        <v>10489</v>
      </c>
      <c r="L7" s="5138"/>
      <c r="M7" s="5139">
        <v>2.02</v>
      </c>
      <c r="N7" s="5138"/>
      <c r="O7" s="5139">
        <v>2.19</v>
      </c>
      <c r="P7" s="5144"/>
      <c r="Q7" s="5145" t="s">
        <v>10491</v>
      </c>
      <c r="R7" s="5122"/>
      <c r="S7" s="5122" t="s">
        <v>10492</v>
      </c>
      <c r="T7" s="5122"/>
      <c r="U7" s="5122">
        <v>14.3</v>
      </c>
      <c r="V7" s="5122"/>
      <c r="W7" s="5122">
        <v>14.8</v>
      </c>
      <c r="X7" s="5123"/>
    </row>
    <row r="8" spans="1:24" s="2098" customFormat="1" ht="21">
      <c r="A8" s="5124" t="s">
        <v>10493</v>
      </c>
      <c r="B8" s="5125"/>
      <c r="C8" s="5126" t="s">
        <v>10494</v>
      </c>
      <c r="D8" s="5125"/>
      <c r="E8" s="5127">
        <v>2.157</v>
      </c>
      <c r="F8" s="5128"/>
      <c r="G8" s="5127">
        <v>2.3849999999999998</v>
      </c>
      <c r="H8" s="5129"/>
      <c r="I8" s="5130" t="s">
        <v>10495</v>
      </c>
      <c r="J8" s="5131"/>
      <c r="K8" s="5132" t="s">
        <v>10496</v>
      </c>
      <c r="L8" s="5131"/>
      <c r="M8" s="5132">
        <v>2.27</v>
      </c>
      <c r="N8" s="5131"/>
      <c r="O8" s="5132">
        <v>2.46</v>
      </c>
      <c r="P8" s="5133"/>
      <c r="Q8" s="5134" t="s">
        <v>10497</v>
      </c>
      <c r="R8" s="5135"/>
      <c r="S8" s="5135" t="s">
        <v>10498</v>
      </c>
      <c r="T8" s="5135"/>
      <c r="U8" s="5135">
        <v>17.899999999999999</v>
      </c>
      <c r="V8" s="5135"/>
      <c r="W8" s="5135">
        <v>18.3</v>
      </c>
      <c r="X8" s="5136"/>
    </row>
    <row r="9" spans="1:24" s="2098" customFormat="1" ht="21">
      <c r="A9" s="5137" t="s">
        <v>10499</v>
      </c>
      <c r="B9" s="5138"/>
      <c r="C9" s="5139" t="s">
        <v>10500</v>
      </c>
      <c r="D9" s="5138"/>
      <c r="E9" s="5140">
        <v>2.6419999999999999</v>
      </c>
      <c r="F9" s="5141"/>
      <c r="G9" s="5140">
        <v>2.895</v>
      </c>
      <c r="H9" s="5142"/>
      <c r="I9" s="5143" t="s">
        <v>10501</v>
      </c>
      <c r="J9" s="5138"/>
      <c r="K9" s="5139" t="s">
        <v>10502</v>
      </c>
      <c r="L9" s="5138"/>
      <c r="M9" s="5139">
        <v>2.82</v>
      </c>
      <c r="N9" s="5138"/>
      <c r="O9" s="5139">
        <v>3.01</v>
      </c>
      <c r="P9" s="5144"/>
      <c r="Q9" s="5145" t="s">
        <v>10503</v>
      </c>
      <c r="R9" s="5122"/>
      <c r="S9" s="5122" t="s">
        <v>10504</v>
      </c>
      <c r="T9" s="5122"/>
      <c r="U9" s="5122">
        <v>23</v>
      </c>
      <c r="V9" s="5122"/>
      <c r="W9" s="5122">
        <v>23.7</v>
      </c>
      <c r="X9" s="5123"/>
    </row>
    <row r="10" spans="1:24" s="2098" customFormat="1" ht="21">
      <c r="A10" s="5124" t="s">
        <v>10505</v>
      </c>
      <c r="B10" s="5125"/>
      <c r="C10" s="5126" t="s">
        <v>10506</v>
      </c>
      <c r="D10" s="5125"/>
      <c r="E10" s="5127">
        <v>3.302</v>
      </c>
      <c r="F10" s="5128"/>
      <c r="G10" s="5127">
        <v>3.53</v>
      </c>
      <c r="H10" s="5129"/>
      <c r="I10" s="5130" t="s">
        <v>10507</v>
      </c>
      <c r="J10" s="5131"/>
      <c r="K10" s="5132" t="s">
        <v>10508</v>
      </c>
      <c r="L10" s="5131"/>
      <c r="M10" s="5132">
        <v>3.4</v>
      </c>
      <c r="N10" s="5131"/>
      <c r="O10" s="5132">
        <v>3.6</v>
      </c>
      <c r="P10" s="5133"/>
      <c r="Q10" s="5134" t="s">
        <v>10509</v>
      </c>
      <c r="R10" s="5135"/>
      <c r="S10" s="5135" t="s">
        <v>10510</v>
      </c>
      <c r="T10" s="5135"/>
      <c r="U10" s="5135">
        <v>29</v>
      </c>
      <c r="V10" s="5135"/>
      <c r="W10" s="5135">
        <v>29.7</v>
      </c>
      <c r="X10" s="5136"/>
    </row>
    <row r="11" spans="1:24" s="2098" customFormat="1" ht="21">
      <c r="A11" s="5137" t="s">
        <v>10511</v>
      </c>
      <c r="B11" s="5138"/>
      <c r="C11" s="5139" t="s">
        <v>10512</v>
      </c>
      <c r="D11" s="5138"/>
      <c r="E11" s="5140">
        <v>3.6829999999999998</v>
      </c>
      <c r="F11" s="5141"/>
      <c r="G11" s="5140">
        <v>3.9620000000000002</v>
      </c>
      <c r="H11" s="5142"/>
      <c r="I11" s="5143" t="s">
        <v>10513</v>
      </c>
      <c r="J11" s="5138"/>
      <c r="K11" s="5139" t="s">
        <v>10514</v>
      </c>
      <c r="L11" s="5138"/>
      <c r="M11" s="5139">
        <v>3.96</v>
      </c>
      <c r="N11" s="5138"/>
      <c r="O11" s="5139">
        <v>4.18</v>
      </c>
      <c r="P11" s="5144"/>
      <c r="Q11" s="5145" t="s">
        <v>10515</v>
      </c>
      <c r="R11" s="5122"/>
      <c r="S11" s="5122" t="s">
        <v>10516</v>
      </c>
      <c r="T11" s="5122"/>
      <c r="U11" s="5122">
        <v>37.700000000000003</v>
      </c>
      <c r="V11" s="5122"/>
      <c r="W11" s="5122">
        <v>38.4</v>
      </c>
      <c r="X11" s="5123"/>
    </row>
    <row r="12" spans="1:24" s="2098" customFormat="1" ht="21">
      <c r="A12" s="5124" t="s">
        <v>10517</v>
      </c>
      <c r="B12" s="5125"/>
      <c r="C12" s="5126" t="s">
        <v>10518</v>
      </c>
      <c r="D12" s="5125"/>
      <c r="E12" s="5127">
        <v>4.34</v>
      </c>
      <c r="F12" s="5128"/>
      <c r="G12" s="5127">
        <v>4.59</v>
      </c>
      <c r="H12" s="5129"/>
      <c r="I12" s="5130" t="s">
        <v>10519</v>
      </c>
      <c r="J12" s="5131"/>
      <c r="K12" s="5132" t="s">
        <v>10520</v>
      </c>
      <c r="L12" s="5131"/>
      <c r="M12" s="5132">
        <v>4.5</v>
      </c>
      <c r="N12" s="5131"/>
      <c r="O12" s="5132">
        <v>4.72</v>
      </c>
      <c r="P12" s="5133"/>
      <c r="Q12" s="5134" t="s">
        <v>10521</v>
      </c>
      <c r="R12" s="5135"/>
      <c r="S12" s="5135" t="s">
        <v>10522</v>
      </c>
      <c r="T12" s="5135"/>
      <c r="U12" s="5135">
        <v>44</v>
      </c>
      <c r="V12" s="5135"/>
      <c r="W12" s="5135">
        <v>44.5</v>
      </c>
      <c r="X12" s="5136"/>
    </row>
    <row r="13" spans="1:24" s="2098" customFormat="1" ht="21">
      <c r="A13" s="5137" t="s">
        <v>10523</v>
      </c>
      <c r="B13" s="5138"/>
      <c r="C13" s="5139" t="s">
        <v>10524</v>
      </c>
      <c r="D13" s="5138"/>
      <c r="E13" s="5140">
        <v>4.9790000000000001</v>
      </c>
      <c r="F13" s="5141"/>
      <c r="G13" s="5140">
        <v>5.2569999999999997</v>
      </c>
      <c r="H13" s="5142"/>
      <c r="I13" s="5143" t="s">
        <v>10525</v>
      </c>
      <c r="J13" s="5138"/>
      <c r="K13" s="5139" t="s">
        <v>10526</v>
      </c>
      <c r="L13" s="5138"/>
      <c r="M13" s="5139">
        <v>5.36</v>
      </c>
      <c r="N13" s="5138"/>
      <c r="O13" s="5139">
        <v>5.6</v>
      </c>
      <c r="P13" s="5144"/>
      <c r="Q13" s="5145" t="s">
        <v>10527</v>
      </c>
      <c r="R13" s="5122"/>
      <c r="S13" s="5122" t="s">
        <v>10528</v>
      </c>
      <c r="T13" s="5122"/>
      <c r="U13" s="5122">
        <v>56</v>
      </c>
      <c r="V13" s="5122"/>
      <c r="W13" s="5122">
        <v>56.6</v>
      </c>
      <c r="X13" s="5123"/>
    </row>
    <row r="14" spans="1:24" s="2098" customFormat="1" ht="21">
      <c r="A14" s="5124" t="s">
        <v>10529</v>
      </c>
      <c r="B14" s="5125"/>
      <c r="C14" s="5126" t="s">
        <v>10530</v>
      </c>
      <c r="D14" s="5125"/>
      <c r="E14" s="5127">
        <v>6.4009999999999998</v>
      </c>
      <c r="F14" s="5128"/>
      <c r="G14" s="5127">
        <v>6.7309999999999999</v>
      </c>
      <c r="H14" s="5129"/>
      <c r="I14" s="5130" t="s">
        <v>10531</v>
      </c>
      <c r="J14" s="5131"/>
      <c r="K14" s="5132" t="s">
        <v>10532</v>
      </c>
      <c r="L14" s="5131"/>
      <c r="M14" s="5132">
        <v>6.78</v>
      </c>
      <c r="N14" s="5131"/>
      <c r="O14" s="5132">
        <v>7</v>
      </c>
      <c r="P14" s="5133"/>
      <c r="Q14" s="5149" t="s">
        <v>10533</v>
      </c>
      <c r="R14" s="5135"/>
      <c r="S14" s="5135"/>
      <c r="T14" s="5135"/>
      <c r="U14" s="5135"/>
      <c r="V14" s="5135"/>
      <c r="W14" s="5135"/>
      <c r="X14" s="5136"/>
    </row>
    <row r="15" spans="1:24" s="2098" customFormat="1" ht="21">
      <c r="A15" s="5137" t="s">
        <v>10534</v>
      </c>
      <c r="B15" s="5138"/>
      <c r="C15" s="5139" t="s">
        <v>10535</v>
      </c>
      <c r="D15" s="5138"/>
      <c r="E15" s="5140">
        <v>7.798</v>
      </c>
      <c r="F15" s="5141"/>
      <c r="G15" s="5140">
        <v>8.1530000000000005</v>
      </c>
      <c r="H15" s="5142"/>
      <c r="I15" s="5143" t="s">
        <v>10536</v>
      </c>
      <c r="J15" s="5138"/>
      <c r="K15" s="5139" t="s">
        <v>10537</v>
      </c>
      <c r="L15" s="5138"/>
      <c r="M15" s="5139">
        <v>8.3800000000000008</v>
      </c>
      <c r="N15" s="5138"/>
      <c r="O15" s="5139">
        <v>8.6300000000000008</v>
      </c>
      <c r="P15" s="5144"/>
      <c r="Q15" s="5148" t="s">
        <v>10538</v>
      </c>
      <c r="R15" s="5146"/>
      <c r="S15" s="5146" t="s">
        <v>10539</v>
      </c>
      <c r="T15" s="5146"/>
      <c r="U15" s="5146">
        <v>8.3000000000000007</v>
      </c>
      <c r="V15" s="5146"/>
      <c r="W15" s="5146">
        <v>8.5</v>
      </c>
      <c r="X15" s="5147"/>
    </row>
    <row r="16" spans="1:24" s="2098" customFormat="1" ht="21">
      <c r="A16" s="5124" t="s">
        <v>10540</v>
      </c>
      <c r="B16" s="5125"/>
      <c r="C16" s="5126" t="s">
        <v>10541</v>
      </c>
      <c r="D16" s="5125"/>
      <c r="E16" s="5127">
        <v>9.1440000000000001</v>
      </c>
      <c r="F16" s="5128"/>
      <c r="G16" s="5127">
        <v>9.5500000000000007</v>
      </c>
      <c r="H16" s="5129"/>
      <c r="I16" s="5130" t="s">
        <v>10542</v>
      </c>
      <c r="J16" s="5131"/>
      <c r="K16" s="5132" t="s">
        <v>10543</v>
      </c>
      <c r="L16" s="5131"/>
      <c r="M16" s="5132">
        <v>9.73</v>
      </c>
      <c r="N16" s="5131"/>
      <c r="O16" s="5132">
        <v>10</v>
      </c>
      <c r="P16" s="5133"/>
      <c r="Q16" s="5134" t="s">
        <v>10544</v>
      </c>
      <c r="R16" s="5135"/>
      <c r="S16" s="5135" t="s">
        <v>10487</v>
      </c>
      <c r="T16" s="5135"/>
      <c r="U16" s="5135">
        <v>11.1</v>
      </c>
      <c r="V16" s="5135"/>
      <c r="W16" s="5135">
        <v>11.35</v>
      </c>
      <c r="X16" s="5136"/>
    </row>
    <row r="17" spans="1:24" s="2098" customFormat="1" ht="21">
      <c r="A17" s="5137" t="s">
        <v>10545</v>
      </c>
      <c r="B17" s="5138"/>
      <c r="C17" s="5139" t="s">
        <v>10546</v>
      </c>
      <c r="D17" s="5138"/>
      <c r="E17" s="5140">
        <v>10.592000000000001</v>
      </c>
      <c r="F17" s="5141"/>
      <c r="G17" s="5140">
        <v>11.202999999999999</v>
      </c>
      <c r="H17" s="5142"/>
      <c r="I17" s="5143" t="s">
        <v>10547</v>
      </c>
      <c r="J17" s="5138"/>
      <c r="K17" s="5139" t="s">
        <v>10548</v>
      </c>
      <c r="L17" s="5138"/>
      <c r="M17" s="5139">
        <v>11.3</v>
      </c>
      <c r="N17" s="5138"/>
      <c r="O17" s="5139">
        <v>11.6</v>
      </c>
      <c r="P17" s="5144"/>
      <c r="Q17" s="5145" t="s">
        <v>10549</v>
      </c>
      <c r="R17" s="5122"/>
      <c r="S17" s="5122" t="s">
        <v>10550</v>
      </c>
      <c r="T17" s="5122"/>
      <c r="U17" s="5122">
        <v>14.5</v>
      </c>
      <c r="V17" s="5122"/>
      <c r="W17" s="5122">
        <v>14.85</v>
      </c>
      <c r="X17" s="5123"/>
    </row>
    <row r="18" spans="1:24" s="2098" customFormat="1" ht="21">
      <c r="A18" s="5124" t="s">
        <v>10551</v>
      </c>
      <c r="B18" s="5125"/>
      <c r="C18" s="5126" t="s">
        <v>10552</v>
      </c>
      <c r="D18" s="5125"/>
      <c r="E18" s="5127">
        <v>11.989000000000001</v>
      </c>
      <c r="F18" s="5128"/>
      <c r="G18" s="5127">
        <v>12.446</v>
      </c>
      <c r="H18" s="5129"/>
      <c r="I18" s="5130" t="s">
        <v>10553</v>
      </c>
      <c r="J18" s="5131"/>
      <c r="K18" s="5132" t="s">
        <v>10554</v>
      </c>
      <c r="L18" s="5131"/>
      <c r="M18" s="5132">
        <v>12.7</v>
      </c>
      <c r="N18" s="5131"/>
      <c r="O18" s="5132">
        <v>13</v>
      </c>
      <c r="P18" s="5133"/>
      <c r="Q18" s="5134" t="s">
        <v>10555</v>
      </c>
      <c r="R18" s="5135"/>
      <c r="S18" s="5135" t="s">
        <v>10556</v>
      </c>
      <c r="T18" s="5135"/>
      <c r="U18" s="5135">
        <v>18.100000000000001</v>
      </c>
      <c r="V18" s="5135"/>
      <c r="W18" s="5135">
        <v>18.5</v>
      </c>
      <c r="X18" s="5136"/>
    </row>
    <row r="19" spans="1:24" s="2098" customFormat="1" ht="21">
      <c r="A19" s="5137" t="s">
        <v>10557</v>
      </c>
      <c r="B19" s="5138"/>
      <c r="C19" s="5139" t="s">
        <v>10558</v>
      </c>
      <c r="D19" s="5138"/>
      <c r="E19" s="5140">
        <v>13.385999999999999</v>
      </c>
      <c r="F19" s="5141"/>
      <c r="G19" s="5140">
        <v>13.868</v>
      </c>
      <c r="H19" s="5142"/>
      <c r="I19" s="5143" t="s">
        <v>10559</v>
      </c>
      <c r="J19" s="5138"/>
      <c r="K19" s="5139" t="s">
        <v>10550</v>
      </c>
      <c r="L19" s="5138"/>
      <c r="M19" s="5139">
        <v>14.3</v>
      </c>
      <c r="N19" s="5138"/>
      <c r="O19" s="5139">
        <v>14.68</v>
      </c>
      <c r="P19" s="5144"/>
      <c r="Q19" s="5145" t="s">
        <v>10560</v>
      </c>
      <c r="R19" s="5122"/>
      <c r="S19" s="5122" t="s">
        <v>10561</v>
      </c>
      <c r="T19" s="5122"/>
      <c r="U19" s="5122">
        <v>23.5</v>
      </c>
      <c r="V19" s="5122"/>
      <c r="W19" s="5122">
        <v>24</v>
      </c>
      <c r="X19" s="5123"/>
    </row>
    <row r="20" spans="1:24" s="2098" customFormat="1" ht="21">
      <c r="A20" s="5124" t="s">
        <v>10562</v>
      </c>
      <c r="B20" s="5125"/>
      <c r="C20" s="5126" t="s">
        <v>10563</v>
      </c>
      <c r="D20" s="5125"/>
      <c r="E20" s="5127">
        <v>16.306999999999999</v>
      </c>
      <c r="F20" s="5128"/>
      <c r="G20" s="5127">
        <v>16.84</v>
      </c>
      <c r="H20" s="5129"/>
      <c r="I20" s="5130" t="s">
        <v>10564</v>
      </c>
      <c r="J20" s="5131"/>
      <c r="K20" s="5132" t="s">
        <v>10565</v>
      </c>
      <c r="L20" s="5131"/>
      <c r="M20" s="5132">
        <v>17.3</v>
      </c>
      <c r="N20" s="5131"/>
      <c r="O20" s="5132">
        <v>17.68</v>
      </c>
      <c r="P20" s="5133"/>
      <c r="Q20" s="5134" t="s">
        <v>10566</v>
      </c>
      <c r="R20" s="5135"/>
      <c r="S20" s="5135" t="s">
        <v>10567</v>
      </c>
      <c r="T20" s="5135"/>
      <c r="U20" s="5135">
        <v>29.7</v>
      </c>
      <c r="V20" s="5135"/>
      <c r="W20" s="5135">
        <v>30.15</v>
      </c>
      <c r="X20" s="5136"/>
    </row>
    <row r="21" spans="1:24" s="2098" customFormat="1" ht="21">
      <c r="A21" s="5137" t="s">
        <v>10568</v>
      </c>
      <c r="B21" s="5138"/>
      <c r="C21" s="5139" t="s">
        <v>10569</v>
      </c>
      <c r="D21" s="5138"/>
      <c r="E21" s="5140">
        <v>19.177</v>
      </c>
      <c r="F21" s="5141"/>
      <c r="G21" s="5140">
        <v>19.760999999999999</v>
      </c>
      <c r="H21" s="5142"/>
      <c r="I21" s="5143" t="s">
        <v>10570</v>
      </c>
      <c r="J21" s="5138"/>
      <c r="K21" s="5139" t="s">
        <v>10571</v>
      </c>
      <c r="L21" s="5138"/>
      <c r="M21" s="5139">
        <v>20.27</v>
      </c>
      <c r="N21" s="5138"/>
      <c r="O21" s="5139">
        <v>20.67</v>
      </c>
      <c r="P21" s="5144"/>
      <c r="Q21" s="5145" t="s">
        <v>10572</v>
      </c>
      <c r="R21" s="5122"/>
      <c r="S21" s="5122" t="s">
        <v>10573</v>
      </c>
      <c r="T21" s="5122"/>
      <c r="U21" s="5122">
        <v>38.200000000000003</v>
      </c>
      <c r="V21" s="5122"/>
      <c r="W21" s="5122">
        <v>38.799999999999997</v>
      </c>
      <c r="X21" s="5123"/>
    </row>
    <row r="22" spans="1:24" s="2098" customFormat="1" ht="21">
      <c r="A22" s="5124" t="s">
        <v>10574</v>
      </c>
      <c r="B22" s="5125"/>
      <c r="C22" s="5126" t="s">
        <v>10575</v>
      </c>
      <c r="D22" s="5125"/>
      <c r="E22" s="5127">
        <v>21.971</v>
      </c>
      <c r="F22" s="5128"/>
      <c r="G22" s="5127">
        <v>22.606000000000002</v>
      </c>
      <c r="H22" s="5129"/>
      <c r="I22" s="5130" t="s">
        <v>10576</v>
      </c>
      <c r="J22" s="5131"/>
      <c r="K22" s="5132" t="s">
        <v>10577</v>
      </c>
      <c r="L22" s="5131"/>
      <c r="M22" s="5132">
        <v>23.1</v>
      </c>
      <c r="N22" s="5131"/>
      <c r="O22" s="5132">
        <v>23.57</v>
      </c>
      <c r="P22" s="5133"/>
      <c r="Q22" s="5134" t="s">
        <v>10578</v>
      </c>
      <c r="R22" s="5135"/>
      <c r="S22" s="5135" t="s">
        <v>10522</v>
      </c>
      <c r="T22" s="5135"/>
      <c r="U22" s="5135">
        <v>44</v>
      </c>
      <c r="V22" s="5135"/>
      <c r="W22" s="5135">
        <v>44.7</v>
      </c>
      <c r="X22" s="5136"/>
    </row>
    <row r="23" spans="1:24" s="2098" customFormat="1" ht="21">
      <c r="A23" s="5113"/>
      <c r="B23" s="5114"/>
      <c r="C23" s="5115"/>
      <c r="D23" s="5114"/>
      <c r="E23" s="5116"/>
      <c r="F23" s="5117"/>
      <c r="G23" s="5116"/>
      <c r="H23" s="5118"/>
      <c r="I23" s="5119"/>
      <c r="J23" s="5114"/>
      <c r="K23" s="5115"/>
      <c r="L23" s="5114"/>
      <c r="M23" s="5115"/>
      <c r="N23" s="5114"/>
      <c r="O23" s="5115"/>
      <c r="P23" s="5120"/>
      <c r="Q23" s="5121"/>
      <c r="R23" s="5091"/>
      <c r="S23" s="5091"/>
      <c r="T23" s="5091"/>
      <c r="U23" s="5091"/>
      <c r="V23" s="5091"/>
      <c r="W23" s="5091"/>
      <c r="X23" s="5092"/>
    </row>
    <row r="24" spans="1:24" ht="21">
      <c r="A24" s="5093" t="s">
        <v>10579</v>
      </c>
      <c r="B24" s="5094"/>
      <c r="C24" s="5095"/>
      <c r="D24" s="5095"/>
      <c r="E24" s="5095"/>
      <c r="F24" s="5095"/>
      <c r="G24" s="5095"/>
      <c r="H24" s="5095"/>
      <c r="I24" s="5095"/>
      <c r="J24" s="5095"/>
      <c r="K24" s="5095"/>
      <c r="L24" s="5095"/>
      <c r="M24" s="5095"/>
      <c r="N24" s="5095"/>
      <c r="O24" s="5095"/>
      <c r="P24" s="5095"/>
      <c r="Q24" s="5095"/>
      <c r="R24" s="5095"/>
      <c r="S24" s="5095"/>
      <c r="T24" s="5095"/>
      <c r="U24" s="5095"/>
      <c r="V24" s="5095"/>
      <c r="W24" s="5095"/>
      <c r="X24" s="5096"/>
    </row>
    <row r="25" spans="1:24" ht="21">
      <c r="A25" s="5097" t="s">
        <v>10580</v>
      </c>
      <c r="B25" s="5098"/>
      <c r="C25" s="5099"/>
      <c r="D25" s="5099"/>
      <c r="E25" s="5099"/>
      <c r="F25" s="5099"/>
      <c r="G25" s="5099"/>
      <c r="H25" s="5099"/>
      <c r="I25" s="5099"/>
      <c r="J25" s="5099"/>
      <c r="K25" s="5099"/>
      <c r="L25" s="5099"/>
      <c r="M25" s="5099"/>
      <c r="N25" s="5099"/>
      <c r="O25" s="5099"/>
      <c r="P25" s="5099"/>
      <c r="Q25" s="5099"/>
      <c r="R25" s="5099"/>
      <c r="S25" s="5099"/>
      <c r="T25" s="5099"/>
      <c r="U25" s="5099"/>
      <c r="V25" s="5099"/>
      <c r="W25" s="5099"/>
      <c r="X25" s="5100"/>
    </row>
  </sheetData>
  <mergeCells count="246">
    <mergeCell ref="A1:X1"/>
    <mergeCell ref="C3:H3"/>
    <mergeCell ref="K3:P3"/>
    <mergeCell ref="S3:X3"/>
    <mergeCell ref="C4:D4"/>
    <mergeCell ref="E4:F4"/>
    <mergeCell ref="G4:H4"/>
    <mergeCell ref="K4:L4"/>
    <mergeCell ref="M4:N4"/>
    <mergeCell ref="O4:P4"/>
    <mergeCell ref="S4:T4"/>
    <mergeCell ref="U4:V4"/>
    <mergeCell ref="W4:X4"/>
    <mergeCell ref="S5:T5"/>
    <mergeCell ref="U5:V5"/>
    <mergeCell ref="W5:X5"/>
    <mergeCell ref="A6:B6"/>
    <mergeCell ref="C6:D6"/>
    <mergeCell ref="E6:F6"/>
    <mergeCell ref="G6:H6"/>
    <mergeCell ref="I6:J6"/>
    <mergeCell ref="K6:L6"/>
    <mergeCell ref="M6:N6"/>
    <mergeCell ref="O6:P6"/>
    <mergeCell ref="Q6:R6"/>
    <mergeCell ref="S6:T6"/>
    <mergeCell ref="U6:V6"/>
    <mergeCell ref="W6:X6"/>
    <mergeCell ref="A5:B5"/>
    <mergeCell ref="C5:D5"/>
    <mergeCell ref="E5:F5"/>
    <mergeCell ref="G5:H5"/>
    <mergeCell ref="I5:J5"/>
    <mergeCell ref="K5:L5"/>
    <mergeCell ref="M5:N5"/>
    <mergeCell ref="O5:P5"/>
    <mergeCell ref="Q5:R5"/>
    <mergeCell ref="S7:T7"/>
    <mergeCell ref="U7:V7"/>
    <mergeCell ref="W7:X7"/>
    <mergeCell ref="A8:B8"/>
    <mergeCell ref="C8:D8"/>
    <mergeCell ref="E8:F8"/>
    <mergeCell ref="G8:H8"/>
    <mergeCell ref="I8:J8"/>
    <mergeCell ref="K8:L8"/>
    <mergeCell ref="M8:N8"/>
    <mergeCell ref="O8:P8"/>
    <mergeCell ref="Q8:R8"/>
    <mergeCell ref="S8:T8"/>
    <mergeCell ref="U8:V8"/>
    <mergeCell ref="W8:X8"/>
    <mergeCell ref="A7:B7"/>
    <mergeCell ref="C7:D7"/>
    <mergeCell ref="E7:F7"/>
    <mergeCell ref="G7:H7"/>
    <mergeCell ref="I7:J7"/>
    <mergeCell ref="K7:L7"/>
    <mergeCell ref="M7:N7"/>
    <mergeCell ref="O7:P7"/>
    <mergeCell ref="Q7:R7"/>
    <mergeCell ref="S9:T9"/>
    <mergeCell ref="U9:V9"/>
    <mergeCell ref="W9:X9"/>
    <mergeCell ref="A10:B10"/>
    <mergeCell ref="C10:D10"/>
    <mergeCell ref="E10:F10"/>
    <mergeCell ref="G10:H10"/>
    <mergeCell ref="I10:J10"/>
    <mergeCell ref="K10:L10"/>
    <mergeCell ref="M10:N10"/>
    <mergeCell ref="O10:P10"/>
    <mergeCell ref="Q10:R10"/>
    <mergeCell ref="S10:T10"/>
    <mergeCell ref="U10:V10"/>
    <mergeCell ref="W10:X10"/>
    <mergeCell ref="A9:B9"/>
    <mergeCell ref="C9:D9"/>
    <mergeCell ref="E9:F9"/>
    <mergeCell ref="G9:H9"/>
    <mergeCell ref="I9:J9"/>
    <mergeCell ref="K9:L9"/>
    <mergeCell ref="M9:N9"/>
    <mergeCell ref="O9:P9"/>
    <mergeCell ref="Q9:R9"/>
    <mergeCell ref="S11:T11"/>
    <mergeCell ref="U11:V11"/>
    <mergeCell ref="W11:X11"/>
    <mergeCell ref="A12:B12"/>
    <mergeCell ref="C12:D12"/>
    <mergeCell ref="E12:F12"/>
    <mergeCell ref="G12:H12"/>
    <mergeCell ref="I12:J12"/>
    <mergeCell ref="K12:L12"/>
    <mergeCell ref="M12:N12"/>
    <mergeCell ref="O12:P12"/>
    <mergeCell ref="Q12:R12"/>
    <mergeCell ref="S12:T12"/>
    <mergeCell ref="U12:V12"/>
    <mergeCell ref="W12:X12"/>
    <mergeCell ref="A11:B11"/>
    <mergeCell ref="C11:D11"/>
    <mergeCell ref="E11:F11"/>
    <mergeCell ref="G11:H11"/>
    <mergeCell ref="I11:J11"/>
    <mergeCell ref="K11:L11"/>
    <mergeCell ref="M11:N11"/>
    <mergeCell ref="O11:P11"/>
    <mergeCell ref="Q11:R11"/>
    <mergeCell ref="S13:T13"/>
    <mergeCell ref="U13:V13"/>
    <mergeCell ref="W13:X13"/>
    <mergeCell ref="A14:B14"/>
    <mergeCell ref="C14:D14"/>
    <mergeCell ref="E14:F14"/>
    <mergeCell ref="G14:H14"/>
    <mergeCell ref="I14:J14"/>
    <mergeCell ref="K14:L14"/>
    <mergeCell ref="M14:N14"/>
    <mergeCell ref="O14:P14"/>
    <mergeCell ref="Q14:R14"/>
    <mergeCell ref="S14:T14"/>
    <mergeCell ref="U14:V14"/>
    <mergeCell ref="W14:X14"/>
    <mergeCell ref="A13:B13"/>
    <mergeCell ref="C13:D13"/>
    <mergeCell ref="E13:F13"/>
    <mergeCell ref="G13:H13"/>
    <mergeCell ref="I13:J13"/>
    <mergeCell ref="K13:L13"/>
    <mergeCell ref="M13:N13"/>
    <mergeCell ref="O13:P13"/>
    <mergeCell ref="Q13:R13"/>
    <mergeCell ref="S15:T15"/>
    <mergeCell ref="U15:V15"/>
    <mergeCell ref="W15:X15"/>
    <mergeCell ref="A16:B16"/>
    <mergeCell ref="C16:D16"/>
    <mergeCell ref="E16:F16"/>
    <mergeCell ref="G16:H16"/>
    <mergeCell ref="I16:J16"/>
    <mergeCell ref="K16:L16"/>
    <mergeCell ref="M16:N16"/>
    <mergeCell ref="O16:P16"/>
    <mergeCell ref="Q16:R16"/>
    <mergeCell ref="S16:T16"/>
    <mergeCell ref="U16:V16"/>
    <mergeCell ref="W16:X16"/>
    <mergeCell ref="A15:B15"/>
    <mergeCell ref="C15:D15"/>
    <mergeCell ref="E15:F15"/>
    <mergeCell ref="G15:H15"/>
    <mergeCell ref="I15:J15"/>
    <mergeCell ref="K15:L15"/>
    <mergeCell ref="M15:N15"/>
    <mergeCell ref="O15:P15"/>
    <mergeCell ref="Q15:R15"/>
    <mergeCell ref="S17:T17"/>
    <mergeCell ref="U17:V17"/>
    <mergeCell ref="W17:X17"/>
    <mergeCell ref="A18:B18"/>
    <mergeCell ref="C18:D18"/>
    <mergeCell ref="E18:F18"/>
    <mergeCell ref="G18:H18"/>
    <mergeCell ref="I18:J18"/>
    <mergeCell ref="K18:L18"/>
    <mergeCell ref="M18:N18"/>
    <mergeCell ref="O18:P18"/>
    <mergeCell ref="Q18:R18"/>
    <mergeCell ref="S18:T18"/>
    <mergeCell ref="U18:V18"/>
    <mergeCell ref="W18:X18"/>
    <mergeCell ref="A17:B17"/>
    <mergeCell ref="C17:D17"/>
    <mergeCell ref="E17:F17"/>
    <mergeCell ref="G17:H17"/>
    <mergeCell ref="I17:J17"/>
    <mergeCell ref="K17:L17"/>
    <mergeCell ref="M17:N17"/>
    <mergeCell ref="O17:P17"/>
    <mergeCell ref="Q17:R17"/>
    <mergeCell ref="S19:T19"/>
    <mergeCell ref="U19:V19"/>
    <mergeCell ref="W19:X19"/>
    <mergeCell ref="A20:B20"/>
    <mergeCell ref="C20:D20"/>
    <mergeCell ref="E20:F20"/>
    <mergeCell ref="G20:H20"/>
    <mergeCell ref="I20:J20"/>
    <mergeCell ref="K20:L20"/>
    <mergeCell ref="M20:N20"/>
    <mergeCell ref="O20:P20"/>
    <mergeCell ref="Q20:R20"/>
    <mergeCell ref="S20:T20"/>
    <mergeCell ref="U20:V20"/>
    <mergeCell ref="W20:X20"/>
    <mergeCell ref="A19:B19"/>
    <mergeCell ref="C19:D19"/>
    <mergeCell ref="E19:F19"/>
    <mergeCell ref="G19:H19"/>
    <mergeCell ref="I19:J19"/>
    <mergeCell ref="K19:L19"/>
    <mergeCell ref="M19:N19"/>
    <mergeCell ref="O19:P19"/>
    <mergeCell ref="Q19:R19"/>
    <mergeCell ref="I22:J22"/>
    <mergeCell ref="K22:L22"/>
    <mergeCell ref="M22:N22"/>
    <mergeCell ref="O22:P22"/>
    <mergeCell ref="Q22:R22"/>
    <mergeCell ref="S22:T22"/>
    <mergeCell ref="U22:V22"/>
    <mergeCell ref="W22:X22"/>
    <mergeCell ref="A21:B21"/>
    <mergeCell ref="C21:D21"/>
    <mergeCell ref="E21:F21"/>
    <mergeCell ref="G21:H21"/>
    <mergeCell ref="I21:J21"/>
    <mergeCell ref="K21:L21"/>
    <mergeCell ref="M21:N21"/>
    <mergeCell ref="O21:P21"/>
    <mergeCell ref="Q21:R21"/>
    <mergeCell ref="S23:T23"/>
    <mergeCell ref="U23:V23"/>
    <mergeCell ref="W23:X23"/>
    <mergeCell ref="A24:X24"/>
    <mergeCell ref="A25:X25"/>
    <mergeCell ref="A3:B4"/>
    <mergeCell ref="I3:J4"/>
    <mergeCell ref="Q3:R4"/>
    <mergeCell ref="A23:B23"/>
    <mergeCell ref="C23:D23"/>
    <mergeCell ref="E23:F23"/>
    <mergeCell ref="G23:H23"/>
    <mergeCell ref="I23:J23"/>
    <mergeCell ref="K23:L23"/>
    <mergeCell ref="M23:N23"/>
    <mergeCell ref="O23:P23"/>
    <mergeCell ref="Q23:R23"/>
    <mergeCell ref="S21:T21"/>
    <mergeCell ref="U21:V21"/>
    <mergeCell ref="W21:X21"/>
    <mergeCell ref="A22:B22"/>
    <mergeCell ref="C22:D22"/>
    <mergeCell ref="E22:F22"/>
    <mergeCell ref="G22:H22"/>
  </mergeCells>
  <phoneticPr fontId="214" type="noConversion"/>
  <printOptions horizontalCentered="1" verticalCentered="1"/>
  <pageMargins left="0" right="0" top="0.38888888888888901" bottom="0.38888888888888901" header="0" footer="0"/>
  <pageSetup paperSize="9" orientation="landscape"/>
  <headerFooter scaleWithDoc="0" alignWithMargins="0"/>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02"/>
  <dimension ref="A1:H29"/>
  <sheetViews>
    <sheetView workbookViewId="0">
      <selection activeCell="I1" sqref="I1"/>
    </sheetView>
  </sheetViews>
  <sheetFormatPr defaultColWidth="8.75" defaultRowHeight="14.25"/>
  <cols>
    <col min="1" max="8" width="13.375" style="105" customWidth="1"/>
    <col min="9" max="16384" width="8.75" style="105"/>
  </cols>
  <sheetData>
    <row r="1" spans="1:8">
      <c r="A1" s="2078"/>
      <c r="B1" s="2079"/>
      <c r="C1" s="2079"/>
      <c r="D1" s="2080"/>
      <c r="E1" s="2081"/>
      <c r="F1" s="2082"/>
      <c r="G1" s="2082"/>
      <c r="H1" s="2083"/>
    </row>
    <row r="2" spans="1:8">
      <c r="A2" s="2084"/>
      <c r="B2" s="2085"/>
      <c r="C2" s="2085"/>
      <c r="D2" s="2086" t="s">
        <v>10581</v>
      </c>
      <c r="F2" s="2087" t="s">
        <v>10582</v>
      </c>
      <c r="H2" s="2088"/>
    </row>
    <row r="3" spans="1:8">
      <c r="A3" s="2084"/>
      <c r="B3" s="2085"/>
      <c r="C3" s="2085"/>
      <c r="D3" s="2086" t="s">
        <v>10583</v>
      </c>
      <c r="F3" s="2087" t="s">
        <v>10584</v>
      </c>
      <c r="H3" s="2088"/>
    </row>
    <row r="4" spans="1:8">
      <c r="A4" s="2089"/>
      <c r="B4" s="2090"/>
      <c r="C4" s="2090"/>
      <c r="D4" s="2091" t="s">
        <v>10585</v>
      </c>
      <c r="F4" s="2092" t="s">
        <v>10586</v>
      </c>
      <c r="H4" s="2094"/>
    </row>
    <row r="5" spans="1:8" ht="16.5" customHeight="1">
      <c r="A5" s="2095" t="s">
        <v>437</v>
      </c>
      <c r="B5" s="2096" t="s">
        <v>10587</v>
      </c>
      <c r="C5" s="2095" t="s">
        <v>437</v>
      </c>
      <c r="D5" s="2096" t="s">
        <v>10587</v>
      </c>
      <c r="E5" s="2095" t="s">
        <v>437</v>
      </c>
      <c r="F5" s="2096" t="s">
        <v>10587</v>
      </c>
      <c r="G5" s="2095" t="s">
        <v>437</v>
      </c>
      <c r="H5" s="2096" t="s">
        <v>10587</v>
      </c>
    </row>
    <row r="6" spans="1:8" ht="16.5" customHeight="1">
      <c r="A6" s="2097" t="s">
        <v>10588</v>
      </c>
      <c r="B6" s="2096">
        <v>965</v>
      </c>
      <c r="C6" s="2097" t="s">
        <v>10589</v>
      </c>
      <c r="D6" s="2096">
        <v>1905</v>
      </c>
      <c r="E6" s="2097" t="s">
        <v>10590</v>
      </c>
      <c r="F6" s="2096">
        <v>2794</v>
      </c>
      <c r="G6" s="2097" t="s">
        <v>10591</v>
      </c>
      <c r="H6" s="2096">
        <v>4064</v>
      </c>
    </row>
    <row r="7" spans="1:8" ht="16.5" customHeight="1">
      <c r="A7" s="2097" t="s">
        <v>10592</v>
      </c>
      <c r="B7" s="2096">
        <v>1092</v>
      </c>
      <c r="C7" s="2097" t="s">
        <v>10593</v>
      </c>
      <c r="D7" s="2096">
        <v>1981</v>
      </c>
      <c r="E7" s="2097" t="s">
        <v>10594</v>
      </c>
      <c r="F7" s="2096">
        <v>2819</v>
      </c>
      <c r="G7" s="2097" t="s">
        <v>10595</v>
      </c>
      <c r="H7" s="2096">
        <v>4216</v>
      </c>
    </row>
    <row r="8" spans="1:8" ht="16.5" customHeight="1">
      <c r="A8" s="2097" t="s">
        <v>10596</v>
      </c>
      <c r="B8" s="2096">
        <v>1194</v>
      </c>
      <c r="C8" s="2097" t="s">
        <v>10597</v>
      </c>
      <c r="D8" s="2096">
        <v>2032</v>
      </c>
      <c r="E8" s="2097" t="s">
        <v>10598</v>
      </c>
      <c r="F8" s="2096">
        <v>2845</v>
      </c>
      <c r="G8" s="2097" t="s">
        <v>10599</v>
      </c>
      <c r="H8" s="2096">
        <v>4267</v>
      </c>
    </row>
    <row r="9" spans="1:8" ht="16.5" customHeight="1">
      <c r="A9" s="2097" t="s">
        <v>10600</v>
      </c>
      <c r="B9" s="2096">
        <v>1219</v>
      </c>
      <c r="C9" s="2097" t="s">
        <v>10601</v>
      </c>
      <c r="D9" s="2096">
        <v>2057</v>
      </c>
      <c r="E9" s="2097" t="s">
        <v>10602</v>
      </c>
      <c r="F9" s="2096">
        <v>2896</v>
      </c>
      <c r="G9" s="2097" t="s">
        <v>10603</v>
      </c>
      <c r="H9" s="2096">
        <v>4394</v>
      </c>
    </row>
    <row r="10" spans="1:8" ht="16.5" customHeight="1">
      <c r="A10" s="2097" t="s">
        <v>10604</v>
      </c>
      <c r="B10" s="2096">
        <v>1245</v>
      </c>
      <c r="C10" s="2097" t="s">
        <v>10605</v>
      </c>
      <c r="D10" s="2096">
        <v>2108</v>
      </c>
      <c r="E10" s="2097" t="s">
        <v>10606</v>
      </c>
      <c r="F10" s="2096">
        <v>2921</v>
      </c>
      <c r="G10" s="2097" t="s">
        <v>10607</v>
      </c>
      <c r="H10" s="2096">
        <v>4572</v>
      </c>
    </row>
    <row r="11" spans="1:8" ht="16.5" customHeight="1">
      <c r="A11" s="2097" t="s">
        <v>10608</v>
      </c>
      <c r="B11" s="2096">
        <v>1270</v>
      </c>
      <c r="C11" s="2097" t="s">
        <v>10609</v>
      </c>
      <c r="D11" s="2096">
        <v>2134</v>
      </c>
      <c r="E11" s="2097" t="s">
        <v>10610</v>
      </c>
      <c r="F11" s="2096">
        <v>2946</v>
      </c>
      <c r="G11" s="2097" t="s">
        <v>10611</v>
      </c>
      <c r="H11" s="2096">
        <v>4699</v>
      </c>
    </row>
    <row r="12" spans="1:8" ht="16.5" customHeight="1">
      <c r="A12" s="2097" t="s">
        <v>10612</v>
      </c>
      <c r="B12" s="2096">
        <v>1295</v>
      </c>
      <c r="C12" s="2097" t="s">
        <v>10613</v>
      </c>
      <c r="D12" s="2096">
        <v>2159</v>
      </c>
      <c r="E12" s="2097" t="s">
        <v>10614</v>
      </c>
      <c r="F12" s="2096">
        <v>2972</v>
      </c>
      <c r="G12" s="2097" t="s">
        <v>10615</v>
      </c>
      <c r="H12" s="2096">
        <v>4750</v>
      </c>
    </row>
    <row r="13" spans="1:8" ht="16.5" customHeight="1">
      <c r="A13" s="2097" t="s">
        <v>10616</v>
      </c>
      <c r="B13" s="2096">
        <v>1346</v>
      </c>
      <c r="C13" s="2097" t="s">
        <v>10617</v>
      </c>
      <c r="D13" s="2096">
        <v>2184</v>
      </c>
      <c r="E13" s="2097" t="s">
        <v>10618</v>
      </c>
      <c r="F13" s="2096">
        <v>3048</v>
      </c>
      <c r="G13" s="2097" t="s">
        <v>10619</v>
      </c>
      <c r="H13" s="2096">
        <v>4826</v>
      </c>
    </row>
    <row r="14" spans="1:8" ht="16.5" customHeight="1">
      <c r="A14" s="2097" t="s">
        <v>10620</v>
      </c>
      <c r="B14" s="2096">
        <v>1372</v>
      </c>
      <c r="C14" s="2097" t="s">
        <v>10621</v>
      </c>
      <c r="D14" s="2096">
        <v>2210</v>
      </c>
      <c r="E14" s="2097" t="s">
        <v>10622</v>
      </c>
      <c r="F14" s="2096">
        <v>3099</v>
      </c>
      <c r="G14" s="2097" t="s">
        <v>10623</v>
      </c>
      <c r="H14" s="2096">
        <v>5029</v>
      </c>
    </row>
    <row r="15" spans="1:8" ht="16.5" customHeight="1">
      <c r="A15" s="2097" t="s">
        <v>10624</v>
      </c>
      <c r="B15" s="2096">
        <v>1448</v>
      </c>
      <c r="C15" s="2097" t="s">
        <v>10625</v>
      </c>
      <c r="D15" s="2096">
        <v>2235</v>
      </c>
      <c r="E15" s="2097" t="s">
        <v>10626</v>
      </c>
      <c r="F15" s="2096">
        <v>3200</v>
      </c>
      <c r="G15" s="2097" t="s">
        <v>10627</v>
      </c>
      <c r="H15" s="2096">
        <v>5080</v>
      </c>
    </row>
    <row r="16" spans="1:8" ht="16.5" customHeight="1">
      <c r="A16" s="2097" t="s">
        <v>10628</v>
      </c>
      <c r="B16" s="2096">
        <v>1499</v>
      </c>
      <c r="C16" s="2097" t="s">
        <v>10629</v>
      </c>
      <c r="D16" s="2096">
        <v>2261</v>
      </c>
      <c r="E16" s="2097" t="s">
        <v>10630</v>
      </c>
      <c r="F16" s="2096">
        <v>3302</v>
      </c>
      <c r="G16" s="2097" t="s">
        <v>10631</v>
      </c>
      <c r="H16" s="2096">
        <v>5182</v>
      </c>
    </row>
    <row r="17" spans="1:8" ht="16.5" customHeight="1">
      <c r="A17" s="2097" t="s">
        <v>3675</v>
      </c>
      <c r="B17" s="2096">
        <v>1524</v>
      </c>
      <c r="C17" s="2097" t="s">
        <v>10632</v>
      </c>
      <c r="D17" s="2096">
        <v>2286</v>
      </c>
      <c r="E17" s="2097" t="s">
        <v>10633</v>
      </c>
      <c r="F17" s="2096">
        <v>3353</v>
      </c>
      <c r="G17" s="2097" t="s">
        <v>10634</v>
      </c>
      <c r="H17" s="2096">
        <v>5283</v>
      </c>
    </row>
    <row r="18" spans="1:8" ht="16.5" customHeight="1">
      <c r="A18" s="2097" t="s">
        <v>10635</v>
      </c>
      <c r="B18" s="2096">
        <v>1575</v>
      </c>
      <c r="C18" s="2097" t="s">
        <v>10636</v>
      </c>
      <c r="D18" s="2096">
        <v>2311</v>
      </c>
      <c r="E18" s="2097" t="s">
        <v>10637</v>
      </c>
      <c r="F18" s="2096">
        <v>3454</v>
      </c>
      <c r="G18" s="2097" t="s">
        <v>10638</v>
      </c>
      <c r="H18" s="2096">
        <v>5334</v>
      </c>
    </row>
    <row r="19" spans="1:8" ht="16.5" customHeight="1">
      <c r="A19" s="2097" t="s">
        <v>10639</v>
      </c>
      <c r="B19" s="2096">
        <v>1600</v>
      </c>
      <c r="C19" s="2097" t="s">
        <v>10640</v>
      </c>
      <c r="D19" s="2096">
        <v>2337</v>
      </c>
      <c r="E19" s="2097" t="s">
        <v>10641</v>
      </c>
      <c r="F19" s="2096">
        <v>3505</v>
      </c>
      <c r="G19" s="2097" t="s">
        <v>10642</v>
      </c>
      <c r="H19" s="2096">
        <v>5588</v>
      </c>
    </row>
    <row r="20" spans="1:8" ht="16.5" customHeight="1">
      <c r="A20" s="2097" t="s">
        <v>10643</v>
      </c>
      <c r="B20" s="2096">
        <v>1626</v>
      </c>
      <c r="C20" s="2097" t="s">
        <v>10644</v>
      </c>
      <c r="D20" s="2096">
        <v>2362</v>
      </c>
      <c r="E20" s="2097" t="s">
        <v>10645</v>
      </c>
      <c r="F20" s="2096">
        <v>3556</v>
      </c>
      <c r="G20" s="2097" t="s">
        <v>10646</v>
      </c>
      <c r="H20" s="2096">
        <v>5715</v>
      </c>
    </row>
    <row r="21" spans="1:8" ht="16.5" customHeight="1">
      <c r="A21" s="2097" t="s">
        <v>10647</v>
      </c>
      <c r="B21" s="2096">
        <v>1651</v>
      </c>
      <c r="C21" s="2097" t="s">
        <v>10648</v>
      </c>
      <c r="D21" s="2096">
        <v>2413</v>
      </c>
      <c r="E21" s="2097" t="s">
        <v>10649</v>
      </c>
      <c r="F21" s="2096">
        <v>3607</v>
      </c>
      <c r="G21" s="2097" t="s">
        <v>10650</v>
      </c>
      <c r="H21" s="2096">
        <v>6045</v>
      </c>
    </row>
    <row r="22" spans="1:8" ht="16.5" customHeight="1">
      <c r="A22" s="2097" t="s">
        <v>10651</v>
      </c>
      <c r="B22" s="2096">
        <v>1676</v>
      </c>
      <c r="C22" s="2097" t="s">
        <v>10652</v>
      </c>
      <c r="D22" s="2096">
        <v>2438</v>
      </c>
      <c r="E22" s="2097" t="s">
        <v>10653</v>
      </c>
      <c r="F22" s="2096">
        <v>3658</v>
      </c>
      <c r="G22" s="2097" t="s">
        <v>10654</v>
      </c>
      <c r="H22" s="2096">
        <v>6096</v>
      </c>
    </row>
    <row r="23" spans="1:8" ht="16.5" customHeight="1">
      <c r="A23" s="2097" t="s">
        <v>10655</v>
      </c>
      <c r="B23" s="2096">
        <v>1702</v>
      </c>
      <c r="C23" s="2097" t="s">
        <v>10656</v>
      </c>
      <c r="D23" s="2096">
        <v>2515</v>
      </c>
      <c r="E23" s="2097" t="s">
        <v>10657</v>
      </c>
      <c r="F23" s="2096">
        <v>3708</v>
      </c>
      <c r="G23" s="2097" t="s">
        <v>10658</v>
      </c>
      <c r="H23" s="2096">
        <v>6706</v>
      </c>
    </row>
    <row r="24" spans="1:8" ht="16.5" customHeight="1">
      <c r="A24" s="2097" t="s">
        <v>10659</v>
      </c>
      <c r="B24" s="2096">
        <v>1727</v>
      </c>
      <c r="C24" s="2097" t="s">
        <v>7769</v>
      </c>
      <c r="D24" s="2096">
        <v>2565</v>
      </c>
      <c r="E24" s="2097" t="s">
        <v>10660</v>
      </c>
      <c r="F24" s="2096">
        <v>3759</v>
      </c>
      <c r="G24" s="2097" t="s">
        <v>10661</v>
      </c>
      <c r="H24" s="2096">
        <v>7112</v>
      </c>
    </row>
    <row r="25" spans="1:8" ht="16.5" customHeight="1">
      <c r="A25" s="2097" t="s">
        <v>10662</v>
      </c>
      <c r="B25" s="2096">
        <v>1753</v>
      </c>
      <c r="C25" s="2097" t="s">
        <v>7768</v>
      </c>
      <c r="D25" s="2096">
        <v>2591</v>
      </c>
      <c r="E25" s="2097" t="s">
        <v>10663</v>
      </c>
      <c r="F25" s="2096">
        <v>3785</v>
      </c>
      <c r="G25" s="2097" t="s">
        <v>10664</v>
      </c>
      <c r="H25" s="2096">
        <v>7493</v>
      </c>
    </row>
    <row r="26" spans="1:8" ht="16.5" customHeight="1">
      <c r="A26" s="2097" t="s">
        <v>10665</v>
      </c>
      <c r="B26" s="2096">
        <v>1778</v>
      </c>
      <c r="C26" s="2097" t="s">
        <v>10666</v>
      </c>
      <c r="D26" s="2096">
        <v>2642</v>
      </c>
      <c r="E26" s="2097" t="s">
        <v>10667</v>
      </c>
      <c r="F26" s="2096">
        <v>3810</v>
      </c>
      <c r="G26" s="2097" t="s">
        <v>10668</v>
      </c>
      <c r="H26" s="2096">
        <v>8128</v>
      </c>
    </row>
    <row r="27" spans="1:8" ht="16.5" customHeight="1">
      <c r="A27" s="2097" t="s">
        <v>10669</v>
      </c>
      <c r="B27" s="2096">
        <v>1803</v>
      </c>
      <c r="C27" s="2097" t="s">
        <v>10670</v>
      </c>
      <c r="D27" s="2096">
        <v>2667</v>
      </c>
      <c r="E27" s="2097" t="s">
        <v>10671</v>
      </c>
      <c r="F27" s="2096">
        <v>3861</v>
      </c>
      <c r="G27" s="2097" t="s">
        <v>10672</v>
      </c>
      <c r="H27" s="2096">
        <v>8331</v>
      </c>
    </row>
    <row r="28" spans="1:8" ht="16.5" customHeight="1">
      <c r="A28" s="2097" t="s">
        <v>10673</v>
      </c>
      <c r="B28" s="2096">
        <v>1829</v>
      </c>
      <c r="C28" s="2097" t="s">
        <v>10674</v>
      </c>
      <c r="D28" s="2096">
        <v>2692</v>
      </c>
      <c r="E28" s="2097" t="s">
        <v>10675</v>
      </c>
      <c r="F28" s="2096">
        <v>3886</v>
      </c>
      <c r="G28" s="2097" t="s">
        <v>10676</v>
      </c>
      <c r="H28" s="2096">
        <v>10617</v>
      </c>
    </row>
    <row r="29" spans="1:8" ht="16.5" customHeight="1">
      <c r="A29" s="2097" t="s">
        <v>10677</v>
      </c>
      <c r="B29" s="2096">
        <v>1880</v>
      </c>
      <c r="C29" s="2097" t="s">
        <v>10678</v>
      </c>
      <c r="D29" s="2096">
        <v>2743</v>
      </c>
      <c r="E29" s="2097" t="s">
        <v>10679</v>
      </c>
      <c r="F29" s="2096">
        <v>4013</v>
      </c>
      <c r="G29" s="2097" t="s">
        <v>10680</v>
      </c>
      <c r="H29" s="2096">
        <v>16713</v>
      </c>
    </row>
  </sheetData>
  <phoneticPr fontId="214" type="noConversion"/>
  <pageMargins left="0.75" right="0.75" top="1" bottom="1" header="0.5" footer="0.5"/>
  <headerFooter scaleWithDoc="0" alignWithMargins="0"/>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03"/>
  <dimension ref="A1:H34"/>
  <sheetViews>
    <sheetView workbookViewId="0">
      <selection activeCell="I1" sqref="I1"/>
    </sheetView>
  </sheetViews>
  <sheetFormatPr defaultColWidth="8.75" defaultRowHeight="14.25"/>
  <cols>
    <col min="1" max="8" width="11.375" style="105" customWidth="1"/>
    <col min="9" max="16384" width="8.75" style="105"/>
  </cols>
  <sheetData>
    <row r="1" spans="1:8">
      <c r="A1" s="5168"/>
      <c r="B1" s="5169"/>
      <c r="C1" s="5169"/>
      <c r="D1" s="5170"/>
      <c r="E1" s="2081"/>
      <c r="F1" s="2082"/>
      <c r="G1" s="2082"/>
      <c r="H1" s="2083"/>
    </row>
    <row r="2" spans="1:8">
      <c r="A2" s="5171"/>
      <c r="B2" s="5172"/>
      <c r="C2" s="5172"/>
      <c r="D2" s="5173"/>
      <c r="E2" s="2087" t="s">
        <v>10681</v>
      </c>
      <c r="F2" s="2087" t="s">
        <v>10682</v>
      </c>
      <c r="H2" s="2088"/>
    </row>
    <row r="3" spans="1:8">
      <c r="A3" s="5171"/>
      <c r="B3" s="5172"/>
      <c r="C3" s="5172"/>
      <c r="D3" s="5173"/>
      <c r="E3" s="2087" t="s">
        <v>10683</v>
      </c>
      <c r="F3" s="2087" t="s">
        <v>10684</v>
      </c>
      <c r="H3" s="2088"/>
    </row>
    <row r="4" spans="1:8">
      <c r="A4" s="5174"/>
      <c r="B4" s="5175"/>
      <c r="C4" s="5175"/>
      <c r="D4" s="5176"/>
      <c r="E4" s="2092" t="s">
        <v>10585</v>
      </c>
      <c r="F4" s="2092" t="s">
        <v>10685</v>
      </c>
      <c r="G4" s="2093"/>
      <c r="H4" s="2094"/>
    </row>
    <row r="5" spans="1:8">
      <c r="A5" s="2095" t="s">
        <v>437</v>
      </c>
      <c r="B5" s="2096" t="s">
        <v>10587</v>
      </c>
      <c r="C5" s="2095" t="s">
        <v>437</v>
      </c>
      <c r="D5" s="2096" t="s">
        <v>10587</v>
      </c>
      <c r="E5" s="2095" t="s">
        <v>437</v>
      </c>
      <c r="F5" s="2096" t="s">
        <v>10587</v>
      </c>
      <c r="G5" s="2095" t="s">
        <v>437</v>
      </c>
      <c r="H5" s="2096" t="s">
        <v>10587</v>
      </c>
    </row>
    <row r="6" spans="1:8">
      <c r="A6" s="2097" t="s">
        <v>10686</v>
      </c>
      <c r="B6" s="2096">
        <v>584</v>
      </c>
      <c r="C6" s="2097" t="s">
        <v>10687</v>
      </c>
      <c r="D6" s="2096">
        <v>1321</v>
      </c>
      <c r="E6" s="2097" t="s">
        <v>10688</v>
      </c>
      <c r="F6" s="2096">
        <v>2261</v>
      </c>
      <c r="G6" s="2097" t="s">
        <v>10689</v>
      </c>
      <c r="H6" s="2096">
        <v>3353</v>
      </c>
    </row>
    <row r="7" spans="1:8">
      <c r="A7" s="2097" t="s">
        <v>10690</v>
      </c>
      <c r="B7" s="2096">
        <v>610</v>
      </c>
      <c r="C7" s="2097" t="s">
        <v>10691</v>
      </c>
      <c r="D7" s="2096">
        <v>1346</v>
      </c>
      <c r="E7" s="2097" t="s">
        <v>10692</v>
      </c>
      <c r="F7" s="2096">
        <v>2286</v>
      </c>
      <c r="G7" s="2097" t="s">
        <v>10693</v>
      </c>
      <c r="H7" s="2096">
        <v>3454</v>
      </c>
    </row>
    <row r="8" spans="1:8">
      <c r="A8" s="2097" t="s">
        <v>10694</v>
      </c>
      <c r="B8" s="2096">
        <v>635</v>
      </c>
      <c r="C8" s="2097" t="s">
        <v>10695</v>
      </c>
      <c r="D8" s="2096">
        <v>1359</v>
      </c>
      <c r="E8" s="2097" t="s">
        <v>10696</v>
      </c>
      <c r="F8" s="2096">
        <v>2311</v>
      </c>
      <c r="G8" s="2097" t="s">
        <v>10697</v>
      </c>
      <c r="H8" s="2096">
        <v>3556</v>
      </c>
    </row>
    <row r="9" spans="1:8">
      <c r="A9" s="2097" t="s">
        <v>10698</v>
      </c>
      <c r="B9" s="2096">
        <v>660</v>
      </c>
      <c r="C9" s="2097" t="s">
        <v>10699</v>
      </c>
      <c r="D9" s="2096">
        <v>1397</v>
      </c>
      <c r="E9" s="2097" t="s">
        <v>10700</v>
      </c>
      <c r="F9" s="2096">
        <v>2337</v>
      </c>
      <c r="G9" s="2097" t="s">
        <v>10701</v>
      </c>
      <c r="H9" s="2096">
        <v>3607</v>
      </c>
    </row>
    <row r="10" spans="1:8">
      <c r="A10" s="2097" t="s">
        <v>10702</v>
      </c>
      <c r="B10" s="2096">
        <v>673</v>
      </c>
      <c r="C10" s="2097" t="s">
        <v>10703</v>
      </c>
      <c r="D10" s="2096">
        <v>1422</v>
      </c>
      <c r="E10" s="2097" t="s">
        <v>10704</v>
      </c>
      <c r="F10" s="2096">
        <v>2362</v>
      </c>
      <c r="G10" s="2097" t="s">
        <v>10705</v>
      </c>
      <c r="H10" s="2096">
        <v>3708</v>
      </c>
    </row>
    <row r="11" spans="1:8">
      <c r="A11" s="2097" t="s">
        <v>10706</v>
      </c>
      <c r="B11" s="2096">
        <v>686</v>
      </c>
      <c r="C11" s="2097" t="s">
        <v>10707</v>
      </c>
      <c r="D11" s="2096">
        <v>1448</v>
      </c>
      <c r="E11" s="2097" t="s">
        <v>10708</v>
      </c>
      <c r="F11" s="2096">
        <v>2388</v>
      </c>
      <c r="G11" s="2097" t="s">
        <v>10709</v>
      </c>
      <c r="H11" s="2096">
        <v>3810</v>
      </c>
    </row>
    <row r="12" spans="1:8">
      <c r="A12" s="2097" t="s">
        <v>10710</v>
      </c>
      <c r="B12" s="2096">
        <v>711</v>
      </c>
      <c r="C12" s="2097" t="s">
        <v>10711</v>
      </c>
      <c r="D12" s="2096">
        <v>1473</v>
      </c>
      <c r="E12" s="2097" t="s">
        <v>10712</v>
      </c>
      <c r="F12" s="2096">
        <v>2400</v>
      </c>
      <c r="G12" s="2097" t="s">
        <v>10713</v>
      </c>
      <c r="H12" s="2096">
        <v>3835</v>
      </c>
    </row>
    <row r="13" spans="1:8">
      <c r="A13" s="2097" t="s">
        <v>10714</v>
      </c>
      <c r="B13" s="2096">
        <v>737</v>
      </c>
      <c r="C13" s="2097" t="s">
        <v>10715</v>
      </c>
      <c r="D13" s="2096">
        <v>1499</v>
      </c>
      <c r="E13" s="2097" t="s">
        <v>10716</v>
      </c>
      <c r="F13" s="2096">
        <v>2413</v>
      </c>
      <c r="G13" s="2097" t="s">
        <v>10717</v>
      </c>
      <c r="H13" s="2096">
        <v>3861</v>
      </c>
    </row>
    <row r="14" spans="1:8">
      <c r="A14" s="2097" t="s">
        <v>10718</v>
      </c>
      <c r="B14" s="2096">
        <v>787</v>
      </c>
      <c r="C14" s="2097" t="s">
        <v>10719</v>
      </c>
      <c r="D14" s="2096">
        <v>1524</v>
      </c>
      <c r="E14" s="2097" t="s">
        <v>10720</v>
      </c>
      <c r="F14" s="2096">
        <v>2438</v>
      </c>
      <c r="G14" s="2097" t="s">
        <v>10721</v>
      </c>
      <c r="H14" s="2096">
        <v>3937</v>
      </c>
    </row>
    <row r="15" spans="1:8">
      <c r="A15" s="2097" t="s">
        <v>10722</v>
      </c>
      <c r="B15" s="2096">
        <v>813</v>
      </c>
      <c r="C15" s="2097" t="s">
        <v>10723</v>
      </c>
      <c r="D15" s="2096">
        <v>1575</v>
      </c>
      <c r="E15" s="2097" t="s">
        <v>10724</v>
      </c>
      <c r="F15" s="2096">
        <v>2451</v>
      </c>
      <c r="G15" s="2097" t="s">
        <v>10725</v>
      </c>
      <c r="H15" s="2096">
        <v>4013</v>
      </c>
    </row>
    <row r="16" spans="1:8">
      <c r="A16" s="2097" t="s">
        <v>10726</v>
      </c>
      <c r="B16" s="2096">
        <v>838</v>
      </c>
      <c r="C16" s="2097" t="s">
        <v>10727</v>
      </c>
      <c r="D16" s="2096">
        <v>1600</v>
      </c>
      <c r="E16" s="2097" t="s">
        <v>10728</v>
      </c>
      <c r="F16" s="2096">
        <v>2489</v>
      </c>
      <c r="G16" s="2097" t="s">
        <v>10729</v>
      </c>
      <c r="H16" s="2096">
        <v>4064</v>
      </c>
    </row>
    <row r="17" spans="1:8">
      <c r="A17" s="2097" t="s">
        <v>10730</v>
      </c>
      <c r="B17" s="2096">
        <v>876</v>
      </c>
      <c r="C17" s="2097" t="s">
        <v>10731</v>
      </c>
      <c r="D17" s="2096">
        <v>1626</v>
      </c>
      <c r="E17" s="2097" t="s">
        <v>10732</v>
      </c>
      <c r="F17" s="2096">
        <v>2515</v>
      </c>
      <c r="G17" s="2097" t="s">
        <v>10733</v>
      </c>
      <c r="H17" s="2096">
        <v>4115</v>
      </c>
    </row>
    <row r="18" spans="1:8">
      <c r="A18" s="2097" t="s">
        <v>10734</v>
      </c>
      <c r="B18" s="2096">
        <v>889</v>
      </c>
      <c r="C18" s="2097" t="s">
        <v>10735</v>
      </c>
      <c r="D18" s="2096">
        <v>1651</v>
      </c>
      <c r="E18" s="2097" t="s">
        <v>10736</v>
      </c>
      <c r="F18" s="2096">
        <v>2565</v>
      </c>
      <c r="G18" s="2097" t="s">
        <v>10737</v>
      </c>
      <c r="H18" s="2096">
        <v>4166</v>
      </c>
    </row>
    <row r="19" spans="1:8">
      <c r="A19" s="2097" t="s">
        <v>10738</v>
      </c>
      <c r="B19" s="2096">
        <v>940</v>
      </c>
      <c r="C19" s="2097" t="s">
        <v>10739</v>
      </c>
      <c r="D19" s="2096">
        <v>1676</v>
      </c>
      <c r="E19" s="2097" t="s">
        <v>10740</v>
      </c>
      <c r="F19" s="2096">
        <v>2616</v>
      </c>
      <c r="G19" s="2097" t="s">
        <v>10741</v>
      </c>
      <c r="H19" s="2096">
        <v>4242</v>
      </c>
    </row>
    <row r="20" spans="1:8">
      <c r="A20" s="2097" t="s">
        <v>10742</v>
      </c>
      <c r="B20" s="2096">
        <v>953</v>
      </c>
      <c r="C20" s="2097" t="s">
        <v>10743</v>
      </c>
      <c r="D20" s="2096">
        <v>1702</v>
      </c>
      <c r="E20" s="2097" t="s">
        <v>10744</v>
      </c>
      <c r="F20" s="2096">
        <v>2642</v>
      </c>
      <c r="G20" s="2097" t="s">
        <v>10745</v>
      </c>
      <c r="H20" s="2096">
        <v>4267</v>
      </c>
    </row>
    <row r="21" spans="1:8">
      <c r="A21" s="2097" t="s">
        <v>10746</v>
      </c>
      <c r="B21" s="2096">
        <v>965</v>
      </c>
      <c r="C21" s="2097" t="s">
        <v>10747</v>
      </c>
      <c r="D21" s="2096">
        <v>1727</v>
      </c>
      <c r="E21" s="2097" t="s">
        <v>10748</v>
      </c>
      <c r="F21" s="2096">
        <v>2692</v>
      </c>
      <c r="G21" s="2097" t="s">
        <v>10749</v>
      </c>
      <c r="H21" s="2096">
        <v>4394</v>
      </c>
    </row>
    <row r="22" spans="1:8">
      <c r="A22" s="2097" t="s">
        <v>10750</v>
      </c>
      <c r="B22" s="2096">
        <v>991</v>
      </c>
      <c r="C22" s="2097" t="s">
        <v>10751</v>
      </c>
      <c r="D22" s="2096">
        <v>1765</v>
      </c>
      <c r="E22" s="2097" t="s">
        <v>10752</v>
      </c>
      <c r="F22" s="2096">
        <v>2743</v>
      </c>
      <c r="G22" s="2097" t="s">
        <v>10753</v>
      </c>
      <c r="H22" s="2096">
        <v>4547</v>
      </c>
    </row>
    <row r="23" spans="1:8">
      <c r="A23" s="2097" t="s">
        <v>10754</v>
      </c>
      <c r="B23" s="2096">
        <v>1016</v>
      </c>
      <c r="C23" s="2097" t="s">
        <v>10755</v>
      </c>
      <c r="D23" s="2096">
        <v>1778</v>
      </c>
      <c r="E23" s="2097" t="s">
        <v>10756</v>
      </c>
      <c r="F23" s="2096">
        <v>2769</v>
      </c>
      <c r="G23" s="2097" t="s">
        <v>10757</v>
      </c>
      <c r="H23" s="2096">
        <v>4572</v>
      </c>
    </row>
    <row r="24" spans="1:8">
      <c r="A24" s="2097" t="s">
        <v>10758</v>
      </c>
      <c r="B24" s="2096">
        <v>1041</v>
      </c>
      <c r="C24" s="2097" t="s">
        <v>10759</v>
      </c>
      <c r="D24" s="2096">
        <v>1803</v>
      </c>
      <c r="E24" s="2097" t="s">
        <v>10760</v>
      </c>
      <c r="F24" s="2096">
        <v>2794</v>
      </c>
      <c r="G24" s="2097" t="s">
        <v>10761</v>
      </c>
      <c r="H24" s="2096">
        <v>4750</v>
      </c>
    </row>
    <row r="25" spans="1:8">
      <c r="A25" s="2097" t="s">
        <v>10762</v>
      </c>
      <c r="B25" s="2096">
        <v>1054</v>
      </c>
      <c r="C25" s="2097" t="s">
        <v>10763</v>
      </c>
      <c r="D25" s="2096">
        <v>1854</v>
      </c>
      <c r="E25" s="2097" t="s">
        <v>10764</v>
      </c>
      <c r="F25" s="2096">
        <v>2819</v>
      </c>
      <c r="G25" s="2097" t="s">
        <v>10765</v>
      </c>
      <c r="H25" s="2096">
        <v>4851</v>
      </c>
    </row>
    <row r="26" spans="1:8">
      <c r="A26" s="2097" t="s">
        <v>10766</v>
      </c>
      <c r="B26" s="2096">
        <v>1067</v>
      </c>
      <c r="C26" s="2097" t="s">
        <v>10767</v>
      </c>
      <c r="D26" s="2096">
        <v>1880</v>
      </c>
      <c r="E26" s="2097" t="s">
        <v>10768</v>
      </c>
      <c r="F26" s="2096">
        <v>2896</v>
      </c>
      <c r="G26" s="2097" t="s">
        <v>10769</v>
      </c>
      <c r="H26" s="2096">
        <v>5283</v>
      </c>
    </row>
    <row r="27" spans="1:8">
      <c r="A27" s="2097" t="s">
        <v>10770</v>
      </c>
      <c r="B27" s="2096">
        <v>1092</v>
      </c>
      <c r="C27" s="2097" t="s">
        <v>10771</v>
      </c>
      <c r="D27" s="2096">
        <v>1981</v>
      </c>
      <c r="E27" s="2097" t="s">
        <v>10772</v>
      </c>
      <c r="F27" s="2096">
        <v>2946</v>
      </c>
      <c r="G27" s="2097" t="s">
        <v>10773</v>
      </c>
      <c r="H27" s="2096">
        <v>5740</v>
      </c>
    </row>
    <row r="28" spans="1:8">
      <c r="A28" s="2097" t="s">
        <v>10774</v>
      </c>
      <c r="B28" s="2096">
        <v>1118</v>
      </c>
      <c r="C28" s="2097" t="s">
        <v>10775</v>
      </c>
      <c r="D28" s="2096">
        <v>2007</v>
      </c>
      <c r="E28" s="2097" t="s">
        <v>10776</v>
      </c>
      <c r="F28" s="2096">
        <v>2972</v>
      </c>
      <c r="G28" s="2097" t="s">
        <v>10777</v>
      </c>
      <c r="H28" s="2096">
        <v>5994</v>
      </c>
    </row>
    <row r="29" spans="1:8">
      <c r="A29" s="2097" t="s">
        <v>10778</v>
      </c>
      <c r="B29" s="2096">
        <v>1143</v>
      </c>
      <c r="C29" s="2097" t="s">
        <v>10779</v>
      </c>
      <c r="D29" s="2096">
        <v>2057</v>
      </c>
      <c r="E29" s="2097" t="s">
        <v>10780</v>
      </c>
      <c r="F29" s="2096">
        <v>2997</v>
      </c>
      <c r="G29" s="2097" t="s">
        <v>10781</v>
      </c>
      <c r="H29" s="2096">
        <v>6045</v>
      </c>
    </row>
    <row r="30" spans="1:8">
      <c r="A30" s="2097" t="s">
        <v>10782</v>
      </c>
      <c r="B30" s="2096">
        <v>1156</v>
      </c>
      <c r="C30" s="2097" t="s">
        <v>10783</v>
      </c>
      <c r="D30" s="2096">
        <v>2083</v>
      </c>
      <c r="E30" s="2097" t="s">
        <v>10784</v>
      </c>
      <c r="F30" s="2096">
        <v>3023</v>
      </c>
      <c r="G30" s="2097" t="s">
        <v>10754</v>
      </c>
      <c r="H30" s="2096">
        <v>6096</v>
      </c>
    </row>
    <row r="31" spans="1:8">
      <c r="A31" s="2097" t="s">
        <v>10785</v>
      </c>
      <c r="B31" s="2096">
        <v>1168</v>
      </c>
      <c r="C31" s="2097" t="s">
        <v>10786</v>
      </c>
      <c r="D31" s="2096">
        <v>2108</v>
      </c>
      <c r="E31" s="2097" t="s">
        <v>10787</v>
      </c>
      <c r="F31" s="2096">
        <v>3048</v>
      </c>
      <c r="G31" s="2097" t="s">
        <v>10788</v>
      </c>
      <c r="H31" s="2096">
        <v>6299</v>
      </c>
    </row>
    <row r="32" spans="1:8">
      <c r="A32" s="2097" t="s">
        <v>10789</v>
      </c>
      <c r="B32" s="2096">
        <v>1219</v>
      </c>
      <c r="C32" s="2097" t="s">
        <v>10790</v>
      </c>
      <c r="D32" s="2096">
        <v>2159</v>
      </c>
      <c r="E32" s="2097" t="s">
        <v>10791</v>
      </c>
      <c r="F32" s="2096">
        <v>3175</v>
      </c>
      <c r="G32" s="2097" t="s">
        <v>10792</v>
      </c>
      <c r="H32" s="2096">
        <v>7112</v>
      </c>
    </row>
    <row r="33" spans="1:8">
      <c r="A33" s="2097" t="s">
        <v>10793</v>
      </c>
      <c r="B33" s="2096">
        <v>1245</v>
      </c>
      <c r="C33" s="2097" t="s">
        <v>10794</v>
      </c>
      <c r="D33" s="2096">
        <v>2184</v>
      </c>
      <c r="E33" s="2097" t="s">
        <v>10795</v>
      </c>
      <c r="F33" s="2096">
        <v>3200</v>
      </c>
      <c r="G33" s="2097" t="s">
        <v>10796</v>
      </c>
      <c r="H33" s="2096">
        <v>7569</v>
      </c>
    </row>
    <row r="34" spans="1:8">
      <c r="A34" s="2097" t="s">
        <v>10797</v>
      </c>
      <c r="B34" s="2096">
        <v>1270</v>
      </c>
      <c r="C34" s="2097" t="s">
        <v>10798</v>
      </c>
      <c r="D34" s="2096">
        <v>2235</v>
      </c>
      <c r="E34" s="2097" t="s">
        <v>10799</v>
      </c>
      <c r="F34" s="2096">
        <v>3251</v>
      </c>
      <c r="G34" s="2097" t="s">
        <v>10800</v>
      </c>
      <c r="H34" s="2096">
        <v>8763</v>
      </c>
    </row>
  </sheetData>
  <mergeCells count="1">
    <mergeCell ref="A1:D4"/>
  </mergeCells>
  <phoneticPr fontId="214" type="noConversion"/>
  <pageMargins left="0.75" right="0.75" top="1" bottom="1" header="0.5" footer="0.5"/>
  <headerFooter scaleWithDoc="0" alignWithMargins="0"/>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04"/>
  <dimension ref="A1:H35"/>
  <sheetViews>
    <sheetView workbookViewId="0">
      <selection activeCell="I1" sqref="I1"/>
    </sheetView>
  </sheetViews>
  <sheetFormatPr defaultColWidth="8.75" defaultRowHeight="14.25"/>
  <cols>
    <col min="1" max="4" width="8.75" style="105"/>
    <col min="5" max="5" width="10.875" style="105" customWidth="1"/>
    <col min="6" max="16384" width="8.75" style="105"/>
  </cols>
  <sheetData>
    <row r="1" spans="1:8">
      <c r="A1" s="5168"/>
      <c r="B1" s="5169"/>
      <c r="C1" s="5169"/>
      <c r="D1" s="5170"/>
      <c r="E1" s="2081"/>
      <c r="F1" s="2082"/>
      <c r="G1" s="2082"/>
      <c r="H1" s="2083"/>
    </row>
    <row r="2" spans="1:8">
      <c r="A2" s="5171"/>
      <c r="B2" s="5172"/>
      <c r="C2" s="5172"/>
      <c r="D2" s="5173"/>
      <c r="E2" s="2086" t="s">
        <v>10801</v>
      </c>
      <c r="F2" s="2087" t="s">
        <v>10802</v>
      </c>
      <c r="H2" s="2088"/>
    </row>
    <row r="3" spans="1:8">
      <c r="A3" s="5171"/>
      <c r="B3" s="5172"/>
      <c r="C3" s="5172"/>
      <c r="D3" s="5173"/>
      <c r="E3" s="2086" t="s">
        <v>10803</v>
      </c>
      <c r="F3" s="2087" t="s">
        <v>10804</v>
      </c>
      <c r="H3" s="2088"/>
    </row>
    <row r="4" spans="1:8">
      <c r="A4" s="5174"/>
      <c r="B4" s="5175"/>
      <c r="C4" s="5175"/>
      <c r="D4" s="5176"/>
      <c r="E4" s="2091" t="s">
        <v>10585</v>
      </c>
      <c r="F4" s="2092" t="s">
        <v>10805</v>
      </c>
      <c r="G4" s="2093"/>
      <c r="H4" s="2094"/>
    </row>
    <row r="5" spans="1:8">
      <c r="A5" s="2095" t="s">
        <v>437</v>
      </c>
      <c r="B5" s="2096" t="s">
        <v>10587</v>
      </c>
      <c r="C5" s="2095" t="s">
        <v>437</v>
      </c>
      <c r="D5" s="2096" t="s">
        <v>10587</v>
      </c>
      <c r="E5" s="2095" t="s">
        <v>437</v>
      </c>
      <c r="F5" s="2096" t="s">
        <v>10587</v>
      </c>
      <c r="G5" s="2095" t="s">
        <v>437</v>
      </c>
      <c r="H5" s="2096" t="s">
        <v>10587</v>
      </c>
    </row>
    <row r="6" spans="1:8">
      <c r="A6" s="2097" t="s">
        <v>10806</v>
      </c>
      <c r="B6" s="2096">
        <v>381</v>
      </c>
      <c r="C6" s="2097" t="s">
        <v>10807</v>
      </c>
      <c r="D6" s="2096">
        <v>1067</v>
      </c>
      <c r="E6" s="2097" t="s">
        <v>10808</v>
      </c>
      <c r="F6" s="2096">
        <v>1829</v>
      </c>
      <c r="G6" s="2097" t="s">
        <v>10809</v>
      </c>
      <c r="H6" s="2096">
        <v>2438</v>
      </c>
    </row>
    <row r="7" spans="1:8">
      <c r="A7" s="2097" t="s">
        <v>10810</v>
      </c>
      <c r="B7" s="2096">
        <v>457</v>
      </c>
      <c r="C7" s="2097" t="s">
        <v>10811</v>
      </c>
      <c r="D7" s="2096">
        <v>1092</v>
      </c>
      <c r="E7" s="2097" t="s">
        <v>10812</v>
      </c>
      <c r="F7" s="2096">
        <v>1880</v>
      </c>
      <c r="G7" s="2097" t="s">
        <v>10813</v>
      </c>
      <c r="H7" s="2096">
        <v>2489</v>
      </c>
    </row>
    <row r="8" spans="1:8">
      <c r="A8" s="2097" t="s">
        <v>3736</v>
      </c>
      <c r="B8" s="2096">
        <v>508</v>
      </c>
      <c r="C8" s="2097" t="s">
        <v>10814</v>
      </c>
      <c r="D8" s="2096">
        <v>1105</v>
      </c>
      <c r="E8" s="2097" t="s">
        <v>10815</v>
      </c>
      <c r="F8" s="2096">
        <v>1905</v>
      </c>
      <c r="G8" s="2097" t="s">
        <v>2559</v>
      </c>
      <c r="H8" s="2096">
        <v>2515</v>
      </c>
    </row>
    <row r="9" spans="1:8">
      <c r="A9" s="2097" t="s">
        <v>10816</v>
      </c>
      <c r="B9" s="2096">
        <v>559</v>
      </c>
      <c r="C9" s="2097" t="s">
        <v>10817</v>
      </c>
      <c r="D9" s="2096">
        <v>1118</v>
      </c>
      <c r="E9" s="2097" t="s">
        <v>10818</v>
      </c>
      <c r="F9" s="2096">
        <v>1930</v>
      </c>
      <c r="G9" s="2097" t="s">
        <v>10819</v>
      </c>
      <c r="H9" s="2096">
        <v>2565</v>
      </c>
    </row>
    <row r="10" spans="1:8">
      <c r="A10" s="2097" t="s">
        <v>10820</v>
      </c>
      <c r="B10" s="2096">
        <v>584</v>
      </c>
      <c r="C10" s="2097" t="s">
        <v>10821</v>
      </c>
      <c r="D10" s="2096">
        <v>1143</v>
      </c>
      <c r="E10" s="2097" t="s">
        <v>10822</v>
      </c>
      <c r="F10" s="2096">
        <v>1956</v>
      </c>
      <c r="G10" s="2097" t="s">
        <v>10823</v>
      </c>
      <c r="H10" s="2096">
        <v>2591</v>
      </c>
    </row>
    <row r="11" spans="1:8">
      <c r="A11" s="2097" t="s">
        <v>10824</v>
      </c>
      <c r="B11" s="2096">
        <v>597</v>
      </c>
      <c r="C11" s="2097" t="s">
        <v>10825</v>
      </c>
      <c r="D11" s="2096">
        <v>1156</v>
      </c>
      <c r="E11" s="2097" t="s">
        <v>10826</v>
      </c>
      <c r="F11" s="2096">
        <v>1727</v>
      </c>
      <c r="G11" s="2097" t="s">
        <v>10827</v>
      </c>
      <c r="H11" s="2096">
        <v>2616</v>
      </c>
    </row>
    <row r="12" spans="1:8">
      <c r="A12" s="2097" t="s">
        <v>10828</v>
      </c>
      <c r="B12" s="2096">
        <v>610</v>
      </c>
      <c r="C12" s="2097" t="s">
        <v>10829</v>
      </c>
      <c r="D12" s="2096">
        <v>1168</v>
      </c>
      <c r="E12" s="2097" t="s">
        <v>10830</v>
      </c>
      <c r="F12" s="2096">
        <v>1753</v>
      </c>
      <c r="G12" s="2097" t="s">
        <v>10831</v>
      </c>
      <c r="H12" s="2096">
        <v>2642</v>
      </c>
    </row>
    <row r="13" spans="1:8">
      <c r="A13" s="2097" t="s">
        <v>10832</v>
      </c>
      <c r="B13" s="2096">
        <v>635</v>
      </c>
      <c r="C13" s="2097" t="s">
        <v>10833</v>
      </c>
      <c r="D13" s="2096">
        <v>1181</v>
      </c>
      <c r="E13" s="2097" t="s">
        <v>10834</v>
      </c>
      <c r="F13" s="2096">
        <v>1778</v>
      </c>
      <c r="G13" s="2097" t="s">
        <v>10835</v>
      </c>
      <c r="H13" s="2096">
        <v>2667</v>
      </c>
    </row>
    <row r="14" spans="1:8">
      <c r="A14" s="2097" t="s">
        <v>10836</v>
      </c>
      <c r="B14" s="2096">
        <v>660</v>
      </c>
      <c r="C14" s="2097" t="s">
        <v>10837</v>
      </c>
      <c r="D14" s="2096">
        <v>1194</v>
      </c>
      <c r="E14" s="2097" t="s">
        <v>10838</v>
      </c>
      <c r="F14" s="2096">
        <v>1803</v>
      </c>
      <c r="G14" s="2097" t="s">
        <v>10839</v>
      </c>
      <c r="H14" s="2096">
        <v>2718</v>
      </c>
    </row>
    <row r="15" spans="1:8">
      <c r="A15" s="2097" t="s">
        <v>10840</v>
      </c>
      <c r="B15" s="2096">
        <v>686</v>
      </c>
      <c r="C15" s="2097" t="s">
        <v>10841</v>
      </c>
      <c r="D15" s="2096">
        <v>1219</v>
      </c>
      <c r="E15" s="2097" t="s">
        <v>10842</v>
      </c>
      <c r="F15" s="2096">
        <v>1854</v>
      </c>
      <c r="G15" s="2097" t="s">
        <v>10843</v>
      </c>
      <c r="H15" s="2096">
        <v>2743</v>
      </c>
    </row>
    <row r="16" spans="1:8">
      <c r="A16" s="2097" t="s">
        <v>10844</v>
      </c>
      <c r="B16" s="2096">
        <v>711</v>
      </c>
      <c r="C16" s="2097" t="s">
        <v>10845</v>
      </c>
      <c r="D16" s="2096">
        <v>1245</v>
      </c>
      <c r="E16" s="2097" t="s">
        <v>10846</v>
      </c>
      <c r="F16" s="2096">
        <v>1905</v>
      </c>
      <c r="G16" s="2097" t="s">
        <v>10847</v>
      </c>
      <c r="H16" s="2096">
        <v>2794</v>
      </c>
    </row>
    <row r="17" spans="1:8">
      <c r="A17" s="2097" t="s">
        <v>10848</v>
      </c>
      <c r="B17" s="2096">
        <v>737</v>
      </c>
      <c r="C17" s="2097" t="s">
        <v>10849</v>
      </c>
      <c r="D17" s="2096">
        <v>1270</v>
      </c>
      <c r="E17" s="2097" t="s">
        <v>10850</v>
      </c>
      <c r="F17" s="2096">
        <v>1930</v>
      </c>
      <c r="G17" s="2097" t="s">
        <v>10851</v>
      </c>
      <c r="H17" s="2096">
        <v>2845</v>
      </c>
    </row>
    <row r="18" spans="1:8">
      <c r="A18" s="2097" t="s">
        <v>10852</v>
      </c>
      <c r="B18" s="2096">
        <v>749</v>
      </c>
      <c r="C18" s="2097" t="s">
        <v>10853</v>
      </c>
      <c r="D18" s="2096">
        <v>1295</v>
      </c>
      <c r="E18" s="2097" t="s">
        <v>10854</v>
      </c>
      <c r="F18" s="2096">
        <v>1956</v>
      </c>
      <c r="G18" s="2097" t="s">
        <v>10855</v>
      </c>
      <c r="H18" s="2096">
        <v>2870</v>
      </c>
    </row>
    <row r="19" spans="1:8">
      <c r="A19" s="2097" t="s">
        <v>3742</v>
      </c>
      <c r="B19" s="2096">
        <v>762</v>
      </c>
      <c r="C19" s="2097" t="s">
        <v>10856</v>
      </c>
      <c r="D19" s="2096">
        <v>1321</v>
      </c>
      <c r="E19" s="2097" t="s">
        <v>10857</v>
      </c>
      <c r="F19" s="2096">
        <v>1981</v>
      </c>
      <c r="G19" s="2097" t="s">
        <v>10858</v>
      </c>
      <c r="H19" s="2096">
        <v>2896</v>
      </c>
    </row>
    <row r="20" spans="1:8">
      <c r="A20" s="2097" t="s">
        <v>10859</v>
      </c>
      <c r="B20" s="2096">
        <v>787</v>
      </c>
      <c r="C20" s="2097" t="s">
        <v>10860</v>
      </c>
      <c r="D20" s="2096">
        <v>1346</v>
      </c>
      <c r="E20" s="2097" t="s">
        <v>10861</v>
      </c>
      <c r="F20" s="2096">
        <v>2007</v>
      </c>
      <c r="G20" s="2097" t="s">
        <v>10862</v>
      </c>
      <c r="H20" s="2096">
        <v>2921</v>
      </c>
    </row>
    <row r="21" spans="1:8">
      <c r="A21" s="2097" t="s">
        <v>10863</v>
      </c>
      <c r="B21" s="2096">
        <v>813</v>
      </c>
      <c r="C21" s="2097" t="s">
        <v>10864</v>
      </c>
      <c r="D21" s="2096">
        <v>1397</v>
      </c>
      <c r="E21" s="2097" t="s">
        <v>10865</v>
      </c>
      <c r="F21" s="2096">
        <v>2057</v>
      </c>
      <c r="G21" s="2097" t="s">
        <v>10866</v>
      </c>
      <c r="H21" s="2096">
        <v>2997</v>
      </c>
    </row>
    <row r="22" spans="1:8">
      <c r="A22" s="2097" t="s">
        <v>10867</v>
      </c>
      <c r="B22" s="2096">
        <v>826</v>
      </c>
      <c r="C22" s="2097" t="s">
        <v>10868</v>
      </c>
      <c r="D22" s="2096">
        <v>1422</v>
      </c>
      <c r="E22" s="2097" t="s">
        <v>10869</v>
      </c>
      <c r="F22" s="2096">
        <v>2083</v>
      </c>
      <c r="G22" s="2097" t="s">
        <v>10870</v>
      </c>
      <c r="H22" s="2096">
        <v>3048</v>
      </c>
    </row>
    <row r="23" spans="1:8">
      <c r="A23" s="2097" t="s">
        <v>10871</v>
      </c>
      <c r="B23" s="2096">
        <v>838</v>
      </c>
      <c r="C23" s="2097" t="s">
        <v>10872</v>
      </c>
      <c r="D23" s="2096">
        <v>1448</v>
      </c>
      <c r="E23" s="2097" t="s">
        <v>10842</v>
      </c>
      <c r="F23" s="2096">
        <v>2108</v>
      </c>
      <c r="G23" s="2097" t="s">
        <v>10873</v>
      </c>
      <c r="H23" s="2096">
        <v>3150</v>
      </c>
    </row>
    <row r="24" spans="1:8">
      <c r="A24" s="2097" t="s">
        <v>10874</v>
      </c>
      <c r="B24" s="2096">
        <v>864</v>
      </c>
      <c r="C24" s="2097" t="s">
        <v>10875</v>
      </c>
      <c r="D24" s="2096">
        <v>1473</v>
      </c>
      <c r="E24" s="2097" t="s">
        <v>10876</v>
      </c>
      <c r="F24" s="2096">
        <v>2121</v>
      </c>
      <c r="G24" s="2097" t="s">
        <v>10877</v>
      </c>
      <c r="H24" s="2096">
        <v>3175</v>
      </c>
    </row>
    <row r="25" spans="1:8">
      <c r="A25" s="2097" t="s">
        <v>10878</v>
      </c>
      <c r="B25" s="2096">
        <v>876</v>
      </c>
      <c r="C25" s="2097" t="s">
        <v>10879</v>
      </c>
      <c r="D25" s="2096">
        <v>1499</v>
      </c>
      <c r="E25" s="2097" t="s">
        <v>10880</v>
      </c>
      <c r="F25" s="2096">
        <v>2134</v>
      </c>
      <c r="G25" s="2097" t="s">
        <v>10881</v>
      </c>
      <c r="H25" s="2096">
        <v>3200</v>
      </c>
    </row>
    <row r="26" spans="1:8">
      <c r="A26" s="2097" t="s">
        <v>10882</v>
      </c>
      <c r="B26" s="2096">
        <v>889</v>
      </c>
      <c r="C26" s="2097" t="s">
        <v>10883</v>
      </c>
      <c r="D26" s="2096">
        <v>1524</v>
      </c>
      <c r="E26" s="2097" t="s">
        <v>10884</v>
      </c>
      <c r="F26" s="2096">
        <v>2146</v>
      </c>
      <c r="G26" s="2097" t="s">
        <v>10885</v>
      </c>
      <c r="H26" s="2096">
        <v>3251</v>
      </c>
    </row>
    <row r="27" spans="1:8">
      <c r="A27" s="2097" t="s">
        <v>10886</v>
      </c>
      <c r="B27" s="2096">
        <v>902</v>
      </c>
      <c r="C27" s="2097" t="s">
        <v>10887</v>
      </c>
      <c r="D27" s="2096">
        <v>1549</v>
      </c>
      <c r="E27" s="2097" t="s">
        <v>10846</v>
      </c>
      <c r="F27" s="2096">
        <v>2159</v>
      </c>
      <c r="G27" s="2097" t="s">
        <v>10888</v>
      </c>
      <c r="H27" s="2096">
        <v>3302</v>
      </c>
    </row>
    <row r="28" spans="1:8">
      <c r="A28" s="2097" t="s">
        <v>10889</v>
      </c>
      <c r="B28" s="2096">
        <v>914</v>
      </c>
      <c r="C28" s="2097" t="s">
        <v>10890</v>
      </c>
      <c r="D28" s="2096">
        <v>1575</v>
      </c>
      <c r="E28" s="2097" t="s">
        <v>10850</v>
      </c>
      <c r="F28" s="2096">
        <v>2184</v>
      </c>
      <c r="G28" s="2097" t="s">
        <v>10891</v>
      </c>
      <c r="H28" s="2096">
        <v>3353</v>
      </c>
    </row>
    <row r="29" spans="1:8">
      <c r="A29" s="2097" t="s">
        <v>10892</v>
      </c>
      <c r="B29" s="2096">
        <v>940</v>
      </c>
      <c r="C29" s="2097" t="s">
        <v>10893</v>
      </c>
      <c r="D29" s="2096">
        <v>1600</v>
      </c>
      <c r="E29" s="2097" t="s">
        <v>10854</v>
      </c>
      <c r="F29" s="2096">
        <v>2210</v>
      </c>
      <c r="G29" s="2097" t="s">
        <v>10894</v>
      </c>
      <c r="H29" s="2096">
        <v>3556</v>
      </c>
    </row>
    <row r="30" spans="1:8">
      <c r="A30" s="2097" t="s">
        <v>10895</v>
      </c>
      <c r="B30" s="2096">
        <v>965</v>
      </c>
      <c r="C30" s="2097" t="s">
        <v>10896</v>
      </c>
      <c r="D30" s="2096">
        <v>1651</v>
      </c>
      <c r="E30" s="2097" t="s">
        <v>10861</v>
      </c>
      <c r="F30" s="2096">
        <v>2261</v>
      </c>
      <c r="G30" s="2097" t="s">
        <v>10897</v>
      </c>
      <c r="H30" s="2096">
        <v>3759</v>
      </c>
    </row>
    <row r="31" spans="1:8">
      <c r="A31" s="2097" t="s">
        <v>10898</v>
      </c>
      <c r="B31" s="2096">
        <v>978</v>
      </c>
      <c r="C31" s="2097" t="s">
        <v>10899</v>
      </c>
      <c r="D31" s="2096">
        <v>1676</v>
      </c>
      <c r="E31" s="2097" t="s">
        <v>10900</v>
      </c>
      <c r="F31" s="2096">
        <v>2286</v>
      </c>
      <c r="G31" s="2097" t="s">
        <v>10901</v>
      </c>
      <c r="H31" s="2096">
        <v>3912</v>
      </c>
    </row>
    <row r="32" spans="1:8">
      <c r="A32" s="2097" t="s">
        <v>10902</v>
      </c>
      <c r="B32" s="2096">
        <v>991</v>
      </c>
      <c r="C32" s="2097" t="s">
        <v>10903</v>
      </c>
      <c r="D32" s="2096">
        <v>1702</v>
      </c>
      <c r="E32" s="2097" t="s">
        <v>10865</v>
      </c>
      <c r="F32" s="2096">
        <v>2311</v>
      </c>
      <c r="G32" s="2097" t="s">
        <v>10904</v>
      </c>
      <c r="H32" s="2096">
        <v>4115</v>
      </c>
    </row>
    <row r="33" spans="1:8">
      <c r="A33" s="2097" t="s">
        <v>10905</v>
      </c>
      <c r="B33" s="2096">
        <v>1016</v>
      </c>
      <c r="C33" s="2097" t="s">
        <v>10906</v>
      </c>
      <c r="D33" s="2096">
        <v>1727</v>
      </c>
      <c r="E33" s="2097" t="s">
        <v>10869</v>
      </c>
      <c r="F33" s="2096">
        <v>2337</v>
      </c>
      <c r="G33" s="2097" t="s">
        <v>10907</v>
      </c>
      <c r="H33" s="2096">
        <v>4242</v>
      </c>
    </row>
    <row r="34" spans="1:8">
      <c r="A34" s="2097" t="s">
        <v>10908</v>
      </c>
      <c r="B34" s="2096">
        <v>1041</v>
      </c>
      <c r="C34" s="2097" t="s">
        <v>10909</v>
      </c>
      <c r="D34" s="2096">
        <v>1778</v>
      </c>
      <c r="E34" s="2097" t="s">
        <v>10910</v>
      </c>
      <c r="F34" s="2096">
        <v>2388</v>
      </c>
      <c r="G34" s="2097" t="s">
        <v>10911</v>
      </c>
      <c r="H34" s="2096">
        <v>4877</v>
      </c>
    </row>
    <row r="35" spans="1:8">
      <c r="A35" s="2097" t="s">
        <v>10912</v>
      </c>
      <c r="B35" s="2096">
        <v>1054</v>
      </c>
      <c r="C35" s="2097" t="s">
        <v>10913</v>
      </c>
      <c r="D35" s="2096">
        <v>1803</v>
      </c>
      <c r="E35" s="2097" t="s">
        <v>2566</v>
      </c>
      <c r="F35" s="2096">
        <v>2413</v>
      </c>
      <c r="G35" s="2097" t="s">
        <v>10914</v>
      </c>
      <c r="H35" s="2096">
        <v>5004</v>
      </c>
    </row>
  </sheetData>
  <mergeCells count="1">
    <mergeCell ref="A1:D4"/>
  </mergeCells>
  <phoneticPr fontId="214" type="noConversion"/>
  <pageMargins left="0.75" right="0.75" top="1" bottom="1" header="0.5" footer="0.5"/>
  <pageSetup paperSize="9" orientation="portrait"/>
  <headerFooter scaleWithDoc="0" alignWithMargins="0"/>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05"/>
  <dimension ref="C1"/>
  <sheetViews>
    <sheetView zoomScale="70" zoomScaleNormal="70" workbookViewId="0"/>
  </sheetViews>
  <sheetFormatPr defaultColWidth="8.75" defaultRowHeight="14.25"/>
  <cols>
    <col min="1" max="16384" width="8.75" style="105"/>
  </cols>
  <sheetData>
    <row r="1" spans="3:3" ht="41.25" customHeight="1">
      <c r="C1" s="2077" t="s">
        <v>10915</v>
      </c>
    </row>
  </sheetData>
  <phoneticPr fontId="214" type="noConversion"/>
  <pageMargins left="0.75" right="0.75" top="1" bottom="1" header="0.5" footer="0.5"/>
  <headerFooter scaleWithDoc="0" alignWithMargins="0"/>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06"/>
  <dimension ref="A1:K38"/>
  <sheetViews>
    <sheetView zoomScale="85" zoomScaleNormal="85" workbookViewId="0">
      <selection activeCell="L1" sqref="L1"/>
    </sheetView>
  </sheetViews>
  <sheetFormatPr defaultColWidth="8.75" defaultRowHeight="14.25"/>
  <cols>
    <col min="1" max="3" width="8.75" style="105"/>
    <col min="4" max="4" width="4.75" style="105" customWidth="1"/>
    <col min="5" max="7" width="8.75" style="105"/>
    <col min="8" max="8" width="4.25" style="105" customWidth="1"/>
    <col min="9" max="16384" width="8.75" style="105"/>
  </cols>
  <sheetData>
    <row r="1" spans="1:11" ht="24" customHeight="1">
      <c r="A1" s="5177" t="s">
        <v>10916</v>
      </c>
      <c r="B1" s="5177"/>
      <c r="C1" s="5177"/>
      <c r="D1" s="5177"/>
      <c r="E1" s="5177"/>
      <c r="F1" s="5177"/>
      <c r="G1" s="5177"/>
      <c r="H1" s="5177"/>
      <c r="I1" s="5177"/>
      <c r="J1" s="5177"/>
      <c r="K1" s="5177"/>
    </row>
    <row r="2" spans="1:11" ht="76.5" customHeight="1">
      <c r="A2" s="2065"/>
      <c r="B2" s="2065"/>
      <c r="C2" s="2065"/>
      <c r="D2" s="2065"/>
      <c r="E2" s="2065"/>
      <c r="F2" s="2065"/>
      <c r="G2" s="2065"/>
      <c r="H2" s="2065"/>
      <c r="I2" s="2065"/>
      <c r="J2" s="2065"/>
      <c r="K2" s="2065"/>
    </row>
    <row r="3" spans="1:11" ht="75.75" customHeight="1">
      <c r="A3" s="2065"/>
      <c r="B3" s="2065"/>
      <c r="C3" s="2065"/>
      <c r="D3" s="2065"/>
      <c r="E3" s="2065"/>
      <c r="F3" s="2065"/>
      <c r="G3" s="2065"/>
      <c r="H3" s="2065"/>
      <c r="I3" s="2065"/>
      <c r="J3" s="2065"/>
      <c r="K3" s="2065"/>
    </row>
    <row r="4" spans="1:11" ht="82.5" customHeight="1">
      <c r="A4" s="2065"/>
      <c r="B4" s="2065"/>
      <c r="C4" s="2065"/>
      <c r="D4" s="2065"/>
      <c r="E4" s="2065"/>
      <c r="F4" s="2065"/>
      <c r="G4" s="2065"/>
      <c r="H4" s="2065"/>
      <c r="I4" s="2065"/>
      <c r="J4" s="2065"/>
      <c r="K4" s="2065"/>
    </row>
    <row r="5" spans="1:11" ht="21.75" customHeight="1">
      <c r="A5" s="2066" t="s">
        <v>10917</v>
      </c>
      <c r="B5" s="2067" t="s">
        <v>10918</v>
      </c>
      <c r="C5" s="2067" t="s">
        <v>1869</v>
      </c>
      <c r="D5" s="2067"/>
      <c r="E5" s="2067" t="s">
        <v>10919</v>
      </c>
      <c r="F5" s="2067" t="s">
        <v>10918</v>
      </c>
      <c r="G5" s="2067" t="s">
        <v>1869</v>
      </c>
      <c r="H5" s="2067"/>
      <c r="I5" s="2067" t="s">
        <v>10920</v>
      </c>
      <c r="J5" s="2067" t="s">
        <v>10918</v>
      </c>
      <c r="K5" s="2074" t="s">
        <v>1869</v>
      </c>
    </row>
    <row r="6" spans="1:11" ht="14.25" customHeight="1">
      <c r="A6" s="2068" t="str">
        <f t="shared" ref="A6:A38" si="0">"SPA"&amp;B6</f>
        <v>SPA40</v>
      </c>
      <c r="B6" s="2069">
        <v>40</v>
      </c>
      <c r="C6" s="2070">
        <f t="shared" ref="C6:C38" si="1">B6+5.5</f>
        <v>45.5</v>
      </c>
      <c r="D6" s="509"/>
      <c r="E6" s="509"/>
      <c r="F6" s="509"/>
      <c r="G6" s="509"/>
      <c r="H6" s="509"/>
      <c r="I6" s="2075"/>
      <c r="J6" s="509"/>
      <c r="K6" s="2076"/>
    </row>
    <row r="7" spans="1:11" ht="14.25" customHeight="1">
      <c r="A7" s="499" t="str">
        <f t="shared" si="0"/>
        <v>SPA50</v>
      </c>
      <c r="B7" s="500">
        <v>50</v>
      </c>
      <c r="C7" s="2070">
        <f t="shared" si="1"/>
        <v>55.5</v>
      </c>
      <c r="D7" s="509"/>
      <c r="E7" s="509"/>
      <c r="F7" s="509"/>
      <c r="G7" s="509"/>
      <c r="H7" s="509"/>
      <c r="I7" s="2075"/>
      <c r="J7" s="509"/>
      <c r="K7" s="2076"/>
    </row>
    <row r="8" spans="1:11" ht="14.25" customHeight="1">
      <c r="A8" s="499" t="str">
        <f t="shared" si="0"/>
        <v>SPA60</v>
      </c>
      <c r="B8" s="500">
        <v>60</v>
      </c>
      <c r="C8" s="2070">
        <f t="shared" si="1"/>
        <v>65.5</v>
      </c>
      <c r="D8" s="509"/>
      <c r="E8" s="509"/>
      <c r="F8" s="509"/>
      <c r="G8" s="509"/>
      <c r="H8" s="509"/>
      <c r="I8" s="2075"/>
      <c r="J8" s="509"/>
      <c r="K8" s="2076"/>
    </row>
    <row r="9" spans="1:11" ht="14.25" customHeight="1">
      <c r="A9" s="499" t="str">
        <f t="shared" si="0"/>
        <v>SPA71</v>
      </c>
      <c r="B9" s="500">
        <v>71</v>
      </c>
      <c r="C9" s="2070">
        <f t="shared" si="1"/>
        <v>76.5</v>
      </c>
      <c r="D9" s="509"/>
      <c r="E9" s="509"/>
      <c r="F9" s="509"/>
      <c r="G9" s="509"/>
      <c r="H9" s="509"/>
      <c r="I9" s="2075"/>
      <c r="J9" s="509"/>
      <c r="K9" s="2076"/>
    </row>
    <row r="10" spans="1:11" ht="14.25" customHeight="1">
      <c r="A10" s="499" t="str">
        <f t="shared" si="0"/>
        <v>SPA75</v>
      </c>
      <c r="B10" s="500">
        <v>75</v>
      </c>
      <c r="C10" s="2070">
        <f t="shared" si="1"/>
        <v>80.5</v>
      </c>
      <c r="D10" s="509"/>
      <c r="E10" s="509"/>
      <c r="F10" s="509"/>
      <c r="G10" s="509"/>
      <c r="H10" s="509"/>
      <c r="I10" s="2075"/>
      <c r="J10" s="509"/>
      <c r="K10" s="2076"/>
    </row>
    <row r="11" spans="1:11" ht="14.25" customHeight="1">
      <c r="A11" s="499" t="str">
        <f t="shared" si="0"/>
        <v>SPA80</v>
      </c>
      <c r="B11" s="500">
        <v>80</v>
      </c>
      <c r="C11" s="2070">
        <f t="shared" si="1"/>
        <v>85.5</v>
      </c>
      <c r="D11" s="509"/>
      <c r="E11" s="509"/>
      <c r="F11" s="509"/>
      <c r="G11" s="509"/>
      <c r="H11" s="509"/>
      <c r="I11" s="2075"/>
      <c r="J11" s="509"/>
      <c r="K11" s="2076"/>
    </row>
    <row r="12" spans="1:11" ht="14.25" customHeight="1">
      <c r="A12" s="499" t="str">
        <f t="shared" si="0"/>
        <v>SPA85</v>
      </c>
      <c r="B12" s="500">
        <v>85</v>
      </c>
      <c r="C12" s="2070">
        <f t="shared" si="1"/>
        <v>90.5</v>
      </c>
      <c r="D12" s="2071"/>
      <c r="E12" s="2068" t="str">
        <f t="shared" ref="E12:E38" si="2">"SPB"&amp;F12</f>
        <v>SPB70</v>
      </c>
      <c r="F12" s="2069">
        <v>70</v>
      </c>
      <c r="G12" s="2070">
        <f t="shared" ref="G12:G38" si="3">F12+7</f>
        <v>77</v>
      </c>
      <c r="H12" s="509"/>
      <c r="I12" s="2075"/>
      <c r="J12" s="509"/>
      <c r="K12" s="2076"/>
    </row>
    <row r="13" spans="1:11" ht="14.25" customHeight="1">
      <c r="A13" s="499" t="str">
        <f t="shared" si="0"/>
        <v>SPA90</v>
      </c>
      <c r="B13" s="500">
        <v>90</v>
      </c>
      <c r="C13" s="2070">
        <f t="shared" si="1"/>
        <v>95.5</v>
      </c>
      <c r="D13" s="1034"/>
      <c r="E13" s="499" t="str">
        <f t="shared" si="2"/>
        <v>SPB80</v>
      </c>
      <c r="F13" s="500">
        <v>80</v>
      </c>
      <c r="G13" s="506">
        <f t="shared" si="3"/>
        <v>87</v>
      </c>
      <c r="H13" s="509"/>
      <c r="I13" s="2075"/>
      <c r="J13" s="509"/>
      <c r="K13" s="2076"/>
    </row>
    <row r="14" spans="1:11" ht="14.25" customHeight="1">
      <c r="A14" s="499" t="str">
        <f t="shared" si="0"/>
        <v>SPA95</v>
      </c>
      <c r="B14" s="500">
        <v>95</v>
      </c>
      <c r="C14" s="2070">
        <f t="shared" si="1"/>
        <v>100.5</v>
      </c>
      <c r="D14" s="1034"/>
      <c r="E14" s="499" t="str">
        <f t="shared" si="2"/>
        <v>SPB90</v>
      </c>
      <c r="F14" s="500">
        <v>90</v>
      </c>
      <c r="G14" s="506">
        <f t="shared" si="3"/>
        <v>97</v>
      </c>
      <c r="H14" s="509"/>
      <c r="I14" s="2075"/>
      <c r="J14" s="509"/>
      <c r="K14" s="2076"/>
    </row>
    <row r="15" spans="1:11" ht="14.25" customHeight="1">
      <c r="A15" s="499" t="str">
        <f t="shared" si="0"/>
        <v>SPA100</v>
      </c>
      <c r="B15" s="500">
        <v>100</v>
      </c>
      <c r="C15" s="2070">
        <f t="shared" si="1"/>
        <v>105.5</v>
      </c>
      <c r="D15" s="1034"/>
      <c r="E15" s="499" t="str">
        <f t="shared" si="2"/>
        <v>SPB100</v>
      </c>
      <c r="F15" s="500">
        <v>100</v>
      </c>
      <c r="G15" s="506">
        <f t="shared" si="3"/>
        <v>107</v>
      </c>
      <c r="H15" s="1034"/>
      <c r="I15" s="2068" t="str">
        <f t="shared" ref="I15:I22" si="4">"SPC"&amp;J15</f>
        <v>SPC100</v>
      </c>
      <c r="J15" s="2069">
        <v>100</v>
      </c>
      <c r="K15" s="2070">
        <f t="shared" ref="K15:K22" si="5">J15+9.6</f>
        <v>109.6</v>
      </c>
    </row>
    <row r="16" spans="1:11" ht="14.25" customHeight="1">
      <c r="A16" s="499" t="str">
        <f t="shared" si="0"/>
        <v>SPA106</v>
      </c>
      <c r="B16" s="500">
        <v>106</v>
      </c>
      <c r="C16" s="2070">
        <f t="shared" si="1"/>
        <v>111.5</v>
      </c>
      <c r="D16" s="1034"/>
      <c r="E16" s="499" t="str">
        <f t="shared" si="2"/>
        <v>SPB112</v>
      </c>
      <c r="F16" s="500">
        <v>112</v>
      </c>
      <c r="G16" s="506">
        <f t="shared" si="3"/>
        <v>119</v>
      </c>
      <c r="H16" s="2072"/>
      <c r="I16" s="499"/>
      <c r="J16" s="500"/>
      <c r="K16" s="506"/>
    </row>
    <row r="17" spans="1:11" ht="14.25" customHeight="1">
      <c r="A17" s="499" t="str">
        <f t="shared" si="0"/>
        <v>SPA112</v>
      </c>
      <c r="B17" s="500">
        <v>112</v>
      </c>
      <c r="C17" s="2070">
        <f t="shared" si="1"/>
        <v>117.5</v>
      </c>
      <c r="D17" s="1034"/>
      <c r="E17" s="499" t="str">
        <f t="shared" si="2"/>
        <v>SPB120</v>
      </c>
      <c r="F17" s="500">
        <v>120</v>
      </c>
      <c r="G17" s="506">
        <f t="shared" si="3"/>
        <v>127</v>
      </c>
      <c r="H17" s="2072"/>
      <c r="I17" s="499" t="str">
        <f t="shared" si="4"/>
        <v>SPC120</v>
      </c>
      <c r="J17" s="500">
        <v>120</v>
      </c>
      <c r="K17" s="506">
        <f t="shared" si="5"/>
        <v>129.6</v>
      </c>
    </row>
    <row r="18" spans="1:11" ht="14.25" customHeight="1">
      <c r="A18" s="499" t="str">
        <f t="shared" si="0"/>
        <v>SPA118</v>
      </c>
      <c r="B18" s="500">
        <v>118</v>
      </c>
      <c r="C18" s="2070">
        <f t="shared" si="1"/>
        <v>123.5</v>
      </c>
      <c r="D18" s="1034"/>
      <c r="E18" s="499" t="str">
        <f t="shared" si="2"/>
        <v>SPB125</v>
      </c>
      <c r="F18" s="500">
        <v>125</v>
      </c>
      <c r="G18" s="506">
        <f t="shared" si="3"/>
        <v>132</v>
      </c>
      <c r="H18" s="2072"/>
      <c r="I18" s="499"/>
      <c r="J18" s="500"/>
      <c r="K18" s="506"/>
    </row>
    <row r="19" spans="1:11" ht="14.25" customHeight="1">
      <c r="A19" s="499" t="str">
        <f t="shared" si="0"/>
        <v>SPA132</v>
      </c>
      <c r="B19" s="500">
        <v>132</v>
      </c>
      <c r="C19" s="2070">
        <f t="shared" si="1"/>
        <v>137.5</v>
      </c>
      <c r="D19" s="1034"/>
      <c r="E19" s="499" t="str">
        <f t="shared" si="2"/>
        <v>SPB132</v>
      </c>
      <c r="F19" s="500">
        <v>132</v>
      </c>
      <c r="G19" s="506">
        <f t="shared" si="3"/>
        <v>139</v>
      </c>
      <c r="H19" s="2072"/>
      <c r="I19" s="499"/>
      <c r="J19" s="500"/>
      <c r="K19" s="506"/>
    </row>
    <row r="20" spans="1:11" ht="14.25" customHeight="1">
      <c r="A20" s="499" t="str">
        <f t="shared" si="0"/>
        <v>SPA140</v>
      </c>
      <c r="B20" s="500">
        <v>140</v>
      </c>
      <c r="C20" s="2070">
        <f t="shared" si="1"/>
        <v>145.5</v>
      </c>
      <c r="D20" s="1034"/>
      <c r="E20" s="499" t="str">
        <f t="shared" si="2"/>
        <v>SPB140</v>
      </c>
      <c r="F20" s="500">
        <v>140</v>
      </c>
      <c r="G20" s="506">
        <f t="shared" si="3"/>
        <v>147</v>
      </c>
      <c r="H20" s="2072"/>
      <c r="I20" s="499" t="str">
        <f t="shared" si="4"/>
        <v>SPC140</v>
      </c>
      <c r="J20" s="500">
        <v>140</v>
      </c>
      <c r="K20" s="506">
        <f t="shared" si="5"/>
        <v>149.6</v>
      </c>
    </row>
    <row r="21" spans="1:11" ht="14.25" customHeight="1">
      <c r="A21" s="499" t="str">
        <f t="shared" si="0"/>
        <v>SPA150</v>
      </c>
      <c r="B21" s="500">
        <v>150</v>
      </c>
      <c r="C21" s="2070">
        <f t="shared" si="1"/>
        <v>155.5</v>
      </c>
      <c r="D21" s="1034"/>
      <c r="E21" s="499" t="str">
        <f t="shared" si="2"/>
        <v>SPB150</v>
      </c>
      <c r="F21" s="500">
        <v>150</v>
      </c>
      <c r="G21" s="506">
        <f t="shared" si="3"/>
        <v>157</v>
      </c>
      <c r="H21" s="2072"/>
      <c r="I21" s="499" t="str">
        <f t="shared" si="4"/>
        <v>SPC150</v>
      </c>
      <c r="J21" s="500">
        <v>150</v>
      </c>
      <c r="K21" s="506">
        <f t="shared" si="5"/>
        <v>159.6</v>
      </c>
    </row>
    <row r="22" spans="1:11" ht="14.25" customHeight="1">
      <c r="A22" s="499" t="str">
        <f t="shared" si="0"/>
        <v>SPA160</v>
      </c>
      <c r="B22" s="500">
        <v>160</v>
      </c>
      <c r="C22" s="2070">
        <f t="shared" si="1"/>
        <v>165.5</v>
      </c>
      <c r="D22" s="1034"/>
      <c r="E22" s="499" t="str">
        <f t="shared" si="2"/>
        <v>SPB160</v>
      </c>
      <c r="F22" s="500">
        <v>160</v>
      </c>
      <c r="G22" s="506">
        <f t="shared" si="3"/>
        <v>167</v>
      </c>
      <c r="H22" s="2072"/>
      <c r="I22" s="499" t="str">
        <f t="shared" si="4"/>
        <v>SPC160</v>
      </c>
      <c r="J22" s="500">
        <v>160</v>
      </c>
      <c r="K22" s="506">
        <f t="shared" si="5"/>
        <v>169.6</v>
      </c>
    </row>
    <row r="23" spans="1:11" ht="14.25" customHeight="1">
      <c r="A23" s="499" t="str">
        <f t="shared" si="0"/>
        <v>SPA170</v>
      </c>
      <c r="B23" s="500">
        <v>170</v>
      </c>
      <c r="C23" s="2070">
        <f t="shared" si="1"/>
        <v>175.5</v>
      </c>
      <c r="D23" s="1034"/>
      <c r="E23" s="499" t="str">
        <f t="shared" si="2"/>
        <v>SPB170</v>
      </c>
      <c r="F23" s="500">
        <v>170</v>
      </c>
      <c r="G23" s="506">
        <f t="shared" si="3"/>
        <v>177</v>
      </c>
      <c r="H23" s="2072"/>
      <c r="I23" s="499"/>
      <c r="J23" s="500"/>
      <c r="K23" s="506"/>
    </row>
    <row r="24" spans="1:11" ht="14.25" customHeight="1">
      <c r="A24" s="499" t="str">
        <f t="shared" si="0"/>
        <v>SPA180</v>
      </c>
      <c r="B24" s="500">
        <v>180</v>
      </c>
      <c r="C24" s="2070">
        <f t="shared" si="1"/>
        <v>185.5</v>
      </c>
      <c r="D24" s="1034"/>
      <c r="E24" s="499" t="str">
        <f t="shared" si="2"/>
        <v>SPB180</v>
      </c>
      <c r="F24" s="500">
        <v>180</v>
      </c>
      <c r="G24" s="506">
        <f t="shared" si="3"/>
        <v>187</v>
      </c>
      <c r="H24" s="2072"/>
      <c r="I24" s="499" t="str">
        <f t="shared" ref="I24:I38" si="6">"SPC"&amp;J24</f>
        <v>SPC180</v>
      </c>
      <c r="J24" s="500">
        <v>180</v>
      </c>
      <c r="K24" s="506">
        <f t="shared" ref="K24:K38" si="7">J24+9.6</f>
        <v>189.6</v>
      </c>
    </row>
    <row r="25" spans="1:11" ht="14.25" customHeight="1">
      <c r="A25" s="499" t="str">
        <f t="shared" si="0"/>
        <v>SPA200</v>
      </c>
      <c r="B25" s="500">
        <v>200</v>
      </c>
      <c r="C25" s="2070">
        <f t="shared" si="1"/>
        <v>205.5</v>
      </c>
      <c r="D25" s="1034"/>
      <c r="E25" s="499" t="str">
        <f t="shared" si="2"/>
        <v>SPB200</v>
      </c>
      <c r="F25" s="500">
        <v>200</v>
      </c>
      <c r="G25" s="506">
        <f t="shared" si="3"/>
        <v>207</v>
      </c>
      <c r="H25" s="2072"/>
      <c r="I25" s="499" t="str">
        <f t="shared" si="6"/>
        <v>SPC200</v>
      </c>
      <c r="J25" s="500">
        <v>200</v>
      </c>
      <c r="K25" s="506">
        <f t="shared" si="7"/>
        <v>209.6</v>
      </c>
    </row>
    <row r="26" spans="1:11" ht="14.25" customHeight="1">
      <c r="A26" s="499" t="str">
        <f t="shared" si="0"/>
        <v>SPA212</v>
      </c>
      <c r="B26" s="500">
        <v>212</v>
      </c>
      <c r="C26" s="2070">
        <f t="shared" si="1"/>
        <v>217.5</v>
      </c>
      <c r="D26" s="1034"/>
      <c r="E26" s="499" t="str">
        <f t="shared" si="2"/>
        <v>SPB212</v>
      </c>
      <c r="F26" s="500">
        <v>212</v>
      </c>
      <c r="G26" s="506">
        <f t="shared" si="3"/>
        <v>219</v>
      </c>
      <c r="H26" s="2072"/>
      <c r="I26" s="499"/>
      <c r="J26" s="500"/>
      <c r="K26" s="506"/>
    </row>
    <row r="27" spans="1:11" ht="14.25" customHeight="1">
      <c r="A27" s="499" t="str">
        <f t="shared" si="0"/>
        <v>SPA224</v>
      </c>
      <c r="B27" s="500">
        <v>224</v>
      </c>
      <c r="C27" s="2070">
        <f t="shared" si="1"/>
        <v>229.5</v>
      </c>
      <c r="D27" s="1034"/>
      <c r="E27" s="499" t="str">
        <f t="shared" si="2"/>
        <v>SPB224</v>
      </c>
      <c r="F27" s="500">
        <v>224</v>
      </c>
      <c r="G27" s="506">
        <f t="shared" si="3"/>
        <v>231</v>
      </c>
      <c r="H27" s="2072"/>
      <c r="I27" s="499" t="str">
        <f t="shared" si="6"/>
        <v>SPC224</v>
      </c>
      <c r="J27" s="500">
        <v>224</v>
      </c>
      <c r="K27" s="506">
        <f t="shared" si="7"/>
        <v>233.6</v>
      </c>
    </row>
    <row r="28" spans="1:11" ht="14.25" customHeight="1">
      <c r="A28" s="499" t="str">
        <f t="shared" si="0"/>
        <v>SPA250</v>
      </c>
      <c r="B28" s="500">
        <v>250</v>
      </c>
      <c r="C28" s="2070">
        <f t="shared" si="1"/>
        <v>255.5</v>
      </c>
      <c r="D28" s="1034"/>
      <c r="E28" s="499" t="str">
        <f t="shared" si="2"/>
        <v>SPB250</v>
      </c>
      <c r="F28" s="500">
        <v>250</v>
      </c>
      <c r="G28" s="506">
        <f t="shared" si="3"/>
        <v>257</v>
      </c>
      <c r="H28" s="2072"/>
      <c r="I28" s="499" t="str">
        <f t="shared" si="6"/>
        <v>SPC250</v>
      </c>
      <c r="J28" s="500">
        <v>250</v>
      </c>
      <c r="K28" s="506">
        <f t="shared" si="7"/>
        <v>259.60000000000002</v>
      </c>
    </row>
    <row r="29" spans="1:11" ht="14.25" customHeight="1">
      <c r="A29" s="499" t="str">
        <f t="shared" si="0"/>
        <v>SPA280</v>
      </c>
      <c r="B29" s="500">
        <v>280</v>
      </c>
      <c r="C29" s="2070">
        <f t="shared" si="1"/>
        <v>285.5</v>
      </c>
      <c r="D29" s="1034"/>
      <c r="E29" s="499" t="str">
        <f t="shared" si="2"/>
        <v>SPB280</v>
      </c>
      <c r="F29" s="500">
        <v>280</v>
      </c>
      <c r="G29" s="506">
        <f t="shared" si="3"/>
        <v>287</v>
      </c>
      <c r="H29" s="2072"/>
      <c r="I29" s="499" t="str">
        <f t="shared" si="6"/>
        <v>SPC280</v>
      </c>
      <c r="J29" s="500">
        <v>280</v>
      </c>
      <c r="K29" s="506">
        <f t="shared" si="7"/>
        <v>289.60000000000002</v>
      </c>
    </row>
    <row r="30" spans="1:11" ht="14.25" customHeight="1">
      <c r="A30" s="499" t="str">
        <f t="shared" si="0"/>
        <v>SPA300</v>
      </c>
      <c r="B30" s="500">
        <v>300</v>
      </c>
      <c r="C30" s="2070">
        <f t="shared" si="1"/>
        <v>305.5</v>
      </c>
      <c r="D30" s="1034"/>
      <c r="E30" s="499" t="str">
        <f t="shared" si="2"/>
        <v>SPB300</v>
      </c>
      <c r="F30" s="500">
        <v>300</v>
      </c>
      <c r="G30" s="506">
        <f t="shared" si="3"/>
        <v>307</v>
      </c>
      <c r="H30" s="2072"/>
      <c r="I30" s="499" t="str">
        <f t="shared" si="6"/>
        <v>SPC300</v>
      </c>
      <c r="J30" s="500">
        <v>300</v>
      </c>
      <c r="K30" s="506">
        <f t="shared" si="7"/>
        <v>309.60000000000002</v>
      </c>
    </row>
    <row r="31" spans="1:11" ht="14.25" customHeight="1">
      <c r="A31" s="499" t="str">
        <f t="shared" si="0"/>
        <v>SPA315</v>
      </c>
      <c r="B31" s="500">
        <v>315</v>
      </c>
      <c r="C31" s="2070">
        <f t="shared" si="1"/>
        <v>320.5</v>
      </c>
      <c r="D31" s="1034"/>
      <c r="E31" s="499" t="str">
        <f t="shared" si="2"/>
        <v>SPB315</v>
      </c>
      <c r="F31" s="500">
        <v>315</v>
      </c>
      <c r="G31" s="506">
        <f t="shared" si="3"/>
        <v>322</v>
      </c>
      <c r="H31" s="2072"/>
      <c r="I31" s="499" t="str">
        <f t="shared" si="6"/>
        <v>SPC315</v>
      </c>
      <c r="J31" s="500">
        <v>315</v>
      </c>
      <c r="K31" s="506">
        <f t="shared" si="7"/>
        <v>324.60000000000002</v>
      </c>
    </row>
    <row r="32" spans="1:11" ht="14.25" customHeight="1">
      <c r="A32" s="499" t="str">
        <f t="shared" si="0"/>
        <v>SPA355</v>
      </c>
      <c r="B32" s="500">
        <v>355</v>
      </c>
      <c r="C32" s="2070">
        <f t="shared" si="1"/>
        <v>360.5</v>
      </c>
      <c r="D32" s="1034"/>
      <c r="E32" s="499" t="str">
        <f t="shared" si="2"/>
        <v>SPB355</v>
      </c>
      <c r="F32" s="500">
        <v>355</v>
      </c>
      <c r="G32" s="506">
        <f t="shared" si="3"/>
        <v>362</v>
      </c>
      <c r="H32" s="2072"/>
      <c r="I32" s="499" t="str">
        <f t="shared" si="6"/>
        <v>SPC355</v>
      </c>
      <c r="J32" s="500">
        <v>355</v>
      </c>
      <c r="K32" s="506">
        <f t="shared" si="7"/>
        <v>364.6</v>
      </c>
    </row>
    <row r="33" spans="1:11" ht="14.25" customHeight="1">
      <c r="A33" s="499" t="str">
        <f t="shared" si="0"/>
        <v>SPA400</v>
      </c>
      <c r="B33" s="500">
        <v>400</v>
      </c>
      <c r="C33" s="2070">
        <f t="shared" si="1"/>
        <v>405.5</v>
      </c>
      <c r="D33" s="1034"/>
      <c r="E33" s="499" t="str">
        <f t="shared" si="2"/>
        <v>SPB400</v>
      </c>
      <c r="F33" s="500">
        <v>400</v>
      </c>
      <c r="G33" s="506">
        <f t="shared" si="3"/>
        <v>407</v>
      </c>
      <c r="H33" s="2072"/>
      <c r="I33" s="499" t="str">
        <f t="shared" si="6"/>
        <v>SPC400</v>
      </c>
      <c r="J33" s="500">
        <v>400</v>
      </c>
      <c r="K33" s="506">
        <f t="shared" si="7"/>
        <v>409.6</v>
      </c>
    </row>
    <row r="34" spans="1:11" ht="14.25" customHeight="1">
      <c r="A34" s="499" t="str">
        <f t="shared" si="0"/>
        <v>SPA450</v>
      </c>
      <c r="B34" s="500">
        <v>450</v>
      </c>
      <c r="C34" s="2070">
        <f t="shared" si="1"/>
        <v>455.5</v>
      </c>
      <c r="D34" s="1034"/>
      <c r="E34" s="499" t="str">
        <f t="shared" si="2"/>
        <v>SPB450</v>
      </c>
      <c r="F34" s="500">
        <v>450</v>
      </c>
      <c r="G34" s="506">
        <f t="shared" si="3"/>
        <v>457</v>
      </c>
      <c r="H34" s="2072"/>
      <c r="I34" s="499" t="str">
        <f t="shared" si="6"/>
        <v>SPC450</v>
      </c>
      <c r="J34" s="500">
        <v>450</v>
      </c>
      <c r="K34" s="506">
        <f t="shared" si="7"/>
        <v>459.6</v>
      </c>
    </row>
    <row r="35" spans="1:11" ht="14.25" customHeight="1">
      <c r="A35" s="499" t="str">
        <f t="shared" si="0"/>
        <v>SPA500</v>
      </c>
      <c r="B35" s="500">
        <v>500</v>
      </c>
      <c r="C35" s="2070">
        <f t="shared" si="1"/>
        <v>505.5</v>
      </c>
      <c r="D35" s="1034"/>
      <c r="E35" s="499" t="str">
        <f t="shared" si="2"/>
        <v>SPB500</v>
      </c>
      <c r="F35" s="500">
        <v>500</v>
      </c>
      <c r="G35" s="506">
        <f t="shared" si="3"/>
        <v>507</v>
      </c>
      <c r="H35" s="2072"/>
      <c r="I35" s="499" t="str">
        <f t="shared" si="6"/>
        <v>SPC500</v>
      </c>
      <c r="J35" s="500">
        <v>500</v>
      </c>
      <c r="K35" s="506">
        <f t="shared" si="7"/>
        <v>509.6</v>
      </c>
    </row>
    <row r="36" spans="1:11" ht="14.25" customHeight="1">
      <c r="A36" s="499" t="str">
        <f t="shared" si="0"/>
        <v>SPA560</v>
      </c>
      <c r="B36" s="500">
        <v>560</v>
      </c>
      <c r="C36" s="2070">
        <f t="shared" si="1"/>
        <v>565.5</v>
      </c>
      <c r="D36" s="1034"/>
      <c r="E36" s="499" t="str">
        <f t="shared" si="2"/>
        <v>SPB560</v>
      </c>
      <c r="F36" s="500">
        <v>560</v>
      </c>
      <c r="G36" s="506">
        <f t="shared" si="3"/>
        <v>567</v>
      </c>
      <c r="H36" s="2072"/>
      <c r="I36" s="499" t="str">
        <f t="shared" si="6"/>
        <v>SPC560</v>
      </c>
      <c r="J36" s="500">
        <v>560</v>
      </c>
      <c r="K36" s="506">
        <f t="shared" si="7"/>
        <v>569.6</v>
      </c>
    </row>
    <row r="37" spans="1:11" ht="14.25" customHeight="1">
      <c r="A37" s="499" t="str">
        <f t="shared" si="0"/>
        <v>SPA600</v>
      </c>
      <c r="B37" s="500">
        <v>600</v>
      </c>
      <c r="C37" s="2070">
        <f t="shared" si="1"/>
        <v>605.5</v>
      </c>
      <c r="D37" s="1034"/>
      <c r="E37" s="499" t="str">
        <f t="shared" si="2"/>
        <v>SPB600</v>
      </c>
      <c r="F37" s="500">
        <v>600</v>
      </c>
      <c r="G37" s="506">
        <f t="shared" si="3"/>
        <v>607</v>
      </c>
      <c r="H37" s="2072"/>
      <c r="I37" s="499" t="str">
        <f t="shared" si="6"/>
        <v>SPC600</v>
      </c>
      <c r="J37" s="500">
        <v>600</v>
      </c>
      <c r="K37" s="506">
        <f t="shared" si="7"/>
        <v>609.6</v>
      </c>
    </row>
    <row r="38" spans="1:11" ht="14.25" customHeight="1">
      <c r="A38" s="501" t="str">
        <f t="shared" si="0"/>
        <v>SPA630</v>
      </c>
      <c r="B38" s="503">
        <v>630</v>
      </c>
      <c r="C38" s="2070">
        <f t="shared" si="1"/>
        <v>635.5</v>
      </c>
      <c r="D38" s="509"/>
      <c r="E38" s="501" t="str">
        <f t="shared" si="2"/>
        <v>SPB630</v>
      </c>
      <c r="F38" s="503">
        <v>630</v>
      </c>
      <c r="G38" s="507">
        <f t="shared" si="3"/>
        <v>637</v>
      </c>
      <c r="H38" s="2073"/>
      <c r="I38" s="501" t="str">
        <f t="shared" si="6"/>
        <v>SPC630</v>
      </c>
      <c r="J38" s="503">
        <v>630</v>
      </c>
      <c r="K38" s="507">
        <f t="shared" si="7"/>
        <v>639.6</v>
      </c>
    </row>
  </sheetData>
  <mergeCells count="1">
    <mergeCell ref="A1:K1"/>
  </mergeCells>
  <phoneticPr fontId="214" type="noConversion"/>
  <pageMargins left="0.75" right="0.75" top="0.40902777777777799" bottom="0.25" header="0.4" footer="0.30902777777777801"/>
  <pageSetup paperSize="9" orientation="portrait"/>
  <headerFooter scaleWithDoc="0" alignWithMargins="0"/>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07"/>
  <dimension ref="A1:W473"/>
  <sheetViews>
    <sheetView zoomScale="70" zoomScaleNormal="70" workbookViewId="0">
      <selection activeCell="C6" sqref="C6:K6"/>
    </sheetView>
  </sheetViews>
  <sheetFormatPr defaultColWidth="9" defaultRowHeight="13.5"/>
  <cols>
    <col min="1" max="4" width="9" style="2029"/>
    <col min="5" max="5" width="27.125" style="2029" customWidth="1"/>
    <col min="6" max="18" width="9" style="2029"/>
    <col min="19" max="23" width="12.625" style="2029"/>
    <col min="24" max="16384" width="9" style="2029"/>
  </cols>
  <sheetData>
    <row r="1" spans="1:23" s="2028" customFormat="1" ht="25.5" customHeight="1">
      <c r="A1" s="2029"/>
      <c r="B1" s="2029"/>
      <c r="C1" s="2029"/>
      <c r="D1" s="2029"/>
      <c r="E1" s="2029"/>
      <c r="F1" s="2029"/>
      <c r="G1" s="2029"/>
      <c r="H1" s="2029"/>
      <c r="I1" s="2029"/>
      <c r="J1" s="2029"/>
      <c r="K1" s="2029"/>
      <c r="L1" s="2029"/>
      <c r="M1" s="2029"/>
      <c r="N1" s="2029"/>
      <c r="O1" s="2029"/>
      <c r="P1" s="2029"/>
      <c r="Q1" s="2029"/>
      <c r="R1" s="2029"/>
      <c r="S1" s="2029"/>
      <c r="T1" s="2029"/>
      <c r="U1" s="2029"/>
      <c r="V1" s="2029"/>
      <c r="W1" s="2029"/>
    </row>
    <row r="2" spans="1:23" ht="18.75">
      <c r="A2" s="2030" t="s">
        <v>5435</v>
      </c>
      <c r="B2" s="5178" t="s">
        <v>10921</v>
      </c>
      <c r="C2" s="5178"/>
      <c r="D2" s="5178"/>
      <c r="E2" s="5178"/>
      <c r="F2" s="5178"/>
      <c r="G2" s="5178"/>
      <c r="H2" s="5178"/>
      <c r="I2" s="5178"/>
      <c r="J2" s="5178"/>
      <c r="K2" s="5178"/>
      <c r="L2" s="5186" t="s">
        <v>10922</v>
      </c>
      <c r="M2" s="5186"/>
    </row>
    <row r="3" spans="1:23" s="2028" customFormat="1" ht="18" customHeight="1">
      <c r="B3" s="2031" t="s">
        <v>10923</v>
      </c>
      <c r="C3" s="5179" t="s">
        <v>10924</v>
      </c>
      <c r="D3" s="5179"/>
      <c r="E3" s="5179"/>
      <c r="F3" s="5179"/>
      <c r="G3" s="5179"/>
      <c r="H3" s="5179"/>
      <c r="I3" s="5179"/>
      <c r="J3" s="5179"/>
      <c r="K3" s="5179"/>
      <c r="L3" s="5184"/>
      <c r="M3" s="5184"/>
    </row>
    <row r="4" spans="1:23" s="2028" customFormat="1" ht="18" customHeight="1">
      <c r="B4" s="2031" t="s">
        <v>10925</v>
      </c>
      <c r="C4" s="5179" t="s">
        <v>10926</v>
      </c>
      <c r="D4" s="5179"/>
      <c r="E4" s="5179"/>
      <c r="F4" s="5179"/>
      <c r="G4" s="5179"/>
      <c r="H4" s="5179"/>
      <c r="I4" s="5179"/>
      <c r="J4" s="5179"/>
      <c r="K4" s="5179"/>
      <c r="L4" s="5184"/>
      <c r="M4" s="5184"/>
    </row>
    <row r="5" spans="1:23" s="2028" customFormat="1" ht="18" customHeight="1">
      <c r="B5" s="2031" t="s">
        <v>10927</v>
      </c>
      <c r="C5" s="5179" t="s">
        <v>10928</v>
      </c>
      <c r="D5" s="5179"/>
      <c r="E5" s="5179"/>
      <c r="F5" s="5179"/>
      <c r="G5" s="5179"/>
      <c r="H5" s="5179"/>
      <c r="I5" s="5179"/>
      <c r="J5" s="5179"/>
      <c r="K5" s="5179"/>
      <c r="L5" s="5184"/>
      <c r="M5" s="5184"/>
    </row>
    <row r="6" spans="1:23" s="2028" customFormat="1" ht="18" customHeight="1">
      <c r="B6" s="2031" t="s">
        <v>10929</v>
      </c>
      <c r="C6" s="5185" t="s">
        <v>10930</v>
      </c>
      <c r="D6" s="5185"/>
      <c r="E6" s="5185"/>
      <c r="F6" s="5185"/>
      <c r="G6" s="5185"/>
      <c r="H6" s="5185"/>
      <c r="I6" s="5185"/>
      <c r="J6" s="5185"/>
      <c r="K6" s="5185"/>
      <c r="L6" s="5184"/>
      <c r="M6" s="5184"/>
    </row>
    <row r="7" spans="1:23" s="2028" customFormat="1" ht="18" customHeight="1">
      <c r="B7" s="2031" t="s">
        <v>10931</v>
      </c>
      <c r="C7" s="5179" t="s">
        <v>10932</v>
      </c>
      <c r="D7" s="5179"/>
      <c r="E7" s="5179"/>
      <c r="F7" s="5179"/>
      <c r="G7" s="5179"/>
      <c r="H7" s="5179"/>
      <c r="I7" s="5179"/>
      <c r="J7" s="5179"/>
      <c r="K7" s="5179"/>
      <c r="L7" s="5184"/>
      <c r="M7" s="5184"/>
    </row>
    <row r="8" spans="1:23" s="2028" customFormat="1" ht="18" customHeight="1">
      <c r="B8" s="2031" t="s">
        <v>10933</v>
      </c>
      <c r="C8" s="5179" t="s">
        <v>10934</v>
      </c>
      <c r="D8" s="5179"/>
      <c r="E8" s="5179"/>
      <c r="F8" s="5179"/>
      <c r="G8" s="5179"/>
      <c r="H8" s="5179"/>
      <c r="I8" s="5179"/>
      <c r="J8" s="5179"/>
      <c r="K8" s="5179"/>
      <c r="L8" s="5184"/>
      <c r="M8" s="5184"/>
    </row>
    <row r="9" spans="1:23" s="2028" customFormat="1" ht="18" customHeight="1">
      <c r="B9" s="2031" t="s">
        <v>10935</v>
      </c>
      <c r="C9" s="5179" t="s">
        <v>10936</v>
      </c>
      <c r="D9" s="5179"/>
      <c r="E9" s="5179"/>
      <c r="F9" s="5179"/>
      <c r="G9" s="5179"/>
      <c r="H9" s="5179"/>
      <c r="I9" s="5179"/>
      <c r="J9" s="5179"/>
      <c r="K9" s="5179"/>
      <c r="L9" s="5184"/>
      <c r="M9" s="5184"/>
    </row>
    <row r="10" spans="1:23" s="2028" customFormat="1" ht="18" customHeight="1">
      <c r="B10" s="2031" t="s">
        <v>10937</v>
      </c>
      <c r="C10" s="5179" t="s">
        <v>10938</v>
      </c>
      <c r="D10" s="5179"/>
      <c r="E10" s="5179"/>
      <c r="F10" s="5179"/>
      <c r="G10" s="5179"/>
      <c r="H10" s="5179"/>
      <c r="I10" s="5179"/>
      <c r="J10" s="5179"/>
      <c r="K10" s="5179"/>
      <c r="L10" s="5184"/>
      <c r="M10" s="5184"/>
    </row>
    <row r="11" spans="1:23" s="2028" customFormat="1" ht="18" customHeight="1">
      <c r="B11" s="2031"/>
      <c r="C11" s="5180"/>
      <c r="D11" s="5180"/>
      <c r="E11" s="5180"/>
      <c r="F11" s="5180"/>
      <c r="G11" s="5180"/>
      <c r="H11" s="5180"/>
    </row>
    <row r="12" spans="1:23" s="2028" customFormat="1" ht="18" customHeight="1">
      <c r="C12" s="5180"/>
      <c r="D12" s="5180"/>
      <c r="E12" s="5180"/>
      <c r="F12" s="5180"/>
      <c r="G12" s="5180"/>
      <c r="H12" s="5180"/>
    </row>
    <row r="13" spans="1:23" ht="18.75">
      <c r="A13" s="2030" t="s">
        <v>5440</v>
      </c>
      <c r="B13" s="5178" t="s">
        <v>10939</v>
      </c>
      <c r="C13" s="5178"/>
      <c r="D13" s="5178"/>
      <c r="E13" s="5178"/>
      <c r="F13" s="5178"/>
      <c r="G13" s="5178"/>
      <c r="H13" s="5178"/>
      <c r="I13" s="5178"/>
      <c r="J13" s="5178"/>
      <c r="K13" s="5178"/>
    </row>
    <row r="14" spans="1:23" ht="18" customHeight="1">
      <c r="B14" s="1673" t="s">
        <v>216</v>
      </c>
      <c r="C14" s="1673" t="s">
        <v>10940</v>
      </c>
      <c r="D14" s="1673" t="s">
        <v>10941</v>
      </c>
      <c r="E14" s="1673" t="s">
        <v>10942</v>
      </c>
      <c r="F14" s="1672" t="s">
        <v>3877</v>
      </c>
      <c r="G14" s="1672" t="s">
        <v>10118</v>
      </c>
      <c r="H14" s="1672" t="s">
        <v>10120</v>
      </c>
      <c r="I14" s="1672" t="s">
        <v>3894</v>
      </c>
      <c r="J14" s="1672" t="s">
        <v>10943</v>
      </c>
      <c r="K14" s="1672" t="s">
        <v>10944</v>
      </c>
      <c r="M14" s="2053"/>
      <c r="N14" s="1673" t="s">
        <v>216</v>
      </c>
      <c r="O14" s="1673" t="s">
        <v>10940</v>
      </c>
      <c r="P14" s="1673" t="s">
        <v>10941</v>
      </c>
      <c r="Q14" s="1673" t="s">
        <v>10942</v>
      </c>
      <c r="R14" s="1672" t="s">
        <v>3877</v>
      </c>
      <c r="S14" s="1672" t="s">
        <v>10118</v>
      </c>
      <c r="T14" s="1672" t="s">
        <v>10120</v>
      </c>
      <c r="U14" s="1672" t="s">
        <v>3894</v>
      </c>
      <c r="V14" s="1672" t="s">
        <v>10943</v>
      </c>
      <c r="W14" s="1672" t="s">
        <v>10944</v>
      </c>
    </row>
    <row r="15" spans="1:23" ht="18" customHeight="1">
      <c r="B15" s="2032" t="s">
        <v>10945</v>
      </c>
      <c r="C15" s="860">
        <v>11</v>
      </c>
      <c r="D15" s="2033" t="s">
        <v>10946</v>
      </c>
      <c r="E15" s="2034" t="s">
        <v>10947</v>
      </c>
      <c r="F15" s="860">
        <v>0</v>
      </c>
      <c r="G15" s="860">
        <v>0.5</v>
      </c>
      <c r="H15" s="860">
        <v>0.5</v>
      </c>
      <c r="I15" s="860">
        <v>0.5</v>
      </c>
      <c r="J15" s="860">
        <v>0.5</v>
      </c>
      <c r="K15" s="860">
        <v>1</v>
      </c>
      <c r="M15" s="2056"/>
      <c r="N15" s="2032" t="s">
        <v>10945</v>
      </c>
      <c r="O15" s="860">
        <v>11</v>
      </c>
      <c r="P15" s="2033" t="s">
        <v>10946</v>
      </c>
      <c r="Q15" s="2034" t="s">
        <v>10947</v>
      </c>
      <c r="R15" s="860">
        <v>0</v>
      </c>
      <c r="S15" s="860">
        <v>0.5</v>
      </c>
      <c r="T15" s="860">
        <v>0.5</v>
      </c>
      <c r="U15" s="860">
        <v>0.5</v>
      </c>
      <c r="V15" s="860">
        <v>0.5</v>
      </c>
      <c r="W15" s="860">
        <v>1</v>
      </c>
    </row>
    <row r="16" spans="1:23" ht="18" customHeight="1">
      <c r="B16" s="2032" t="s">
        <v>10948</v>
      </c>
      <c r="C16" s="860">
        <v>12</v>
      </c>
      <c r="D16" s="860" t="s">
        <v>10949</v>
      </c>
      <c r="E16" s="2034" t="s">
        <v>10950</v>
      </c>
      <c r="F16" s="860">
        <v>0</v>
      </c>
      <c r="G16" s="860">
        <v>0</v>
      </c>
      <c r="H16" s="860">
        <v>0.5</v>
      </c>
      <c r="I16" s="860">
        <v>0.5</v>
      </c>
      <c r="J16" s="860">
        <v>1</v>
      </c>
      <c r="K16" s="860">
        <v>1</v>
      </c>
      <c r="M16" s="2056"/>
      <c r="N16" s="2032" t="s">
        <v>10948</v>
      </c>
      <c r="O16" s="860">
        <v>12</v>
      </c>
      <c r="P16" s="2033"/>
      <c r="Q16" s="2034" t="s">
        <v>10950</v>
      </c>
      <c r="R16" s="860">
        <v>0</v>
      </c>
      <c r="S16" s="860">
        <v>0</v>
      </c>
      <c r="T16" s="860">
        <v>0.5</v>
      </c>
      <c r="U16" s="860">
        <v>0.5</v>
      </c>
      <c r="V16" s="860">
        <v>1</v>
      </c>
      <c r="W16" s="860">
        <v>1</v>
      </c>
    </row>
    <row r="17" spans="2:23" ht="18" customHeight="1">
      <c r="B17" s="2032" t="s">
        <v>10951</v>
      </c>
      <c r="C17" s="860">
        <v>22</v>
      </c>
      <c r="D17" s="2033" t="s">
        <v>10952</v>
      </c>
      <c r="E17" s="2034" t="s">
        <v>10953</v>
      </c>
      <c r="F17" s="860">
        <v>0.25</v>
      </c>
      <c r="G17" s="860">
        <v>0.25</v>
      </c>
      <c r="H17" s="860">
        <v>0.5</v>
      </c>
      <c r="I17" s="860">
        <v>0.5</v>
      </c>
      <c r="J17" s="860">
        <v>0.75</v>
      </c>
      <c r="K17" s="860">
        <v>0.75</v>
      </c>
      <c r="M17" s="2056"/>
      <c r="N17" s="2032" t="s">
        <v>10951</v>
      </c>
      <c r="O17" s="860">
        <v>22</v>
      </c>
      <c r="P17" s="2033" t="s">
        <v>10952</v>
      </c>
      <c r="Q17" s="2034" t="s">
        <v>10953</v>
      </c>
      <c r="R17" s="860">
        <v>0.25</v>
      </c>
      <c r="S17" s="860">
        <v>0.25</v>
      </c>
      <c r="T17" s="860">
        <v>0.5</v>
      </c>
      <c r="U17" s="860">
        <v>0.5</v>
      </c>
      <c r="V17" s="860">
        <v>0.75</v>
      </c>
      <c r="W17" s="860">
        <v>0.75</v>
      </c>
    </row>
    <row r="18" spans="2:23" ht="18" customHeight="1">
      <c r="B18" s="2032" t="s">
        <v>10954</v>
      </c>
      <c r="C18" s="860">
        <v>25</v>
      </c>
      <c r="D18" s="2033" t="s">
        <v>10955</v>
      </c>
      <c r="E18" s="2034" t="s">
        <v>10956</v>
      </c>
      <c r="F18" s="860">
        <v>0.125</v>
      </c>
      <c r="G18" s="860">
        <v>0.375</v>
      </c>
      <c r="H18" s="860">
        <v>0.5</v>
      </c>
      <c r="I18" s="860">
        <v>0.5</v>
      </c>
      <c r="J18" s="860">
        <v>0.625</v>
      </c>
      <c r="K18" s="860">
        <v>0.875</v>
      </c>
      <c r="M18" s="2056"/>
      <c r="N18" s="2032" t="s">
        <v>10954</v>
      </c>
      <c r="O18" s="860">
        <v>25</v>
      </c>
      <c r="P18" s="2033" t="s">
        <v>10955</v>
      </c>
      <c r="Q18" s="2034" t="s">
        <v>10956</v>
      </c>
      <c r="R18" s="860">
        <v>0.125</v>
      </c>
      <c r="S18" s="860">
        <v>0.375</v>
      </c>
      <c r="T18" s="860">
        <v>0.5</v>
      </c>
      <c r="U18" s="860">
        <v>0.5</v>
      </c>
      <c r="V18" s="860">
        <v>0.625</v>
      </c>
      <c r="W18" s="860">
        <v>0.875</v>
      </c>
    </row>
    <row r="19" spans="2:23" ht="18" customHeight="1">
      <c r="B19" s="2032" t="s">
        <v>10957</v>
      </c>
      <c r="C19" s="860">
        <v>26</v>
      </c>
      <c r="D19" s="2033" t="s">
        <v>10958</v>
      </c>
      <c r="E19" s="2034" t="s">
        <v>10959</v>
      </c>
      <c r="F19" s="860">
        <v>0.125</v>
      </c>
      <c r="G19" s="860">
        <v>0.125</v>
      </c>
      <c r="H19" s="860">
        <v>0.5</v>
      </c>
      <c r="I19" s="860">
        <v>0.5</v>
      </c>
      <c r="J19" s="860">
        <v>0.875</v>
      </c>
      <c r="K19" s="860">
        <v>0.875</v>
      </c>
      <c r="M19" s="2056"/>
      <c r="N19" s="2032" t="s">
        <v>10957</v>
      </c>
      <c r="O19" s="860">
        <v>26</v>
      </c>
      <c r="P19" s="2033" t="s">
        <v>10958</v>
      </c>
      <c r="Q19" s="2034" t="s">
        <v>10959</v>
      </c>
      <c r="R19" s="860">
        <v>0.125</v>
      </c>
      <c r="S19" s="860">
        <v>0.125</v>
      </c>
      <c r="T19" s="860">
        <v>0.5</v>
      </c>
      <c r="U19" s="860">
        <v>0.5</v>
      </c>
      <c r="V19" s="860">
        <v>0.875</v>
      </c>
      <c r="W19" s="860">
        <v>0.875</v>
      </c>
    </row>
    <row r="20" spans="2:23" ht="18" customHeight="1">
      <c r="B20" s="2032" t="s">
        <v>10960</v>
      </c>
      <c r="C20" s="860">
        <v>27</v>
      </c>
      <c r="D20" s="2033" t="s">
        <v>10961</v>
      </c>
      <c r="E20" s="2034" t="s">
        <v>10962</v>
      </c>
      <c r="F20" s="860">
        <v>6.25E-2</v>
      </c>
      <c r="G20" s="860">
        <v>6.25E-2</v>
      </c>
      <c r="H20" s="860">
        <v>0.75</v>
      </c>
      <c r="I20" s="860">
        <v>0.75</v>
      </c>
      <c r="J20" s="860">
        <v>0.9375</v>
      </c>
      <c r="K20" s="860">
        <v>0.9375</v>
      </c>
      <c r="M20" s="2057"/>
      <c r="N20" s="2032" t="s">
        <v>10960</v>
      </c>
      <c r="O20" s="860">
        <v>27</v>
      </c>
      <c r="P20" s="2033" t="s">
        <v>10961</v>
      </c>
      <c r="Q20" s="2034" t="s">
        <v>10962</v>
      </c>
      <c r="R20" s="860">
        <v>6.25E-2</v>
      </c>
      <c r="S20" s="860">
        <v>6.25E-2</v>
      </c>
      <c r="T20" s="860">
        <v>0.75</v>
      </c>
      <c r="U20" s="860">
        <v>0.75</v>
      </c>
      <c r="V20" s="860">
        <v>0.9375</v>
      </c>
      <c r="W20" s="860">
        <v>0.9375</v>
      </c>
    </row>
    <row r="21" spans="2:23" ht="18" customHeight="1">
      <c r="B21" s="2032" t="s">
        <v>10963</v>
      </c>
      <c r="C21" s="860">
        <v>33</v>
      </c>
      <c r="D21" s="2033"/>
      <c r="E21" s="2035" t="s">
        <v>10964</v>
      </c>
      <c r="F21" s="860">
        <v>0.2</v>
      </c>
      <c r="G21" s="860">
        <v>0.2</v>
      </c>
      <c r="H21" s="860">
        <v>0.4</v>
      </c>
      <c r="I21" s="860">
        <v>0.4</v>
      </c>
      <c r="J21" s="860">
        <v>0.7</v>
      </c>
      <c r="K21" s="860">
        <v>0.7</v>
      </c>
      <c r="M21" s="2057"/>
      <c r="N21" s="2032" t="s">
        <v>10963</v>
      </c>
      <c r="O21" s="860">
        <v>33</v>
      </c>
      <c r="P21" s="2033"/>
      <c r="Q21" s="2035" t="s">
        <v>10964</v>
      </c>
      <c r="R21" s="860">
        <v>0.2</v>
      </c>
      <c r="S21" s="860">
        <v>0.2</v>
      </c>
      <c r="T21" s="860">
        <v>0.4</v>
      </c>
      <c r="U21" s="860">
        <v>0.4</v>
      </c>
      <c r="V21" s="860">
        <v>0.7</v>
      </c>
      <c r="W21" s="860">
        <v>0.7</v>
      </c>
    </row>
    <row r="22" spans="2:23" ht="18" customHeight="1">
      <c r="B22" s="2032" t="s">
        <v>10965</v>
      </c>
      <c r="C22" s="860">
        <v>34</v>
      </c>
      <c r="D22" s="2033"/>
      <c r="E22" s="2034" t="s">
        <v>10966</v>
      </c>
      <c r="F22" s="860">
        <v>0.1</v>
      </c>
      <c r="G22" s="860">
        <v>0.3</v>
      </c>
      <c r="H22" s="860">
        <v>0.4</v>
      </c>
      <c r="I22" s="860">
        <v>0.4</v>
      </c>
      <c r="J22" s="860">
        <v>0.55000000000000004</v>
      </c>
      <c r="K22" s="860">
        <v>0.85</v>
      </c>
      <c r="N22" s="2032" t="s">
        <v>10965</v>
      </c>
      <c r="O22" s="860">
        <v>34</v>
      </c>
      <c r="P22" s="2033"/>
      <c r="Q22" s="2034" t="s">
        <v>10966</v>
      </c>
      <c r="R22" s="860">
        <v>0.1</v>
      </c>
      <c r="S22" s="860">
        <v>0.3</v>
      </c>
      <c r="T22" s="860">
        <v>0.4</v>
      </c>
      <c r="U22" s="860">
        <v>0.4</v>
      </c>
      <c r="V22" s="860">
        <v>0.55000000000000004</v>
      </c>
      <c r="W22" s="860">
        <v>0.85</v>
      </c>
    </row>
    <row r="23" spans="2:23" ht="18" customHeight="1">
      <c r="B23" s="2032" t="s">
        <v>10967</v>
      </c>
      <c r="C23" s="667">
        <v>35</v>
      </c>
      <c r="D23" s="2033" t="s">
        <v>10968</v>
      </c>
      <c r="E23" s="2034" t="s">
        <v>10969</v>
      </c>
      <c r="F23" s="860">
        <v>0.125</v>
      </c>
      <c r="G23" s="2036" t="s">
        <v>10970</v>
      </c>
      <c r="H23" s="2036" t="s">
        <v>10971</v>
      </c>
      <c r="I23" s="2036" t="s">
        <v>10971</v>
      </c>
      <c r="J23" s="2036" t="s">
        <v>10971</v>
      </c>
      <c r="K23" s="2036" t="s">
        <v>10971</v>
      </c>
      <c r="N23" s="2032" t="s">
        <v>10967</v>
      </c>
      <c r="O23" s="667">
        <v>35</v>
      </c>
      <c r="P23" s="2033" t="s">
        <v>10968</v>
      </c>
      <c r="Q23" s="2034" t="s">
        <v>10969</v>
      </c>
      <c r="R23" s="860">
        <v>0.125</v>
      </c>
      <c r="S23" s="2061">
        <f>(1.25+0.125*(PI()))/(2*(PI()))</f>
        <v>0.26144367886486902</v>
      </c>
      <c r="T23" s="2061">
        <f>S23+0.125</f>
        <v>0.38644367886486902</v>
      </c>
      <c r="U23" s="2061">
        <f t="shared" ref="U23:W23" si="0">T23</f>
        <v>0.38644367886486902</v>
      </c>
      <c r="V23" s="2061">
        <f t="shared" si="0"/>
        <v>0.38644367886486902</v>
      </c>
      <c r="W23" s="2061">
        <f t="shared" si="0"/>
        <v>0.38644367886486902</v>
      </c>
    </row>
    <row r="24" spans="2:23" ht="18" customHeight="1">
      <c r="B24" s="2032" t="s">
        <v>10972</v>
      </c>
      <c r="C24" s="860">
        <v>43</v>
      </c>
      <c r="D24" s="2033"/>
      <c r="E24" s="2034" t="s">
        <v>10973</v>
      </c>
      <c r="F24" s="860">
        <v>0.25</v>
      </c>
      <c r="G24" s="860">
        <v>0.25</v>
      </c>
      <c r="H24" s="860">
        <v>0.5</v>
      </c>
      <c r="I24" s="860">
        <v>0.5</v>
      </c>
      <c r="J24" s="860">
        <v>1</v>
      </c>
      <c r="K24" s="860">
        <v>1</v>
      </c>
      <c r="N24" s="2032" t="s">
        <v>10972</v>
      </c>
      <c r="O24" s="860">
        <v>43</v>
      </c>
      <c r="P24" s="2033"/>
      <c r="Q24" s="2034" t="s">
        <v>10973</v>
      </c>
      <c r="R24" s="860">
        <v>0.25</v>
      </c>
      <c r="S24" s="860">
        <v>0.25</v>
      </c>
      <c r="T24" s="860">
        <v>0.5</v>
      </c>
      <c r="U24" s="860">
        <v>0.5</v>
      </c>
      <c r="V24" s="860">
        <v>1</v>
      </c>
      <c r="W24" s="860">
        <v>1</v>
      </c>
    </row>
    <row r="25" spans="2:23" ht="18" customHeight="1">
      <c r="B25" s="2032" t="s">
        <v>10974</v>
      </c>
      <c r="C25" s="860">
        <v>44</v>
      </c>
      <c r="D25" s="2033"/>
      <c r="E25" s="2034" t="s">
        <v>10975</v>
      </c>
      <c r="F25" s="860">
        <v>0.2</v>
      </c>
      <c r="G25" s="860">
        <v>0.2</v>
      </c>
      <c r="H25" s="860">
        <v>0.4</v>
      </c>
      <c r="I25" s="860">
        <v>0.4</v>
      </c>
      <c r="J25" s="860">
        <v>1</v>
      </c>
      <c r="K25" s="860">
        <v>1</v>
      </c>
      <c r="N25" s="2032" t="s">
        <v>10974</v>
      </c>
      <c r="O25" s="860">
        <v>44</v>
      </c>
      <c r="P25" s="2033"/>
      <c r="Q25" s="2034" t="s">
        <v>10975</v>
      </c>
      <c r="R25" s="860">
        <v>0.2</v>
      </c>
      <c r="S25" s="860">
        <v>0.2</v>
      </c>
      <c r="T25" s="860">
        <v>0.4</v>
      </c>
      <c r="U25" s="860">
        <v>0.4</v>
      </c>
      <c r="V25" s="860">
        <v>1</v>
      </c>
      <c r="W25" s="860">
        <v>1</v>
      </c>
    </row>
    <row r="26" spans="2:23" ht="18" customHeight="1">
      <c r="B26" s="2032" t="s">
        <v>10976</v>
      </c>
      <c r="C26" s="667">
        <v>45</v>
      </c>
      <c r="D26" s="2033"/>
      <c r="E26" s="2034" t="s">
        <v>10977</v>
      </c>
      <c r="F26" s="860">
        <v>0.125</v>
      </c>
      <c r="G26" s="2037" t="s">
        <v>10978</v>
      </c>
      <c r="H26" s="2037" t="s">
        <v>10979</v>
      </c>
      <c r="I26" s="2037" t="s">
        <v>10979</v>
      </c>
      <c r="J26" s="2037" t="s">
        <v>10979</v>
      </c>
      <c r="K26" s="924">
        <v>1</v>
      </c>
      <c r="N26" s="2032" t="s">
        <v>10976</v>
      </c>
      <c r="O26" s="667">
        <v>45</v>
      </c>
      <c r="P26" s="2033"/>
      <c r="Q26" s="2034" t="s">
        <v>10977</v>
      </c>
      <c r="R26" s="860">
        <v>0.125</v>
      </c>
      <c r="S26" s="2037">
        <f>7/16-0.125*(PI())</f>
        <v>4.4800918301275902E-2</v>
      </c>
      <c r="T26" s="2037">
        <f>S26+0.125</f>
        <v>0.169800918301276</v>
      </c>
      <c r="U26" s="2037">
        <f>T26</f>
        <v>0.169800918301276</v>
      </c>
      <c r="V26" s="2037">
        <f>U26</f>
        <v>0.169800918301276</v>
      </c>
      <c r="W26" s="924">
        <v>1</v>
      </c>
    </row>
    <row r="27" spans="2:23" ht="18" customHeight="1">
      <c r="B27" s="2032" t="s">
        <v>10980</v>
      </c>
      <c r="C27" s="860">
        <v>46</v>
      </c>
      <c r="D27" s="2033"/>
      <c r="E27" s="2034" t="s">
        <v>10981</v>
      </c>
      <c r="F27" s="860">
        <v>0.125</v>
      </c>
      <c r="G27" s="860">
        <v>0.375</v>
      </c>
      <c r="H27" s="860">
        <v>0.5</v>
      </c>
      <c r="I27" s="860">
        <v>0.5</v>
      </c>
      <c r="J27" s="860">
        <v>0.67500000000000004</v>
      </c>
      <c r="K27" s="860">
        <v>1</v>
      </c>
      <c r="N27" s="2032" t="s">
        <v>10980</v>
      </c>
      <c r="O27" s="860">
        <v>46</v>
      </c>
      <c r="P27" s="2033"/>
      <c r="Q27" s="2034" t="s">
        <v>10981</v>
      </c>
      <c r="R27" s="860">
        <v>0.125</v>
      </c>
      <c r="S27" s="860">
        <v>0.375</v>
      </c>
      <c r="T27" s="860">
        <v>0.5</v>
      </c>
      <c r="U27" s="860">
        <v>0.5</v>
      </c>
      <c r="V27" s="860">
        <v>0.67500000000000004</v>
      </c>
      <c r="W27" s="860">
        <v>1</v>
      </c>
    </row>
    <row r="28" spans="2:23" ht="18" customHeight="1">
      <c r="B28" s="2032" t="s">
        <v>10982</v>
      </c>
      <c r="C28" s="667">
        <v>47</v>
      </c>
      <c r="D28" s="2033"/>
      <c r="E28" s="2034" t="s">
        <v>10983</v>
      </c>
      <c r="F28" s="860">
        <v>0.125</v>
      </c>
      <c r="G28" s="2037" t="s">
        <v>10984</v>
      </c>
      <c r="H28" s="2037" t="s">
        <v>10985</v>
      </c>
      <c r="I28" s="2037" t="s">
        <v>10985</v>
      </c>
      <c r="J28" s="2037" t="s">
        <v>10986</v>
      </c>
      <c r="K28" s="924">
        <v>1</v>
      </c>
      <c r="N28" s="2032" t="s">
        <v>10982</v>
      </c>
      <c r="O28" s="667">
        <v>47</v>
      </c>
      <c r="P28" s="2033"/>
      <c r="Q28" s="2034" t="s">
        <v>10983</v>
      </c>
      <c r="R28" s="860">
        <v>0.125</v>
      </c>
      <c r="S28" s="2033" t="s">
        <v>10984</v>
      </c>
      <c r="T28" s="2033" t="s">
        <v>10985</v>
      </c>
      <c r="U28" s="2033" t="s">
        <v>10985</v>
      </c>
      <c r="V28" s="2033" t="s">
        <v>10986</v>
      </c>
      <c r="W28" s="860">
        <v>1</v>
      </c>
    </row>
    <row r="29" spans="2:23" ht="18" customHeight="1">
      <c r="B29" s="2032" t="s">
        <v>10987</v>
      </c>
      <c r="C29" s="860">
        <v>48</v>
      </c>
      <c r="D29" s="2033"/>
      <c r="E29" s="2034" t="s">
        <v>10988</v>
      </c>
      <c r="F29" s="860">
        <v>0.125</v>
      </c>
      <c r="G29" s="860">
        <v>0.125</v>
      </c>
      <c r="H29" s="860">
        <v>0.5</v>
      </c>
      <c r="I29" s="860">
        <v>0.5</v>
      </c>
      <c r="J29" s="860">
        <v>1</v>
      </c>
      <c r="K29" s="860">
        <v>1</v>
      </c>
      <c r="N29" s="2032" t="s">
        <v>10987</v>
      </c>
      <c r="O29" s="860">
        <v>48</v>
      </c>
      <c r="P29" s="2033"/>
      <c r="Q29" s="2034" t="s">
        <v>10988</v>
      </c>
      <c r="R29" s="860">
        <v>0.125</v>
      </c>
      <c r="S29" s="860">
        <v>0.125</v>
      </c>
      <c r="T29" s="860">
        <v>0.5</v>
      </c>
      <c r="U29" s="860">
        <v>0.5</v>
      </c>
      <c r="V29" s="860">
        <v>1</v>
      </c>
      <c r="W29" s="860">
        <v>1</v>
      </c>
    </row>
    <row r="30" spans="2:23" ht="18" customHeight="1">
      <c r="B30" s="2032" t="s">
        <v>10989</v>
      </c>
      <c r="C30" s="667">
        <v>49</v>
      </c>
      <c r="D30" s="2033"/>
      <c r="E30" s="2034" t="s">
        <v>10990</v>
      </c>
      <c r="F30" s="860">
        <v>0.125</v>
      </c>
      <c r="G30" s="2037" t="s">
        <v>10991</v>
      </c>
      <c r="H30" s="2037" t="s">
        <v>10992</v>
      </c>
      <c r="I30" s="2037" t="s">
        <v>10992</v>
      </c>
      <c r="J30" s="924">
        <v>1</v>
      </c>
      <c r="K30" s="924">
        <v>1</v>
      </c>
      <c r="N30" s="2032" t="s">
        <v>10989</v>
      </c>
      <c r="O30" s="667">
        <v>49</v>
      </c>
      <c r="P30" s="2033"/>
      <c r="Q30" s="2034" t="s">
        <v>10990</v>
      </c>
      <c r="R30" s="860">
        <v>0.125</v>
      </c>
      <c r="S30" s="2033" t="s">
        <v>10991</v>
      </c>
      <c r="T30" s="2033" t="s">
        <v>10992</v>
      </c>
      <c r="U30" s="2033" t="s">
        <v>10992</v>
      </c>
      <c r="V30" s="860">
        <v>1</v>
      </c>
      <c r="W30" s="860">
        <v>1</v>
      </c>
    </row>
    <row r="31" spans="2:23" ht="18" customHeight="1">
      <c r="B31" s="2032" t="s">
        <v>10993</v>
      </c>
      <c r="C31" s="860">
        <v>51</v>
      </c>
      <c r="D31" s="2033"/>
      <c r="E31" s="2034" t="s">
        <v>10994</v>
      </c>
      <c r="F31" s="860">
        <v>0</v>
      </c>
      <c r="G31" s="2033">
        <v>0.25</v>
      </c>
      <c r="H31" s="2033">
        <v>0.5</v>
      </c>
      <c r="I31" s="2033">
        <v>0.5</v>
      </c>
      <c r="J31" s="860">
        <v>0.75</v>
      </c>
      <c r="K31" s="860">
        <v>1</v>
      </c>
      <c r="N31" s="2032" t="s">
        <v>10993</v>
      </c>
      <c r="O31" s="860">
        <v>51</v>
      </c>
      <c r="P31" s="2033"/>
      <c r="Q31" s="2034" t="s">
        <v>10994</v>
      </c>
      <c r="R31" s="860">
        <v>0</v>
      </c>
      <c r="S31" s="2033">
        <v>0.25</v>
      </c>
      <c r="T31" s="2033">
        <v>0.5</v>
      </c>
      <c r="U31" s="2033">
        <v>0.5</v>
      </c>
      <c r="V31" s="860">
        <v>0.75</v>
      </c>
      <c r="W31" s="860">
        <v>1</v>
      </c>
    </row>
    <row r="32" spans="2:23" ht="18" customHeight="1">
      <c r="B32" s="2032" t="s">
        <v>10995</v>
      </c>
      <c r="C32" s="860">
        <v>52</v>
      </c>
      <c r="D32" s="2033"/>
      <c r="E32" s="2034" t="s">
        <v>10996</v>
      </c>
      <c r="F32" s="860">
        <v>0</v>
      </c>
      <c r="G32" s="2033">
        <v>0</v>
      </c>
      <c r="H32" s="2033">
        <v>0.75</v>
      </c>
      <c r="I32" s="2033">
        <v>0.75</v>
      </c>
      <c r="J32" s="860">
        <v>1</v>
      </c>
      <c r="K32" s="860">
        <v>1</v>
      </c>
      <c r="N32" s="2032" t="s">
        <v>10995</v>
      </c>
      <c r="O32" s="860">
        <v>52</v>
      </c>
      <c r="P32" s="2033"/>
      <c r="Q32" s="2034" t="s">
        <v>10996</v>
      </c>
      <c r="R32" s="860">
        <v>0</v>
      </c>
      <c r="S32" s="2033">
        <v>0</v>
      </c>
      <c r="T32" s="2033">
        <v>0.75</v>
      </c>
      <c r="U32" s="2033">
        <v>0.75</v>
      </c>
      <c r="V32" s="860">
        <v>1</v>
      </c>
      <c r="W32" s="860">
        <v>1</v>
      </c>
    </row>
    <row r="33" spans="1:23" ht="18" customHeight="1">
      <c r="B33" s="2032" t="s">
        <v>10997</v>
      </c>
      <c r="C33" s="860">
        <v>92</v>
      </c>
      <c r="D33" s="2033"/>
      <c r="E33" s="2034" t="s">
        <v>10998</v>
      </c>
      <c r="F33" s="860">
        <v>0</v>
      </c>
      <c r="G33" s="2033">
        <v>0.25</v>
      </c>
      <c r="H33" s="2038" t="s">
        <v>10999</v>
      </c>
      <c r="I33" s="2038" t="s">
        <v>10999</v>
      </c>
      <c r="J33" s="2038" t="s">
        <v>11000</v>
      </c>
      <c r="K33" s="2038" t="s">
        <v>11000</v>
      </c>
      <c r="N33" s="2032" t="s">
        <v>10997</v>
      </c>
      <c r="O33" s="860">
        <v>92</v>
      </c>
      <c r="P33" s="2033"/>
      <c r="Q33" s="2034" t="s">
        <v>10998</v>
      </c>
      <c r="R33" s="860">
        <v>0</v>
      </c>
      <c r="S33" s="2033">
        <v>0.25</v>
      </c>
      <c r="T33" s="2038" t="s">
        <v>10999</v>
      </c>
      <c r="U33" s="2038" t="s">
        <v>10999</v>
      </c>
      <c r="V33" s="2038" t="s">
        <v>11000</v>
      </c>
      <c r="W33" s="2038" t="s">
        <v>11000</v>
      </c>
    </row>
    <row r="34" spans="1:23" ht="18" customHeight="1">
      <c r="B34" s="2039" t="s">
        <v>1831</v>
      </c>
      <c r="C34" s="2040"/>
      <c r="D34" s="2041" t="s">
        <v>11001</v>
      </c>
      <c r="E34" s="2042"/>
      <c r="F34" s="2043"/>
      <c r="G34" s="2043"/>
      <c r="H34" s="2043"/>
      <c r="I34" s="2043"/>
      <c r="J34" s="2043"/>
      <c r="K34" s="2058"/>
      <c r="N34" s="2039" t="s">
        <v>1831</v>
      </c>
      <c r="O34" s="2040"/>
      <c r="P34" s="2041" t="s">
        <v>11001</v>
      </c>
      <c r="Q34" s="2042"/>
      <c r="R34" s="2043"/>
      <c r="S34" s="2043"/>
      <c r="T34" s="2043"/>
      <c r="U34" s="2043"/>
      <c r="V34" s="2043"/>
      <c r="W34" s="2058"/>
    </row>
    <row r="35" spans="1:23" ht="18" customHeight="1">
      <c r="B35" s="2044"/>
      <c r="D35" s="2045" t="s">
        <v>2677</v>
      </c>
      <c r="E35" s="2046" t="s">
        <v>11002</v>
      </c>
      <c r="G35" s="2047"/>
      <c r="K35" s="2059"/>
      <c r="N35" s="2044"/>
      <c r="P35" s="2045" t="s">
        <v>2677</v>
      </c>
      <c r="Q35" s="2046" t="s">
        <v>11002</v>
      </c>
      <c r="R35" s="2062" t="s">
        <v>1968</v>
      </c>
      <c r="S35" s="2029">
        <f>(1.25+0.125*PI())/(2*PI())</f>
        <v>0.26144367886486902</v>
      </c>
      <c r="W35" s="2059"/>
    </row>
    <row r="36" spans="1:23" ht="18" customHeight="1">
      <c r="B36" s="2044"/>
      <c r="D36" s="2045" t="s">
        <v>2680</v>
      </c>
      <c r="E36" s="2046" t="s">
        <v>11003</v>
      </c>
      <c r="K36" s="2059"/>
      <c r="N36" s="2044"/>
      <c r="P36" s="2045" t="s">
        <v>2680</v>
      </c>
      <c r="Q36" s="2046" t="s">
        <v>11003</v>
      </c>
      <c r="R36" s="2062" t="s">
        <v>1968</v>
      </c>
      <c r="S36" s="2029">
        <f>7/16-0.125*PI()</f>
        <v>4.4800918301275902E-2</v>
      </c>
      <c r="W36" s="2059"/>
    </row>
    <row r="37" spans="1:23" ht="18" customHeight="1">
      <c r="B37" s="2044"/>
      <c r="D37" s="2045" t="s">
        <v>2683</v>
      </c>
      <c r="E37" s="2048" t="s">
        <v>11004</v>
      </c>
      <c r="K37" s="2059"/>
      <c r="N37" s="2044"/>
      <c r="P37" s="2045" t="s">
        <v>2683</v>
      </c>
      <c r="Q37" s="2048" t="s">
        <v>11004</v>
      </c>
      <c r="R37" s="2062" t="s">
        <v>1968</v>
      </c>
      <c r="S37" s="2029">
        <f>0.6*(1-7/(18*PI()))-(5/24)</f>
        <v>0.31739435989044901</v>
      </c>
      <c r="W37" s="2059"/>
    </row>
    <row r="38" spans="1:23" ht="18" customHeight="1">
      <c r="B38" s="2049"/>
      <c r="C38" s="2050"/>
      <c r="D38" s="2051" t="s">
        <v>2686</v>
      </c>
      <c r="E38" s="2052" t="s">
        <v>11005</v>
      </c>
      <c r="F38" s="2050"/>
      <c r="G38" s="2050"/>
      <c r="H38" s="2050"/>
      <c r="I38" s="2050"/>
      <c r="J38" s="2050"/>
      <c r="K38" s="2060"/>
      <c r="N38" s="2049"/>
      <c r="O38" s="2050"/>
      <c r="P38" s="2051" t="s">
        <v>2686</v>
      </c>
      <c r="Q38" s="2052" t="s">
        <v>11005</v>
      </c>
      <c r="R38" s="2062" t="s">
        <v>1968</v>
      </c>
      <c r="S38" s="2050">
        <f>(10+PI())/(16+8*PI())</f>
        <v>0.31949226482417098</v>
      </c>
      <c r="T38" s="2050"/>
      <c r="U38" s="2050"/>
      <c r="V38" s="2050"/>
      <c r="W38" s="2060"/>
    </row>
    <row r="39" spans="1:23" s="2028" customFormat="1" ht="18" customHeight="1">
      <c r="A39" s="2029"/>
      <c r="B39" s="2029"/>
      <c r="C39" s="2029"/>
      <c r="D39" s="2029"/>
      <c r="E39" s="2029"/>
      <c r="F39" s="2029"/>
      <c r="G39" s="2029"/>
      <c r="H39" s="2029"/>
      <c r="I39" s="2029"/>
      <c r="J39" s="2029"/>
      <c r="K39" s="2029"/>
      <c r="L39" s="2029"/>
      <c r="M39" s="2029"/>
      <c r="N39" s="2029"/>
      <c r="O39" s="2029"/>
      <c r="P39" s="2029"/>
      <c r="Q39" s="2029"/>
      <c r="R39" s="2029"/>
      <c r="S39" s="2029"/>
      <c r="T39" s="2029"/>
      <c r="U39" s="2029"/>
      <c r="V39" s="2029"/>
      <c r="W39" s="2029"/>
    </row>
    <row r="40" spans="1:23" ht="18.75">
      <c r="A40" s="2053" t="s">
        <v>5453</v>
      </c>
      <c r="B40" s="5178" t="s">
        <v>11006</v>
      </c>
      <c r="C40" s="5178"/>
      <c r="D40" s="5178"/>
      <c r="E40" s="5178"/>
      <c r="F40" s="5178"/>
      <c r="G40" s="5178"/>
      <c r="H40" s="5178"/>
      <c r="I40" s="5178"/>
    </row>
    <row r="41" spans="1:23" ht="18" customHeight="1">
      <c r="B41" s="1673" t="s">
        <v>216</v>
      </c>
      <c r="C41" s="1673" t="s">
        <v>10940</v>
      </c>
      <c r="D41" s="1673" t="s">
        <v>10941</v>
      </c>
      <c r="E41" s="1673" t="s">
        <v>10942</v>
      </c>
      <c r="F41" s="5181" t="s">
        <v>11007</v>
      </c>
      <c r="G41" s="5182"/>
      <c r="H41" s="5182"/>
      <c r="I41" s="5182"/>
      <c r="J41" s="5182"/>
      <c r="K41" s="5182"/>
      <c r="L41" s="5182"/>
      <c r="M41" s="5182"/>
      <c r="N41" s="5182"/>
      <c r="O41" s="5183"/>
    </row>
    <row r="42" spans="1:23" ht="18" customHeight="1">
      <c r="B42" s="2032" t="s">
        <v>10945</v>
      </c>
      <c r="C42" s="860">
        <v>11</v>
      </c>
      <c r="D42" s="2033" t="s">
        <v>10946</v>
      </c>
      <c r="E42" s="2034" t="s">
        <v>10947</v>
      </c>
      <c r="F42" s="2054" t="s">
        <v>11008</v>
      </c>
      <c r="G42" s="2028"/>
      <c r="H42" s="2028"/>
      <c r="I42" s="2028"/>
      <c r="J42" s="2028"/>
      <c r="K42" s="2028"/>
      <c r="L42" s="2028"/>
      <c r="M42" s="2028"/>
      <c r="N42" s="2028"/>
    </row>
    <row r="43" spans="1:23" ht="18" customHeight="1">
      <c r="B43" s="2032" t="s">
        <v>10948</v>
      </c>
      <c r="C43" s="860">
        <v>12</v>
      </c>
      <c r="D43" s="2033"/>
      <c r="E43" s="2034" t="s">
        <v>10950</v>
      </c>
      <c r="F43" s="2054" t="s">
        <v>11009</v>
      </c>
      <c r="G43" s="2028"/>
      <c r="H43" s="2028"/>
      <c r="I43" s="2028"/>
      <c r="J43" s="2028"/>
      <c r="K43" s="2028"/>
      <c r="L43" s="2028"/>
      <c r="M43" s="2028"/>
      <c r="N43" s="2028"/>
      <c r="O43" s="2028"/>
      <c r="P43" s="2028"/>
    </row>
    <row r="44" spans="1:23" ht="18" customHeight="1">
      <c r="B44" s="2032" t="s">
        <v>10951</v>
      </c>
      <c r="C44" s="860">
        <v>22</v>
      </c>
      <c r="D44" s="2033" t="s">
        <v>10952</v>
      </c>
      <c r="E44" s="2034" t="s">
        <v>10953</v>
      </c>
      <c r="F44" s="2029" t="s">
        <v>11010</v>
      </c>
    </row>
    <row r="45" spans="1:23" ht="18" customHeight="1">
      <c r="B45" s="2032" t="s">
        <v>10954</v>
      </c>
      <c r="C45" s="860">
        <v>25</v>
      </c>
      <c r="D45" s="2033" t="s">
        <v>10955</v>
      </c>
      <c r="E45" s="2034" t="s">
        <v>10956</v>
      </c>
      <c r="F45" s="2029" t="s">
        <v>11011</v>
      </c>
    </row>
    <row r="46" spans="1:23" ht="18" customHeight="1">
      <c r="B46" s="2032" t="s">
        <v>10957</v>
      </c>
      <c r="C46" s="860">
        <v>26</v>
      </c>
      <c r="D46" s="2033" t="s">
        <v>10958</v>
      </c>
      <c r="E46" s="2034" t="s">
        <v>10959</v>
      </c>
      <c r="F46" s="2029" t="s">
        <v>11012</v>
      </c>
    </row>
    <row r="47" spans="1:23" ht="18" customHeight="1">
      <c r="B47" s="2032" t="s">
        <v>10960</v>
      </c>
      <c r="C47" s="860">
        <v>27</v>
      </c>
      <c r="D47" s="2033" t="s">
        <v>10961</v>
      </c>
      <c r="E47" s="2034" t="s">
        <v>10962</v>
      </c>
      <c r="F47" s="2029" t="s">
        <v>11013</v>
      </c>
    </row>
    <row r="48" spans="1:23" ht="18" customHeight="1">
      <c r="B48" s="2032" t="s">
        <v>10963</v>
      </c>
      <c r="C48" s="860">
        <v>33</v>
      </c>
      <c r="D48" s="2033"/>
      <c r="E48" s="2035" t="s">
        <v>10964</v>
      </c>
    </row>
    <row r="49" spans="1:23" ht="18" customHeight="1">
      <c r="B49" s="2032" t="s">
        <v>10965</v>
      </c>
      <c r="C49" s="860">
        <v>34</v>
      </c>
      <c r="D49" s="2033"/>
      <c r="E49" s="2034" t="s">
        <v>10966</v>
      </c>
    </row>
    <row r="50" spans="1:23" ht="18" customHeight="1">
      <c r="B50" s="2032" t="s">
        <v>10967</v>
      </c>
      <c r="C50" s="860">
        <v>35</v>
      </c>
      <c r="D50" s="2033" t="s">
        <v>10968</v>
      </c>
      <c r="E50" s="2034" t="s">
        <v>10969</v>
      </c>
    </row>
    <row r="51" spans="1:23" ht="18" customHeight="1">
      <c r="B51" s="2032" t="s">
        <v>10972</v>
      </c>
      <c r="C51" s="860">
        <v>43</v>
      </c>
      <c r="D51" s="2033"/>
      <c r="E51" s="2034" t="s">
        <v>10973</v>
      </c>
    </row>
    <row r="52" spans="1:23" ht="18" customHeight="1">
      <c r="B52" s="2032" t="s">
        <v>10974</v>
      </c>
      <c r="C52" s="860">
        <v>44</v>
      </c>
      <c r="D52" s="2033"/>
      <c r="E52" s="2034" t="s">
        <v>10975</v>
      </c>
    </row>
    <row r="53" spans="1:23" ht="18" customHeight="1">
      <c r="B53" s="2032" t="s">
        <v>10976</v>
      </c>
      <c r="C53" s="860">
        <v>45</v>
      </c>
      <c r="D53" s="2033"/>
      <c r="E53" s="2034" t="s">
        <v>10977</v>
      </c>
      <c r="F53" s="2029" t="s">
        <v>11014</v>
      </c>
    </row>
    <row r="54" spans="1:23" ht="18" customHeight="1">
      <c r="B54" s="2032" t="s">
        <v>10980</v>
      </c>
      <c r="C54" s="860">
        <v>46</v>
      </c>
      <c r="D54" s="2033"/>
      <c r="E54" s="2034" t="s">
        <v>10981</v>
      </c>
    </row>
    <row r="55" spans="1:23" ht="18" customHeight="1">
      <c r="B55" s="2032" t="s">
        <v>10982</v>
      </c>
      <c r="C55" s="860">
        <v>47</v>
      </c>
      <c r="D55" s="2033"/>
      <c r="E55" s="2034" t="s">
        <v>10983</v>
      </c>
    </row>
    <row r="56" spans="1:23" ht="18" customHeight="1">
      <c r="B56" s="2032" t="s">
        <v>10987</v>
      </c>
      <c r="C56" s="860">
        <v>48</v>
      </c>
      <c r="D56" s="2033"/>
      <c r="E56" s="2034" t="s">
        <v>10988</v>
      </c>
      <c r="F56" s="2029" t="s">
        <v>11015</v>
      </c>
    </row>
    <row r="57" spans="1:23" ht="18" customHeight="1">
      <c r="B57" s="2032" t="s">
        <v>10989</v>
      </c>
      <c r="C57" s="860">
        <v>49</v>
      </c>
      <c r="D57" s="2033"/>
      <c r="E57" s="2034" t="s">
        <v>10990</v>
      </c>
    </row>
    <row r="58" spans="1:23" ht="18" customHeight="1">
      <c r="B58" s="2032" t="s">
        <v>10993</v>
      </c>
      <c r="C58" s="860">
        <v>51</v>
      </c>
      <c r="D58" s="2033"/>
      <c r="E58" s="2034" t="s">
        <v>10994</v>
      </c>
    </row>
    <row r="59" spans="1:23" ht="18" customHeight="1">
      <c r="B59" s="2032" t="s">
        <v>10995</v>
      </c>
      <c r="C59" s="860">
        <v>52</v>
      </c>
      <c r="D59" s="2033"/>
      <c r="E59" s="2034" t="s">
        <v>10996</v>
      </c>
    </row>
    <row r="60" spans="1:23" ht="18" customHeight="1">
      <c r="B60" s="2032" t="s">
        <v>10997</v>
      </c>
      <c r="C60" s="860">
        <v>92</v>
      </c>
      <c r="D60" s="2033"/>
      <c r="E60" s="2034" t="s">
        <v>10998</v>
      </c>
    </row>
    <row r="61" spans="1:23" s="2028" customFormat="1" ht="18" customHeight="1">
      <c r="A61" s="2029"/>
      <c r="B61" s="2029"/>
      <c r="C61" s="2029"/>
      <c r="D61" s="2029"/>
      <c r="E61" s="2029"/>
      <c r="F61" s="2029"/>
      <c r="G61" s="2029"/>
      <c r="H61" s="2029"/>
      <c r="I61" s="2029"/>
      <c r="J61" s="2029"/>
      <c r="K61" s="2029"/>
      <c r="L61" s="2029"/>
      <c r="M61" s="2029"/>
      <c r="N61" s="2029"/>
      <c r="O61" s="2029"/>
      <c r="P61" s="2029"/>
      <c r="Q61" s="2029"/>
      <c r="R61" s="2029"/>
      <c r="S61" s="2029"/>
      <c r="T61" s="2029"/>
      <c r="U61" s="2029"/>
      <c r="V61" s="2029"/>
      <c r="W61" s="2029"/>
    </row>
    <row r="62" spans="1:23" s="2028" customFormat="1" ht="18" customHeight="1">
      <c r="A62" s="2029"/>
      <c r="B62" s="2029"/>
      <c r="C62" s="2029"/>
      <c r="D62" s="2029"/>
      <c r="E62" s="2029"/>
      <c r="F62" s="2029"/>
      <c r="G62" s="2029"/>
      <c r="H62" s="2029"/>
      <c r="I62" s="2029"/>
      <c r="J62" s="2029"/>
      <c r="K62" s="2029"/>
      <c r="L62" s="2029"/>
      <c r="M62" s="2029"/>
      <c r="N62" s="2029"/>
      <c r="O62" s="2029"/>
      <c r="P62" s="2029"/>
      <c r="Q62" s="2029"/>
      <c r="R62" s="2029"/>
      <c r="S62" s="2029"/>
      <c r="T62" s="2029"/>
      <c r="U62" s="2029"/>
      <c r="V62" s="2029"/>
      <c r="W62" s="2029"/>
    </row>
    <row r="63" spans="1:23" ht="18.75">
      <c r="A63" s="2053" t="s">
        <v>5485</v>
      </c>
      <c r="B63" s="5178" t="s">
        <v>11016</v>
      </c>
      <c r="C63" s="5178"/>
      <c r="D63" s="5178"/>
      <c r="E63" s="5178"/>
      <c r="F63" s="5178"/>
      <c r="G63" s="5178"/>
      <c r="H63" s="5178"/>
      <c r="I63" s="5178"/>
    </row>
    <row r="64" spans="1:23" s="2028" customFormat="1" ht="18" customHeight="1">
      <c r="B64" s="2028" t="s">
        <v>10945</v>
      </c>
      <c r="C64" s="2055" t="s">
        <v>11017</v>
      </c>
    </row>
    <row r="65" spans="2:16" s="2028" customFormat="1" ht="18" customHeight="1">
      <c r="C65" s="2063" t="s">
        <v>261</v>
      </c>
      <c r="D65" s="2064" t="s">
        <v>11018</v>
      </c>
      <c r="E65" s="2064"/>
      <c r="F65" s="2064"/>
      <c r="G65" s="2064"/>
      <c r="H65" s="2064"/>
      <c r="I65" s="2064"/>
      <c r="J65" s="2064"/>
      <c r="K65" s="2064"/>
      <c r="L65" s="2064"/>
      <c r="M65" s="2064"/>
      <c r="N65" s="2064"/>
      <c r="O65" s="2064"/>
      <c r="P65" s="2064"/>
    </row>
    <row r="66" spans="2:16" s="2028" customFormat="1" ht="18" customHeight="1">
      <c r="C66" s="2064"/>
      <c r="D66" s="2064" t="s">
        <v>11019</v>
      </c>
      <c r="E66" s="2064"/>
      <c r="F66" s="2064"/>
      <c r="G66" s="2064"/>
      <c r="H66" s="2064"/>
      <c r="I66" s="2064"/>
      <c r="J66" s="2064"/>
      <c r="K66" s="2064"/>
      <c r="L66" s="2064"/>
      <c r="M66" s="2064"/>
      <c r="N66" s="2064"/>
      <c r="O66" s="2064"/>
      <c r="P66" s="2064"/>
    </row>
    <row r="67" spans="2:16" s="2028" customFormat="1" ht="18" customHeight="1">
      <c r="C67" s="2064"/>
      <c r="D67" s="2064" t="s">
        <v>11020</v>
      </c>
      <c r="E67" s="2064"/>
      <c r="F67" s="2064"/>
      <c r="G67" s="2064"/>
      <c r="H67" s="2064"/>
      <c r="I67" s="2064"/>
      <c r="J67" s="2064"/>
      <c r="K67" s="2064"/>
      <c r="L67" s="2064"/>
      <c r="M67" s="2064"/>
      <c r="N67" s="2064"/>
      <c r="O67" s="2064"/>
      <c r="P67" s="2064"/>
    </row>
    <row r="68" spans="2:16" s="2028" customFormat="1" ht="18" customHeight="1">
      <c r="C68" s="2064"/>
      <c r="D68" s="2064"/>
      <c r="E68" s="2064"/>
      <c r="F68" s="2064"/>
      <c r="G68" s="2064"/>
      <c r="H68" s="2064"/>
      <c r="I68" s="2064"/>
      <c r="J68" s="2064"/>
      <c r="K68" s="2064"/>
      <c r="L68" s="2064"/>
      <c r="M68" s="2064"/>
      <c r="N68" s="2064"/>
      <c r="O68" s="2064"/>
      <c r="P68" s="2064"/>
    </row>
    <row r="69" spans="2:16" s="2028" customFormat="1" ht="18" customHeight="1">
      <c r="B69" s="2055" t="s">
        <v>10948</v>
      </c>
      <c r="C69" s="2064" t="s">
        <v>11021</v>
      </c>
      <c r="D69" s="2064"/>
      <c r="E69" s="2064"/>
      <c r="F69" s="2064"/>
      <c r="G69" s="2064"/>
      <c r="H69" s="2064"/>
      <c r="I69" s="2064"/>
      <c r="J69" s="2064"/>
      <c r="K69" s="2064"/>
      <c r="L69" s="2064"/>
      <c r="M69" s="2064"/>
      <c r="N69" s="2064"/>
      <c r="O69" s="2064"/>
      <c r="P69" s="2064"/>
    </row>
    <row r="70" spans="2:16" s="2028" customFormat="1" ht="18" customHeight="1">
      <c r="C70" s="2064" t="s">
        <v>262</v>
      </c>
      <c r="D70" s="2064" t="s">
        <v>11022</v>
      </c>
      <c r="E70" s="2064"/>
      <c r="F70" s="2064"/>
      <c r="G70" s="2064"/>
      <c r="H70" s="2064"/>
      <c r="I70" s="2064"/>
      <c r="J70" s="2064"/>
      <c r="K70" s="2064"/>
      <c r="L70" s="2064"/>
      <c r="M70" s="2064"/>
      <c r="N70" s="2064"/>
      <c r="O70" s="2064"/>
      <c r="P70" s="2064"/>
    </row>
    <row r="71" spans="2:16" s="2028" customFormat="1" ht="18" customHeight="1">
      <c r="C71" s="2064"/>
      <c r="D71" s="2064" t="s">
        <v>11023</v>
      </c>
      <c r="E71" s="2064"/>
      <c r="F71" s="2064"/>
      <c r="G71" s="2064"/>
      <c r="H71" s="2064"/>
      <c r="I71" s="2064"/>
      <c r="J71" s="2064"/>
      <c r="K71" s="2064"/>
      <c r="L71" s="2064"/>
      <c r="M71" s="2064"/>
      <c r="N71" s="2064"/>
      <c r="O71" s="2064"/>
      <c r="P71" s="2064"/>
    </row>
    <row r="72" spans="2:16" s="2028" customFormat="1" ht="18" customHeight="1">
      <c r="C72" s="2064"/>
      <c r="D72" s="2064" t="s">
        <v>11024</v>
      </c>
      <c r="E72" s="2064"/>
      <c r="F72" s="2064"/>
      <c r="G72" s="2064"/>
      <c r="H72" s="2064"/>
      <c r="I72" s="2064"/>
      <c r="J72" s="2064"/>
      <c r="K72" s="2064"/>
      <c r="L72" s="2064"/>
      <c r="M72" s="2064"/>
      <c r="N72" s="2064"/>
      <c r="O72" s="2064"/>
      <c r="P72" s="2064"/>
    </row>
    <row r="73" spans="2:16" s="2028" customFormat="1" ht="18" customHeight="1">
      <c r="C73" s="2064"/>
      <c r="D73" s="2064"/>
      <c r="E73" s="2064"/>
      <c r="F73" s="2064"/>
      <c r="G73" s="2064"/>
      <c r="H73" s="2064"/>
      <c r="I73" s="2064"/>
      <c r="J73" s="2064"/>
      <c r="K73" s="2064"/>
      <c r="L73" s="2064"/>
      <c r="M73" s="2064"/>
      <c r="N73" s="2064"/>
      <c r="O73" s="2064"/>
      <c r="P73" s="2064"/>
    </row>
    <row r="74" spans="2:16" s="2028" customFormat="1" ht="18" customHeight="1">
      <c r="B74" s="2055" t="s">
        <v>10951</v>
      </c>
      <c r="C74" s="2064" t="s">
        <v>11025</v>
      </c>
      <c r="D74" s="2064"/>
      <c r="E74" s="2064"/>
      <c r="F74" s="2064"/>
      <c r="G74" s="2064"/>
      <c r="H74" s="2064"/>
      <c r="I74" s="2064"/>
      <c r="J74" s="2064"/>
      <c r="K74" s="2064"/>
      <c r="L74" s="2064"/>
      <c r="M74" s="2064"/>
      <c r="N74" s="2064"/>
      <c r="O74" s="2064"/>
      <c r="P74" s="2064"/>
    </row>
    <row r="75" spans="2:16" s="2028" customFormat="1" ht="18" customHeight="1">
      <c r="C75" s="2064" t="s">
        <v>11026</v>
      </c>
      <c r="D75" s="2064" t="s">
        <v>11027</v>
      </c>
      <c r="E75" s="2064"/>
      <c r="F75" s="2064"/>
      <c r="G75" s="2064"/>
      <c r="H75" s="2064"/>
      <c r="I75" s="2064"/>
      <c r="J75" s="2064"/>
      <c r="K75" s="2064"/>
      <c r="L75" s="2064"/>
      <c r="M75" s="2064"/>
      <c r="N75" s="2064"/>
      <c r="O75" s="2064"/>
      <c r="P75" s="2064"/>
    </row>
    <row r="76" spans="2:16" s="2028" customFormat="1" ht="18" customHeight="1">
      <c r="C76" s="2064"/>
      <c r="D76" s="2064" t="s">
        <v>11028</v>
      </c>
      <c r="E76" s="2064"/>
      <c r="F76" s="2064"/>
      <c r="G76" s="2064"/>
      <c r="H76" s="2064"/>
      <c r="I76" s="2064"/>
      <c r="J76" s="2064"/>
      <c r="K76" s="2064"/>
      <c r="L76" s="2064"/>
      <c r="M76" s="2064"/>
      <c r="N76" s="2064"/>
      <c r="O76" s="2064"/>
      <c r="P76" s="2064"/>
    </row>
    <row r="77" spans="2:16" s="2028" customFormat="1" ht="18" customHeight="1">
      <c r="D77" s="2055" t="s">
        <v>11029</v>
      </c>
    </row>
    <row r="78" spans="2:16" s="2028" customFormat="1" ht="18" customHeight="1"/>
    <row r="79" spans="2:16" s="2028" customFormat="1" ht="18" customHeight="1">
      <c r="B79" s="2055" t="s">
        <v>10954</v>
      </c>
      <c r="C79" s="2055" t="s">
        <v>11030</v>
      </c>
    </row>
    <row r="80" spans="2:16" s="2028" customFormat="1" ht="18" customHeight="1">
      <c r="C80" s="2028" t="s">
        <v>11031</v>
      </c>
      <c r="D80" s="2055" t="s">
        <v>11032</v>
      </c>
    </row>
    <row r="81" spans="2:9" s="2028" customFormat="1" ht="18" customHeight="1">
      <c r="D81" s="2055" t="s">
        <v>11033</v>
      </c>
    </row>
    <row r="82" spans="2:9" s="2028" customFormat="1" ht="18" customHeight="1"/>
    <row r="83" spans="2:9" s="2028" customFormat="1" ht="18" customHeight="1">
      <c r="B83" s="2055" t="s">
        <v>10957</v>
      </c>
      <c r="C83" s="2055" t="s">
        <v>11034</v>
      </c>
    </row>
    <row r="84" spans="2:9" s="2028" customFormat="1" ht="18" customHeight="1">
      <c r="C84" s="2028" t="s">
        <v>11035</v>
      </c>
      <c r="D84" s="2055" t="s">
        <v>11036</v>
      </c>
    </row>
    <row r="85" spans="2:9" s="2028" customFormat="1" ht="18" customHeight="1">
      <c r="D85" s="2064" t="s">
        <v>11037</v>
      </c>
      <c r="E85" s="2064"/>
      <c r="F85" s="2064"/>
      <c r="G85" s="2064"/>
      <c r="H85" s="2064"/>
    </row>
    <row r="86" spans="2:9" s="2028" customFormat="1" ht="18" customHeight="1">
      <c r="D86" s="2064" t="s">
        <v>11038</v>
      </c>
      <c r="E86" s="2064"/>
      <c r="F86" s="2064"/>
      <c r="G86" s="2064"/>
      <c r="H86" s="2064"/>
    </row>
    <row r="87" spans="2:9" s="2028" customFormat="1" ht="18" customHeight="1"/>
    <row r="88" spans="2:9" s="2028" customFormat="1" ht="18" customHeight="1"/>
    <row r="89" spans="2:9" s="2028" customFormat="1" ht="18" customHeight="1">
      <c r="B89" s="5179"/>
      <c r="C89" s="5179"/>
      <c r="D89" s="5179"/>
      <c r="E89" s="5179"/>
      <c r="F89" s="5179"/>
      <c r="G89" s="5179"/>
      <c r="H89" s="5179"/>
      <c r="I89" s="5179"/>
    </row>
    <row r="90" spans="2:9" s="2028" customFormat="1" ht="18" customHeight="1"/>
    <row r="91" spans="2:9" s="2028" customFormat="1" ht="18" customHeight="1"/>
    <row r="92" spans="2:9" s="2028" customFormat="1" ht="18" customHeight="1"/>
    <row r="93" spans="2:9" s="2028" customFormat="1" ht="18" customHeight="1">
      <c r="F93" s="5179"/>
    </row>
    <row r="94" spans="2:9" s="2028" customFormat="1" ht="18" customHeight="1">
      <c r="F94" s="5179"/>
    </row>
    <row r="95" spans="2:9" s="2028" customFormat="1" ht="18" customHeight="1"/>
    <row r="96" spans="2:9" s="2028" customFormat="1" ht="18" customHeight="1"/>
    <row r="97" s="2028" customFormat="1" ht="18" customHeight="1"/>
    <row r="98" s="2028" customFormat="1" ht="18" customHeight="1"/>
    <row r="99" s="2028" customFormat="1" ht="18" customHeight="1"/>
    <row r="100" s="2028" customFormat="1" ht="18" customHeight="1"/>
    <row r="101" s="2028" customFormat="1" ht="18" customHeight="1"/>
    <row r="102" s="2028" customFormat="1" ht="18" customHeight="1"/>
    <row r="103" s="2028" customFormat="1" ht="18" customHeight="1"/>
    <row r="104" s="2028" customFormat="1" ht="18" customHeight="1"/>
    <row r="105" s="2028" customFormat="1" ht="18" customHeight="1"/>
    <row r="106" s="2028" customFormat="1" ht="18" customHeight="1"/>
    <row r="107" s="2028" customFormat="1" ht="18" customHeight="1"/>
    <row r="108" s="2028" customFormat="1" ht="18" customHeight="1"/>
    <row r="109" s="2028" customFormat="1" ht="18" customHeight="1"/>
    <row r="110" s="2028" customFormat="1" ht="18" customHeight="1"/>
    <row r="111" s="2028" customFormat="1" ht="18" customHeight="1"/>
    <row r="112" s="2028" customFormat="1" ht="18" customHeight="1"/>
    <row r="113" s="2028" customFormat="1" ht="18" customHeight="1"/>
    <row r="114" s="2028" customFormat="1" ht="18" customHeight="1"/>
    <row r="115" s="2028" customFormat="1" ht="18" customHeight="1"/>
    <row r="116" s="2028" customFormat="1" ht="18" customHeight="1"/>
    <row r="117" s="2028" customFormat="1" ht="18" customHeight="1"/>
    <row r="118" s="2028" customFormat="1" ht="18" customHeight="1"/>
    <row r="119" s="2028" customFormat="1" ht="18" customHeight="1"/>
    <row r="120" s="2028" customFormat="1" ht="18" customHeight="1"/>
    <row r="121" s="2028" customFormat="1" ht="18" customHeight="1"/>
    <row r="122" s="2028" customFormat="1" ht="18" customHeight="1"/>
    <row r="123" s="2028" customFormat="1" ht="18" customHeight="1"/>
    <row r="124" s="2028" customFormat="1" ht="18" customHeight="1"/>
    <row r="125" s="2028" customFormat="1" ht="18" customHeight="1"/>
    <row r="126" s="2028" customFormat="1" ht="18" customHeight="1"/>
    <row r="127" s="2028" customFormat="1" ht="18" customHeight="1"/>
    <row r="128" s="2028" customFormat="1" ht="18" customHeight="1"/>
    <row r="129" s="2028" customFormat="1" ht="18" customHeight="1"/>
    <row r="130" s="2028" customFormat="1" ht="18" customHeight="1"/>
    <row r="131" s="2028" customFormat="1" ht="18" customHeight="1"/>
    <row r="132" s="2028" customFormat="1" ht="18" customHeight="1"/>
    <row r="133" s="2028" customFormat="1" ht="18" customHeight="1"/>
    <row r="134" s="2028" customFormat="1" ht="18" customHeight="1"/>
    <row r="135" s="2028" customFormat="1" ht="18" customHeight="1"/>
    <row r="136" s="2028" customFormat="1" ht="18" customHeight="1"/>
    <row r="137" s="2028" customFormat="1" ht="18" customHeight="1"/>
    <row r="138" s="2028" customFormat="1" ht="18" customHeight="1"/>
    <row r="139" s="2028" customFormat="1" ht="18" customHeight="1"/>
    <row r="140" s="2028" customFormat="1" ht="18" customHeight="1"/>
    <row r="141" s="2028" customFormat="1" ht="18" customHeight="1"/>
    <row r="142" s="2028" customFormat="1" ht="18" customHeight="1"/>
    <row r="143" s="2028" customFormat="1" ht="18" customHeight="1"/>
    <row r="144" s="2028" customFormat="1" ht="18" customHeight="1"/>
    <row r="145" s="2028" customFormat="1" ht="18" customHeight="1"/>
    <row r="146" s="2028" customFormat="1" ht="18" customHeight="1"/>
    <row r="147" s="2028" customFormat="1" ht="18" customHeight="1"/>
    <row r="148" s="2028" customFormat="1" ht="18" customHeight="1"/>
    <row r="149" s="2028" customFormat="1" ht="18" customHeight="1"/>
    <row r="150" s="2028" customFormat="1" ht="18" customHeight="1"/>
    <row r="151" s="2028" customFormat="1" ht="18" customHeight="1"/>
    <row r="152" s="2028" customFormat="1" ht="18" customHeight="1"/>
    <row r="153" s="2028" customFormat="1" ht="18" customHeight="1"/>
    <row r="154" s="2028" customFormat="1" ht="18" customHeight="1"/>
    <row r="155" s="2028" customFormat="1" ht="18" customHeight="1"/>
    <row r="156" s="2028" customFormat="1" ht="18" customHeight="1"/>
    <row r="157" s="2028" customFormat="1" ht="18" customHeight="1"/>
    <row r="158" s="2028" customFormat="1" ht="18" customHeight="1"/>
    <row r="159" s="2028" customFormat="1" ht="18" customHeight="1"/>
    <row r="160" s="2028" customFormat="1" ht="18" customHeight="1"/>
    <row r="161" s="2028" customFormat="1" ht="18" customHeight="1"/>
    <row r="162" s="2028" customFormat="1" ht="18" customHeight="1"/>
    <row r="163" s="2028" customFormat="1" ht="18" customHeight="1"/>
    <row r="164" s="2028" customFormat="1" ht="18" customHeight="1"/>
    <row r="165" s="2028" customFormat="1" ht="18" customHeight="1"/>
    <row r="166" s="2028" customFormat="1" ht="18" customHeight="1"/>
    <row r="167" s="2028" customFormat="1"/>
    <row r="168" s="2028" customFormat="1"/>
    <row r="169" s="2028" customFormat="1"/>
    <row r="170" s="2028" customFormat="1"/>
    <row r="171" s="2028" customFormat="1"/>
    <row r="172" s="2028" customFormat="1"/>
    <row r="173" s="2028" customFormat="1"/>
    <row r="174" s="2028" customFormat="1"/>
    <row r="175" s="2028" customFormat="1"/>
    <row r="176" s="2028" customFormat="1"/>
    <row r="177" s="2028" customFormat="1"/>
    <row r="178" s="2028" customFormat="1"/>
    <row r="179" s="2028" customFormat="1"/>
    <row r="180" s="2028" customFormat="1"/>
    <row r="181" s="2028" customFormat="1"/>
    <row r="182" s="2028" customFormat="1"/>
    <row r="183" s="2028" customFormat="1"/>
    <row r="184" s="2028" customFormat="1"/>
    <row r="185" s="2028" customFormat="1"/>
    <row r="186" s="2028" customFormat="1"/>
    <row r="187" s="2028" customFormat="1"/>
    <row r="188" s="2028" customFormat="1"/>
    <row r="189" s="2028" customFormat="1"/>
    <row r="190" s="2028" customFormat="1"/>
    <row r="191" s="2028" customFormat="1"/>
    <row r="192" s="2028" customFormat="1"/>
    <row r="193" s="2028" customFormat="1"/>
    <row r="194" s="2028" customFormat="1"/>
    <row r="195" s="2028" customFormat="1"/>
    <row r="196" s="2028" customFormat="1"/>
    <row r="197" s="2028" customFormat="1"/>
    <row r="198" s="2028" customFormat="1"/>
    <row r="199" s="2028" customFormat="1"/>
    <row r="200" s="2028" customFormat="1"/>
    <row r="201" s="2028" customFormat="1"/>
    <row r="202" s="2028" customFormat="1"/>
    <row r="203" s="2028" customFormat="1"/>
    <row r="204" s="2028" customFormat="1"/>
    <row r="205" s="2028" customFormat="1"/>
    <row r="206" s="2028" customFormat="1"/>
    <row r="207" s="2028" customFormat="1"/>
    <row r="208" s="2028" customFormat="1"/>
    <row r="209" s="2028" customFormat="1"/>
    <row r="210" s="2028" customFormat="1"/>
    <row r="211" s="2028" customFormat="1"/>
    <row r="212" s="2028" customFormat="1"/>
    <row r="213" s="2028" customFormat="1"/>
    <row r="214" s="2028" customFormat="1"/>
    <row r="215" s="2028" customFormat="1"/>
    <row r="216" s="2028" customFormat="1"/>
    <row r="217" s="2028" customFormat="1"/>
    <row r="218" s="2028" customFormat="1"/>
    <row r="219" s="2028" customFormat="1"/>
    <row r="220" s="2028" customFormat="1"/>
    <row r="221" s="2028" customFormat="1"/>
    <row r="222" s="2028" customFormat="1"/>
    <row r="223" s="2028" customFormat="1"/>
    <row r="224" s="2028" customFormat="1"/>
    <row r="225" s="2028" customFormat="1"/>
    <row r="226" s="2028" customFormat="1"/>
    <row r="227" s="2028" customFormat="1"/>
    <row r="228" s="2028" customFormat="1"/>
    <row r="229" s="2028" customFormat="1"/>
    <row r="230" s="2028" customFormat="1"/>
    <row r="231" s="2028" customFormat="1"/>
    <row r="232" s="2028" customFormat="1"/>
    <row r="233" s="2028" customFormat="1"/>
    <row r="234" s="2028" customFormat="1"/>
    <row r="235" s="2028" customFormat="1"/>
    <row r="236" s="2028" customFormat="1"/>
    <row r="237" s="2028" customFormat="1"/>
    <row r="238" s="2028" customFormat="1"/>
    <row r="239" s="2028" customFormat="1"/>
    <row r="240" s="2028" customFormat="1"/>
    <row r="241" s="2028" customFormat="1"/>
    <row r="242" s="2028" customFormat="1"/>
    <row r="243" s="2028" customFormat="1"/>
    <row r="244" s="2028" customFormat="1"/>
    <row r="245" s="2028" customFormat="1"/>
    <row r="246" s="2028" customFormat="1"/>
    <row r="247" s="2028" customFormat="1"/>
    <row r="248" s="2028" customFormat="1"/>
    <row r="249" s="2028" customFormat="1"/>
    <row r="250" s="2028" customFormat="1"/>
    <row r="251" s="2028" customFormat="1"/>
    <row r="252" s="2028" customFormat="1"/>
    <row r="253" s="2028" customFormat="1"/>
    <row r="254" s="2028" customFormat="1"/>
    <row r="255" s="2028" customFormat="1"/>
    <row r="256" s="2028" customFormat="1"/>
    <row r="257" s="2028" customFormat="1"/>
    <row r="258" s="2028" customFormat="1"/>
    <row r="259" s="2028" customFormat="1"/>
    <row r="260" s="2028" customFormat="1"/>
    <row r="261" s="2028" customFormat="1"/>
    <row r="262" s="2028" customFormat="1"/>
    <row r="263" s="2028" customFormat="1"/>
    <row r="264" s="2028" customFormat="1"/>
    <row r="265" s="2028" customFormat="1"/>
    <row r="266" s="2028" customFormat="1"/>
    <row r="267" s="2028" customFormat="1"/>
    <row r="268" s="2028" customFormat="1"/>
    <row r="269" s="2028" customFormat="1"/>
    <row r="270" s="2028" customFormat="1"/>
    <row r="271" s="2028" customFormat="1"/>
    <row r="272" s="2028" customFormat="1"/>
    <row r="273" s="2028" customFormat="1"/>
    <row r="274" s="2028" customFormat="1"/>
    <row r="275" s="2028" customFormat="1"/>
    <row r="276" s="2028" customFormat="1"/>
    <row r="277" s="2028" customFormat="1"/>
    <row r="278" s="2028" customFormat="1"/>
    <row r="279" s="2028" customFormat="1"/>
    <row r="280" s="2028" customFormat="1"/>
    <row r="281" s="2028" customFormat="1"/>
    <row r="282" s="2028" customFormat="1"/>
    <row r="283" s="2028" customFormat="1"/>
    <row r="284" s="2028" customFormat="1"/>
    <row r="285" s="2028" customFormat="1"/>
    <row r="286" s="2028" customFormat="1"/>
    <row r="287" s="2028" customFormat="1"/>
    <row r="288" s="2028" customFormat="1"/>
    <row r="289" s="2028" customFormat="1"/>
    <row r="290" s="2028" customFormat="1"/>
    <row r="291" s="2028" customFormat="1"/>
    <row r="292" s="2028" customFormat="1"/>
    <row r="293" s="2028" customFormat="1"/>
    <row r="294" s="2028" customFormat="1"/>
    <row r="295" s="2028" customFormat="1"/>
    <row r="296" s="2028" customFormat="1"/>
    <row r="297" s="2028" customFormat="1"/>
    <row r="298" s="2028" customFormat="1"/>
    <row r="299" s="2028" customFormat="1"/>
    <row r="300" s="2028" customFormat="1"/>
    <row r="301" s="2028" customFormat="1"/>
    <row r="302" s="2028" customFormat="1"/>
    <row r="303" s="2028" customFormat="1"/>
    <row r="304" s="2028" customFormat="1"/>
    <row r="305" s="2028" customFormat="1"/>
    <row r="306" s="2028" customFormat="1"/>
    <row r="307" s="2028" customFormat="1"/>
    <row r="308" s="2028" customFormat="1"/>
    <row r="309" s="2028" customFormat="1"/>
    <row r="310" s="2028" customFormat="1"/>
    <row r="311" s="2028" customFormat="1"/>
    <row r="312" s="2028" customFormat="1"/>
    <row r="313" s="2028" customFormat="1"/>
    <row r="314" s="2028" customFormat="1"/>
    <row r="315" s="2028" customFormat="1"/>
    <row r="316" s="2028" customFormat="1"/>
    <row r="317" s="2028" customFormat="1"/>
    <row r="318" s="2028" customFormat="1"/>
    <row r="319" s="2028" customFormat="1"/>
    <row r="320" s="2028" customFormat="1"/>
    <row r="321" s="2028" customFormat="1"/>
    <row r="322" s="2028" customFormat="1"/>
    <row r="323" s="2028" customFormat="1"/>
    <row r="324" s="2028" customFormat="1"/>
    <row r="325" s="2028" customFormat="1"/>
    <row r="326" s="2028" customFormat="1"/>
    <row r="327" s="2028" customFormat="1"/>
    <row r="328" s="2028" customFormat="1"/>
    <row r="329" s="2028" customFormat="1"/>
    <row r="330" s="2028" customFormat="1"/>
    <row r="331" s="2028" customFormat="1"/>
    <row r="332" s="2028" customFormat="1"/>
    <row r="333" s="2028" customFormat="1"/>
    <row r="334" s="2028" customFormat="1"/>
    <row r="335" s="2028" customFormat="1"/>
    <row r="336" s="2028" customFormat="1"/>
    <row r="337" s="2028" customFormat="1"/>
    <row r="338" s="2028" customFormat="1"/>
    <row r="339" s="2028" customFormat="1"/>
    <row r="340" s="2028" customFormat="1"/>
    <row r="341" s="2028" customFormat="1"/>
    <row r="342" s="2028" customFormat="1"/>
    <row r="343" s="2028" customFormat="1"/>
    <row r="344" s="2028" customFormat="1"/>
    <row r="345" s="2028" customFormat="1"/>
    <row r="346" s="2028" customFormat="1"/>
    <row r="347" s="2028" customFormat="1"/>
    <row r="348" s="2028" customFormat="1"/>
    <row r="349" s="2028" customFormat="1"/>
    <row r="350" s="2028" customFormat="1"/>
    <row r="351" s="2028" customFormat="1"/>
    <row r="352" s="2028" customFormat="1"/>
    <row r="353" s="2028" customFormat="1"/>
    <row r="354" s="2028" customFormat="1"/>
    <row r="355" s="2028" customFormat="1"/>
    <row r="356" s="2028" customFormat="1"/>
    <row r="357" s="2028" customFormat="1"/>
    <row r="358" s="2028" customFormat="1"/>
    <row r="359" s="2028" customFormat="1"/>
    <row r="360" s="2028" customFormat="1"/>
    <row r="361" s="2028" customFormat="1"/>
    <row r="362" s="2028" customFormat="1"/>
    <row r="363" s="2028" customFormat="1"/>
    <row r="364" s="2028" customFormat="1"/>
    <row r="365" s="2028" customFormat="1"/>
    <row r="366" s="2028" customFormat="1"/>
    <row r="367" s="2028" customFormat="1"/>
    <row r="368" s="2028" customFormat="1"/>
    <row r="369" s="2028" customFormat="1"/>
    <row r="370" s="2028" customFormat="1"/>
    <row r="371" s="2028" customFormat="1"/>
    <row r="372" s="2028" customFormat="1"/>
    <row r="373" s="2028" customFormat="1"/>
    <row r="374" s="2028" customFormat="1"/>
    <row r="375" s="2028" customFormat="1"/>
    <row r="376" s="2028" customFormat="1"/>
    <row r="377" s="2028" customFormat="1"/>
    <row r="378" s="2028" customFormat="1"/>
    <row r="379" s="2028" customFormat="1"/>
    <row r="380" s="2028" customFormat="1"/>
    <row r="381" s="2028" customFormat="1"/>
    <row r="382" s="2028" customFormat="1"/>
    <row r="383" s="2028" customFormat="1"/>
    <row r="384" s="2028" customFormat="1"/>
    <row r="385" s="2028" customFormat="1"/>
    <row r="386" s="2028" customFormat="1"/>
    <row r="387" s="2028" customFormat="1"/>
    <row r="388" s="2028" customFormat="1"/>
    <row r="389" s="2028" customFormat="1"/>
    <row r="390" s="2028" customFormat="1"/>
    <row r="391" s="2028" customFormat="1"/>
    <row r="392" s="2028" customFormat="1"/>
    <row r="393" s="2028" customFormat="1"/>
    <row r="394" s="2028" customFormat="1"/>
    <row r="395" s="2028" customFormat="1"/>
    <row r="396" s="2028" customFormat="1"/>
    <row r="397" s="2028" customFormat="1"/>
    <row r="398" s="2028" customFormat="1"/>
    <row r="399" s="2028" customFormat="1"/>
    <row r="400" s="2028" customFormat="1"/>
    <row r="401" s="2028" customFormat="1"/>
    <row r="402" s="2028" customFormat="1"/>
    <row r="403" s="2028" customFormat="1"/>
    <row r="404" s="2028" customFormat="1"/>
    <row r="405" s="2028" customFormat="1"/>
    <row r="406" s="2028" customFormat="1"/>
    <row r="407" s="2028" customFormat="1"/>
    <row r="408" s="2028" customFormat="1"/>
    <row r="409" s="2028" customFormat="1"/>
    <row r="410" s="2028" customFormat="1"/>
    <row r="411" s="2028" customFormat="1"/>
    <row r="412" s="2028" customFormat="1"/>
    <row r="413" s="2028" customFormat="1"/>
    <row r="414" s="2028" customFormat="1"/>
    <row r="415" s="2028" customFormat="1"/>
    <row r="416" s="2028" customFormat="1"/>
    <row r="417" s="2028" customFormat="1"/>
    <row r="418" s="2028" customFormat="1"/>
    <row r="419" s="2028" customFormat="1"/>
    <row r="420" s="2028" customFormat="1"/>
    <row r="421" s="2028" customFormat="1"/>
    <row r="422" s="2028" customFormat="1"/>
    <row r="423" s="2028" customFormat="1"/>
    <row r="424" s="2028" customFormat="1"/>
    <row r="425" s="2028" customFormat="1"/>
    <row r="426" s="2028" customFormat="1"/>
    <row r="427" s="2028" customFormat="1"/>
    <row r="428" s="2028" customFormat="1"/>
    <row r="429" s="2028" customFormat="1"/>
    <row r="430" s="2028" customFormat="1"/>
    <row r="431" s="2028" customFormat="1"/>
    <row r="432" s="2028" customFormat="1"/>
    <row r="433" s="2028" customFormat="1"/>
    <row r="434" s="2028" customFormat="1"/>
    <row r="435" s="2028" customFormat="1"/>
    <row r="436" s="2028" customFormat="1"/>
    <row r="437" s="2028" customFormat="1"/>
    <row r="438" s="2028" customFormat="1"/>
    <row r="439" s="2028" customFormat="1"/>
    <row r="440" s="2028" customFormat="1"/>
    <row r="441" s="2028" customFormat="1"/>
    <row r="442" s="2028" customFormat="1"/>
    <row r="443" s="2028" customFormat="1"/>
    <row r="444" s="2028" customFormat="1"/>
    <row r="445" s="2028" customFormat="1"/>
    <row r="446" s="2028" customFormat="1"/>
    <row r="447" s="2028" customFormat="1"/>
    <row r="448" s="2028" customFormat="1"/>
    <row r="449" s="2028" customFormat="1"/>
    <row r="450" s="2028" customFormat="1"/>
    <row r="451" s="2028" customFormat="1"/>
    <row r="452" s="2028" customFormat="1"/>
    <row r="453" s="2028" customFormat="1"/>
    <row r="454" s="2028" customFormat="1"/>
    <row r="455" s="2028" customFormat="1"/>
    <row r="456" s="2028" customFormat="1"/>
    <row r="457" s="2028" customFormat="1"/>
    <row r="458" s="2028" customFormat="1"/>
    <row r="459" s="2028" customFormat="1"/>
    <row r="460" s="2028" customFormat="1"/>
    <row r="461" s="2028" customFormat="1"/>
    <row r="462" s="2028" customFormat="1"/>
    <row r="463" s="2028" customFormat="1"/>
    <row r="464" s="2028" customFormat="1"/>
    <row r="465" s="2028" customFormat="1"/>
    <row r="466" s="2028" customFormat="1"/>
    <row r="467" s="2028" customFormat="1"/>
    <row r="468" s="2028" customFormat="1"/>
    <row r="469" s="2028" customFormat="1"/>
    <row r="470" s="2028" customFormat="1"/>
    <row r="471" s="2028" customFormat="1"/>
    <row r="472" s="2028" customFormat="1"/>
    <row r="473" s="2028" customFormat="1"/>
  </sheetData>
  <mergeCells count="26">
    <mergeCell ref="B2:K2"/>
    <mergeCell ref="L2:M2"/>
    <mergeCell ref="C3:K3"/>
    <mergeCell ref="L3:M3"/>
    <mergeCell ref="C4:K4"/>
    <mergeCell ref="L4:M4"/>
    <mergeCell ref="C5:K5"/>
    <mergeCell ref="L5:M5"/>
    <mergeCell ref="C6:K6"/>
    <mergeCell ref="L6:M6"/>
    <mergeCell ref="C7:K7"/>
    <mergeCell ref="L7:M7"/>
    <mergeCell ref="C8:K8"/>
    <mergeCell ref="L8:M8"/>
    <mergeCell ref="C9:K9"/>
    <mergeCell ref="L9:M9"/>
    <mergeCell ref="C10:K10"/>
    <mergeCell ref="L10:M10"/>
    <mergeCell ref="B63:I63"/>
    <mergeCell ref="B89:I89"/>
    <mergeCell ref="F93:F94"/>
    <mergeCell ref="C11:H11"/>
    <mergeCell ref="C12:H12"/>
    <mergeCell ref="B13:K13"/>
    <mergeCell ref="B40:I40"/>
    <mergeCell ref="F41:O41"/>
  </mergeCells>
  <phoneticPr fontId="214" type="noConversion"/>
  <pageMargins left="0.75" right="0.75" top="1" bottom="1" header="0.50902777777777797" footer="0.50902777777777797"/>
  <pageSetup paperSize="9" orientation="portrait"/>
  <headerFooter scaleWithDoc="0" alignWithMargins="0"/>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08"/>
  <dimension ref="A1:AB106"/>
  <sheetViews>
    <sheetView workbookViewId="0">
      <selection activeCell="S27" sqref="S27"/>
    </sheetView>
  </sheetViews>
  <sheetFormatPr defaultColWidth="9" defaultRowHeight="14.25"/>
  <cols>
    <col min="1" max="2" width="6.625" style="1955" customWidth="1"/>
    <col min="3" max="26" width="5.625" style="1955" customWidth="1"/>
    <col min="27" max="28" width="6.625" style="1955" customWidth="1"/>
    <col min="29" max="16384" width="9" style="1955"/>
  </cols>
  <sheetData>
    <row r="1" spans="1:28" ht="26.25" customHeight="1">
      <c r="A1" s="5227" t="s">
        <v>11039</v>
      </c>
      <c r="B1" s="5227"/>
      <c r="C1" s="5227"/>
      <c r="D1" s="5227"/>
      <c r="E1" s="5227"/>
      <c r="F1" s="5227"/>
      <c r="G1" s="5227"/>
      <c r="H1" s="5227"/>
      <c r="I1" s="5227"/>
      <c r="J1" s="5227"/>
      <c r="K1" s="5227"/>
      <c r="L1" s="5227"/>
      <c r="M1" s="5227"/>
      <c r="N1" s="5227"/>
      <c r="O1" s="5227"/>
      <c r="P1" s="5227"/>
      <c r="Q1" s="5227"/>
      <c r="R1" s="5227"/>
      <c r="S1" s="5227"/>
      <c r="T1" s="5227"/>
      <c r="U1" s="5227"/>
      <c r="V1" s="5227"/>
      <c r="W1" s="5227"/>
      <c r="X1" s="5227"/>
      <c r="Y1" s="5227"/>
      <c r="Z1" s="5227"/>
      <c r="AA1" s="5227"/>
      <c r="AB1" s="5227"/>
    </row>
    <row r="2" spans="1:28" customFormat="1">
      <c r="A2" s="5228" t="s">
        <v>11040</v>
      </c>
      <c r="B2" s="5228"/>
      <c r="C2" s="5228"/>
      <c r="D2" s="5228"/>
      <c r="E2" s="5228"/>
      <c r="F2" s="5228"/>
      <c r="G2" s="5228"/>
      <c r="H2" s="5228"/>
      <c r="I2" s="5228"/>
      <c r="J2" s="5228"/>
      <c r="K2" s="5228"/>
      <c r="L2" s="5228"/>
      <c r="M2" s="5228"/>
      <c r="N2" s="5228"/>
      <c r="O2" s="1955"/>
      <c r="P2" s="1955"/>
      <c r="Q2" s="1955"/>
      <c r="R2" s="1955"/>
      <c r="S2" s="1955"/>
      <c r="T2" s="1955"/>
      <c r="U2" s="1955"/>
      <c r="V2" s="1955"/>
      <c r="W2" s="1955"/>
      <c r="X2" s="1955"/>
      <c r="Y2" s="1955"/>
      <c r="Z2" s="1955"/>
      <c r="AA2" s="1955"/>
      <c r="AB2" s="1955"/>
    </row>
    <row r="3" spans="1:28">
      <c r="A3" s="5220" t="s">
        <v>11041</v>
      </c>
      <c r="B3" s="5221"/>
      <c r="C3" s="5208" t="s">
        <v>11042</v>
      </c>
      <c r="D3" s="5222"/>
      <c r="E3" s="5222"/>
      <c r="F3" s="5222"/>
      <c r="G3" s="5222"/>
      <c r="H3" s="5222"/>
      <c r="I3" s="5222"/>
      <c r="J3" s="5222"/>
      <c r="K3" s="5222"/>
      <c r="L3" s="5222"/>
      <c r="M3" s="5222"/>
      <c r="N3" s="5222"/>
      <c r="O3" s="5209"/>
      <c r="P3" s="5209"/>
      <c r="Q3" s="5209"/>
      <c r="R3" s="5209"/>
      <c r="S3" s="5209"/>
      <c r="T3" s="5209"/>
      <c r="U3" s="5209"/>
      <c r="V3" s="5209"/>
      <c r="W3" s="5209"/>
      <c r="X3" s="5209"/>
      <c r="Y3" s="5209"/>
      <c r="Z3" s="5209"/>
      <c r="AA3" s="5221" t="s">
        <v>11041</v>
      </c>
      <c r="AB3" s="5229"/>
    </row>
    <row r="4" spans="1:28" ht="15.75" customHeight="1">
      <c r="A4" s="5216" t="s">
        <v>11043</v>
      </c>
      <c r="B4" s="5189"/>
      <c r="C4" s="5194" t="s">
        <v>10424</v>
      </c>
      <c r="D4" s="5230"/>
      <c r="E4" s="5194" t="s">
        <v>11044</v>
      </c>
      <c r="F4" s="5213"/>
      <c r="G4" s="5194" t="s">
        <v>11045</v>
      </c>
      <c r="H4" s="5213"/>
      <c r="I4" s="5194" t="s">
        <v>11046</v>
      </c>
      <c r="J4" s="5213"/>
      <c r="K4" s="5194" t="s">
        <v>11047</v>
      </c>
      <c r="L4" s="5213"/>
      <c r="M4" s="5194" t="s">
        <v>11048</v>
      </c>
      <c r="N4" s="5213"/>
      <c r="O4" s="5194" t="s">
        <v>11049</v>
      </c>
      <c r="P4" s="5213"/>
      <c r="Q4" s="5194" t="s">
        <v>9825</v>
      </c>
      <c r="R4" s="5213"/>
      <c r="S4" s="5194" t="s">
        <v>9828</v>
      </c>
      <c r="T4" s="5213"/>
      <c r="U4" s="5194" t="s">
        <v>3389</v>
      </c>
      <c r="V4" s="5213"/>
      <c r="W4" s="5194" t="s">
        <v>11050</v>
      </c>
      <c r="X4" s="5230"/>
      <c r="Y4" s="5194" t="s">
        <v>11051</v>
      </c>
      <c r="Z4" s="5195"/>
      <c r="AA4" s="5189" t="s">
        <v>11043</v>
      </c>
      <c r="AB4" s="5231"/>
    </row>
    <row r="5" spans="1:28">
      <c r="A5" s="1980" t="s">
        <v>2410</v>
      </c>
      <c r="B5" s="1984" t="s">
        <v>11052</v>
      </c>
      <c r="C5" s="5194" t="s">
        <v>11053</v>
      </c>
      <c r="D5" s="5226"/>
      <c r="E5" s="5226"/>
      <c r="F5" s="5226"/>
      <c r="G5" s="5226"/>
      <c r="H5" s="5226"/>
      <c r="I5" s="5226"/>
      <c r="J5" s="5226"/>
      <c r="K5" s="5226"/>
      <c r="L5" s="5226"/>
      <c r="M5" s="5226"/>
      <c r="N5" s="5226"/>
      <c r="O5" s="5226"/>
      <c r="P5" s="5226"/>
      <c r="Q5" s="5226"/>
      <c r="R5" s="5226"/>
      <c r="S5" s="5226"/>
      <c r="T5" s="5226"/>
      <c r="U5" s="5226"/>
      <c r="V5" s="5226"/>
      <c r="W5" s="5226"/>
      <c r="X5" s="5226"/>
      <c r="Y5" s="5226"/>
      <c r="Z5" s="5226"/>
      <c r="AA5" s="1984" t="s">
        <v>2410</v>
      </c>
      <c r="AB5" s="1981" t="s">
        <v>11052</v>
      </c>
    </row>
    <row r="6" spans="1:28">
      <c r="A6" s="1980" t="s">
        <v>5908</v>
      </c>
      <c r="B6" s="1984" t="s">
        <v>3389</v>
      </c>
      <c r="C6" s="5187" t="s">
        <v>11054</v>
      </c>
      <c r="D6" s="1984" t="s">
        <v>11055</v>
      </c>
      <c r="E6" s="5187" t="s">
        <v>11056</v>
      </c>
      <c r="F6" s="1984" t="s">
        <v>11057</v>
      </c>
      <c r="G6" s="5187" t="s">
        <v>11058</v>
      </c>
      <c r="H6" s="1984" t="s">
        <v>11059</v>
      </c>
      <c r="I6" s="5187" t="s">
        <v>11058</v>
      </c>
      <c r="J6" s="1984" t="s">
        <v>11060</v>
      </c>
      <c r="K6" s="5187" t="s">
        <v>11055</v>
      </c>
      <c r="L6" s="1984" t="s">
        <v>11044</v>
      </c>
      <c r="M6" s="5187" t="s">
        <v>11055</v>
      </c>
      <c r="N6" s="1984" t="s">
        <v>11045</v>
      </c>
      <c r="O6" s="5187" t="s">
        <v>11057</v>
      </c>
      <c r="P6" s="1984" t="s">
        <v>11047</v>
      </c>
      <c r="Q6" s="5187" t="s">
        <v>11059</v>
      </c>
      <c r="R6" s="1984" t="s">
        <v>9825</v>
      </c>
      <c r="S6" s="5187" t="s">
        <v>1168</v>
      </c>
      <c r="T6" s="1984" t="s">
        <v>11051</v>
      </c>
      <c r="U6" s="5187" t="s">
        <v>1168</v>
      </c>
      <c r="V6" s="1984" t="s">
        <v>1164</v>
      </c>
      <c r="W6" s="5187" t="s">
        <v>11061</v>
      </c>
      <c r="X6" s="1984" t="s">
        <v>3409</v>
      </c>
      <c r="Y6" s="5187" t="s">
        <v>11062</v>
      </c>
      <c r="Z6" s="2024" t="s">
        <v>3442</v>
      </c>
      <c r="AA6" s="1984" t="s">
        <v>5908</v>
      </c>
      <c r="AB6" s="1981" t="s">
        <v>3389</v>
      </c>
    </row>
    <row r="7" spans="1:28">
      <c r="A7" s="1980" t="s">
        <v>3389</v>
      </c>
      <c r="B7" s="1984" t="s">
        <v>11063</v>
      </c>
      <c r="C7" s="5188"/>
      <c r="D7" s="1984" t="s">
        <v>11064</v>
      </c>
      <c r="E7" s="5188"/>
      <c r="F7" s="1984" t="s">
        <v>11065</v>
      </c>
      <c r="G7" s="5188"/>
      <c r="H7" s="1984" t="s">
        <v>10424</v>
      </c>
      <c r="I7" s="5188"/>
      <c r="J7" s="1984" t="s">
        <v>11066</v>
      </c>
      <c r="K7" s="5188"/>
      <c r="L7" s="1984" t="s">
        <v>11067</v>
      </c>
      <c r="M7" s="5188"/>
      <c r="N7" s="1984" t="s">
        <v>11046</v>
      </c>
      <c r="O7" s="5188"/>
      <c r="P7" s="1984" t="s">
        <v>11048</v>
      </c>
      <c r="Q7" s="5188"/>
      <c r="R7" s="1984" t="s">
        <v>3389</v>
      </c>
      <c r="S7" s="5188"/>
      <c r="T7" s="1984" t="s">
        <v>3394</v>
      </c>
      <c r="U7" s="5188"/>
      <c r="V7" s="1984" t="s">
        <v>1166</v>
      </c>
      <c r="W7" s="5188"/>
      <c r="X7" s="1984" t="s">
        <v>3420</v>
      </c>
      <c r="Y7" s="5188"/>
      <c r="Z7" s="2024" t="s">
        <v>11068</v>
      </c>
      <c r="AA7" s="1984" t="s">
        <v>3389</v>
      </c>
      <c r="AB7" s="1981" t="s">
        <v>11063</v>
      </c>
    </row>
    <row r="8" spans="1:28">
      <c r="A8" s="1980" t="s">
        <v>11063</v>
      </c>
      <c r="B8" s="1984" t="s">
        <v>1166</v>
      </c>
      <c r="C8" s="5189"/>
      <c r="D8" s="1984" t="s">
        <v>11069</v>
      </c>
      <c r="E8" s="5189"/>
      <c r="F8" s="1984" t="s">
        <v>11070</v>
      </c>
      <c r="G8" s="5189"/>
      <c r="H8" s="1984" t="s">
        <v>11060</v>
      </c>
      <c r="I8" s="5189"/>
      <c r="J8" s="1984" t="s">
        <v>11044</v>
      </c>
      <c r="K8" s="5189"/>
      <c r="L8" s="1984" t="s">
        <v>11045</v>
      </c>
      <c r="M8" s="5189"/>
      <c r="N8" s="1984" t="s">
        <v>11047</v>
      </c>
      <c r="O8" s="5189"/>
      <c r="P8" s="1984" t="s">
        <v>9825</v>
      </c>
      <c r="Q8" s="5189"/>
      <c r="R8" s="1984" t="s">
        <v>11051</v>
      </c>
      <c r="S8" s="5189"/>
      <c r="T8" s="1984" t="s">
        <v>1164</v>
      </c>
      <c r="U8" s="5189"/>
      <c r="V8" s="1984" t="s">
        <v>3409</v>
      </c>
      <c r="W8" s="5189"/>
      <c r="X8" s="1984" t="s">
        <v>3431</v>
      </c>
      <c r="Y8" s="5189"/>
      <c r="Z8" s="2024" t="s">
        <v>11071</v>
      </c>
      <c r="AA8" s="1984" t="s">
        <v>11063</v>
      </c>
      <c r="AB8" s="1981" t="s">
        <v>1166</v>
      </c>
    </row>
    <row r="9" spans="1:28">
      <c r="A9" s="1980" t="s">
        <v>1166</v>
      </c>
      <c r="B9" s="1984" t="s">
        <v>3420</v>
      </c>
      <c r="C9" s="5187" t="s">
        <v>11056</v>
      </c>
      <c r="D9" s="1984" t="s">
        <v>11057</v>
      </c>
      <c r="E9" s="5187" t="s">
        <v>11058</v>
      </c>
      <c r="F9" s="1984" t="s">
        <v>11059</v>
      </c>
      <c r="G9" s="5187" t="s">
        <v>11058</v>
      </c>
      <c r="H9" s="1984" t="s">
        <v>11066</v>
      </c>
      <c r="I9" s="5187" t="s">
        <v>11055</v>
      </c>
      <c r="J9" s="1984" t="s">
        <v>11067</v>
      </c>
      <c r="K9" s="5187" t="s">
        <v>11055</v>
      </c>
      <c r="L9" s="1984" t="s">
        <v>11046</v>
      </c>
      <c r="M9" s="5187" t="s">
        <v>11057</v>
      </c>
      <c r="N9" s="1984" t="s">
        <v>11048</v>
      </c>
      <c r="O9" s="5187" t="s">
        <v>11059</v>
      </c>
      <c r="P9" s="1984" t="s">
        <v>3389</v>
      </c>
      <c r="Q9" s="5187" t="s">
        <v>11059</v>
      </c>
      <c r="R9" s="1984" t="s">
        <v>3394</v>
      </c>
      <c r="S9" s="5187" t="s">
        <v>1168</v>
      </c>
      <c r="T9" s="1984" t="s">
        <v>1166</v>
      </c>
      <c r="U9" s="5187" t="s">
        <v>11061</v>
      </c>
      <c r="V9" s="1984" t="s">
        <v>3420</v>
      </c>
      <c r="W9" s="5187" t="s">
        <v>11062</v>
      </c>
      <c r="X9" s="1984" t="s">
        <v>3442</v>
      </c>
      <c r="Y9" s="5187" t="s">
        <v>11072</v>
      </c>
      <c r="Z9" s="2024" t="s">
        <v>11073</v>
      </c>
      <c r="AA9" s="1984" t="s">
        <v>1166</v>
      </c>
      <c r="AB9" s="1981" t="s">
        <v>3420</v>
      </c>
    </row>
    <row r="10" spans="1:28">
      <c r="A10" s="1980" t="s">
        <v>3420</v>
      </c>
      <c r="B10" s="1984" t="s">
        <v>11074</v>
      </c>
      <c r="C10" s="5188"/>
      <c r="D10" s="1984" t="s">
        <v>11065</v>
      </c>
      <c r="E10" s="5188"/>
      <c r="F10" s="1984" t="s">
        <v>10424</v>
      </c>
      <c r="G10" s="5188"/>
      <c r="H10" s="1984" t="s">
        <v>11044</v>
      </c>
      <c r="I10" s="5188"/>
      <c r="J10" s="1984" t="s">
        <v>11045</v>
      </c>
      <c r="K10" s="5188"/>
      <c r="L10" s="1984" t="s">
        <v>11047</v>
      </c>
      <c r="M10" s="5188"/>
      <c r="N10" s="1984" t="s">
        <v>9825</v>
      </c>
      <c r="O10" s="5188"/>
      <c r="P10" s="1984" t="s">
        <v>11051</v>
      </c>
      <c r="Q10" s="5188"/>
      <c r="R10" s="1984" t="s">
        <v>1164</v>
      </c>
      <c r="S10" s="5188"/>
      <c r="T10" s="1984" t="s">
        <v>3409</v>
      </c>
      <c r="U10" s="5188"/>
      <c r="V10" s="1984" t="s">
        <v>3431</v>
      </c>
      <c r="W10" s="5188"/>
      <c r="X10" s="1984" t="s">
        <v>11068</v>
      </c>
      <c r="Y10" s="5188"/>
      <c r="Z10" s="2024" t="s">
        <v>11075</v>
      </c>
      <c r="AA10" s="1984" t="s">
        <v>3420</v>
      </c>
      <c r="AB10" s="1981" t="s">
        <v>11074</v>
      </c>
    </row>
    <row r="11" spans="1:28">
      <c r="A11" s="1980" t="s">
        <v>11074</v>
      </c>
      <c r="B11" s="1984" t="s">
        <v>11071</v>
      </c>
      <c r="C11" s="5188"/>
      <c r="D11" s="1984" t="s">
        <v>11070</v>
      </c>
      <c r="E11" s="5188"/>
      <c r="F11" s="1984" t="s">
        <v>11060</v>
      </c>
      <c r="G11" s="5188"/>
      <c r="H11" s="1984" t="s">
        <v>11067</v>
      </c>
      <c r="I11" s="5188"/>
      <c r="J11" s="1984" t="s">
        <v>11046</v>
      </c>
      <c r="K11" s="5188"/>
      <c r="L11" s="1984" t="s">
        <v>11048</v>
      </c>
      <c r="M11" s="5188"/>
      <c r="N11" s="1984" t="s">
        <v>3389</v>
      </c>
      <c r="O11" s="5188"/>
      <c r="P11" s="1984" t="s">
        <v>3394</v>
      </c>
      <c r="Q11" s="5188"/>
      <c r="R11" s="1984" t="s">
        <v>1166</v>
      </c>
      <c r="S11" s="5188"/>
      <c r="T11" s="1984" t="s">
        <v>3420</v>
      </c>
      <c r="U11" s="5188"/>
      <c r="V11" s="1984" t="s">
        <v>3442</v>
      </c>
      <c r="W11" s="5188"/>
      <c r="X11" s="1984" t="s">
        <v>11071</v>
      </c>
      <c r="Y11" s="5188"/>
      <c r="Z11" s="2024" t="s">
        <v>11076</v>
      </c>
      <c r="AA11" s="1984" t="s">
        <v>11074</v>
      </c>
      <c r="AB11" s="1981" t="s">
        <v>11071</v>
      </c>
    </row>
    <row r="12" spans="1:28">
      <c r="A12" s="1980" t="s">
        <v>11071</v>
      </c>
      <c r="B12" s="1984" t="s">
        <v>11077</v>
      </c>
      <c r="C12" s="5189"/>
      <c r="D12" s="1984" t="s">
        <v>11059</v>
      </c>
      <c r="E12" s="5189"/>
      <c r="F12" s="1984" t="s">
        <v>11066</v>
      </c>
      <c r="G12" s="5189"/>
      <c r="H12" s="1984" t="s">
        <v>11045</v>
      </c>
      <c r="I12" s="5189"/>
      <c r="J12" s="1984" t="s">
        <v>11047</v>
      </c>
      <c r="K12" s="5189"/>
      <c r="L12" s="1984" t="s">
        <v>9825</v>
      </c>
      <c r="M12" s="5189"/>
      <c r="N12" s="1984" t="s">
        <v>11051</v>
      </c>
      <c r="O12" s="5189"/>
      <c r="P12" s="1984" t="s">
        <v>1164</v>
      </c>
      <c r="Q12" s="5189"/>
      <c r="R12" s="1984" t="s">
        <v>3409</v>
      </c>
      <c r="S12" s="5189"/>
      <c r="T12" s="1984" t="s">
        <v>3431</v>
      </c>
      <c r="U12" s="5189"/>
      <c r="V12" s="1984" t="s">
        <v>11068</v>
      </c>
      <c r="W12" s="5189"/>
      <c r="X12" s="1984" t="s">
        <v>11073</v>
      </c>
      <c r="Y12" s="5189"/>
      <c r="Z12" s="2024" t="s">
        <v>11078</v>
      </c>
      <c r="AA12" s="1984" t="s">
        <v>11071</v>
      </c>
      <c r="AB12" s="1981" t="s">
        <v>11077</v>
      </c>
    </row>
    <row r="13" spans="1:28">
      <c r="A13" s="1980" t="s">
        <v>11077</v>
      </c>
      <c r="B13" s="1984" t="s">
        <v>11078</v>
      </c>
      <c r="C13" s="5187" t="s">
        <v>11058</v>
      </c>
      <c r="D13" s="1984" t="s">
        <v>10424</v>
      </c>
      <c r="E13" s="5187" t="s">
        <v>11055</v>
      </c>
      <c r="F13" s="1984" t="s">
        <v>11044</v>
      </c>
      <c r="G13" s="5187" t="s">
        <v>11057</v>
      </c>
      <c r="H13" s="1984" t="s">
        <v>11046</v>
      </c>
      <c r="I13" s="5187" t="s">
        <v>11057</v>
      </c>
      <c r="J13" s="1984" t="s">
        <v>11048</v>
      </c>
      <c r="K13" s="5187" t="s">
        <v>11059</v>
      </c>
      <c r="L13" s="1984" t="s">
        <v>3389</v>
      </c>
      <c r="M13" s="5187" t="s">
        <v>1168</v>
      </c>
      <c r="N13" s="1984" t="s">
        <v>3394</v>
      </c>
      <c r="O13" s="5187" t="s">
        <v>1168</v>
      </c>
      <c r="P13" s="1984" t="s">
        <v>1166</v>
      </c>
      <c r="Q13" s="5187" t="s">
        <v>11061</v>
      </c>
      <c r="R13" s="1984" t="s">
        <v>3420</v>
      </c>
      <c r="S13" s="5187" t="s">
        <v>11061</v>
      </c>
      <c r="T13" s="1984" t="s">
        <v>3442</v>
      </c>
      <c r="U13" s="5187" t="s">
        <v>11062</v>
      </c>
      <c r="V13" s="1984" t="s">
        <v>11071</v>
      </c>
      <c r="W13" s="5187" t="s">
        <v>11072</v>
      </c>
      <c r="X13" s="1984" t="s">
        <v>11075</v>
      </c>
      <c r="Y13" s="5187" t="s">
        <v>11072</v>
      </c>
      <c r="Z13" s="2024" t="s">
        <v>11079</v>
      </c>
      <c r="AA13" s="1984" t="s">
        <v>11077</v>
      </c>
      <c r="AB13" s="1981" t="s">
        <v>11078</v>
      </c>
    </row>
    <row r="14" spans="1:28">
      <c r="A14" s="1980" t="s">
        <v>11078</v>
      </c>
      <c r="B14" s="1984" t="s">
        <v>11080</v>
      </c>
      <c r="C14" s="5188"/>
      <c r="D14" s="1984" t="s">
        <v>11060</v>
      </c>
      <c r="E14" s="5188"/>
      <c r="F14" s="1984" t="s">
        <v>11067</v>
      </c>
      <c r="G14" s="5188"/>
      <c r="H14" s="1984" t="s">
        <v>11047</v>
      </c>
      <c r="I14" s="5188"/>
      <c r="J14" s="1984" t="s">
        <v>9825</v>
      </c>
      <c r="K14" s="5188"/>
      <c r="L14" s="1984" t="s">
        <v>11051</v>
      </c>
      <c r="M14" s="5188"/>
      <c r="N14" s="1984" t="s">
        <v>1164</v>
      </c>
      <c r="O14" s="5188"/>
      <c r="P14" s="1984" t="s">
        <v>3409</v>
      </c>
      <c r="Q14" s="5188"/>
      <c r="R14" s="1984" t="s">
        <v>3431</v>
      </c>
      <c r="S14" s="5188"/>
      <c r="T14" s="1984" t="s">
        <v>11068</v>
      </c>
      <c r="U14" s="5188"/>
      <c r="V14" s="1984" t="s">
        <v>11073</v>
      </c>
      <c r="W14" s="5188"/>
      <c r="X14" s="1984" t="s">
        <v>11076</v>
      </c>
      <c r="Y14" s="5188"/>
      <c r="Z14" s="2024" t="s">
        <v>11080</v>
      </c>
      <c r="AA14" s="1984" t="s">
        <v>11078</v>
      </c>
      <c r="AB14" s="1981" t="s">
        <v>11080</v>
      </c>
    </row>
    <row r="15" spans="1:28">
      <c r="A15" s="1980" t="s">
        <v>11080</v>
      </c>
      <c r="B15" s="1984" t="s">
        <v>11081</v>
      </c>
      <c r="C15" s="5188"/>
      <c r="D15" s="1984" t="s">
        <v>11066</v>
      </c>
      <c r="E15" s="5188"/>
      <c r="F15" s="1984" t="s">
        <v>11045</v>
      </c>
      <c r="G15" s="5188"/>
      <c r="H15" s="1984" t="s">
        <v>11048</v>
      </c>
      <c r="I15" s="5188"/>
      <c r="J15" s="1984" t="s">
        <v>3389</v>
      </c>
      <c r="K15" s="5188"/>
      <c r="L15" s="1984" t="s">
        <v>3394</v>
      </c>
      <c r="M15" s="5188"/>
      <c r="N15" s="1984" t="s">
        <v>1166</v>
      </c>
      <c r="O15" s="5188"/>
      <c r="P15" s="1984" t="s">
        <v>3420</v>
      </c>
      <c r="Q15" s="5188"/>
      <c r="R15" s="1984" t="s">
        <v>3442</v>
      </c>
      <c r="S15" s="5188"/>
      <c r="T15" s="1984" t="s">
        <v>11071</v>
      </c>
      <c r="U15" s="5188"/>
      <c r="V15" s="1984" t="s">
        <v>11075</v>
      </c>
      <c r="W15" s="5188"/>
      <c r="X15" s="1984" t="s">
        <v>11078</v>
      </c>
      <c r="Y15" s="5188"/>
      <c r="Z15" s="2024" t="s">
        <v>11082</v>
      </c>
      <c r="AA15" s="1984" t="s">
        <v>11080</v>
      </c>
      <c r="AB15" s="1981" t="s">
        <v>11081</v>
      </c>
    </row>
    <row r="16" spans="1:28">
      <c r="A16" s="1980" t="s">
        <v>11081</v>
      </c>
      <c r="B16" s="1984" t="s">
        <v>11083</v>
      </c>
      <c r="C16" s="5189"/>
      <c r="D16" s="1984" t="s">
        <v>11044</v>
      </c>
      <c r="E16" s="5189"/>
      <c r="F16" s="1984" t="s">
        <v>11046</v>
      </c>
      <c r="G16" s="5189"/>
      <c r="H16" s="1984" t="s">
        <v>9825</v>
      </c>
      <c r="I16" s="5189"/>
      <c r="J16" s="1984" t="s">
        <v>11051</v>
      </c>
      <c r="K16" s="5189"/>
      <c r="L16" s="1984" t="s">
        <v>1164</v>
      </c>
      <c r="M16" s="5189"/>
      <c r="N16" s="1984" t="s">
        <v>3409</v>
      </c>
      <c r="O16" s="5189"/>
      <c r="P16" s="1984" t="s">
        <v>3431</v>
      </c>
      <c r="Q16" s="5189"/>
      <c r="R16" s="1984" t="s">
        <v>11068</v>
      </c>
      <c r="S16" s="5189"/>
      <c r="T16" s="1984" t="s">
        <v>11073</v>
      </c>
      <c r="U16" s="5189"/>
      <c r="V16" s="1984" t="s">
        <v>11076</v>
      </c>
      <c r="W16" s="5189"/>
      <c r="X16" s="1984" t="s">
        <v>11079</v>
      </c>
      <c r="Y16" s="5189"/>
      <c r="Z16" s="2024" t="s">
        <v>11084</v>
      </c>
      <c r="AA16" s="1984" t="s">
        <v>11081</v>
      </c>
      <c r="AB16" s="1981" t="s">
        <v>11083</v>
      </c>
    </row>
    <row r="17" spans="1:28">
      <c r="A17" s="1980" t="s">
        <v>11083</v>
      </c>
      <c r="B17" s="1984" t="s">
        <v>11085</v>
      </c>
      <c r="C17" s="5187" t="s">
        <v>11055</v>
      </c>
      <c r="D17" s="1984" t="s">
        <v>11067</v>
      </c>
      <c r="E17" s="5187" t="s">
        <v>11057</v>
      </c>
      <c r="F17" s="1984" t="s">
        <v>11047</v>
      </c>
      <c r="G17" s="5187" t="s">
        <v>11059</v>
      </c>
      <c r="H17" s="1984" t="s">
        <v>3389</v>
      </c>
      <c r="I17" s="5187" t="s">
        <v>1168</v>
      </c>
      <c r="J17" s="1984" t="s">
        <v>3394</v>
      </c>
      <c r="K17" s="5187" t="s">
        <v>1168</v>
      </c>
      <c r="L17" s="1984" t="s">
        <v>1166</v>
      </c>
      <c r="M17" s="5187" t="s">
        <v>11061</v>
      </c>
      <c r="N17" s="1984" t="s">
        <v>3420</v>
      </c>
      <c r="O17" s="5187" t="s">
        <v>11062</v>
      </c>
      <c r="P17" s="1984" t="s">
        <v>3442</v>
      </c>
      <c r="Q17" s="5187" t="s">
        <v>11062</v>
      </c>
      <c r="R17" s="1984" t="s">
        <v>11071</v>
      </c>
      <c r="S17" s="5187" t="s">
        <v>11072</v>
      </c>
      <c r="T17" s="1984" t="s">
        <v>11075</v>
      </c>
      <c r="U17" s="5187" t="s">
        <v>11072</v>
      </c>
      <c r="V17" s="1984" t="s">
        <v>11078</v>
      </c>
      <c r="W17" s="5187" t="s">
        <v>11072</v>
      </c>
      <c r="X17" s="1984" t="s">
        <v>11080</v>
      </c>
      <c r="Y17" s="5187" t="s">
        <v>11072</v>
      </c>
      <c r="Z17" s="2024" t="s">
        <v>11086</v>
      </c>
      <c r="AA17" s="1984" t="s">
        <v>11083</v>
      </c>
      <c r="AB17" s="1981" t="s">
        <v>11085</v>
      </c>
    </row>
    <row r="18" spans="1:28">
      <c r="A18" s="1980" t="s">
        <v>11085</v>
      </c>
      <c r="B18" s="1984" t="s">
        <v>11087</v>
      </c>
      <c r="C18" s="5190"/>
      <c r="D18" s="1984" t="s">
        <v>11045</v>
      </c>
      <c r="E18" s="5190"/>
      <c r="F18" s="1984" t="s">
        <v>11048</v>
      </c>
      <c r="G18" s="5190"/>
      <c r="H18" s="1984" t="s">
        <v>11051</v>
      </c>
      <c r="I18" s="5190"/>
      <c r="J18" s="1984" t="s">
        <v>1164</v>
      </c>
      <c r="K18" s="5190"/>
      <c r="L18" s="1984" t="s">
        <v>3409</v>
      </c>
      <c r="M18" s="5190"/>
      <c r="N18" s="1984" t="s">
        <v>3431</v>
      </c>
      <c r="O18" s="5190"/>
      <c r="P18" s="1984" t="s">
        <v>11068</v>
      </c>
      <c r="Q18" s="5190"/>
      <c r="R18" s="1984" t="s">
        <v>11073</v>
      </c>
      <c r="S18" s="5190"/>
      <c r="T18" s="1984" t="s">
        <v>11076</v>
      </c>
      <c r="U18" s="5190"/>
      <c r="V18" s="1984" t="s">
        <v>11079</v>
      </c>
      <c r="W18" s="5190"/>
      <c r="X18" s="1984" t="s">
        <v>11082</v>
      </c>
      <c r="Y18" s="5190"/>
      <c r="Z18" s="2024" t="s">
        <v>11083</v>
      </c>
      <c r="AA18" s="1984" t="s">
        <v>11085</v>
      </c>
      <c r="AB18" s="1981" t="s">
        <v>11087</v>
      </c>
    </row>
    <row r="19" spans="1:28">
      <c r="A19" s="1980" t="s">
        <v>11087</v>
      </c>
      <c r="B19" s="1984" t="s">
        <v>11088</v>
      </c>
      <c r="C19" s="5190"/>
      <c r="D19" s="1984" t="s">
        <v>11046</v>
      </c>
      <c r="E19" s="5190"/>
      <c r="F19" s="1984" t="s">
        <v>9825</v>
      </c>
      <c r="G19" s="5190"/>
      <c r="H19" s="1984" t="s">
        <v>3394</v>
      </c>
      <c r="I19" s="5190"/>
      <c r="J19" s="1984" t="s">
        <v>1166</v>
      </c>
      <c r="K19" s="5190"/>
      <c r="L19" s="1984" t="s">
        <v>3420</v>
      </c>
      <c r="M19" s="5190"/>
      <c r="N19" s="1984" t="s">
        <v>3442</v>
      </c>
      <c r="O19" s="5190"/>
      <c r="P19" s="1984" t="s">
        <v>11071</v>
      </c>
      <c r="Q19" s="5190"/>
      <c r="R19" s="1984" t="s">
        <v>11075</v>
      </c>
      <c r="S19" s="5190"/>
      <c r="T19" s="1984" t="s">
        <v>11078</v>
      </c>
      <c r="U19" s="5190"/>
      <c r="V19" s="1984" t="s">
        <v>11080</v>
      </c>
      <c r="W19" s="5190"/>
      <c r="X19" s="1984" t="s">
        <v>11084</v>
      </c>
      <c r="Y19" s="5190"/>
      <c r="Z19" s="2024" t="s">
        <v>11089</v>
      </c>
      <c r="AA19" s="1984" t="s">
        <v>11087</v>
      </c>
      <c r="AB19" s="1981" t="s">
        <v>11088</v>
      </c>
    </row>
    <row r="20" spans="1:28">
      <c r="A20" s="1980" t="s">
        <v>11088</v>
      </c>
      <c r="B20" s="1984" t="s">
        <v>11090</v>
      </c>
      <c r="C20" s="5190"/>
      <c r="D20" s="1984" t="s">
        <v>11047</v>
      </c>
      <c r="E20" s="5190"/>
      <c r="F20" s="1984" t="s">
        <v>3389</v>
      </c>
      <c r="G20" s="5190"/>
      <c r="H20" s="1984" t="s">
        <v>1164</v>
      </c>
      <c r="I20" s="5190"/>
      <c r="J20" s="1984" t="s">
        <v>3409</v>
      </c>
      <c r="K20" s="5190"/>
      <c r="L20" s="1984" t="s">
        <v>3431</v>
      </c>
      <c r="M20" s="5190"/>
      <c r="N20" s="1984" t="s">
        <v>11068</v>
      </c>
      <c r="O20" s="5190"/>
      <c r="P20" s="1984" t="s">
        <v>11073</v>
      </c>
      <c r="Q20" s="5190"/>
      <c r="R20" s="1984" t="s">
        <v>11076</v>
      </c>
      <c r="S20" s="5190"/>
      <c r="T20" s="1984" t="s">
        <v>11079</v>
      </c>
      <c r="U20" s="5190"/>
      <c r="V20" s="1984" t="s">
        <v>11082</v>
      </c>
      <c r="W20" s="5190"/>
      <c r="X20" s="1984" t="s">
        <v>11086</v>
      </c>
      <c r="Y20" s="5190"/>
      <c r="Z20" s="2024" t="s">
        <v>11091</v>
      </c>
      <c r="AA20" s="1984" t="s">
        <v>11088</v>
      </c>
      <c r="AB20" s="1981" t="s">
        <v>11090</v>
      </c>
    </row>
    <row r="21" spans="1:28">
      <c r="A21" s="2010" t="s">
        <v>11090</v>
      </c>
      <c r="B21" s="1987" t="s">
        <v>11092</v>
      </c>
      <c r="C21" s="5191"/>
      <c r="D21" s="1987" t="s">
        <v>11048</v>
      </c>
      <c r="E21" s="5191"/>
      <c r="F21" s="1987" t="s">
        <v>11051</v>
      </c>
      <c r="G21" s="5191"/>
      <c r="H21" s="1987" t="s">
        <v>1166</v>
      </c>
      <c r="I21" s="5191"/>
      <c r="J21" s="1987" t="s">
        <v>3420</v>
      </c>
      <c r="K21" s="5191"/>
      <c r="L21" s="1987" t="s">
        <v>3442</v>
      </c>
      <c r="M21" s="5191"/>
      <c r="N21" s="1987" t="s">
        <v>11071</v>
      </c>
      <c r="O21" s="5191"/>
      <c r="P21" s="1987" t="s">
        <v>11075</v>
      </c>
      <c r="Q21" s="5191"/>
      <c r="R21" s="1987" t="s">
        <v>11078</v>
      </c>
      <c r="S21" s="5191"/>
      <c r="T21" s="1987" t="s">
        <v>11080</v>
      </c>
      <c r="U21" s="5191"/>
      <c r="V21" s="1987" t="s">
        <v>11084</v>
      </c>
      <c r="W21" s="5191"/>
      <c r="X21" s="1987" t="s">
        <v>11083</v>
      </c>
      <c r="Y21" s="5191"/>
      <c r="Z21" s="2027" t="s">
        <v>11093</v>
      </c>
      <c r="AA21" s="1987" t="s">
        <v>11090</v>
      </c>
      <c r="AB21" s="1988" t="s">
        <v>11092</v>
      </c>
    </row>
    <row r="22" spans="1:28" s="2022" customFormat="1">
      <c r="A22" s="1955"/>
      <c r="B22" s="1955"/>
      <c r="C22" s="1955"/>
      <c r="D22" s="1955"/>
      <c r="E22" s="1955"/>
      <c r="F22" s="1955"/>
      <c r="G22" s="1955"/>
      <c r="H22" s="1955"/>
      <c r="I22" s="1955"/>
      <c r="J22" s="1955"/>
      <c r="K22" s="1955"/>
      <c r="L22" s="1955"/>
      <c r="M22" s="1955"/>
      <c r="N22" s="1955"/>
      <c r="O22" s="1955"/>
      <c r="P22" s="1955"/>
      <c r="Q22" s="1955"/>
      <c r="R22" s="1955"/>
      <c r="S22" s="1955"/>
      <c r="T22" s="1955"/>
      <c r="U22" s="1955"/>
      <c r="V22" s="1955"/>
      <c r="W22" s="1955"/>
      <c r="X22" s="1955"/>
      <c r="Y22" s="1955"/>
      <c r="Z22" s="1955"/>
      <c r="AA22" s="1955"/>
      <c r="AB22" s="1955"/>
    </row>
    <row r="23" spans="1:28" customFormat="1">
      <c r="A23" s="5219" t="s">
        <v>11094</v>
      </c>
      <c r="B23" s="5219"/>
      <c r="C23" s="5219"/>
      <c r="D23" s="5219"/>
      <c r="E23" s="5219"/>
      <c r="F23" s="5219"/>
      <c r="G23" s="5219"/>
      <c r="H23" s="5219"/>
      <c r="I23" s="5219"/>
      <c r="J23" s="5219"/>
      <c r="K23" s="5219"/>
      <c r="L23" s="5219"/>
      <c r="M23" s="5219"/>
      <c r="N23" s="5219"/>
      <c r="O23" s="1955"/>
      <c r="P23" s="1955"/>
      <c r="Q23" s="1955"/>
      <c r="R23" s="1955"/>
      <c r="S23" s="1955"/>
      <c r="T23" s="1955"/>
      <c r="U23" s="1955"/>
      <c r="V23" s="1955"/>
      <c r="W23" s="1955"/>
      <c r="X23" s="1955"/>
      <c r="Y23" s="1955"/>
      <c r="Z23" s="1955"/>
      <c r="AA23" s="1955"/>
      <c r="AB23" s="1955"/>
    </row>
    <row r="24" spans="1:28" customFormat="1">
      <c r="A24" s="5220" t="s">
        <v>11041</v>
      </c>
      <c r="B24" s="5221"/>
      <c r="C24" s="5208" t="s">
        <v>11042</v>
      </c>
      <c r="D24" s="5222"/>
      <c r="E24" s="5222"/>
      <c r="F24" s="5222"/>
      <c r="G24" s="5222"/>
      <c r="H24" s="5222"/>
      <c r="I24" s="5222"/>
      <c r="J24" s="5222"/>
      <c r="K24" s="5222"/>
      <c r="L24" s="5222"/>
      <c r="M24" s="5222"/>
      <c r="N24" s="5222"/>
      <c r="O24" s="5223"/>
      <c r="P24" s="1955"/>
      <c r="Q24" s="1955"/>
      <c r="R24" s="1955"/>
      <c r="S24" s="1955"/>
      <c r="T24" s="1955"/>
      <c r="U24" s="1955"/>
      <c r="V24" s="1955"/>
      <c r="W24" s="1955"/>
      <c r="X24" s="1955"/>
      <c r="Y24" s="1955"/>
      <c r="Z24" s="1955"/>
      <c r="AA24" s="1955"/>
      <c r="AB24" s="1955"/>
    </row>
    <row r="25" spans="1:28" customFormat="1">
      <c r="A25" s="5216" t="s">
        <v>11043</v>
      </c>
      <c r="B25" s="5189"/>
      <c r="C25" s="1984" t="s">
        <v>11095</v>
      </c>
      <c r="D25" s="1984" t="s">
        <v>10424</v>
      </c>
      <c r="E25" s="1984" t="s">
        <v>11044</v>
      </c>
      <c r="F25" s="1984" t="s">
        <v>11045</v>
      </c>
      <c r="G25" s="1984" t="s">
        <v>11046</v>
      </c>
      <c r="H25" s="1984" t="s">
        <v>11047</v>
      </c>
      <c r="I25" s="1984" t="s">
        <v>11048</v>
      </c>
      <c r="J25" s="1984" t="s">
        <v>11049</v>
      </c>
      <c r="K25" s="1984" t="s">
        <v>9825</v>
      </c>
      <c r="L25" s="1984" t="s">
        <v>9828</v>
      </c>
      <c r="M25" s="1984" t="s">
        <v>3389</v>
      </c>
      <c r="N25" s="1984" t="s">
        <v>11050</v>
      </c>
      <c r="O25" s="1981" t="s">
        <v>11051</v>
      </c>
      <c r="P25" s="1955"/>
      <c r="Q25" s="1955"/>
      <c r="R25" s="1955"/>
      <c r="S25" s="1955"/>
      <c r="T25" s="1955"/>
      <c r="U25" s="1955"/>
      <c r="V25" s="1955"/>
      <c r="W25" s="1955"/>
      <c r="X25" s="1955"/>
      <c r="Y25" s="1955"/>
      <c r="Z25" s="1955"/>
      <c r="AA25" s="1955"/>
      <c r="AB25" s="1955"/>
    </row>
    <row r="26" spans="1:28" customFormat="1">
      <c r="A26" s="1980" t="s">
        <v>2410</v>
      </c>
      <c r="B26" s="1984" t="s">
        <v>11052</v>
      </c>
      <c r="C26" s="5194" t="s">
        <v>11096</v>
      </c>
      <c r="D26" s="5217"/>
      <c r="E26" s="5217"/>
      <c r="F26" s="5217"/>
      <c r="G26" s="5217"/>
      <c r="H26" s="5217"/>
      <c r="I26" s="5217"/>
      <c r="J26" s="5217"/>
      <c r="K26" s="5217"/>
      <c r="L26" s="5217"/>
      <c r="M26" s="5217"/>
      <c r="N26" s="5217"/>
      <c r="O26" s="5218"/>
      <c r="P26" s="1955"/>
      <c r="Q26" s="1955"/>
      <c r="R26" s="1955"/>
      <c r="S26" s="1955"/>
      <c r="T26" s="1955"/>
      <c r="U26" s="1955"/>
      <c r="V26" s="1955"/>
      <c r="W26" s="1955"/>
      <c r="X26" s="1955"/>
      <c r="Y26" s="1955"/>
      <c r="Z26" s="1955"/>
      <c r="AA26" s="1955"/>
      <c r="AB26" s="1955"/>
    </row>
    <row r="27" spans="1:28" customFormat="1">
      <c r="A27" s="1980" t="s">
        <v>5908</v>
      </c>
      <c r="B27" s="1984" t="s">
        <v>11045</v>
      </c>
      <c r="C27" s="1984" t="s">
        <v>11058</v>
      </c>
      <c r="D27" s="1984" t="s">
        <v>11055</v>
      </c>
      <c r="E27" s="1984" t="s">
        <v>11069</v>
      </c>
      <c r="F27" s="1984" t="s">
        <v>11065</v>
      </c>
      <c r="G27" s="1984" t="s">
        <v>11059</v>
      </c>
      <c r="H27" s="1984" t="s">
        <v>11060</v>
      </c>
      <c r="I27" s="1984" t="s">
        <v>11044</v>
      </c>
      <c r="J27" s="1984" t="s">
        <v>11045</v>
      </c>
      <c r="K27" s="1984" t="s">
        <v>11046</v>
      </c>
      <c r="L27" s="1984" t="s">
        <v>11048</v>
      </c>
      <c r="M27" s="1984" t="s">
        <v>3389</v>
      </c>
      <c r="N27" s="1984" t="s">
        <v>11097</v>
      </c>
      <c r="O27" s="1981" t="s">
        <v>1166</v>
      </c>
      <c r="P27" s="1955"/>
      <c r="Q27" s="1955"/>
      <c r="R27" s="1955"/>
      <c r="S27" s="1955"/>
      <c r="T27" s="1955"/>
      <c r="U27" s="1955"/>
      <c r="V27" s="1955"/>
      <c r="W27" s="1955"/>
      <c r="X27" s="1955"/>
      <c r="Y27" s="1955"/>
      <c r="Z27" s="1955"/>
      <c r="AA27" s="1955"/>
      <c r="AB27" s="1955"/>
    </row>
    <row r="28" spans="1:28" customFormat="1">
      <c r="A28" s="1980" t="s">
        <v>11045</v>
      </c>
      <c r="B28" s="1984" t="s">
        <v>11048</v>
      </c>
      <c r="C28" s="1984" t="s">
        <v>11058</v>
      </c>
      <c r="D28" s="1984" t="s">
        <v>11055</v>
      </c>
      <c r="E28" s="1984" t="s">
        <v>11057</v>
      </c>
      <c r="F28" s="1984" t="s">
        <v>11070</v>
      </c>
      <c r="G28" s="1984" t="s">
        <v>10424</v>
      </c>
      <c r="H28" s="1984" t="s">
        <v>11066</v>
      </c>
      <c r="I28" s="1984" t="s">
        <v>11067</v>
      </c>
      <c r="J28" s="1984" t="s">
        <v>11046</v>
      </c>
      <c r="K28" s="1984" t="s">
        <v>11047</v>
      </c>
      <c r="L28" s="1984" t="s">
        <v>9825</v>
      </c>
      <c r="M28" s="1984" t="s">
        <v>11051</v>
      </c>
      <c r="N28" s="1984" t="s">
        <v>11098</v>
      </c>
      <c r="O28" s="1981" t="s">
        <v>3409</v>
      </c>
      <c r="P28" s="1955"/>
      <c r="Q28" s="1955"/>
      <c r="R28" s="1955"/>
      <c r="S28" s="1955"/>
      <c r="T28" s="1955"/>
      <c r="U28" s="1955"/>
      <c r="V28" s="1955"/>
      <c r="W28" s="1955"/>
      <c r="X28" s="1955"/>
      <c r="Y28" s="1955"/>
      <c r="Z28" s="1955"/>
      <c r="AA28" s="1955"/>
      <c r="AB28" s="1955"/>
    </row>
    <row r="29" spans="1:28" customFormat="1">
      <c r="A29" s="1980" t="s">
        <v>11048</v>
      </c>
      <c r="B29" s="1984" t="s">
        <v>3389</v>
      </c>
      <c r="C29" s="1984" t="s">
        <v>11099</v>
      </c>
      <c r="D29" s="1984" t="s">
        <v>11064</v>
      </c>
      <c r="E29" s="1984" t="s">
        <v>11057</v>
      </c>
      <c r="F29" s="1984" t="s">
        <v>11070</v>
      </c>
      <c r="G29" s="1984" t="s">
        <v>10424</v>
      </c>
      <c r="H29" s="1984" t="s">
        <v>11066</v>
      </c>
      <c r="I29" s="1984" t="s">
        <v>11067</v>
      </c>
      <c r="J29" s="1984" t="s">
        <v>11046</v>
      </c>
      <c r="K29" s="1984" t="s">
        <v>11048</v>
      </c>
      <c r="L29" s="1984" t="s">
        <v>9828</v>
      </c>
      <c r="M29" s="1984" t="s">
        <v>3394</v>
      </c>
      <c r="N29" s="1984" t="s">
        <v>11100</v>
      </c>
      <c r="O29" s="1981" t="s">
        <v>11101</v>
      </c>
      <c r="P29" s="1955"/>
      <c r="Q29" s="1955"/>
      <c r="R29" s="1955"/>
      <c r="S29" s="1955"/>
      <c r="T29" s="1955"/>
      <c r="U29" s="1955"/>
      <c r="V29" s="1955"/>
      <c r="W29" s="1955"/>
      <c r="X29" s="1955"/>
      <c r="Y29" s="1955"/>
      <c r="Z29" s="1955"/>
      <c r="AA29" s="1955"/>
      <c r="AB29" s="1955"/>
    </row>
    <row r="30" spans="1:28" customFormat="1">
      <c r="A30" s="1980" t="s">
        <v>3389</v>
      </c>
      <c r="B30" s="1984" t="s">
        <v>11098</v>
      </c>
      <c r="C30" s="1984" t="s">
        <v>11102</v>
      </c>
      <c r="D30" s="1984" t="s">
        <v>11064</v>
      </c>
      <c r="E30" s="1984" t="s">
        <v>11065</v>
      </c>
      <c r="F30" s="1984" t="s">
        <v>11059</v>
      </c>
      <c r="G30" s="1984" t="s">
        <v>11060</v>
      </c>
      <c r="H30" s="1984" t="s">
        <v>11044</v>
      </c>
      <c r="I30" s="1984" t="s">
        <v>11045</v>
      </c>
      <c r="J30" s="1984" t="s">
        <v>11047</v>
      </c>
      <c r="K30" s="1984" t="s">
        <v>9825</v>
      </c>
      <c r="L30" s="1984" t="s">
        <v>11050</v>
      </c>
      <c r="M30" s="1984" t="s">
        <v>11098</v>
      </c>
      <c r="N30" s="1984" t="s">
        <v>11103</v>
      </c>
      <c r="O30" s="1981" t="s">
        <v>11104</v>
      </c>
      <c r="P30" s="1955"/>
      <c r="Q30" s="1955"/>
      <c r="R30" s="1955"/>
      <c r="S30" s="1955"/>
      <c r="T30" s="1955"/>
      <c r="U30" s="1955"/>
      <c r="V30" s="1955"/>
      <c r="W30" s="1955"/>
      <c r="X30" s="1955"/>
      <c r="Y30" s="1955"/>
      <c r="Z30" s="1955"/>
      <c r="AA30" s="1955"/>
      <c r="AB30" s="1955"/>
    </row>
    <row r="31" spans="1:28" customFormat="1">
      <c r="A31" s="1980" t="s">
        <v>11098</v>
      </c>
      <c r="B31" s="1984" t="s">
        <v>3409</v>
      </c>
      <c r="C31" s="1984" t="s">
        <v>11055</v>
      </c>
      <c r="D31" s="1984" t="s">
        <v>11069</v>
      </c>
      <c r="E31" s="1984" t="s">
        <v>11070</v>
      </c>
      <c r="F31" s="1984" t="s">
        <v>10424</v>
      </c>
      <c r="G31" s="1984" t="s">
        <v>11066</v>
      </c>
      <c r="H31" s="1984" t="s">
        <v>11067</v>
      </c>
      <c r="I31" s="1984" t="s">
        <v>11046</v>
      </c>
      <c r="J31" s="1984" t="s">
        <v>11048</v>
      </c>
      <c r="K31" s="1984" t="s">
        <v>9828</v>
      </c>
      <c r="L31" s="1984" t="s">
        <v>11105</v>
      </c>
      <c r="M31" s="1984" t="s">
        <v>11106</v>
      </c>
      <c r="N31" s="1984" t="s">
        <v>11107</v>
      </c>
      <c r="O31" s="1981" t="s">
        <v>11108</v>
      </c>
      <c r="P31" s="1955"/>
      <c r="Q31" s="1955"/>
      <c r="R31" s="1955"/>
      <c r="S31" s="1955"/>
      <c r="T31" s="1955"/>
      <c r="U31" s="1955"/>
      <c r="V31" s="1955"/>
      <c r="W31" s="1955"/>
      <c r="X31" s="1955"/>
      <c r="Y31" s="1955"/>
      <c r="Z31" s="1955"/>
      <c r="AA31" s="1955"/>
      <c r="AB31" s="1955"/>
    </row>
    <row r="32" spans="1:28" customFormat="1">
      <c r="A32" s="1980" t="s">
        <v>3409</v>
      </c>
      <c r="B32" s="1984" t="s">
        <v>3431</v>
      </c>
      <c r="C32" s="1984" t="s">
        <v>11064</v>
      </c>
      <c r="D32" s="1984" t="s">
        <v>11057</v>
      </c>
      <c r="E32" s="1984" t="s">
        <v>11070</v>
      </c>
      <c r="F32" s="1984" t="s">
        <v>10424</v>
      </c>
      <c r="G32" s="1984" t="s">
        <v>11066</v>
      </c>
      <c r="H32" s="1984" t="s">
        <v>11067</v>
      </c>
      <c r="I32" s="1984" t="s">
        <v>11046</v>
      </c>
      <c r="J32" s="1984" t="s">
        <v>11049</v>
      </c>
      <c r="K32" s="1984" t="s">
        <v>11050</v>
      </c>
      <c r="L32" s="1984" t="s">
        <v>11063</v>
      </c>
      <c r="M32" s="1984" t="s">
        <v>1166</v>
      </c>
      <c r="N32" s="1984" t="s">
        <v>11109</v>
      </c>
      <c r="O32" s="1981" t="s">
        <v>11110</v>
      </c>
      <c r="P32" s="1955"/>
      <c r="Q32" s="1955"/>
      <c r="R32" s="1955"/>
      <c r="S32" s="1955"/>
      <c r="T32" s="1955"/>
      <c r="U32" s="1955"/>
      <c r="V32" s="1955"/>
      <c r="W32" s="1955"/>
      <c r="X32" s="1955"/>
      <c r="Y32" s="1955"/>
      <c r="Z32" s="1955"/>
      <c r="AA32" s="1955"/>
      <c r="AB32" s="1955"/>
    </row>
    <row r="33" spans="1:28" customFormat="1">
      <c r="A33" s="1980" t="s">
        <v>3431</v>
      </c>
      <c r="B33" s="1984" t="s">
        <v>11068</v>
      </c>
      <c r="C33" s="1984" t="s">
        <v>11069</v>
      </c>
      <c r="D33" s="1984" t="s">
        <v>11065</v>
      </c>
      <c r="E33" s="1984" t="s">
        <v>11059</v>
      </c>
      <c r="F33" s="1984" t="s">
        <v>11060</v>
      </c>
      <c r="G33" s="1984" t="s">
        <v>11044</v>
      </c>
      <c r="H33" s="1984" t="s">
        <v>11045</v>
      </c>
      <c r="I33" s="1984" t="s">
        <v>11047</v>
      </c>
      <c r="J33" s="1984" t="s">
        <v>9825</v>
      </c>
      <c r="K33" s="1984" t="s">
        <v>11105</v>
      </c>
      <c r="L33" s="1984" t="s">
        <v>11111</v>
      </c>
      <c r="M33" s="1984" t="s">
        <v>3409</v>
      </c>
      <c r="N33" s="1984" t="s">
        <v>11112</v>
      </c>
      <c r="O33" s="1981" t="s">
        <v>11113</v>
      </c>
      <c r="P33" s="1955"/>
      <c r="Q33" s="1955"/>
      <c r="R33" s="1955"/>
      <c r="S33" s="1955"/>
      <c r="T33" s="1955"/>
      <c r="U33" s="1955"/>
      <c r="V33" s="1955"/>
      <c r="W33" s="1955"/>
      <c r="X33" s="1955"/>
      <c r="Y33" s="1955"/>
      <c r="Z33" s="1955"/>
      <c r="AA33" s="1955"/>
      <c r="AB33" s="1955"/>
    </row>
    <row r="34" spans="1:28" customFormat="1">
      <c r="A34" s="1980" t="s">
        <v>11068</v>
      </c>
      <c r="B34" s="1984" t="s">
        <v>11073</v>
      </c>
      <c r="C34" s="1984" t="s">
        <v>11057</v>
      </c>
      <c r="D34" s="1984" t="s">
        <v>11070</v>
      </c>
      <c r="E34" s="1984" t="s">
        <v>10424</v>
      </c>
      <c r="F34" s="1984" t="s">
        <v>11066</v>
      </c>
      <c r="G34" s="1984" t="s">
        <v>11067</v>
      </c>
      <c r="H34" s="1984" t="s">
        <v>11046</v>
      </c>
      <c r="I34" s="1984" t="s">
        <v>11048</v>
      </c>
      <c r="J34" s="1984" t="s">
        <v>3389</v>
      </c>
      <c r="K34" s="1984" t="s">
        <v>3394</v>
      </c>
      <c r="L34" s="1984" t="s">
        <v>11100</v>
      </c>
      <c r="M34" s="1984" t="s">
        <v>3414</v>
      </c>
      <c r="N34" s="1984" t="s">
        <v>11114</v>
      </c>
      <c r="O34" s="1981" t="s">
        <v>11115</v>
      </c>
      <c r="P34" s="1955"/>
      <c r="Q34" s="1955"/>
      <c r="R34" s="1955"/>
      <c r="S34" s="1955"/>
      <c r="T34" s="1955"/>
      <c r="U34" s="1955"/>
      <c r="V34" s="1955"/>
      <c r="W34" s="1955"/>
      <c r="X34" s="1955"/>
      <c r="Y34" s="1955"/>
      <c r="Z34" s="1955"/>
      <c r="AA34" s="1955"/>
      <c r="AB34" s="1955"/>
    </row>
    <row r="35" spans="1:28" customFormat="1">
      <c r="A35" s="1980" t="s">
        <v>11073</v>
      </c>
      <c r="B35" s="1984" t="s">
        <v>11116</v>
      </c>
      <c r="C35" s="1984" t="s">
        <v>11070</v>
      </c>
      <c r="D35" s="1984" t="s">
        <v>10424</v>
      </c>
      <c r="E35" s="1984" t="s">
        <v>11060</v>
      </c>
      <c r="F35" s="1984" t="s">
        <v>11044</v>
      </c>
      <c r="G35" s="1984" t="s">
        <v>11117</v>
      </c>
      <c r="H35" s="1984" t="s">
        <v>11047</v>
      </c>
      <c r="I35" s="1984" t="s">
        <v>9825</v>
      </c>
      <c r="J35" s="1984" t="s">
        <v>11051</v>
      </c>
      <c r="K35" s="1984" t="s">
        <v>11098</v>
      </c>
      <c r="L35" s="1984" t="s">
        <v>1166</v>
      </c>
      <c r="M35" s="1984" t="s">
        <v>3420</v>
      </c>
      <c r="N35" s="1984" t="s">
        <v>11074</v>
      </c>
      <c r="O35" s="1981" t="s">
        <v>11071</v>
      </c>
      <c r="P35" s="1955"/>
      <c r="Q35" s="1955"/>
      <c r="R35" s="1955"/>
      <c r="S35" s="1955"/>
      <c r="T35" s="1955"/>
      <c r="U35" s="1955"/>
      <c r="V35" s="1955"/>
      <c r="W35" s="1955"/>
      <c r="X35" s="1955"/>
      <c r="Y35" s="1955"/>
      <c r="Z35" s="1955"/>
      <c r="AA35" s="1955"/>
      <c r="AB35" s="1955"/>
    </row>
    <row r="36" spans="1:28" customFormat="1">
      <c r="A36" s="1980" t="s">
        <v>11116</v>
      </c>
      <c r="B36" s="1984" t="s">
        <v>11078</v>
      </c>
      <c r="C36" s="1984" t="s">
        <v>11059</v>
      </c>
      <c r="D36" s="1984" t="s">
        <v>11060</v>
      </c>
      <c r="E36" s="1984" t="s">
        <v>11044</v>
      </c>
      <c r="F36" s="1984" t="s">
        <v>11045</v>
      </c>
      <c r="G36" s="1984" t="s">
        <v>11118</v>
      </c>
      <c r="H36" s="1984" t="s">
        <v>11049</v>
      </c>
      <c r="I36" s="1984" t="s">
        <v>3389</v>
      </c>
      <c r="J36" s="1984" t="s">
        <v>11097</v>
      </c>
      <c r="K36" s="1984" t="s">
        <v>1164</v>
      </c>
      <c r="L36" s="1984" t="s">
        <v>11119</v>
      </c>
      <c r="M36" s="1984" t="s">
        <v>11112</v>
      </c>
      <c r="N36" s="1984" t="s">
        <v>11120</v>
      </c>
      <c r="O36" s="1981" t="s">
        <v>11121</v>
      </c>
      <c r="P36" s="1955"/>
      <c r="Q36" s="1955"/>
      <c r="R36" s="1955"/>
      <c r="S36" s="1955"/>
      <c r="T36" s="1955"/>
      <c r="U36" s="1955"/>
      <c r="V36" s="1955"/>
      <c r="W36" s="1955"/>
      <c r="X36" s="1955"/>
      <c r="Y36" s="1955"/>
      <c r="Z36" s="1955"/>
      <c r="AA36" s="1955"/>
      <c r="AB36" s="1955"/>
    </row>
    <row r="37" spans="1:28" customFormat="1">
      <c r="A37" s="1980" t="s">
        <v>11078</v>
      </c>
      <c r="B37" s="1984" t="s">
        <v>11122</v>
      </c>
      <c r="C37" s="1984" t="s">
        <v>10424</v>
      </c>
      <c r="D37" s="1984" t="s">
        <v>1168</v>
      </c>
      <c r="E37" s="1984" t="s">
        <v>11067</v>
      </c>
      <c r="F37" s="1984" t="s">
        <v>11046</v>
      </c>
      <c r="G37" s="1984" t="s">
        <v>11048</v>
      </c>
      <c r="H37" s="1984" t="s">
        <v>9825</v>
      </c>
      <c r="I37" s="1984" t="s">
        <v>11051</v>
      </c>
      <c r="J37" s="1984" t="s">
        <v>11063</v>
      </c>
      <c r="K37" s="1984" t="s">
        <v>11123</v>
      </c>
      <c r="L37" s="1984" t="s">
        <v>11124</v>
      </c>
      <c r="M37" s="1984" t="s">
        <v>11108</v>
      </c>
      <c r="N37" s="1984" t="s">
        <v>11125</v>
      </c>
      <c r="O37" s="1981" t="s">
        <v>11126</v>
      </c>
      <c r="P37" s="1955"/>
      <c r="Q37" s="1955"/>
      <c r="R37" s="1955"/>
      <c r="S37" s="1955"/>
      <c r="T37" s="1955"/>
      <c r="U37" s="1955"/>
      <c r="V37" s="1955"/>
      <c r="W37" s="1955"/>
      <c r="X37" s="1955"/>
      <c r="Y37" s="1955"/>
      <c r="Z37" s="1955"/>
      <c r="AA37" s="1955"/>
      <c r="AB37" s="1955"/>
    </row>
    <row r="38" spans="1:28" customFormat="1">
      <c r="A38" s="1980" t="s">
        <v>11122</v>
      </c>
      <c r="B38" s="1984" t="s">
        <v>11080</v>
      </c>
      <c r="C38" s="1984" t="s">
        <v>11060</v>
      </c>
      <c r="D38" s="1984" t="s">
        <v>11044</v>
      </c>
      <c r="E38" s="1984" t="s">
        <v>11045</v>
      </c>
      <c r="F38" s="1984" t="s">
        <v>11047</v>
      </c>
      <c r="G38" s="1984" t="s">
        <v>11049</v>
      </c>
      <c r="H38" s="1984" t="s">
        <v>9828</v>
      </c>
      <c r="I38" s="1984" t="s">
        <v>11105</v>
      </c>
      <c r="J38" s="1984" t="s">
        <v>11098</v>
      </c>
      <c r="K38" s="1984" t="s">
        <v>1166</v>
      </c>
      <c r="L38" s="1984" t="s">
        <v>11101</v>
      </c>
      <c r="M38" s="1984" t="s">
        <v>11127</v>
      </c>
      <c r="N38" s="1984" t="s">
        <v>11128</v>
      </c>
      <c r="O38" s="1981" t="s">
        <v>11129</v>
      </c>
      <c r="P38" s="1955"/>
      <c r="Q38" s="1955"/>
      <c r="R38" s="1955"/>
      <c r="S38" s="1955"/>
      <c r="T38" s="1955"/>
      <c r="U38" s="1955"/>
      <c r="V38" s="1955"/>
      <c r="W38" s="1955"/>
      <c r="X38" s="1955"/>
      <c r="Y38" s="1955"/>
      <c r="Z38" s="1955"/>
      <c r="AA38" s="1955"/>
      <c r="AB38" s="1955"/>
    </row>
    <row r="39" spans="1:28" customFormat="1">
      <c r="A39" s="2010" t="s">
        <v>11080</v>
      </c>
      <c r="B39" s="1987" t="s">
        <v>11082</v>
      </c>
      <c r="C39" s="1987" t="s">
        <v>11066</v>
      </c>
      <c r="D39" s="1987" t="s">
        <v>11067</v>
      </c>
      <c r="E39" s="1987" t="s">
        <v>11046</v>
      </c>
      <c r="F39" s="1987" t="s">
        <v>11048</v>
      </c>
      <c r="G39" s="1987" t="s">
        <v>9825</v>
      </c>
      <c r="H39" s="1987" t="s">
        <v>3389</v>
      </c>
      <c r="I39" s="1987" t="s">
        <v>3394</v>
      </c>
      <c r="J39" s="1987" t="s">
        <v>1164</v>
      </c>
      <c r="K39" s="1987" t="s">
        <v>11103</v>
      </c>
      <c r="L39" s="1987" t="s">
        <v>3420</v>
      </c>
      <c r="M39" s="1987" t="s">
        <v>11074</v>
      </c>
      <c r="N39" s="1987" t="s">
        <v>11130</v>
      </c>
      <c r="O39" s="1988" t="s">
        <v>11131</v>
      </c>
      <c r="P39" s="1955"/>
      <c r="Q39" s="1955"/>
      <c r="R39" s="1955"/>
      <c r="S39" s="1955"/>
      <c r="T39" s="1955"/>
      <c r="U39" s="1955"/>
      <c r="V39" s="1955"/>
      <c r="W39" s="1955"/>
      <c r="X39" s="1955"/>
      <c r="Y39" s="1955"/>
      <c r="Z39" s="1955"/>
      <c r="AA39" s="1955"/>
      <c r="AB39" s="1955"/>
    </row>
    <row r="40" spans="1:28" s="2022" customFormat="1">
      <c r="A40" s="1955"/>
      <c r="B40" s="1955"/>
      <c r="C40" s="1955"/>
      <c r="D40" s="1955"/>
      <c r="E40" s="1955"/>
      <c r="F40" s="1955"/>
      <c r="G40" s="1955"/>
      <c r="H40" s="1955"/>
      <c r="I40" s="1955"/>
      <c r="J40" s="1955"/>
      <c r="K40" s="1955"/>
      <c r="L40" s="1955"/>
      <c r="M40" s="1955"/>
      <c r="N40" s="1955"/>
      <c r="O40" s="1955"/>
      <c r="P40" s="1955"/>
      <c r="Q40" s="1955"/>
      <c r="R40" s="1955"/>
      <c r="S40" s="1955"/>
      <c r="T40" s="1955"/>
      <c r="U40" s="1955"/>
      <c r="V40" s="1955"/>
      <c r="W40" s="1955"/>
      <c r="X40" s="1955"/>
      <c r="Y40" s="1955"/>
      <c r="Z40" s="1955"/>
      <c r="AA40" s="1955"/>
      <c r="AB40" s="1955"/>
    </row>
    <row r="41" spans="1:28" customFormat="1">
      <c r="A41" s="5219" t="s">
        <v>11132</v>
      </c>
      <c r="B41" s="5219"/>
      <c r="C41" s="5219"/>
      <c r="D41" s="5219"/>
      <c r="E41" s="5219"/>
      <c r="F41" s="5219"/>
      <c r="G41" s="5219"/>
      <c r="H41" s="5219"/>
      <c r="I41" s="5219"/>
      <c r="J41" s="5219"/>
      <c r="K41" s="5219"/>
      <c r="L41" s="5219"/>
      <c r="M41" s="5219"/>
      <c r="N41" s="5219"/>
      <c r="O41" s="1955"/>
      <c r="P41" s="1955"/>
      <c r="Q41" s="1955"/>
      <c r="R41" s="1955"/>
      <c r="S41" s="1955"/>
      <c r="T41" s="1955"/>
      <c r="U41" s="1955"/>
      <c r="V41" s="1955"/>
      <c r="W41" s="1955"/>
      <c r="X41" s="1955"/>
      <c r="Y41" s="1955"/>
      <c r="Z41" s="1955"/>
      <c r="AA41" s="1955"/>
      <c r="AB41" s="1955"/>
    </row>
    <row r="42" spans="1:28" customFormat="1">
      <c r="A42" s="5220" t="s">
        <v>11041</v>
      </c>
      <c r="B42" s="5221"/>
      <c r="C42" s="5208" t="s">
        <v>11042</v>
      </c>
      <c r="D42" s="5222"/>
      <c r="E42" s="5222"/>
      <c r="F42" s="5222"/>
      <c r="G42" s="5222"/>
      <c r="H42" s="5222"/>
      <c r="I42" s="5222"/>
      <c r="J42" s="5222"/>
      <c r="K42" s="5222"/>
      <c r="L42" s="5222"/>
      <c r="M42" s="5222"/>
      <c r="N42" s="5223"/>
      <c r="O42" s="1955"/>
      <c r="P42" s="1955"/>
      <c r="Q42" s="1955"/>
      <c r="R42" s="1955"/>
      <c r="S42" s="1955"/>
      <c r="T42" s="1955"/>
      <c r="U42" s="1955"/>
      <c r="V42" s="1955"/>
      <c r="W42" s="1955"/>
      <c r="X42" s="1955"/>
      <c r="Y42" s="1955"/>
      <c r="Z42" s="1955"/>
      <c r="AA42" s="1955"/>
      <c r="AB42" s="1955"/>
    </row>
    <row r="43" spans="1:28" customFormat="1">
      <c r="A43" s="5216" t="s">
        <v>11133</v>
      </c>
      <c r="B43" s="5189"/>
      <c r="C43" s="1984" t="s">
        <v>10424</v>
      </c>
      <c r="D43" s="1984" t="s">
        <v>11044</v>
      </c>
      <c r="E43" s="1984" t="s">
        <v>11045</v>
      </c>
      <c r="F43" s="1984" t="s">
        <v>11046</v>
      </c>
      <c r="G43" s="1984" t="s">
        <v>11047</v>
      </c>
      <c r="H43" s="1984" t="s">
        <v>11048</v>
      </c>
      <c r="I43" s="1984" t="s">
        <v>11049</v>
      </c>
      <c r="J43" s="1984" t="s">
        <v>9825</v>
      </c>
      <c r="K43" s="1984" t="s">
        <v>9828</v>
      </c>
      <c r="L43" s="1984" t="s">
        <v>3389</v>
      </c>
      <c r="M43" s="1984" t="s">
        <v>11050</v>
      </c>
      <c r="N43" s="1981" t="s">
        <v>11051</v>
      </c>
      <c r="O43" s="1955"/>
      <c r="P43" s="1955"/>
      <c r="Q43" s="1955"/>
      <c r="R43" s="1955"/>
      <c r="S43" s="1955"/>
      <c r="T43" s="1955"/>
      <c r="U43" s="1955"/>
      <c r="V43" s="1955"/>
      <c r="W43" s="1955"/>
      <c r="X43" s="1955"/>
      <c r="Y43" s="1955"/>
      <c r="Z43" s="1955"/>
      <c r="AA43" s="1955"/>
      <c r="AB43" s="1955"/>
    </row>
    <row r="44" spans="1:28" customFormat="1">
      <c r="A44" s="1980" t="s">
        <v>2410</v>
      </c>
      <c r="B44" s="1984" t="s">
        <v>11052</v>
      </c>
      <c r="C44" s="5194" t="s">
        <v>11096</v>
      </c>
      <c r="D44" s="5217"/>
      <c r="E44" s="5217"/>
      <c r="F44" s="5217"/>
      <c r="G44" s="5217"/>
      <c r="H44" s="5217"/>
      <c r="I44" s="5217"/>
      <c r="J44" s="5217"/>
      <c r="K44" s="5217"/>
      <c r="L44" s="5217"/>
      <c r="M44" s="5217"/>
      <c r="N44" s="5218"/>
      <c r="O44" s="1955"/>
      <c r="P44" s="1955"/>
      <c r="Q44" s="1955"/>
      <c r="R44" s="1955"/>
      <c r="S44" s="1955"/>
      <c r="T44" s="1955"/>
      <c r="U44" s="1955"/>
      <c r="V44" s="1955"/>
      <c r="W44" s="1955"/>
      <c r="X44" s="1955"/>
      <c r="Y44" s="1955"/>
      <c r="Z44" s="1955"/>
      <c r="AA44" s="1955"/>
      <c r="AB44" s="1955"/>
    </row>
    <row r="45" spans="1:28" customFormat="1">
      <c r="A45" s="1980" t="s">
        <v>5908</v>
      </c>
      <c r="B45" s="1984" t="s">
        <v>3389</v>
      </c>
      <c r="C45" s="2023" t="s">
        <v>11057</v>
      </c>
      <c r="D45" s="2023" t="s">
        <v>11059</v>
      </c>
      <c r="E45" s="2023" t="s">
        <v>11066</v>
      </c>
      <c r="F45" s="2023" t="s">
        <v>11045</v>
      </c>
      <c r="G45" s="2023" t="s">
        <v>11047</v>
      </c>
      <c r="H45" s="2023" t="s">
        <v>9825</v>
      </c>
      <c r="I45" s="2023" t="s">
        <v>11051</v>
      </c>
      <c r="J45" s="2023" t="s">
        <v>1164</v>
      </c>
      <c r="K45" s="2023" t="s">
        <v>3409</v>
      </c>
      <c r="L45" s="2023" t="s">
        <v>3431</v>
      </c>
      <c r="M45" s="2023" t="s">
        <v>11068</v>
      </c>
      <c r="N45" s="2025" t="s">
        <v>11073</v>
      </c>
      <c r="O45" s="2026"/>
      <c r="P45" s="1955"/>
      <c r="Q45" s="1955"/>
      <c r="R45" s="1955"/>
      <c r="S45" s="1955"/>
      <c r="T45" s="1955"/>
      <c r="U45" s="1955"/>
      <c r="V45" s="1955"/>
      <c r="W45" s="1955"/>
      <c r="X45" s="1955"/>
      <c r="Y45" s="1955"/>
      <c r="Z45" s="1955"/>
      <c r="AA45" s="1955"/>
      <c r="AB45" s="1955"/>
    </row>
    <row r="46" spans="1:28" customFormat="1">
      <c r="A46" s="1980" t="s">
        <v>3389</v>
      </c>
      <c r="B46" s="1984" t="s">
        <v>11063</v>
      </c>
      <c r="C46" s="1984" t="s">
        <v>11065</v>
      </c>
      <c r="D46" s="1984" t="s">
        <v>10424</v>
      </c>
      <c r="E46" s="1984" t="s">
        <v>11044</v>
      </c>
      <c r="F46" s="1984" t="s">
        <v>11046</v>
      </c>
      <c r="G46" s="1984" t="s">
        <v>11048</v>
      </c>
      <c r="H46" s="1984" t="s">
        <v>3389</v>
      </c>
      <c r="I46" s="1984" t="s">
        <v>3394</v>
      </c>
      <c r="J46" s="1984" t="s">
        <v>1166</v>
      </c>
      <c r="K46" s="1984" t="s">
        <v>3420</v>
      </c>
      <c r="L46" s="1984" t="s">
        <v>3442</v>
      </c>
      <c r="M46" s="1984" t="s">
        <v>11071</v>
      </c>
      <c r="N46" s="2024" t="s">
        <v>11075</v>
      </c>
      <c r="O46" s="2026"/>
      <c r="P46" s="1955"/>
      <c r="Q46" s="1955"/>
      <c r="R46" s="1955"/>
      <c r="S46" s="1955"/>
      <c r="T46" s="1955"/>
      <c r="U46" s="1955"/>
      <c r="V46" s="1955"/>
      <c r="W46" s="1955"/>
      <c r="X46" s="1955"/>
      <c r="Y46" s="1955"/>
      <c r="Z46" s="1955"/>
      <c r="AA46" s="1955"/>
      <c r="AB46" s="1955"/>
    </row>
    <row r="47" spans="1:28" customFormat="1">
      <c r="A47" s="1980" t="s">
        <v>11063</v>
      </c>
      <c r="B47" s="1984" t="s">
        <v>1166</v>
      </c>
      <c r="C47" s="1984" t="s">
        <v>11070</v>
      </c>
      <c r="D47" s="1984" t="s">
        <v>11060</v>
      </c>
      <c r="E47" s="1984" t="s">
        <v>11067</v>
      </c>
      <c r="F47" s="1984" t="s">
        <v>11047</v>
      </c>
      <c r="G47" s="1984" t="s">
        <v>9825</v>
      </c>
      <c r="H47" s="1984" t="s">
        <v>11051</v>
      </c>
      <c r="I47" s="1984" t="s">
        <v>1164</v>
      </c>
      <c r="J47" s="1984" t="s">
        <v>3409</v>
      </c>
      <c r="K47" s="1984" t="s">
        <v>3431</v>
      </c>
      <c r="L47" s="1984" t="s">
        <v>11068</v>
      </c>
      <c r="M47" s="1984" t="s">
        <v>11073</v>
      </c>
      <c r="N47" s="2024" t="s">
        <v>11076</v>
      </c>
      <c r="O47" s="2026"/>
      <c r="P47" s="1955"/>
      <c r="Q47" s="1955"/>
      <c r="R47" s="1955"/>
      <c r="S47" s="1955"/>
      <c r="T47" s="1955"/>
      <c r="U47" s="1955"/>
      <c r="V47" s="1955"/>
      <c r="W47" s="1955"/>
      <c r="X47" s="1955"/>
      <c r="Y47" s="1955"/>
      <c r="Z47" s="1955"/>
      <c r="AA47" s="1955"/>
      <c r="AB47" s="1955"/>
    </row>
    <row r="48" spans="1:28" customFormat="1">
      <c r="A48" s="1980" t="s">
        <v>1166</v>
      </c>
      <c r="B48" s="1984" t="s">
        <v>3420</v>
      </c>
      <c r="C48" s="1984" t="s">
        <v>11059</v>
      </c>
      <c r="D48" s="1984" t="s">
        <v>11066</v>
      </c>
      <c r="E48" s="1984" t="s">
        <v>11045</v>
      </c>
      <c r="F48" s="1984" t="s">
        <v>11048</v>
      </c>
      <c r="G48" s="1984" t="s">
        <v>3389</v>
      </c>
      <c r="H48" s="1984" t="s">
        <v>3394</v>
      </c>
      <c r="I48" s="1984" t="s">
        <v>1166</v>
      </c>
      <c r="J48" s="1984" t="s">
        <v>3420</v>
      </c>
      <c r="K48" s="1984" t="s">
        <v>3442</v>
      </c>
      <c r="L48" s="1984" t="s">
        <v>11071</v>
      </c>
      <c r="M48" s="1984" t="s">
        <v>11075</v>
      </c>
      <c r="N48" s="2024" t="s">
        <v>11078</v>
      </c>
      <c r="O48" s="2026"/>
      <c r="P48" s="1955"/>
      <c r="Q48" s="1955"/>
      <c r="R48" s="1955"/>
      <c r="S48" s="1955"/>
      <c r="T48" s="1955"/>
      <c r="U48" s="1955"/>
      <c r="V48" s="1955"/>
      <c r="W48" s="1955"/>
      <c r="X48" s="1955"/>
      <c r="Y48" s="1955"/>
      <c r="Z48" s="1955"/>
      <c r="AA48" s="1955"/>
      <c r="AB48" s="1955"/>
    </row>
    <row r="49" spans="1:28" customFormat="1">
      <c r="A49" s="1980" t="s">
        <v>3420</v>
      </c>
      <c r="B49" s="1984" t="s">
        <v>11074</v>
      </c>
      <c r="C49" s="1984" t="s">
        <v>10424</v>
      </c>
      <c r="D49" s="1984" t="s">
        <v>11044</v>
      </c>
      <c r="E49" s="1984" t="s">
        <v>11046</v>
      </c>
      <c r="F49" s="1984" t="s">
        <v>9825</v>
      </c>
      <c r="G49" s="1984" t="s">
        <v>11051</v>
      </c>
      <c r="H49" s="1984" t="s">
        <v>1164</v>
      </c>
      <c r="I49" s="1984" t="s">
        <v>3409</v>
      </c>
      <c r="J49" s="1984" t="s">
        <v>3431</v>
      </c>
      <c r="K49" s="1984" t="s">
        <v>11068</v>
      </c>
      <c r="L49" s="1984" t="s">
        <v>11073</v>
      </c>
      <c r="M49" s="1984" t="s">
        <v>11076</v>
      </c>
      <c r="N49" s="2024" t="s">
        <v>11079</v>
      </c>
      <c r="O49" s="2026"/>
      <c r="P49" s="1955"/>
      <c r="Q49" s="1955"/>
      <c r="R49" s="1955"/>
      <c r="S49" s="1955"/>
      <c r="T49" s="1955"/>
      <c r="U49" s="1955"/>
      <c r="V49" s="1955"/>
      <c r="W49" s="1955"/>
      <c r="X49" s="1955"/>
      <c r="Y49" s="1955"/>
      <c r="Z49" s="1955"/>
      <c r="AA49" s="1955"/>
      <c r="AB49" s="1955"/>
    </row>
    <row r="50" spans="1:28" customFormat="1">
      <c r="A50" s="1980" t="s">
        <v>11074</v>
      </c>
      <c r="B50" s="1984" t="s">
        <v>11071</v>
      </c>
      <c r="C50" s="1984" t="s">
        <v>11060</v>
      </c>
      <c r="D50" s="1984" t="s">
        <v>11067</v>
      </c>
      <c r="E50" s="1984" t="s">
        <v>11047</v>
      </c>
      <c r="F50" s="1984" t="s">
        <v>3389</v>
      </c>
      <c r="G50" s="1984" t="s">
        <v>3394</v>
      </c>
      <c r="H50" s="1984" t="s">
        <v>1166</v>
      </c>
      <c r="I50" s="1984" t="s">
        <v>3420</v>
      </c>
      <c r="J50" s="1984" t="s">
        <v>3442</v>
      </c>
      <c r="K50" s="1984" t="s">
        <v>11071</v>
      </c>
      <c r="L50" s="1984" t="s">
        <v>11075</v>
      </c>
      <c r="M50" s="1984" t="s">
        <v>11078</v>
      </c>
      <c r="N50" s="2024" t="s">
        <v>11080</v>
      </c>
      <c r="O50" s="2026"/>
      <c r="P50" s="1955"/>
      <c r="Q50" s="1955"/>
      <c r="R50" s="1955"/>
      <c r="S50" s="1955"/>
      <c r="T50" s="1955"/>
      <c r="U50" s="1955"/>
      <c r="V50" s="1955"/>
      <c r="W50" s="1955"/>
      <c r="X50" s="1955"/>
      <c r="Y50" s="1955"/>
      <c r="Z50" s="1955"/>
      <c r="AA50" s="1955"/>
      <c r="AB50" s="1955"/>
    </row>
    <row r="51" spans="1:28" customFormat="1">
      <c r="A51" s="1980" t="s">
        <v>11071</v>
      </c>
      <c r="B51" s="1984" t="s">
        <v>11077</v>
      </c>
      <c r="C51" s="1984" t="s">
        <v>11066</v>
      </c>
      <c r="D51" s="1984" t="s">
        <v>11045</v>
      </c>
      <c r="E51" s="1984" t="s">
        <v>11048</v>
      </c>
      <c r="F51" s="1984" t="s">
        <v>11051</v>
      </c>
      <c r="G51" s="1984" t="s">
        <v>1164</v>
      </c>
      <c r="H51" s="1984" t="s">
        <v>3409</v>
      </c>
      <c r="I51" s="1984" t="s">
        <v>3431</v>
      </c>
      <c r="J51" s="1984" t="s">
        <v>11068</v>
      </c>
      <c r="K51" s="1984" t="s">
        <v>11073</v>
      </c>
      <c r="L51" s="1984" t="s">
        <v>11076</v>
      </c>
      <c r="M51" s="1984" t="s">
        <v>11079</v>
      </c>
      <c r="N51" s="2024" t="s">
        <v>11082</v>
      </c>
      <c r="O51" s="2026"/>
      <c r="P51" s="1955"/>
      <c r="Q51" s="1955"/>
      <c r="R51" s="1955"/>
      <c r="S51" s="1955"/>
      <c r="T51" s="1955"/>
      <c r="U51" s="1955"/>
      <c r="V51" s="1955"/>
      <c r="W51" s="1955"/>
      <c r="X51" s="1955"/>
      <c r="Y51" s="1955"/>
      <c r="Z51" s="1955"/>
      <c r="AA51" s="1955"/>
      <c r="AB51" s="1955"/>
    </row>
    <row r="52" spans="1:28" customFormat="1">
      <c r="A52" s="1980" t="s">
        <v>11077</v>
      </c>
      <c r="B52" s="1984" t="s">
        <v>11078</v>
      </c>
      <c r="C52" s="1984" t="s">
        <v>11044</v>
      </c>
      <c r="D52" s="1984" t="s">
        <v>11046</v>
      </c>
      <c r="E52" s="1984" t="s">
        <v>9825</v>
      </c>
      <c r="F52" s="1984" t="s">
        <v>3394</v>
      </c>
      <c r="G52" s="1984" t="s">
        <v>1166</v>
      </c>
      <c r="H52" s="1984" t="s">
        <v>3420</v>
      </c>
      <c r="I52" s="1984" t="s">
        <v>3442</v>
      </c>
      <c r="J52" s="1984" t="s">
        <v>11071</v>
      </c>
      <c r="K52" s="1984" t="s">
        <v>11075</v>
      </c>
      <c r="L52" s="1984" t="s">
        <v>11078</v>
      </c>
      <c r="M52" s="1984" t="s">
        <v>11080</v>
      </c>
      <c r="N52" s="2024" t="s">
        <v>11084</v>
      </c>
      <c r="O52" s="2026"/>
      <c r="P52" s="1955"/>
      <c r="Q52" s="1955"/>
      <c r="R52" s="1955"/>
      <c r="S52" s="1955"/>
      <c r="T52" s="1955"/>
      <c r="U52" s="1955"/>
      <c r="V52" s="1955"/>
      <c r="W52" s="1955"/>
      <c r="X52" s="1955"/>
      <c r="Y52" s="1955"/>
      <c r="Z52" s="1955"/>
      <c r="AA52" s="1955"/>
      <c r="AB52" s="1955"/>
    </row>
    <row r="53" spans="1:28" customFormat="1">
      <c r="A53" s="1980" t="s">
        <v>11078</v>
      </c>
      <c r="B53" s="1984" t="s">
        <v>11080</v>
      </c>
      <c r="C53" s="1984" t="s">
        <v>11067</v>
      </c>
      <c r="D53" s="1984" t="s">
        <v>11047</v>
      </c>
      <c r="E53" s="1984" t="s">
        <v>3389</v>
      </c>
      <c r="F53" s="1984" t="s">
        <v>1164</v>
      </c>
      <c r="G53" s="1984" t="s">
        <v>3409</v>
      </c>
      <c r="H53" s="1984" t="s">
        <v>3431</v>
      </c>
      <c r="I53" s="1984" t="s">
        <v>11068</v>
      </c>
      <c r="J53" s="1984" t="s">
        <v>11073</v>
      </c>
      <c r="K53" s="1984" t="s">
        <v>11076</v>
      </c>
      <c r="L53" s="1984" t="s">
        <v>11079</v>
      </c>
      <c r="M53" s="1984" t="s">
        <v>11082</v>
      </c>
      <c r="N53" s="2024" t="s">
        <v>11086</v>
      </c>
      <c r="O53" s="2026"/>
      <c r="P53" s="1955"/>
      <c r="Q53" s="1955"/>
      <c r="R53" s="1955"/>
      <c r="S53" s="1955"/>
      <c r="T53" s="1955"/>
      <c r="U53" s="1955"/>
      <c r="V53" s="1955"/>
      <c r="W53" s="1955"/>
      <c r="X53" s="1955"/>
      <c r="Y53" s="1955"/>
      <c r="Z53" s="1955"/>
      <c r="AA53" s="1955"/>
      <c r="AB53" s="1955"/>
    </row>
    <row r="54" spans="1:28" customFormat="1">
      <c r="A54" s="1980" t="s">
        <v>11080</v>
      </c>
      <c r="B54" s="1984" t="s">
        <v>11081</v>
      </c>
      <c r="C54" s="1984" t="s">
        <v>11045</v>
      </c>
      <c r="D54" s="1984" t="s">
        <v>11047</v>
      </c>
      <c r="E54" s="1984" t="s">
        <v>11051</v>
      </c>
      <c r="F54" s="1984" t="s">
        <v>1166</v>
      </c>
      <c r="G54" s="1984" t="s">
        <v>3420</v>
      </c>
      <c r="H54" s="1984" t="s">
        <v>3442</v>
      </c>
      <c r="I54" s="1984" t="s">
        <v>11071</v>
      </c>
      <c r="J54" s="1984" t="s">
        <v>11075</v>
      </c>
      <c r="K54" s="1984" t="s">
        <v>11078</v>
      </c>
      <c r="L54" s="1984" t="s">
        <v>11080</v>
      </c>
      <c r="M54" s="1984" t="s">
        <v>11084</v>
      </c>
      <c r="N54" s="2024" t="s">
        <v>11083</v>
      </c>
      <c r="O54" s="2026"/>
      <c r="P54" s="1955"/>
      <c r="Q54" s="1955"/>
      <c r="R54" s="1955"/>
      <c r="S54" s="1955"/>
      <c r="T54" s="1955"/>
      <c r="U54" s="1955"/>
      <c r="V54" s="1955"/>
      <c r="W54" s="1955"/>
      <c r="X54" s="1955"/>
      <c r="Y54" s="1955"/>
      <c r="Z54" s="1955"/>
      <c r="AA54" s="1955"/>
      <c r="AB54" s="1955"/>
    </row>
    <row r="55" spans="1:28" customFormat="1">
      <c r="A55" s="1980" t="s">
        <v>11081</v>
      </c>
      <c r="B55" s="1984" t="s">
        <v>11083</v>
      </c>
      <c r="C55" s="1984" t="s">
        <v>11046</v>
      </c>
      <c r="D55" s="1984" t="s">
        <v>9825</v>
      </c>
      <c r="E55" s="1984" t="s">
        <v>3394</v>
      </c>
      <c r="F55" s="1984" t="s">
        <v>3409</v>
      </c>
      <c r="G55" s="1984" t="s">
        <v>3431</v>
      </c>
      <c r="H55" s="1984" t="s">
        <v>11068</v>
      </c>
      <c r="I55" s="1984" t="s">
        <v>11073</v>
      </c>
      <c r="J55" s="1984" t="s">
        <v>11076</v>
      </c>
      <c r="K55" s="1984" t="s">
        <v>11079</v>
      </c>
      <c r="L55" s="1984" t="s">
        <v>11082</v>
      </c>
      <c r="M55" s="1984" t="s">
        <v>11086</v>
      </c>
      <c r="N55" s="2024" t="s">
        <v>11089</v>
      </c>
      <c r="O55" s="2026"/>
      <c r="P55" s="1955"/>
      <c r="Q55" s="1955"/>
      <c r="R55" s="1955"/>
      <c r="S55" s="1955"/>
      <c r="T55" s="1955"/>
      <c r="U55" s="1955"/>
      <c r="V55" s="1955"/>
      <c r="W55" s="1955"/>
      <c r="X55" s="1955"/>
      <c r="Y55" s="1955"/>
      <c r="Z55" s="1955"/>
      <c r="AA55" s="1955"/>
      <c r="AB55" s="1955"/>
    </row>
    <row r="56" spans="1:28" customFormat="1">
      <c r="A56" s="1980" t="s">
        <v>11083</v>
      </c>
      <c r="B56" s="1984" t="s">
        <v>11085</v>
      </c>
      <c r="C56" s="1984" t="s">
        <v>11047</v>
      </c>
      <c r="D56" s="1984" t="s">
        <v>3389</v>
      </c>
      <c r="E56" s="1984" t="s">
        <v>1164</v>
      </c>
      <c r="F56" s="1984" t="s">
        <v>3420</v>
      </c>
      <c r="G56" s="1984" t="s">
        <v>3442</v>
      </c>
      <c r="H56" s="1984" t="s">
        <v>11071</v>
      </c>
      <c r="I56" s="1984" t="s">
        <v>11075</v>
      </c>
      <c r="J56" s="1984" t="s">
        <v>11078</v>
      </c>
      <c r="K56" s="1984" t="s">
        <v>11080</v>
      </c>
      <c r="L56" s="1984" t="s">
        <v>11084</v>
      </c>
      <c r="M56" s="1984" t="s">
        <v>11083</v>
      </c>
      <c r="N56" s="2024" t="s">
        <v>11091</v>
      </c>
      <c r="O56" s="2026"/>
      <c r="P56" s="1955"/>
      <c r="Q56" s="1955"/>
      <c r="R56" s="1955"/>
      <c r="S56" s="1955"/>
      <c r="T56" s="1955"/>
      <c r="U56" s="1955"/>
      <c r="V56" s="1955"/>
      <c r="W56" s="1955"/>
      <c r="X56" s="1955"/>
      <c r="Y56" s="1955"/>
      <c r="Z56" s="1955"/>
      <c r="AA56" s="1955"/>
      <c r="AB56" s="1955"/>
    </row>
    <row r="57" spans="1:28" customFormat="1">
      <c r="A57" s="1980" t="s">
        <v>11085</v>
      </c>
      <c r="B57" s="1984" t="s">
        <v>11087</v>
      </c>
      <c r="C57" s="1984" t="s">
        <v>11048</v>
      </c>
      <c r="D57" s="1984" t="s">
        <v>11051</v>
      </c>
      <c r="E57" s="1984" t="s">
        <v>1166</v>
      </c>
      <c r="F57" s="1984" t="s">
        <v>3431</v>
      </c>
      <c r="G57" s="1984" t="s">
        <v>11068</v>
      </c>
      <c r="H57" s="1984" t="s">
        <v>11073</v>
      </c>
      <c r="I57" s="1984" t="s">
        <v>11076</v>
      </c>
      <c r="J57" s="1984" t="s">
        <v>11079</v>
      </c>
      <c r="K57" s="1984" t="s">
        <v>11082</v>
      </c>
      <c r="L57" s="1984" t="s">
        <v>11086</v>
      </c>
      <c r="M57" s="1984" t="s">
        <v>11089</v>
      </c>
      <c r="N57" s="2024" t="s">
        <v>11093</v>
      </c>
      <c r="O57" s="2026"/>
      <c r="P57" s="1955"/>
      <c r="Q57" s="1955"/>
      <c r="R57" s="1955"/>
      <c r="S57" s="1955"/>
      <c r="T57" s="1955"/>
      <c r="U57" s="1955"/>
      <c r="V57" s="1955"/>
      <c r="W57" s="1955"/>
      <c r="X57" s="1955"/>
      <c r="Y57" s="1955"/>
      <c r="Z57" s="1955"/>
      <c r="AA57" s="1955"/>
      <c r="AB57" s="1955"/>
    </row>
    <row r="58" spans="1:28" customFormat="1">
      <c r="A58" s="1980" t="s">
        <v>11087</v>
      </c>
      <c r="B58" s="1984" t="s">
        <v>11088</v>
      </c>
      <c r="C58" s="1984" t="s">
        <v>9825</v>
      </c>
      <c r="D58" s="1984" t="s">
        <v>3394</v>
      </c>
      <c r="E58" s="1984" t="s">
        <v>3409</v>
      </c>
      <c r="F58" s="1984" t="s">
        <v>3442</v>
      </c>
      <c r="G58" s="1984" t="s">
        <v>11071</v>
      </c>
      <c r="H58" s="1984" t="s">
        <v>11075</v>
      </c>
      <c r="I58" s="1984" t="s">
        <v>11078</v>
      </c>
      <c r="J58" s="1984" t="s">
        <v>11080</v>
      </c>
      <c r="K58" s="1984" t="s">
        <v>11084</v>
      </c>
      <c r="L58" s="1984" t="s">
        <v>11083</v>
      </c>
      <c r="M58" s="1984" t="s">
        <v>11091</v>
      </c>
      <c r="N58" s="2024" t="s">
        <v>11087</v>
      </c>
      <c r="O58" s="2026"/>
      <c r="P58" s="1955"/>
      <c r="Q58" s="1955"/>
      <c r="R58" s="1955"/>
      <c r="S58" s="1955"/>
      <c r="T58" s="1955"/>
      <c r="U58" s="1955"/>
      <c r="V58" s="1955"/>
      <c r="W58" s="1955"/>
      <c r="X58" s="1955"/>
      <c r="Y58" s="1955"/>
      <c r="Z58" s="1955"/>
      <c r="AA58" s="1955"/>
      <c r="AB58" s="1955"/>
    </row>
    <row r="59" spans="1:28" customFormat="1">
      <c r="A59" s="1980" t="s">
        <v>11088</v>
      </c>
      <c r="B59" s="1984" t="s">
        <v>11090</v>
      </c>
      <c r="C59" s="1984" t="s">
        <v>3389</v>
      </c>
      <c r="D59" s="1984" t="s">
        <v>1164</v>
      </c>
      <c r="E59" s="1984" t="s">
        <v>3420</v>
      </c>
      <c r="F59" s="1984" t="s">
        <v>11068</v>
      </c>
      <c r="G59" s="1984" t="s">
        <v>11073</v>
      </c>
      <c r="H59" s="1984" t="s">
        <v>11076</v>
      </c>
      <c r="I59" s="1984" t="s">
        <v>11079</v>
      </c>
      <c r="J59" s="1984" t="s">
        <v>11082</v>
      </c>
      <c r="K59" s="1984" t="s">
        <v>11086</v>
      </c>
      <c r="L59" s="1984" t="s">
        <v>11089</v>
      </c>
      <c r="M59" s="1984" t="s">
        <v>11093</v>
      </c>
      <c r="N59" s="2024" t="s">
        <v>11134</v>
      </c>
      <c r="O59" s="2026"/>
      <c r="P59" s="1955"/>
      <c r="Q59" s="1955"/>
      <c r="R59" s="1955"/>
      <c r="S59" s="1955"/>
      <c r="T59" s="1955"/>
      <c r="U59" s="1955"/>
      <c r="V59" s="1955"/>
      <c r="W59" s="1955"/>
      <c r="X59" s="1955"/>
      <c r="Y59" s="1955"/>
      <c r="Z59" s="1955"/>
      <c r="AA59" s="1955"/>
      <c r="AB59" s="1955"/>
    </row>
    <row r="60" spans="1:28" customFormat="1">
      <c r="A60" s="2010" t="s">
        <v>11090</v>
      </c>
      <c r="B60" s="1987" t="s">
        <v>11092</v>
      </c>
      <c r="C60" s="1987" t="s">
        <v>11051</v>
      </c>
      <c r="D60" s="1987" t="s">
        <v>1166</v>
      </c>
      <c r="E60" s="1987" t="s">
        <v>3431</v>
      </c>
      <c r="F60" s="1987" t="s">
        <v>11071</v>
      </c>
      <c r="G60" s="1987" t="s">
        <v>11075</v>
      </c>
      <c r="H60" s="1987" t="s">
        <v>11078</v>
      </c>
      <c r="I60" s="1987" t="s">
        <v>11080</v>
      </c>
      <c r="J60" s="1987" t="s">
        <v>11084</v>
      </c>
      <c r="K60" s="1987" t="s">
        <v>11083</v>
      </c>
      <c r="L60" s="1987" t="s">
        <v>11091</v>
      </c>
      <c r="M60" s="1987" t="s">
        <v>11087</v>
      </c>
      <c r="N60" s="2027" t="s">
        <v>11088</v>
      </c>
      <c r="O60" s="2026"/>
      <c r="P60" s="1955"/>
      <c r="Q60" s="1955"/>
      <c r="R60" s="1955"/>
      <c r="S60" s="1955"/>
      <c r="T60" s="1955"/>
      <c r="U60" s="1955"/>
      <c r="V60" s="1955"/>
      <c r="W60" s="1955"/>
      <c r="X60" s="1955"/>
      <c r="Y60" s="1955"/>
      <c r="Z60" s="1955"/>
      <c r="AA60" s="1955"/>
      <c r="AB60" s="1955"/>
    </row>
    <row r="61" spans="1:28" s="2022" customFormat="1">
      <c r="A61" s="1955"/>
      <c r="B61" s="1955"/>
      <c r="C61" s="1955"/>
      <c r="D61" s="1955"/>
      <c r="E61" s="1955"/>
      <c r="F61" s="1955"/>
      <c r="G61" s="1955"/>
      <c r="H61" s="1955"/>
      <c r="I61" s="1955"/>
      <c r="J61" s="1955"/>
      <c r="K61" s="1955"/>
      <c r="L61" s="1955"/>
      <c r="M61" s="1955"/>
      <c r="N61" s="1955"/>
      <c r="O61" s="1955"/>
      <c r="P61" s="1955"/>
      <c r="Q61" s="1955"/>
      <c r="R61" s="1955"/>
      <c r="S61" s="1955"/>
      <c r="T61" s="1955"/>
      <c r="U61" s="1955"/>
      <c r="V61" s="1955"/>
      <c r="W61" s="1955"/>
      <c r="X61" s="1955"/>
      <c r="Y61" s="1955"/>
      <c r="Z61" s="1955"/>
      <c r="AA61" s="1955"/>
      <c r="AB61" s="1955"/>
    </row>
    <row r="62" spans="1:28" customFormat="1">
      <c r="A62" s="5219" t="s">
        <v>11135</v>
      </c>
      <c r="B62" s="5219"/>
      <c r="C62" s="5219"/>
      <c r="D62" s="5219"/>
      <c r="E62" s="5219"/>
      <c r="F62" s="5219"/>
      <c r="G62" s="5219"/>
      <c r="H62" s="5219"/>
      <c r="I62" s="5219"/>
      <c r="J62" s="5219"/>
      <c r="K62" s="5219"/>
      <c r="L62" s="5219"/>
      <c r="M62" s="5219"/>
      <c r="N62" s="5219"/>
      <c r="O62" s="1955"/>
      <c r="P62" s="1955"/>
      <c r="Q62" s="1955"/>
      <c r="R62" s="1955"/>
      <c r="S62" s="1955"/>
      <c r="T62" s="1955"/>
      <c r="U62" s="1955"/>
      <c r="V62" s="1955"/>
      <c r="W62" s="1955"/>
      <c r="X62" s="1955"/>
      <c r="Y62" s="1955"/>
      <c r="Z62" s="1955"/>
      <c r="AA62" s="1955"/>
      <c r="AB62" s="1955"/>
    </row>
    <row r="63" spans="1:28" customFormat="1">
      <c r="A63" s="5220" t="s">
        <v>11041</v>
      </c>
      <c r="B63" s="5221"/>
      <c r="C63" s="5208" t="s">
        <v>11042</v>
      </c>
      <c r="D63" s="5222"/>
      <c r="E63" s="5222"/>
      <c r="F63" s="5222"/>
      <c r="G63" s="5222"/>
      <c r="H63" s="5222"/>
      <c r="I63" s="5222"/>
      <c r="J63" s="5222"/>
      <c r="K63" s="5222"/>
      <c r="L63" s="5222"/>
      <c r="M63" s="5222"/>
      <c r="N63" s="5223"/>
      <c r="O63" s="1955"/>
      <c r="P63" s="1955"/>
      <c r="Q63" s="1955"/>
      <c r="R63" s="1955"/>
      <c r="S63" s="1955"/>
      <c r="T63" s="1955"/>
      <c r="U63" s="1955"/>
      <c r="V63" s="1955"/>
      <c r="W63" s="1955"/>
      <c r="X63" s="1955"/>
      <c r="Y63" s="1955"/>
      <c r="Z63" s="1955"/>
      <c r="AA63" s="1955"/>
      <c r="AB63" s="1955"/>
    </row>
    <row r="64" spans="1:28" customFormat="1">
      <c r="A64" s="5216" t="s">
        <v>11136</v>
      </c>
      <c r="B64" s="5189"/>
      <c r="C64" s="1984" t="s">
        <v>10424</v>
      </c>
      <c r="D64" s="1984" t="s">
        <v>11044</v>
      </c>
      <c r="E64" s="1984" t="s">
        <v>11045</v>
      </c>
      <c r="F64" s="1984" t="s">
        <v>11046</v>
      </c>
      <c r="G64" s="1984" t="s">
        <v>11047</v>
      </c>
      <c r="H64" s="1984" t="s">
        <v>11048</v>
      </c>
      <c r="I64" s="1984" t="s">
        <v>11049</v>
      </c>
      <c r="J64" s="1984" t="s">
        <v>9825</v>
      </c>
      <c r="K64" s="1984" t="s">
        <v>9828</v>
      </c>
      <c r="L64" s="1984" t="s">
        <v>3389</v>
      </c>
      <c r="M64" s="1984" t="s">
        <v>11050</v>
      </c>
      <c r="N64" s="1981" t="s">
        <v>11051</v>
      </c>
      <c r="O64" s="1955"/>
      <c r="P64" s="1955"/>
      <c r="Q64" s="1955"/>
      <c r="R64" s="1955"/>
      <c r="S64" s="1955"/>
      <c r="T64" s="1955"/>
      <c r="U64" s="1955"/>
      <c r="V64" s="1955"/>
      <c r="W64" s="1955"/>
      <c r="X64" s="1955"/>
      <c r="Y64" s="1955"/>
      <c r="Z64" s="1955"/>
      <c r="AA64" s="1955"/>
      <c r="AB64" s="1955"/>
    </row>
    <row r="65" spans="1:28" customFormat="1">
      <c r="A65" s="1980" t="s">
        <v>2410</v>
      </c>
      <c r="B65" s="1984" t="s">
        <v>11052</v>
      </c>
      <c r="C65" s="5194" t="s">
        <v>11096</v>
      </c>
      <c r="D65" s="5217"/>
      <c r="E65" s="5217"/>
      <c r="F65" s="5217"/>
      <c r="G65" s="5217"/>
      <c r="H65" s="5217"/>
      <c r="I65" s="5217"/>
      <c r="J65" s="5217"/>
      <c r="K65" s="5217"/>
      <c r="L65" s="5217"/>
      <c r="M65" s="5217"/>
      <c r="N65" s="5218"/>
      <c r="O65" s="1955"/>
      <c r="P65" s="1955"/>
      <c r="Q65" s="1955"/>
      <c r="R65" s="1955"/>
      <c r="S65" s="1955"/>
      <c r="T65" s="1955"/>
      <c r="U65" s="1955"/>
      <c r="V65" s="1955"/>
      <c r="W65" s="1955"/>
      <c r="X65" s="1955"/>
      <c r="Y65" s="1955"/>
      <c r="Z65" s="1955"/>
      <c r="AA65" s="1955"/>
      <c r="AB65" s="1955"/>
    </row>
    <row r="66" spans="1:28" customFormat="1">
      <c r="A66" s="1980" t="s">
        <v>5908</v>
      </c>
      <c r="B66" s="1984" t="s">
        <v>10424</v>
      </c>
      <c r="C66" s="1984" t="s">
        <v>11057</v>
      </c>
      <c r="D66" s="1984" t="s">
        <v>11070</v>
      </c>
      <c r="E66" s="1984" t="s">
        <v>10424</v>
      </c>
      <c r="F66" s="1984" t="s">
        <v>11066</v>
      </c>
      <c r="G66" s="1984" t="s">
        <v>11067</v>
      </c>
      <c r="H66" s="1984" t="s">
        <v>11046</v>
      </c>
      <c r="I66" s="1984" t="s">
        <v>11048</v>
      </c>
      <c r="J66" s="1984" t="s">
        <v>3389</v>
      </c>
      <c r="K66" s="1984" t="s">
        <v>3394</v>
      </c>
      <c r="L66" s="1984" t="s">
        <v>1166</v>
      </c>
      <c r="M66" s="1984" t="s">
        <v>3420</v>
      </c>
      <c r="N66" s="1981" t="s">
        <v>3442</v>
      </c>
      <c r="O66" s="1955"/>
      <c r="P66" s="1955"/>
      <c r="Q66" s="1955"/>
      <c r="R66" s="1955"/>
      <c r="S66" s="1955"/>
      <c r="T66" s="1955"/>
      <c r="U66" s="1955"/>
      <c r="V66" s="1955"/>
      <c r="W66" s="1955"/>
      <c r="X66" s="1955"/>
      <c r="Y66" s="1955"/>
      <c r="Z66" s="1955"/>
      <c r="AA66" s="1955"/>
      <c r="AB66" s="1955"/>
    </row>
    <row r="67" spans="1:28" customFormat="1">
      <c r="A67" s="1980" t="s">
        <v>10424</v>
      </c>
      <c r="B67" s="1984" t="s">
        <v>11045</v>
      </c>
      <c r="C67" s="1984" t="s">
        <v>11057</v>
      </c>
      <c r="D67" s="1984" t="s">
        <v>11070</v>
      </c>
      <c r="E67" s="1984" t="s">
        <v>10424</v>
      </c>
      <c r="F67" s="1984" t="s">
        <v>11066</v>
      </c>
      <c r="G67" s="1984" t="s">
        <v>11067</v>
      </c>
      <c r="H67" s="1984" t="s">
        <v>11046</v>
      </c>
      <c r="I67" s="1984" t="s">
        <v>11048</v>
      </c>
      <c r="J67" s="1984" t="s">
        <v>3389</v>
      </c>
      <c r="K67" s="1984" t="s">
        <v>1164</v>
      </c>
      <c r="L67" s="1984" t="s">
        <v>3420</v>
      </c>
      <c r="M67" s="1984" t="s">
        <v>3442</v>
      </c>
      <c r="N67" s="1981" t="s">
        <v>11073</v>
      </c>
      <c r="O67" s="1955"/>
      <c r="P67" s="1955"/>
      <c r="Q67" s="1955"/>
      <c r="R67" s="1955"/>
      <c r="S67" s="1955"/>
      <c r="T67" s="1955"/>
      <c r="U67" s="1955"/>
      <c r="V67" s="1955"/>
      <c r="W67" s="1955"/>
      <c r="X67" s="1955"/>
      <c r="Y67" s="1955"/>
      <c r="Z67" s="1955"/>
      <c r="AA67" s="1955"/>
      <c r="AB67" s="1955"/>
    </row>
    <row r="68" spans="1:28" customFormat="1">
      <c r="A68" s="1980" t="s">
        <v>11045</v>
      </c>
      <c r="B68" s="1984" t="s">
        <v>11048</v>
      </c>
      <c r="C68" s="1984" t="s">
        <v>11065</v>
      </c>
      <c r="D68" s="1984" t="s">
        <v>11059</v>
      </c>
      <c r="E68" s="1984" t="s">
        <v>11060</v>
      </c>
      <c r="F68" s="1984" t="s">
        <v>11044</v>
      </c>
      <c r="G68" s="1984" t="s">
        <v>11045</v>
      </c>
      <c r="H68" s="1984" t="s">
        <v>11047</v>
      </c>
      <c r="I68" s="1984" t="s">
        <v>9825</v>
      </c>
      <c r="J68" s="1984" t="s">
        <v>11051</v>
      </c>
      <c r="K68" s="1984" t="s">
        <v>1166</v>
      </c>
      <c r="L68" s="1984" t="s">
        <v>3431</v>
      </c>
      <c r="M68" s="1984" t="s">
        <v>11068</v>
      </c>
      <c r="N68" s="1981" t="s">
        <v>11075</v>
      </c>
      <c r="O68" s="1955"/>
      <c r="P68" s="1955"/>
      <c r="Q68" s="1955"/>
      <c r="R68" s="1955"/>
      <c r="S68" s="1955"/>
      <c r="T68" s="1955"/>
      <c r="U68" s="1955"/>
      <c r="V68" s="1955"/>
      <c r="W68" s="1955"/>
      <c r="X68" s="1955"/>
      <c r="Y68" s="1955"/>
      <c r="Z68" s="1955"/>
      <c r="AA68" s="1955"/>
      <c r="AB68" s="1955"/>
    </row>
    <row r="69" spans="1:28" customFormat="1">
      <c r="A69" s="1980" t="s">
        <v>11048</v>
      </c>
      <c r="B69" s="1984" t="s">
        <v>3389</v>
      </c>
      <c r="C69" s="1984" t="s">
        <v>11070</v>
      </c>
      <c r="D69" s="1984" t="s">
        <v>10424</v>
      </c>
      <c r="E69" s="1984" t="s">
        <v>11066</v>
      </c>
      <c r="F69" s="1984" t="s">
        <v>11067</v>
      </c>
      <c r="G69" s="1984" t="s">
        <v>11046</v>
      </c>
      <c r="H69" s="1984" t="s">
        <v>11048</v>
      </c>
      <c r="I69" s="1984" t="s">
        <v>3389</v>
      </c>
      <c r="J69" s="1984" t="s">
        <v>3394</v>
      </c>
      <c r="K69" s="1984" t="s">
        <v>3409</v>
      </c>
      <c r="L69" s="1984" t="s">
        <v>3442</v>
      </c>
      <c r="M69" s="1984" t="s">
        <v>11071</v>
      </c>
      <c r="N69" s="1981" t="s">
        <v>11076</v>
      </c>
      <c r="O69" s="1955"/>
      <c r="P69" s="1955"/>
      <c r="Q69" s="1955"/>
      <c r="R69" s="1955"/>
      <c r="S69" s="1955"/>
      <c r="T69" s="1955"/>
      <c r="U69" s="1955"/>
      <c r="V69" s="1955"/>
      <c r="W69" s="1955"/>
      <c r="X69" s="1955"/>
      <c r="Y69" s="1955"/>
      <c r="Z69" s="1955"/>
      <c r="AA69" s="1955"/>
      <c r="AB69" s="1955"/>
    </row>
    <row r="70" spans="1:28" customFormat="1">
      <c r="A70" s="1980" t="s">
        <v>3389</v>
      </c>
      <c r="B70" s="1984" t="s">
        <v>11098</v>
      </c>
      <c r="C70" s="1984" t="s">
        <v>11059</v>
      </c>
      <c r="D70" s="1984" t="s">
        <v>11060</v>
      </c>
      <c r="E70" s="1984" t="s">
        <v>11044</v>
      </c>
      <c r="F70" s="1984" t="s">
        <v>11045</v>
      </c>
      <c r="G70" s="1984" t="s">
        <v>11047</v>
      </c>
      <c r="H70" s="1984" t="s">
        <v>9825</v>
      </c>
      <c r="I70" s="1984" t="s">
        <v>11051</v>
      </c>
      <c r="J70" s="1984" t="s">
        <v>1164</v>
      </c>
      <c r="K70" s="1984" t="s">
        <v>3420</v>
      </c>
      <c r="L70" s="1984" t="s">
        <v>11068</v>
      </c>
      <c r="M70" s="1984" t="s">
        <v>11073</v>
      </c>
      <c r="N70" s="1981" t="s">
        <v>11078</v>
      </c>
      <c r="O70" s="1955"/>
      <c r="P70" s="1955"/>
      <c r="Q70" s="1955"/>
      <c r="R70" s="1955"/>
      <c r="S70" s="1955"/>
      <c r="T70" s="1955"/>
      <c r="U70" s="1955"/>
      <c r="V70" s="1955"/>
      <c r="W70" s="1955"/>
      <c r="X70" s="1955"/>
      <c r="Y70" s="1955"/>
      <c r="Z70" s="1955"/>
      <c r="AA70" s="1955"/>
      <c r="AB70" s="1955"/>
    </row>
    <row r="71" spans="1:28" customFormat="1">
      <c r="A71" s="1980" t="s">
        <v>11098</v>
      </c>
      <c r="B71" s="1984" t="s">
        <v>3409</v>
      </c>
      <c r="C71" s="1984" t="s">
        <v>10424</v>
      </c>
      <c r="D71" s="1984" t="s">
        <v>11066</v>
      </c>
      <c r="E71" s="1984" t="s">
        <v>11067</v>
      </c>
      <c r="F71" s="1984" t="s">
        <v>11046</v>
      </c>
      <c r="G71" s="1984" t="s">
        <v>11048</v>
      </c>
      <c r="H71" s="1984" t="s">
        <v>3389</v>
      </c>
      <c r="I71" s="1984" t="s">
        <v>3394</v>
      </c>
      <c r="J71" s="1984" t="s">
        <v>1166</v>
      </c>
      <c r="K71" s="1984" t="s">
        <v>3431</v>
      </c>
      <c r="L71" s="1984" t="s">
        <v>11071</v>
      </c>
      <c r="M71" s="1984" t="s">
        <v>11075</v>
      </c>
      <c r="N71" s="1981" t="s">
        <v>11079</v>
      </c>
      <c r="O71" s="1955"/>
      <c r="P71" s="1955"/>
      <c r="Q71" s="1955"/>
      <c r="R71" s="1955"/>
      <c r="S71" s="1955"/>
      <c r="T71" s="1955"/>
      <c r="U71" s="1955"/>
      <c r="V71" s="1955"/>
      <c r="W71" s="1955"/>
      <c r="X71" s="1955"/>
      <c r="Y71" s="1955"/>
      <c r="Z71" s="1955"/>
      <c r="AA71" s="1955"/>
      <c r="AB71" s="1955"/>
    </row>
    <row r="72" spans="1:28" customFormat="1">
      <c r="A72" s="1980" t="s">
        <v>3409</v>
      </c>
      <c r="B72" s="1984" t="s">
        <v>3431</v>
      </c>
      <c r="C72" s="1984" t="s">
        <v>11060</v>
      </c>
      <c r="D72" s="1984" t="s">
        <v>11044</v>
      </c>
      <c r="E72" s="1984" t="s">
        <v>11045</v>
      </c>
      <c r="F72" s="1984" t="s">
        <v>11047</v>
      </c>
      <c r="G72" s="1984" t="s">
        <v>9825</v>
      </c>
      <c r="H72" s="1984" t="s">
        <v>11051</v>
      </c>
      <c r="I72" s="1984" t="s">
        <v>1164</v>
      </c>
      <c r="J72" s="1984" t="s">
        <v>3409</v>
      </c>
      <c r="K72" s="1984" t="s">
        <v>3442</v>
      </c>
      <c r="L72" s="1984" t="s">
        <v>11073</v>
      </c>
      <c r="M72" s="1984" t="s">
        <v>11076</v>
      </c>
      <c r="N72" s="1981" t="s">
        <v>11080</v>
      </c>
      <c r="O72" s="1955"/>
      <c r="P72" s="1955"/>
      <c r="Q72" s="1955"/>
      <c r="R72" s="1955"/>
      <c r="S72" s="1955"/>
      <c r="T72" s="1955"/>
      <c r="U72" s="1955"/>
      <c r="V72" s="1955"/>
      <c r="W72" s="1955"/>
      <c r="X72" s="1955"/>
      <c r="Y72" s="1955"/>
      <c r="Z72" s="1955"/>
      <c r="AA72" s="1955"/>
      <c r="AB72" s="1955"/>
    </row>
    <row r="73" spans="1:28" customFormat="1">
      <c r="A73" s="1980" t="s">
        <v>3431</v>
      </c>
      <c r="B73" s="1984" t="s">
        <v>11073</v>
      </c>
      <c r="C73" s="1984" t="s">
        <v>11066</v>
      </c>
      <c r="D73" s="1984" t="s">
        <v>11067</v>
      </c>
      <c r="E73" s="1984" t="s">
        <v>11046</v>
      </c>
      <c r="F73" s="1984" t="s">
        <v>11048</v>
      </c>
      <c r="G73" s="1984" t="s">
        <v>3389</v>
      </c>
      <c r="H73" s="1984" t="s">
        <v>3394</v>
      </c>
      <c r="I73" s="1984" t="s">
        <v>1166</v>
      </c>
      <c r="J73" s="1984" t="s">
        <v>3420</v>
      </c>
      <c r="K73" s="1984" t="s">
        <v>11068</v>
      </c>
      <c r="L73" s="1984" t="s">
        <v>11075</v>
      </c>
      <c r="M73" s="1984" t="s">
        <v>11078</v>
      </c>
      <c r="N73" s="1981" t="s">
        <v>11082</v>
      </c>
      <c r="O73" s="1955"/>
      <c r="P73" s="1955"/>
      <c r="Q73" s="1955"/>
      <c r="R73" s="1955"/>
      <c r="S73" s="1955"/>
      <c r="T73" s="1955"/>
      <c r="U73" s="1955"/>
      <c r="V73" s="1955"/>
      <c r="W73" s="1955"/>
      <c r="X73" s="1955"/>
      <c r="Y73" s="1955"/>
      <c r="Z73" s="1955"/>
      <c r="AA73" s="1955"/>
      <c r="AB73" s="1955"/>
    </row>
    <row r="74" spans="1:28" customFormat="1">
      <c r="A74" s="1980" t="s">
        <v>11073</v>
      </c>
      <c r="B74" s="1984" t="s">
        <v>11078</v>
      </c>
      <c r="C74" s="1984" t="s">
        <v>11044</v>
      </c>
      <c r="D74" s="1984" t="s">
        <v>11045</v>
      </c>
      <c r="E74" s="1984" t="s">
        <v>11047</v>
      </c>
      <c r="F74" s="1984" t="s">
        <v>9825</v>
      </c>
      <c r="G74" s="1984" t="s">
        <v>11051</v>
      </c>
      <c r="H74" s="1984" t="s">
        <v>1164</v>
      </c>
      <c r="I74" s="1984" t="s">
        <v>3409</v>
      </c>
      <c r="J74" s="1984" t="s">
        <v>3431</v>
      </c>
      <c r="K74" s="1984" t="s">
        <v>11071</v>
      </c>
      <c r="L74" s="1984" t="s">
        <v>11076</v>
      </c>
      <c r="M74" s="1984" t="s">
        <v>11079</v>
      </c>
      <c r="N74" s="1981" t="s">
        <v>11084</v>
      </c>
      <c r="O74" s="1955"/>
      <c r="P74" s="1955"/>
      <c r="Q74" s="1955"/>
      <c r="R74" s="1955"/>
      <c r="S74" s="1955"/>
      <c r="T74" s="1955"/>
      <c r="U74" s="1955"/>
      <c r="V74" s="1955"/>
      <c r="W74" s="1955"/>
      <c r="X74" s="1955"/>
      <c r="Y74" s="1955"/>
      <c r="Z74" s="1955"/>
      <c r="AA74" s="1955"/>
      <c r="AB74" s="1955"/>
    </row>
    <row r="75" spans="1:28" customFormat="1">
      <c r="A75" s="1980" t="s">
        <v>11078</v>
      </c>
      <c r="B75" s="1984" t="s">
        <v>11082</v>
      </c>
      <c r="C75" s="1984" t="s">
        <v>11067</v>
      </c>
      <c r="D75" s="1984" t="s">
        <v>11046</v>
      </c>
      <c r="E75" s="1984" t="s">
        <v>11048</v>
      </c>
      <c r="F75" s="1984" t="s">
        <v>3389</v>
      </c>
      <c r="G75" s="1984" t="s">
        <v>3394</v>
      </c>
      <c r="H75" s="1984" t="s">
        <v>1166</v>
      </c>
      <c r="I75" s="1984" t="s">
        <v>3420</v>
      </c>
      <c r="J75" s="1984" t="s">
        <v>3442</v>
      </c>
      <c r="K75" s="1984" t="s">
        <v>11073</v>
      </c>
      <c r="L75" s="1984" t="s">
        <v>11078</v>
      </c>
      <c r="M75" s="1984" t="s">
        <v>11080</v>
      </c>
      <c r="N75" s="1981" t="s">
        <v>11086</v>
      </c>
      <c r="O75" s="1955"/>
      <c r="P75" s="1955"/>
      <c r="Q75" s="1955"/>
      <c r="R75" s="1955"/>
      <c r="S75" s="1955"/>
      <c r="T75" s="1955"/>
      <c r="U75" s="1955"/>
      <c r="V75" s="1955"/>
      <c r="W75" s="1955"/>
      <c r="X75" s="1955"/>
      <c r="Y75" s="1955"/>
      <c r="Z75" s="1955"/>
      <c r="AA75" s="1955"/>
      <c r="AB75" s="1955"/>
    </row>
    <row r="76" spans="1:28" customFormat="1">
      <c r="A76" s="1980" t="s">
        <v>11082</v>
      </c>
      <c r="B76" s="1984" t="s">
        <v>11086</v>
      </c>
      <c r="C76" s="1984" t="s">
        <v>11045</v>
      </c>
      <c r="D76" s="1984" t="s">
        <v>11047</v>
      </c>
      <c r="E76" s="1984" t="s">
        <v>9825</v>
      </c>
      <c r="F76" s="1984" t="s">
        <v>11051</v>
      </c>
      <c r="G76" s="1984" t="s">
        <v>1164</v>
      </c>
      <c r="H76" s="1984" t="s">
        <v>3409</v>
      </c>
      <c r="I76" s="1984" t="s">
        <v>3431</v>
      </c>
      <c r="J76" s="1984" t="s">
        <v>11068</v>
      </c>
      <c r="K76" s="1984" t="s">
        <v>11075</v>
      </c>
      <c r="L76" s="1984" t="s">
        <v>11079</v>
      </c>
      <c r="M76" s="1984" t="s">
        <v>11082</v>
      </c>
      <c r="N76" s="1981" t="s">
        <v>11083</v>
      </c>
      <c r="O76" s="1955"/>
      <c r="P76" s="1955"/>
      <c r="Q76" s="1955"/>
      <c r="R76" s="1955"/>
      <c r="S76" s="1955"/>
      <c r="T76" s="1955"/>
      <c r="U76" s="1955"/>
      <c r="V76" s="1955"/>
      <c r="W76" s="1955"/>
      <c r="X76" s="1955"/>
      <c r="Y76" s="1955"/>
      <c r="Z76" s="1955"/>
      <c r="AA76" s="1955"/>
      <c r="AB76" s="1955"/>
    </row>
    <row r="77" spans="1:28" customFormat="1">
      <c r="A77" s="1980" t="s">
        <v>11086</v>
      </c>
      <c r="B77" s="1984" t="s">
        <v>11137</v>
      </c>
      <c r="C77" s="1984" t="s">
        <v>11046</v>
      </c>
      <c r="D77" s="1984" t="s">
        <v>11048</v>
      </c>
      <c r="E77" s="1984" t="s">
        <v>3389</v>
      </c>
      <c r="F77" s="1984" t="s">
        <v>3394</v>
      </c>
      <c r="G77" s="1984" t="s">
        <v>1166</v>
      </c>
      <c r="H77" s="1984" t="s">
        <v>3420</v>
      </c>
      <c r="I77" s="1984" t="s">
        <v>3442</v>
      </c>
      <c r="J77" s="1984" t="s">
        <v>11071</v>
      </c>
      <c r="K77" s="1984" t="s">
        <v>11076</v>
      </c>
      <c r="L77" s="1984" t="s">
        <v>11080</v>
      </c>
      <c r="M77" s="1984" t="s">
        <v>11084</v>
      </c>
      <c r="N77" s="1981" t="s">
        <v>11089</v>
      </c>
      <c r="O77" s="1955"/>
      <c r="P77" s="1955"/>
      <c r="Q77" s="1955"/>
      <c r="R77" s="1955"/>
      <c r="S77" s="1955"/>
      <c r="T77" s="1955"/>
      <c r="U77" s="1955"/>
      <c r="V77" s="1955"/>
      <c r="W77" s="1955"/>
      <c r="X77" s="1955"/>
      <c r="Y77" s="1955"/>
      <c r="Z77" s="1955"/>
      <c r="AA77" s="1955"/>
      <c r="AB77" s="1955"/>
    </row>
    <row r="78" spans="1:28" customFormat="1">
      <c r="A78" s="1980" t="s">
        <v>11137</v>
      </c>
      <c r="B78" s="1984" t="s">
        <v>11093</v>
      </c>
      <c r="C78" s="1984" t="s">
        <v>11047</v>
      </c>
      <c r="D78" s="1984" t="s">
        <v>9825</v>
      </c>
      <c r="E78" s="1984" t="s">
        <v>11051</v>
      </c>
      <c r="F78" s="1984" t="s">
        <v>1164</v>
      </c>
      <c r="G78" s="1984" t="s">
        <v>3409</v>
      </c>
      <c r="H78" s="1984" t="s">
        <v>3431</v>
      </c>
      <c r="I78" s="1984" t="s">
        <v>11068</v>
      </c>
      <c r="J78" s="1984" t="s">
        <v>11073</v>
      </c>
      <c r="K78" s="1984" t="s">
        <v>11078</v>
      </c>
      <c r="L78" s="1984" t="s">
        <v>11082</v>
      </c>
      <c r="M78" s="1984" t="s">
        <v>11086</v>
      </c>
      <c r="N78" s="1981" t="s">
        <v>11091</v>
      </c>
      <c r="O78" s="1955"/>
      <c r="P78" s="1955"/>
      <c r="Q78" s="1955"/>
      <c r="R78" s="1955"/>
      <c r="S78" s="1955"/>
      <c r="T78" s="1955"/>
      <c r="U78" s="1955"/>
      <c r="V78" s="1955"/>
      <c r="W78" s="1955"/>
      <c r="X78" s="1955"/>
      <c r="Y78" s="1955"/>
      <c r="Z78" s="1955"/>
      <c r="AA78" s="1955"/>
      <c r="AB78" s="1955"/>
    </row>
    <row r="79" spans="1:28" customFormat="1">
      <c r="A79" s="1980" t="s">
        <v>11093</v>
      </c>
      <c r="B79" s="1984" t="s">
        <v>11138</v>
      </c>
      <c r="C79" s="1984" t="s">
        <v>11048</v>
      </c>
      <c r="D79" s="1984" t="s">
        <v>3389</v>
      </c>
      <c r="E79" s="1984" t="s">
        <v>3394</v>
      </c>
      <c r="F79" s="1984" t="s">
        <v>1166</v>
      </c>
      <c r="G79" s="1984" t="s">
        <v>3420</v>
      </c>
      <c r="H79" s="1984" t="s">
        <v>3442</v>
      </c>
      <c r="I79" s="1984" t="s">
        <v>11071</v>
      </c>
      <c r="J79" s="1984" t="s">
        <v>11075</v>
      </c>
      <c r="K79" s="1984" t="s">
        <v>11079</v>
      </c>
      <c r="L79" s="1984" t="s">
        <v>11084</v>
      </c>
      <c r="M79" s="1984" t="s">
        <v>11083</v>
      </c>
      <c r="N79" s="1981" t="s">
        <v>11093</v>
      </c>
      <c r="O79" s="1955"/>
      <c r="P79" s="1955"/>
      <c r="Q79" s="1955"/>
      <c r="R79" s="1955"/>
      <c r="S79" s="1955"/>
      <c r="T79" s="1955"/>
      <c r="U79" s="1955"/>
      <c r="V79" s="1955"/>
      <c r="W79" s="1955"/>
      <c r="X79" s="1955"/>
      <c r="Y79" s="1955"/>
      <c r="Z79" s="1955"/>
      <c r="AA79" s="1955"/>
      <c r="AB79" s="1955"/>
    </row>
    <row r="80" spans="1:28" customFormat="1">
      <c r="A80" s="1980" t="s">
        <v>11138</v>
      </c>
      <c r="B80" s="1984" t="s">
        <v>11139</v>
      </c>
      <c r="C80" s="1984" t="s">
        <v>9825</v>
      </c>
      <c r="D80" s="1984" t="s">
        <v>11051</v>
      </c>
      <c r="E80" s="1984" t="s">
        <v>1164</v>
      </c>
      <c r="F80" s="1984" t="s">
        <v>3409</v>
      </c>
      <c r="G80" s="1984" t="s">
        <v>3431</v>
      </c>
      <c r="H80" s="1984" t="s">
        <v>11068</v>
      </c>
      <c r="I80" s="1984" t="s">
        <v>11073</v>
      </c>
      <c r="J80" s="1984" t="s">
        <v>11076</v>
      </c>
      <c r="K80" s="1984" t="s">
        <v>11080</v>
      </c>
      <c r="L80" s="1984" t="s">
        <v>11086</v>
      </c>
      <c r="M80" s="1984" t="s">
        <v>11089</v>
      </c>
      <c r="N80" s="1981" t="s">
        <v>11087</v>
      </c>
      <c r="O80" s="1955"/>
      <c r="P80" s="1955"/>
      <c r="Q80" s="1955"/>
      <c r="R80" s="1955"/>
      <c r="S80" s="1955"/>
      <c r="T80" s="1955"/>
      <c r="U80" s="1955"/>
      <c r="V80" s="1955"/>
      <c r="W80" s="1955"/>
      <c r="X80" s="1955"/>
      <c r="Y80" s="1955"/>
      <c r="Z80" s="1955"/>
      <c r="AA80" s="1955"/>
      <c r="AB80" s="1955"/>
    </row>
    <row r="81" spans="1:28" customFormat="1">
      <c r="A81" s="1980" t="s">
        <v>11139</v>
      </c>
      <c r="B81" s="1984" t="s">
        <v>11140</v>
      </c>
      <c r="C81" s="1984" t="s">
        <v>3389</v>
      </c>
      <c r="D81" s="1984" t="s">
        <v>3394</v>
      </c>
      <c r="E81" s="1984" t="s">
        <v>1166</v>
      </c>
      <c r="F81" s="1984" t="s">
        <v>3420</v>
      </c>
      <c r="G81" s="1984" t="s">
        <v>3442</v>
      </c>
      <c r="H81" s="1984" t="s">
        <v>11071</v>
      </c>
      <c r="I81" s="1984" t="s">
        <v>11075</v>
      </c>
      <c r="J81" s="1984" t="s">
        <v>11078</v>
      </c>
      <c r="K81" s="1984" t="s">
        <v>11082</v>
      </c>
      <c r="L81" s="1984" t="s">
        <v>11083</v>
      </c>
      <c r="M81" s="1984" t="s">
        <v>11091</v>
      </c>
      <c r="N81" s="1981" t="s">
        <v>11134</v>
      </c>
      <c r="O81" s="1955"/>
      <c r="P81" s="1955"/>
      <c r="Q81" s="1955"/>
      <c r="R81" s="1955"/>
      <c r="S81" s="1955"/>
      <c r="T81" s="1955"/>
      <c r="U81" s="1955"/>
      <c r="V81" s="1955"/>
      <c r="W81" s="1955"/>
      <c r="X81" s="1955"/>
      <c r="Y81" s="1955"/>
      <c r="Z81" s="1955"/>
      <c r="AA81" s="1955"/>
      <c r="AB81" s="1955"/>
    </row>
    <row r="82" spans="1:28" customFormat="1">
      <c r="A82" s="2010" t="s">
        <v>11140</v>
      </c>
      <c r="B82" s="1987" t="s">
        <v>11092</v>
      </c>
      <c r="C82" s="1987" t="s">
        <v>11051</v>
      </c>
      <c r="D82" s="1987" t="s">
        <v>1164</v>
      </c>
      <c r="E82" s="1987" t="s">
        <v>3409</v>
      </c>
      <c r="F82" s="1987" t="s">
        <v>3431</v>
      </c>
      <c r="G82" s="1987" t="s">
        <v>11068</v>
      </c>
      <c r="H82" s="1987" t="s">
        <v>11073</v>
      </c>
      <c r="I82" s="1987" t="s">
        <v>11076</v>
      </c>
      <c r="J82" s="1987" t="s">
        <v>11079</v>
      </c>
      <c r="K82" s="1987" t="s">
        <v>11084</v>
      </c>
      <c r="L82" s="1987" t="s">
        <v>11089</v>
      </c>
      <c r="M82" s="1987" t="s">
        <v>11093</v>
      </c>
      <c r="N82" s="1988" t="s">
        <v>11088</v>
      </c>
      <c r="O82" s="1955"/>
      <c r="P82" s="1955"/>
      <c r="Q82" s="1955"/>
      <c r="R82" s="1955"/>
      <c r="S82" s="1955"/>
      <c r="T82" s="1955"/>
      <c r="U82" s="1955"/>
      <c r="V82" s="1955"/>
      <c r="W82" s="1955"/>
      <c r="X82" s="1955"/>
      <c r="Y82" s="1955"/>
      <c r="Z82" s="1955"/>
      <c r="AA82" s="1955"/>
      <c r="AB82" s="1955"/>
    </row>
    <row r="83" spans="1:28" customFormat="1">
      <c r="A83" s="2013"/>
      <c r="B83" s="2013"/>
      <c r="C83" s="2013"/>
      <c r="D83" s="2013"/>
      <c r="E83" s="2013"/>
      <c r="F83" s="2013"/>
      <c r="G83" s="2013"/>
      <c r="H83" s="2013"/>
      <c r="I83" s="2013"/>
      <c r="J83" s="2013"/>
      <c r="K83" s="2013"/>
      <c r="L83" s="2013"/>
      <c r="M83" s="2013"/>
      <c r="N83" s="2013"/>
      <c r="O83" s="1955"/>
      <c r="P83" s="1955"/>
      <c r="Q83" s="1955"/>
      <c r="R83" s="1955"/>
      <c r="S83" s="1955"/>
      <c r="T83" s="1955"/>
      <c r="U83" s="1955"/>
      <c r="V83" s="1955"/>
      <c r="W83" s="1955"/>
      <c r="X83" s="1955"/>
      <c r="Y83" s="1955"/>
      <c r="Z83" s="1955"/>
      <c r="AA83" s="1955"/>
      <c r="AB83" s="1955"/>
    </row>
    <row r="84" spans="1:28" customFormat="1">
      <c r="A84" s="2013"/>
      <c r="B84" s="2013"/>
      <c r="C84" s="2013"/>
      <c r="D84" s="2013"/>
      <c r="E84" s="2013"/>
      <c r="F84" s="2013"/>
      <c r="G84" s="2013"/>
      <c r="H84" s="2013"/>
      <c r="I84" s="2013"/>
      <c r="J84" s="2013"/>
      <c r="K84" s="2013"/>
      <c r="L84" s="2013"/>
      <c r="M84" s="2013"/>
      <c r="N84" s="1955"/>
      <c r="O84" s="1955"/>
      <c r="P84" s="1955"/>
      <c r="Q84" s="1955"/>
      <c r="R84" s="1955"/>
      <c r="S84" s="1955"/>
      <c r="T84" s="1955"/>
      <c r="U84" s="1955"/>
      <c r="V84" s="1955"/>
      <c r="W84" s="1955"/>
      <c r="X84" s="1955"/>
      <c r="Y84" s="1955"/>
      <c r="Z84" s="1955"/>
      <c r="AA84" s="1955"/>
      <c r="AB84" s="1955"/>
    </row>
    <row r="85" spans="1:28" customFormat="1">
      <c r="A85" s="2013"/>
      <c r="B85" s="2013"/>
      <c r="C85" s="2013"/>
      <c r="D85" s="2013"/>
      <c r="E85" s="2013"/>
      <c r="F85" s="2013"/>
      <c r="G85" s="2013"/>
      <c r="H85" s="2013"/>
      <c r="I85" s="2013"/>
      <c r="J85" s="2013"/>
      <c r="K85" s="2013"/>
      <c r="L85" s="2013"/>
      <c r="M85" s="2013"/>
      <c r="N85" s="1955"/>
      <c r="O85" s="1955"/>
      <c r="P85" s="1955"/>
      <c r="Q85" s="1955"/>
      <c r="R85" s="1955"/>
      <c r="S85" s="1955"/>
      <c r="T85" s="1955"/>
      <c r="U85" s="1955"/>
      <c r="V85" s="1955"/>
      <c r="W85" s="1955"/>
      <c r="X85" s="1955"/>
      <c r="Y85" s="1955"/>
      <c r="Z85" s="1955"/>
      <c r="AA85" s="1955"/>
      <c r="AB85" s="1955"/>
    </row>
    <row r="86" spans="1:28" customFormat="1">
      <c r="A86" s="5224" t="s">
        <v>11039</v>
      </c>
      <c r="B86" s="5225"/>
      <c r="C86" s="5225"/>
      <c r="D86" s="5225"/>
      <c r="E86" s="5225"/>
      <c r="F86" s="5225"/>
      <c r="G86" s="5225"/>
      <c r="H86" s="5225"/>
      <c r="I86" s="5225"/>
      <c r="J86" s="5225"/>
      <c r="K86" s="5225"/>
      <c r="L86" s="5225"/>
      <c r="M86" s="5225"/>
      <c r="N86" s="5225"/>
      <c r="O86" s="1955"/>
      <c r="P86" s="1955"/>
      <c r="Q86" s="1955"/>
      <c r="R86" s="1955"/>
      <c r="S86" s="1955"/>
      <c r="T86" s="1955"/>
      <c r="U86" s="1955"/>
      <c r="V86" s="1955"/>
      <c r="W86" s="1955"/>
      <c r="X86" s="1955"/>
      <c r="Y86" s="1955"/>
      <c r="Z86" s="1955"/>
      <c r="AA86" s="1955"/>
      <c r="AB86" s="1955"/>
    </row>
    <row r="87" spans="1:28" customFormat="1">
      <c r="A87" s="5224" t="s">
        <v>11141</v>
      </c>
      <c r="B87" s="5225"/>
      <c r="C87" s="5225"/>
      <c r="D87" s="5225"/>
      <c r="E87" s="5225"/>
      <c r="F87" s="5225"/>
      <c r="G87" s="5225"/>
      <c r="H87" s="5225"/>
      <c r="I87" s="5225"/>
      <c r="J87" s="5225"/>
      <c r="K87" s="5225"/>
      <c r="L87" s="5225"/>
      <c r="M87" s="5225"/>
      <c r="N87" s="5225"/>
      <c r="O87" s="1955"/>
      <c r="P87" s="1955"/>
      <c r="Q87" s="1955"/>
      <c r="R87" s="1955"/>
      <c r="S87" s="1955"/>
      <c r="T87" s="1955"/>
      <c r="U87" s="1955"/>
      <c r="V87" s="1955"/>
      <c r="W87" s="1955"/>
      <c r="X87" s="1955"/>
      <c r="Y87" s="1955"/>
      <c r="Z87" s="1955"/>
      <c r="AA87" s="1955"/>
      <c r="AB87" s="1955"/>
    </row>
    <row r="88" spans="1:28" customFormat="1">
      <c r="A88" s="5206" t="s">
        <v>11142</v>
      </c>
      <c r="B88" s="5207"/>
      <c r="C88" s="5211" t="s">
        <v>11143</v>
      </c>
      <c r="D88" s="5207"/>
      <c r="E88" s="5211" t="s">
        <v>11144</v>
      </c>
      <c r="F88" s="5207"/>
      <c r="G88" s="5211" t="s">
        <v>11145</v>
      </c>
      <c r="H88" s="5207"/>
      <c r="I88" s="5211" t="s">
        <v>11146</v>
      </c>
      <c r="J88" s="5207"/>
      <c r="K88" s="5211" t="s">
        <v>11147</v>
      </c>
      <c r="L88" s="5207"/>
      <c r="M88" s="5211" t="s">
        <v>11148</v>
      </c>
      <c r="N88" s="5212"/>
      <c r="O88" s="1955"/>
      <c r="P88" s="1955"/>
      <c r="Q88" s="1955"/>
      <c r="R88" s="1955"/>
      <c r="S88" s="1955"/>
      <c r="T88" s="1955"/>
      <c r="U88" s="1955"/>
      <c r="V88" s="1955"/>
      <c r="W88" s="1955"/>
      <c r="X88" s="1955"/>
      <c r="Y88" s="1955"/>
      <c r="Z88" s="1955"/>
      <c r="AA88" s="1955"/>
      <c r="AB88" s="1955"/>
    </row>
    <row r="89" spans="1:28" customFormat="1">
      <c r="A89" s="5192" t="s">
        <v>487</v>
      </c>
      <c r="B89" s="5193"/>
      <c r="C89" s="5214" t="s">
        <v>11149</v>
      </c>
      <c r="D89" s="5193"/>
      <c r="E89" s="5214" t="s">
        <v>11056</v>
      </c>
      <c r="F89" s="5193"/>
      <c r="G89" s="5214" t="s">
        <v>11058</v>
      </c>
      <c r="H89" s="5193"/>
      <c r="I89" s="5214" t="s">
        <v>11055</v>
      </c>
      <c r="J89" s="5193"/>
      <c r="K89" s="5214" t="s">
        <v>11069</v>
      </c>
      <c r="L89" s="5193"/>
      <c r="M89" s="5214" t="s">
        <v>11057</v>
      </c>
      <c r="N89" s="5215"/>
      <c r="O89" s="1955"/>
      <c r="P89" s="1955"/>
      <c r="Q89" s="1955"/>
      <c r="R89" s="1955"/>
      <c r="S89" s="1955"/>
      <c r="T89" s="1955"/>
      <c r="U89" s="1955"/>
      <c r="V89" s="1955"/>
      <c r="W89" s="1955"/>
      <c r="X89" s="1955"/>
      <c r="Y89" s="1955"/>
      <c r="Z89" s="1955"/>
      <c r="AA89" s="1955"/>
      <c r="AB89" s="1955"/>
    </row>
    <row r="90" spans="1:28" customFormat="1">
      <c r="A90" s="5192" t="s">
        <v>462</v>
      </c>
      <c r="B90" s="5193"/>
      <c r="C90" s="5214" t="s">
        <v>11056</v>
      </c>
      <c r="D90" s="5193"/>
      <c r="E90" s="5214" t="s">
        <v>11058</v>
      </c>
      <c r="F90" s="5193"/>
      <c r="G90" s="5214" t="s">
        <v>11055</v>
      </c>
      <c r="H90" s="5193"/>
      <c r="I90" s="5214" t="s">
        <v>11057</v>
      </c>
      <c r="J90" s="5193"/>
      <c r="K90" s="5214" t="s">
        <v>11070</v>
      </c>
      <c r="L90" s="5193"/>
      <c r="M90" s="5214" t="s">
        <v>11059</v>
      </c>
      <c r="N90" s="5215"/>
      <c r="O90" s="1955"/>
      <c r="P90" s="1955"/>
      <c r="Q90" s="1955"/>
      <c r="R90" s="1955"/>
      <c r="S90" s="1955"/>
      <c r="T90" s="1955"/>
      <c r="U90" s="1955"/>
      <c r="V90" s="1955"/>
      <c r="W90" s="1955"/>
      <c r="X90" s="1955"/>
      <c r="Y90" s="1955"/>
      <c r="Z90" s="1955"/>
      <c r="AA90" s="1955"/>
      <c r="AB90" s="1955"/>
    </row>
    <row r="91" spans="1:28" customFormat="1">
      <c r="A91" s="5197" t="s">
        <v>1167</v>
      </c>
      <c r="B91" s="5198"/>
      <c r="C91" s="5202" t="s">
        <v>11058</v>
      </c>
      <c r="D91" s="5198"/>
      <c r="E91" s="5202" t="s">
        <v>11055</v>
      </c>
      <c r="F91" s="5198"/>
      <c r="G91" s="5202" t="s">
        <v>11057</v>
      </c>
      <c r="H91" s="5198"/>
      <c r="I91" s="5202" t="s">
        <v>11059</v>
      </c>
      <c r="J91" s="5198"/>
      <c r="K91" s="5202" t="s">
        <v>11060</v>
      </c>
      <c r="L91" s="5198"/>
      <c r="M91" s="5202" t="s">
        <v>1168</v>
      </c>
      <c r="N91" s="5203"/>
      <c r="O91" s="1955"/>
      <c r="P91" s="1955"/>
      <c r="Q91" s="1955"/>
      <c r="R91" s="1955"/>
      <c r="S91" s="1955"/>
      <c r="T91" s="1955"/>
      <c r="U91" s="1955"/>
      <c r="V91" s="1955"/>
      <c r="W91" s="1955"/>
      <c r="X91" s="1955"/>
      <c r="Y91" s="1955"/>
      <c r="Z91" s="1955"/>
      <c r="AA91" s="1955"/>
      <c r="AB91" s="1955"/>
    </row>
    <row r="92" spans="1:28" customFormat="1">
      <c r="A92" s="5204" t="s">
        <v>11150</v>
      </c>
      <c r="B92" s="5205"/>
      <c r="C92" s="5205"/>
      <c r="D92" s="5205"/>
      <c r="E92" s="5205"/>
      <c r="F92" s="5205"/>
      <c r="G92" s="5205"/>
      <c r="H92" s="5205"/>
      <c r="I92" s="5205"/>
      <c r="J92" s="5205"/>
      <c r="K92" s="5205"/>
      <c r="L92" s="5205"/>
      <c r="M92" s="5205"/>
      <c r="N92" s="5205"/>
      <c r="O92" s="1955"/>
      <c r="P92" s="1955"/>
      <c r="Q92" s="1955"/>
      <c r="R92" s="1955"/>
      <c r="S92" s="1955"/>
      <c r="T92" s="1955"/>
      <c r="U92" s="1955"/>
      <c r="V92" s="1955"/>
      <c r="W92" s="1955"/>
      <c r="X92" s="1955"/>
      <c r="Y92" s="1955"/>
      <c r="Z92" s="1955"/>
      <c r="AA92" s="1955"/>
      <c r="AB92" s="1955"/>
    </row>
    <row r="93" spans="1:28" customFormat="1">
      <c r="A93" s="5206" t="s">
        <v>11142</v>
      </c>
      <c r="B93" s="5207"/>
      <c r="C93" s="5211" t="s">
        <v>11151</v>
      </c>
      <c r="D93" s="5207"/>
      <c r="E93" s="5207"/>
      <c r="F93" s="5211" t="s">
        <v>11152</v>
      </c>
      <c r="G93" s="5207"/>
      <c r="H93" s="5207"/>
      <c r="I93" s="5211" t="s">
        <v>11147</v>
      </c>
      <c r="J93" s="5207"/>
      <c r="K93" s="5207"/>
      <c r="L93" s="5211" t="s">
        <v>11148</v>
      </c>
      <c r="M93" s="5207"/>
      <c r="N93" s="5212"/>
      <c r="O93" s="1955"/>
      <c r="P93" s="1955"/>
      <c r="Q93" s="1955"/>
      <c r="R93" s="1955"/>
      <c r="S93" s="1955"/>
      <c r="T93" s="1955"/>
      <c r="U93" s="1955"/>
      <c r="V93" s="1955"/>
      <c r="W93" s="1955"/>
      <c r="X93" s="1955"/>
      <c r="Y93" s="1955"/>
      <c r="Z93" s="1955"/>
      <c r="AA93" s="1955"/>
      <c r="AB93" s="1955"/>
    </row>
    <row r="94" spans="1:28" customFormat="1">
      <c r="A94" s="5192" t="s">
        <v>487</v>
      </c>
      <c r="B94" s="5193"/>
      <c r="C94" s="5214" t="s">
        <v>11055</v>
      </c>
      <c r="D94" s="5193"/>
      <c r="E94" s="5193"/>
      <c r="F94" s="5214" t="s">
        <v>11069</v>
      </c>
      <c r="G94" s="5193"/>
      <c r="H94" s="5193"/>
      <c r="I94" s="5214" t="s">
        <v>11057</v>
      </c>
      <c r="J94" s="5193"/>
      <c r="K94" s="5193"/>
      <c r="L94" s="5214" t="s">
        <v>11065</v>
      </c>
      <c r="M94" s="5193"/>
      <c r="N94" s="5215"/>
      <c r="O94" s="1955"/>
      <c r="P94" s="1955"/>
      <c r="Q94" s="1955"/>
      <c r="R94" s="1955"/>
      <c r="S94" s="1955"/>
      <c r="T94" s="1955"/>
      <c r="U94" s="1955"/>
      <c r="V94" s="1955"/>
      <c r="W94" s="1955"/>
      <c r="X94" s="1955"/>
      <c r="Y94" s="1955"/>
      <c r="Z94" s="1955"/>
      <c r="AA94" s="1955"/>
      <c r="AB94" s="1955"/>
    </row>
    <row r="95" spans="1:28" customFormat="1">
      <c r="A95" s="5192" t="s">
        <v>462</v>
      </c>
      <c r="B95" s="5193"/>
      <c r="C95" s="5214" t="s">
        <v>11057</v>
      </c>
      <c r="D95" s="5193"/>
      <c r="E95" s="5193"/>
      <c r="F95" s="5214" t="s">
        <v>11070</v>
      </c>
      <c r="G95" s="5193"/>
      <c r="H95" s="5193"/>
      <c r="I95" s="5214" t="s">
        <v>11059</v>
      </c>
      <c r="J95" s="5193"/>
      <c r="K95" s="5193"/>
      <c r="L95" s="5214" t="s">
        <v>10424</v>
      </c>
      <c r="M95" s="5193"/>
      <c r="N95" s="5215"/>
      <c r="O95" s="1955"/>
      <c r="P95" s="1955"/>
      <c r="Q95" s="1955"/>
      <c r="R95" s="1955"/>
      <c r="S95" s="1955"/>
      <c r="T95" s="1955"/>
      <c r="U95" s="1955"/>
      <c r="V95" s="1955"/>
      <c r="W95" s="1955"/>
      <c r="X95" s="1955"/>
      <c r="Y95" s="1955"/>
      <c r="Z95" s="1955"/>
      <c r="AA95" s="1955"/>
      <c r="AB95" s="1955"/>
    </row>
    <row r="96" spans="1:28" customFormat="1">
      <c r="A96" s="5197" t="s">
        <v>1167</v>
      </c>
      <c r="B96" s="5198"/>
      <c r="C96" s="5202" t="s">
        <v>11070</v>
      </c>
      <c r="D96" s="5198"/>
      <c r="E96" s="5198"/>
      <c r="F96" s="5202" t="s">
        <v>10424</v>
      </c>
      <c r="G96" s="5198"/>
      <c r="H96" s="5198"/>
      <c r="I96" s="5202" t="s">
        <v>11066</v>
      </c>
      <c r="J96" s="5198"/>
      <c r="K96" s="5198"/>
      <c r="L96" s="5202" t="s">
        <v>11044</v>
      </c>
      <c r="M96" s="5198"/>
      <c r="N96" s="5203"/>
      <c r="O96" s="1955"/>
      <c r="P96" s="1955"/>
      <c r="Q96" s="1955"/>
      <c r="R96" s="1955"/>
      <c r="S96" s="1955"/>
      <c r="T96" s="1955"/>
      <c r="U96" s="1955"/>
      <c r="V96" s="1955"/>
      <c r="W96" s="1955"/>
      <c r="X96" s="1955"/>
      <c r="Y96" s="1955"/>
      <c r="Z96" s="1955"/>
      <c r="AA96" s="1955"/>
      <c r="AB96" s="1955"/>
    </row>
    <row r="97" spans="1:28" customFormat="1">
      <c r="A97" s="5204" t="s">
        <v>11153</v>
      </c>
      <c r="B97" s="5205"/>
      <c r="C97" s="5205"/>
      <c r="D97" s="5205"/>
      <c r="E97" s="5205"/>
      <c r="F97" s="5205"/>
      <c r="G97" s="5205"/>
      <c r="H97" s="5205"/>
      <c r="I97" s="5205"/>
      <c r="J97" s="5205"/>
      <c r="K97" s="5205"/>
      <c r="L97" s="5205"/>
      <c r="M97" s="5205"/>
      <c r="N97" s="5205"/>
      <c r="O97" s="1955"/>
      <c r="P97" s="1955"/>
      <c r="Q97" s="1955"/>
      <c r="R97" s="1955"/>
      <c r="S97" s="1955"/>
      <c r="T97" s="1955"/>
      <c r="U97" s="1955"/>
      <c r="V97" s="1955"/>
      <c r="W97" s="1955"/>
      <c r="X97" s="1955"/>
      <c r="Y97" s="1955"/>
      <c r="Z97" s="1955"/>
      <c r="AA97" s="1955"/>
      <c r="AB97" s="1955"/>
    </row>
    <row r="98" spans="1:28" customFormat="1">
      <c r="A98" s="5206" t="s">
        <v>11142</v>
      </c>
      <c r="B98" s="5207"/>
      <c r="C98" s="5211" t="s">
        <v>11151</v>
      </c>
      <c r="D98" s="5207"/>
      <c r="E98" s="5207"/>
      <c r="F98" s="5211" t="s">
        <v>11152</v>
      </c>
      <c r="G98" s="5207"/>
      <c r="H98" s="5207"/>
      <c r="I98" s="5211" t="s">
        <v>11147</v>
      </c>
      <c r="J98" s="5207"/>
      <c r="K98" s="5207"/>
      <c r="L98" s="5211" t="s">
        <v>11148</v>
      </c>
      <c r="M98" s="5207"/>
      <c r="N98" s="5212"/>
      <c r="O98" s="1955"/>
      <c r="P98" s="1955"/>
      <c r="Q98" s="1955"/>
      <c r="R98" s="1955"/>
      <c r="S98" s="1955"/>
      <c r="T98" s="1955"/>
      <c r="U98" s="1955"/>
      <c r="V98" s="1955"/>
      <c r="W98" s="1955"/>
      <c r="X98" s="1955"/>
      <c r="Y98" s="1955"/>
      <c r="Z98" s="1955"/>
      <c r="AA98" s="1955"/>
      <c r="AB98" s="1955"/>
    </row>
    <row r="99" spans="1:28" customFormat="1">
      <c r="A99" s="5192" t="s">
        <v>487</v>
      </c>
      <c r="B99" s="5193"/>
      <c r="C99" s="5194" t="s">
        <v>11065</v>
      </c>
      <c r="D99" s="5195"/>
      <c r="E99" s="5195"/>
      <c r="F99" s="5195"/>
      <c r="G99" s="5195"/>
      <c r="H99" s="5195"/>
      <c r="I99" s="5195"/>
      <c r="J99" s="5195"/>
      <c r="K99" s="5195"/>
      <c r="L99" s="5195"/>
      <c r="M99" s="5195"/>
      <c r="N99" s="5196"/>
      <c r="O99" s="1955"/>
      <c r="P99" s="1955"/>
      <c r="Q99" s="1955"/>
      <c r="R99" s="1955"/>
      <c r="S99" s="1955"/>
      <c r="T99" s="1955"/>
      <c r="U99" s="1955"/>
      <c r="V99" s="1955"/>
      <c r="W99" s="1955"/>
      <c r="X99" s="1955"/>
      <c r="Y99" s="1955"/>
      <c r="Z99" s="1955"/>
      <c r="AA99" s="1955"/>
      <c r="AB99" s="1955"/>
    </row>
    <row r="100" spans="1:28" customFormat="1">
      <c r="A100" s="5192" t="s">
        <v>462</v>
      </c>
      <c r="B100" s="5193"/>
      <c r="C100" s="5194" t="s">
        <v>11070</v>
      </c>
      <c r="D100" s="5195"/>
      <c r="E100" s="5195"/>
      <c r="F100" s="5195"/>
      <c r="G100" s="5195"/>
      <c r="H100" s="5213"/>
      <c r="I100" s="5214" t="s">
        <v>11059</v>
      </c>
      <c r="J100" s="5193"/>
      <c r="K100" s="5193"/>
      <c r="L100" s="5214" t="s">
        <v>10424</v>
      </c>
      <c r="M100" s="5193"/>
      <c r="N100" s="5215"/>
      <c r="O100" s="1955"/>
      <c r="P100" s="1955"/>
      <c r="Q100" s="1955"/>
      <c r="R100" s="1955"/>
      <c r="S100" s="1955"/>
      <c r="T100" s="1955"/>
      <c r="U100" s="1955"/>
      <c r="V100" s="1955"/>
      <c r="W100" s="1955"/>
      <c r="X100" s="1955"/>
      <c r="Y100" s="1955"/>
      <c r="Z100" s="1955"/>
      <c r="AA100" s="1955"/>
      <c r="AB100" s="1955"/>
    </row>
    <row r="101" spans="1:28" customFormat="1">
      <c r="A101" s="5197" t="s">
        <v>1167</v>
      </c>
      <c r="B101" s="5198"/>
      <c r="C101" s="5202" t="s">
        <v>11070</v>
      </c>
      <c r="D101" s="5198"/>
      <c r="E101" s="5198"/>
      <c r="F101" s="5202" t="s">
        <v>10424</v>
      </c>
      <c r="G101" s="5198"/>
      <c r="H101" s="5198"/>
      <c r="I101" s="5202" t="s">
        <v>11066</v>
      </c>
      <c r="J101" s="5198"/>
      <c r="K101" s="5198"/>
      <c r="L101" s="5202" t="s">
        <v>11044</v>
      </c>
      <c r="M101" s="5198"/>
      <c r="N101" s="5203"/>
      <c r="O101" s="1955"/>
      <c r="P101" s="1955"/>
      <c r="Q101" s="1955"/>
      <c r="R101" s="1955"/>
      <c r="S101" s="1955"/>
      <c r="T101" s="1955"/>
      <c r="U101" s="1955"/>
      <c r="V101" s="1955"/>
      <c r="W101" s="1955"/>
      <c r="X101" s="1955"/>
      <c r="Y101" s="1955"/>
      <c r="Z101" s="1955"/>
      <c r="AA101" s="1955"/>
      <c r="AB101" s="1955"/>
    </row>
    <row r="102" spans="1:28" customFormat="1">
      <c r="A102" s="5204" t="s">
        <v>11154</v>
      </c>
      <c r="B102" s="5205"/>
      <c r="C102" s="5205"/>
      <c r="D102" s="5205"/>
      <c r="E102" s="5205"/>
      <c r="F102" s="5205"/>
      <c r="G102" s="5205"/>
      <c r="H102" s="5205"/>
      <c r="I102" s="5205"/>
      <c r="J102" s="5205"/>
      <c r="K102" s="5205"/>
      <c r="L102" s="5205"/>
      <c r="M102" s="5205"/>
      <c r="N102" s="5205"/>
      <c r="O102" s="1955"/>
      <c r="P102" s="1955"/>
      <c r="Q102" s="1955"/>
      <c r="R102" s="1955"/>
      <c r="S102" s="1955"/>
      <c r="T102" s="1955"/>
      <c r="U102" s="1955"/>
      <c r="V102" s="1955"/>
      <c r="W102" s="1955"/>
      <c r="X102" s="1955"/>
      <c r="Y102" s="1955"/>
      <c r="Z102" s="1955"/>
      <c r="AA102" s="1955"/>
      <c r="AB102" s="1955"/>
    </row>
    <row r="103" spans="1:28" customFormat="1">
      <c r="A103" s="5206" t="s">
        <v>11142</v>
      </c>
      <c r="B103" s="5207"/>
      <c r="C103" s="5208" t="s">
        <v>11155</v>
      </c>
      <c r="D103" s="5209"/>
      <c r="E103" s="5209"/>
      <c r="F103" s="5209"/>
      <c r="G103" s="5209"/>
      <c r="H103" s="5209"/>
      <c r="I103" s="5209"/>
      <c r="J103" s="5209"/>
      <c r="K103" s="5209"/>
      <c r="L103" s="5209"/>
      <c r="M103" s="5209"/>
      <c r="N103" s="5210"/>
      <c r="O103" s="1955"/>
      <c r="P103" s="1955"/>
      <c r="Q103" s="1955"/>
      <c r="R103" s="1955"/>
      <c r="S103" s="1955"/>
      <c r="T103" s="1955"/>
      <c r="U103" s="1955"/>
      <c r="V103" s="1955"/>
      <c r="W103" s="1955"/>
      <c r="X103" s="1955"/>
      <c r="Y103" s="1955"/>
      <c r="Z103" s="1955"/>
      <c r="AA103" s="1955"/>
      <c r="AB103" s="1955"/>
    </row>
    <row r="104" spans="1:28" customFormat="1">
      <c r="A104" s="5192" t="s">
        <v>487</v>
      </c>
      <c r="B104" s="5193"/>
      <c r="C104" s="5194" t="s">
        <v>11058</v>
      </c>
      <c r="D104" s="5195"/>
      <c r="E104" s="5195"/>
      <c r="F104" s="5195"/>
      <c r="G104" s="5195"/>
      <c r="H104" s="5195"/>
      <c r="I104" s="5195"/>
      <c r="J104" s="5195"/>
      <c r="K104" s="5195"/>
      <c r="L104" s="5195"/>
      <c r="M104" s="5195"/>
      <c r="N104" s="5196"/>
      <c r="O104" s="1955"/>
      <c r="P104" s="1955"/>
      <c r="Q104" s="1955"/>
      <c r="R104" s="1955"/>
      <c r="S104" s="1955"/>
      <c r="T104" s="1955"/>
      <c r="U104" s="1955"/>
      <c r="V104" s="1955"/>
      <c r="W104" s="1955"/>
      <c r="X104" s="1955"/>
      <c r="Y104" s="1955"/>
      <c r="Z104" s="1955"/>
      <c r="AA104" s="1955"/>
      <c r="AB104" s="1955"/>
    </row>
    <row r="105" spans="1:28" customFormat="1">
      <c r="A105" s="5192" t="s">
        <v>462</v>
      </c>
      <c r="B105" s="5193"/>
      <c r="C105" s="5194" t="s">
        <v>11055</v>
      </c>
      <c r="D105" s="5195"/>
      <c r="E105" s="5195"/>
      <c r="F105" s="5195"/>
      <c r="G105" s="5195"/>
      <c r="H105" s="5195"/>
      <c r="I105" s="5195"/>
      <c r="J105" s="5195"/>
      <c r="K105" s="5195"/>
      <c r="L105" s="5195"/>
      <c r="M105" s="5195"/>
      <c r="N105" s="5196"/>
      <c r="O105" s="1955"/>
      <c r="P105" s="1955"/>
      <c r="Q105" s="1955"/>
      <c r="R105" s="1955"/>
      <c r="S105" s="1955"/>
      <c r="T105" s="1955"/>
      <c r="U105" s="1955"/>
      <c r="V105" s="1955"/>
      <c r="W105" s="1955"/>
      <c r="X105" s="1955"/>
      <c r="Y105" s="1955"/>
      <c r="Z105" s="1955"/>
      <c r="AA105" s="1955"/>
      <c r="AB105" s="1955"/>
    </row>
    <row r="106" spans="1:28" customFormat="1">
      <c r="A106" s="5197" t="s">
        <v>1167</v>
      </c>
      <c r="B106" s="5198"/>
      <c r="C106" s="5199" t="s">
        <v>11065</v>
      </c>
      <c r="D106" s="5200"/>
      <c r="E106" s="5200"/>
      <c r="F106" s="5200"/>
      <c r="G106" s="5200"/>
      <c r="H106" s="5200"/>
      <c r="I106" s="5200"/>
      <c r="J106" s="5200"/>
      <c r="K106" s="5200"/>
      <c r="L106" s="5200"/>
      <c r="M106" s="5200"/>
      <c r="N106" s="5201"/>
      <c r="O106" s="1955"/>
      <c r="P106" s="1955"/>
      <c r="Q106" s="1955"/>
      <c r="R106" s="1955"/>
      <c r="S106" s="1955"/>
      <c r="T106" s="1955"/>
      <c r="U106" s="1955"/>
      <c r="V106" s="1955"/>
      <c r="W106" s="1955"/>
      <c r="X106" s="1955"/>
      <c r="Y106" s="1955"/>
      <c r="Z106" s="1955"/>
      <c r="AA106" s="1955"/>
      <c r="AB106" s="1955"/>
    </row>
  </sheetData>
  <mergeCells count="160">
    <mergeCell ref="A1:AB1"/>
    <mergeCell ref="A2:N2"/>
    <mergeCell ref="A3:B3"/>
    <mergeCell ref="C3:Z3"/>
    <mergeCell ref="AA3:AB3"/>
    <mergeCell ref="A4:B4"/>
    <mergeCell ref="C4:D4"/>
    <mergeCell ref="E4:F4"/>
    <mergeCell ref="G4:H4"/>
    <mergeCell ref="I4:J4"/>
    <mergeCell ref="K4:L4"/>
    <mergeCell ref="M4:N4"/>
    <mergeCell ref="O4:P4"/>
    <mergeCell ref="Q4:R4"/>
    <mergeCell ref="S4:T4"/>
    <mergeCell ref="U4:V4"/>
    <mergeCell ref="W4:X4"/>
    <mergeCell ref="Y4:Z4"/>
    <mergeCell ref="AA4:AB4"/>
    <mergeCell ref="C5:Z5"/>
    <mergeCell ref="A23:N23"/>
    <mergeCell ref="A24:B24"/>
    <mergeCell ref="C24:O24"/>
    <mergeCell ref="A25:B25"/>
    <mergeCell ref="C26:O26"/>
    <mergeCell ref="A41:N41"/>
    <mergeCell ref="A42:B42"/>
    <mergeCell ref="C42:N42"/>
    <mergeCell ref="M6:M8"/>
    <mergeCell ref="M9:M12"/>
    <mergeCell ref="M13:M16"/>
    <mergeCell ref="M17:M21"/>
    <mergeCell ref="O6:O8"/>
    <mergeCell ref="O9:O12"/>
    <mergeCell ref="O13:O16"/>
    <mergeCell ref="O17:O21"/>
    <mergeCell ref="Q6:Q8"/>
    <mergeCell ref="Q9:Q12"/>
    <mergeCell ref="Q13:Q16"/>
    <mergeCell ref="Q17:Q21"/>
    <mergeCell ref="S6:S8"/>
    <mergeCell ref="S9:S12"/>
    <mergeCell ref="S13:S16"/>
    <mergeCell ref="A43:B43"/>
    <mergeCell ref="C44:N44"/>
    <mergeCell ref="A62:N62"/>
    <mergeCell ref="A63:B63"/>
    <mergeCell ref="C63:N63"/>
    <mergeCell ref="A64:B64"/>
    <mergeCell ref="C65:N65"/>
    <mergeCell ref="A86:N86"/>
    <mergeCell ref="A87:N87"/>
    <mergeCell ref="A88:B88"/>
    <mergeCell ref="C88:D88"/>
    <mergeCell ref="E88:F88"/>
    <mergeCell ref="G88:H88"/>
    <mergeCell ref="I88:J88"/>
    <mergeCell ref="K88:L88"/>
    <mergeCell ref="M88:N88"/>
    <mergeCell ref="A89:B89"/>
    <mergeCell ref="C89:D89"/>
    <mergeCell ref="E89:F89"/>
    <mergeCell ref="G89:H89"/>
    <mergeCell ref="I89:J89"/>
    <mergeCell ref="K89:L89"/>
    <mergeCell ref="M89:N89"/>
    <mergeCell ref="A90:B90"/>
    <mergeCell ref="C90:D90"/>
    <mergeCell ref="E90:F90"/>
    <mergeCell ref="G90:H90"/>
    <mergeCell ref="I90:J90"/>
    <mergeCell ref="K90:L90"/>
    <mergeCell ref="M90:N90"/>
    <mergeCell ref="A91:B91"/>
    <mergeCell ref="C91:D91"/>
    <mergeCell ref="E91:F91"/>
    <mergeCell ref="G91:H91"/>
    <mergeCell ref="I91:J91"/>
    <mergeCell ref="K91:L91"/>
    <mergeCell ref="M91:N91"/>
    <mergeCell ref="A92:N92"/>
    <mergeCell ref="A93:B93"/>
    <mergeCell ref="C93:E93"/>
    <mergeCell ref="F93:H93"/>
    <mergeCell ref="I93:K93"/>
    <mergeCell ref="L93:N93"/>
    <mergeCell ref="A94:B94"/>
    <mergeCell ref="C94:E94"/>
    <mergeCell ref="F94:H94"/>
    <mergeCell ref="I94:K94"/>
    <mergeCell ref="L94:N94"/>
    <mergeCell ref="A95:B95"/>
    <mergeCell ref="C95:E95"/>
    <mergeCell ref="F95:H95"/>
    <mergeCell ref="I95:K95"/>
    <mergeCell ref="L95:N95"/>
    <mergeCell ref="A96:B96"/>
    <mergeCell ref="C96:E96"/>
    <mergeCell ref="F96:H96"/>
    <mergeCell ref="I96:K96"/>
    <mergeCell ref="L96:N96"/>
    <mergeCell ref="A97:N97"/>
    <mergeCell ref="A98:B98"/>
    <mergeCell ref="C98:E98"/>
    <mergeCell ref="F98:H98"/>
    <mergeCell ref="I98:K98"/>
    <mergeCell ref="L98:N98"/>
    <mergeCell ref="A99:B99"/>
    <mergeCell ref="C99:N99"/>
    <mergeCell ref="A100:B100"/>
    <mergeCell ref="C100:H100"/>
    <mergeCell ref="I100:K100"/>
    <mergeCell ref="L100:N100"/>
    <mergeCell ref="A101:B101"/>
    <mergeCell ref="C101:E101"/>
    <mergeCell ref="F101:H101"/>
    <mergeCell ref="I101:K101"/>
    <mergeCell ref="L101:N101"/>
    <mergeCell ref="A102:N102"/>
    <mergeCell ref="A103:B103"/>
    <mergeCell ref="C103:N103"/>
    <mergeCell ref="A104:B104"/>
    <mergeCell ref="C104:N104"/>
    <mergeCell ref="A105:B105"/>
    <mergeCell ref="C105:N105"/>
    <mergeCell ref="A106:B106"/>
    <mergeCell ref="C106:N106"/>
    <mergeCell ref="C6:C8"/>
    <mergeCell ref="C9:C12"/>
    <mergeCell ref="C13:C16"/>
    <mergeCell ref="C17:C21"/>
    <mergeCell ref="E6:E8"/>
    <mergeCell ref="E9:E12"/>
    <mergeCell ref="E13:E16"/>
    <mergeCell ref="E17:E21"/>
    <mergeCell ref="G6:G8"/>
    <mergeCell ref="G9:G12"/>
    <mergeCell ref="G13:G16"/>
    <mergeCell ref="G17:G21"/>
    <mergeCell ref="I6:I8"/>
    <mergeCell ref="I9:I12"/>
    <mergeCell ref="I13:I16"/>
    <mergeCell ref="I17:I21"/>
    <mergeCell ref="K6:K8"/>
    <mergeCell ref="K9:K12"/>
    <mergeCell ref="K13:K16"/>
    <mergeCell ref="K17:K21"/>
    <mergeCell ref="Y6:Y8"/>
    <mergeCell ref="Y9:Y12"/>
    <mergeCell ref="Y13:Y16"/>
    <mergeCell ref="Y17:Y21"/>
    <mergeCell ref="S17:S21"/>
    <mergeCell ref="U6:U8"/>
    <mergeCell ref="U9:U12"/>
    <mergeCell ref="U13:U16"/>
    <mergeCell ref="U17:U21"/>
    <mergeCell ref="W6:W8"/>
    <mergeCell ref="W9:W12"/>
    <mergeCell ref="W13:W16"/>
    <mergeCell ref="W17:W21"/>
  </mergeCells>
  <phoneticPr fontId="214" type="noConversion"/>
  <pageMargins left="0.75" right="0.75" top="1" bottom="1" header="0.50902777777777797" footer="0.50902777777777797"/>
  <pageSetup paperSize="9" orientation="portrait"/>
  <headerFooter scaleWithDoc="0" alignWithMargins="0"/>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09"/>
  <dimension ref="A1:DF83"/>
  <sheetViews>
    <sheetView workbookViewId="0">
      <selection sqref="A1:H1"/>
    </sheetView>
  </sheetViews>
  <sheetFormatPr defaultColWidth="9" defaultRowHeight="14.25"/>
  <cols>
    <col min="1" max="2" width="6.625" style="1955" customWidth="1"/>
    <col min="3" max="12" width="5.25" style="1955" customWidth="1"/>
    <col min="13" max="13" width="3.125" style="1955" customWidth="1"/>
    <col min="14" max="24" width="3.75" style="1955" customWidth="1"/>
    <col min="25" max="26" width="3.125" style="1955" customWidth="1"/>
    <col min="27" max="27" width="4.25" style="1955" customWidth="1"/>
    <col min="28" max="28" width="4.625" style="1955" customWidth="1"/>
    <col min="29" max="36" width="5.25" style="1955" customWidth="1"/>
    <col min="37" max="38" width="6.625" style="1955" customWidth="1"/>
    <col min="39" max="63" width="4.375" style="1955" customWidth="1"/>
    <col min="64" max="65" width="5.625" style="1955" customWidth="1"/>
    <col min="66" max="87" width="4.125" style="1955" customWidth="1"/>
    <col min="88" max="91" width="5.125" style="1955" customWidth="1"/>
    <col min="92" max="93" width="10.625" style="1955" customWidth="1"/>
    <col min="94" max="104" width="3.375" style="1955" customWidth="1"/>
    <col min="105" max="105" width="5.625" style="1955" customWidth="1"/>
    <col min="106" max="106" width="8" style="1955" customWidth="1"/>
    <col min="107" max="168" width="3.375" style="1955" customWidth="1"/>
    <col min="169" max="16384" width="9" style="1955"/>
  </cols>
  <sheetData>
    <row r="1" spans="1:110" customFormat="1" ht="32.25" customHeight="1">
      <c r="A1" s="5304" t="s">
        <v>11156</v>
      </c>
      <c r="B1" s="5204"/>
      <c r="C1" s="5204"/>
      <c r="D1" s="5204"/>
      <c r="E1" s="5204"/>
      <c r="F1" s="5204"/>
      <c r="G1" s="5204"/>
      <c r="H1" s="5204"/>
      <c r="I1" s="1955"/>
      <c r="J1" s="1955"/>
      <c r="K1" s="1955"/>
      <c r="L1" s="1955"/>
      <c r="M1" s="1955"/>
      <c r="N1" s="1955"/>
      <c r="O1" s="1955"/>
      <c r="P1" s="1955"/>
      <c r="Q1" s="1955"/>
      <c r="R1" s="1955"/>
      <c r="S1" s="1955"/>
      <c r="T1" s="1955"/>
      <c r="U1" s="1955"/>
      <c r="V1" s="1955"/>
      <c r="W1" s="1955"/>
      <c r="X1" s="1955"/>
      <c r="Y1" s="1955"/>
      <c r="Z1" s="1955"/>
      <c r="AA1" s="1955"/>
      <c r="AB1" s="1955"/>
      <c r="AC1" s="1955"/>
      <c r="AD1" s="1955"/>
      <c r="AE1" s="1955"/>
      <c r="AF1" s="1955"/>
      <c r="AG1" s="1955"/>
      <c r="AH1" s="1955"/>
      <c r="AI1" s="1955"/>
      <c r="AJ1" s="1955"/>
      <c r="AK1" s="1955"/>
      <c r="AL1" s="1955"/>
      <c r="AM1" s="1955"/>
      <c r="AN1" s="1955"/>
      <c r="AO1" s="1955"/>
      <c r="AP1" s="1955"/>
      <c r="AQ1" s="1955"/>
      <c r="AR1" s="1955"/>
      <c r="AS1" s="1955"/>
      <c r="AT1" s="1955"/>
      <c r="AU1" s="1955"/>
      <c r="AV1" s="1955"/>
      <c r="AW1" s="1955"/>
      <c r="AX1" s="1955"/>
      <c r="AY1" s="1955"/>
      <c r="AZ1" s="1955"/>
      <c r="BA1" s="1955"/>
      <c r="BB1" s="1955"/>
      <c r="BC1" s="1955"/>
      <c r="BD1" s="1955"/>
      <c r="BE1" s="1955"/>
      <c r="BF1" s="1955"/>
      <c r="BG1" s="1955"/>
      <c r="BH1" s="1955"/>
      <c r="BI1" s="1955"/>
      <c r="BJ1" s="1955"/>
      <c r="BK1" s="1955"/>
      <c r="BL1" s="1955"/>
      <c r="BM1" s="1955"/>
      <c r="BN1" s="1955"/>
      <c r="BO1" s="1955"/>
      <c r="BP1" s="1955"/>
      <c r="BQ1" s="1955"/>
      <c r="BR1" s="1955"/>
      <c r="BS1" s="1955"/>
      <c r="BT1" s="1955"/>
      <c r="BU1" s="1955"/>
      <c r="BV1" s="1955"/>
      <c r="BW1" s="1955"/>
      <c r="BX1" s="1955"/>
      <c r="BY1" s="1955"/>
      <c r="BZ1" s="1955"/>
      <c r="CA1" s="1955"/>
      <c r="CB1" s="1955"/>
      <c r="CC1" s="1955"/>
      <c r="CD1" s="1955"/>
      <c r="CE1" s="1955"/>
      <c r="CF1" s="1955"/>
      <c r="CG1" s="1955"/>
      <c r="CH1" s="1955"/>
      <c r="CI1" s="1955"/>
      <c r="CJ1" s="1955"/>
      <c r="CK1" s="1955"/>
      <c r="CL1" s="1955"/>
      <c r="CM1" s="1955"/>
      <c r="CN1" s="1955"/>
      <c r="CO1" s="1955"/>
      <c r="CP1" s="1955"/>
      <c r="CQ1" s="1955"/>
      <c r="CR1" s="1955"/>
      <c r="CS1" s="1955"/>
      <c r="CT1" s="1955"/>
      <c r="CU1" s="1955"/>
      <c r="CV1" s="1955"/>
      <c r="CW1" s="1955"/>
      <c r="CX1" s="1955"/>
      <c r="CY1" s="1955"/>
      <c r="CZ1" s="1955"/>
      <c r="DA1" s="1955"/>
      <c r="DB1" s="1955"/>
      <c r="DC1" s="1955"/>
      <c r="DD1" s="1955"/>
      <c r="DE1" s="1955"/>
      <c r="DF1" s="1955"/>
    </row>
    <row r="2" spans="1:110" customFormat="1" ht="15.75">
      <c r="A2" s="5220" t="s">
        <v>909</v>
      </c>
      <c r="B2" s="5229"/>
      <c r="C2" s="5295" t="s">
        <v>11157</v>
      </c>
      <c r="D2" s="5296"/>
      <c r="E2" s="5296"/>
      <c r="F2" s="5296"/>
      <c r="G2" s="5296"/>
      <c r="H2" s="5296"/>
      <c r="I2" s="5296"/>
      <c r="J2" s="5296"/>
      <c r="K2" s="5296"/>
      <c r="L2" s="5296"/>
      <c r="M2" s="5296"/>
      <c r="N2" s="5296"/>
      <c r="O2" s="5296"/>
      <c r="P2" s="5296"/>
      <c r="Q2" s="5296"/>
      <c r="R2" s="5296"/>
      <c r="S2" s="5296"/>
      <c r="T2" s="5296"/>
      <c r="U2" s="5296"/>
      <c r="V2" s="5296"/>
      <c r="W2" s="5296"/>
      <c r="X2" s="5296"/>
      <c r="Y2" s="5296"/>
      <c r="Z2" s="5296"/>
      <c r="AA2" s="5296"/>
      <c r="AB2" s="5296"/>
      <c r="AC2" s="5296"/>
      <c r="AD2" s="5296"/>
      <c r="AE2" s="5296"/>
      <c r="AF2" s="5296"/>
      <c r="AG2" s="5296"/>
      <c r="AH2" s="5296"/>
      <c r="AI2" s="5296"/>
      <c r="AJ2" s="5296"/>
      <c r="AK2" s="5303"/>
      <c r="AL2" s="5303"/>
      <c r="AM2" s="5206" t="s">
        <v>11158</v>
      </c>
      <c r="AN2" s="5211"/>
      <c r="AO2" s="5211"/>
      <c r="AP2" s="5211"/>
      <c r="AQ2" s="5211"/>
      <c r="AR2" s="5243"/>
      <c r="AS2" s="5220" t="s">
        <v>909</v>
      </c>
      <c r="AT2" s="5229"/>
      <c r="AU2" s="1955"/>
      <c r="AV2" s="1955"/>
      <c r="AW2" s="1955"/>
      <c r="AX2" s="1955"/>
      <c r="AY2" s="1955"/>
      <c r="AZ2" s="1955"/>
      <c r="BA2" s="1955"/>
      <c r="BB2" s="1955"/>
      <c r="BC2" s="1955"/>
      <c r="BD2" s="1955"/>
      <c r="BE2" s="1955"/>
      <c r="BF2" s="1955"/>
      <c r="BG2" s="1955"/>
      <c r="BH2" s="1955"/>
      <c r="BI2" s="1955"/>
      <c r="BJ2" s="1955"/>
      <c r="BK2" s="1955"/>
      <c r="BL2" s="1955"/>
      <c r="BM2" s="1955"/>
      <c r="BN2" s="1955"/>
      <c r="BO2" s="1955"/>
      <c r="BP2" s="1955"/>
      <c r="BQ2" s="1955"/>
      <c r="BR2" s="1955"/>
      <c r="BS2" s="1955"/>
      <c r="BT2" s="1955"/>
      <c r="BU2" s="1955"/>
      <c r="BV2" s="1955"/>
      <c r="BW2" s="1955"/>
      <c r="BX2" s="1955"/>
      <c r="BY2" s="1955"/>
      <c r="BZ2" s="1955"/>
      <c r="CA2" s="1955"/>
      <c r="CB2" s="1955"/>
      <c r="CC2" s="1955"/>
      <c r="CD2" s="1955"/>
      <c r="CE2" s="1955"/>
      <c r="CF2" s="1955"/>
      <c r="CG2" s="1955"/>
      <c r="CH2" s="1955"/>
      <c r="CI2" s="1955"/>
      <c r="CJ2" s="1955"/>
      <c r="CK2" s="1955"/>
      <c r="CL2" s="1955"/>
      <c r="CM2" s="1955"/>
      <c r="CN2" s="1955"/>
      <c r="CO2" s="1955"/>
      <c r="CP2" s="1955"/>
      <c r="CQ2" s="1955"/>
      <c r="CR2" s="1955"/>
      <c r="CS2" s="1955"/>
      <c r="CT2" s="1955"/>
      <c r="CU2" s="1955"/>
      <c r="CV2" s="1955"/>
      <c r="CW2" s="1955"/>
      <c r="CX2" s="1955"/>
      <c r="CY2" s="1955"/>
      <c r="CZ2" s="1955"/>
      <c r="DA2" s="1955"/>
      <c r="DB2" s="1955"/>
      <c r="DC2" s="1955"/>
      <c r="DD2" s="1955"/>
      <c r="DE2" s="1955"/>
      <c r="DF2" s="1955"/>
    </row>
    <row r="3" spans="1:110" customFormat="1" ht="15.75">
      <c r="A3" s="5299" t="s">
        <v>11159</v>
      </c>
      <c r="B3" s="5300"/>
      <c r="C3" s="1958" t="s">
        <v>961</v>
      </c>
      <c r="D3" s="1959" t="s">
        <v>962</v>
      </c>
      <c r="E3" s="1959" t="s">
        <v>1957</v>
      </c>
      <c r="F3" s="1959" t="s">
        <v>11160</v>
      </c>
      <c r="G3" s="1959" t="s">
        <v>2524</v>
      </c>
      <c r="H3" s="1959" t="s">
        <v>2510</v>
      </c>
      <c r="I3" s="1959" t="s">
        <v>11161</v>
      </c>
      <c r="J3" s="1959" t="s">
        <v>475</v>
      </c>
      <c r="K3" s="1959" t="s">
        <v>11162</v>
      </c>
      <c r="L3" s="1959" t="s">
        <v>252</v>
      </c>
      <c r="M3" s="1959" t="s">
        <v>487</v>
      </c>
      <c r="N3" s="5311" t="s">
        <v>11163</v>
      </c>
      <c r="O3" s="5312"/>
      <c r="P3" s="5309" t="s">
        <v>2876</v>
      </c>
      <c r="Q3" s="5221"/>
      <c r="R3" s="5221"/>
      <c r="S3" s="5311" t="s">
        <v>462</v>
      </c>
      <c r="T3" s="5313"/>
      <c r="U3" s="5311" t="s">
        <v>235</v>
      </c>
      <c r="V3" s="5313"/>
      <c r="W3" s="5311" t="s">
        <v>464</v>
      </c>
      <c r="X3" s="5313"/>
      <c r="Y3" s="5314" t="s">
        <v>11164</v>
      </c>
      <c r="Z3" s="5315"/>
      <c r="AA3" s="1959" t="s">
        <v>445</v>
      </c>
      <c r="AB3" s="1959" t="s">
        <v>453</v>
      </c>
      <c r="AC3" s="1959" t="s">
        <v>471</v>
      </c>
      <c r="AD3" s="1959" t="s">
        <v>2520</v>
      </c>
      <c r="AE3" s="1959" t="s">
        <v>10176</v>
      </c>
      <c r="AF3" s="1959" t="s">
        <v>430</v>
      </c>
      <c r="AG3" s="1959" t="s">
        <v>3801</v>
      </c>
      <c r="AH3" s="1959" t="s">
        <v>11165</v>
      </c>
      <c r="AI3" s="1959" t="s">
        <v>1139</v>
      </c>
      <c r="AJ3" s="1959" t="s">
        <v>11166</v>
      </c>
      <c r="AK3" s="1959" t="s">
        <v>11167</v>
      </c>
      <c r="AL3" s="1995" t="s">
        <v>11168</v>
      </c>
      <c r="AM3" s="5265"/>
      <c r="AN3" s="5187"/>
      <c r="AO3" s="5187"/>
      <c r="AP3" s="5187"/>
      <c r="AQ3" s="5187"/>
      <c r="AR3" s="5266"/>
      <c r="AS3" s="5299" t="s">
        <v>11159</v>
      </c>
      <c r="AT3" s="5300"/>
      <c r="AU3" s="1955"/>
      <c r="AV3" s="1955"/>
      <c r="AW3" s="1955"/>
      <c r="AX3" s="1955"/>
      <c r="AY3" s="1955"/>
      <c r="AZ3" s="1955"/>
      <c r="BA3" s="1955"/>
      <c r="BB3" s="1955"/>
      <c r="BC3" s="1955"/>
      <c r="BD3" s="1955"/>
      <c r="BE3" s="1955"/>
      <c r="BF3" s="1955"/>
      <c r="BG3" s="1955"/>
      <c r="BH3" s="1955"/>
      <c r="BI3" s="1955"/>
      <c r="BJ3" s="1955"/>
      <c r="BK3" s="1955"/>
      <c r="BL3" s="1955"/>
      <c r="BM3" s="1955"/>
      <c r="BN3" s="1955"/>
      <c r="BO3" s="1955"/>
      <c r="BP3" s="1955"/>
      <c r="BQ3" s="1955"/>
      <c r="BR3" s="1955"/>
      <c r="BS3" s="1955"/>
      <c r="BT3" s="1955"/>
      <c r="BU3" s="1955"/>
      <c r="BV3" s="1955"/>
      <c r="BW3" s="1955"/>
      <c r="BX3" s="1955"/>
      <c r="BY3" s="1955"/>
      <c r="BZ3" s="1955"/>
      <c r="CA3" s="1955"/>
      <c r="CB3" s="1955"/>
      <c r="CC3" s="1955"/>
      <c r="CD3" s="1955"/>
      <c r="CE3" s="1955"/>
      <c r="CF3" s="1955"/>
      <c r="CG3" s="1955"/>
      <c r="CH3" s="1955"/>
      <c r="CI3" s="1955"/>
      <c r="CJ3" s="1955"/>
      <c r="CK3" s="1955"/>
      <c r="CL3" s="1955"/>
      <c r="CM3" s="1955"/>
      <c r="CN3" s="1955"/>
      <c r="CO3" s="1955"/>
      <c r="CP3" s="1955"/>
      <c r="CQ3" s="1955"/>
      <c r="CR3" s="1955"/>
      <c r="CS3" s="1955"/>
      <c r="CT3" s="1955"/>
      <c r="CU3" s="1955"/>
      <c r="CV3" s="1955"/>
      <c r="CW3" s="1955"/>
      <c r="CX3" s="1955"/>
      <c r="CY3" s="1955"/>
      <c r="CZ3" s="1955"/>
      <c r="DA3" s="1955"/>
      <c r="DB3" s="1955"/>
      <c r="DC3" s="1955"/>
      <c r="DD3" s="1955"/>
      <c r="DE3" s="1955"/>
      <c r="DF3" s="1955"/>
    </row>
    <row r="4" spans="1:110" customFormat="1" ht="15.75">
      <c r="A4" s="1960" t="s">
        <v>2410</v>
      </c>
      <c r="B4" s="1961" t="s">
        <v>11052</v>
      </c>
      <c r="C4" s="5295" t="s">
        <v>11169</v>
      </c>
      <c r="D4" s="5303"/>
      <c r="E4" s="5303"/>
      <c r="F4" s="5303"/>
      <c r="G4" s="5303"/>
      <c r="H4" s="5303"/>
      <c r="I4" s="5303"/>
      <c r="J4" s="5303"/>
      <c r="K4" s="5303"/>
      <c r="L4" s="5303"/>
      <c r="M4" s="5303"/>
      <c r="N4" s="5303"/>
      <c r="O4" s="5305"/>
      <c r="P4" s="1985" t="s">
        <v>11048</v>
      </c>
      <c r="Q4" s="1991" t="s">
        <v>11049</v>
      </c>
      <c r="R4" s="1991" t="s">
        <v>9825</v>
      </c>
      <c r="S4" s="1992" t="s">
        <v>11170</v>
      </c>
      <c r="T4" s="1993" t="s">
        <v>11171</v>
      </c>
      <c r="U4" s="1992" t="s">
        <v>11170</v>
      </c>
      <c r="V4" s="1993" t="s">
        <v>11171</v>
      </c>
      <c r="W4" s="1992" t="s">
        <v>11170</v>
      </c>
      <c r="X4" s="1993" t="s">
        <v>11171</v>
      </c>
      <c r="Y4" s="5306" t="s">
        <v>11172</v>
      </c>
      <c r="Z4" s="5307"/>
      <c r="AA4" s="5308" t="s">
        <v>11173</v>
      </c>
      <c r="AB4" s="5303"/>
      <c r="AC4" s="5303"/>
      <c r="AD4" s="5303"/>
      <c r="AE4" s="5303"/>
      <c r="AF4" s="5303"/>
      <c r="AG4" s="5303"/>
      <c r="AH4" s="5303"/>
      <c r="AI4" s="5303"/>
      <c r="AJ4" s="5303"/>
      <c r="AK4" s="5303"/>
      <c r="AL4" s="5305"/>
      <c r="AM4" s="1985" t="s">
        <v>11045</v>
      </c>
      <c r="AN4" s="1991" t="s">
        <v>11046</v>
      </c>
      <c r="AO4" s="1991" t="s">
        <v>11047</v>
      </c>
      <c r="AP4" s="1991" t="s">
        <v>11048</v>
      </c>
      <c r="AQ4" s="1991" t="s">
        <v>11049</v>
      </c>
      <c r="AR4" s="2012" t="s">
        <v>9825</v>
      </c>
      <c r="AS4" s="1960" t="s">
        <v>2410</v>
      </c>
      <c r="AT4" s="1961" t="s">
        <v>11052</v>
      </c>
      <c r="AU4" s="1955"/>
      <c r="AV4" s="1955"/>
      <c r="AW4" s="1955"/>
      <c r="AX4" s="1955"/>
      <c r="AY4" s="1955"/>
      <c r="AZ4" s="1955"/>
      <c r="BA4" s="1955"/>
      <c r="BB4" s="1955"/>
      <c r="BC4" s="1955"/>
      <c r="BD4" s="1955"/>
      <c r="BE4" s="1955"/>
      <c r="BF4" s="1955"/>
      <c r="BG4" s="1955"/>
      <c r="BH4" s="1955"/>
      <c r="BI4" s="1955"/>
      <c r="BJ4" s="1955"/>
      <c r="BK4" s="1955"/>
      <c r="BL4" s="1955"/>
      <c r="BM4" s="1955"/>
      <c r="BN4" s="1955"/>
      <c r="BO4" s="1955"/>
      <c r="BP4" s="1955"/>
      <c r="BQ4" s="1955"/>
      <c r="BR4" s="1955"/>
      <c r="BS4" s="1955"/>
      <c r="BT4" s="1955"/>
      <c r="BU4" s="1955"/>
      <c r="BV4" s="1955"/>
      <c r="BW4" s="1955"/>
      <c r="BX4" s="1955"/>
      <c r="BY4" s="1955"/>
      <c r="BZ4" s="1955"/>
      <c r="CA4" s="1955"/>
      <c r="CB4" s="1955"/>
      <c r="CC4" s="1955"/>
      <c r="CD4" s="1955"/>
      <c r="CE4" s="1955"/>
      <c r="CF4" s="1955"/>
      <c r="CG4" s="1955"/>
      <c r="CH4" s="1955"/>
      <c r="CI4" s="1955"/>
      <c r="CJ4" s="1955"/>
      <c r="CK4" s="1955"/>
      <c r="CL4" s="1955"/>
      <c r="CM4" s="1955"/>
      <c r="CN4" s="1955"/>
      <c r="CO4" s="1955"/>
      <c r="CP4" s="1955"/>
      <c r="CQ4" s="1955"/>
      <c r="CR4" s="1955"/>
      <c r="CS4" s="1955"/>
      <c r="CT4" s="1955"/>
      <c r="CU4" s="1955"/>
      <c r="CV4" s="1955"/>
      <c r="CW4" s="1955"/>
      <c r="CX4" s="1955"/>
      <c r="CY4" s="1955"/>
      <c r="CZ4" s="1955"/>
      <c r="DA4" s="1955"/>
      <c r="DB4" s="1955"/>
      <c r="DC4" s="1955"/>
      <c r="DD4" s="1955"/>
      <c r="DE4" s="1955"/>
      <c r="DF4" s="1955"/>
    </row>
    <row r="5" spans="1:110" customFormat="1" ht="15.6" customHeight="1">
      <c r="A5" s="1962" t="s">
        <v>5908</v>
      </c>
      <c r="B5" s="1963" t="s">
        <v>11045</v>
      </c>
      <c r="C5" s="5278" t="s">
        <v>11174</v>
      </c>
      <c r="D5" s="5280" t="s">
        <v>11175</v>
      </c>
      <c r="E5" s="1965" t="s">
        <v>11176</v>
      </c>
      <c r="F5" s="1965" t="s">
        <v>11177</v>
      </c>
      <c r="G5" s="1965" t="s">
        <v>11178</v>
      </c>
      <c r="H5" s="1965" t="s">
        <v>11179</v>
      </c>
      <c r="I5" s="1965" t="s">
        <v>11180</v>
      </c>
      <c r="J5" s="1965" t="s">
        <v>11181</v>
      </c>
      <c r="K5" s="1965" t="s">
        <v>11182</v>
      </c>
      <c r="L5" s="1965" t="s">
        <v>11183</v>
      </c>
      <c r="M5" s="1974" t="s">
        <v>11095</v>
      </c>
      <c r="N5" s="5225" t="s">
        <v>11184</v>
      </c>
      <c r="O5" s="5236"/>
      <c r="P5" s="1964" t="s">
        <v>11183</v>
      </c>
      <c r="Q5" s="1965" t="s">
        <v>11182</v>
      </c>
      <c r="R5" s="1965" t="s">
        <v>11181</v>
      </c>
      <c r="S5" s="1965" t="s">
        <v>11095</v>
      </c>
      <c r="T5" s="1965" t="s">
        <v>11095</v>
      </c>
      <c r="U5" s="1965" t="s">
        <v>11185</v>
      </c>
      <c r="V5" s="1965" t="s">
        <v>11185</v>
      </c>
      <c r="W5" s="1965" t="s">
        <v>11186</v>
      </c>
      <c r="X5" s="1965" t="s">
        <v>11186</v>
      </c>
      <c r="Y5" s="5238" t="s">
        <v>11187</v>
      </c>
      <c r="Z5" s="5239"/>
      <c r="AA5" s="1965" t="s">
        <v>11188</v>
      </c>
      <c r="AB5" s="1965" t="s">
        <v>11189</v>
      </c>
      <c r="AC5" s="1965" t="s">
        <v>11190</v>
      </c>
      <c r="AD5" s="1965"/>
      <c r="AE5" s="1965">
        <v>-18</v>
      </c>
      <c r="AF5" s="1996"/>
      <c r="AG5" s="1996">
        <v>-20</v>
      </c>
      <c r="AH5" s="1965"/>
      <c r="AI5" s="1965" t="s">
        <v>11191</v>
      </c>
      <c r="AJ5" s="1965" t="s">
        <v>11192</v>
      </c>
      <c r="AK5" s="1965" t="s">
        <v>11193</v>
      </c>
      <c r="AL5" s="2003" t="s">
        <v>11194</v>
      </c>
      <c r="AM5" s="1964" t="s">
        <v>11095</v>
      </c>
      <c r="AN5" s="1965" t="s">
        <v>11095</v>
      </c>
      <c r="AO5" s="1965" t="s">
        <v>11095</v>
      </c>
      <c r="AP5" s="1965" t="s">
        <v>11095</v>
      </c>
      <c r="AQ5" s="1965" t="s">
        <v>11095</v>
      </c>
      <c r="AR5" s="1963" t="s">
        <v>11095</v>
      </c>
      <c r="AS5" s="1962" t="s">
        <v>5908</v>
      </c>
      <c r="AT5" s="1963" t="s">
        <v>11045</v>
      </c>
      <c r="AU5" s="1955"/>
      <c r="AV5" s="1955"/>
      <c r="AW5" s="1955"/>
      <c r="AX5" s="1955"/>
      <c r="AY5" s="1955"/>
      <c r="AZ5" s="1955"/>
      <c r="BA5" s="1955"/>
      <c r="BB5" s="1955"/>
      <c r="BC5" s="1955"/>
      <c r="BD5" s="1955"/>
      <c r="BE5" s="1955"/>
      <c r="BF5" s="1955"/>
      <c r="BG5" s="1955"/>
      <c r="BH5" s="1955"/>
      <c r="BI5" s="1955"/>
      <c r="BJ5" s="1955"/>
      <c r="BK5" s="1955"/>
      <c r="BL5" s="1955"/>
      <c r="BM5" s="1955"/>
      <c r="BN5" s="1955"/>
      <c r="BO5" s="1955"/>
      <c r="BP5" s="1955"/>
      <c r="BQ5" s="1955"/>
      <c r="BR5" s="1955"/>
      <c r="BS5" s="1955"/>
      <c r="BT5" s="1955"/>
      <c r="BU5" s="1955"/>
      <c r="BV5" s="1955"/>
      <c r="BW5" s="1955"/>
      <c r="BX5" s="1955"/>
      <c r="BY5" s="1955"/>
      <c r="BZ5" s="1955"/>
      <c r="CA5" s="1955"/>
      <c r="CB5" s="1955"/>
      <c r="CC5" s="1955"/>
      <c r="CD5" s="1955"/>
      <c r="CE5" s="1955"/>
      <c r="CF5" s="1955"/>
      <c r="CG5" s="1955"/>
      <c r="CH5" s="1955"/>
      <c r="CI5" s="1955"/>
      <c r="CJ5" s="1955"/>
      <c r="CK5" s="1955"/>
      <c r="CL5" s="1955"/>
      <c r="CM5" s="1955"/>
      <c r="CN5" s="1955"/>
      <c r="CO5" s="1955"/>
      <c r="CP5" s="1955"/>
      <c r="CQ5" s="1955"/>
      <c r="CR5" s="1955"/>
      <c r="CS5" s="1955"/>
      <c r="CT5" s="1955"/>
      <c r="CU5" s="1955"/>
      <c r="CV5" s="1955"/>
      <c r="CW5" s="1955"/>
      <c r="CX5" s="1955"/>
      <c r="CY5" s="1955"/>
      <c r="CZ5" s="1955"/>
      <c r="DA5" s="1955"/>
      <c r="DB5" s="1955"/>
      <c r="DC5" s="1955"/>
      <c r="DD5" s="1955"/>
      <c r="DE5" s="1955"/>
      <c r="DF5" s="1955"/>
    </row>
    <row r="6" spans="1:110" customFormat="1" ht="30" customHeight="1">
      <c r="A6" s="1966" t="s">
        <v>11045</v>
      </c>
      <c r="B6" s="1967" t="s">
        <v>11048</v>
      </c>
      <c r="C6" s="5232"/>
      <c r="D6" s="5234"/>
      <c r="E6" s="1968" t="s">
        <v>11195</v>
      </c>
      <c r="F6" s="1968" t="s">
        <v>11196</v>
      </c>
      <c r="G6" s="1968" t="s">
        <v>11197</v>
      </c>
      <c r="H6" s="1968" t="s">
        <v>11178</v>
      </c>
      <c r="I6" s="1968" t="s">
        <v>11179</v>
      </c>
      <c r="J6" s="1968" t="s">
        <v>11180</v>
      </c>
      <c r="K6" s="1968" t="s">
        <v>11181</v>
      </c>
      <c r="L6" s="1968" t="s">
        <v>11182</v>
      </c>
      <c r="M6" s="1968" t="s">
        <v>11095</v>
      </c>
      <c r="N6" s="5225"/>
      <c r="O6" s="5236"/>
      <c r="P6" s="1966" t="s">
        <v>11198</v>
      </c>
      <c r="Q6" s="1968" t="s">
        <v>11181</v>
      </c>
      <c r="R6" s="1968" t="s">
        <v>11180</v>
      </c>
      <c r="S6" s="1994" t="s">
        <v>11199</v>
      </c>
      <c r="T6" s="1968"/>
      <c r="U6" s="1994" t="s">
        <v>11200</v>
      </c>
      <c r="V6" s="1968" t="s">
        <v>11186</v>
      </c>
      <c r="W6" s="1994" t="s">
        <v>11201</v>
      </c>
      <c r="X6" s="1968" t="s">
        <v>11095</v>
      </c>
      <c r="Y6" s="5240"/>
      <c r="Z6" s="5239"/>
      <c r="AA6" s="1968" t="s">
        <v>11202</v>
      </c>
      <c r="AB6" s="1968" t="s">
        <v>11203</v>
      </c>
      <c r="AC6" s="1968" t="s">
        <v>11204</v>
      </c>
      <c r="AD6" s="1968"/>
      <c r="AE6" s="1968" t="s">
        <v>11205</v>
      </c>
      <c r="AF6" s="1968"/>
      <c r="AG6" s="1968" t="s">
        <v>11206</v>
      </c>
      <c r="AH6" s="1968"/>
      <c r="AI6" s="1968" t="s">
        <v>11207</v>
      </c>
      <c r="AJ6" s="1968" t="s">
        <v>11208</v>
      </c>
      <c r="AK6" s="1968" t="s">
        <v>11209</v>
      </c>
      <c r="AL6" s="2004" t="s">
        <v>11210</v>
      </c>
      <c r="AM6" s="1966" t="s">
        <v>10424</v>
      </c>
      <c r="AN6" s="1968" t="s">
        <v>11066</v>
      </c>
      <c r="AO6" s="1968" t="s">
        <v>10424</v>
      </c>
      <c r="AP6" s="1968" t="s">
        <v>11045</v>
      </c>
      <c r="AQ6" s="1968" t="s">
        <v>11046</v>
      </c>
      <c r="AR6" s="1967" t="s">
        <v>11048</v>
      </c>
      <c r="AS6" s="1966" t="s">
        <v>11045</v>
      </c>
      <c r="AT6" s="1967" t="s">
        <v>11048</v>
      </c>
      <c r="AU6" s="1955"/>
      <c r="AV6" s="1955"/>
      <c r="AW6" s="1955"/>
      <c r="AX6" s="1955"/>
      <c r="AY6" s="1955"/>
      <c r="AZ6" s="1955"/>
      <c r="BA6" s="1955"/>
      <c r="BB6" s="1955"/>
      <c r="BC6" s="1955"/>
      <c r="BD6" s="1955"/>
      <c r="BE6" s="1955"/>
      <c r="BF6" s="1955"/>
      <c r="BG6" s="1955"/>
      <c r="BH6" s="1955"/>
      <c r="BI6" s="1955"/>
      <c r="BJ6" s="1955"/>
      <c r="BK6" s="1955"/>
      <c r="BL6" s="1955"/>
      <c r="BM6" s="1955"/>
      <c r="BN6" s="1955"/>
      <c r="BO6" s="1955"/>
      <c r="BP6" s="1955"/>
      <c r="BQ6" s="1955"/>
      <c r="BR6" s="1955"/>
      <c r="BS6" s="1955"/>
      <c r="BT6" s="1955"/>
      <c r="BU6" s="1955"/>
      <c r="BV6" s="1955"/>
      <c r="BW6" s="1955"/>
      <c r="BX6" s="1955"/>
      <c r="BY6" s="1955"/>
      <c r="BZ6" s="1955"/>
      <c r="CA6" s="1955"/>
      <c r="CB6" s="1955"/>
      <c r="CC6" s="1955"/>
      <c r="CD6" s="1955"/>
      <c r="CE6" s="1955"/>
      <c r="CF6" s="1955"/>
      <c r="CG6" s="1955"/>
      <c r="CH6" s="1955"/>
      <c r="CI6" s="1955"/>
      <c r="CJ6" s="1955"/>
      <c r="CK6" s="1955"/>
      <c r="CL6" s="1955"/>
      <c r="CM6" s="1955"/>
      <c r="CN6" s="1955"/>
      <c r="CO6" s="1955"/>
      <c r="CP6" s="1955"/>
      <c r="CQ6" s="1955"/>
      <c r="CR6" s="1955"/>
      <c r="CS6" s="1955"/>
      <c r="CT6" s="1955"/>
      <c r="CU6" s="1955"/>
      <c r="CV6" s="1955"/>
      <c r="CW6" s="1955"/>
      <c r="CX6" s="1955"/>
      <c r="CY6" s="1955"/>
      <c r="CZ6" s="1955"/>
      <c r="DA6" s="1955"/>
      <c r="DB6" s="1955"/>
      <c r="DC6" s="1955"/>
      <c r="DD6" s="1955"/>
      <c r="DE6" s="1955"/>
      <c r="DF6" s="1955"/>
    </row>
    <row r="7" spans="1:110" customFormat="1" ht="30" customHeight="1">
      <c r="A7" s="1966" t="s">
        <v>11048</v>
      </c>
      <c r="B7" s="1967" t="s">
        <v>3389</v>
      </c>
      <c r="C7" s="1966" t="s">
        <v>11211</v>
      </c>
      <c r="D7" s="5234" t="s">
        <v>11212</v>
      </c>
      <c r="E7" s="1968" t="s">
        <v>11213</v>
      </c>
      <c r="F7" s="1968" t="s">
        <v>11214</v>
      </c>
      <c r="G7" s="1968" t="s">
        <v>11215</v>
      </c>
      <c r="H7" s="1968" t="s">
        <v>11216</v>
      </c>
      <c r="I7" s="1968" t="s">
        <v>11217</v>
      </c>
      <c r="J7" s="1968" t="s">
        <v>11218</v>
      </c>
      <c r="K7" s="1968" t="s">
        <v>11219</v>
      </c>
      <c r="L7" s="1968" t="s">
        <v>11198</v>
      </c>
      <c r="M7" s="1968" t="s">
        <v>11095</v>
      </c>
      <c r="N7" s="5225"/>
      <c r="O7" s="5236"/>
      <c r="P7" s="1966" t="s">
        <v>11198</v>
      </c>
      <c r="Q7" s="1968" t="s">
        <v>11219</v>
      </c>
      <c r="R7" s="1968" t="s">
        <v>11220</v>
      </c>
      <c r="S7" s="1994" t="s">
        <v>11199</v>
      </c>
      <c r="T7" s="1968"/>
      <c r="U7" s="1994" t="s">
        <v>11221</v>
      </c>
      <c r="V7" s="1968" t="s">
        <v>11188</v>
      </c>
      <c r="W7" s="1994" t="s">
        <v>11222</v>
      </c>
      <c r="X7" s="1968" t="s">
        <v>11095</v>
      </c>
      <c r="Y7" s="5240"/>
      <c r="Z7" s="5239"/>
      <c r="AA7" s="1968" t="s">
        <v>11203</v>
      </c>
      <c r="AB7" s="1968" t="s">
        <v>11204</v>
      </c>
      <c r="AC7" s="1968" t="s">
        <v>11205</v>
      </c>
      <c r="AD7" s="1968"/>
      <c r="AE7" s="1968" t="s">
        <v>11206</v>
      </c>
      <c r="AF7" s="1968"/>
      <c r="AG7" s="1968" t="s">
        <v>11223</v>
      </c>
      <c r="AH7" s="1968"/>
      <c r="AI7" s="1968" t="s">
        <v>11208</v>
      </c>
      <c r="AJ7" s="1968" t="s">
        <v>11224</v>
      </c>
      <c r="AK7" s="1968" t="s">
        <v>11225</v>
      </c>
      <c r="AL7" s="2004" t="s">
        <v>11226</v>
      </c>
      <c r="AM7" s="1966" t="s">
        <v>10424</v>
      </c>
      <c r="AN7" s="1968" t="s">
        <v>11066</v>
      </c>
      <c r="AO7" s="1968" t="s">
        <v>11044</v>
      </c>
      <c r="AP7" s="1968" t="s">
        <v>11045</v>
      </c>
      <c r="AQ7" s="1968" t="s">
        <v>11048</v>
      </c>
      <c r="AR7" s="1967" t="s">
        <v>11049</v>
      </c>
      <c r="AS7" s="1966" t="s">
        <v>11048</v>
      </c>
      <c r="AT7" s="1967" t="s">
        <v>3389</v>
      </c>
      <c r="AU7" s="1955"/>
      <c r="AV7" s="1955"/>
      <c r="AW7" s="1955"/>
      <c r="AX7" s="1955"/>
      <c r="AY7" s="1955"/>
      <c r="AZ7" s="1955"/>
      <c r="BA7" s="1955"/>
      <c r="BB7" s="1955"/>
      <c r="BC7" s="1955"/>
      <c r="BD7" s="1955"/>
      <c r="BE7" s="1955"/>
      <c r="BF7" s="1955"/>
      <c r="BG7" s="1955"/>
      <c r="BH7" s="1955"/>
      <c r="BI7" s="1955"/>
      <c r="BJ7" s="1955"/>
      <c r="BK7" s="1955"/>
      <c r="BL7" s="1955"/>
      <c r="BM7" s="1955"/>
      <c r="BN7" s="1955"/>
      <c r="BO7" s="1955"/>
      <c r="BP7" s="1955"/>
      <c r="BQ7" s="1955"/>
      <c r="BR7" s="1955"/>
      <c r="BS7" s="1955"/>
      <c r="BT7" s="1955"/>
      <c r="BU7" s="1955"/>
      <c r="BV7" s="1955"/>
      <c r="BW7" s="1955"/>
      <c r="BX7" s="1955"/>
      <c r="BY7" s="1955"/>
      <c r="BZ7" s="1955"/>
      <c r="CA7" s="1955"/>
      <c r="CB7" s="1955"/>
      <c r="CC7" s="1955"/>
      <c r="CD7" s="1955"/>
      <c r="CE7" s="1955"/>
      <c r="CF7" s="1955"/>
      <c r="CG7" s="1955"/>
      <c r="CH7" s="1955"/>
      <c r="CI7" s="1955"/>
      <c r="CJ7" s="1955"/>
      <c r="CK7" s="1955"/>
      <c r="CL7" s="1955"/>
      <c r="CM7" s="1955"/>
      <c r="CN7" s="1955"/>
      <c r="CO7" s="1955"/>
      <c r="CP7" s="1955"/>
      <c r="CQ7" s="1955"/>
      <c r="CR7" s="1955"/>
      <c r="CS7" s="1955"/>
      <c r="CT7" s="1955"/>
      <c r="CU7" s="1955"/>
      <c r="CV7" s="1955"/>
      <c r="CW7" s="1955"/>
      <c r="CX7" s="1955"/>
      <c r="CY7" s="1955"/>
      <c r="CZ7" s="1955"/>
      <c r="DA7" s="1955"/>
      <c r="DB7" s="1955"/>
      <c r="DC7" s="1955"/>
      <c r="DD7" s="1955"/>
      <c r="DE7" s="1955"/>
      <c r="DF7" s="1955"/>
    </row>
    <row r="8" spans="1:110" customFormat="1" ht="15.6" customHeight="1">
      <c r="A8" s="1966" t="s">
        <v>3389</v>
      </c>
      <c r="B8" s="1967" t="s">
        <v>11097</v>
      </c>
      <c r="C8" s="5232" t="s">
        <v>11227</v>
      </c>
      <c r="D8" s="5193"/>
      <c r="E8" s="5234" t="s">
        <v>11228</v>
      </c>
      <c r="F8" s="5234"/>
      <c r="G8" s="5234" t="s">
        <v>11229</v>
      </c>
      <c r="H8" s="5234" t="s">
        <v>11230</v>
      </c>
      <c r="I8" s="5234"/>
      <c r="J8" s="5234" t="s">
        <v>11231</v>
      </c>
      <c r="K8" s="5234"/>
      <c r="L8" s="5234" t="s">
        <v>11181</v>
      </c>
      <c r="M8" s="5234" t="s">
        <v>11095</v>
      </c>
      <c r="N8" s="5225"/>
      <c r="O8" s="5236"/>
      <c r="P8" s="5232" t="s">
        <v>11181</v>
      </c>
      <c r="Q8" s="5234" t="s">
        <v>11180</v>
      </c>
      <c r="R8" s="5234" t="s">
        <v>11232</v>
      </c>
      <c r="S8" s="5288" t="s">
        <v>11199</v>
      </c>
      <c r="T8" s="5234"/>
      <c r="U8" s="5288" t="s">
        <v>11233</v>
      </c>
      <c r="V8" s="5234" t="s">
        <v>11234</v>
      </c>
      <c r="W8" s="5288" t="s">
        <v>11235</v>
      </c>
      <c r="X8" s="5288" t="s">
        <v>11095</v>
      </c>
      <c r="Y8" s="5240"/>
      <c r="Z8" s="5239"/>
      <c r="AA8" s="5288" t="s">
        <v>11236</v>
      </c>
      <c r="AB8" s="5288" t="s">
        <v>11205</v>
      </c>
      <c r="AC8" s="5288" t="s">
        <v>11206</v>
      </c>
      <c r="AD8" s="5288"/>
      <c r="AE8" s="5288" t="s">
        <v>11237</v>
      </c>
      <c r="AF8" s="1968"/>
      <c r="AG8" s="1968" t="s">
        <v>11193</v>
      </c>
      <c r="AH8" s="1968"/>
      <c r="AI8" s="1968" t="s">
        <v>11209</v>
      </c>
      <c r="AJ8" s="1968" t="s">
        <v>11238</v>
      </c>
      <c r="AK8" s="1968" t="s">
        <v>11239</v>
      </c>
      <c r="AL8" s="2004" t="s">
        <v>11240</v>
      </c>
      <c r="AM8" s="5232" t="s">
        <v>10424</v>
      </c>
      <c r="AN8" s="5234" t="s">
        <v>11044</v>
      </c>
      <c r="AO8" s="5234" t="s">
        <v>11045</v>
      </c>
      <c r="AP8" s="5234" t="s">
        <v>11045</v>
      </c>
      <c r="AQ8" s="5234" t="s">
        <v>11049</v>
      </c>
      <c r="AR8" s="5235" t="s">
        <v>9828</v>
      </c>
      <c r="AS8" s="1966" t="s">
        <v>3389</v>
      </c>
      <c r="AT8" s="1967" t="s">
        <v>11097</v>
      </c>
      <c r="AU8" s="1955"/>
      <c r="AV8" s="1955"/>
      <c r="AW8" s="1955"/>
      <c r="AX8" s="1955"/>
      <c r="AY8" s="1955"/>
      <c r="AZ8" s="1955"/>
      <c r="BA8" s="1955"/>
      <c r="BB8" s="1955"/>
      <c r="BC8" s="1955"/>
      <c r="BD8" s="1955"/>
      <c r="BE8" s="1955"/>
      <c r="BF8" s="1955"/>
      <c r="BG8" s="1955"/>
      <c r="BH8" s="1955"/>
      <c r="BI8" s="1955"/>
      <c r="BJ8" s="1955"/>
      <c r="BK8" s="1955"/>
      <c r="BL8" s="1955"/>
      <c r="BM8" s="1955"/>
      <c r="BN8" s="1955"/>
      <c r="BO8" s="1955"/>
      <c r="BP8" s="1955"/>
      <c r="BQ8" s="1955"/>
      <c r="BR8" s="1955"/>
      <c r="BS8" s="1955"/>
      <c r="BT8" s="1955"/>
      <c r="BU8" s="1955"/>
      <c r="BV8" s="1955"/>
      <c r="BW8" s="1955"/>
      <c r="BX8" s="1955"/>
      <c r="BY8" s="1955"/>
      <c r="BZ8" s="1955"/>
      <c r="CA8" s="1955"/>
      <c r="CB8" s="1955"/>
      <c r="CC8" s="1955"/>
      <c r="CD8" s="1955"/>
      <c r="CE8" s="1955"/>
      <c r="CF8" s="1955"/>
      <c r="CG8" s="1955"/>
      <c r="CH8" s="1955"/>
      <c r="CI8" s="1955"/>
      <c r="CJ8" s="1955"/>
      <c r="CK8" s="1955"/>
      <c r="CL8" s="1955"/>
      <c r="CM8" s="1955"/>
      <c r="CN8" s="1955"/>
      <c r="CO8" s="1955"/>
      <c r="CP8" s="1955"/>
      <c r="CQ8" s="1955"/>
      <c r="CR8" s="1955"/>
      <c r="CS8" s="1955"/>
      <c r="CT8" s="1955"/>
      <c r="CU8" s="1955"/>
      <c r="CV8" s="1955"/>
      <c r="CW8" s="1955"/>
      <c r="CX8" s="1955"/>
      <c r="CY8" s="1955"/>
      <c r="CZ8" s="1955"/>
      <c r="DA8" s="1955"/>
      <c r="DB8" s="1955"/>
      <c r="DC8" s="1955"/>
      <c r="DD8" s="1955"/>
      <c r="DE8" s="1955"/>
      <c r="DF8" s="1955"/>
    </row>
    <row r="9" spans="1:110" customFormat="1" ht="15.75">
      <c r="A9" s="1966" t="s">
        <v>11097</v>
      </c>
      <c r="B9" s="1967" t="s">
        <v>11098</v>
      </c>
      <c r="C9" s="5285"/>
      <c r="D9" s="5193"/>
      <c r="E9" s="5234"/>
      <c r="F9" s="5234"/>
      <c r="G9" s="5234"/>
      <c r="H9" s="5234"/>
      <c r="I9" s="5234"/>
      <c r="J9" s="5234"/>
      <c r="K9" s="5234"/>
      <c r="L9" s="5234"/>
      <c r="M9" s="5234"/>
      <c r="N9" s="5225"/>
      <c r="O9" s="5236"/>
      <c r="P9" s="5232"/>
      <c r="Q9" s="5234"/>
      <c r="R9" s="5234"/>
      <c r="S9" s="5193"/>
      <c r="T9" s="5234"/>
      <c r="U9" s="5193"/>
      <c r="V9" s="5234"/>
      <c r="W9" s="5193"/>
      <c r="X9" s="5193"/>
      <c r="Y9" s="5240"/>
      <c r="Z9" s="5239"/>
      <c r="AA9" s="5193"/>
      <c r="AB9" s="5193"/>
      <c r="AC9" s="5193"/>
      <c r="AD9" s="5193"/>
      <c r="AE9" s="5193"/>
      <c r="AF9" s="1968" t="s">
        <v>11241</v>
      </c>
      <c r="AG9" s="1968" t="s">
        <v>11242</v>
      </c>
      <c r="AH9" s="1968"/>
      <c r="AI9" s="1968" t="s">
        <v>11194</v>
      </c>
      <c r="AJ9" s="1968" t="s">
        <v>11243</v>
      </c>
      <c r="AK9" s="1968" t="s">
        <v>11244</v>
      </c>
      <c r="AL9" s="2004" t="s">
        <v>11245</v>
      </c>
      <c r="AM9" s="5285"/>
      <c r="AN9" s="5193"/>
      <c r="AO9" s="5193"/>
      <c r="AP9" s="5193"/>
      <c r="AQ9" s="5193"/>
      <c r="AR9" s="5215"/>
      <c r="AS9" s="1966" t="s">
        <v>11097</v>
      </c>
      <c r="AT9" s="1967" t="s">
        <v>11098</v>
      </c>
      <c r="AU9" s="1955"/>
      <c r="AV9" s="1955"/>
      <c r="AW9" s="1955"/>
      <c r="AX9" s="1955"/>
      <c r="AY9" s="1955"/>
      <c r="AZ9" s="1955"/>
      <c r="BA9" s="1955"/>
      <c r="BB9" s="1955"/>
      <c r="BC9" s="1955"/>
      <c r="BD9" s="1955"/>
      <c r="BE9" s="1955"/>
      <c r="BF9" s="1955"/>
      <c r="BG9" s="1955"/>
      <c r="BH9" s="1955"/>
      <c r="BI9" s="1955"/>
      <c r="BJ9" s="1955"/>
      <c r="BK9" s="1955"/>
      <c r="BL9" s="1955"/>
      <c r="BM9" s="1955"/>
      <c r="BN9" s="1955"/>
      <c r="BO9" s="1955"/>
      <c r="BP9" s="1955"/>
      <c r="BQ9" s="1955"/>
      <c r="BR9" s="1955"/>
      <c r="BS9" s="1955"/>
      <c r="BT9" s="1955"/>
      <c r="BU9" s="1955"/>
      <c r="BV9" s="1955"/>
      <c r="BW9" s="1955"/>
      <c r="BX9" s="1955"/>
      <c r="BY9" s="1955"/>
      <c r="BZ9" s="1955"/>
      <c r="CA9" s="1955"/>
      <c r="CB9" s="1955"/>
      <c r="CC9" s="1955"/>
      <c r="CD9" s="1955"/>
      <c r="CE9" s="1955"/>
      <c r="CF9" s="1955"/>
      <c r="CG9" s="1955"/>
      <c r="CH9" s="1955"/>
      <c r="CI9" s="1955"/>
      <c r="CJ9" s="1955"/>
      <c r="CK9" s="1955"/>
      <c r="CL9" s="1955"/>
      <c r="CM9" s="1955"/>
      <c r="CN9" s="1955"/>
      <c r="CO9" s="1955"/>
      <c r="CP9" s="1955"/>
      <c r="CQ9" s="1955"/>
      <c r="CR9" s="1955"/>
      <c r="CS9" s="1955"/>
      <c r="CT9" s="1955"/>
      <c r="CU9" s="1955"/>
      <c r="CV9" s="1955"/>
      <c r="CW9" s="1955"/>
      <c r="CX9" s="1955"/>
      <c r="CY9" s="1955"/>
      <c r="CZ9" s="1955"/>
      <c r="DA9" s="1955"/>
      <c r="DB9" s="1955"/>
      <c r="DC9" s="1955"/>
      <c r="DD9" s="1955"/>
      <c r="DE9" s="1955"/>
      <c r="DF9" s="1955"/>
    </row>
    <row r="10" spans="1:110" customFormat="1" ht="15.6" customHeight="1">
      <c r="A10" s="1966" t="s">
        <v>11098</v>
      </c>
      <c r="B10" s="1967" t="s">
        <v>11246</v>
      </c>
      <c r="C10" s="5232" t="s">
        <v>11247</v>
      </c>
      <c r="D10" s="5234" t="s">
        <v>11248</v>
      </c>
      <c r="E10" s="5234" t="s">
        <v>11249</v>
      </c>
      <c r="F10" s="5234"/>
      <c r="G10" s="5234" t="s">
        <v>11250</v>
      </c>
      <c r="H10" s="5234" t="s">
        <v>11215</v>
      </c>
      <c r="I10" s="5234"/>
      <c r="J10" s="5234" t="s">
        <v>11178</v>
      </c>
      <c r="K10" s="5234"/>
      <c r="L10" s="5234" t="s">
        <v>11251</v>
      </c>
      <c r="M10" s="5234" t="s">
        <v>11095</v>
      </c>
      <c r="N10" s="5225"/>
      <c r="O10" s="5236"/>
      <c r="P10" s="5232" t="s">
        <v>11219</v>
      </c>
      <c r="Q10" s="5234" t="s">
        <v>11220</v>
      </c>
      <c r="R10" s="5234" t="s">
        <v>11178</v>
      </c>
      <c r="S10" s="5288" t="s">
        <v>11252</v>
      </c>
      <c r="T10" s="5234"/>
      <c r="U10" s="5288" t="s">
        <v>11201</v>
      </c>
      <c r="V10" s="5234" t="s">
        <v>11253</v>
      </c>
      <c r="W10" s="5288" t="s">
        <v>11254</v>
      </c>
      <c r="X10" s="5288" t="s">
        <v>11095</v>
      </c>
      <c r="Y10" s="5240"/>
      <c r="Z10" s="5239"/>
      <c r="AA10" s="5288" t="s">
        <v>11255</v>
      </c>
      <c r="AB10" s="5288" t="s">
        <v>11206</v>
      </c>
      <c r="AC10" s="5288" t="s">
        <v>11207</v>
      </c>
      <c r="AD10" s="1968"/>
      <c r="AE10" s="1968" t="s">
        <v>11256</v>
      </c>
      <c r="AF10" s="1968" t="s">
        <v>11257</v>
      </c>
      <c r="AG10" s="1968" t="s">
        <v>11258</v>
      </c>
      <c r="AH10" s="1968" t="s">
        <v>11259</v>
      </c>
      <c r="AI10" s="1968" t="s">
        <v>11260</v>
      </c>
      <c r="AJ10" s="1968" t="s">
        <v>11261</v>
      </c>
      <c r="AK10" s="1968" t="s">
        <v>11262</v>
      </c>
      <c r="AL10" s="2004" t="s">
        <v>11263</v>
      </c>
      <c r="AM10" s="5232" t="s">
        <v>11066</v>
      </c>
      <c r="AN10" s="5234" t="s">
        <v>11044</v>
      </c>
      <c r="AO10" s="5234" t="s">
        <v>11045</v>
      </c>
      <c r="AP10" s="5234" t="s">
        <v>11046</v>
      </c>
      <c r="AQ10" s="5234" t="s">
        <v>9825</v>
      </c>
      <c r="AR10" s="5235" t="s">
        <v>11051</v>
      </c>
      <c r="AS10" s="1966" t="s">
        <v>11098</v>
      </c>
      <c r="AT10" s="1967" t="s">
        <v>11246</v>
      </c>
      <c r="AU10" s="1955"/>
      <c r="AV10" s="1955"/>
      <c r="AW10" s="1955"/>
      <c r="AX10" s="1955"/>
      <c r="AY10" s="1955"/>
      <c r="AZ10" s="1955"/>
      <c r="BA10" s="1955"/>
      <c r="BB10" s="1955"/>
      <c r="BC10" s="1955"/>
      <c r="BD10" s="1955"/>
      <c r="BE10" s="1955"/>
      <c r="BF10" s="1955"/>
      <c r="BG10" s="1955"/>
      <c r="BH10" s="1955"/>
      <c r="BI10" s="1955"/>
      <c r="BJ10" s="1955"/>
      <c r="BK10" s="1955"/>
      <c r="BL10" s="1955"/>
      <c r="BM10" s="1955"/>
      <c r="BN10" s="1955"/>
      <c r="BO10" s="1955"/>
      <c r="BP10" s="1955"/>
      <c r="BQ10" s="1955"/>
      <c r="BR10" s="1955"/>
      <c r="BS10" s="1955"/>
      <c r="BT10" s="1955"/>
      <c r="BU10" s="1955"/>
      <c r="BV10" s="1955"/>
      <c r="BW10" s="1955"/>
      <c r="BX10" s="1955"/>
      <c r="BY10" s="1955"/>
      <c r="BZ10" s="1955"/>
      <c r="CA10" s="1955"/>
      <c r="CB10" s="1955"/>
      <c r="CC10" s="1955"/>
      <c r="CD10" s="1955"/>
      <c r="CE10" s="1955"/>
      <c r="CF10" s="1955"/>
      <c r="CG10" s="1955"/>
      <c r="CH10" s="1955"/>
      <c r="CI10" s="1955"/>
      <c r="CJ10" s="1955"/>
      <c r="CK10" s="1955"/>
      <c r="CL10" s="1955"/>
      <c r="CM10" s="1955"/>
      <c r="CN10" s="1955"/>
      <c r="CO10" s="1955"/>
      <c r="CP10" s="1955"/>
      <c r="CQ10" s="1955"/>
      <c r="CR10" s="1955"/>
      <c r="CS10" s="1955"/>
      <c r="CT10" s="1955"/>
      <c r="CU10" s="1955"/>
      <c r="CV10" s="1955"/>
      <c r="CW10" s="1955"/>
      <c r="CX10" s="1955"/>
      <c r="CY10" s="1955"/>
      <c r="CZ10" s="1955"/>
      <c r="DA10" s="1955"/>
      <c r="DB10" s="1955"/>
      <c r="DC10" s="1955"/>
      <c r="DD10" s="1955"/>
      <c r="DE10" s="1955"/>
      <c r="DF10" s="1955"/>
    </row>
    <row r="11" spans="1:110" customFormat="1" ht="15.75">
      <c r="A11" s="1966" t="s">
        <v>11246</v>
      </c>
      <c r="B11" s="1967" t="s">
        <v>3409</v>
      </c>
      <c r="C11" s="5232"/>
      <c r="D11" s="5234"/>
      <c r="E11" s="5234"/>
      <c r="F11" s="5234"/>
      <c r="G11" s="5234"/>
      <c r="H11" s="5234"/>
      <c r="I11" s="5234"/>
      <c r="J11" s="5234"/>
      <c r="K11" s="5234"/>
      <c r="L11" s="5234"/>
      <c r="M11" s="5234"/>
      <c r="N11" s="5225"/>
      <c r="O11" s="5236"/>
      <c r="P11" s="5232"/>
      <c r="Q11" s="5234"/>
      <c r="R11" s="5234"/>
      <c r="S11" s="5193"/>
      <c r="T11" s="5234"/>
      <c r="U11" s="5193"/>
      <c r="V11" s="5234"/>
      <c r="W11" s="5193"/>
      <c r="X11" s="5193"/>
      <c r="Y11" s="5240"/>
      <c r="Z11" s="5239"/>
      <c r="AA11" s="5193"/>
      <c r="AB11" s="5193"/>
      <c r="AC11" s="5193"/>
      <c r="AD11" s="1968" t="s">
        <v>11256</v>
      </c>
      <c r="AE11" s="1968" t="s">
        <v>11264</v>
      </c>
      <c r="AF11" s="1968" t="s">
        <v>11265</v>
      </c>
      <c r="AG11" s="1968" t="s">
        <v>11238</v>
      </c>
      <c r="AH11" s="1968" t="s">
        <v>11266</v>
      </c>
      <c r="AI11" s="1968" t="s">
        <v>11267</v>
      </c>
      <c r="AJ11" s="1968" t="s">
        <v>11268</v>
      </c>
      <c r="AK11" s="1968" t="s">
        <v>11269</v>
      </c>
      <c r="AL11" s="2004" t="s">
        <v>11270</v>
      </c>
      <c r="AM11" s="5285"/>
      <c r="AN11" s="5193"/>
      <c r="AO11" s="5193"/>
      <c r="AP11" s="5193"/>
      <c r="AQ11" s="5193"/>
      <c r="AR11" s="5215"/>
      <c r="AS11" s="1966" t="s">
        <v>11246</v>
      </c>
      <c r="AT11" s="1967" t="s">
        <v>3409</v>
      </c>
      <c r="AU11" s="1955"/>
      <c r="AV11" s="1955"/>
      <c r="AW11" s="1955"/>
      <c r="AX11" s="1955"/>
      <c r="AY11" s="1955"/>
      <c r="AZ11" s="1955"/>
      <c r="BA11" s="1955"/>
      <c r="BB11" s="1955"/>
      <c r="BC11" s="1955"/>
      <c r="BD11" s="1955"/>
      <c r="BE11" s="1955"/>
      <c r="BF11" s="1955"/>
      <c r="BG11" s="1955"/>
      <c r="BH11" s="1955"/>
      <c r="BI11" s="1955"/>
      <c r="BJ11" s="1955"/>
      <c r="BK11" s="1955"/>
      <c r="BL11" s="1955"/>
      <c r="BM11" s="1955"/>
      <c r="BN11" s="1955"/>
      <c r="BO11" s="1955"/>
      <c r="BP11" s="1955"/>
      <c r="BQ11" s="1955"/>
      <c r="BR11" s="1955"/>
      <c r="BS11" s="1955"/>
      <c r="BT11" s="1955"/>
      <c r="BU11" s="1955"/>
      <c r="BV11" s="1955"/>
      <c r="BW11" s="1955"/>
      <c r="BX11" s="1955"/>
      <c r="BY11" s="1955"/>
      <c r="BZ11" s="1955"/>
      <c r="CA11" s="1955"/>
      <c r="CB11" s="1955"/>
      <c r="CC11" s="1955"/>
      <c r="CD11" s="1955"/>
      <c r="CE11" s="1955"/>
      <c r="CF11" s="1955"/>
      <c r="CG11" s="1955"/>
      <c r="CH11" s="1955"/>
      <c r="CI11" s="1955"/>
      <c r="CJ11" s="1955"/>
      <c r="CK11" s="1955"/>
      <c r="CL11" s="1955"/>
      <c r="CM11" s="1955"/>
      <c r="CN11" s="1955"/>
      <c r="CO11" s="1955"/>
      <c r="CP11" s="1955"/>
      <c r="CQ11" s="1955"/>
      <c r="CR11" s="1955"/>
      <c r="CS11" s="1955"/>
      <c r="CT11" s="1955"/>
      <c r="CU11" s="1955"/>
      <c r="CV11" s="1955"/>
      <c r="CW11" s="1955"/>
      <c r="CX11" s="1955"/>
      <c r="CY11" s="1955"/>
      <c r="CZ11" s="1955"/>
      <c r="DA11" s="1955"/>
      <c r="DB11" s="1955"/>
      <c r="DC11" s="1955"/>
      <c r="DD11" s="1955"/>
      <c r="DE11" s="1955"/>
      <c r="DF11" s="1955"/>
    </row>
    <row r="12" spans="1:110" customFormat="1" ht="15.6" customHeight="1">
      <c r="A12" s="1966" t="s">
        <v>3409</v>
      </c>
      <c r="B12" s="1967" t="s">
        <v>3420</v>
      </c>
      <c r="C12" s="1966" t="s">
        <v>11271</v>
      </c>
      <c r="D12" s="1968" t="s">
        <v>11272</v>
      </c>
      <c r="E12" s="1968" t="s">
        <v>11273</v>
      </c>
      <c r="F12" s="1968"/>
      <c r="G12" s="5279" t="s">
        <v>11213</v>
      </c>
      <c r="H12" s="5279" t="s">
        <v>11229</v>
      </c>
      <c r="I12" s="5279"/>
      <c r="J12" s="5279" t="s">
        <v>11216</v>
      </c>
      <c r="K12" s="5279"/>
      <c r="L12" s="5279" t="s">
        <v>11274</v>
      </c>
      <c r="M12" s="5279" t="s">
        <v>11095</v>
      </c>
      <c r="N12" s="5225"/>
      <c r="O12" s="5236"/>
      <c r="P12" s="5232" t="s">
        <v>11180</v>
      </c>
      <c r="Q12" s="5234" t="s">
        <v>11179</v>
      </c>
      <c r="R12" s="5234" t="s">
        <v>11275</v>
      </c>
      <c r="S12" s="5288" t="s">
        <v>11252</v>
      </c>
      <c r="T12" s="5234"/>
      <c r="U12" s="5288" t="s">
        <v>11276</v>
      </c>
      <c r="V12" s="5234" t="s">
        <v>11277</v>
      </c>
      <c r="W12" s="5288" t="s">
        <v>11278</v>
      </c>
      <c r="X12" s="5288" t="s">
        <v>11095</v>
      </c>
      <c r="Y12" s="5240"/>
      <c r="Z12" s="5239"/>
      <c r="AA12" s="5288" t="s">
        <v>11191</v>
      </c>
      <c r="AB12" s="5288" t="s">
        <v>11223</v>
      </c>
      <c r="AC12" s="5288" t="s">
        <v>11279</v>
      </c>
      <c r="AD12" s="1968" t="s">
        <v>11264</v>
      </c>
      <c r="AE12" s="1968" t="s">
        <v>11194</v>
      </c>
      <c r="AF12" s="1968" t="s">
        <v>11280</v>
      </c>
      <c r="AG12" s="1968" t="s">
        <v>11210</v>
      </c>
      <c r="AH12" s="1968" t="s">
        <v>11281</v>
      </c>
      <c r="AI12" s="1968" t="s">
        <v>11282</v>
      </c>
      <c r="AJ12" s="1968" t="s">
        <v>11283</v>
      </c>
      <c r="AK12" s="1968" t="s">
        <v>11284</v>
      </c>
      <c r="AL12" s="2004" t="s">
        <v>11285</v>
      </c>
      <c r="AM12" s="5232" t="s">
        <v>11066</v>
      </c>
      <c r="AN12" s="5234" t="s">
        <v>11045</v>
      </c>
      <c r="AO12" s="5234" t="s">
        <v>11046</v>
      </c>
      <c r="AP12" s="5234" t="s">
        <v>11047</v>
      </c>
      <c r="AQ12" s="5234" t="s">
        <v>9828</v>
      </c>
      <c r="AR12" s="5235" t="s">
        <v>11097</v>
      </c>
      <c r="AS12" s="1966" t="s">
        <v>3409</v>
      </c>
      <c r="AT12" s="1967" t="s">
        <v>3420</v>
      </c>
      <c r="AU12" s="1955"/>
      <c r="AV12" s="1955"/>
      <c r="AW12" s="1955"/>
      <c r="AX12" s="1955"/>
      <c r="AY12" s="1955"/>
      <c r="AZ12" s="1955"/>
      <c r="BA12" s="1955"/>
      <c r="BB12" s="1955"/>
      <c r="BC12" s="1955"/>
      <c r="BD12" s="1955"/>
      <c r="BE12" s="1955"/>
      <c r="BF12" s="1955"/>
      <c r="BG12" s="1955"/>
      <c r="BH12" s="1955"/>
      <c r="BI12" s="1955"/>
      <c r="BJ12" s="1955"/>
      <c r="BK12" s="1955"/>
      <c r="BL12" s="1955"/>
      <c r="BM12" s="1955"/>
      <c r="BN12" s="1955"/>
      <c r="BO12" s="1955"/>
      <c r="BP12" s="1955"/>
      <c r="BQ12" s="1955"/>
      <c r="BR12" s="1955"/>
      <c r="BS12" s="1955"/>
      <c r="BT12" s="1955"/>
      <c r="BU12" s="1955"/>
      <c r="BV12" s="1955"/>
      <c r="BW12" s="1955"/>
      <c r="BX12" s="1955"/>
      <c r="BY12" s="1955"/>
      <c r="BZ12" s="1955"/>
      <c r="CA12" s="1955"/>
      <c r="CB12" s="1955"/>
      <c r="CC12" s="1955"/>
      <c r="CD12" s="1955"/>
      <c r="CE12" s="1955"/>
      <c r="CF12" s="1955"/>
      <c r="CG12" s="1955"/>
      <c r="CH12" s="1955"/>
      <c r="CI12" s="1955"/>
      <c r="CJ12" s="1955"/>
      <c r="CK12" s="1955"/>
      <c r="CL12" s="1955"/>
      <c r="CM12" s="1955"/>
      <c r="CN12" s="1955"/>
      <c r="CO12" s="1955"/>
      <c r="CP12" s="1955"/>
      <c r="CQ12" s="1955"/>
      <c r="CR12" s="1955"/>
      <c r="CS12" s="1955"/>
      <c r="CT12" s="1955"/>
      <c r="CU12" s="1955"/>
      <c r="CV12" s="1955"/>
      <c r="CW12" s="1955"/>
      <c r="CX12" s="1955"/>
      <c r="CY12" s="1955"/>
      <c r="CZ12" s="1955"/>
      <c r="DA12" s="1955"/>
      <c r="DB12" s="1955"/>
      <c r="DC12" s="1955"/>
      <c r="DD12" s="1955"/>
      <c r="DE12" s="1955"/>
      <c r="DF12" s="1955"/>
    </row>
    <row r="13" spans="1:110" customFormat="1" ht="15.75">
      <c r="A13" s="1966" t="s">
        <v>3420</v>
      </c>
      <c r="B13" s="1967" t="s">
        <v>3431</v>
      </c>
      <c r="C13" s="1966" t="s">
        <v>11286</v>
      </c>
      <c r="D13" s="1968" t="s">
        <v>11287</v>
      </c>
      <c r="E13" s="1968" t="s">
        <v>11288</v>
      </c>
      <c r="F13" s="1968"/>
      <c r="G13" s="5280"/>
      <c r="H13" s="5280"/>
      <c r="I13" s="5280"/>
      <c r="J13" s="5280"/>
      <c r="K13" s="5280"/>
      <c r="L13" s="5280"/>
      <c r="M13" s="5280"/>
      <c r="N13" s="5225"/>
      <c r="O13" s="5236"/>
      <c r="P13" s="5232"/>
      <c r="Q13" s="5234"/>
      <c r="R13" s="5234"/>
      <c r="S13" s="5193"/>
      <c r="T13" s="5234"/>
      <c r="U13" s="5193"/>
      <c r="V13" s="5234"/>
      <c r="W13" s="5193"/>
      <c r="X13" s="5193"/>
      <c r="Y13" s="5240"/>
      <c r="Z13" s="5239"/>
      <c r="AA13" s="5193"/>
      <c r="AB13" s="5193"/>
      <c r="AC13" s="5193"/>
      <c r="AD13" s="1968" t="s">
        <v>11258</v>
      </c>
      <c r="AE13" s="1968" t="s">
        <v>11289</v>
      </c>
      <c r="AF13" s="1968" t="s">
        <v>11290</v>
      </c>
      <c r="AG13" s="1968" t="s">
        <v>11226</v>
      </c>
      <c r="AH13" s="1968" t="s">
        <v>11291</v>
      </c>
      <c r="AI13" s="1968" t="s">
        <v>11262</v>
      </c>
      <c r="AJ13" s="1968" t="s">
        <v>11292</v>
      </c>
      <c r="AK13" s="1968" t="s">
        <v>11293</v>
      </c>
      <c r="AL13" s="2004" t="s">
        <v>11294</v>
      </c>
      <c r="AM13" s="5285"/>
      <c r="AN13" s="5193"/>
      <c r="AO13" s="5193"/>
      <c r="AP13" s="5193"/>
      <c r="AQ13" s="5193"/>
      <c r="AR13" s="5215"/>
      <c r="AS13" s="1966" t="s">
        <v>3420</v>
      </c>
      <c r="AT13" s="1967" t="s">
        <v>3431</v>
      </c>
      <c r="AU13" s="1955"/>
      <c r="AV13" s="1955"/>
      <c r="AW13" s="1955"/>
      <c r="AX13" s="1955"/>
      <c r="AY13" s="1955"/>
      <c r="AZ13" s="1955"/>
      <c r="BA13" s="1955"/>
      <c r="BB13" s="1955"/>
      <c r="BC13" s="1955"/>
      <c r="BD13" s="1955"/>
      <c r="BE13" s="1955"/>
      <c r="BF13" s="1955"/>
      <c r="BG13" s="1955"/>
      <c r="BH13" s="1955"/>
      <c r="BI13" s="1955"/>
      <c r="BJ13" s="1955"/>
      <c r="BK13" s="1955"/>
      <c r="BL13" s="1955"/>
      <c r="BM13" s="1955"/>
      <c r="BN13" s="1955"/>
      <c r="BO13" s="1955"/>
      <c r="BP13" s="1955"/>
      <c r="BQ13" s="1955"/>
      <c r="BR13" s="1955"/>
      <c r="BS13" s="1955"/>
      <c r="BT13" s="1955"/>
      <c r="BU13" s="1955"/>
      <c r="BV13" s="1955"/>
      <c r="BW13" s="1955"/>
      <c r="BX13" s="1955"/>
      <c r="BY13" s="1955"/>
      <c r="BZ13" s="1955"/>
      <c r="CA13" s="1955"/>
      <c r="CB13" s="1955"/>
      <c r="CC13" s="1955"/>
      <c r="CD13" s="1955"/>
      <c r="CE13" s="1955"/>
      <c r="CF13" s="1955"/>
      <c r="CG13" s="1955"/>
      <c r="CH13" s="1955"/>
      <c r="CI13" s="1955"/>
      <c r="CJ13" s="1955"/>
      <c r="CK13" s="1955"/>
      <c r="CL13" s="1955"/>
      <c r="CM13" s="1955"/>
      <c r="CN13" s="1955"/>
      <c r="CO13" s="1955"/>
      <c r="CP13" s="1955"/>
      <c r="CQ13" s="1955"/>
      <c r="CR13" s="1955"/>
      <c r="CS13" s="1955"/>
      <c r="CT13" s="1955"/>
      <c r="CU13" s="1955"/>
      <c r="CV13" s="1955"/>
      <c r="CW13" s="1955"/>
      <c r="CX13" s="1955"/>
      <c r="CY13" s="1955"/>
      <c r="CZ13" s="1955"/>
      <c r="DA13" s="1955"/>
      <c r="DB13" s="1955"/>
      <c r="DC13" s="1955"/>
      <c r="DD13" s="1955"/>
      <c r="DE13" s="1955"/>
      <c r="DF13" s="1955"/>
    </row>
    <row r="14" spans="1:110" customFormat="1" ht="15.6" customHeight="1">
      <c r="A14" s="1966" t="s">
        <v>3431</v>
      </c>
      <c r="B14" s="1967" t="s">
        <v>11295</v>
      </c>
      <c r="C14" s="1966" t="s">
        <v>11296</v>
      </c>
      <c r="D14" s="1968" t="s">
        <v>11297</v>
      </c>
      <c r="E14" s="1968" t="s">
        <v>11175</v>
      </c>
      <c r="F14" s="1968"/>
      <c r="G14" s="5279" t="s">
        <v>11298</v>
      </c>
      <c r="H14" s="5279" t="s">
        <v>11176</v>
      </c>
      <c r="I14" s="5279"/>
      <c r="J14" s="5279" t="s">
        <v>11197</v>
      </c>
      <c r="K14" s="5279"/>
      <c r="L14" s="5279" t="s">
        <v>11180</v>
      </c>
      <c r="M14" s="5279" t="s">
        <v>11095</v>
      </c>
      <c r="N14" s="5225"/>
      <c r="O14" s="5236"/>
      <c r="P14" s="5232" t="s">
        <v>11218</v>
      </c>
      <c r="Q14" s="5234" t="s">
        <v>11217</v>
      </c>
      <c r="R14" s="5234" t="s">
        <v>11299</v>
      </c>
      <c r="S14" s="5288" t="s">
        <v>11252</v>
      </c>
      <c r="T14" s="5234"/>
      <c r="U14" s="5288" t="s">
        <v>11300</v>
      </c>
      <c r="V14" s="5234" t="s">
        <v>11301</v>
      </c>
      <c r="W14" s="5288" t="s">
        <v>11302</v>
      </c>
      <c r="X14" s="5288" t="s">
        <v>11095</v>
      </c>
      <c r="Y14" s="5240"/>
      <c r="Z14" s="5239"/>
      <c r="AA14" s="5288" t="s">
        <v>11192</v>
      </c>
      <c r="AB14" s="1968" t="s">
        <v>11256</v>
      </c>
      <c r="AC14" s="1968" t="s">
        <v>11303</v>
      </c>
      <c r="AD14" s="1968" t="s">
        <v>11304</v>
      </c>
      <c r="AE14" s="1968" t="s">
        <v>11305</v>
      </c>
      <c r="AF14" s="1968" t="s">
        <v>11306</v>
      </c>
      <c r="AG14" s="1968" t="s">
        <v>11307</v>
      </c>
      <c r="AH14" s="1968" t="s">
        <v>11308</v>
      </c>
      <c r="AI14" s="1968" t="s">
        <v>11309</v>
      </c>
      <c r="AJ14" s="1968" t="s">
        <v>11310</v>
      </c>
      <c r="AK14" s="1968" t="s">
        <v>11311</v>
      </c>
      <c r="AL14" s="2004" t="s">
        <v>11312</v>
      </c>
      <c r="AM14" s="5232" t="s">
        <v>11044</v>
      </c>
      <c r="AN14" s="5234" t="s">
        <v>11045</v>
      </c>
      <c r="AO14" s="5234" t="s">
        <v>11047</v>
      </c>
      <c r="AP14" s="5234" t="s">
        <v>11048</v>
      </c>
      <c r="AQ14" s="5234" t="s">
        <v>11050</v>
      </c>
      <c r="AR14" s="5235" t="s">
        <v>11063</v>
      </c>
      <c r="AS14" s="1966" t="s">
        <v>3431</v>
      </c>
      <c r="AT14" s="1967" t="s">
        <v>11295</v>
      </c>
      <c r="AU14" s="1955"/>
      <c r="AV14" s="1955"/>
      <c r="AW14" s="1955"/>
      <c r="AX14" s="1955"/>
      <c r="AY14" s="1955"/>
      <c r="AZ14" s="1955"/>
      <c r="BA14" s="1955"/>
      <c r="BB14" s="1955"/>
      <c r="BC14" s="1955"/>
      <c r="BD14" s="1955"/>
      <c r="BE14" s="1955"/>
      <c r="BF14" s="1955"/>
      <c r="BG14" s="1955"/>
      <c r="BH14" s="1955"/>
      <c r="BI14" s="1955"/>
      <c r="BJ14" s="1955"/>
      <c r="BK14" s="1955"/>
      <c r="BL14" s="1955"/>
      <c r="BM14" s="1955"/>
      <c r="BN14" s="1955"/>
      <c r="BO14" s="1955"/>
      <c r="BP14" s="1955"/>
      <c r="BQ14" s="1955"/>
      <c r="BR14" s="1955"/>
      <c r="BS14" s="1955"/>
      <c r="BT14" s="1955"/>
      <c r="BU14" s="1955"/>
      <c r="BV14" s="1955"/>
      <c r="BW14" s="1955"/>
      <c r="BX14" s="1955"/>
      <c r="BY14" s="1955"/>
      <c r="BZ14" s="1955"/>
      <c r="CA14" s="1955"/>
      <c r="CB14" s="1955"/>
      <c r="CC14" s="1955"/>
      <c r="CD14" s="1955"/>
      <c r="CE14" s="1955"/>
      <c r="CF14" s="1955"/>
      <c r="CG14" s="1955"/>
      <c r="CH14" s="1955"/>
      <c r="CI14" s="1955"/>
      <c r="CJ14" s="1955"/>
      <c r="CK14" s="1955"/>
      <c r="CL14" s="1955"/>
      <c r="CM14" s="1955"/>
      <c r="CN14" s="1955"/>
      <c r="CO14" s="1955"/>
      <c r="CP14" s="1955"/>
      <c r="CQ14" s="1955"/>
      <c r="CR14" s="1955"/>
      <c r="CS14" s="1955"/>
      <c r="CT14" s="1955"/>
      <c r="CU14" s="1955"/>
      <c r="CV14" s="1955"/>
      <c r="CW14" s="1955"/>
      <c r="CX14" s="1955"/>
      <c r="CY14" s="1955"/>
      <c r="CZ14" s="1955"/>
      <c r="DA14" s="1955"/>
      <c r="DB14" s="1955"/>
      <c r="DC14" s="1955"/>
      <c r="DD14" s="1955"/>
      <c r="DE14" s="1955"/>
      <c r="DF14" s="1955"/>
    </row>
    <row r="15" spans="1:110" customFormat="1" ht="15.75">
      <c r="A15" s="1966" t="s">
        <v>11295</v>
      </c>
      <c r="B15" s="1967" t="s">
        <v>11068</v>
      </c>
      <c r="C15" s="1966" t="s">
        <v>11313</v>
      </c>
      <c r="D15" s="1968" t="s">
        <v>11314</v>
      </c>
      <c r="E15" s="1968" t="s">
        <v>11212</v>
      </c>
      <c r="F15" s="1968"/>
      <c r="G15" s="5280"/>
      <c r="H15" s="5280"/>
      <c r="I15" s="5280"/>
      <c r="J15" s="5280"/>
      <c r="K15" s="5280"/>
      <c r="L15" s="5280"/>
      <c r="M15" s="5280"/>
      <c r="N15" s="5225"/>
      <c r="O15" s="5236"/>
      <c r="P15" s="5232"/>
      <c r="Q15" s="5234"/>
      <c r="R15" s="5234"/>
      <c r="S15" s="5193"/>
      <c r="T15" s="5234"/>
      <c r="U15" s="5193"/>
      <c r="V15" s="5234"/>
      <c r="W15" s="5193"/>
      <c r="X15" s="5193"/>
      <c r="Y15" s="5240"/>
      <c r="Z15" s="5239"/>
      <c r="AA15" s="5193"/>
      <c r="AB15" s="1997">
        <v>-43</v>
      </c>
      <c r="AC15" s="1968" t="s">
        <v>11315</v>
      </c>
      <c r="AD15" s="1968" t="s">
        <v>11266</v>
      </c>
      <c r="AE15" s="1968" t="s">
        <v>11306</v>
      </c>
      <c r="AF15" s="1968" t="s">
        <v>11316</v>
      </c>
      <c r="AG15" s="1968" t="s">
        <v>11317</v>
      </c>
      <c r="AH15" s="1968" t="s">
        <v>11318</v>
      </c>
      <c r="AI15" s="1968" t="s">
        <v>11319</v>
      </c>
      <c r="AJ15" s="1968" t="s">
        <v>11285</v>
      </c>
      <c r="AK15" s="1968" t="s">
        <v>11320</v>
      </c>
      <c r="AL15" s="2004" t="s">
        <v>11321</v>
      </c>
      <c r="AM15" s="5285"/>
      <c r="AN15" s="5193"/>
      <c r="AO15" s="5193"/>
      <c r="AP15" s="5193"/>
      <c r="AQ15" s="5193"/>
      <c r="AR15" s="5215"/>
      <c r="AS15" s="1966" t="s">
        <v>11295</v>
      </c>
      <c r="AT15" s="1967" t="s">
        <v>11068</v>
      </c>
      <c r="AU15" s="1955"/>
      <c r="AV15" s="1955"/>
      <c r="AW15" s="1955"/>
      <c r="AX15" s="1955"/>
      <c r="AY15" s="1955"/>
      <c r="AZ15" s="1955"/>
      <c r="BA15" s="1955"/>
      <c r="BB15" s="1955"/>
      <c r="BC15" s="1955"/>
      <c r="BD15" s="1955"/>
      <c r="BE15" s="1955"/>
      <c r="BF15" s="1955"/>
      <c r="BG15" s="1955"/>
      <c r="BH15" s="1955"/>
      <c r="BI15" s="1955"/>
      <c r="BJ15" s="1955"/>
      <c r="BK15" s="1955"/>
      <c r="BL15" s="1955"/>
      <c r="BM15" s="1955"/>
      <c r="BN15" s="1955"/>
      <c r="BO15" s="1955"/>
      <c r="BP15" s="1955"/>
      <c r="BQ15" s="1955"/>
      <c r="BR15" s="1955"/>
      <c r="BS15" s="1955"/>
      <c r="BT15" s="1955"/>
      <c r="BU15" s="1955"/>
      <c r="BV15" s="1955"/>
      <c r="BW15" s="1955"/>
      <c r="BX15" s="1955"/>
      <c r="BY15" s="1955"/>
      <c r="BZ15" s="1955"/>
      <c r="CA15" s="1955"/>
      <c r="CB15" s="1955"/>
      <c r="CC15" s="1955"/>
      <c r="CD15" s="1955"/>
      <c r="CE15" s="1955"/>
      <c r="CF15" s="1955"/>
      <c r="CG15" s="1955"/>
      <c r="CH15" s="1955"/>
      <c r="CI15" s="1955"/>
      <c r="CJ15" s="1955"/>
      <c r="CK15" s="1955"/>
      <c r="CL15" s="1955"/>
      <c r="CM15" s="1955"/>
      <c r="CN15" s="1955"/>
      <c r="CO15" s="1955"/>
      <c r="CP15" s="1955"/>
      <c r="CQ15" s="1955"/>
      <c r="CR15" s="1955"/>
      <c r="CS15" s="1955"/>
      <c r="CT15" s="1955"/>
      <c r="CU15" s="1955"/>
      <c r="CV15" s="1955"/>
      <c r="CW15" s="1955"/>
      <c r="CX15" s="1955"/>
      <c r="CY15" s="1955"/>
      <c r="CZ15" s="1955"/>
      <c r="DA15" s="1955"/>
      <c r="DB15" s="1955"/>
      <c r="DC15" s="1955"/>
      <c r="DD15" s="1955"/>
      <c r="DE15" s="1955"/>
      <c r="DF15" s="1955"/>
    </row>
    <row r="16" spans="1:110" customFormat="1" ht="15.6" customHeight="1">
      <c r="A16" s="1966" t="s">
        <v>11068</v>
      </c>
      <c r="B16" s="1967" t="s">
        <v>11071</v>
      </c>
      <c r="C16" s="1966" t="s">
        <v>11322</v>
      </c>
      <c r="D16" s="1968" t="s">
        <v>11323</v>
      </c>
      <c r="E16" s="1968" t="s">
        <v>11272</v>
      </c>
      <c r="F16" s="1968"/>
      <c r="G16" s="5279" t="s">
        <v>11273</v>
      </c>
      <c r="H16" s="5279" t="s">
        <v>11324</v>
      </c>
      <c r="I16" s="5279"/>
      <c r="J16" s="5279" t="s">
        <v>11325</v>
      </c>
      <c r="K16" s="5279"/>
      <c r="L16" s="5279" t="s">
        <v>11220</v>
      </c>
      <c r="M16" s="5279" t="s">
        <v>11095</v>
      </c>
      <c r="N16" s="5225"/>
      <c r="O16" s="5236"/>
      <c r="P16" s="5232" t="s">
        <v>11231</v>
      </c>
      <c r="Q16" s="5234" t="s">
        <v>11326</v>
      </c>
      <c r="R16" s="5234" t="s">
        <v>11177</v>
      </c>
      <c r="S16" s="5288" t="s">
        <v>11327</v>
      </c>
      <c r="T16" s="5234"/>
      <c r="U16" s="5288" t="s">
        <v>11328</v>
      </c>
      <c r="V16" s="5234" t="s">
        <v>11329</v>
      </c>
      <c r="W16" s="5288" t="s">
        <v>11330</v>
      </c>
      <c r="X16" s="5288" t="s">
        <v>11095</v>
      </c>
      <c r="Y16" s="5240"/>
      <c r="Z16" s="5239"/>
      <c r="AA16" s="5288" t="s">
        <v>11331</v>
      </c>
      <c r="AB16" s="1968" t="s">
        <v>11332</v>
      </c>
      <c r="AC16" s="1968" t="s">
        <v>11333</v>
      </c>
      <c r="AD16" s="1968" t="s">
        <v>11334</v>
      </c>
      <c r="AE16" s="1968" t="s">
        <v>11335</v>
      </c>
      <c r="AF16" s="1968" t="s">
        <v>11317</v>
      </c>
      <c r="AG16" s="1968" t="s">
        <v>11336</v>
      </c>
      <c r="AH16" s="1968" t="s">
        <v>11337</v>
      </c>
      <c r="AI16" s="1968" t="s">
        <v>11338</v>
      </c>
      <c r="AJ16" s="1968" t="s">
        <v>11339</v>
      </c>
      <c r="AK16" s="1968" t="s">
        <v>11340</v>
      </c>
      <c r="AL16" s="2004" t="s">
        <v>11341</v>
      </c>
      <c r="AM16" s="5232" t="s">
        <v>11044</v>
      </c>
      <c r="AN16" s="5234" t="s">
        <v>11046</v>
      </c>
      <c r="AO16" s="5234" t="s">
        <v>11047</v>
      </c>
      <c r="AP16" s="5234" t="s">
        <v>11049</v>
      </c>
      <c r="AQ16" s="5234" t="s">
        <v>11105</v>
      </c>
      <c r="AR16" s="5235" t="s">
        <v>11111</v>
      </c>
      <c r="AS16" s="1966" t="s">
        <v>11068</v>
      </c>
      <c r="AT16" s="1967" t="s">
        <v>11071</v>
      </c>
      <c r="AU16" s="1955"/>
      <c r="AV16" s="1955"/>
      <c r="AW16" s="1955"/>
      <c r="AX16" s="1955"/>
      <c r="AY16" s="1955"/>
      <c r="AZ16" s="1955"/>
      <c r="BA16" s="1955"/>
      <c r="BB16" s="1955"/>
      <c r="BC16" s="1955"/>
      <c r="BD16" s="1955"/>
      <c r="BE16" s="1955"/>
      <c r="BF16" s="1955"/>
      <c r="BG16" s="1955"/>
      <c r="BH16" s="1955"/>
      <c r="BI16" s="1955"/>
      <c r="BJ16" s="1955"/>
      <c r="BK16" s="1955"/>
      <c r="BL16" s="1955"/>
      <c r="BM16" s="1955"/>
      <c r="BN16" s="1955"/>
      <c r="BO16" s="1955"/>
      <c r="BP16" s="1955"/>
      <c r="BQ16" s="1955"/>
      <c r="BR16" s="1955"/>
      <c r="BS16" s="1955"/>
      <c r="BT16" s="1955"/>
      <c r="BU16" s="1955"/>
      <c r="BV16" s="1955"/>
      <c r="BW16" s="1955"/>
      <c r="BX16" s="1955"/>
      <c r="BY16" s="1955"/>
      <c r="BZ16" s="1955"/>
      <c r="CA16" s="1955"/>
      <c r="CB16" s="1955"/>
      <c r="CC16" s="1955"/>
      <c r="CD16" s="1955"/>
      <c r="CE16" s="1955"/>
      <c r="CF16" s="1955"/>
      <c r="CG16" s="1955"/>
      <c r="CH16" s="1955"/>
      <c r="CI16" s="1955"/>
      <c r="CJ16" s="1955"/>
      <c r="CK16" s="1955"/>
      <c r="CL16" s="1955"/>
      <c r="CM16" s="1955"/>
      <c r="CN16" s="1955"/>
      <c r="CO16" s="1955"/>
      <c r="CP16" s="1955"/>
      <c r="CQ16" s="1955"/>
      <c r="CR16" s="1955"/>
      <c r="CS16" s="1955"/>
      <c r="CT16" s="1955"/>
      <c r="CU16" s="1955"/>
      <c r="CV16" s="1955"/>
      <c r="CW16" s="1955"/>
      <c r="CX16" s="1955"/>
      <c r="CY16" s="1955"/>
      <c r="CZ16" s="1955"/>
      <c r="DA16" s="1955"/>
      <c r="DB16" s="1955"/>
      <c r="DC16" s="1955"/>
      <c r="DD16" s="1955"/>
      <c r="DE16" s="1955"/>
      <c r="DF16" s="1955"/>
    </row>
    <row r="17" spans="1:110" customFormat="1" ht="15.75">
      <c r="A17" s="1966" t="s">
        <v>11071</v>
      </c>
      <c r="B17" s="1967" t="s">
        <v>11073</v>
      </c>
      <c r="C17" s="1966" t="s">
        <v>11342</v>
      </c>
      <c r="D17" s="1968" t="s">
        <v>11343</v>
      </c>
      <c r="E17" s="1968" t="s">
        <v>11287</v>
      </c>
      <c r="F17" s="1968"/>
      <c r="G17" s="5280"/>
      <c r="H17" s="5280"/>
      <c r="I17" s="5280"/>
      <c r="J17" s="5280"/>
      <c r="K17" s="5280"/>
      <c r="L17" s="5280"/>
      <c r="M17" s="5280"/>
      <c r="N17" s="5225"/>
      <c r="O17" s="5236"/>
      <c r="P17" s="5232"/>
      <c r="Q17" s="5234"/>
      <c r="R17" s="5234"/>
      <c r="S17" s="5193"/>
      <c r="T17" s="5234"/>
      <c r="U17" s="5193"/>
      <c r="V17" s="5234"/>
      <c r="W17" s="5193"/>
      <c r="X17" s="5193"/>
      <c r="Y17" s="5240"/>
      <c r="Z17" s="5239"/>
      <c r="AA17" s="5193"/>
      <c r="AB17" s="1997">
        <v>-54</v>
      </c>
      <c r="AC17" s="1968" t="s">
        <v>11344</v>
      </c>
      <c r="AD17" s="1968" t="s">
        <v>11345</v>
      </c>
      <c r="AE17" s="1968" t="s">
        <v>11308</v>
      </c>
      <c r="AF17" s="1968" t="s">
        <v>11309</v>
      </c>
      <c r="AG17" s="1968" t="s">
        <v>11319</v>
      </c>
      <c r="AH17" s="1968" t="s">
        <v>11346</v>
      </c>
      <c r="AI17" s="1968" t="s">
        <v>11347</v>
      </c>
      <c r="AJ17" s="1968" t="s">
        <v>11348</v>
      </c>
      <c r="AK17" s="1968" t="s">
        <v>11349</v>
      </c>
      <c r="AL17" s="2004" t="s">
        <v>11350</v>
      </c>
      <c r="AM17" s="5285"/>
      <c r="AN17" s="5193"/>
      <c r="AO17" s="5193"/>
      <c r="AP17" s="5193"/>
      <c r="AQ17" s="5193"/>
      <c r="AR17" s="5215"/>
      <c r="AS17" s="1966" t="s">
        <v>11071</v>
      </c>
      <c r="AT17" s="1967" t="s">
        <v>11073</v>
      </c>
      <c r="AU17" s="1955"/>
      <c r="AV17" s="1955"/>
      <c r="AW17" s="1955"/>
      <c r="AX17" s="1955"/>
      <c r="AY17" s="1955"/>
      <c r="AZ17" s="1955"/>
      <c r="BA17" s="1955"/>
      <c r="BB17" s="1955"/>
      <c r="BC17" s="1955"/>
      <c r="BD17" s="1955"/>
      <c r="BE17" s="1955"/>
      <c r="BF17" s="1955"/>
      <c r="BG17" s="1955"/>
      <c r="BH17" s="1955"/>
      <c r="BI17" s="1955"/>
      <c r="BJ17" s="1955"/>
      <c r="BK17" s="1955"/>
      <c r="BL17" s="1955"/>
      <c r="BM17" s="1955"/>
      <c r="BN17" s="1955"/>
      <c r="BO17" s="1955"/>
      <c r="BP17" s="1955"/>
      <c r="BQ17" s="1955"/>
      <c r="BR17" s="1955"/>
      <c r="BS17" s="1955"/>
      <c r="BT17" s="1955"/>
      <c r="BU17" s="1955"/>
      <c r="BV17" s="1955"/>
      <c r="BW17" s="1955"/>
      <c r="BX17" s="1955"/>
      <c r="BY17" s="1955"/>
      <c r="BZ17" s="1955"/>
      <c r="CA17" s="1955"/>
      <c r="CB17" s="1955"/>
      <c r="CC17" s="1955"/>
      <c r="CD17" s="1955"/>
      <c r="CE17" s="1955"/>
      <c r="CF17" s="1955"/>
      <c r="CG17" s="1955"/>
      <c r="CH17" s="1955"/>
      <c r="CI17" s="1955"/>
      <c r="CJ17" s="1955"/>
      <c r="CK17" s="1955"/>
      <c r="CL17" s="1955"/>
      <c r="CM17" s="1955"/>
      <c r="CN17" s="1955"/>
      <c r="CO17" s="1955"/>
      <c r="CP17" s="1955"/>
      <c r="CQ17" s="1955"/>
      <c r="CR17" s="1955"/>
      <c r="CS17" s="1955"/>
      <c r="CT17" s="1955"/>
      <c r="CU17" s="1955"/>
      <c r="CV17" s="1955"/>
      <c r="CW17" s="1955"/>
      <c r="CX17" s="1955"/>
      <c r="CY17" s="1955"/>
      <c r="CZ17" s="1955"/>
      <c r="DA17" s="1955"/>
      <c r="DB17" s="1955"/>
      <c r="DC17" s="1955"/>
      <c r="DD17" s="1955"/>
      <c r="DE17" s="1955"/>
      <c r="DF17" s="1955"/>
    </row>
    <row r="18" spans="1:110" customFormat="1" ht="15.6" customHeight="1">
      <c r="A18" s="1966" t="s">
        <v>11073</v>
      </c>
      <c r="B18" s="1967" t="s">
        <v>11129</v>
      </c>
      <c r="C18" s="1966" t="s">
        <v>11351</v>
      </c>
      <c r="D18" s="1968" t="s">
        <v>11352</v>
      </c>
      <c r="E18" s="1968" t="s">
        <v>11314</v>
      </c>
      <c r="F18" s="1968"/>
      <c r="G18" s="5279" t="s">
        <v>11353</v>
      </c>
      <c r="H18" s="5279" t="s">
        <v>11354</v>
      </c>
      <c r="I18" s="5279"/>
      <c r="J18" s="5279" t="s">
        <v>11355</v>
      </c>
      <c r="K18" s="5279"/>
      <c r="L18" s="5279" t="s">
        <v>11179</v>
      </c>
      <c r="M18" s="5279" t="s">
        <v>11095</v>
      </c>
      <c r="N18" s="5225"/>
      <c r="O18" s="5236"/>
      <c r="P18" s="5232" t="s">
        <v>11217</v>
      </c>
      <c r="Q18" s="5234" t="s">
        <v>11356</v>
      </c>
      <c r="R18" s="5234" t="s">
        <v>11357</v>
      </c>
      <c r="S18" s="5288" t="s">
        <v>11327</v>
      </c>
      <c r="T18" s="5234"/>
      <c r="U18" s="5288" t="s">
        <v>11358</v>
      </c>
      <c r="V18" s="5234" t="s">
        <v>11203</v>
      </c>
      <c r="W18" s="5288" t="s">
        <v>11359</v>
      </c>
      <c r="X18" s="5288" t="s">
        <v>11095</v>
      </c>
      <c r="Y18" s="5240"/>
      <c r="Z18" s="5239"/>
      <c r="AA18" s="5288" t="s">
        <v>11279</v>
      </c>
      <c r="AB18" s="1968" t="s">
        <v>11259</v>
      </c>
      <c r="AC18" s="1968" t="s">
        <v>11360</v>
      </c>
      <c r="AD18" s="1968" t="s">
        <v>11307</v>
      </c>
      <c r="AE18" s="1968" t="s">
        <v>11361</v>
      </c>
      <c r="AF18" s="1968" t="s">
        <v>11362</v>
      </c>
      <c r="AG18" s="1968" t="s">
        <v>11363</v>
      </c>
      <c r="AH18" s="1968" t="s">
        <v>11311</v>
      </c>
      <c r="AI18" s="1968" t="s">
        <v>11364</v>
      </c>
      <c r="AJ18" s="1968" t="s">
        <v>11365</v>
      </c>
      <c r="AK18" s="1968" t="s">
        <v>11366</v>
      </c>
      <c r="AL18" s="2004" t="s">
        <v>11367</v>
      </c>
      <c r="AM18" s="5232" t="s">
        <v>11045</v>
      </c>
      <c r="AN18" s="5234" t="s">
        <v>11046</v>
      </c>
      <c r="AO18" s="5234" t="s">
        <v>11048</v>
      </c>
      <c r="AP18" s="5234" t="s">
        <v>11049</v>
      </c>
      <c r="AQ18" s="5234" t="s">
        <v>3394</v>
      </c>
      <c r="AR18" s="5235" t="s">
        <v>11123</v>
      </c>
      <c r="AS18" s="1966" t="s">
        <v>11073</v>
      </c>
      <c r="AT18" s="1967" t="s">
        <v>11129</v>
      </c>
      <c r="AU18" s="1955"/>
      <c r="AV18" s="1955"/>
      <c r="AW18" s="1955"/>
      <c r="AX18" s="1955"/>
      <c r="AY18" s="1955"/>
      <c r="AZ18" s="1955"/>
      <c r="BA18" s="1955"/>
      <c r="BB18" s="1955"/>
      <c r="BC18" s="1955"/>
      <c r="BD18" s="1955"/>
      <c r="BE18" s="1955"/>
      <c r="BF18" s="1955"/>
      <c r="BG18" s="1955"/>
      <c r="BH18" s="1955"/>
      <c r="BI18" s="1955"/>
      <c r="BJ18" s="1955"/>
      <c r="BK18" s="1955"/>
      <c r="BL18" s="1955"/>
      <c r="BM18" s="1955"/>
      <c r="BN18" s="1955"/>
      <c r="BO18" s="1955"/>
      <c r="BP18" s="1955"/>
      <c r="BQ18" s="1955"/>
      <c r="BR18" s="1955"/>
      <c r="BS18" s="1955"/>
      <c r="BT18" s="1955"/>
      <c r="BU18" s="1955"/>
      <c r="BV18" s="1955"/>
      <c r="BW18" s="1955"/>
      <c r="BX18" s="1955"/>
      <c r="BY18" s="1955"/>
      <c r="BZ18" s="1955"/>
      <c r="CA18" s="1955"/>
      <c r="CB18" s="1955"/>
      <c r="CC18" s="1955"/>
      <c r="CD18" s="1955"/>
      <c r="CE18" s="1955"/>
      <c r="CF18" s="1955"/>
      <c r="CG18" s="1955"/>
      <c r="CH18" s="1955"/>
      <c r="CI18" s="1955"/>
      <c r="CJ18" s="1955"/>
      <c r="CK18" s="1955"/>
      <c r="CL18" s="1955"/>
      <c r="CM18" s="1955"/>
      <c r="CN18" s="1955"/>
      <c r="CO18" s="1955"/>
      <c r="CP18" s="1955"/>
      <c r="CQ18" s="1955"/>
      <c r="CR18" s="1955"/>
      <c r="CS18" s="1955"/>
      <c r="CT18" s="1955"/>
      <c r="CU18" s="1955"/>
      <c r="CV18" s="1955"/>
      <c r="CW18" s="1955"/>
      <c r="CX18" s="1955"/>
      <c r="CY18" s="1955"/>
      <c r="CZ18" s="1955"/>
      <c r="DA18" s="1955"/>
      <c r="DB18" s="1955"/>
      <c r="DC18" s="1955"/>
      <c r="DD18" s="1955"/>
      <c r="DE18" s="1955"/>
      <c r="DF18" s="1955"/>
    </row>
    <row r="19" spans="1:110" customFormat="1" ht="15.75">
      <c r="A19" s="1966" t="s">
        <v>11129</v>
      </c>
      <c r="B19" s="1967" t="s">
        <v>11077</v>
      </c>
      <c r="C19" s="1966" t="s">
        <v>11368</v>
      </c>
      <c r="D19" s="1968" t="s">
        <v>11211</v>
      </c>
      <c r="E19" s="1968" t="s">
        <v>11369</v>
      </c>
      <c r="F19" s="1968"/>
      <c r="G19" s="5289"/>
      <c r="H19" s="5289"/>
      <c r="I19" s="5289"/>
      <c r="J19" s="5289"/>
      <c r="K19" s="5289"/>
      <c r="L19" s="5289"/>
      <c r="M19" s="5289"/>
      <c r="N19" s="5225"/>
      <c r="O19" s="5236"/>
      <c r="P19" s="5232"/>
      <c r="Q19" s="5234"/>
      <c r="R19" s="5234"/>
      <c r="S19" s="5193"/>
      <c r="T19" s="5234"/>
      <c r="U19" s="5193"/>
      <c r="V19" s="5234"/>
      <c r="W19" s="5193"/>
      <c r="X19" s="5193"/>
      <c r="Y19" s="5240"/>
      <c r="Z19" s="5239"/>
      <c r="AA19" s="5193"/>
      <c r="AB19" s="1997">
        <v>-65</v>
      </c>
      <c r="AC19" s="1968" t="s">
        <v>11370</v>
      </c>
      <c r="AD19" s="1968" t="s">
        <v>11371</v>
      </c>
      <c r="AE19" s="1968" t="s">
        <v>11372</v>
      </c>
      <c r="AF19" s="1968" t="s">
        <v>11373</v>
      </c>
      <c r="AG19" s="1968" t="s">
        <v>11374</v>
      </c>
      <c r="AH19" s="1968" t="s">
        <v>11375</v>
      </c>
      <c r="AI19" s="1968" t="s">
        <v>11376</v>
      </c>
      <c r="AJ19" s="1968" t="s">
        <v>11377</v>
      </c>
      <c r="AK19" s="1968" t="s">
        <v>11378</v>
      </c>
      <c r="AL19" s="2004" t="s">
        <v>11379</v>
      </c>
      <c r="AM19" s="5192"/>
      <c r="AN19" s="5214"/>
      <c r="AO19" s="5214"/>
      <c r="AP19" s="5214"/>
      <c r="AQ19" s="5214"/>
      <c r="AR19" s="5233"/>
      <c r="AS19" s="1966" t="s">
        <v>11129</v>
      </c>
      <c r="AT19" s="1967" t="s">
        <v>11077</v>
      </c>
      <c r="AU19" s="1955"/>
      <c r="AV19" s="1955"/>
      <c r="AW19" s="1955"/>
      <c r="AX19" s="1955"/>
      <c r="AY19" s="1955"/>
      <c r="AZ19" s="1955"/>
      <c r="BA19" s="1955"/>
      <c r="BB19" s="1955"/>
      <c r="BC19" s="1955"/>
      <c r="BD19" s="1955"/>
      <c r="BE19" s="1955"/>
      <c r="BF19" s="1955"/>
      <c r="BG19" s="1955"/>
      <c r="BH19" s="1955"/>
      <c r="BI19" s="1955"/>
      <c r="BJ19" s="1955"/>
      <c r="BK19" s="1955"/>
      <c r="BL19" s="1955"/>
      <c r="BM19" s="1955"/>
      <c r="BN19" s="1955"/>
      <c r="BO19" s="1955"/>
      <c r="BP19" s="1955"/>
      <c r="BQ19" s="1955"/>
      <c r="BR19" s="1955"/>
      <c r="BS19" s="1955"/>
      <c r="BT19" s="1955"/>
      <c r="BU19" s="1955"/>
      <c r="BV19" s="1955"/>
      <c r="BW19" s="1955"/>
      <c r="BX19" s="1955"/>
      <c r="BY19" s="1955"/>
      <c r="BZ19" s="1955"/>
      <c r="CA19" s="1955"/>
      <c r="CB19" s="1955"/>
      <c r="CC19" s="1955"/>
      <c r="CD19" s="1955"/>
      <c r="CE19" s="1955"/>
      <c r="CF19" s="1955"/>
      <c r="CG19" s="1955"/>
      <c r="CH19" s="1955"/>
      <c r="CI19" s="1955"/>
      <c r="CJ19" s="1955"/>
      <c r="CK19" s="1955"/>
      <c r="CL19" s="1955"/>
      <c r="CM19" s="1955"/>
      <c r="CN19" s="1955"/>
      <c r="CO19" s="1955"/>
      <c r="CP19" s="1955"/>
      <c r="CQ19" s="1955"/>
      <c r="CR19" s="1955"/>
      <c r="CS19" s="1955"/>
      <c r="CT19" s="1955"/>
      <c r="CU19" s="1955"/>
      <c r="CV19" s="1955"/>
      <c r="CW19" s="1955"/>
      <c r="CX19" s="1955"/>
      <c r="CY19" s="1955"/>
      <c r="CZ19" s="1955"/>
      <c r="DA19" s="1955"/>
      <c r="DB19" s="1955"/>
      <c r="DC19" s="1955"/>
      <c r="DD19" s="1955"/>
      <c r="DE19" s="1955"/>
      <c r="DF19" s="1955"/>
    </row>
    <row r="20" spans="1:110" customFormat="1" ht="15.75">
      <c r="A20" s="1966" t="s">
        <v>11077</v>
      </c>
      <c r="B20" s="1967" t="s">
        <v>11116</v>
      </c>
      <c r="C20" s="1966" t="s">
        <v>11380</v>
      </c>
      <c r="D20" s="1968" t="s">
        <v>11271</v>
      </c>
      <c r="E20" s="1968" t="s">
        <v>11381</v>
      </c>
      <c r="F20" s="1968"/>
      <c r="G20" s="5280"/>
      <c r="H20" s="5280"/>
      <c r="I20" s="5280"/>
      <c r="J20" s="5280"/>
      <c r="K20" s="5280"/>
      <c r="L20" s="5280"/>
      <c r="M20" s="5280"/>
      <c r="N20" s="5225"/>
      <c r="O20" s="5236"/>
      <c r="P20" s="5232"/>
      <c r="Q20" s="5234"/>
      <c r="R20" s="5234"/>
      <c r="S20" s="5193"/>
      <c r="T20" s="5234"/>
      <c r="U20" s="5193"/>
      <c r="V20" s="5234"/>
      <c r="W20" s="5193"/>
      <c r="X20" s="5193"/>
      <c r="Y20" s="5240"/>
      <c r="Z20" s="5239"/>
      <c r="AA20" s="5193"/>
      <c r="AB20" s="1997">
        <v>-68</v>
      </c>
      <c r="AC20" s="1968" t="s">
        <v>11244</v>
      </c>
      <c r="AD20" s="1968" t="s">
        <v>11317</v>
      </c>
      <c r="AE20" s="1968" t="s">
        <v>11319</v>
      </c>
      <c r="AF20" s="1968" t="s">
        <v>11382</v>
      </c>
      <c r="AG20" s="1968" t="s">
        <v>11347</v>
      </c>
      <c r="AH20" s="1968" t="s">
        <v>11383</v>
      </c>
      <c r="AI20" s="1968" t="s">
        <v>11384</v>
      </c>
      <c r="AJ20" s="1968" t="s">
        <v>11385</v>
      </c>
      <c r="AK20" s="1968" t="s">
        <v>11386</v>
      </c>
      <c r="AL20" s="2004" t="s">
        <v>11387</v>
      </c>
      <c r="AM20" s="5192"/>
      <c r="AN20" s="5214"/>
      <c r="AO20" s="5214"/>
      <c r="AP20" s="5214"/>
      <c r="AQ20" s="5214"/>
      <c r="AR20" s="5233"/>
      <c r="AS20" s="1966" t="s">
        <v>11077</v>
      </c>
      <c r="AT20" s="1967" t="s">
        <v>11116</v>
      </c>
      <c r="AU20" s="1955"/>
      <c r="AV20" s="1955"/>
      <c r="AW20" s="1955"/>
      <c r="AX20" s="1955"/>
      <c r="AY20" s="1955"/>
      <c r="AZ20" s="1955"/>
      <c r="BA20" s="1955"/>
      <c r="BB20" s="1955"/>
      <c r="BC20" s="1955"/>
      <c r="BD20" s="1955"/>
      <c r="BE20" s="1955"/>
      <c r="BF20" s="1955"/>
      <c r="BG20" s="1955"/>
      <c r="BH20" s="1955"/>
      <c r="BI20" s="1955"/>
      <c r="BJ20" s="1955"/>
      <c r="BK20" s="1955"/>
      <c r="BL20" s="1955"/>
      <c r="BM20" s="1955"/>
      <c r="BN20" s="1955"/>
      <c r="BO20" s="1955"/>
      <c r="BP20" s="1955"/>
      <c r="BQ20" s="1955"/>
      <c r="BR20" s="1955"/>
      <c r="BS20" s="1955"/>
      <c r="BT20" s="1955"/>
      <c r="BU20" s="1955"/>
      <c r="BV20" s="1955"/>
      <c r="BW20" s="1955"/>
      <c r="BX20" s="1955"/>
      <c r="BY20" s="1955"/>
      <c r="BZ20" s="1955"/>
      <c r="CA20" s="1955"/>
      <c r="CB20" s="1955"/>
      <c r="CC20" s="1955"/>
      <c r="CD20" s="1955"/>
      <c r="CE20" s="1955"/>
      <c r="CF20" s="1955"/>
      <c r="CG20" s="1955"/>
      <c r="CH20" s="1955"/>
      <c r="CI20" s="1955"/>
      <c r="CJ20" s="1955"/>
      <c r="CK20" s="1955"/>
      <c r="CL20" s="1955"/>
      <c r="CM20" s="1955"/>
      <c r="CN20" s="1955"/>
      <c r="CO20" s="1955"/>
      <c r="CP20" s="1955"/>
      <c r="CQ20" s="1955"/>
      <c r="CR20" s="1955"/>
      <c r="CS20" s="1955"/>
      <c r="CT20" s="1955"/>
      <c r="CU20" s="1955"/>
      <c r="CV20" s="1955"/>
      <c r="CW20" s="1955"/>
      <c r="CX20" s="1955"/>
      <c r="CY20" s="1955"/>
      <c r="CZ20" s="1955"/>
      <c r="DA20" s="1955"/>
      <c r="DB20" s="1955"/>
      <c r="DC20" s="1955"/>
      <c r="DD20" s="1955"/>
      <c r="DE20" s="1955"/>
      <c r="DF20" s="1955"/>
    </row>
    <row r="21" spans="1:110" customFormat="1" ht="15.6" customHeight="1">
      <c r="A21" s="1966" t="s">
        <v>11116</v>
      </c>
      <c r="B21" s="1967" t="s">
        <v>11076</v>
      </c>
      <c r="C21" s="1966" t="s">
        <v>11388</v>
      </c>
      <c r="D21" s="1968" t="s">
        <v>11296</v>
      </c>
      <c r="E21" s="1968" t="s">
        <v>11343</v>
      </c>
      <c r="F21" s="1968"/>
      <c r="G21" s="5279" t="s">
        <v>11272</v>
      </c>
      <c r="H21" s="5279" t="s">
        <v>11298</v>
      </c>
      <c r="I21" s="5279"/>
      <c r="J21" s="5279" t="s">
        <v>11229</v>
      </c>
      <c r="K21" s="5279"/>
      <c r="L21" s="5279" t="s">
        <v>11232</v>
      </c>
      <c r="M21" s="5279" t="s">
        <v>11095</v>
      </c>
      <c r="N21" s="5225"/>
      <c r="O21" s="5236"/>
      <c r="P21" s="5232" t="s">
        <v>11326</v>
      </c>
      <c r="Q21" s="5234" t="s">
        <v>11197</v>
      </c>
      <c r="R21" s="5234" t="s">
        <v>11389</v>
      </c>
      <c r="S21" s="5288" t="s">
        <v>11390</v>
      </c>
      <c r="T21" s="5234"/>
      <c r="U21" s="5288" t="s">
        <v>11391</v>
      </c>
      <c r="V21" s="5234" t="s">
        <v>11392</v>
      </c>
      <c r="W21" s="5288" t="s">
        <v>11393</v>
      </c>
      <c r="X21" s="5288" t="s">
        <v>11095</v>
      </c>
      <c r="Y21" s="5240"/>
      <c r="Z21" s="5239"/>
      <c r="AA21" s="5288" t="s">
        <v>11209</v>
      </c>
      <c r="AB21" s="1968" t="s">
        <v>11243</v>
      </c>
      <c r="AC21" s="1968" t="s">
        <v>11307</v>
      </c>
      <c r="AD21" s="1968" t="s">
        <v>11394</v>
      </c>
      <c r="AE21" s="1968" t="s">
        <v>11395</v>
      </c>
      <c r="AF21" s="1968" t="s">
        <v>11396</v>
      </c>
      <c r="AG21" s="1968" t="s">
        <v>11397</v>
      </c>
      <c r="AH21" s="1968" t="s">
        <v>11398</v>
      </c>
      <c r="AI21" s="1968" t="s">
        <v>11399</v>
      </c>
      <c r="AJ21" s="1968" t="s">
        <v>11400</v>
      </c>
      <c r="AK21" s="1968" t="s">
        <v>11401</v>
      </c>
      <c r="AL21" s="2004" t="s">
        <v>11402</v>
      </c>
      <c r="AM21" s="5232" t="s">
        <v>11045</v>
      </c>
      <c r="AN21" s="5234" t="s">
        <v>11046</v>
      </c>
      <c r="AO21" s="5234" t="s">
        <v>11048</v>
      </c>
      <c r="AP21" s="5234" t="s">
        <v>9828</v>
      </c>
      <c r="AQ21" s="5234" t="s">
        <v>11403</v>
      </c>
      <c r="AR21" s="5235" t="s">
        <v>11404</v>
      </c>
      <c r="AS21" s="1966" t="s">
        <v>11116</v>
      </c>
      <c r="AT21" s="1967" t="s">
        <v>11076</v>
      </c>
      <c r="AU21" s="1955"/>
      <c r="AV21" s="1955"/>
      <c r="AW21" s="1955"/>
      <c r="AX21" s="1955"/>
      <c r="AY21" s="1955"/>
      <c r="AZ21" s="1955"/>
      <c r="BA21" s="1955"/>
      <c r="BB21" s="1955"/>
      <c r="BC21" s="1955"/>
      <c r="BD21" s="1955"/>
      <c r="BE21" s="1955"/>
      <c r="BF21" s="1955"/>
      <c r="BG21" s="1955"/>
      <c r="BH21" s="1955"/>
      <c r="BI21" s="1955"/>
      <c r="BJ21" s="1955"/>
      <c r="BK21" s="1955"/>
      <c r="BL21" s="1955"/>
      <c r="BM21" s="1955"/>
      <c r="BN21" s="1955"/>
      <c r="BO21" s="1955"/>
      <c r="BP21" s="1955"/>
      <c r="BQ21" s="1955"/>
      <c r="BR21" s="1955"/>
      <c r="BS21" s="1955"/>
      <c r="BT21" s="1955"/>
      <c r="BU21" s="1955"/>
      <c r="BV21" s="1955"/>
      <c r="BW21" s="1955"/>
      <c r="BX21" s="1955"/>
      <c r="BY21" s="1955"/>
      <c r="BZ21" s="1955"/>
      <c r="CA21" s="1955"/>
      <c r="CB21" s="1955"/>
      <c r="CC21" s="1955"/>
      <c r="CD21" s="1955"/>
      <c r="CE21" s="1955"/>
      <c r="CF21" s="1955"/>
      <c r="CG21" s="1955"/>
      <c r="CH21" s="1955"/>
      <c r="CI21" s="1955"/>
      <c r="CJ21" s="1955"/>
      <c r="CK21" s="1955"/>
      <c r="CL21" s="1955"/>
      <c r="CM21" s="1955"/>
      <c r="CN21" s="1955"/>
      <c r="CO21" s="1955"/>
      <c r="CP21" s="1955"/>
      <c r="CQ21" s="1955"/>
      <c r="CR21" s="1955"/>
      <c r="CS21" s="1955"/>
      <c r="CT21" s="1955"/>
      <c r="CU21" s="1955"/>
      <c r="CV21" s="1955"/>
      <c r="CW21" s="1955"/>
      <c r="CX21" s="1955"/>
      <c r="CY21" s="1955"/>
      <c r="CZ21" s="1955"/>
      <c r="DA21" s="1955"/>
      <c r="DB21" s="1955"/>
      <c r="DC21" s="1955"/>
      <c r="DD21" s="1955"/>
      <c r="DE21" s="1955"/>
      <c r="DF21" s="1955"/>
    </row>
    <row r="22" spans="1:110" customFormat="1" ht="15.75">
      <c r="A22" s="1966" t="s">
        <v>11076</v>
      </c>
      <c r="B22" s="1967" t="s">
        <v>11405</v>
      </c>
      <c r="C22" s="1966" t="s">
        <v>11406</v>
      </c>
      <c r="D22" s="1968" t="s">
        <v>11322</v>
      </c>
      <c r="E22" s="1968" t="s">
        <v>11352</v>
      </c>
      <c r="F22" s="1968"/>
      <c r="G22" s="5289"/>
      <c r="H22" s="5289"/>
      <c r="I22" s="5289"/>
      <c r="J22" s="5289"/>
      <c r="K22" s="5289"/>
      <c r="L22" s="5289"/>
      <c r="M22" s="5289"/>
      <c r="N22" s="5225"/>
      <c r="O22" s="5236"/>
      <c r="P22" s="5232"/>
      <c r="Q22" s="5234"/>
      <c r="R22" s="5234"/>
      <c r="S22" s="5193"/>
      <c r="T22" s="5234"/>
      <c r="U22" s="5193"/>
      <c r="V22" s="5234"/>
      <c r="W22" s="5193"/>
      <c r="X22" s="5193"/>
      <c r="Y22" s="5240"/>
      <c r="Z22" s="5239"/>
      <c r="AA22" s="5193"/>
      <c r="AB22" s="1997">
        <v>-80</v>
      </c>
      <c r="AC22" s="1968" t="s">
        <v>11240</v>
      </c>
      <c r="AD22" s="1968" t="s">
        <v>11292</v>
      </c>
      <c r="AE22" s="1968" t="s">
        <v>11338</v>
      </c>
      <c r="AF22" s="1968" t="s">
        <v>11347</v>
      </c>
      <c r="AG22" s="1968" t="s">
        <v>11407</v>
      </c>
      <c r="AH22" s="1968" t="s">
        <v>11365</v>
      </c>
      <c r="AI22" s="1968" t="s">
        <v>11408</v>
      </c>
      <c r="AJ22" s="1968" t="s">
        <v>11409</v>
      </c>
      <c r="AK22" s="1968" t="s">
        <v>11410</v>
      </c>
      <c r="AL22" s="2004" t="s">
        <v>11411</v>
      </c>
      <c r="AM22" s="5192"/>
      <c r="AN22" s="5214"/>
      <c r="AO22" s="5214"/>
      <c r="AP22" s="5214"/>
      <c r="AQ22" s="5214"/>
      <c r="AR22" s="5233"/>
      <c r="AS22" s="1966" t="s">
        <v>11076</v>
      </c>
      <c r="AT22" s="1967" t="s">
        <v>11405</v>
      </c>
      <c r="AU22" s="1955"/>
      <c r="AV22" s="1955"/>
      <c r="AW22" s="1955"/>
      <c r="AX22" s="1955"/>
      <c r="AY22" s="1955"/>
      <c r="AZ22" s="1955"/>
      <c r="BA22" s="1955"/>
      <c r="BB22" s="1955"/>
      <c r="BC22" s="1955"/>
      <c r="BD22" s="1955"/>
      <c r="BE22" s="1955"/>
      <c r="BF22" s="1955"/>
      <c r="BG22" s="1955"/>
      <c r="BH22" s="1955"/>
      <c r="BI22" s="1955"/>
      <c r="BJ22" s="1955"/>
      <c r="BK22" s="1955"/>
      <c r="BL22" s="1955"/>
      <c r="BM22" s="1955"/>
      <c r="BN22" s="1955"/>
      <c r="BO22" s="1955"/>
      <c r="BP22" s="1955"/>
      <c r="BQ22" s="1955"/>
      <c r="BR22" s="1955"/>
      <c r="BS22" s="1955"/>
      <c r="BT22" s="1955"/>
      <c r="BU22" s="1955"/>
      <c r="BV22" s="1955"/>
      <c r="BW22" s="1955"/>
      <c r="BX22" s="1955"/>
      <c r="BY22" s="1955"/>
      <c r="BZ22" s="1955"/>
      <c r="CA22" s="1955"/>
      <c r="CB22" s="1955"/>
      <c r="CC22" s="1955"/>
      <c r="CD22" s="1955"/>
      <c r="CE22" s="1955"/>
      <c r="CF22" s="1955"/>
      <c r="CG22" s="1955"/>
      <c r="CH22" s="1955"/>
      <c r="CI22" s="1955"/>
      <c r="CJ22" s="1955"/>
      <c r="CK22" s="1955"/>
      <c r="CL22" s="1955"/>
      <c r="CM22" s="1955"/>
      <c r="CN22" s="1955"/>
      <c r="CO22" s="1955"/>
      <c r="CP22" s="1955"/>
      <c r="CQ22" s="1955"/>
      <c r="CR22" s="1955"/>
      <c r="CS22" s="1955"/>
      <c r="CT22" s="1955"/>
      <c r="CU22" s="1955"/>
      <c r="CV22" s="1955"/>
      <c r="CW22" s="1955"/>
      <c r="CX22" s="1955"/>
      <c r="CY22" s="1955"/>
      <c r="CZ22" s="1955"/>
      <c r="DA22" s="1955"/>
      <c r="DB22" s="1955"/>
      <c r="DC22" s="1955"/>
      <c r="DD22" s="1955"/>
      <c r="DE22" s="1955"/>
      <c r="DF22" s="1955"/>
    </row>
    <row r="23" spans="1:110" customFormat="1" ht="15.75">
      <c r="A23" s="1966" t="s">
        <v>11405</v>
      </c>
      <c r="B23" s="1967" t="s">
        <v>11078</v>
      </c>
      <c r="C23" s="1966" t="s">
        <v>11412</v>
      </c>
      <c r="D23" s="1968" t="s">
        <v>11413</v>
      </c>
      <c r="E23" s="1968" t="s">
        <v>11211</v>
      </c>
      <c r="F23" s="1968"/>
      <c r="G23" s="5280"/>
      <c r="H23" s="5280"/>
      <c r="I23" s="5280"/>
      <c r="J23" s="5280"/>
      <c r="K23" s="5280"/>
      <c r="L23" s="5280"/>
      <c r="M23" s="5280"/>
      <c r="N23" s="5225"/>
      <c r="O23" s="5236"/>
      <c r="P23" s="5232"/>
      <c r="Q23" s="5234"/>
      <c r="R23" s="5234"/>
      <c r="S23" s="5193"/>
      <c r="T23" s="5234"/>
      <c r="U23" s="5193"/>
      <c r="V23" s="5234"/>
      <c r="W23" s="5193"/>
      <c r="X23" s="5193"/>
      <c r="Y23" s="5240"/>
      <c r="Z23" s="5239"/>
      <c r="AA23" s="5193"/>
      <c r="AB23" s="1997">
        <v>-84</v>
      </c>
      <c r="AC23" s="1968" t="s">
        <v>11414</v>
      </c>
      <c r="AD23" s="1968" t="s">
        <v>11415</v>
      </c>
      <c r="AE23" s="1968" t="s">
        <v>11396</v>
      </c>
      <c r="AF23" s="1968" t="s">
        <v>11375</v>
      </c>
      <c r="AG23" s="1968" t="s">
        <v>11398</v>
      </c>
      <c r="AH23" s="1968" t="s">
        <v>11399</v>
      </c>
      <c r="AI23" s="1968" t="s">
        <v>11416</v>
      </c>
      <c r="AJ23" s="1968" t="s">
        <v>11417</v>
      </c>
      <c r="AK23" s="1968" t="s">
        <v>11418</v>
      </c>
      <c r="AL23" s="2004" t="s">
        <v>11419</v>
      </c>
      <c r="AM23" s="5192"/>
      <c r="AN23" s="5214"/>
      <c r="AO23" s="5214"/>
      <c r="AP23" s="5214"/>
      <c r="AQ23" s="5214"/>
      <c r="AR23" s="5233"/>
      <c r="AS23" s="1966" t="s">
        <v>11405</v>
      </c>
      <c r="AT23" s="1967" t="s">
        <v>11078</v>
      </c>
      <c r="AU23" s="1955"/>
      <c r="AV23" s="1955"/>
      <c r="AW23" s="1955"/>
      <c r="AX23" s="1955"/>
      <c r="AY23" s="1955"/>
      <c r="AZ23" s="1955"/>
      <c r="BA23" s="1955"/>
      <c r="BB23" s="1955"/>
      <c r="BC23" s="1955"/>
      <c r="BD23" s="1955"/>
      <c r="BE23" s="1955"/>
      <c r="BF23" s="1955"/>
      <c r="BG23" s="1955"/>
      <c r="BH23" s="1955"/>
      <c r="BI23" s="1955"/>
      <c r="BJ23" s="1955"/>
      <c r="BK23" s="1955"/>
      <c r="BL23" s="1955"/>
      <c r="BM23" s="1955"/>
      <c r="BN23" s="1955"/>
      <c r="BO23" s="1955"/>
      <c r="BP23" s="1955"/>
      <c r="BQ23" s="1955"/>
      <c r="BR23" s="1955"/>
      <c r="BS23" s="1955"/>
      <c r="BT23" s="1955"/>
      <c r="BU23" s="1955"/>
      <c r="BV23" s="1955"/>
      <c r="BW23" s="1955"/>
      <c r="BX23" s="1955"/>
      <c r="BY23" s="1955"/>
      <c r="BZ23" s="1955"/>
      <c r="CA23" s="1955"/>
      <c r="CB23" s="1955"/>
      <c r="CC23" s="1955"/>
      <c r="CD23" s="1955"/>
      <c r="CE23" s="1955"/>
      <c r="CF23" s="1955"/>
      <c r="CG23" s="1955"/>
      <c r="CH23" s="1955"/>
      <c r="CI23" s="1955"/>
      <c r="CJ23" s="1955"/>
      <c r="CK23" s="1955"/>
      <c r="CL23" s="1955"/>
      <c r="CM23" s="1955"/>
      <c r="CN23" s="1955"/>
      <c r="CO23" s="1955"/>
      <c r="CP23" s="1955"/>
      <c r="CQ23" s="1955"/>
      <c r="CR23" s="1955"/>
      <c r="CS23" s="1955"/>
      <c r="CT23" s="1955"/>
      <c r="CU23" s="1955"/>
      <c r="CV23" s="1955"/>
      <c r="CW23" s="1955"/>
      <c r="CX23" s="1955"/>
      <c r="CY23" s="1955"/>
      <c r="CZ23" s="1955"/>
      <c r="DA23" s="1955"/>
      <c r="DB23" s="1955"/>
      <c r="DC23" s="1955"/>
      <c r="DD23" s="1955"/>
      <c r="DE23" s="1955"/>
      <c r="DF23" s="1955"/>
    </row>
    <row r="24" spans="1:110" customFormat="1" ht="15.6" customHeight="1">
      <c r="A24" s="1966" t="s">
        <v>11078</v>
      </c>
      <c r="B24" s="1967" t="s">
        <v>11420</v>
      </c>
      <c r="C24" s="1966" t="s">
        <v>11421</v>
      </c>
      <c r="D24" s="1968" t="s">
        <v>11422</v>
      </c>
      <c r="E24" s="1968" t="s">
        <v>11247</v>
      </c>
      <c r="F24" s="1968"/>
      <c r="G24" s="5279" t="s">
        <v>11297</v>
      </c>
      <c r="H24" s="5279" t="s">
        <v>11249</v>
      </c>
      <c r="I24" s="5279"/>
      <c r="J24" s="5279" t="s">
        <v>11214</v>
      </c>
      <c r="K24" s="5279"/>
      <c r="L24" s="5279" t="s">
        <v>11423</v>
      </c>
      <c r="M24" s="5279" t="s">
        <v>11095</v>
      </c>
      <c r="N24" s="5225"/>
      <c r="O24" s="5236"/>
      <c r="P24" s="5232" t="s">
        <v>11216</v>
      </c>
      <c r="Q24" s="5234" t="s">
        <v>11325</v>
      </c>
      <c r="R24" s="5234" t="s">
        <v>11424</v>
      </c>
      <c r="S24" s="5288" t="s">
        <v>11390</v>
      </c>
      <c r="T24" s="5234"/>
      <c r="U24" s="5288" t="s">
        <v>11425</v>
      </c>
      <c r="V24" s="5234" t="s">
        <v>11426</v>
      </c>
      <c r="W24" s="5288" t="s">
        <v>11427</v>
      </c>
      <c r="X24" s="5288" t="s">
        <v>11095</v>
      </c>
      <c r="Y24" s="5240"/>
      <c r="Z24" s="5239"/>
      <c r="AA24" s="5288" t="s">
        <v>11428</v>
      </c>
      <c r="AB24" s="1968" t="s">
        <v>11281</v>
      </c>
      <c r="AC24" s="1968" t="s">
        <v>11429</v>
      </c>
      <c r="AD24" s="1968" t="s">
        <v>11270</v>
      </c>
      <c r="AE24" s="1968" t="s">
        <v>11430</v>
      </c>
      <c r="AF24" s="1968" t="s">
        <v>11407</v>
      </c>
      <c r="AG24" s="1968" t="s">
        <v>11431</v>
      </c>
      <c r="AH24" s="1968" t="s">
        <v>11432</v>
      </c>
      <c r="AI24" s="1968" t="s">
        <v>11433</v>
      </c>
      <c r="AJ24" s="1968" t="s">
        <v>11434</v>
      </c>
      <c r="AK24" s="1968" t="s">
        <v>11435</v>
      </c>
      <c r="AL24" s="2004" t="s">
        <v>11436</v>
      </c>
      <c r="AM24" s="5232" t="s">
        <v>11046</v>
      </c>
      <c r="AN24" s="5234" t="s">
        <v>11046</v>
      </c>
      <c r="AO24" s="5234" t="s">
        <v>11049</v>
      </c>
      <c r="AP24" s="5234" t="s">
        <v>9828</v>
      </c>
      <c r="AQ24" s="5234" t="s">
        <v>1164</v>
      </c>
      <c r="AR24" s="5235" t="s">
        <v>11119</v>
      </c>
      <c r="AS24" s="1966" t="s">
        <v>11078</v>
      </c>
      <c r="AT24" s="1967" t="s">
        <v>11420</v>
      </c>
      <c r="AU24" s="1955"/>
      <c r="AV24" s="1955"/>
      <c r="AW24" s="1955"/>
      <c r="AX24" s="1955"/>
      <c r="AY24" s="1955"/>
      <c r="AZ24" s="1955"/>
      <c r="BA24" s="1955"/>
      <c r="BB24" s="1955"/>
      <c r="BC24" s="1955"/>
      <c r="BD24" s="1955"/>
      <c r="BE24" s="1955"/>
      <c r="BF24" s="1955"/>
      <c r="BG24" s="1955"/>
      <c r="BH24" s="1955"/>
      <c r="BI24" s="1955"/>
      <c r="BJ24" s="1955"/>
      <c r="BK24" s="1955"/>
      <c r="BL24" s="1955"/>
      <c r="BM24" s="1955"/>
      <c r="BN24" s="1955"/>
      <c r="BO24" s="1955"/>
      <c r="BP24" s="1955"/>
      <c r="BQ24" s="1955"/>
      <c r="BR24" s="1955"/>
      <c r="BS24" s="1955"/>
      <c r="BT24" s="1955"/>
      <c r="BU24" s="1955"/>
      <c r="BV24" s="1955"/>
      <c r="BW24" s="1955"/>
      <c r="BX24" s="1955"/>
      <c r="BY24" s="1955"/>
      <c r="BZ24" s="1955"/>
      <c r="CA24" s="1955"/>
      <c r="CB24" s="1955"/>
      <c r="CC24" s="1955"/>
      <c r="CD24" s="1955"/>
      <c r="CE24" s="1955"/>
      <c r="CF24" s="1955"/>
      <c r="CG24" s="1955"/>
      <c r="CH24" s="1955"/>
      <c r="CI24" s="1955"/>
      <c r="CJ24" s="1955"/>
      <c r="CK24" s="1955"/>
      <c r="CL24" s="1955"/>
      <c r="CM24" s="1955"/>
      <c r="CN24" s="1955"/>
      <c r="CO24" s="1955"/>
      <c r="CP24" s="1955"/>
      <c r="CQ24" s="1955"/>
      <c r="CR24" s="1955"/>
      <c r="CS24" s="1955"/>
      <c r="CT24" s="1955"/>
      <c r="CU24" s="1955"/>
      <c r="CV24" s="1955"/>
      <c r="CW24" s="1955"/>
      <c r="CX24" s="1955"/>
      <c r="CY24" s="1955"/>
      <c r="CZ24" s="1955"/>
      <c r="DA24" s="1955"/>
      <c r="DB24" s="1955"/>
      <c r="DC24" s="1955"/>
      <c r="DD24" s="1955"/>
      <c r="DE24" s="1955"/>
      <c r="DF24" s="1955"/>
    </row>
    <row r="25" spans="1:110" customFormat="1" ht="15.75">
      <c r="A25" s="1966" t="s">
        <v>11420</v>
      </c>
      <c r="B25" s="1967" t="s">
        <v>11122</v>
      </c>
      <c r="C25" s="1966" t="s">
        <v>11437</v>
      </c>
      <c r="D25" s="1968" t="s">
        <v>11438</v>
      </c>
      <c r="E25" s="1968" t="s">
        <v>11439</v>
      </c>
      <c r="F25" s="1968"/>
      <c r="G25" s="5280"/>
      <c r="H25" s="5280"/>
      <c r="I25" s="5280"/>
      <c r="J25" s="5280"/>
      <c r="K25" s="5280"/>
      <c r="L25" s="5280"/>
      <c r="M25" s="5280"/>
      <c r="N25" s="5225"/>
      <c r="O25" s="5236"/>
      <c r="P25" s="5232"/>
      <c r="Q25" s="5234"/>
      <c r="R25" s="5234"/>
      <c r="S25" s="5193"/>
      <c r="T25" s="5234"/>
      <c r="U25" s="5193"/>
      <c r="V25" s="5234"/>
      <c r="W25" s="5193"/>
      <c r="X25" s="5193"/>
      <c r="Y25" s="5240"/>
      <c r="Z25" s="5239"/>
      <c r="AA25" s="5193"/>
      <c r="AB25" s="1997">
        <v>-98</v>
      </c>
      <c r="AC25" s="1968" t="s">
        <v>11361</v>
      </c>
      <c r="AD25" s="1968" t="s">
        <v>11440</v>
      </c>
      <c r="AE25" s="1968" t="s">
        <v>11397</v>
      </c>
      <c r="AF25" s="1968" t="s">
        <v>11398</v>
      </c>
      <c r="AG25" s="1968" t="s">
        <v>11349</v>
      </c>
      <c r="AH25" s="1968" t="s">
        <v>11441</v>
      </c>
      <c r="AI25" s="1968" t="s">
        <v>11442</v>
      </c>
      <c r="AJ25" s="1968" t="s">
        <v>11387</v>
      </c>
      <c r="AK25" s="1968" t="s">
        <v>11443</v>
      </c>
      <c r="AL25" s="2004" t="s">
        <v>11444</v>
      </c>
      <c r="AM25" s="5192"/>
      <c r="AN25" s="5214"/>
      <c r="AO25" s="5214"/>
      <c r="AP25" s="5214"/>
      <c r="AQ25" s="5214"/>
      <c r="AR25" s="5233"/>
      <c r="AS25" s="1966" t="s">
        <v>11420</v>
      </c>
      <c r="AT25" s="1967" t="s">
        <v>11122</v>
      </c>
      <c r="AU25" s="1955"/>
      <c r="AV25" s="1955"/>
      <c r="AW25" s="1955"/>
      <c r="AX25" s="1955"/>
      <c r="AY25" s="1955"/>
      <c r="AZ25" s="1955"/>
      <c r="BA25" s="1955"/>
      <c r="BB25" s="1955"/>
      <c r="BC25" s="1955"/>
      <c r="BD25" s="1955"/>
      <c r="BE25" s="1955"/>
      <c r="BF25" s="1955"/>
      <c r="BG25" s="1955"/>
      <c r="BH25" s="1955"/>
      <c r="BI25" s="1955"/>
      <c r="BJ25" s="1955"/>
      <c r="BK25" s="1955"/>
      <c r="BL25" s="1955"/>
      <c r="BM25" s="1955"/>
      <c r="BN25" s="1955"/>
      <c r="BO25" s="1955"/>
      <c r="BP25" s="1955"/>
      <c r="BQ25" s="1955"/>
      <c r="BR25" s="1955"/>
      <c r="BS25" s="1955"/>
      <c r="BT25" s="1955"/>
      <c r="BU25" s="1955"/>
      <c r="BV25" s="1955"/>
      <c r="BW25" s="1955"/>
      <c r="BX25" s="1955"/>
      <c r="BY25" s="1955"/>
      <c r="BZ25" s="1955"/>
      <c r="CA25" s="1955"/>
      <c r="CB25" s="1955"/>
      <c r="CC25" s="1955"/>
      <c r="CD25" s="1955"/>
      <c r="CE25" s="1955"/>
      <c r="CF25" s="1955"/>
      <c r="CG25" s="1955"/>
      <c r="CH25" s="1955"/>
      <c r="CI25" s="1955"/>
      <c r="CJ25" s="1955"/>
      <c r="CK25" s="1955"/>
      <c r="CL25" s="1955"/>
      <c r="CM25" s="1955"/>
      <c r="CN25" s="1955"/>
      <c r="CO25" s="1955"/>
      <c r="CP25" s="1955"/>
      <c r="CQ25" s="1955"/>
      <c r="CR25" s="1955"/>
      <c r="CS25" s="1955"/>
      <c r="CT25" s="1955"/>
      <c r="CU25" s="1955"/>
      <c r="CV25" s="1955"/>
      <c r="CW25" s="1955"/>
      <c r="CX25" s="1955"/>
      <c r="CY25" s="1955"/>
      <c r="CZ25" s="1955"/>
      <c r="DA25" s="1955"/>
      <c r="DB25" s="1955"/>
      <c r="DC25" s="1955"/>
      <c r="DD25" s="1955"/>
      <c r="DE25" s="1955"/>
      <c r="DF25" s="1955"/>
    </row>
    <row r="26" spans="1:110" customFormat="1" ht="15.6" customHeight="1">
      <c r="A26" s="1966" t="s">
        <v>11122</v>
      </c>
      <c r="B26" s="1967" t="s">
        <v>11445</v>
      </c>
      <c r="C26" s="1966" t="s">
        <v>11446</v>
      </c>
      <c r="D26" s="1968" t="s">
        <v>11447</v>
      </c>
      <c r="E26" s="1968" t="s">
        <v>11313</v>
      </c>
      <c r="F26" s="1968"/>
      <c r="G26" s="5279" t="s">
        <v>11369</v>
      </c>
      <c r="H26" s="5279" t="s">
        <v>11448</v>
      </c>
      <c r="I26" s="5279"/>
      <c r="J26" s="5279" t="s">
        <v>11449</v>
      </c>
      <c r="K26" s="5279"/>
      <c r="L26" s="5279" t="s">
        <v>11217</v>
      </c>
      <c r="M26" s="5279" t="s">
        <v>11095</v>
      </c>
      <c r="N26" s="5225"/>
      <c r="O26" s="5236"/>
      <c r="P26" s="5232" t="s">
        <v>11450</v>
      </c>
      <c r="Q26" s="5234" t="s">
        <v>11451</v>
      </c>
      <c r="R26" s="5234" t="s">
        <v>11176</v>
      </c>
      <c r="S26" s="5288" t="s">
        <v>11390</v>
      </c>
      <c r="T26" s="5234"/>
      <c r="U26" s="5288" t="s">
        <v>11452</v>
      </c>
      <c r="V26" s="5234" t="s">
        <v>11453</v>
      </c>
      <c r="W26" s="5288" t="s">
        <v>11454</v>
      </c>
      <c r="X26" s="5288" t="s">
        <v>11095</v>
      </c>
      <c r="Y26" s="5240"/>
      <c r="Z26" s="5239"/>
      <c r="AA26" s="5288" t="s">
        <v>11455</v>
      </c>
      <c r="AB26" s="1968" t="s">
        <v>11244</v>
      </c>
      <c r="AC26" s="1968" t="s">
        <v>11372</v>
      </c>
      <c r="AD26" s="1968" t="s">
        <v>11456</v>
      </c>
      <c r="AE26" s="1968" t="s">
        <v>11457</v>
      </c>
      <c r="AF26" s="1968" t="s">
        <v>11431</v>
      </c>
      <c r="AG26" s="1968" t="s">
        <v>11458</v>
      </c>
      <c r="AH26" s="1968" t="s">
        <v>11459</v>
      </c>
      <c r="AI26" s="1968" t="s">
        <v>11379</v>
      </c>
      <c r="AJ26" s="1968" t="s">
        <v>11402</v>
      </c>
      <c r="AK26" s="1968" t="s">
        <v>11460</v>
      </c>
      <c r="AL26" s="2004" t="s">
        <v>11461</v>
      </c>
      <c r="AM26" s="5232" t="s">
        <v>11046</v>
      </c>
      <c r="AN26" s="5234" t="s">
        <v>11047</v>
      </c>
      <c r="AO26" s="5234" t="s">
        <v>11049</v>
      </c>
      <c r="AP26" s="5234" t="s">
        <v>11050</v>
      </c>
      <c r="AQ26" s="5234" t="s">
        <v>11106</v>
      </c>
      <c r="AR26" s="5235" t="s">
        <v>11124</v>
      </c>
      <c r="AS26" s="1966" t="s">
        <v>11122</v>
      </c>
      <c r="AT26" s="1967" t="s">
        <v>11445</v>
      </c>
      <c r="AU26" s="1955"/>
      <c r="AV26" s="1955"/>
      <c r="AW26" s="1955"/>
      <c r="AX26" s="1955"/>
      <c r="AY26" s="1955"/>
      <c r="AZ26" s="1955"/>
      <c r="BA26" s="1955"/>
      <c r="BB26" s="1955"/>
      <c r="BC26" s="1955"/>
      <c r="BD26" s="1955"/>
      <c r="BE26" s="1955"/>
      <c r="BF26" s="1955"/>
      <c r="BG26" s="1955"/>
      <c r="BH26" s="1955"/>
      <c r="BI26" s="1955"/>
      <c r="BJ26" s="1955"/>
      <c r="BK26" s="1955"/>
      <c r="BL26" s="1955"/>
      <c r="BM26" s="1955"/>
      <c r="BN26" s="1955"/>
      <c r="BO26" s="1955"/>
      <c r="BP26" s="1955"/>
      <c r="BQ26" s="1955"/>
      <c r="BR26" s="1955"/>
      <c r="BS26" s="1955"/>
      <c r="BT26" s="1955"/>
      <c r="BU26" s="1955"/>
      <c r="BV26" s="1955"/>
      <c r="BW26" s="1955"/>
      <c r="BX26" s="1955"/>
      <c r="BY26" s="1955"/>
      <c r="BZ26" s="1955"/>
      <c r="CA26" s="1955"/>
      <c r="CB26" s="1955"/>
      <c r="CC26" s="1955"/>
      <c r="CD26" s="1955"/>
      <c r="CE26" s="1955"/>
      <c r="CF26" s="1955"/>
      <c r="CG26" s="1955"/>
      <c r="CH26" s="1955"/>
      <c r="CI26" s="1955"/>
      <c r="CJ26" s="1955"/>
      <c r="CK26" s="1955"/>
      <c r="CL26" s="1955"/>
      <c r="CM26" s="1955"/>
      <c r="CN26" s="1955"/>
      <c r="CO26" s="1955"/>
      <c r="CP26" s="1955"/>
      <c r="CQ26" s="1955"/>
      <c r="CR26" s="1955"/>
      <c r="CS26" s="1955"/>
      <c r="CT26" s="1955"/>
      <c r="CU26" s="1955"/>
      <c r="CV26" s="1955"/>
      <c r="CW26" s="1955"/>
      <c r="CX26" s="1955"/>
      <c r="CY26" s="1955"/>
      <c r="CZ26" s="1955"/>
      <c r="DA26" s="1955"/>
      <c r="DB26" s="1955"/>
      <c r="DC26" s="1955"/>
      <c r="DD26" s="1955"/>
      <c r="DE26" s="1955"/>
      <c r="DF26" s="1955"/>
    </row>
    <row r="27" spans="1:110" customFormat="1" ht="15.75">
      <c r="A27" s="1966" t="s">
        <v>11445</v>
      </c>
      <c r="B27" s="1967" t="s">
        <v>11080</v>
      </c>
      <c r="C27" s="1966" t="s">
        <v>11462</v>
      </c>
      <c r="D27" s="1968" t="s">
        <v>11463</v>
      </c>
      <c r="E27" s="1968" t="s">
        <v>11464</v>
      </c>
      <c r="F27" s="1968"/>
      <c r="G27" s="5280"/>
      <c r="H27" s="5280"/>
      <c r="I27" s="5280"/>
      <c r="J27" s="5280"/>
      <c r="K27" s="5280"/>
      <c r="L27" s="5280"/>
      <c r="M27" s="5280"/>
      <c r="N27" s="5225"/>
      <c r="O27" s="5236"/>
      <c r="P27" s="5232"/>
      <c r="Q27" s="5234"/>
      <c r="R27" s="5234"/>
      <c r="S27" s="5193"/>
      <c r="T27" s="5234"/>
      <c r="U27" s="5193"/>
      <c r="V27" s="5234"/>
      <c r="W27" s="5193"/>
      <c r="X27" s="5193"/>
      <c r="Y27" s="5240"/>
      <c r="Z27" s="5239"/>
      <c r="AA27" s="5193"/>
      <c r="AB27" s="1997">
        <v>-114</v>
      </c>
      <c r="AC27" s="1968" t="s">
        <v>11465</v>
      </c>
      <c r="AD27" s="1968" t="s">
        <v>11466</v>
      </c>
      <c r="AE27" s="1968" t="s">
        <v>11467</v>
      </c>
      <c r="AF27" s="1968" t="s">
        <v>11468</v>
      </c>
      <c r="AG27" s="1968" t="s">
        <v>11469</v>
      </c>
      <c r="AH27" s="1968" t="s">
        <v>11417</v>
      </c>
      <c r="AI27" s="1968" t="s">
        <v>11387</v>
      </c>
      <c r="AJ27" s="1968" t="s">
        <v>11443</v>
      </c>
      <c r="AK27" s="1968" t="s">
        <v>11470</v>
      </c>
      <c r="AL27" s="2004" t="s">
        <v>11471</v>
      </c>
      <c r="AM27" s="5192"/>
      <c r="AN27" s="5214"/>
      <c r="AO27" s="5214"/>
      <c r="AP27" s="5214"/>
      <c r="AQ27" s="5214"/>
      <c r="AR27" s="5233"/>
      <c r="AS27" s="1966" t="s">
        <v>11445</v>
      </c>
      <c r="AT27" s="1967" t="s">
        <v>11080</v>
      </c>
      <c r="AU27" s="1955"/>
      <c r="AV27" s="1955"/>
      <c r="AW27" s="1955"/>
      <c r="AX27" s="1955"/>
      <c r="AY27" s="1955"/>
      <c r="AZ27" s="1955"/>
      <c r="BA27" s="1955"/>
      <c r="BB27" s="1955"/>
      <c r="BC27" s="1955"/>
      <c r="BD27" s="1955"/>
      <c r="BE27" s="1955"/>
      <c r="BF27" s="1955"/>
      <c r="BG27" s="1955"/>
      <c r="BH27" s="1955"/>
      <c r="BI27" s="1955"/>
      <c r="BJ27" s="1955"/>
      <c r="BK27" s="1955"/>
      <c r="BL27" s="1955"/>
      <c r="BM27" s="1955"/>
      <c r="BN27" s="1955"/>
      <c r="BO27" s="1955"/>
      <c r="BP27" s="1955"/>
      <c r="BQ27" s="1955"/>
      <c r="BR27" s="1955"/>
      <c r="BS27" s="1955"/>
      <c r="BT27" s="1955"/>
      <c r="BU27" s="1955"/>
      <c r="BV27" s="1955"/>
      <c r="BW27" s="1955"/>
      <c r="BX27" s="1955"/>
      <c r="BY27" s="1955"/>
      <c r="BZ27" s="1955"/>
      <c r="CA27" s="1955"/>
      <c r="CB27" s="1955"/>
      <c r="CC27" s="1955"/>
      <c r="CD27" s="1955"/>
      <c r="CE27" s="1955"/>
      <c r="CF27" s="1955"/>
      <c r="CG27" s="1955"/>
      <c r="CH27" s="1955"/>
      <c r="CI27" s="1955"/>
      <c r="CJ27" s="1955"/>
      <c r="CK27" s="1955"/>
      <c r="CL27" s="1955"/>
      <c r="CM27" s="1955"/>
      <c r="CN27" s="1955"/>
      <c r="CO27" s="1955"/>
      <c r="CP27" s="1955"/>
      <c r="CQ27" s="1955"/>
      <c r="CR27" s="1955"/>
      <c r="CS27" s="1955"/>
      <c r="CT27" s="1955"/>
      <c r="CU27" s="1955"/>
      <c r="CV27" s="1955"/>
      <c r="CW27" s="1955"/>
      <c r="CX27" s="1955"/>
      <c r="CY27" s="1955"/>
      <c r="CZ27" s="1955"/>
      <c r="DA27" s="1955"/>
      <c r="DB27" s="1955"/>
      <c r="DC27" s="1955"/>
      <c r="DD27" s="1955"/>
      <c r="DE27" s="1955"/>
      <c r="DF27" s="1955"/>
    </row>
    <row r="28" spans="1:110" customFormat="1" ht="15.6" customHeight="1">
      <c r="A28" s="1966" t="s">
        <v>11080</v>
      </c>
      <c r="B28" s="1967" t="s">
        <v>11472</v>
      </c>
      <c r="C28" s="1966" t="s">
        <v>11473</v>
      </c>
      <c r="D28" s="1968" t="s">
        <v>11474</v>
      </c>
      <c r="E28" s="1968" t="s">
        <v>11475</v>
      </c>
      <c r="F28" s="1968"/>
      <c r="G28" s="5279" t="s">
        <v>11381</v>
      </c>
      <c r="H28" s="5279" t="s">
        <v>11476</v>
      </c>
      <c r="I28" s="5279"/>
      <c r="J28" s="5279" t="s">
        <v>11477</v>
      </c>
      <c r="K28" s="5279"/>
      <c r="L28" s="5279" t="s">
        <v>11178</v>
      </c>
      <c r="M28" s="5279" t="s">
        <v>11095</v>
      </c>
      <c r="N28" s="5225"/>
      <c r="O28" s="5236"/>
      <c r="P28" s="5232" t="s">
        <v>11478</v>
      </c>
      <c r="Q28" s="5234" t="s">
        <v>11355</v>
      </c>
      <c r="R28" s="5234" t="s">
        <v>11479</v>
      </c>
      <c r="S28" s="5288" t="s">
        <v>11480</v>
      </c>
      <c r="T28" s="5234"/>
      <c r="U28" s="5288" t="s">
        <v>11481</v>
      </c>
      <c r="V28" s="5234" t="s">
        <v>11205</v>
      </c>
      <c r="W28" s="5288" t="s">
        <v>11482</v>
      </c>
      <c r="X28" s="5288" t="s">
        <v>11095</v>
      </c>
      <c r="Y28" s="5240"/>
      <c r="Z28" s="5239"/>
      <c r="AA28" s="5288" t="s">
        <v>11280</v>
      </c>
      <c r="AB28" s="1968" t="s">
        <v>11483</v>
      </c>
      <c r="AC28" s="1968" t="s">
        <v>11484</v>
      </c>
      <c r="AD28" s="1968" t="s">
        <v>11485</v>
      </c>
      <c r="AE28" s="1968" t="s">
        <v>11486</v>
      </c>
      <c r="AF28" s="1968" t="s">
        <v>11487</v>
      </c>
      <c r="AG28" s="1968" t="s">
        <v>11409</v>
      </c>
      <c r="AH28" s="1968" t="s">
        <v>11434</v>
      </c>
      <c r="AI28" s="1968" t="s">
        <v>11488</v>
      </c>
      <c r="AJ28" s="1968" t="s">
        <v>11489</v>
      </c>
      <c r="AK28" s="1968" t="s">
        <v>11490</v>
      </c>
      <c r="AL28" s="2004" t="s">
        <v>11491</v>
      </c>
      <c r="AM28" s="5232" t="s">
        <v>11047</v>
      </c>
      <c r="AN28" s="5234" t="s">
        <v>11047</v>
      </c>
      <c r="AO28" s="5234" t="s">
        <v>11049</v>
      </c>
      <c r="AP28" s="5234" t="s">
        <v>11105</v>
      </c>
      <c r="AQ28" s="5234" t="s">
        <v>11123</v>
      </c>
      <c r="AR28" s="5235" t="s">
        <v>11492</v>
      </c>
      <c r="AS28" s="1966" t="s">
        <v>11080</v>
      </c>
      <c r="AT28" s="1967" t="s">
        <v>11472</v>
      </c>
      <c r="AU28" s="1955"/>
      <c r="AV28" s="1955"/>
      <c r="AW28" s="1955"/>
      <c r="AX28" s="1955"/>
      <c r="AY28" s="1955"/>
      <c r="AZ28" s="1955"/>
      <c r="BA28" s="1955"/>
      <c r="BB28" s="1955"/>
      <c r="BC28" s="1955"/>
      <c r="BD28" s="1955"/>
      <c r="BE28" s="1955"/>
      <c r="BF28" s="1955"/>
      <c r="BG28" s="1955"/>
      <c r="BH28" s="1955"/>
      <c r="BI28" s="1955"/>
      <c r="BJ28" s="1955"/>
      <c r="BK28" s="1955"/>
      <c r="BL28" s="1955"/>
      <c r="BM28" s="1955"/>
      <c r="BN28" s="1955"/>
      <c r="BO28" s="1955"/>
      <c r="BP28" s="1955"/>
      <c r="BQ28" s="1955"/>
      <c r="BR28" s="1955"/>
      <c r="BS28" s="1955"/>
      <c r="BT28" s="1955"/>
      <c r="BU28" s="1955"/>
      <c r="BV28" s="1955"/>
      <c r="BW28" s="1955"/>
      <c r="BX28" s="1955"/>
      <c r="BY28" s="1955"/>
      <c r="BZ28" s="1955"/>
      <c r="CA28" s="1955"/>
      <c r="CB28" s="1955"/>
      <c r="CC28" s="1955"/>
      <c r="CD28" s="1955"/>
      <c r="CE28" s="1955"/>
      <c r="CF28" s="1955"/>
      <c r="CG28" s="1955"/>
      <c r="CH28" s="1955"/>
      <c r="CI28" s="1955"/>
      <c r="CJ28" s="1955"/>
      <c r="CK28" s="1955"/>
      <c r="CL28" s="1955"/>
      <c r="CM28" s="1955"/>
      <c r="CN28" s="1955"/>
      <c r="CO28" s="1955"/>
      <c r="CP28" s="1955"/>
      <c r="CQ28" s="1955"/>
      <c r="CR28" s="1955"/>
      <c r="CS28" s="1955"/>
      <c r="CT28" s="1955"/>
      <c r="CU28" s="1955"/>
      <c r="CV28" s="1955"/>
      <c r="CW28" s="1955"/>
      <c r="CX28" s="1955"/>
      <c r="CY28" s="1955"/>
      <c r="CZ28" s="1955"/>
      <c r="DA28" s="1955"/>
      <c r="DB28" s="1955"/>
      <c r="DC28" s="1955"/>
      <c r="DD28" s="1955"/>
      <c r="DE28" s="1955"/>
      <c r="DF28" s="1955"/>
    </row>
    <row r="29" spans="1:110" customFormat="1" ht="15.75">
      <c r="A29" s="1969" t="s">
        <v>11472</v>
      </c>
      <c r="B29" s="1970" t="s">
        <v>11082</v>
      </c>
      <c r="C29" s="1969" t="s">
        <v>11493</v>
      </c>
      <c r="D29" s="1971" t="s">
        <v>11494</v>
      </c>
      <c r="E29" s="1971" t="s">
        <v>11422</v>
      </c>
      <c r="F29" s="1971"/>
      <c r="G29" s="5191"/>
      <c r="H29" s="5191"/>
      <c r="I29" s="5191"/>
      <c r="J29" s="5191"/>
      <c r="K29" s="5191"/>
      <c r="L29" s="5191"/>
      <c r="M29" s="5191"/>
      <c r="N29" s="5205"/>
      <c r="O29" s="5237"/>
      <c r="P29" s="5262"/>
      <c r="Q29" s="5263"/>
      <c r="R29" s="5263"/>
      <c r="S29" s="5198"/>
      <c r="T29" s="5263"/>
      <c r="U29" s="5198"/>
      <c r="V29" s="5263"/>
      <c r="W29" s="5198"/>
      <c r="X29" s="5198"/>
      <c r="Y29" s="5241"/>
      <c r="Z29" s="5242"/>
      <c r="AA29" s="5198"/>
      <c r="AB29" s="1998">
        <v>-132</v>
      </c>
      <c r="AC29" s="1971" t="s">
        <v>11382</v>
      </c>
      <c r="AD29" s="1971" t="s">
        <v>11320</v>
      </c>
      <c r="AE29" s="1971" t="s">
        <v>11495</v>
      </c>
      <c r="AF29" s="1971" t="s">
        <v>11469</v>
      </c>
      <c r="AG29" s="1971" t="s">
        <v>11417</v>
      </c>
      <c r="AH29" s="1971" t="s">
        <v>11387</v>
      </c>
      <c r="AI29" s="1971" t="s">
        <v>11411</v>
      </c>
      <c r="AJ29" s="1971" t="s">
        <v>11496</v>
      </c>
      <c r="AK29" s="1971" t="s">
        <v>11471</v>
      </c>
      <c r="AL29" s="2005" t="s">
        <v>11497</v>
      </c>
      <c r="AM29" s="5286"/>
      <c r="AN29" s="5198"/>
      <c r="AO29" s="5198"/>
      <c r="AP29" s="5198"/>
      <c r="AQ29" s="5198"/>
      <c r="AR29" s="5203"/>
      <c r="AS29" s="1969" t="s">
        <v>11472</v>
      </c>
      <c r="AT29" s="1970" t="s">
        <v>11082</v>
      </c>
      <c r="AU29" s="2013"/>
      <c r="AV29" s="2013"/>
      <c r="AW29" s="2013"/>
      <c r="AX29" s="2013"/>
      <c r="AY29" s="2013"/>
      <c r="AZ29" s="2013"/>
      <c r="BA29" s="2013"/>
      <c r="BB29" s="2013"/>
      <c r="BC29" s="2013"/>
      <c r="BD29" s="2013"/>
      <c r="BE29" s="2013"/>
      <c r="BF29" s="2013"/>
      <c r="BG29" s="2013"/>
      <c r="BH29" s="2013"/>
      <c r="BI29" s="2013"/>
      <c r="BJ29" s="2013"/>
      <c r="BK29" s="2013"/>
      <c r="BL29" s="1955"/>
      <c r="BM29" s="1955"/>
      <c r="BN29" s="1955"/>
      <c r="BO29" s="1955"/>
      <c r="BP29" s="1955"/>
      <c r="BQ29" s="1955"/>
      <c r="BR29" s="1955"/>
      <c r="BS29" s="1955"/>
      <c r="BT29" s="1955"/>
      <c r="BU29" s="1955"/>
      <c r="BV29" s="1955"/>
      <c r="BW29" s="1955"/>
      <c r="BX29" s="1955"/>
      <c r="BY29" s="1955"/>
      <c r="BZ29" s="1955"/>
      <c r="CA29" s="1955"/>
      <c r="CB29" s="1955"/>
      <c r="CC29" s="1955"/>
      <c r="CD29" s="1955"/>
      <c r="CE29" s="1955"/>
      <c r="CF29" s="1955"/>
      <c r="CG29" s="1955"/>
      <c r="CH29" s="1955"/>
      <c r="CI29" s="1955"/>
      <c r="CJ29" s="1955"/>
      <c r="CK29" s="1955"/>
      <c r="CL29" s="1955"/>
      <c r="CM29" s="1955"/>
      <c r="CN29" s="1955"/>
      <c r="CO29" s="1955"/>
      <c r="CP29" s="1955"/>
      <c r="CQ29" s="1955"/>
      <c r="CR29" s="1955"/>
      <c r="CS29" s="1955"/>
      <c r="CT29" s="1955"/>
      <c r="CU29" s="1955"/>
      <c r="CV29" s="1955"/>
      <c r="CW29" s="1955"/>
      <c r="CX29" s="1955"/>
      <c r="CY29" s="1955"/>
      <c r="CZ29" s="1955"/>
      <c r="DA29" s="1955"/>
      <c r="DB29" s="1955"/>
      <c r="DC29" s="1955"/>
      <c r="DD29" s="1955"/>
      <c r="DE29" s="1955"/>
      <c r="DF29" s="1955"/>
    </row>
    <row r="30" spans="1:110" customFormat="1" ht="3" customHeight="1">
      <c r="A30" s="1955"/>
      <c r="B30" s="1955"/>
      <c r="C30" s="1955"/>
      <c r="D30" s="1955"/>
      <c r="E30" s="1955"/>
      <c r="F30" s="1955"/>
      <c r="G30" s="1955"/>
      <c r="H30" s="1955"/>
      <c r="I30" s="1955"/>
      <c r="J30" s="1955"/>
      <c r="K30" s="1955"/>
      <c r="L30" s="1955"/>
      <c r="M30" s="1986"/>
      <c r="N30" s="1955"/>
      <c r="O30" s="1955"/>
      <c r="P30" s="1955"/>
      <c r="Q30" s="1955"/>
      <c r="R30" s="1955"/>
      <c r="S30" s="1955"/>
      <c r="T30" s="1955"/>
      <c r="U30" s="1955"/>
      <c r="V30" s="1955"/>
      <c r="W30" s="1955"/>
      <c r="X30" s="1955"/>
      <c r="Y30" s="1955"/>
      <c r="Z30" s="1955"/>
      <c r="AA30" s="1955"/>
      <c r="AB30" s="1955"/>
      <c r="AC30" s="1955"/>
      <c r="AD30" s="1955"/>
      <c r="AE30" s="1955"/>
      <c r="AF30" s="1955"/>
      <c r="AG30" s="1955"/>
      <c r="AH30" s="1955"/>
      <c r="AI30" s="1955"/>
      <c r="AJ30" s="1955"/>
      <c r="AK30" s="1955"/>
      <c r="AL30" s="2006"/>
      <c r="AM30" s="1975"/>
      <c r="AN30" s="1975"/>
      <c r="AO30" s="1975"/>
      <c r="AP30" s="1975"/>
      <c r="AQ30" s="1975"/>
      <c r="AR30" s="1975"/>
      <c r="AS30" s="1955"/>
      <c r="AT30" s="1955"/>
      <c r="AU30" s="1975"/>
      <c r="AV30" s="1975"/>
      <c r="AW30" s="1975"/>
      <c r="AX30" s="1975"/>
      <c r="AY30" s="1975"/>
      <c r="AZ30" s="1975"/>
      <c r="BA30" s="1975"/>
      <c r="BB30" s="1975"/>
      <c r="BC30" s="1975"/>
      <c r="BD30" s="1975"/>
      <c r="BE30" s="1975"/>
      <c r="BF30" s="1975"/>
      <c r="BG30" s="1975"/>
      <c r="BH30" s="1975"/>
      <c r="BI30" s="1975"/>
      <c r="BJ30" s="1975"/>
      <c r="BK30" s="1975"/>
      <c r="BL30" s="1955"/>
      <c r="BM30" s="1955"/>
      <c r="BN30" s="1955"/>
      <c r="BO30" s="1955"/>
      <c r="BP30" s="1955"/>
      <c r="BQ30" s="1955"/>
      <c r="BR30" s="1955"/>
      <c r="BS30" s="1955"/>
      <c r="BT30" s="1955"/>
      <c r="BU30" s="1955"/>
      <c r="BV30" s="1955"/>
      <c r="BW30" s="1955"/>
      <c r="BX30" s="1955"/>
      <c r="BY30" s="1955"/>
      <c r="BZ30" s="1955"/>
      <c r="CA30" s="1955"/>
      <c r="CB30" s="1955"/>
      <c r="CC30" s="1955"/>
      <c r="CD30" s="1955"/>
      <c r="CE30" s="1955"/>
      <c r="CF30" s="1955"/>
      <c r="CG30" s="1955"/>
      <c r="CH30" s="1955"/>
      <c r="CI30" s="1955"/>
      <c r="CJ30" s="1955"/>
      <c r="CK30" s="1955"/>
      <c r="CL30" s="1955"/>
      <c r="CM30" s="1955"/>
      <c r="CN30" s="1955"/>
      <c r="CO30" s="1955"/>
      <c r="CP30" s="1955"/>
      <c r="CQ30" s="1955"/>
      <c r="CR30" s="1955"/>
      <c r="CS30" s="1955"/>
      <c r="CT30" s="1955"/>
      <c r="CU30" s="1955"/>
      <c r="CV30" s="1955"/>
      <c r="CW30" s="1955"/>
      <c r="CX30" s="1955"/>
      <c r="CY30" s="1955"/>
      <c r="CZ30" s="1955"/>
      <c r="DA30" s="1955"/>
      <c r="DB30" s="1955"/>
      <c r="DC30" s="1955"/>
      <c r="DD30" s="1955"/>
      <c r="DE30" s="1955"/>
      <c r="DF30" s="1955"/>
    </row>
    <row r="31" spans="1:110" customFormat="1" ht="15.75">
      <c r="A31" s="1972" t="s">
        <v>11082</v>
      </c>
      <c r="B31" s="1973" t="s">
        <v>11498</v>
      </c>
      <c r="C31" s="5245"/>
      <c r="D31" s="5245"/>
      <c r="E31" s="5245"/>
      <c r="F31" s="5245"/>
      <c r="G31" s="5245" t="s">
        <v>11352</v>
      </c>
      <c r="H31" s="5245" t="s">
        <v>11353</v>
      </c>
      <c r="I31" s="5245"/>
      <c r="J31" s="5245" t="s">
        <v>11499</v>
      </c>
      <c r="K31" s="5245"/>
      <c r="L31" s="5245" t="s">
        <v>11326</v>
      </c>
      <c r="M31" s="5245" t="s">
        <v>11095</v>
      </c>
      <c r="N31" s="5211" t="s">
        <v>11184</v>
      </c>
      <c r="O31" s="5243"/>
      <c r="P31" s="5245"/>
      <c r="Q31" s="5245"/>
      <c r="R31" s="5245"/>
      <c r="S31" s="5245" t="s">
        <v>11095</v>
      </c>
      <c r="T31" s="5211"/>
      <c r="U31" s="5245" t="s">
        <v>11191</v>
      </c>
      <c r="V31" s="5211"/>
      <c r="W31" s="5245" t="s">
        <v>11500</v>
      </c>
      <c r="X31" s="5211"/>
      <c r="Y31" s="5246" t="s">
        <v>11187</v>
      </c>
      <c r="Z31" s="5246"/>
      <c r="AA31" s="5245" t="s">
        <v>11501</v>
      </c>
      <c r="AB31" s="1974" t="s">
        <v>11245</v>
      </c>
      <c r="AC31" s="1974" t="s">
        <v>11374</v>
      </c>
      <c r="AD31" s="1974" t="s">
        <v>11348</v>
      </c>
      <c r="AE31" s="1974" t="s">
        <v>11385</v>
      </c>
      <c r="AF31" s="1999"/>
      <c r="AG31" s="1999"/>
      <c r="AH31" s="1999"/>
      <c r="AI31" s="1999"/>
      <c r="AJ31" s="1999"/>
      <c r="AK31" s="1978"/>
      <c r="AL31" s="2007"/>
      <c r="AM31" s="5287" t="s">
        <v>11047</v>
      </c>
      <c r="AN31" s="5245" t="s">
        <v>11048</v>
      </c>
      <c r="AO31" s="5245" t="s">
        <v>3389</v>
      </c>
      <c r="AP31" s="5245" t="s">
        <v>11051</v>
      </c>
      <c r="AQ31" s="5245" t="s">
        <v>11404</v>
      </c>
      <c r="AR31" s="5284"/>
      <c r="AS31" s="1972" t="s">
        <v>11082</v>
      </c>
      <c r="AT31" s="1973" t="s">
        <v>11498</v>
      </c>
      <c r="AU31" s="1975"/>
      <c r="AV31" s="1975"/>
      <c r="AW31" s="1975"/>
      <c r="AX31" s="1975"/>
      <c r="AY31" s="1975"/>
      <c r="AZ31" s="1975"/>
      <c r="BA31" s="1975"/>
      <c r="BB31" s="1975"/>
      <c r="BC31" s="1975"/>
      <c r="BD31" s="1975"/>
      <c r="BE31" s="1975"/>
      <c r="BF31" s="1975"/>
      <c r="BG31" s="1975"/>
      <c r="BH31" s="1975"/>
      <c r="BI31" s="1975"/>
      <c r="BJ31" s="1975"/>
      <c r="BK31" s="1975"/>
      <c r="BL31" s="1955"/>
      <c r="BM31" s="1955"/>
      <c r="BN31" s="1955"/>
      <c r="BO31" s="1955"/>
      <c r="BP31" s="1955"/>
      <c r="BQ31" s="1955"/>
      <c r="BR31" s="1955"/>
      <c r="BS31" s="1955"/>
      <c r="BT31" s="1955"/>
      <c r="BU31" s="1955"/>
      <c r="BV31" s="1955"/>
      <c r="BW31" s="1955"/>
      <c r="BX31" s="1955"/>
      <c r="BY31" s="1955"/>
      <c r="BZ31" s="1955"/>
      <c r="CA31" s="1955"/>
      <c r="CB31" s="1955"/>
      <c r="CC31" s="1955"/>
      <c r="CD31" s="1955"/>
      <c r="CE31" s="1955"/>
      <c r="CF31" s="1955"/>
      <c r="CG31" s="1955"/>
      <c r="CH31" s="1955"/>
      <c r="CI31" s="1955"/>
      <c r="CJ31" s="1955"/>
      <c r="CK31" s="1955"/>
      <c r="CL31" s="1955"/>
      <c r="CM31" s="1955"/>
      <c r="CN31" s="1955"/>
      <c r="CO31" s="1955"/>
      <c r="CP31" s="1955"/>
      <c r="CQ31" s="1955"/>
      <c r="CR31" s="1955"/>
      <c r="CS31" s="1955"/>
      <c r="CT31" s="1955"/>
      <c r="CU31" s="1955"/>
      <c r="CV31" s="1955"/>
      <c r="CW31" s="1955"/>
      <c r="CX31" s="1955"/>
      <c r="CY31" s="1955"/>
      <c r="CZ31" s="1955"/>
      <c r="DA31" s="1955"/>
      <c r="DB31" s="1955"/>
      <c r="DC31" s="1955"/>
      <c r="DD31" s="1955"/>
      <c r="DE31" s="1955"/>
      <c r="DF31" s="1955"/>
    </row>
    <row r="32" spans="1:110" customFormat="1" ht="15.75">
      <c r="A32" s="1966" t="s">
        <v>11084</v>
      </c>
      <c r="B32" s="1967" t="s">
        <v>11081</v>
      </c>
      <c r="C32" s="5234"/>
      <c r="D32" s="5234"/>
      <c r="E32" s="5234"/>
      <c r="F32" s="5234"/>
      <c r="G32" s="5234"/>
      <c r="H32" s="5234"/>
      <c r="I32" s="5234"/>
      <c r="J32" s="5234"/>
      <c r="K32" s="5234"/>
      <c r="L32" s="5234"/>
      <c r="M32" s="5234"/>
      <c r="N32" s="5214"/>
      <c r="O32" s="5233"/>
      <c r="P32" s="5234"/>
      <c r="Q32" s="5234"/>
      <c r="R32" s="5234"/>
      <c r="S32" s="5214"/>
      <c r="T32" s="5214"/>
      <c r="U32" s="5214"/>
      <c r="V32" s="5214"/>
      <c r="W32" s="5214"/>
      <c r="X32" s="5214"/>
      <c r="Y32" s="5247"/>
      <c r="Z32" s="5247"/>
      <c r="AA32" s="5234"/>
      <c r="AB32" s="1968" t="s">
        <v>11502</v>
      </c>
      <c r="AC32" s="1968" t="s">
        <v>11347</v>
      </c>
      <c r="AD32" s="1968" t="s">
        <v>11503</v>
      </c>
      <c r="AE32" s="1968" t="s">
        <v>11469</v>
      </c>
      <c r="AF32" s="2000"/>
      <c r="AG32" s="2000"/>
      <c r="AH32" s="2000"/>
      <c r="AI32" s="2000"/>
      <c r="AJ32" s="2000"/>
      <c r="AK32" s="1984"/>
      <c r="AL32" s="2008"/>
      <c r="AM32" s="5232"/>
      <c r="AN32" s="5234"/>
      <c r="AO32" s="5234"/>
      <c r="AP32" s="5234"/>
      <c r="AQ32" s="5234"/>
      <c r="AR32" s="5235"/>
      <c r="AS32" s="1966" t="s">
        <v>11084</v>
      </c>
      <c r="AT32" s="1967" t="s">
        <v>11081</v>
      </c>
      <c r="AU32" s="1975"/>
      <c r="AV32" s="1975"/>
      <c r="AW32" s="1975"/>
      <c r="AX32" s="1975"/>
      <c r="AY32" s="1975"/>
      <c r="AZ32" s="1975"/>
      <c r="BA32" s="1975"/>
      <c r="BB32" s="1975"/>
      <c r="BC32" s="1975"/>
      <c r="BD32" s="1975"/>
      <c r="BE32" s="1975"/>
      <c r="BF32" s="1975"/>
      <c r="BG32" s="1975"/>
      <c r="BH32" s="1975"/>
      <c r="BI32" s="1975"/>
      <c r="BJ32" s="1975"/>
      <c r="BK32" s="1975"/>
      <c r="BL32" s="1955"/>
      <c r="BM32" s="1955"/>
      <c r="BN32" s="1955"/>
      <c r="BO32" s="1955"/>
      <c r="BP32" s="1955"/>
      <c r="BQ32" s="1955"/>
      <c r="BR32" s="1955"/>
      <c r="BS32" s="1955"/>
      <c r="BT32" s="1955"/>
      <c r="BU32" s="1955"/>
      <c r="BV32" s="1955"/>
      <c r="BW32" s="1955"/>
      <c r="BX32" s="1955"/>
      <c r="BY32" s="1955"/>
      <c r="BZ32" s="1955"/>
      <c r="CA32" s="1955"/>
      <c r="CB32" s="1955"/>
      <c r="CC32" s="1955"/>
      <c r="CD32" s="1955"/>
      <c r="CE32" s="1955"/>
      <c r="CF32" s="1955"/>
      <c r="CG32" s="1955"/>
      <c r="CH32" s="1955"/>
      <c r="CI32" s="1955"/>
      <c r="CJ32" s="1955"/>
      <c r="CK32" s="1955"/>
      <c r="CL32" s="1955"/>
      <c r="CM32" s="1955"/>
      <c r="CN32" s="1955"/>
      <c r="CO32" s="1955"/>
      <c r="CP32" s="1955"/>
      <c r="CQ32" s="1955"/>
      <c r="CR32" s="1955"/>
      <c r="CS32" s="1955"/>
      <c r="CT32" s="1955"/>
      <c r="CU32" s="1955"/>
      <c r="CV32" s="1955"/>
      <c r="CW32" s="1955"/>
      <c r="CX32" s="1955"/>
      <c r="CY32" s="1955"/>
      <c r="CZ32" s="1955"/>
      <c r="DA32" s="1955"/>
      <c r="DB32" s="1955"/>
      <c r="DC32" s="1955"/>
      <c r="DD32" s="1955"/>
      <c r="DE32" s="1955"/>
      <c r="DF32" s="1955"/>
    </row>
    <row r="33" spans="1:110" customFormat="1" ht="15.75">
      <c r="A33" s="1966" t="s">
        <v>11081</v>
      </c>
      <c r="B33" s="1967" t="s">
        <v>11504</v>
      </c>
      <c r="C33" s="5234"/>
      <c r="D33" s="5234"/>
      <c r="E33" s="5234"/>
      <c r="F33" s="5234"/>
      <c r="G33" s="5234" t="s">
        <v>11227</v>
      </c>
      <c r="H33" s="5234" t="s">
        <v>11248</v>
      </c>
      <c r="I33" s="5234"/>
      <c r="J33" s="5234" t="s">
        <v>11213</v>
      </c>
      <c r="K33" s="5234"/>
      <c r="L33" s="5234" t="s">
        <v>11275</v>
      </c>
      <c r="M33" s="5234" t="s">
        <v>11095</v>
      </c>
      <c r="N33" s="5214"/>
      <c r="O33" s="5233"/>
      <c r="P33" s="5234"/>
      <c r="Q33" s="5234"/>
      <c r="R33" s="5234"/>
      <c r="S33" s="5234" t="s">
        <v>11095</v>
      </c>
      <c r="T33" s="5214"/>
      <c r="U33" s="5234" t="s">
        <v>11505</v>
      </c>
      <c r="V33" s="5214"/>
      <c r="W33" s="5234" t="s">
        <v>11209</v>
      </c>
      <c r="X33" s="5214"/>
      <c r="Y33" s="5247"/>
      <c r="Z33" s="5247"/>
      <c r="AA33" s="5234" t="s">
        <v>11267</v>
      </c>
      <c r="AB33" s="1968" t="s">
        <v>11506</v>
      </c>
      <c r="AC33" s="1968" t="s">
        <v>11375</v>
      </c>
      <c r="AD33" s="1968" t="s">
        <v>11507</v>
      </c>
      <c r="AE33" s="1968" t="s">
        <v>11409</v>
      </c>
      <c r="AF33" s="2000"/>
      <c r="AG33" s="2000"/>
      <c r="AH33" s="2000"/>
      <c r="AI33" s="2000"/>
      <c r="AJ33" s="2000"/>
      <c r="AK33" s="1984"/>
      <c r="AL33" s="2008"/>
      <c r="AM33" s="5232" t="s">
        <v>11047</v>
      </c>
      <c r="AN33" s="5234" t="s">
        <v>11049</v>
      </c>
      <c r="AO33" s="5234" t="s">
        <v>11050</v>
      </c>
      <c r="AP33" s="5234" t="s">
        <v>11097</v>
      </c>
      <c r="AQ33" s="5234" t="s">
        <v>3409</v>
      </c>
      <c r="AR33" s="5235"/>
      <c r="AS33" s="1966" t="s">
        <v>11081</v>
      </c>
      <c r="AT33" s="1967" t="s">
        <v>11504</v>
      </c>
      <c r="AU33" s="1975"/>
      <c r="AV33" s="1975"/>
      <c r="AW33" s="1975"/>
      <c r="AX33" s="1975"/>
      <c r="AY33" s="1975"/>
      <c r="AZ33" s="1975"/>
      <c r="BA33" s="1975"/>
      <c r="BB33" s="1975"/>
      <c r="BC33" s="1975"/>
      <c r="BD33" s="1975"/>
      <c r="BE33" s="1975"/>
      <c r="BF33" s="1975"/>
      <c r="BG33" s="1975"/>
      <c r="BH33" s="1975"/>
      <c r="BI33" s="1975"/>
      <c r="BJ33" s="1975"/>
      <c r="BK33" s="1975"/>
      <c r="BL33" s="1955"/>
      <c r="BM33" s="1955"/>
      <c r="BN33" s="1955"/>
      <c r="BO33" s="1955"/>
      <c r="BP33" s="1955"/>
      <c r="BQ33" s="1955"/>
      <c r="BR33" s="1955"/>
      <c r="BS33" s="1955"/>
      <c r="BT33" s="1955"/>
      <c r="BU33" s="1955"/>
      <c r="BV33" s="1955"/>
      <c r="BW33" s="1955"/>
      <c r="BX33" s="1955"/>
      <c r="BY33" s="1955"/>
      <c r="BZ33" s="1955"/>
      <c r="CA33" s="1955"/>
      <c r="CB33" s="1955"/>
      <c r="CC33" s="1955"/>
      <c r="CD33" s="1955"/>
      <c r="CE33" s="1955"/>
      <c r="CF33" s="1955"/>
      <c r="CG33" s="1955"/>
      <c r="CH33" s="1955"/>
      <c r="CI33" s="1955"/>
      <c r="CJ33" s="1955"/>
      <c r="CK33" s="1955"/>
      <c r="CL33" s="1955"/>
      <c r="CM33" s="1955"/>
      <c r="CN33" s="1955"/>
      <c r="CO33" s="1955"/>
      <c r="CP33" s="1955"/>
      <c r="CQ33" s="1955"/>
      <c r="CR33" s="1955"/>
      <c r="CS33" s="1955"/>
      <c r="CT33" s="1955"/>
      <c r="CU33" s="1955"/>
      <c r="CV33" s="1955"/>
      <c r="CW33" s="1955"/>
      <c r="CX33" s="1955"/>
      <c r="CY33" s="1955"/>
      <c r="CZ33" s="1955"/>
      <c r="DA33" s="1955"/>
      <c r="DB33" s="1955"/>
      <c r="DC33" s="1955"/>
      <c r="DD33" s="1955"/>
      <c r="DE33" s="1955"/>
      <c r="DF33" s="1955"/>
    </row>
    <row r="34" spans="1:110" customFormat="1" ht="15.75">
      <c r="A34" s="1966" t="s">
        <v>11504</v>
      </c>
      <c r="B34" s="1967" t="s">
        <v>11086</v>
      </c>
      <c r="C34" s="5234"/>
      <c r="D34" s="5234"/>
      <c r="E34" s="5234"/>
      <c r="F34" s="5234"/>
      <c r="G34" s="5234"/>
      <c r="H34" s="5234"/>
      <c r="I34" s="5234"/>
      <c r="J34" s="5234"/>
      <c r="K34" s="5234"/>
      <c r="L34" s="5234"/>
      <c r="M34" s="5234"/>
      <c r="N34" s="5214"/>
      <c r="O34" s="5233"/>
      <c r="P34" s="5234"/>
      <c r="Q34" s="5234"/>
      <c r="R34" s="5234"/>
      <c r="S34" s="5214"/>
      <c r="T34" s="5214"/>
      <c r="U34" s="5214"/>
      <c r="V34" s="5214"/>
      <c r="W34" s="5214"/>
      <c r="X34" s="5214"/>
      <c r="Y34" s="5247"/>
      <c r="Z34" s="5247"/>
      <c r="AA34" s="5234"/>
      <c r="AB34" s="1968" t="s">
        <v>11508</v>
      </c>
      <c r="AC34" s="1968" t="s">
        <v>11383</v>
      </c>
      <c r="AD34" s="1968" t="s">
        <v>11509</v>
      </c>
      <c r="AE34" s="1968" t="s">
        <v>11510</v>
      </c>
      <c r="AF34" s="2000"/>
      <c r="AG34" s="2000"/>
      <c r="AH34" s="2000"/>
      <c r="AI34" s="2000"/>
      <c r="AJ34" s="2000"/>
      <c r="AK34" s="1984"/>
      <c r="AL34" s="2008"/>
      <c r="AM34" s="5232"/>
      <c r="AN34" s="5234"/>
      <c r="AO34" s="5234"/>
      <c r="AP34" s="5234"/>
      <c r="AQ34" s="5234"/>
      <c r="AR34" s="5235"/>
      <c r="AS34" s="1966" t="s">
        <v>11504</v>
      </c>
      <c r="AT34" s="1967" t="s">
        <v>11086</v>
      </c>
      <c r="AU34" s="1975"/>
      <c r="AV34" s="1975"/>
      <c r="AW34" s="1975"/>
      <c r="AX34" s="1975"/>
      <c r="AY34" s="1975"/>
      <c r="AZ34" s="1975"/>
      <c r="BA34" s="1975"/>
      <c r="BB34" s="1975"/>
      <c r="BC34" s="1975"/>
      <c r="BD34" s="1975"/>
      <c r="BE34" s="1975"/>
      <c r="BF34" s="1975"/>
      <c r="BG34" s="1975"/>
      <c r="BH34" s="1975"/>
      <c r="BI34" s="1975"/>
      <c r="BJ34" s="1975"/>
      <c r="BK34" s="1975"/>
      <c r="BL34" s="1955"/>
      <c r="BM34" s="1955"/>
      <c r="BN34" s="1955"/>
      <c r="BO34" s="1955"/>
      <c r="BP34" s="1955"/>
      <c r="BQ34" s="1955"/>
      <c r="BR34" s="1955"/>
      <c r="BS34" s="1955"/>
      <c r="BT34" s="1955"/>
      <c r="BU34" s="1955"/>
      <c r="BV34" s="1955"/>
      <c r="BW34" s="1955"/>
      <c r="BX34" s="1955"/>
      <c r="BY34" s="1955"/>
      <c r="BZ34" s="1955"/>
      <c r="CA34" s="1955"/>
      <c r="CB34" s="1955"/>
      <c r="CC34" s="1955"/>
      <c r="CD34" s="1955"/>
      <c r="CE34" s="1955"/>
      <c r="CF34" s="1955"/>
      <c r="CG34" s="1955"/>
      <c r="CH34" s="1955"/>
      <c r="CI34" s="1955"/>
      <c r="CJ34" s="1955"/>
      <c r="CK34" s="1955"/>
      <c r="CL34" s="1955"/>
      <c r="CM34" s="1955"/>
      <c r="CN34" s="1955"/>
      <c r="CO34" s="1955"/>
      <c r="CP34" s="1955"/>
      <c r="CQ34" s="1955"/>
      <c r="CR34" s="1955"/>
      <c r="CS34" s="1955"/>
      <c r="CT34" s="1955"/>
      <c r="CU34" s="1955"/>
      <c r="CV34" s="1955"/>
      <c r="CW34" s="1955"/>
      <c r="CX34" s="1955"/>
      <c r="CY34" s="1955"/>
      <c r="CZ34" s="1955"/>
      <c r="DA34" s="1955"/>
      <c r="DB34" s="1955"/>
      <c r="DC34" s="1955"/>
      <c r="DD34" s="1955"/>
      <c r="DE34" s="1955"/>
      <c r="DF34" s="1955"/>
    </row>
    <row r="35" spans="1:110" customFormat="1" ht="15.75">
      <c r="A35" s="1966" t="s">
        <v>11086</v>
      </c>
      <c r="B35" s="1967" t="s">
        <v>11511</v>
      </c>
      <c r="C35" s="5234"/>
      <c r="D35" s="5234"/>
      <c r="E35" s="5234"/>
      <c r="F35" s="5234"/>
      <c r="G35" s="5234" t="s">
        <v>11286</v>
      </c>
      <c r="H35" s="5234" t="s">
        <v>11272</v>
      </c>
      <c r="I35" s="5234"/>
      <c r="J35" s="5234" t="s">
        <v>11512</v>
      </c>
      <c r="K35" s="5234"/>
      <c r="L35" s="5234" t="s">
        <v>11356</v>
      </c>
      <c r="M35" s="5234" t="s">
        <v>11095</v>
      </c>
      <c r="N35" s="5214"/>
      <c r="O35" s="5233"/>
      <c r="P35" s="5234"/>
      <c r="Q35" s="5234"/>
      <c r="R35" s="5234"/>
      <c r="S35" s="5234" t="s">
        <v>11095</v>
      </c>
      <c r="T35" s="5214"/>
      <c r="U35" s="5234" t="s">
        <v>11223</v>
      </c>
      <c r="V35" s="5214"/>
      <c r="W35" s="5234" t="s">
        <v>11428</v>
      </c>
      <c r="X35" s="5214"/>
      <c r="Y35" s="5247"/>
      <c r="Z35" s="5247"/>
      <c r="AA35" s="5234" t="s">
        <v>11370</v>
      </c>
      <c r="AB35" s="1968" t="s">
        <v>11319</v>
      </c>
      <c r="AC35" s="1968" t="s">
        <v>11513</v>
      </c>
      <c r="AD35" s="1968" t="s">
        <v>11366</v>
      </c>
      <c r="AE35" s="1968" t="s">
        <v>11514</v>
      </c>
      <c r="AF35" s="2000"/>
      <c r="AG35" s="2000"/>
      <c r="AH35" s="2000"/>
      <c r="AI35" s="2000"/>
      <c r="AJ35" s="2000"/>
      <c r="AK35" s="1984"/>
      <c r="AL35" s="2008"/>
      <c r="AM35" s="5232" t="s">
        <v>11048</v>
      </c>
      <c r="AN35" s="5234" t="s">
        <v>11049</v>
      </c>
      <c r="AO35" s="5234" t="s">
        <v>11051</v>
      </c>
      <c r="AP35" s="5234" t="s">
        <v>11063</v>
      </c>
      <c r="AQ35" s="5234" t="s">
        <v>11492</v>
      </c>
      <c r="AR35" s="5235"/>
      <c r="AS35" s="1966" t="s">
        <v>11086</v>
      </c>
      <c r="AT35" s="1967" t="s">
        <v>11511</v>
      </c>
      <c r="AU35" s="1975"/>
      <c r="AV35" s="1975"/>
      <c r="AW35" s="1975"/>
      <c r="AX35" s="1975"/>
      <c r="AY35" s="1975"/>
      <c r="AZ35" s="1975"/>
      <c r="BA35" s="1975"/>
      <c r="BB35" s="1975"/>
      <c r="BC35" s="1975"/>
      <c r="BD35" s="1975"/>
      <c r="BE35" s="1975"/>
      <c r="BF35" s="1975"/>
      <c r="BG35" s="1975"/>
      <c r="BH35" s="1975"/>
      <c r="BI35" s="1975"/>
      <c r="BJ35" s="1975"/>
      <c r="BK35" s="1975"/>
      <c r="BL35" s="1955"/>
      <c r="BM35" s="1955"/>
      <c r="BN35" s="1955"/>
      <c r="BO35" s="1955"/>
      <c r="BP35" s="1955"/>
      <c r="BQ35" s="1955"/>
      <c r="BR35" s="1955"/>
      <c r="BS35" s="1955"/>
      <c r="BT35" s="1955"/>
      <c r="BU35" s="1955"/>
      <c r="BV35" s="1955"/>
      <c r="BW35" s="1955"/>
      <c r="BX35" s="1955"/>
      <c r="BY35" s="1955"/>
      <c r="BZ35" s="1955"/>
      <c r="CA35" s="1955"/>
      <c r="CB35" s="1955"/>
      <c r="CC35" s="1955"/>
      <c r="CD35" s="1955"/>
      <c r="CE35" s="1955"/>
      <c r="CF35" s="1955"/>
      <c r="CG35" s="1955"/>
      <c r="CH35" s="1955"/>
      <c r="CI35" s="1955"/>
      <c r="CJ35" s="1955"/>
      <c r="CK35" s="1955"/>
      <c r="CL35" s="1955"/>
      <c r="CM35" s="1955"/>
      <c r="CN35" s="1955"/>
      <c r="CO35" s="1955"/>
      <c r="CP35" s="1955"/>
      <c r="CQ35" s="1955"/>
      <c r="CR35" s="1955"/>
      <c r="CS35" s="1955"/>
      <c r="CT35" s="1955"/>
      <c r="CU35" s="1955"/>
      <c r="CV35" s="1955"/>
      <c r="CW35" s="1955"/>
      <c r="CX35" s="1955"/>
      <c r="CY35" s="1955"/>
      <c r="CZ35" s="1955"/>
      <c r="DA35" s="1955"/>
      <c r="DB35" s="1955"/>
      <c r="DC35" s="1955"/>
      <c r="DD35" s="1955"/>
      <c r="DE35" s="1955"/>
      <c r="DF35" s="1955"/>
    </row>
    <row r="36" spans="1:110" customFormat="1" ht="15.75">
      <c r="A36" s="1966" t="s">
        <v>11511</v>
      </c>
      <c r="B36" s="1967" t="s">
        <v>11083</v>
      </c>
      <c r="C36" s="5234"/>
      <c r="D36" s="5234"/>
      <c r="E36" s="5234"/>
      <c r="F36" s="5234"/>
      <c r="G36" s="5234"/>
      <c r="H36" s="5234"/>
      <c r="I36" s="5234"/>
      <c r="J36" s="5234"/>
      <c r="K36" s="5234"/>
      <c r="L36" s="5234"/>
      <c r="M36" s="5234"/>
      <c r="N36" s="5214"/>
      <c r="O36" s="5233"/>
      <c r="P36" s="5234"/>
      <c r="Q36" s="5234"/>
      <c r="R36" s="5234"/>
      <c r="S36" s="5214"/>
      <c r="T36" s="5214"/>
      <c r="U36" s="5214"/>
      <c r="V36" s="5214"/>
      <c r="W36" s="5214"/>
      <c r="X36" s="5214"/>
      <c r="Y36" s="5247"/>
      <c r="Z36" s="5247"/>
      <c r="AA36" s="5234"/>
      <c r="AB36" s="1968" t="s">
        <v>11515</v>
      </c>
      <c r="AC36" s="1968" t="s">
        <v>11365</v>
      </c>
      <c r="AD36" s="1968" t="s">
        <v>11516</v>
      </c>
      <c r="AE36" s="1968" t="s">
        <v>11418</v>
      </c>
      <c r="AF36" s="2000"/>
      <c r="AG36" s="2000"/>
      <c r="AH36" s="2000"/>
      <c r="AI36" s="2000"/>
      <c r="AJ36" s="2000"/>
      <c r="AK36" s="1984"/>
      <c r="AL36" s="2008"/>
      <c r="AM36" s="5232"/>
      <c r="AN36" s="5234"/>
      <c r="AO36" s="5234"/>
      <c r="AP36" s="5234"/>
      <c r="AQ36" s="5234"/>
      <c r="AR36" s="5235"/>
      <c r="AS36" s="1966" t="s">
        <v>11511</v>
      </c>
      <c r="AT36" s="1967" t="s">
        <v>11083</v>
      </c>
      <c r="AU36" s="1975"/>
      <c r="AV36" s="1975"/>
      <c r="AW36" s="1975"/>
      <c r="AX36" s="1975"/>
      <c r="AY36" s="1975"/>
      <c r="AZ36" s="1975"/>
      <c r="BA36" s="1975"/>
      <c r="BB36" s="1975"/>
      <c r="BC36" s="1975"/>
      <c r="BD36" s="1975"/>
      <c r="BE36" s="1975"/>
      <c r="BF36" s="1975"/>
      <c r="BG36" s="1975"/>
      <c r="BH36" s="1975"/>
      <c r="BI36" s="1975"/>
      <c r="BJ36" s="1975"/>
      <c r="BK36" s="1975"/>
      <c r="BL36" s="1955"/>
      <c r="BM36" s="1955"/>
      <c r="BN36" s="1955"/>
      <c r="BO36" s="1955"/>
      <c r="BP36" s="1955"/>
      <c r="BQ36" s="1955"/>
      <c r="BR36" s="1955"/>
      <c r="BS36" s="1955"/>
      <c r="BT36" s="1955"/>
      <c r="BU36" s="1955"/>
      <c r="BV36" s="1955"/>
      <c r="BW36" s="1955"/>
      <c r="BX36" s="1955"/>
      <c r="BY36" s="1955"/>
      <c r="BZ36" s="1955"/>
      <c r="CA36" s="1955"/>
      <c r="CB36" s="1955"/>
      <c r="CC36" s="1955"/>
      <c r="CD36" s="1955"/>
      <c r="CE36" s="1955"/>
      <c r="CF36" s="1955"/>
      <c r="CG36" s="1955"/>
      <c r="CH36" s="1955"/>
      <c r="CI36" s="1955"/>
      <c r="CJ36" s="1955"/>
      <c r="CK36" s="1955"/>
      <c r="CL36" s="1955"/>
      <c r="CM36" s="1955"/>
      <c r="CN36" s="1955"/>
      <c r="CO36" s="1955"/>
      <c r="CP36" s="1955"/>
      <c r="CQ36" s="1955"/>
      <c r="CR36" s="1955"/>
      <c r="CS36" s="1955"/>
      <c r="CT36" s="1955"/>
      <c r="CU36" s="1955"/>
      <c r="CV36" s="1955"/>
      <c r="CW36" s="1955"/>
      <c r="CX36" s="1955"/>
      <c r="CY36" s="1955"/>
      <c r="CZ36" s="1955"/>
      <c r="DA36" s="1955"/>
      <c r="DB36" s="1955"/>
      <c r="DC36" s="1955"/>
      <c r="DD36" s="1955"/>
      <c r="DE36" s="1955"/>
      <c r="DF36" s="1955"/>
    </row>
    <row r="37" spans="1:110" customFormat="1" ht="15.75">
      <c r="A37" s="1966" t="s">
        <v>11083</v>
      </c>
      <c r="B37" s="1967" t="s">
        <v>11517</v>
      </c>
      <c r="C37" s="5234"/>
      <c r="D37" s="5234"/>
      <c r="E37" s="5234"/>
      <c r="F37" s="5234"/>
      <c r="G37" s="5234" t="s">
        <v>11518</v>
      </c>
      <c r="H37" s="5234" t="s">
        <v>11519</v>
      </c>
      <c r="I37" s="5234"/>
      <c r="J37" s="5234" t="s">
        <v>11520</v>
      </c>
      <c r="K37" s="5234"/>
      <c r="L37" s="5234" t="s">
        <v>11299</v>
      </c>
      <c r="M37" s="5234" t="s">
        <v>11095</v>
      </c>
      <c r="N37" s="5214"/>
      <c r="O37" s="5233"/>
      <c r="P37" s="5234"/>
      <c r="Q37" s="5234"/>
      <c r="R37" s="5234"/>
      <c r="S37" s="5234" t="s">
        <v>11095</v>
      </c>
      <c r="T37" s="5214"/>
      <c r="U37" s="5234" t="s">
        <v>11193</v>
      </c>
      <c r="V37" s="5214"/>
      <c r="W37" s="5234" t="s">
        <v>11304</v>
      </c>
      <c r="X37" s="5214"/>
      <c r="Y37" s="5247"/>
      <c r="Z37" s="5247"/>
      <c r="AA37" s="5234" t="s">
        <v>11316</v>
      </c>
      <c r="AB37" s="1968" t="s">
        <v>11521</v>
      </c>
      <c r="AC37" s="1968" t="s">
        <v>11399</v>
      </c>
      <c r="AD37" s="1968" t="s">
        <v>11386</v>
      </c>
      <c r="AE37" s="1968" t="s">
        <v>11402</v>
      </c>
      <c r="AF37" s="2000"/>
      <c r="AG37" s="2000"/>
      <c r="AH37" s="2000"/>
      <c r="AI37" s="2000"/>
      <c r="AJ37" s="2000"/>
      <c r="AK37" s="1984"/>
      <c r="AL37" s="2008"/>
      <c r="AM37" s="5232" t="s">
        <v>11048</v>
      </c>
      <c r="AN37" s="5234" t="s">
        <v>9828</v>
      </c>
      <c r="AO37" s="5234" t="s">
        <v>11097</v>
      </c>
      <c r="AP37" s="5234" t="s">
        <v>11111</v>
      </c>
      <c r="AQ37" s="5234" t="s">
        <v>11109</v>
      </c>
      <c r="AR37" s="5235"/>
      <c r="AS37" s="1966" t="s">
        <v>11083</v>
      </c>
      <c r="AT37" s="1967" t="s">
        <v>11517</v>
      </c>
      <c r="AU37" s="1975"/>
      <c r="AV37" s="1975"/>
      <c r="AW37" s="1975"/>
      <c r="AX37" s="1975"/>
      <c r="AY37" s="1975"/>
      <c r="AZ37" s="1975"/>
      <c r="BA37" s="1975"/>
      <c r="BB37" s="1975"/>
      <c r="BC37" s="1975"/>
      <c r="BD37" s="1975"/>
      <c r="BE37" s="1975"/>
      <c r="BF37" s="1975"/>
      <c r="BG37" s="1975"/>
      <c r="BH37" s="1975"/>
      <c r="BI37" s="1975"/>
      <c r="BJ37" s="1975"/>
      <c r="BK37" s="1975"/>
      <c r="BL37" s="1955"/>
      <c r="BM37" s="1955"/>
      <c r="BN37" s="1955"/>
      <c r="BO37" s="1955"/>
      <c r="BP37" s="1955"/>
      <c r="BQ37" s="1955"/>
      <c r="BR37" s="1955"/>
      <c r="BS37" s="1955"/>
      <c r="BT37" s="1955"/>
      <c r="BU37" s="1955"/>
      <c r="BV37" s="1955"/>
      <c r="BW37" s="1955"/>
      <c r="BX37" s="1955"/>
      <c r="BY37" s="1955"/>
      <c r="BZ37" s="1955"/>
      <c r="CA37" s="1955"/>
      <c r="CB37" s="1955"/>
      <c r="CC37" s="1955"/>
      <c r="CD37" s="1955"/>
      <c r="CE37" s="1955"/>
      <c r="CF37" s="1955"/>
      <c r="CG37" s="1955"/>
      <c r="CH37" s="1955"/>
      <c r="CI37" s="1955"/>
      <c r="CJ37" s="1955"/>
      <c r="CK37" s="1955"/>
      <c r="CL37" s="1955"/>
      <c r="CM37" s="1955"/>
      <c r="CN37" s="1955"/>
      <c r="CO37" s="1955"/>
      <c r="CP37" s="1955"/>
      <c r="CQ37" s="1955"/>
      <c r="CR37" s="1955"/>
      <c r="CS37" s="1955"/>
      <c r="CT37" s="1955"/>
      <c r="CU37" s="1955"/>
      <c r="CV37" s="1955"/>
      <c r="CW37" s="1955"/>
      <c r="CX37" s="1955"/>
      <c r="CY37" s="1955"/>
      <c r="CZ37" s="1955"/>
      <c r="DA37" s="1955"/>
      <c r="DB37" s="1955"/>
      <c r="DC37" s="1955"/>
      <c r="DD37" s="1955"/>
      <c r="DE37" s="1955"/>
      <c r="DF37" s="1955"/>
    </row>
    <row r="38" spans="1:110" customFormat="1" ht="15.75">
      <c r="A38" s="1966" t="s">
        <v>11517</v>
      </c>
      <c r="B38" s="1967" t="s">
        <v>11137</v>
      </c>
      <c r="C38" s="5234"/>
      <c r="D38" s="5234"/>
      <c r="E38" s="5234"/>
      <c r="F38" s="5234"/>
      <c r="G38" s="5234"/>
      <c r="H38" s="5234"/>
      <c r="I38" s="5234"/>
      <c r="J38" s="5234"/>
      <c r="K38" s="5234"/>
      <c r="L38" s="5234"/>
      <c r="M38" s="5234"/>
      <c r="N38" s="5214"/>
      <c r="O38" s="5233"/>
      <c r="P38" s="5234"/>
      <c r="Q38" s="5234"/>
      <c r="R38" s="5234"/>
      <c r="S38" s="5214"/>
      <c r="T38" s="5214"/>
      <c r="U38" s="5214"/>
      <c r="V38" s="5214"/>
      <c r="W38" s="5214"/>
      <c r="X38" s="5214"/>
      <c r="Y38" s="5247"/>
      <c r="Z38" s="5247"/>
      <c r="AA38" s="5234"/>
      <c r="AB38" s="1968" t="s">
        <v>11522</v>
      </c>
      <c r="AC38" s="1968" t="s">
        <v>11432</v>
      </c>
      <c r="AD38" s="1968" t="s">
        <v>11510</v>
      </c>
      <c r="AE38" s="1968" t="s">
        <v>11443</v>
      </c>
      <c r="AF38" s="2000"/>
      <c r="AG38" s="2000"/>
      <c r="AH38" s="2000"/>
      <c r="AI38" s="2000"/>
      <c r="AJ38" s="2000"/>
      <c r="AK38" s="1984"/>
      <c r="AL38" s="2008"/>
      <c r="AM38" s="5232"/>
      <c r="AN38" s="5234"/>
      <c r="AO38" s="5234"/>
      <c r="AP38" s="5234"/>
      <c r="AQ38" s="5234"/>
      <c r="AR38" s="5235"/>
      <c r="AS38" s="1966" t="s">
        <v>11517</v>
      </c>
      <c r="AT38" s="1967" t="s">
        <v>11137</v>
      </c>
      <c r="AU38" s="1975"/>
      <c r="AV38" s="1975"/>
      <c r="AW38" s="1975"/>
      <c r="AX38" s="1975"/>
      <c r="AY38" s="1975"/>
      <c r="AZ38" s="1975"/>
      <c r="BA38" s="1975"/>
      <c r="BB38" s="1975"/>
      <c r="BC38" s="1975"/>
      <c r="BD38" s="1975"/>
      <c r="BE38" s="1975"/>
      <c r="BF38" s="1975"/>
      <c r="BG38" s="1975"/>
      <c r="BH38" s="1975"/>
      <c r="BI38" s="1975"/>
      <c r="BJ38" s="1975"/>
      <c r="BK38" s="1975"/>
      <c r="BL38" s="1955"/>
      <c r="BM38" s="1955"/>
      <c r="BN38" s="1955"/>
      <c r="BO38" s="1955"/>
      <c r="BP38" s="1955"/>
      <c r="BQ38" s="1955"/>
      <c r="BR38" s="1955"/>
      <c r="BS38" s="1955"/>
      <c r="BT38" s="1955"/>
      <c r="BU38" s="1955"/>
      <c r="BV38" s="1955"/>
      <c r="BW38" s="1955"/>
      <c r="BX38" s="1955"/>
      <c r="BY38" s="1955"/>
      <c r="BZ38" s="1955"/>
      <c r="CA38" s="1955"/>
      <c r="CB38" s="1955"/>
      <c r="CC38" s="1955"/>
      <c r="CD38" s="1955"/>
      <c r="CE38" s="1955"/>
      <c r="CF38" s="1955"/>
      <c r="CG38" s="1955"/>
      <c r="CH38" s="1955"/>
      <c r="CI38" s="1955"/>
      <c r="CJ38" s="1955"/>
      <c r="CK38" s="1955"/>
      <c r="CL38" s="1955"/>
      <c r="CM38" s="1955"/>
      <c r="CN38" s="1955"/>
      <c r="CO38" s="1955"/>
      <c r="CP38" s="1955"/>
      <c r="CQ38" s="1955"/>
      <c r="CR38" s="1955"/>
      <c r="CS38" s="1955"/>
      <c r="CT38" s="1955"/>
      <c r="CU38" s="1955"/>
      <c r="CV38" s="1955"/>
      <c r="CW38" s="1955"/>
      <c r="CX38" s="1955"/>
      <c r="CY38" s="1955"/>
      <c r="CZ38" s="1955"/>
      <c r="DA38" s="1955"/>
      <c r="DB38" s="1955"/>
      <c r="DC38" s="1955"/>
      <c r="DD38" s="1955"/>
      <c r="DE38" s="1955"/>
      <c r="DF38" s="1955"/>
    </row>
    <row r="39" spans="1:110" customFormat="1" ht="15.75">
      <c r="A39" s="1966" t="s">
        <v>11137</v>
      </c>
      <c r="B39" s="1967" t="s">
        <v>11523</v>
      </c>
      <c r="C39" s="5234"/>
      <c r="D39" s="5234"/>
      <c r="E39" s="5234"/>
      <c r="F39" s="5234"/>
      <c r="G39" s="5234" t="s">
        <v>11524</v>
      </c>
      <c r="H39" s="5234" t="s">
        <v>11323</v>
      </c>
      <c r="I39" s="5234"/>
      <c r="J39" s="5234" t="s">
        <v>11249</v>
      </c>
      <c r="K39" s="5234"/>
      <c r="L39" s="5234" t="s">
        <v>11197</v>
      </c>
      <c r="M39" s="5234" t="s">
        <v>11095</v>
      </c>
      <c r="N39" s="5214"/>
      <c r="O39" s="5233"/>
      <c r="P39" s="5234"/>
      <c r="Q39" s="5234"/>
      <c r="R39" s="5234"/>
      <c r="S39" s="5234" t="s">
        <v>11095</v>
      </c>
      <c r="T39" s="5214"/>
      <c r="U39" s="5234" t="s">
        <v>11264</v>
      </c>
      <c r="V39" s="5214"/>
      <c r="W39" s="5234" t="s">
        <v>11501</v>
      </c>
      <c r="X39" s="5214"/>
      <c r="Y39" s="5247"/>
      <c r="Z39" s="5247"/>
      <c r="AA39" s="5234" t="s">
        <v>11414</v>
      </c>
      <c r="AB39" s="1968" t="s">
        <v>11311</v>
      </c>
      <c r="AC39" s="1968" t="s">
        <v>11416</v>
      </c>
      <c r="AD39" s="1968" t="s">
        <v>11410</v>
      </c>
      <c r="AE39" s="1968" t="s">
        <v>11489</v>
      </c>
      <c r="AF39" s="2000"/>
      <c r="AG39" s="2000"/>
      <c r="AH39" s="2000"/>
      <c r="AI39" s="2000"/>
      <c r="AJ39" s="2000"/>
      <c r="AK39" s="1984"/>
      <c r="AL39" s="2008"/>
      <c r="AM39" s="5232" t="s">
        <v>9825</v>
      </c>
      <c r="AN39" s="5234" t="s">
        <v>3389</v>
      </c>
      <c r="AO39" s="5234" t="s">
        <v>11063</v>
      </c>
      <c r="AP39" s="5234" t="s">
        <v>11123</v>
      </c>
      <c r="AQ39" s="5234" t="s">
        <v>11525</v>
      </c>
      <c r="AR39" s="5235"/>
      <c r="AS39" s="1966" t="s">
        <v>11137</v>
      </c>
      <c r="AT39" s="1967" t="s">
        <v>11523</v>
      </c>
      <c r="AU39" s="1975"/>
      <c r="AV39" s="1975"/>
      <c r="AW39" s="1975"/>
      <c r="AX39" s="1975"/>
      <c r="AY39" s="1975"/>
      <c r="AZ39" s="1975"/>
      <c r="BA39" s="1975"/>
      <c r="BB39" s="1975"/>
      <c r="BC39" s="1975"/>
      <c r="BD39" s="1975"/>
      <c r="BE39" s="1975"/>
      <c r="BF39" s="1975"/>
      <c r="BG39" s="1975"/>
      <c r="BH39" s="1975"/>
      <c r="BI39" s="1975"/>
      <c r="BJ39" s="1975"/>
      <c r="BK39" s="1975"/>
      <c r="BL39" s="1955"/>
      <c r="BM39" s="1955"/>
      <c r="BN39" s="1955"/>
      <c r="BO39" s="1955"/>
      <c r="BP39" s="1955"/>
      <c r="BQ39" s="1955"/>
      <c r="BR39" s="1955"/>
      <c r="BS39" s="1955"/>
      <c r="BT39" s="1955"/>
      <c r="BU39" s="1955"/>
      <c r="BV39" s="1955"/>
      <c r="BW39" s="1955"/>
      <c r="BX39" s="1955"/>
      <c r="BY39" s="1955"/>
      <c r="BZ39" s="1955"/>
      <c r="CA39" s="1955"/>
      <c r="CB39" s="1955"/>
      <c r="CC39" s="1955"/>
      <c r="CD39" s="1955"/>
      <c r="CE39" s="1955"/>
      <c r="CF39" s="1955"/>
      <c r="CG39" s="1955"/>
      <c r="CH39" s="1955"/>
      <c r="CI39" s="1955"/>
      <c r="CJ39" s="1955"/>
      <c r="CK39" s="1955"/>
      <c r="CL39" s="1955"/>
      <c r="CM39" s="1955"/>
      <c r="CN39" s="1955"/>
      <c r="CO39" s="1955"/>
      <c r="CP39" s="1955"/>
      <c r="CQ39" s="1955"/>
      <c r="CR39" s="1955"/>
      <c r="CS39" s="1955"/>
      <c r="CT39" s="1955"/>
      <c r="CU39" s="1955"/>
      <c r="CV39" s="1955"/>
      <c r="CW39" s="1955"/>
      <c r="CX39" s="1955"/>
      <c r="CY39" s="1955"/>
      <c r="CZ39" s="1955"/>
      <c r="DA39" s="1955"/>
      <c r="DB39" s="1955"/>
      <c r="DC39" s="1955"/>
      <c r="DD39" s="1955"/>
      <c r="DE39" s="1955"/>
      <c r="DF39" s="1955"/>
    </row>
    <row r="40" spans="1:110" customFormat="1" ht="15.75">
      <c r="A40" s="1966" t="s">
        <v>11523</v>
      </c>
      <c r="B40" s="1967" t="s">
        <v>11085</v>
      </c>
      <c r="C40" s="5234"/>
      <c r="D40" s="5234"/>
      <c r="E40" s="5234"/>
      <c r="F40" s="5234"/>
      <c r="G40" s="5234"/>
      <c r="H40" s="5234"/>
      <c r="I40" s="5234"/>
      <c r="J40" s="5234"/>
      <c r="K40" s="5234"/>
      <c r="L40" s="5234"/>
      <c r="M40" s="5234"/>
      <c r="N40" s="5214"/>
      <c r="O40" s="5233"/>
      <c r="P40" s="5234"/>
      <c r="Q40" s="5234"/>
      <c r="R40" s="5234"/>
      <c r="S40" s="5214"/>
      <c r="T40" s="5214"/>
      <c r="U40" s="5214"/>
      <c r="V40" s="5214"/>
      <c r="W40" s="5214"/>
      <c r="X40" s="5214"/>
      <c r="Y40" s="5247"/>
      <c r="Z40" s="5247"/>
      <c r="AA40" s="5234"/>
      <c r="AB40" s="1968" t="s">
        <v>11485</v>
      </c>
      <c r="AC40" s="1968" t="s">
        <v>11526</v>
      </c>
      <c r="AD40" s="1968" t="s">
        <v>11418</v>
      </c>
      <c r="AE40" s="1968" t="s">
        <v>11496</v>
      </c>
      <c r="AF40" s="2000"/>
      <c r="AG40" s="2000"/>
      <c r="AH40" s="2000"/>
      <c r="AI40" s="2000"/>
      <c r="AJ40" s="2000"/>
      <c r="AK40" s="1984"/>
      <c r="AL40" s="2008"/>
      <c r="AM40" s="5232"/>
      <c r="AN40" s="5234"/>
      <c r="AO40" s="5234"/>
      <c r="AP40" s="5234"/>
      <c r="AQ40" s="5234"/>
      <c r="AR40" s="5235"/>
      <c r="AS40" s="1966" t="s">
        <v>11523</v>
      </c>
      <c r="AT40" s="1967" t="s">
        <v>11085</v>
      </c>
      <c r="AU40" s="1975"/>
      <c r="AV40" s="1975"/>
      <c r="AW40" s="1975"/>
      <c r="AX40" s="1975"/>
      <c r="AY40" s="1975"/>
      <c r="AZ40" s="1975"/>
      <c r="BA40" s="1975"/>
      <c r="BB40" s="1975"/>
      <c r="BC40" s="1975"/>
      <c r="BD40" s="1975"/>
      <c r="BE40" s="1975"/>
      <c r="BF40" s="1975"/>
      <c r="BG40" s="1975"/>
      <c r="BH40" s="1975"/>
      <c r="BI40" s="1975"/>
      <c r="BJ40" s="1975"/>
      <c r="BK40" s="1975"/>
      <c r="BL40" s="1955"/>
      <c r="BM40" s="1955"/>
      <c r="BN40" s="1955"/>
      <c r="BO40" s="1955"/>
      <c r="BP40" s="1955"/>
      <c r="BQ40" s="1955"/>
      <c r="BR40" s="1955"/>
      <c r="BS40" s="1955"/>
      <c r="BT40" s="1955"/>
      <c r="BU40" s="1955"/>
      <c r="BV40" s="1955"/>
      <c r="BW40" s="1955"/>
      <c r="BX40" s="1955"/>
      <c r="BY40" s="1955"/>
      <c r="BZ40" s="1955"/>
      <c r="CA40" s="1955"/>
      <c r="CB40" s="1955"/>
      <c r="CC40" s="1955"/>
      <c r="CD40" s="1955"/>
      <c r="CE40" s="1955"/>
      <c r="CF40" s="1955"/>
      <c r="CG40" s="1955"/>
      <c r="CH40" s="1955"/>
      <c r="CI40" s="1955"/>
      <c r="CJ40" s="1955"/>
      <c r="CK40" s="1955"/>
      <c r="CL40" s="1955"/>
      <c r="CM40" s="1955"/>
      <c r="CN40" s="1955"/>
      <c r="CO40" s="1955"/>
      <c r="CP40" s="1955"/>
      <c r="CQ40" s="1955"/>
      <c r="CR40" s="1955"/>
      <c r="CS40" s="1955"/>
      <c r="CT40" s="1955"/>
      <c r="CU40" s="1955"/>
      <c r="CV40" s="1955"/>
      <c r="CW40" s="1955"/>
      <c r="CX40" s="1955"/>
      <c r="CY40" s="1955"/>
      <c r="CZ40" s="1955"/>
      <c r="DA40" s="1955"/>
      <c r="DB40" s="1955"/>
      <c r="DC40" s="1955"/>
      <c r="DD40" s="1955"/>
      <c r="DE40" s="1955"/>
      <c r="DF40" s="1955"/>
    </row>
    <row r="41" spans="1:110" customFormat="1" ht="15.75">
      <c r="A41" s="1966" t="s">
        <v>11085</v>
      </c>
      <c r="B41" s="1967" t="s">
        <v>11527</v>
      </c>
      <c r="C41" s="5234"/>
      <c r="D41" s="5234"/>
      <c r="E41" s="5234"/>
      <c r="F41" s="5234"/>
      <c r="G41" s="5234" t="s">
        <v>11528</v>
      </c>
      <c r="H41" s="5234" t="s">
        <v>11343</v>
      </c>
      <c r="I41" s="5234"/>
      <c r="J41" s="5234" t="s">
        <v>11273</v>
      </c>
      <c r="K41" s="5234"/>
      <c r="L41" s="5234" t="s">
        <v>11230</v>
      </c>
      <c r="M41" s="5234" t="s">
        <v>11095</v>
      </c>
      <c r="N41" s="5214"/>
      <c r="O41" s="5233"/>
      <c r="P41" s="5234"/>
      <c r="Q41" s="5234"/>
      <c r="R41" s="5234"/>
      <c r="S41" s="5234" t="s">
        <v>11095</v>
      </c>
      <c r="T41" s="5214"/>
      <c r="U41" s="5234" t="s">
        <v>11529</v>
      </c>
      <c r="V41" s="5214"/>
      <c r="W41" s="5234" t="s">
        <v>11360</v>
      </c>
      <c r="X41" s="5214"/>
      <c r="Y41" s="5247"/>
      <c r="Z41" s="5247"/>
      <c r="AA41" s="5234" t="s">
        <v>11361</v>
      </c>
      <c r="AB41" s="1968" t="s">
        <v>11530</v>
      </c>
      <c r="AC41" s="1968" t="s">
        <v>11417</v>
      </c>
      <c r="AD41" s="1968" t="s">
        <v>11435</v>
      </c>
      <c r="AE41" s="1968" t="s">
        <v>11490</v>
      </c>
      <c r="AF41" s="2000"/>
      <c r="AG41" s="2000"/>
      <c r="AH41" s="2000"/>
      <c r="AI41" s="2000"/>
      <c r="AJ41" s="2000"/>
      <c r="AK41" s="1984"/>
      <c r="AL41" s="2008"/>
      <c r="AM41" s="5232" t="s">
        <v>3389</v>
      </c>
      <c r="AN41" s="5234" t="s">
        <v>11050</v>
      </c>
      <c r="AO41" s="5234" t="s">
        <v>11111</v>
      </c>
      <c r="AP41" s="5234" t="s">
        <v>11103</v>
      </c>
      <c r="AQ41" s="5234" t="s">
        <v>11531</v>
      </c>
      <c r="AR41" s="5235"/>
      <c r="AS41" s="1966" t="s">
        <v>11085</v>
      </c>
      <c r="AT41" s="1967" t="s">
        <v>11527</v>
      </c>
      <c r="AU41" s="1975"/>
      <c r="AV41" s="1975"/>
      <c r="AW41" s="1975"/>
      <c r="AX41" s="1975"/>
      <c r="AY41" s="1975"/>
      <c r="AZ41" s="1975"/>
      <c r="BA41" s="1975"/>
      <c r="BB41" s="1975"/>
      <c r="BC41" s="1975"/>
      <c r="BD41" s="1975"/>
      <c r="BE41" s="1975"/>
      <c r="BF41" s="1975"/>
      <c r="BG41" s="1975"/>
      <c r="BH41" s="1975"/>
      <c r="BI41" s="1975"/>
      <c r="BJ41" s="1975"/>
      <c r="BK41" s="1975"/>
      <c r="BL41" s="1955"/>
      <c r="BM41" s="1955"/>
      <c r="BN41" s="1955"/>
      <c r="BO41" s="1955"/>
      <c r="BP41" s="1955"/>
      <c r="BQ41" s="1955"/>
      <c r="BR41" s="1955"/>
      <c r="BS41" s="1955"/>
      <c r="BT41" s="1955"/>
      <c r="BU41" s="1955"/>
      <c r="BV41" s="1955"/>
      <c r="BW41" s="1955"/>
      <c r="BX41" s="1955"/>
      <c r="BY41" s="1955"/>
      <c r="BZ41" s="1955"/>
      <c r="CA41" s="1955"/>
      <c r="CB41" s="1955"/>
      <c r="CC41" s="1955"/>
      <c r="CD41" s="1955"/>
      <c r="CE41" s="1955"/>
      <c r="CF41" s="1955"/>
      <c r="CG41" s="1955"/>
      <c r="CH41" s="1955"/>
      <c r="CI41" s="1955"/>
      <c r="CJ41" s="1955"/>
      <c r="CK41" s="1955"/>
      <c r="CL41" s="1955"/>
      <c r="CM41" s="1955"/>
      <c r="CN41" s="1955"/>
      <c r="CO41" s="1955"/>
      <c r="CP41" s="1955"/>
      <c r="CQ41" s="1955"/>
      <c r="CR41" s="1955"/>
      <c r="CS41" s="1955"/>
      <c r="CT41" s="1955"/>
      <c r="CU41" s="1955"/>
      <c r="CV41" s="1955"/>
      <c r="CW41" s="1955"/>
      <c r="CX41" s="1955"/>
      <c r="CY41" s="1955"/>
      <c r="CZ41" s="1955"/>
      <c r="DA41" s="1955"/>
      <c r="DB41" s="1955"/>
      <c r="DC41" s="1955"/>
      <c r="DD41" s="1955"/>
      <c r="DE41" s="1955"/>
      <c r="DF41" s="1955"/>
    </row>
    <row r="42" spans="1:110" customFormat="1" ht="15.75">
      <c r="A42" s="1966" t="s">
        <v>11527</v>
      </c>
      <c r="B42" s="1967" t="s">
        <v>11093</v>
      </c>
      <c r="C42" s="5234"/>
      <c r="D42" s="5234"/>
      <c r="E42" s="5234"/>
      <c r="F42" s="5234"/>
      <c r="G42" s="5234"/>
      <c r="H42" s="5234"/>
      <c r="I42" s="5234"/>
      <c r="J42" s="5234"/>
      <c r="K42" s="5234"/>
      <c r="L42" s="5234"/>
      <c r="M42" s="5234"/>
      <c r="N42" s="5214"/>
      <c r="O42" s="5233"/>
      <c r="P42" s="5234"/>
      <c r="Q42" s="5234"/>
      <c r="R42" s="5234"/>
      <c r="S42" s="5214"/>
      <c r="T42" s="5214"/>
      <c r="U42" s="5214"/>
      <c r="V42" s="5214"/>
      <c r="W42" s="5214"/>
      <c r="X42" s="5214"/>
      <c r="Y42" s="5247"/>
      <c r="Z42" s="5247"/>
      <c r="AA42" s="5234"/>
      <c r="AB42" s="1968" t="s">
        <v>11348</v>
      </c>
      <c r="AC42" s="1968" t="s">
        <v>11434</v>
      </c>
      <c r="AD42" s="1968" t="s">
        <v>11419</v>
      </c>
      <c r="AE42" s="1968" t="s">
        <v>11532</v>
      </c>
      <c r="AF42" s="2000"/>
      <c r="AG42" s="2000"/>
      <c r="AH42" s="2000"/>
      <c r="AI42" s="2000"/>
      <c r="AJ42" s="2000"/>
      <c r="AK42" s="1984"/>
      <c r="AL42" s="2008"/>
      <c r="AM42" s="5232"/>
      <c r="AN42" s="5234"/>
      <c r="AO42" s="5234"/>
      <c r="AP42" s="5234"/>
      <c r="AQ42" s="5234"/>
      <c r="AR42" s="5235"/>
      <c r="AS42" s="1966" t="s">
        <v>11527</v>
      </c>
      <c r="AT42" s="1967" t="s">
        <v>11093</v>
      </c>
      <c r="AU42" s="1975"/>
      <c r="AV42" s="1975"/>
      <c r="AW42" s="1975"/>
      <c r="AX42" s="1975"/>
      <c r="AY42" s="1975"/>
      <c r="AZ42" s="1975"/>
      <c r="BA42" s="1975"/>
      <c r="BB42" s="1975"/>
      <c r="BC42" s="1975"/>
      <c r="BD42" s="1975"/>
      <c r="BE42" s="1975"/>
      <c r="BF42" s="1975"/>
      <c r="BG42" s="1975"/>
      <c r="BH42" s="1975"/>
      <c r="BI42" s="1975"/>
      <c r="BJ42" s="1975"/>
      <c r="BK42" s="1975"/>
      <c r="BL42" s="1955"/>
      <c r="BM42" s="1955"/>
      <c r="BN42" s="1955"/>
      <c r="BO42" s="1955"/>
      <c r="BP42" s="1955"/>
      <c r="BQ42" s="1955"/>
      <c r="BR42" s="1955"/>
      <c r="BS42" s="1955"/>
      <c r="BT42" s="1955"/>
      <c r="BU42" s="1955"/>
      <c r="BV42" s="1955"/>
      <c r="BW42" s="1955"/>
      <c r="BX42" s="1955"/>
      <c r="BY42" s="1955"/>
      <c r="BZ42" s="1955"/>
      <c r="CA42" s="1955"/>
      <c r="CB42" s="1955"/>
      <c r="CC42" s="1955"/>
      <c r="CD42" s="1955"/>
      <c r="CE42" s="1955"/>
      <c r="CF42" s="1955"/>
      <c r="CG42" s="1955"/>
      <c r="CH42" s="1955"/>
      <c r="CI42" s="1955"/>
      <c r="CJ42" s="1955"/>
      <c r="CK42" s="1955"/>
      <c r="CL42" s="1955"/>
      <c r="CM42" s="1955"/>
      <c r="CN42" s="1955"/>
      <c r="CO42" s="1955"/>
      <c r="CP42" s="1955"/>
      <c r="CQ42" s="1955"/>
      <c r="CR42" s="1955"/>
      <c r="CS42" s="1955"/>
      <c r="CT42" s="1955"/>
      <c r="CU42" s="1955"/>
      <c r="CV42" s="1955"/>
      <c r="CW42" s="1955"/>
      <c r="CX42" s="1955"/>
      <c r="CY42" s="1955"/>
      <c r="CZ42" s="1955"/>
      <c r="DA42" s="1955"/>
      <c r="DB42" s="1955"/>
      <c r="DC42" s="1955"/>
      <c r="DD42" s="1955"/>
      <c r="DE42" s="1955"/>
      <c r="DF42" s="1955"/>
    </row>
    <row r="43" spans="1:110" customFormat="1" ht="15.75">
      <c r="A43" s="1966" t="s">
        <v>11093</v>
      </c>
      <c r="B43" s="1967" t="s">
        <v>11533</v>
      </c>
      <c r="C43" s="5234"/>
      <c r="D43" s="5234"/>
      <c r="E43" s="5234"/>
      <c r="F43" s="5234"/>
      <c r="G43" s="5234" t="s">
        <v>11422</v>
      </c>
      <c r="H43" s="5234" t="s">
        <v>11352</v>
      </c>
      <c r="I43" s="5234"/>
      <c r="J43" s="5234" t="s">
        <v>11288</v>
      </c>
      <c r="K43" s="5234"/>
      <c r="L43" s="5234" t="s">
        <v>11177</v>
      </c>
      <c r="M43" s="5234" t="s">
        <v>11095</v>
      </c>
      <c r="N43" s="5214"/>
      <c r="O43" s="5233"/>
      <c r="P43" s="5234"/>
      <c r="Q43" s="5234"/>
      <c r="R43" s="5234"/>
      <c r="S43" s="5234" t="s">
        <v>11095</v>
      </c>
      <c r="T43" s="5214"/>
      <c r="U43" s="5234" t="s">
        <v>11280</v>
      </c>
      <c r="V43" s="5214"/>
      <c r="W43" s="5234" t="s">
        <v>11534</v>
      </c>
      <c r="X43" s="5214"/>
      <c r="Y43" s="5247"/>
      <c r="Z43" s="5247"/>
      <c r="AA43" s="5234" t="s">
        <v>11535</v>
      </c>
      <c r="AB43" s="1968" t="s">
        <v>11536</v>
      </c>
      <c r="AC43" s="1968" t="s">
        <v>11387</v>
      </c>
      <c r="AD43" s="1968" t="s">
        <v>11460</v>
      </c>
      <c r="AE43" s="1968" t="s">
        <v>11537</v>
      </c>
      <c r="AF43" s="2000"/>
      <c r="AG43" s="2000"/>
      <c r="AH43" s="2000"/>
      <c r="AI43" s="2000"/>
      <c r="AJ43" s="2000"/>
      <c r="AK43" s="1984"/>
      <c r="AL43" s="2008"/>
      <c r="AM43" s="5232" t="s">
        <v>11050</v>
      </c>
      <c r="AN43" s="5234" t="s">
        <v>11097</v>
      </c>
      <c r="AO43" s="5234" t="s">
        <v>11123</v>
      </c>
      <c r="AP43" s="5234" t="s">
        <v>11124</v>
      </c>
      <c r="AQ43" s="5234" t="s">
        <v>11295</v>
      </c>
      <c r="AR43" s="5235"/>
      <c r="AS43" s="1966" t="s">
        <v>11093</v>
      </c>
      <c r="AT43" s="1967" t="s">
        <v>11533</v>
      </c>
      <c r="AU43" s="1975"/>
      <c r="AV43" s="1975"/>
      <c r="AW43" s="1975"/>
      <c r="AX43" s="1975"/>
      <c r="AY43" s="1975"/>
      <c r="AZ43" s="1975"/>
      <c r="BA43" s="1975"/>
      <c r="BB43" s="1975"/>
      <c r="BC43" s="1975"/>
      <c r="BD43" s="1975"/>
      <c r="BE43" s="1975"/>
      <c r="BF43" s="1975"/>
      <c r="BG43" s="1975"/>
      <c r="BH43" s="1975"/>
      <c r="BI43" s="1975"/>
      <c r="BJ43" s="1975"/>
      <c r="BK43" s="1975"/>
      <c r="BL43" s="1955"/>
      <c r="BM43" s="1955"/>
      <c r="BN43" s="1955"/>
      <c r="BO43" s="1955"/>
      <c r="BP43" s="1955"/>
      <c r="BQ43" s="1955"/>
      <c r="BR43" s="1955"/>
      <c r="BS43" s="1955"/>
      <c r="BT43" s="1955"/>
      <c r="BU43" s="1955"/>
      <c r="BV43" s="1955"/>
      <c r="BW43" s="1955"/>
      <c r="BX43" s="1955"/>
      <c r="BY43" s="1955"/>
      <c r="BZ43" s="1955"/>
      <c r="CA43" s="1955"/>
      <c r="CB43" s="1955"/>
      <c r="CC43" s="1955"/>
      <c r="CD43" s="1955"/>
      <c r="CE43" s="1955"/>
      <c r="CF43" s="1955"/>
      <c r="CG43" s="1955"/>
      <c r="CH43" s="1955"/>
      <c r="CI43" s="1955"/>
      <c r="CJ43" s="1955"/>
      <c r="CK43" s="1955"/>
      <c r="CL43" s="1955"/>
      <c r="CM43" s="1955"/>
      <c r="CN43" s="1955"/>
      <c r="CO43" s="1955"/>
      <c r="CP43" s="1955"/>
      <c r="CQ43" s="1955"/>
      <c r="CR43" s="1955"/>
      <c r="CS43" s="1955"/>
      <c r="CT43" s="1955"/>
      <c r="CU43" s="1955"/>
      <c r="CV43" s="1955"/>
      <c r="CW43" s="1955"/>
      <c r="CX43" s="1955"/>
      <c r="CY43" s="1955"/>
      <c r="CZ43" s="1955"/>
      <c r="DA43" s="1955"/>
      <c r="DB43" s="1955"/>
      <c r="DC43" s="1955"/>
      <c r="DD43" s="1955"/>
      <c r="DE43" s="1955"/>
      <c r="DF43" s="1955"/>
    </row>
    <row r="44" spans="1:110" customFormat="1" ht="15.75">
      <c r="A44" s="1966" t="s">
        <v>11533</v>
      </c>
      <c r="B44" s="1967" t="s">
        <v>11087</v>
      </c>
      <c r="C44" s="5234"/>
      <c r="D44" s="5234"/>
      <c r="E44" s="5234"/>
      <c r="F44" s="5234"/>
      <c r="G44" s="5234"/>
      <c r="H44" s="5234"/>
      <c r="I44" s="5234"/>
      <c r="J44" s="5234"/>
      <c r="K44" s="5234"/>
      <c r="L44" s="5234"/>
      <c r="M44" s="5234"/>
      <c r="N44" s="5214"/>
      <c r="O44" s="5233"/>
      <c r="P44" s="5234"/>
      <c r="Q44" s="5234"/>
      <c r="R44" s="5234"/>
      <c r="S44" s="5214"/>
      <c r="T44" s="5214"/>
      <c r="U44" s="5214"/>
      <c r="V44" s="5214"/>
      <c r="W44" s="5214"/>
      <c r="X44" s="5214"/>
      <c r="Y44" s="5247"/>
      <c r="Z44" s="5247"/>
      <c r="AA44" s="5234"/>
      <c r="AB44" s="1968" t="s">
        <v>11538</v>
      </c>
      <c r="AC44" s="1968" t="s">
        <v>11488</v>
      </c>
      <c r="AD44" s="1968" t="s">
        <v>11470</v>
      </c>
      <c r="AE44" s="1968" t="s">
        <v>11539</v>
      </c>
      <c r="AF44" s="2000"/>
      <c r="AG44" s="2000"/>
      <c r="AH44" s="2000"/>
      <c r="AI44" s="2000"/>
      <c r="AJ44" s="2000"/>
      <c r="AK44" s="1984"/>
      <c r="AL44" s="2008"/>
      <c r="AM44" s="5232"/>
      <c r="AN44" s="5234"/>
      <c r="AO44" s="5234"/>
      <c r="AP44" s="5234"/>
      <c r="AQ44" s="5234"/>
      <c r="AR44" s="5235"/>
      <c r="AS44" s="1966" t="s">
        <v>11533</v>
      </c>
      <c r="AT44" s="1967" t="s">
        <v>11087</v>
      </c>
      <c r="AU44" s="1975"/>
      <c r="AV44" s="1975"/>
      <c r="AW44" s="1975"/>
      <c r="AX44" s="1975"/>
      <c r="AY44" s="1975"/>
      <c r="AZ44" s="1975"/>
      <c r="BA44" s="1975"/>
      <c r="BB44" s="1975"/>
      <c r="BC44" s="1975"/>
      <c r="BD44" s="1975"/>
      <c r="BE44" s="1975"/>
      <c r="BF44" s="1975"/>
      <c r="BG44" s="1975"/>
      <c r="BH44" s="1975"/>
      <c r="BI44" s="1975"/>
      <c r="BJ44" s="1975"/>
      <c r="BK44" s="1975"/>
      <c r="BL44" s="1955"/>
      <c r="BM44" s="1955"/>
      <c r="BN44" s="1955"/>
      <c r="BO44" s="1955"/>
      <c r="BP44" s="1955"/>
      <c r="BQ44" s="1955"/>
      <c r="BR44" s="1955"/>
      <c r="BS44" s="1955"/>
      <c r="BT44" s="1955"/>
      <c r="BU44" s="1955"/>
      <c r="BV44" s="1955"/>
      <c r="BW44" s="1955"/>
      <c r="BX44" s="1955"/>
      <c r="BY44" s="1955"/>
      <c r="BZ44" s="1955"/>
      <c r="CA44" s="1955"/>
      <c r="CB44" s="1955"/>
      <c r="CC44" s="1955"/>
      <c r="CD44" s="1955"/>
      <c r="CE44" s="1955"/>
      <c r="CF44" s="1955"/>
      <c r="CG44" s="1955"/>
      <c r="CH44" s="1955"/>
      <c r="CI44" s="1955"/>
      <c r="CJ44" s="1955"/>
      <c r="CK44" s="1955"/>
      <c r="CL44" s="1955"/>
      <c r="CM44" s="1955"/>
      <c r="CN44" s="1955"/>
      <c r="CO44" s="1955"/>
      <c r="CP44" s="1955"/>
      <c r="CQ44" s="1955"/>
      <c r="CR44" s="1955"/>
      <c r="CS44" s="1955"/>
      <c r="CT44" s="1955"/>
      <c r="CU44" s="1955"/>
      <c r="CV44" s="1955"/>
      <c r="CW44" s="1955"/>
      <c r="CX44" s="1955"/>
      <c r="CY44" s="1955"/>
      <c r="CZ44" s="1955"/>
      <c r="DA44" s="1955"/>
      <c r="DB44" s="1955"/>
      <c r="DC44" s="1955"/>
      <c r="DD44" s="1955"/>
      <c r="DE44" s="1955"/>
      <c r="DF44" s="1955"/>
    </row>
    <row r="45" spans="1:110" customFormat="1" ht="15.75">
      <c r="A45" s="1966" t="s">
        <v>11087</v>
      </c>
      <c r="B45" s="1967" t="s">
        <v>11540</v>
      </c>
      <c r="C45" s="5234"/>
      <c r="D45" s="5234"/>
      <c r="E45" s="5234"/>
      <c r="F45" s="5234"/>
      <c r="G45" s="5234" t="s">
        <v>11368</v>
      </c>
      <c r="H45" s="5234" t="s">
        <v>11227</v>
      </c>
      <c r="I45" s="5234"/>
      <c r="J45" s="5234" t="s">
        <v>11353</v>
      </c>
      <c r="K45" s="5234"/>
      <c r="L45" s="5234" t="s">
        <v>11541</v>
      </c>
      <c r="M45" s="5234" t="s">
        <v>11095</v>
      </c>
      <c r="N45" s="5214"/>
      <c r="O45" s="5233"/>
      <c r="P45" s="5234"/>
      <c r="Q45" s="5234"/>
      <c r="R45" s="5234"/>
      <c r="S45" s="5234" t="s">
        <v>11095</v>
      </c>
      <c r="T45" s="5214"/>
      <c r="U45" s="5234" t="s">
        <v>11542</v>
      </c>
      <c r="V45" s="5214"/>
      <c r="W45" s="5234" t="s">
        <v>11543</v>
      </c>
      <c r="X45" s="5214"/>
      <c r="Y45" s="5248"/>
      <c r="Z45" s="5248"/>
      <c r="AA45" s="5234" t="s">
        <v>11440</v>
      </c>
      <c r="AB45" s="1968" t="s">
        <v>11544</v>
      </c>
      <c r="AC45" s="1968" t="s">
        <v>11411</v>
      </c>
      <c r="AD45" s="1968" t="s">
        <v>11461</v>
      </c>
      <c r="AE45" s="1968" t="s">
        <v>11545</v>
      </c>
      <c r="AF45" s="2000"/>
      <c r="AG45" s="2000"/>
      <c r="AH45" s="2000"/>
      <c r="AI45" s="2000"/>
      <c r="AJ45" s="2000"/>
      <c r="AK45" s="1984"/>
      <c r="AL45" s="2008"/>
      <c r="AM45" s="5232" t="s">
        <v>11097</v>
      </c>
      <c r="AN45" s="5234" t="s">
        <v>11098</v>
      </c>
      <c r="AO45" s="5234" t="s">
        <v>11546</v>
      </c>
      <c r="AP45" s="5234" t="s">
        <v>11109</v>
      </c>
      <c r="AQ45" s="5234" t="s">
        <v>11547</v>
      </c>
      <c r="AR45" s="5235"/>
      <c r="AS45" s="1966" t="s">
        <v>11087</v>
      </c>
      <c r="AT45" s="1967" t="s">
        <v>11540</v>
      </c>
      <c r="AU45" s="1975"/>
      <c r="AV45" s="1975"/>
      <c r="AW45" s="1975"/>
      <c r="AX45" s="1975"/>
      <c r="AY45" s="1975"/>
      <c r="AZ45" s="1975"/>
      <c r="BA45" s="1975"/>
      <c r="BB45" s="1975"/>
      <c r="BC45" s="1975"/>
      <c r="BD45" s="1975"/>
      <c r="BE45" s="1975"/>
      <c r="BF45" s="1975"/>
      <c r="BG45" s="1975"/>
      <c r="BH45" s="1975"/>
      <c r="BI45" s="1975"/>
      <c r="BJ45" s="1975"/>
      <c r="BK45" s="1975"/>
      <c r="BL45" s="1955"/>
      <c r="BM45" s="1955"/>
      <c r="BN45" s="1955"/>
      <c r="BO45" s="1955"/>
      <c r="BP45" s="1955"/>
      <c r="BQ45" s="1955"/>
      <c r="BR45" s="1955"/>
      <c r="BS45" s="1955"/>
      <c r="BT45" s="1955"/>
      <c r="BU45" s="1955"/>
      <c r="BV45" s="1955"/>
      <c r="BW45" s="1955"/>
      <c r="BX45" s="1955"/>
      <c r="BY45" s="1955"/>
      <c r="BZ45" s="1955"/>
      <c r="CA45" s="1955"/>
      <c r="CB45" s="1955"/>
      <c r="CC45" s="1955"/>
      <c r="CD45" s="1955"/>
      <c r="CE45" s="1955"/>
      <c r="CF45" s="1955"/>
      <c r="CG45" s="1955"/>
      <c r="CH45" s="1955"/>
      <c r="CI45" s="1955"/>
      <c r="CJ45" s="1955"/>
      <c r="CK45" s="1955"/>
      <c r="CL45" s="1955"/>
      <c r="CM45" s="1955"/>
      <c r="CN45" s="1955"/>
      <c r="CO45" s="1955"/>
      <c r="CP45" s="1955"/>
      <c r="CQ45" s="1955"/>
      <c r="CR45" s="1955"/>
      <c r="CS45" s="1955"/>
      <c r="CT45" s="1955"/>
      <c r="CU45" s="1955"/>
      <c r="CV45" s="1955"/>
      <c r="CW45" s="1955"/>
      <c r="CX45" s="1955"/>
      <c r="CY45" s="1955"/>
      <c r="CZ45" s="1955"/>
      <c r="DA45" s="1955"/>
      <c r="DB45" s="1955"/>
      <c r="DC45" s="1955"/>
      <c r="DD45" s="1955"/>
      <c r="DE45" s="1955"/>
      <c r="DF45" s="1955"/>
    </row>
    <row r="46" spans="1:110" customFormat="1" ht="15.75">
      <c r="A46" s="1969" t="s">
        <v>11540</v>
      </c>
      <c r="B46" s="1970" t="s">
        <v>11138</v>
      </c>
      <c r="C46" s="5263"/>
      <c r="D46" s="5263"/>
      <c r="E46" s="5263"/>
      <c r="F46" s="5263"/>
      <c r="G46" s="5263"/>
      <c r="H46" s="5263"/>
      <c r="I46" s="5263"/>
      <c r="J46" s="5263"/>
      <c r="K46" s="5263"/>
      <c r="L46" s="5263"/>
      <c r="M46" s="5263"/>
      <c r="N46" s="5202"/>
      <c r="O46" s="5244"/>
      <c r="P46" s="5263"/>
      <c r="Q46" s="5263"/>
      <c r="R46" s="5263"/>
      <c r="S46" s="5202"/>
      <c r="T46" s="5202"/>
      <c r="U46" s="5202"/>
      <c r="V46" s="5202"/>
      <c r="W46" s="5202"/>
      <c r="X46" s="5202"/>
      <c r="Y46" s="5249"/>
      <c r="Z46" s="5249"/>
      <c r="AA46" s="5263"/>
      <c r="AB46" s="1971" t="s">
        <v>11432</v>
      </c>
      <c r="AC46" s="1971" t="s">
        <v>11548</v>
      </c>
      <c r="AD46" s="1971" t="s">
        <v>11471</v>
      </c>
      <c r="AE46" s="1971" t="s">
        <v>11549</v>
      </c>
      <c r="AF46" s="2001"/>
      <c r="AG46" s="2001"/>
      <c r="AH46" s="2001"/>
      <c r="AI46" s="2001"/>
      <c r="AJ46" s="2001"/>
      <c r="AK46" s="1987"/>
      <c r="AL46" s="2009"/>
      <c r="AM46" s="5262"/>
      <c r="AN46" s="5263"/>
      <c r="AO46" s="5263"/>
      <c r="AP46" s="5263"/>
      <c r="AQ46" s="5263"/>
      <c r="AR46" s="5264"/>
      <c r="AS46" s="1969" t="s">
        <v>11540</v>
      </c>
      <c r="AT46" s="1970" t="s">
        <v>11138</v>
      </c>
      <c r="AU46" s="1975"/>
      <c r="AV46" s="1975"/>
      <c r="AW46" s="1975"/>
      <c r="AX46" s="1975"/>
      <c r="AY46" s="1975"/>
      <c r="AZ46" s="1975"/>
      <c r="BA46" s="1975"/>
      <c r="BB46" s="1975"/>
      <c r="BC46" s="1975"/>
      <c r="BD46" s="1975"/>
      <c r="BE46" s="1975"/>
      <c r="BF46" s="1975"/>
      <c r="BG46" s="1975"/>
      <c r="BH46" s="1975"/>
      <c r="BI46" s="1975"/>
      <c r="BJ46" s="1975"/>
      <c r="BK46" s="1975"/>
      <c r="BL46" s="1955"/>
      <c r="BM46" s="1955"/>
      <c r="BN46" s="1955"/>
      <c r="BO46" s="1955"/>
      <c r="BP46" s="1955"/>
      <c r="BQ46" s="1955"/>
      <c r="BR46" s="1955"/>
      <c r="BS46" s="1955"/>
      <c r="BT46" s="1955"/>
      <c r="BU46" s="1955"/>
      <c r="BV46" s="1955"/>
      <c r="BW46" s="1955"/>
      <c r="BX46" s="1955"/>
      <c r="BY46" s="1955"/>
      <c r="BZ46" s="1955"/>
      <c r="CA46" s="1955"/>
      <c r="CB46" s="1955"/>
      <c r="CC46" s="1955"/>
      <c r="CD46" s="1955"/>
      <c r="CE46" s="1955"/>
      <c r="CF46" s="1955"/>
      <c r="CG46" s="1955"/>
      <c r="CH46" s="1955"/>
      <c r="CI46" s="1955"/>
      <c r="CJ46" s="1955"/>
      <c r="CK46" s="1955"/>
      <c r="CL46" s="1955"/>
      <c r="CM46" s="1955"/>
      <c r="CN46" s="1955"/>
      <c r="CO46" s="1955"/>
      <c r="CP46" s="1955"/>
      <c r="CQ46" s="1955"/>
      <c r="CR46" s="1955"/>
      <c r="CS46" s="1955"/>
      <c r="CT46" s="1955"/>
      <c r="CU46" s="1955"/>
      <c r="CV46" s="1955"/>
      <c r="CW46" s="1955"/>
      <c r="CX46" s="1955"/>
      <c r="CY46" s="1955"/>
      <c r="CZ46" s="1955"/>
      <c r="DA46" s="1955"/>
      <c r="DB46" s="1955"/>
      <c r="DC46" s="1955"/>
      <c r="DD46" s="1955"/>
      <c r="DE46" s="1955"/>
      <c r="DF46" s="1955"/>
    </row>
    <row r="47" spans="1:110" customFormat="1" ht="15.75">
      <c r="A47" s="1960" t="s">
        <v>2410</v>
      </c>
      <c r="B47" s="1961" t="s">
        <v>11052</v>
      </c>
      <c r="C47" s="5295" t="s">
        <v>11169</v>
      </c>
      <c r="D47" s="5303"/>
      <c r="E47" s="5303"/>
      <c r="F47" s="5303"/>
      <c r="G47" s="5303"/>
      <c r="H47" s="5303"/>
      <c r="I47" s="5303"/>
      <c r="J47" s="5303"/>
      <c r="K47" s="5303"/>
      <c r="L47" s="5303"/>
      <c r="M47" s="5303"/>
      <c r="N47" s="5303"/>
      <c r="O47" s="5305"/>
      <c r="P47" s="1985" t="s">
        <v>11048</v>
      </c>
      <c r="Q47" s="1991" t="s">
        <v>11049</v>
      </c>
      <c r="R47" s="1991" t="s">
        <v>9825</v>
      </c>
      <c r="S47" s="1992" t="s">
        <v>11170</v>
      </c>
      <c r="T47" s="1993" t="s">
        <v>11171</v>
      </c>
      <c r="U47" s="1992" t="s">
        <v>11170</v>
      </c>
      <c r="V47" s="1993" t="s">
        <v>11171</v>
      </c>
      <c r="W47" s="1992" t="s">
        <v>11170</v>
      </c>
      <c r="X47" s="1993" t="s">
        <v>11171</v>
      </c>
      <c r="Y47" s="5306" t="s">
        <v>11172</v>
      </c>
      <c r="Z47" s="5307"/>
      <c r="AA47" s="5308" t="s">
        <v>11173</v>
      </c>
      <c r="AB47" s="5303"/>
      <c r="AC47" s="5303"/>
      <c r="AD47" s="5303"/>
      <c r="AE47" s="5303"/>
      <c r="AF47" s="5303"/>
      <c r="AG47" s="5303"/>
      <c r="AH47" s="5303"/>
      <c r="AI47" s="5303"/>
      <c r="AJ47" s="5303"/>
      <c r="AK47" s="5303"/>
      <c r="AL47" s="5305"/>
      <c r="AM47" s="1985" t="s">
        <v>11045</v>
      </c>
      <c r="AN47" s="1991" t="s">
        <v>11046</v>
      </c>
      <c r="AO47" s="1991" t="s">
        <v>11047</v>
      </c>
      <c r="AP47" s="1991" t="s">
        <v>11048</v>
      </c>
      <c r="AQ47" s="1991" t="s">
        <v>11049</v>
      </c>
      <c r="AR47" s="2012" t="s">
        <v>9825</v>
      </c>
      <c r="AS47" s="1960" t="s">
        <v>2410</v>
      </c>
      <c r="AT47" s="1961" t="s">
        <v>11052</v>
      </c>
      <c r="AU47" s="1975"/>
      <c r="AV47" s="1975"/>
      <c r="AW47" s="1975"/>
      <c r="AX47" s="1975"/>
      <c r="AY47" s="1975"/>
      <c r="AZ47" s="1975"/>
      <c r="BA47" s="1975"/>
      <c r="BB47" s="1975"/>
      <c r="BC47" s="1975"/>
      <c r="BD47" s="1975"/>
      <c r="BE47" s="1975"/>
      <c r="BF47" s="1975"/>
      <c r="BG47" s="1975"/>
      <c r="BH47" s="1975"/>
      <c r="BI47" s="1975"/>
      <c r="BJ47" s="1975"/>
      <c r="BK47" s="1975"/>
      <c r="BL47" s="1955"/>
      <c r="BM47" s="1955"/>
      <c r="BN47" s="1955"/>
      <c r="BO47" s="1955"/>
      <c r="BP47" s="1955"/>
      <c r="BQ47" s="1955"/>
      <c r="BR47" s="1955"/>
      <c r="BS47" s="1955"/>
      <c r="BT47" s="1955"/>
      <c r="BU47" s="1955"/>
      <c r="BV47" s="1955"/>
      <c r="BW47" s="1955"/>
      <c r="BX47" s="1955"/>
      <c r="BY47" s="1955"/>
      <c r="BZ47" s="1955"/>
      <c r="CA47" s="1955"/>
      <c r="CB47" s="1955"/>
      <c r="CC47" s="1955"/>
      <c r="CD47" s="1955"/>
      <c r="CE47" s="1955"/>
      <c r="CF47" s="1955"/>
      <c r="CG47" s="1955"/>
      <c r="CH47" s="1955"/>
      <c r="CI47" s="1955"/>
      <c r="CJ47" s="1955"/>
      <c r="CK47" s="1955"/>
      <c r="CL47" s="1955"/>
      <c r="CM47" s="1955"/>
      <c r="CN47" s="1955"/>
      <c r="CO47" s="1955"/>
      <c r="CP47" s="1955"/>
      <c r="CQ47" s="1955"/>
      <c r="CR47" s="1955"/>
      <c r="CS47" s="1955"/>
      <c r="CT47" s="1955"/>
      <c r="CU47" s="1955"/>
      <c r="CV47" s="1955"/>
      <c r="CW47" s="1955"/>
      <c r="CX47" s="1955"/>
      <c r="CY47" s="1955"/>
      <c r="CZ47" s="1955"/>
      <c r="DA47" s="1955"/>
      <c r="DB47" s="1955"/>
      <c r="DC47" s="1955"/>
      <c r="DD47" s="1955"/>
      <c r="DE47" s="1955"/>
      <c r="DF47" s="1955"/>
    </row>
    <row r="48" spans="1:110" customFormat="1" ht="15.75">
      <c r="A48" s="5309" t="s">
        <v>11159</v>
      </c>
      <c r="B48" s="5310"/>
      <c r="C48" s="1958" t="s">
        <v>961</v>
      </c>
      <c r="D48" s="1959" t="s">
        <v>962</v>
      </c>
      <c r="E48" s="1959" t="s">
        <v>1957</v>
      </c>
      <c r="F48" s="1959" t="s">
        <v>11160</v>
      </c>
      <c r="G48" s="1959" t="s">
        <v>2524</v>
      </c>
      <c r="H48" s="1959" t="s">
        <v>2510</v>
      </c>
      <c r="I48" s="1959" t="s">
        <v>11161</v>
      </c>
      <c r="J48" s="1959" t="s">
        <v>475</v>
      </c>
      <c r="K48" s="1959" t="s">
        <v>11162</v>
      </c>
      <c r="L48" s="1959" t="s">
        <v>252</v>
      </c>
      <c r="M48" s="1959" t="s">
        <v>487</v>
      </c>
      <c r="N48" s="5311" t="s">
        <v>11163</v>
      </c>
      <c r="O48" s="5312"/>
      <c r="P48" s="5309" t="s">
        <v>2876</v>
      </c>
      <c r="Q48" s="5221"/>
      <c r="R48" s="5221"/>
      <c r="S48" s="5311" t="s">
        <v>462</v>
      </c>
      <c r="T48" s="5313"/>
      <c r="U48" s="5311" t="s">
        <v>235</v>
      </c>
      <c r="V48" s="5313"/>
      <c r="W48" s="5311" t="s">
        <v>464</v>
      </c>
      <c r="X48" s="5313"/>
      <c r="Y48" s="5314" t="s">
        <v>11164</v>
      </c>
      <c r="Z48" s="5315"/>
      <c r="AA48" s="1959" t="s">
        <v>445</v>
      </c>
      <c r="AB48" s="1959" t="s">
        <v>453</v>
      </c>
      <c r="AC48" s="1959" t="s">
        <v>471</v>
      </c>
      <c r="AD48" s="1959" t="s">
        <v>2520</v>
      </c>
      <c r="AE48" s="1959" t="s">
        <v>10176</v>
      </c>
      <c r="AF48" s="1959" t="s">
        <v>430</v>
      </c>
      <c r="AG48" s="1959" t="s">
        <v>3801</v>
      </c>
      <c r="AH48" s="1959" t="s">
        <v>11165</v>
      </c>
      <c r="AI48" s="1959" t="s">
        <v>1139</v>
      </c>
      <c r="AJ48" s="1959" t="s">
        <v>11166</v>
      </c>
      <c r="AK48" s="1959" t="s">
        <v>11167</v>
      </c>
      <c r="AL48" s="1995" t="s">
        <v>11168</v>
      </c>
      <c r="AM48" s="5206" t="s">
        <v>11158</v>
      </c>
      <c r="AN48" s="5211"/>
      <c r="AO48" s="5211"/>
      <c r="AP48" s="5211"/>
      <c r="AQ48" s="5211"/>
      <c r="AR48" s="5243"/>
      <c r="AS48" s="5299" t="s">
        <v>11159</v>
      </c>
      <c r="AT48" s="5300"/>
      <c r="AU48" s="1975"/>
      <c r="AV48" s="1975"/>
      <c r="AW48" s="1975"/>
      <c r="AX48" s="1975"/>
      <c r="AY48" s="1975"/>
      <c r="AZ48" s="1975"/>
      <c r="BA48" s="1975"/>
      <c r="BB48" s="1975"/>
      <c r="BC48" s="1975"/>
      <c r="BD48" s="1975"/>
      <c r="BE48" s="1975"/>
      <c r="BF48" s="1975"/>
      <c r="BG48" s="1975"/>
      <c r="BH48" s="1975"/>
      <c r="BI48" s="1975"/>
      <c r="BJ48" s="1975"/>
      <c r="BK48" s="1975"/>
      <c r="BL48" s="1955"/>
      <c r="BM48" s="1955"/>
      <c r="BN48" s="1955"/>
      <c r="BO48" s="1955"/>
      <c r="BP48" s="1955"/>
      <c r="BQ48" s="1955"/>
      <c r="BR48" s="1955"/>
      <c r="BS48" s="1955"/>
      <c r="BT48" s="1955"/>
      <c r="BU48" s="1955"/>
      <c r="BV48" s="1955"/>
      <c r="BW48" s="1955"/>
      <c r="BX48" s="1955"/>
      <c r="BY48" s="1955"/>
      <c r="BZ48" s="1955"/>
      <c r="CA48" s="1955"/>
      <c r="CB48" s="1955"/>
      <c r="CC48" s="1955"/>
      <c r="CD48" s="1955"/>
      <c r="CE48" s="1955"/>
      <c r="CF48" s="1955"/>
      <c r="CG48" s="1955"/>
      <c r="CH48" s="1955"/>
      <c r="CI48" s="1955"/>
      <c r="CJ48" s="1955"/>
      <c r="CK48" s="1955"/>
      <c r="CL48" s="1955"/>
      <c r="CM48" s="1955"/>
      <c r="CN48" s="1955"/>
      <c r="CO48" s="1955"/>
      <c r="CP48" s="1955"/>
      <c r="CQ48" s="1955"/>
      <c r="CR48" s="1955"/>
      <c r="CS48" s="1955"/>
      <c r="CT48" s="1955"/>
      <c r="CU48" s="1955"/>
      <c r="CV48" s="1955"/>
      <c r="CW48" s="1955"/>
      <c r="CX48" s="1955"/>
      <c r="CY48" s="1955"/>
      <c r="CZ48" s="1955"/>
      <c r="DA48" s="1955"/>
      <c r="DB48" s="1955"/>
      <c r="DC48" s="1955"/>
      <c r="DD48" s="1955"/>
      <c r="DE48" s="1955"/>
      <c r="DF48" s="1955"/>
    </row>
    <row r="49" spans="1:110" customFormat="1" ht="15.75">
      <c r="A49" s="5301" t="s">
        <v>909</v>
      </c>
      <c r="B49" s="5302"/>
      <c r="C49" s="5295" t="s">
        <v>11157</v>
      </c>
      <c r="D49" s="5296"/>
      <c r="E49" s="5296"/>
      <c r="F49" s="5296"/>
      <c r="G49" s="5296"/>
      <c r="H49" s="5296"/>
      <c r="I49" s="5296"/>
      <c r="J49" s="5296"/>
      <c r="K49" s="5296"/>
      <c r="L49" s="5296"/>
      <c r="M49" s="5296"/>
      <c r="N49" s="5296"/>
      <c r="O49" s="5296"/>
      <c r="P49" s="5296"/>
      <c r="Q49" s="5296"/>
      <c r="R49" s="5296"/>
      <c r="S49" s="5296"/>
      <c r="T49" s="5296"/>
      <c r="U49" s="5296"/>
      <c r="V49" s="5296"/>
      <c r="W49" s="5296"/>
      <c r="X49" s="5296"/>
      <c r="Y49" s="5296"/>
      <c r="Z49" s="5296"/>
      <c r="AA49" s="5296"/>
      <c r="AB49" s="5296"/>
      <c r="AC49" s="5296"/>
      <c r="AD49" s="5296"/>
      <c r="AE49" s="5296"/>
      <c r="AF49" s="5296"/>
      <c r="AG49" s="5296"/>
      <c r="AH49" s="5296"/>
      <c r="AI49" s="5296"/>
      <c r="AJ49" s="5296"/>
      <c r="AK49" s="5303"/>
      <c r="AL49" s="5303"/>
      <c r="AM49" s="5197"/>
      <c r="AN49" s="5202"/>
      <c r="AO49" s="5202"/>
      <c r="AP49" s="5202"/>
      <c r="AQ49" s="5202"/>
      <c r="AR49" s="5244"/>
      <c r="AS49" s="5301" t="s">
        <v>909</v>
      </c>
      <c r="AT49" s="5302"/>
      <c r="AU49" s="1975"/>
      <c r="AV49" s="1975"/>
      <c r="AW49" s="1975"/>
      <c r="AX49" s="1975"/>
      <c r="AY49" s="1975"/>
      <c r="AZ49" s="1975"/>
      <c r="BA49" s="1975"/>
      <c r="BB49" s="1975"/>
      <c r="BC49" s="1975"/>
      <c r="BD49" s="1975"/>
      <c r="BE49" s="1975"/>
      <c r="BF49" s="1975"/>
      <c r="BG49" s="1975"/>
      <c r="BH49" s="1975"/>
      <c r="BI49" s="1975"/>
      <c r="BJ49" s="1975"/>
      <c r="BK49" s="1975"/>
      <c r="BL49" s="1955"/>
      <c r="BM49" s="1955"/>
      <c r="BN49" s="1955"/>
      <c r="BO49" s="1955"/>
      <c r="BP49" s="1955"/>
      <c r="BQ49" s="1955"/>
      <c r="BR49" s="1955"/>
      <c r="BS49" s="1955"/>
      <c r="BT49" s="1955"/>
      <c r="BU49" s="1955"/>
      <c r="BV49" s="1955"/>
      <c r="BW49" s="1955"/>
      <c r="BX49" s="1955"/>
      <c r="BY49" s="1955"/>
      <c r="BZ49" s="1955"/>
      <c r="CA49" s="1955"/>
      <c r="CB49" s="1955"/>
      <c r="CC49" s="1955"/>
      <c r="CD49" s="1955"/>
      <c r="CE49" s="1955"/>
      <c r="CF49" s="1955"/>
      <c r="CG49" s="1955"/>
      <c r="CH49" s="1955"/>
      <c r="CI49" s="1955"/>
      <c r="CJ49" s="1955"/>
      <c r="CK49" s="1955"/>
      <c r="CL49" s="1955"/>
      <c r="CM49" s="1955"/>
      <c r="CN49" s="1955"/>
      <c r="CO49" s="1955"/>
      <c r="CP49" s="1955"/>
      <c r="CQ49" s="1955"/>
      <c r="CR49" s="1955"/>
      <c r="CS49" s="1955"/>
      <c r="CT49" s="1955"/>
      <c r="CU49" s="1955"/>
      <c r="CV49" s="1955"/>
      <c r="CW49" s="1955"/>
      <c r="CX49" s="1955"/>
      <c r="CY49" s="1955"/>
      <c r="CZ49" s="1955"/>
      <c r="DA49" s="1955"/>
      <c r="DB49" s="1955"/>
      <c r="DC49" s="1955"/>
      <c r="DD49" s="1955"/>
      <c r="DE49" s="1955"/>
      <c r="DF49" s="1955"/>
    </row>
    <row r="50" spans="1:110" customFormat="1" ht="15.75">
      <c r="A50" s="1975" t="s">
        <v>11550</v>
      </c>
      <c r="B50" s="1975"/>
      <c r="C50" s="1975"/>
      <c r="D50" s="1975"/>
      <c r="E50" s="1975"/>
      <c r="F50" s="1975"/>
      <c r="G50" s="1975"/>
      <c r="H50" s="1975"/>
      <c r="I50" s="1975"/>
      <c r="J50" s="1975"/>
      <c r="K50" s="1975"/>
      <c r="L50" s="1975"/>
      <c r="M50" s="1975"/>
      <c r="N50" s="1975"/>
      <c r="O50" s="1975"/>
      <c r="P50" s="1975"/>
      <c r="Q50" s="1975"/>
      <c r="R50" s="1975"/>
      <c r="S50" s="1975"/>
      <c r="T50" s="1975"/>
      <c r="U50" s="1975"/>
      <c r="V50" s="1975"/>
      <c r="W50" s="1975"/>
      <c r="X50" s="1975"/>
      <c r="Y50" s="1975"/>
      <c r="Z50" s="1975"/>
      <c r="AA50" s="1975"/>
      <c r="AB50" s="1975"/>
      <c r="AC50" s="1975"/>
      <c r="AD50" s="1975"/>
      <c r="AE50" s="1975"/>
      <c r="AF50" s="1975"/>
      <c r="AG50" s="1975"/>
      <c r="AH50" s="1975"/>
      <c r="AI50" s="1975"/>
      <c r="AJ50" s="1975"/>
      <c r="AK50" s="1955"/>
      <c r="AL50" s="1975"/>
      <c r="AM50" s="1975"/>
      <c r="AN50" s="1975"/>
      <c r="AO50" s="1975"/>
      <c r="AP50" s="1975"/>
      <c r="AQ50" s="1975"/>
      <c r="AR50" s="1975"/>
      <c r="AS50" s="1975"/>
      <c r="AT50" s="1975"/>
      <c r="AU50" s="1975"/>
      <c r="AV50" s="1975"/>
      <c r="AW50" s="1975"/>
      <c r="AX50" s="1975"/>
      <c r="AY50" s="1975"/>
      <c r="AZ50" s="1975"/>
      <c r="BA50" s="1975"/>
      <c r="BB50" s="1975"/>
      <c r="BC50" s="1975"/>
      <c r="BD50" s="1975"/>
      <c r="BE50" s="1975"/>
      <c r="BF50" s="1975"/>
      <c r="BG50" s="1975"/>
      <c r="BH50" s="1975"/>
      <c r="BI50" s="1975"/>
      <c r="BJ50" s="1975"/>
      <c r="BK50" s="1975"/>
      <c r="BL50" s="1955"/>
      <c r="BM50" s="1955"/>
      <c r="BN50" s="1955"/>
      <c r="BO50" s="1955"/>
      <c r="BP50" s="1955"/>
      <c r="BQ50" s="1955"/>
      <c r="BR50" s="1955"/>
      <c r="BS50" s="1955"/>
      <c r="BT50" s="1955"/>
      <c r="BU50" s="1955"/>
      <c r="BV50" s="1955"/>
      <c r="BW50" s="1955"/>
      <c r="BX50" s="1955"/>
      <c r="BY50" s="1955"/>
      <c r="BZ50" s="1955"/>
      <c r="CA50" s="1955"/>
      <c r="CB50" s="1955"/>
      <c r="CC50" s="1955"/>
      <c r="CD50" s="1955"/>
      <c r="CE50" s="1955"/>
      <c r="CF50" s="1955"/>
      <c r="CG50" s="1955"/>
      <c r="CH50" s="1955"/>
      <c r="CI50" s="1955"/>
      <c r="CJ50" s="1955"/>
      <c r="CK50" s="1955"/>
      <c r="CL50" s="1955"/>
      <c r="CM50" s="1955"/>
      <c r="CN50" s="1955"/>
      <c r="CO50" s="1955"/>
      <c r="CP50" s="1955"/>
      <c r="CQ50" s="1955"/>
      <c r="CR50" s="1955"/>
      <c r="CS50" s="1955"/>
      <c r="CT50" s="1955"/>
      <c r="CU50" s="1955"/>
      <c r="CV50" s="1955"/>
      <c r="CW50" s="1955"/>
      <c r="CX50" s="1955"/>
      <c r="CY50" s="1955"/>
      <c r="CZ50" s="1955"/>
      <c r="DA50" s="1955"/>
      <c r="DB50" s="1955"/>
      <c r="DC50" s="1955"/>
      <c r="DD50" s="1955"/>
      <c r="DE50" s="1955"/>
      <c r="DF50" s="1955"/>
    </row>
    <row r="51" spans="1:110" customFormat="1" ht="15.75">
      <c r="A51" s="1976" t="s">
        <v>11551</v>
      </c>
      <c r="B51" s="1975"/>
      <c r="C51" s="1975"/>
      <c r="D51" s="1975"/>
      <c r="E51" s="1975"/>
      <c r="F51" s="1975"/>
      <c r="G51" s="1975"/>
      <c r="H51" s="1975"/>
      <c r="I51" s="1975"/>
      <c r="J51" s="1975"/>
      <c r="K51" s="1975"/>
      <c r="L51" s="1975"/>
      <c r="M51" s="1975"/>
      <c r="N51" s="1975"/>
      <c r="O51" s="1975"/>
      <c r="P51" s="1975"/>
      <c r="Q51" s="1975"/>
      <c r="R51" s="1975"/>
      <c r="S51" s="1975"/>
      <c r="T51" s="1975"/>
      <c r="U51" s="1975"/>
      <c r="V51" s="1975"/>
      <c r="W51" s="1975"/>
      <c r="X51" s="1975"/>
      <c r="Y51" s="1975"/>
      <c r="Z51" s="1975"/>
      <c r="AA51" s="1975"/>
      <c r="AB51" s="1975"/>
      <c r="AC51" s="1975"/>
      <c r="AD51" s="1975"/>
      <c r="AE51" s="1975"/>
      <c r="AF51" s="1975"/>
      <c r="AG51" s="1975"/>
      <c r="AH51" s="1975"/>
      <c r="AI51" s="1975"/>
      <c r="AJ51" s="1975"/>
      <c r="AK51" s="1955"/>
      <c r="AL51" s="1975"/>
      <c r="AM51" s="1975"/>
      <c r="AN51" s="1975"/>
      <c r="AO51" s="1975"/>
      <c r="AP51" s="1975"/>
      <c r="AQ51" s="1975"/>
      <c r="AR51" s="1975"/>
      <c r="AS51" s="1975"/>
      <c r="AT51" s="1975"/>
      <c r="AU51" s="1975"/>
      <c r="AV51" s="1975"/>
      <c r="AW51" s="1975"/>
      <c r="AX51" s="1975"/>
      <c r="AY51" s="1975"/>
      <c r="AZ51" s="1975"/>
      <c r="BA51" s="1975"/>
      <c r="BB51" s="1975"/>
      <c r="BC51" s="1975"/>
      <c r="BD51" s="1975"/>
      <c r="BE51" s="1975"/>
      <c r="BF51" s="1975"/>
      <c r="BG51" s="1975"/>
      <c r="BH51" s="1975"/>
      <c r="BI51" s="1975"/>
      <c r="BJ51" s="1975"/>
      <c r="BK51" s="1975"/>
      <c r="BL51" s="1955"/>
      <c r="BM51" s="1955"/>
      <c r="BN51" s="1955"/>
      <c r="BO51" s="1955"/>
      <c r="BP51" s="1955"/>
      <c r="BQ51" s="1955"/>
      <c r="BR51" s="1955"/>
      <c r="BS51" s="1955"/>
      <c r="BT51" s="1955"/>
      <c r="BU51" s="1955"/>
      <c r="BV51" s="1955"/>
      <c r="BW51" s="1955"/>
      <c r="BX51" s="1955"/>
      <c r="BY51" s="1955"/>
      <c r="BZ51" s="1955"/>
      <c r="CA51" s="1955"/>
      <c r="CB51" s="1955"/>
      <c r="CC51" s="1955"/>
      <c r="CD51" s="1955"/>
      <c r="CE51" s="1955"/>
      <c r="CF51" s="1955"/>
      <c r="CG51" s="1955"/>
      <c r="CH51" s="1955"/>
      <c r="CI51" s="1955"/>
      <c r="CJ51" s="1955"/>
      <c r="CK51" s="1955"/>
      <c r="CL51" s="1955"/>
      <c r="CM51" s="1955"/>
      <c r="CN51" s="1955"/>
      <c r="CO51" s="1955"/>
      <c r="CP51" s="1955"/>
      <c r="CQ51" s="1955"/>
      <c r="CR51" s="1955"/>
      <c r="CS51" s="1955"/>
      <c r="CT51" s="1955"/>
      <c r="CU51" s="1955"/>
      <c r="CV51" s="1955"/>
      <c r="CW51" s="1955"/>
      <c r="CX51" s="1955"/>
      <c r="CY51" s="1955"/>
      <c r="CZ51" s="1955"/>
      <c r="DA51" s="1955"/>
      <c r="DB51" s="1955"/>
      <c r="DC51" s="1955"/>
      <c r="DD51" s="1955"/>
      <c r="DE51" s="1955"/>
      <c r="DF51" s="1955"/>
    </row>
    <row r="52" spans="1:110" customFormat="1" ht="15.75">
      <c r="A52" s="1977" t="s">
        <v>11552</v>
      </c>
      <c r="B52" s="1975"/>
      <c r="C52" s="1975"/>
      <c r="D52" s="1975"/>
      <c r="E52" s="1975"/>
      <c r="F52" s="1975"/>
      <c r="G52" s="1975"/>
      <c r="H52" s="1975"/>
      <c r="I52" s="1975"/>
      <c r="J52" s="1975"/>
      <c r="K52" s="1975"/>
      <c r="L52" s="1975"/>
      <c r="M52" s="1975"/>
      <c r="N52" s="1975"/>
      <c r="O52" s="1975"/>
      <c r="P52" s="1975"/>
      <c r="Q52" s="1975"/>
      <c r="R52" s="1975"/>
      <c r="S52" s="1975"/>
      <c r="T52" s="1975"/>
      <c r="U52" s="1975"/>
      <c r="V52" s="1975"/>
      <c r="W52" s="1975"/>
      <c r="X52" s="1975"/>
      <c r="Y52" s="1975"/>
      <c r="Z52" s="1975"/>
      <c r="AA52" s="1975"/>
      <c r="AB52" s="1975"/>
      <c r="AC52" s="1975"/>
      <c r="AD52" s="1975"/>
      <c r="AE52" s="1975"/>
      <c r="AF52" s="1975"/>
      <c r="AG52" s="1975"/>
      <c r="AH52" s="1975"/>
      <c r="AI52" s="1975"/>
      <c r="AJ52" s="1975"/>
      <c r="AK52" s="1955"/>
      <c r="AL52" s="1975"/>
      <c r="AM52" s="1975"/>
      <c r="AN52" s="1975"/>
      <c r="AO52" s="1975"/>
      <c r="AP52" s="1975"/>
      <c r="AQ52" s="1975"/>
      <c r="AR52" s="1975"/>
      <c r="AS52" s="1975"/>
      <c r="AT52" s="1975"/>
      <c r="AU52" s="1975"/>
      <c r="AV52" s="1975"/>
      <c r="AW52" s="1975"/>
      <c r="AX52" s="1975"/>
      <c r="AY52" s="1975"/>
      <c r="AZ52" s="1975"/>
      <c r="BA52" s="1975"/>
      <c r="BB52" s="1975"/>
      <c r="BC52" s="1975"/>
      <c r="BD52" s="1975"/>
      <c r="BE52" s="1975"/>
      <c r="BF52" s="1975"/>
      <c r="BG52" s="1975"/>
      <c r="BH52" s="1975"/>
      <c r="BI52" s="1975"/>
      <c r="BJ52" s="1975"/>
      <c r="BK52" s="1975"/>
      <c r="BL52" s="1955"/>
      <c r="BM52" s="1955"/>
      <c r="BN52" s="1955"/>
      <c r="BO52" s="1955"/>
      <c r="BP52" s="1955"/>
      <c r="BQ52" s="1955"/>
      <c r="BR52" s="1955"/>
      <c r="BS52" s="1955"/>
      <c r="BT52" s="1955"/>
      <c r="BU52" s="1955"/>
      <c r="BV52" s="1955"/>
      <c r="BW52" s="1955"/>
      <c r="BX52" s="1955"/>
      <c r="BY52" s="1955"/>
      <c r="BZ52" s="1955"/>
      <c r="CA52" s="1955"/>
      <c r="CB52" s="1955"/>
      <c r="CC52" s="1955"/>
      <c r="CD52" s="1955"/>
      <c r="CE52" s="1955"/>
      <c r="CF52" s="1955"/>
      <c r="CG52" s="1955"/>
      <c r="CH52" s="1955"/>
      <c r="CI52" s="1955"/>
      <c r="CJ52" s="1955"/>
      <c r="CK52" s="1955"/>
      <c r="CL52" s="1955"/>
      <c r="CM52" s="1955"/>
      <c r="CN52" s="1955"/>
      <c r="CO52" s="1955"/>
      <c r="CP52" s="1955"/>
      <c r="CQ52" s="1955"/>
      <c r="CR52" s="1955"/>
      <c r="CS52" s="1955"/>
      <c r="CT52" s="1955"/>
      <c r="CU52" s="1955"/>
      <c r="CV52" s="1955"/>
      <c r="CW52" s="1955"/>
      <c r="CX52" s="1955"/>
      <c r="CY52" s="1955"/>
      <c r="CZ52" s="1955"/>
      <c r="DA52" s="1955"/>
      <c r="DB52" s="1955"/>
      <c r="DC52" s="1955"/>
      <c r="DD52" s="1955"/>
      <c r="DE52" s="1955"/>
      <c r="DF52" s="1955"/>
    </row>
    <row r="53" spans="1:110" customFormat="1">
      <c r="A53" s="1955"/>
      <c r="B53" s="1975"/>
      <c r="C53" s="1975"/>
      <c r="D53" s="1975"/>
      <c r="E53" s="1975"/>
      <c r="F53" s="1975"/>
      <c r="G53" s="1975"/>
      <c r="H53" s="1975"/>
      <c r="I53" s="1975"/>
      <c r="J53" s="1975"/>
      <c r="K53" s="1975"/>
      <c r="L53" s="1975"/>
      <c r="M53" s="1975"/>
      <c r="N53" s="1975"/>
      <c r="O53" s="1975"/>
      <c r="P53" s="1975"/>
      <c r="Q53" s="1975"/>
      <c r="R53" s="1975"/>
      <c r="S53" s="1975"/>
      <c r="T53" s="1975"/>
      <c r="U53" s="1975"/>
      <c r="V53" s="1975"/>
      <c r="W53" s="1975"/>
      <c r="X53" s="1975"/>
      <c r="Y53" s="1975"/>
      <c r="Z53" s="1975"/>
      <c r="AA53" s="1975"/>
      <c r="AB53" s="1975"/>
      <c r="AC53" s="1975"/>
      <c r="AD53" s="1975"/>
      <c r="AE53" s="1975"/>
      <c r="AF53" s="1975"/>
      <c r="AG53" s="1975"/>
      <c r="AH53" s="1975"/>
      <c r="AI53" s="1975"/>
      <c r="AJ53" s="1975"/>
      <c r="AK53" s="1955"/>
      <c r="AL53" s="1975"/>
      <c r="AM53" s="1975"/>
      <c r="AN53" s="1975"/>
      <c r="AO53" s="1975"/>
      <c r="AP53" s="1975"/>
      <c r="AQ53" s="1975"/>
      <c r="AR53" s="1975"/>
      <c r="AS53" s="1975"/>
      <c r="AT53" s="1975"/>
      <c r="AU53" s="1975"/>
      <c r="AV53" s="1975"/>
      <c r="AW53" s="1975"/>
      <c r="AX53" s="1975"/>
      <c r="AY53" s="1975"/>
      <c r="AZ53" s="1975"/>
      <c r="BA53" s="1975"/>
      <c r="BB53" s="1975"/>
      <c r="BC53" s="1975"/>
      <c r="BD53" s="1975"/>
      <c r="BE53" s="1975"/>
      <c r="BF53" s="1975"/>
      <c r="BG53" s="1975"/>
      <c r="BH53" s="1975"/>
      <c r="BI53" s="1975"/>
      <c r="BJ53" s="1975"/>
      <c r="BK53" s="1975"/>
      <c r="BL53" s="1955"/>
      <c r="BM53" s="1955"/>
      <c r="BN53" s="1955"/>
      <c r="BO53" s="1955"/>
      <c r="BP53" s="1955"/>
      <c r="BQ53" s="1955"/>
      <c r="BR53" s="1955"/>
      <c r="BS53" s="1955"/>
      <c r="BT53" s="1955"/>
      <c r="BU53" s="1955"/>
      <c r="BV53" s="1955"/>
      <c r="BW53" s="1955"/>
      <c r="BX53" s="1955"/>
      <c r="BY53" s="1955"/>
      <c r="BZ53" s="1955"/>
      <c r="CA53" s="1955"/>
      <c r="CB53" s="1955"/>
      <c r="CC53" s="1955"/>
      <c r="CD53" s="1955"/>
      <c r="CE53" s="1955"/>
      <c r="CF53" s="1955"/>
      <c r="CG53" s="1955"/>
      <c r="CH53" s="1955"/>
      <c r="CI53" s="1955"/>
      <c r="CJ53" s="1955"/>
      <c r="CK53" s="1955"/>
      <c r="CL53" s="1955"/>
      <c r="CM53" s="1955"/>
      <c r="CN53" s="1955"/>
      <c r="CO53" s="1955"/>
      <c r="CP53" s="1955"/>
      <c r="CQ53" s="1955"/>
      <c r="CR53" s="1955"/>
      <c r="CS53" s="1955"/>
      <c r="CT53" s="1955"/>
      <c r="CU53" s="1955"/>
      <c r="CV53" s="1955"/>
      <c r="CW53" s="1955"/>
      <c r="CX53" s="1955"/>
      <c r="CY53" s="1955"/>
      <c r="CZ53" s="1955"/>
      <c r="DA53" s="1955"/>
      <c r="DB53" s="1955"/>
      <c r="DC53" s="1955"/>
      <c r="DD53" s="1955"/>
      <c r="DE53" s="1955"/>
      <c r="DF53" s="1955"/>
    </row>
    <row r="54" spans="1:110" customFormat="1" ht="15.75">
      <c r="A54" s="5304" t="s">
        <v>11553</v>
      </c>
      <c r="B54" s="5204"/>
      <c r="C54" s="1955"/>
      <c r="D54" s="1955"/>
      <c r="E54" s="1955"/>
      <c r="F54" s="1955"/>
      <c r="G54" s="1955"/>
      <c r="H54" s="1955"/>
      <c r="I54" s="1955"/>
      <c r="J54" s="1955"/>
      <c r="K54" s="1955"/>
      <c r="L54" s="1955"/>
      <c r="M54" s="1955"/>
      <c r="N54" s="1955"/>
      <c r="O54" s="1955"/>
      <c r="P54" s="1955"/>
      <c r="Q54" s="1955"/>
      <c r="R54" s="1955"/>
      <c r="S54" s="1955"/>
      <c r="T54" s="1955"/>
      <c r="U54" s="1955"/>
      <c r="V54" s="1955"/>
      <c r="W54" s="1955"/>
      <c r="X54" s="1955"/>
      <c r="Y54" s="1955"/>
      <c r="Z54" s="1955"/>
      <c r="AA54" s="1955"/>
      <c r="AB54" s="1955"/>
      <c r="AC54" s="1955"/>
      <c r="AD54" s="1955"/>
      <c r="AE54" s="1955"/>
      <c r="AF54" s="1955"/>
      <c r="AG54" s="1955"/>
      <c r="AH54" s="1955"/>
      <c r="AI54" s="1955"/>
      <c r="AJ54" s="1955"/>
      <c r="AK54" s="1955"/>
      <c r="AL54" s="1955"/>
      <c r="AM54" s="1955"/>
      <c r="AN54" s="1955"/>
      <c r="AO54" s="1955"/>
      <c r="AP54" s="1955"/>
      <c r="AQ54" s="1955"/>
      <c r="AR54" s="1955"/>
      <c r="AS54" s="1957"/>
      <c r="AT54" s="1957"/>
      <c r="AU54" s="1955"/>
      <c r="AV54" s="1955"/>
      <c r="AW54" s="1955"/>
      <c r="AX54" s="1955"/>
      <c r="AY54" s="1955"/>
      <c r="AZ54" s="1955"/>
      <c r="BA54" s="1955"/>
      <c r="BB54" s="1955"/>
      <c r="BC54" s="1955"/>
      <c r="BD54" s="1955"/>
      <c r="BE54" s="1955"/>
      <c r="BF54" s="1955"/>
      <c r="BG54" s="1955"/>
      <c r="BH54" s="1955"/>
      <c r="BI54" s="1955"/>
      <c r="BJ54" s="1955"/>
      <c r="BK54" s="1955"/>
      <c r="BL54" s="1955"/>
      <c r="BM54" s="1955"/>
      <c r="BN54" s="1955"/>
      <c r="BO54" s="1955"/>
      <c r="BP54" s="1955"/>
      <c r="BQ54" s="1955"/>
      <c r="BR54" s="1955"/>
      <c r="BS54" s="1955"/>
      <c r="BT54" s="1955"/>
      <c r="BU54" s="1955"/>
      <c r="BV54" s="1955"/>
      <c r="BW54" s="1955"/>
      <c r="BX54" s="1955"/>
      <c r="BY54" s="1955"/>
      <c r="BZ54" s="1955"/>
      <c r="CA54" s="1955"/>
      <c r="CB54" s="1955"/>
      <c r="CC54" s="1955"/>
      <c r="CD54" s="1955"/>
      <c r="CE54" s="1955"/>
      <c r="CF54" s="1955"/>
      <c r="CG54" s="1955"/>
      <c r="CH54" s="1955"/>
      <c r="CI54" s="1955"/>
      <c r="CJ54" s="1955"/>
      <c r="CK54" s="1955"/>
      <c r="CL54" s="1955"/>
      <c r="CM54" s="1955"/>
      <c r="CN54" s="1955"/>
      <c r="CO54" s="1955"/>
      <c r="CP54" s="1955"/>
      <c r="CQ54" s="1955"/>
      <c r="CR54" s="1955"/>
      <c r="CS54" s="1955"/>
      <c r="CT54" s="1955"/>
      <c r="CU54" s="1955"/>
      <c r="CV54" s="1955"/>
      <c r="CW54" s="1955"/>
      <c r="CX54" s="1955"/>
      <c r="CY54" s="1955"/>
      <c r="CZ54" s="1955"/>
      <c r="DA54" s="1955"/>
      <c r="DB54" s="1955"/>
      <c r="DC54" s="1955"/>
      <c r="DD54" s="1955"/>
      <c r="DE54" s="1955"/>
      <c r="DF54" s="1955"/>
    </row>
    <row r="55" spans="1:110" customFormat="1" ht="15.75">
      <c r="A55" s="5220" t="s">
        <v>909</v>
      </c>
      <c r="B55" s="5229"/>
      <c r="C55" s="5295" t="s">
        <v>11157</v>
      </c>
      <c r="D55" s="5303"/>
      <c r="E55" s="5303"/>
      <c r="F55" s="5303"/>
      <c r="G55" s="5303"/>
      <c r="H55" s="5303"/>
      <c r="I55" s="5303"/>
      <c r="J55" s="5303"/>
      <c r="K55" s="5303"/>
      <c r="L55" s="5303"/>
      <c r="M55" s="5303"/>
      <c r="N55" s="5303"/>
      <c r="O55" s="5303"/>
      <c r="P55" s="5303"/>
      <c r="Q55" s="5303"/>
      <c r="R55" s="5303"/>
      <c r="S55" s="5303"/>
      <c r="T55" s="5303"/>
      <c r="U55" s="5303"/>
      <c r="V55" s="5303"/>
      <c r="W55" s="5303"/>
      <c r="X55" s="5303"/>
      <c r="Y55" s="5303"/>
      <c r="Z55" s="5303"/>
      <c r="AA55" s="5303"/>
      <c r="AB55" s="5303"/>
      <c r="AC55" s="5303"/>
      <c r="AD55" s="5303"/>
      <c r="AE55" s="5303"/>
      <c r="AF55" s="5303"/>
      <c r="AG55" s="5303"/>
      <c r="AH55" s="5305"/>
      <c r="AI55" s="5220" t="s">
        <v>909</v>
      </c>
      <c r="AJ55" s="5229"/>
      <c r="AK55" s="1956" t="s">
        <v>11157</v>
      </c>
      <c r="AL55" s="1957"/>
      <c r="AM55" s="1957"/>
      <c r="AN55" s="1957"/>
      <c r="AO55" s="1957"/>
      <c r="AP55" s="1957"/>
      <c r="AQ55" s="1957"/>
      <c r="AR55" s="1957"/>
      <c r="AS55" s="1978"/>
      <c r="AT55" s="1979"/>
      <c r="AU55" s="1957"/>
      <c r="AV55" s="1957"/>
      <c r="AW55" s="1957"/>
      <c r="AX55" s="1957"/>
      <c r="AY55" s="1957"/>
      <c r="AZ55" s="1957"/>
      <c r="BA55" s="1957"/>
      <c r="BB55" s="1957"/>
      <c r="BC55" s="1957"/>
      <c r="BD55" s="1957"/>
      <c r="BE55" s="1957"/>
      <c r="BF55" s="1957"/>
      <c r="BG55" s="1957"/>
      <c r="BH55" s="1957"/>
      <c r="BI55" s="2014"/>
      <c r="BJ55" s="5220" t="s">
        <v>909</v>
      </c>
      <c r="BK55" s="5229"/>
      <c r="BL55" s="5295" t="s">
        <v>11157</v>
      </c>
      <c r="BM55" s="5296"/>
      <c r="BN55" s="5296"/>
      <c r="BO55" s="5296"/>
      <c r="BP55" s="5296"/>
      <c r="BQ55" s="5296"/>
      <c r="BR55" s="5296"/>
      <c r="BS55" s="5296"/>
      <c r="BT55" s="5296"/>
      <c r="BU55" s="5296"/>
      <c r="BV55" s="5296"/>
      <c r="BW55" s="5296"/>
      <c r="BX55" s="5296"/>
      <c r="BY55" s="5296"/>
      <c r="BZ55" s="5296"/>
      <c r="CA55" s="5296"/>
      <c r="CB55" s="5296"/>
      <c r="CC55" s="5296"/>
      <c r="CD55" s="5296"/>
      <c r="CE55" s="5296"/>
      <c r="CF55" s="5296"/>
      <c r="CG55" s="5296"/>
      <c r="CH55" s="5296"/>
      <c r="CI55" s="5296"/>
      <c r="CJ55" s="5296"/>
      <c r="CK55" s="5297"/>
      <c r="CL55" s="5220" t="s">
        <v>909</v>
      </c>
      <c r="CM55" s="5229"/>
      <c r="CN55" s="5295" t="s">
        <v>11157</v>
      </c>
      <c r="CO55" s="5296"/>
      <c r="CP55" s="5296"/>
      <c r="CQ55" s="5296"/>
      <c r="CR55" s="5296"/>
      <c r="CS55" s="5296"/>
      <c r="CT55" s="5296"/>
      <c r="CU55" s="5296"/>
      <c r="CV55" s="5296"/>
      <c r="CW55" s="5296"/>
      <c r="CX55" s="5296"/>
      <c r="CY55" s="5296"/>
      <c r="CZ55" s="5296"/>
      <c r="DA55" s="5296"/>
      <c r="DB55" s="5296"/>
      <c r="DC55" s="5296"/>
      <c r="DD55" s="5296"/>
      <c r="DE55" s="5296"/>
      <c r="DF55" s="5297"/>
    </row>
    <row r="56" spans="1:110" customFormat="1" ht="15.75">
      <c r="A56" s="5278" t="s">
        <v>11159</v>
      </c>
      <c r="B56" s="5282"/>
      <c r="C56" s="5291" t="s">
        <v>961</v>
      </c>
      <c r="D56" s="5211"/>
      <c r="E56" s="5211"/>
      <c r="F56" s="5243"/>
      <c r="G56" s="5287" t="s">
        <v>962</v>
      </c>
      <c r="H56" s="5211"/>
      <c r="I56" s="5211"/>
      <c r="J56" s="5243"/>
      <c r="K56" s="5287" t="s">
        <v>1957</v>
      </c>
      <c r="L56" s="5211"/>
      <c r="M56" s="5211"/>
      <c r="N56" s="5211"/>
      <c r="O56" s="5243"/>
      <c r="P56" s="5287" t="s">
        <v>2524</v>
      </c>
      <c r="Q56" s="5211"/>
      <c r="R56" s="5211"/>
      <c r="S56" s="5211"/>
      <c r="T56" s="5243"/>
      <c r="U56" s="5287" t="s">
        <v>2510</v>
      </c>
      <c r="V56" s="5211"/>
      <c r="W56" s="5211"/>
      <c r="X56" s="5243"/>
      <c r="Y56" s="5287" t="s">
        <v>475</v>
      </c>
      <c r="Z56" s="5211"/>
      <c r="AA56" s="5211"/>
      <c r="AB56" s="5243"/>
      <c r="AC56" s="5287" t="s">
        <v>252</v>
      </c>
      <c r="AD56" s="5211"/>
      <c r="AE56" s="5211"/>
      <c r="AF56" s="5243"/>
      <c r="AG56" s="5298" t="s">
        <v>487</v>
      </c>
      <c r="AH56" s="5210"/>
      <c r="AI56" s="5278" t="s">
        <v>11159</v>
      </c>
      <c r="AJ56" s="5282"/>
      <c r="AK56" s="5287" t="s">
        <v>2876</v>
      </c>
      <c r="AL56" s="5211"/>
      <c r="AM56" s="5243"/>
      <c r="AN56" s="5298" t="s">
        <v>11163</v>
      </c>
      <c r="AO56" s="5223"/>
      <c r="AP56" s="1972" t="s">
        <v>462</v>
      </c>
      <c r="AQ56" s="1978"/>
      <c r="AR56" s="1978"/>
      <c r="AS56" s="1990" t="s">
        <v>11049</v>
      </c>
      <c r="AT56" s="1989" t="s">
        <v>9825</v>
      </c>
      <c r="AU56" s="5287" t="s">
        <v>235</v>
      </c>
      <c r="AV56" s="5211"/>
      <c r="AW56" s="5211"/>
      <c r="AX56" s="5211"/>
      <c r="AY56" s="5243"/>
      <c r="AZ56" s="5287" t="s">
        <v>464</v>
      </c>
      <c r="BA56" s="5211"/>
      <c r="BB56" s="5211"/>
      <c r="BC56" s="5211"/>
      <c r="BD56" s="5243"/>
      <c r="BE56" s="5291" t="s">
        <v>445</v>
      </c>
      <c r="BF56" s="5211"/>
      <c r="BG56" s="5211"/>
      <c r="BH56" s="5211"/>
      <c r="BI56" s="5243"/>
      <c r="BJ56" s="5278" t="s">
        <v>11159</v>
      </c>
      <c r="BK56" s="5282"/>
      <c r="BL56" s="5287" t="s">
        <v>453</v>
      </c>
      <c r="BM56" s="5211"/>
      <c r="BN56" s="5211"/>
      <c r="BO56" s="5243"/>
      <c r="BP56" s="5287" t="s">
        <v>471</v>
      </c>
      <c r="BQ56" s="5211"/>
      <c r="BR56" s="5211"/>
      <c r="BS56" s="5243"/>
      <c r="BT56" s="5287" t="s">
        <v>2520</v>
      </c>
      <c r="BU56" s="5211"/>
      <c r="BV56" s="5243"/>
      <c r="BW56" s="5287" t="s">
        <v>10176</v>
      </c>
      <c r="BX56" s="5211"/>
      <c r="BY56" s="5243"/>
      <c r="BZ56" s="5287" t="s">
        <v>430</v>
      </c>
      <c r="CA56" s="5211"/>
      <c r="CB56" s="5243"/>
      <c r="CC56" s="5287" t="s">
        <v>3801</v>
      </c>
      <c r="CD56" s="5211"/>
      <c r="CE56" s="5243"/>
      <c r="CF56" s="5287" t="s">
        <v>11165</v>
      </c>
      <c r="CG56" s="5211"/>
      <c r="CH56" s="5243"/>
      <c r="CI56" s="5291" t="s">
        <v>1139</v>
      </c>
      <c r="CJ56" s="5211"/>
      <c r="CK56" s="5243"/>
      <c r="CL56" s="5278" t="s">
        <v>11159</v>
      </c>
      <c r="CM56" s="5282"/>
      <c r="CN56" s="5291" t="s">
        <v>2524</v>
      </c>
      <c r="CO56" s="5211"/>
      <c r="CP56" s="5211"/>
      <c r="CQ56" s="5243"/>
      <c r="CR56" s="5287" t="s">
        <v>2510</v>
      </c>
      <c r="CS56" s="5243"/>
      <c r="CT56" s="5287" t="s">
        <v>475</v>
      </c>
      <c r="CU56" s="5211"/>
      <c r="CV56" s="5243"/>
      <c r="CW56" s="5287" t="s">
        <v>252</v>
      </c>
      <c r="CX56" s="5243"/>
      <c r="CY56" s="2017" t="s">
        <v>487</v>
      </c>
      <c r="CZ56" s="2017" t="s">
        <v>11163</v>
      </c>
      <c r="DA56" s="5287" t="s">
        <v>462</v>
      </c>
      <c r="DB56" s="5243"/>
      <c r="DC56" s="5287" t="s">
        <v>235</v>
      </c>
      <c r="DD56" s="5243"/>
      <c r="DE56" s="5291" t="s">
        <v>464</v>
      </c>
      <c r="DF56" s="5243"/>
    </row>
    <row r="57" spans="1:110" customFormat="1" ht="15.75">
      <c r="A57" s="1980" t="s">
        <v>2410</v>
      </c>
      <c r="B57" s="1981" t="s">
        <v>11052</v>
      </c>
      <c r="C57" s="1982">
        <v>9</v>
      </c>
      <c r="D57" s="1968">
        <v>10</v>
      </c>
      <c r="E57" s="1983">
        <v>11</v>
      </c>
      <c r="F57" s="1967">
        <v>12</v>
      </c>
      <c r="G57" s="1966" t="s">
        <v>9828</v>
      </c>
      <c r="H57" s="1968" t="s">
        <v>3389</v>
      </c>
      <c r="I57" s="1983" t="s">
        <v>11050</v>
      </c>
      <c r="J57" s="1989" t="s">
        <v>11051</v>
      </c>
      <c r="K57" s="1966" t="s">
        <v>9825</v>
      </c>
      <c r="L57" s="1968" t="s">
        <v>9828</v>
      </c>
      <c r="M57" s="1968" t="s">
        <v>3389</v>
      </c>
      <c r="N57" s="1990" t="s">
        <v>11050</v>
      </c>
      <c r="O57" s="1989" t="s">
        <v>11051</v>
      </c>
      <c r="P57" s="1966" t="s">
        <v>11049</v>
      </c>
      <c r="Q57" s="1983" t="s">
        <v>9825</v>
      </c>
      <c r="R57" s="1990" t="s">
        <v>9828</v>
      </c>
      <c r="S57" s="1983" t="s">
        <v>3389</v>
      </c>
      <c r="T57" s="1989" t="s">
        <v>11050</v>
      </c>
      <c r="U57" s="1966" t="s">
        <v>11049</v>
      </c>
      <c r="V57" s="1968" t="s">
        <v>9825</v>
      </c>
      <c r="W57" s="1968" t="s">
        <v>9828</v>
      </c>
      <c r="X57" s="1967" t="s">
        <v>3389</v>
      </c>
      <c r="Y57" s="2002" t="s">
        <v>11048</v>
      </c>
      <c r="Z57" s="1983" t="s">
        <v>11049</v>
      </c>
      <c r="AA57" s="1990" t="s">
        <v>9825</v>
      </c>
      <c r="AB57" s="1989" t="s">
        <v>9828</v>
      </c>
      <c r="AC57" s="1966" t="s">
        <v>11047</v>
      </c>
      <c r="AD57" s="1983" t="s">
        <v>11048</v>
      </c>
      <c r="AE57" s="1990" t="s">
        <v>11049</v>
      </c>
      <c r="AF57" s="1967" t="s">
        <v>9825</v>
      </c>
      <c r="AG57" s="5292" t="s">
        <v>11554</v>
      </c>
      <c r="AH57" s="5196"/>
      <c r="AI57" s="1980" t="s">
        <v>2410</v>
      </c>
      <c r="AJ57" s="1981" t="s">
        <v>11052</v>
      </c>
      <c r="AK57" s="1966" t="s">
        <v>11048</v>
      </c>
      <c r="AL57" s="1968" t="s">
        <v>11049</v>
      </c>
      <c r="AM57" s="1967" t="s">
        <v>9825</v>
      </c>
      <c r="AN57" s="5292" t="s">
        <v>11554</v>
      </c>
      <c r="AO57" s="5293"/>
      <c r="AP57" s="1966" t="s">
        <v>11046</v>
      </c>
      <c r="AQ57" s="1968" t="s">
        <v>11047</v>
      </c>
      <c r="AR57" s="1983" t="s">
        <v>11048</v>
      </c>
      <c r="AS57" s="1984"/>
      <c r="AT57" s="1981"/>
      <c r="AU57" s="1966" t="s">
        <v>11046</v>
      </c>
      <c r="AV57" s="1968" t="s">
        <v>11047</v>
      </c>
      <c r="AW57" s="1983" t="s">
        <v>11048</v>
      </c>
      <c r="AX57" s="1983" t="s">
        <v>11049</v>
      </c>
      <c r="AY57" s="1989" t="s">
        <v>9825</v>
      </c>
      <c r="AZ57" s="1966" t="s">
        <v>11047</v>
      </c>
      <c r="BA57" s="1983" t="s">
        <v>11048</v>
      </c>
      <c r="BB57" s="1990" t="s">
        <v>11049</v>
      </c>
      <c r="BC57" s="1983" t="s">
        <v>9825</v>
      </c>
      <c r="BD57" s="1967" t="s">
        <v>9828</v>
      </c>
      <c r="BE57" s="1982" t="s">
        <v>11047</v>
      </c>
      <c r="BF57" s="1983" t="s">
        <v>11048</v>
      </c>
      <c r="BG57" s="1990" t="s">
        <v>11049</v>
      </c>
      <c r="BH57" s="1983" t="s">
        <v>9825</v>
      </c>
      <c r="BI57" s="1967" t="s">
        <v>9828</v>
      </c>
      <c r="BJ57" s="1980" t="s">
        <v>2410</v>
      </c>
      <c r="BK57" s="1981" t="s">
        <v>11052</v>
      </c>
      <c r="BL57" s="1966" t="s">
        <v>11047</v>
      </c>
      <c r="BM57" s="1983" t="s">
        <v>11048</v>
      </c>
      <c r="BN57" s="1983" t="s">
        <v>11049</v>
      </c>
      <c r="BO57" s="1967" t="s">
        <v>9825</v>
      </c>
      <c r="BP57" s="1966" t="s">
        <v>11047</v>
      </c>
      <c r="BQ57" s="1983" t="s">
        <v>11048</v>
      </c>
      <c r="BR57" s="1990" t="s">
        <v>11049</v>
      </c>
      <c r="BS57" s="1967" t="s">
        <v>9825</v>
      </c>
      <c r="BT57" s="2002" t="s">
        <v>11048</v>
      </c>
      <c r="BU57" s="1983" t="s">
        <v>11049</v>
      </c>
      <c r="BV57" s="1967" t="s">
        <v>9825</v>
      </c>
      <c r="BW57" s="1966" t="s">
        <v>11048</v>
      </c>
      <c r="BX57" s="1990" t="s">
        <v>11049</v>
      </c>
      <c r="BY57" s="1967" t="s">
        <v>9825</v>
      </c>
      <c r="BZ57" s="1966" t="s">
        <v>11048</v>
      </c>
      <c r="CA57" s="1968" t="s">
        <v>11049</v>
      </c>
      <c r="CB57" s="1967" t="s">
        <v>9825</v>
      </c>
      <c r="CC57" s="1966" t="s">
        <v>11048</v>
      </c>
      <c r="CD57" s="1968" t="s">
        <v>11049</v>
      </c>
      <c r="CE57" s="1967" t="s">
        <v>9825</v>
      </c>
      <c r="CF57" s="1966" t="s">
        <v>11048</v>
      </c>
      <c r="CG57" s="1968" t="s">
        <v>11049</v>
      </c>
      <c r="CH57" s="1967" t="s">
        <v>9825</v>
      </c>
      <c r="CI57" s="1982" t="s">
        <v>11048</v>
      </c>
      <c r="CJ57" s="1968" t="s">
        <v>11049</v>
      </c>
      <c r="CK57" s="1967" t="s">
        <v>9825</v>
      </c>
      <c r="CL57" s="1980" t="s">
        <v>2410</v>
      </c>
      <c r="CM57" s="1981" t="s">
        <v>11052</v>
      </c>
      <c r="CN57" s="1982" t="s">
        <v>9825</v>
      </c>
      <c r="CO57" s="1968" t="s">
        <v>9828</v>
      </c>
      <c r="CP57" s="1968" t="s">
        <v>3389</v>
      </c>
      <c r="CQ57" s="1967" t="s">
        <v>11050</v>
      </c>
      <c r="CR57" s="1966" t="s">
        <v>9825</v>
      </c>
      <c r="CS57" s="1967" t="s">
        <v>9828</v>
      </c>
      <c r="CT57" s="1966" t="s">
        <v>11049</v>
      </c>
      <c r="CU57" s="1968" t="s">
        <v>9825</v>
      </c>
      <c r="CV57" s="1967" t="s">
        <v>9828</v>
      </c>
      <c r="CW57" s="1966" t="s">
        <v>11048</v>
      </c>
      <c r="CX57" s="1967" t="s">
        <v>11049</v>
      </c>
      <c r="CY57" s="2018" t="s">
        <v>11555</v>
      </c>
      <c r="CZ57" s="2018" t="s">
        <v>11555</v>
      </c>
      <c r="DA57" s="1966" t="s">
        <v>11048</v>
      </c>
      <c r="DB57" s="1967" t="s">
        <v>11049</v>
      </c>
      <c r="DC57" s="1966" t="s">
        <v>11048</v>
      </c>
      <c r="DD57" s="1967" t="s">
        <v>11049</v>
      </c>
      <c r="DE57" s="1982" t="s">
        <v>11048</v>
      </c>
      <c r="DF57" s="1967" t="s">
        <v>11049</v>
      </c>
    </row>
    <row r="58" spans="1:110" customFormat="1" ht="15.75">
      <c r="A58" s="1980" t="s">
        <v>5908</v>
      </c>
      <c r="B58" s="1967" t="s">
        <v>11045</v>
      </c>
      <c r="C58" s="5250" t="s">
        <v>11174</v>
      </c>
      <c r="D58" s="5234"/>
      <c r="E58" s="5234"/>
      <c r="F58" s="5235"/>
      <c r="G58" s="5232" t="s">
        <v>11175</v>
      </c>
      <c r="H58" s="5234"/>
      <c r="I58" s="5234"/>
      <c r="J58" s="5235"/>
      <c r="K58" s="5232" t="s">
        <v>11176</v>
      </c>
      <c r="L58" s="5234"/>
      <c r="M58" s="5234"/>
      <c r="N58" s="5234"/>
      <c r="O58" s="5235"/>
      <c r="P58" s="5232" t="s">
        <v>11178</v>
      </c>
      <c r="Q58" s="5234"/>
      <c r="R58" s="5234"/>
      <c r="S58" s="5234"/>
      <c r="T58" s="5235"/>
      <c r="U58" s="5232" t="s">
        <v>11179</v>
      </c>
      <c r="V58" s="5234"/>
      <c r="W58" s="5234"/>
      <c r="X58" s="5235"/>
      <c r="Y58" s="5232" t="s">
        <v>11181</v>
      </c>
      <c r="Z58" s="5234"/>
      <c r="AA58" s="5234"/>
      <c r="AB58" s="5235"/>
      <c r="AC58" s="5232" t="s">
        <v>11183</v>
      </c>
      <c r="AD58" s="5234"/>
      <c r="AE58" s="5234"/>
      <c r="AF58" s="5235"/>
      <c r="AG58" s="5251" t="s">
        <v>11556</v>
      </c>
      <c r="AH58" s="5252"/>
      <c r="AI58" s="1980" t="s">
        <v>5908</v>
      </c>
      <c r="AJ58" s="1967" t="s">
        <v>11045</v>
      </c>
      <c r="AK58" s="1966" t="s">
        <v>11186</v>
      </c>
      <c r="AL58" s="1968" t="s">
        <v>11188</v>
      </c>
      <c r="AM58" s="1967" t="s">
        <v>11253</v>
      </c>
      <c r="AN58" s="5251" t="s">
        <v>11557</v>
      </c>
      <c r="AO58" s="5257"/>
      <c r="AP58" s="1966" t="s">
        <v>11095</v>
      </c>
      <c r="AQ58" s="1984"/>
      <c r="AR58" s="1984"/>
      <c r="AS58" s="1968" t="s">
        <v>11558</v>
      </c>
      <c r="AT58" s="1967" t="s">
        <v>11198</v>
      </c>
      <c r="AU58" s="5232" t="s">
        <v>11185</v>
      </c>
      <c r="AV58" s="5234"/>
      <c r="AW58" s="5234"/>
      <c r="AX58" s="5234"/>
      <c r="AY58" s="5235"/>
      <c r="AZ58" s="5232" t="s">
        <v>11186</v>
      </c>
      <c r="BA58" s="5234"/>
      <c r="BB58" s="5234"/>
      <c r="BC58" s="5234"/>
      <c r="BD58" s="5235"/>
      <c r="BE58" s="5250" t="s">
        <v>11188</v>
      </c>
      <c r="BF58" s="5234"/>
      <c r="BG58" s="5234"/>
      <c r="BH58" s="5234"/>
      <c r="BI58" s="5235"/>
      <c r="BJ58" s="1980" t="s">
        <v>5908</v>
      </c>
      <c r="BK58" s="1967" t="s">
        <v>11045</v>
      </c>
      <c r="BL58" s="5232" t="s">
        <v>11189</v>
      </c>
      <c r="BM58" s="5193"/>
      <c r="BN58" s="5193"/>
      <c r="BO58" s="5215"/>
      <c r="BP58" s="5232" t="s">
        <v>11190</v>
      </c>
      <c r="BQ58" s="5234"/>
      <c r="BR58" s="5234"/>
      <c r="BS58" s="5235"/>
      <c r="BT58" s="2015"/>
      <c r="BU58" s="2011"/>
      <c r="BV58" s="2016"/>
      <c r="BW58" s="5292" t="s">
        <v>11236</v>
      </c>
      <c r="BX58" s="5294"/>
      <c r="BY58" s="5293"/>
      <c r="BZ58" s="2015"/>
      <c r="CA58" s="2011"/>
      <c r="CB58" s="2016"/>
      <c r="CC58" s="5232" t="s">
        <v>11426</v>
      </c>
      <c r="CD58" s="5234"/>
      <c r="CE58" s="5235"/>
      <c r="CF58" s="2015"/>
      <c r="CG58" s="2011"/>
      <c r="CH58" s="2016"/>
      <c r="CI58" s="5250" t="s">
        <v>11191</v>
      </c>
      <c r="CJ58" s="5234"/>
      <c r="CK58" s="5235"/>
      <c r="CL58" s="1966" t="s">
        <v>11082</v>
      </c>
      <c r="CM58" s="1967" t="s">
        <v>11081</v>
      </c>
      <c r="CN58" s="5250" t="s">
        <v>11352</v>
      </c>
      <c r="CO58" s="5214"/>
      <c r="CP58" s="5214"/>
      <c r="CQ58" s="5233"/>
      <c r="CR58" s="5232" t="s">
        <v>11353</v>
      </c>
      <c r="CS58" s="5235"/>
      <c r="CT58" s="5232" t="s">
        <v>11499</v>
      </c>
      <c r="CU58" s="5234"/>
      <c r="CV58" s="5235"/>
      <c r="CW58" s="5232" t="s">
        <v>11326</v>
      </c>
      <c r="CX58" s="5235"/>
      <c r="CY58" s="5271" t="s">
        <v>11095</v>
      </c>
      <c r="CZ58" s="5274" t="s">
        <v>11184</v>
      </c>
      <c r="DA58" s="5232" t="s">
        <v>11095</v>
      </c>
      <c r="DB58" s="5233"/>
      <c r="DC58" s="5232" t="s">
        <v>11191</v>
      </c>
      <c r="DD58" s="5235"/>
      <c r="DE58" s="5250" t="s">
        <v>11500</v>
      </c>
      <c r="DF58" s="5235"/>
    </row>
    <row r="59" spans="1:110" customFormat="1" ht="15.75">
      <c r="A59" s="1966" t="s">
        <v>11045</v>
      </c>
      <c r="B59" s="1967" t="s">
        <v>11048</v>
      </c>
      <c r="C59" s="5250"/>
      <c r="D59" s="5234"/>
      <c r="E59" s="5234"/>
      <c r="F59" s="5235"/>
      <c r="G59" s="5232"/>
      <c r="H59" s="5234"/>
      <c r="I59" s="5234"/>
      <c r="J59" s="5235"/>
      <c r="K59" s="5232" t="s">
        <v>11195</v>
      </c>
      <c r="L59" s="5234"/>
      <c r="M59" s="5234"/>
      <c r="N59" s="5234"/>
      <c r="O59" s="5235"/>
      <c r="P59" s="5232" t="s">
        <v>11197</v>
      </c>
      <c r="Q59" s="5234"/>
      <c r="R59" s="5234"/>
      <c r="S59" s="5234"/>
      <c r="T59" s="5235"/>
      <c r="U59" s="5232" t="s">
        <v>11178</v>
      </c>
      <c r="V59" s="5234"/>
      <c r="W59" s="5234"/>
      <c r="X59" s="5235"/>
      <c r="Y59" s="5232" t="s">
        <v>11180</v>
      </c>
      <c r="Z59" s="5234"/>
      <c r="AA59" s="5234"/>
      <c r="AB59" s="5235"/>
      <c r="AC59" s="5232" t="s">
        <v>11182</v>
      </c>
      <c r="AD59" s="5234"/>
      <c r="AE59" s="5234"/>
      <c r="AF59" s="5235"/>
      <c r="AG59" s="5253"/>
      <c r="AH59" s="5254"/>
      <c r="AI59" s="1966" t="s">
        <v>11045</v>
      </c>
      <c r="AJ59" s="1967" t="s">
        <v>11048</v>
      </c>
      <c r="AK59" s="1966" t="s">
        <v>11559</v>
      </c>
      <c r="AL59" s="2011"/>
      <c r="AM59" s="1967" t="s">
        <v>11253</v>
      </c>
      <c r="AN59" s="5258"/>
      <c r="AO59" s="5259"/>
      <c r="AP59" s="5232" t="s">
        <v>11560</v>
      </c>
      <c r="AQ59" s="1968" t="s">
        <v>11095</v>
      </c>
      <c r="AR59" s="5234" t="s">
        <v>11183</v>
      </c>
      <c r="AS59" s="1968" t="s">
        <v>11198</v>
      </c>
      <c r="AT59" s="1967" t="s">
        <v>11181</v>
      </c>
      <c r="AU59" s="1966" t="s">
        <v>11561</v>
      </c>
      <c r="AV59" s="1968" t="s">
        <v>11559</v>
      </c>
      <c r="AW59" s="1968" t="s">
        <v>11562</v>
      </c>
      <c r="AX59" s="5234" t="s">
        <v>11095</v>
      </c>
      <c r="AY59" s="1967" t="s">
        <v>11183</v>
      </c>
      <c r="AZ59" s="1966" t="s">
        <v>11234</v>
      </c>
      <c r="BA59" s="1968" t="s">
        <v>11563</v>
      </c>
      <c r="BB59" s="5234" t="s">
        <v>11186</v>
      </c>
      <c r="BC59" s="1968" t="s">
        <v>11185</v>
      </c>
      <c r="BD59" s="5235" t="s">
        <v>11095</v>
      </c>
      <c r="BE59" s="1982" t="s">
        <v>11301</v>
      </c>
      <c r="BF59" s="1968" t="s">
        <v>11277</v>
      </c>
      <c r="BG59" s="1968" t="s">
        <v>11253</v>
      </c>
      <c r="BH59" s="5234" t="s">
        <v>11202</v>
      </c>
      <c r="BI59" s="5235"/>
      <c r="BJ59" s="1966" t="s">
        <v>11045</v>
      </c>
      <c r="BK59" s="1967" t="s">
        <v>11048</v>
      </c>
      <c r="BL59" s="1966" t="s">
        <v>11190</v>
      </c>
      <c r="BM59" s="1968" t="s">
        <v>11202</v>
      </c>
      <c r="BN59" s="1968" t="s">
        <v>11301</v>
      </c>
      <c r="BO59" s="1967" t="s">
        <v>11203</v>
      </c>
      <c r="BP59" s="1966" t="s">
        <v>11236</v>
      </c>
      <c r="BQ59" s="1968" t="s">
        <v>11564</v>
      </c>
      <c r="BR59" s="1968" t="s">
        <v>11203</v>
      </c>
      <c r="BS59" s="1967" t="s">
        <v>11204</v>
      </c>
      <c r="BT59" s="2015"/>
      <c r="BU59" s="2011"/>
      <c r="BV59" s="2016"/>
      <c r="BW59" s="1966" t="s">
        <v>11426</v>
      </c>
      <c r="BX59" s="1968" t="s">
        <v>11204</v>
      </c>
      <c r="BY59" s="1967" t="s">
        <v>11205</v>
      </c>
      <c r="BZ59" s="2015"/>
      <c r="CA59" s="2011"/>
      <c r="CB59" s="2016"/>
      <c r="CC59" s="1966" t="s">
        <v>11565</v>
      </c>
      <c r="CD59" s="1968" t="s">
        <v>11566</v>
      </c>
      <c r="CE59" s="1967" t="s">
        <v>11206</v>
      </c>
      <c r="CF59" s="2015"/>
      <c r="CG59" s="2011"/>
      <c r="CH59" s="2016"/>
      <c r="CI59" s="1982" t="s">
        <v>11192</v>
      </c>
      <c r="CJ59" s="1968" t="s">
        <v>11567</v>
      </c>
      <c r="CK59" s="1967" t="s">
        <v>11207</v>
      </c>
      <c r="CL59" s="1966" t="s">
        <v>11081</v>
      </c>
      <c r="CM59" s="1967" t="s">
        <v>11086</v>
      </c>
      <c r="CN59" s="5250" t="s">
        <v>11227</v>
      </c>
      <c r="CO59" s="5214"/>
      <c r="CP59" s="5214"/>
      <c r="CQ59" s="5233"/>
      <c r="CR59" s="5232" t="s">
        <v>11248</v>
      </c>
      <c r="CS59" s="5235"/>
      <c r="CT59" s="5232" t="s">
        <v>11213</v>
      </c>
      <c r="CU59" s="5234"/>
      <c r="CV59" s="5235"/>
      <c r="CW59" s="5232" t="s">
        <v>11275</v>
      </c>
      <c r="CX59" s="5235"/>
      <c r="CY59" s="5272"/>
      <c r="CZ59" s="5275"/>
      <c r="DA59" s="5192"/>
      <c r="DB59" s="5233"/>
      <c r="DC59" s="5232" t="s">
        <v>11505</v>
      </c>
      <c r="DD59" s="5235"/>
      <c r="DE59" s="5250" t="s">
        <v>11209</v>
      </c>
      <c r="DF59" s="5235"/>
    </row>
    <row r="60" spans="1:110" customFormat="1" ht="15.75">
      <c r="A60" s="1966" t="s">
        <v>11048</v>
      </c>
      <c r="B60" s="1967" t="s">
        <v>3389</v>
      </c>
      <c r="C60" s="5250" t="s">
        <v>11211</v>
      </c>
      <c r="D60" s="5214"/>
      <c r="E60" s="5214"/>
      <c r="F60" s="5233"/>
      <c r="G60" s="5232" t="s">
        <v>11212</v>
      </c>
      <c r="H60" s="5234"/>
      <c r="I60" s="5234"/>
      <c r="J60" s="5235"/>
      <c r="K60" s="5232" t="s">
        <v>11213</v>
      </c>
      <c r="L60" s="5234"/>
      <c r="M60" s="5234"/>
      <c r="N60" s="5234"/>
      <c r="O60" s="5235"/>
      <c r="P60" s="5232" t="s">
        <v>11215</v>
      </c>
      <c r="Q60" s="5234"/>
      <c r="R60" s="5234"/>
      <c r="S60" s="5234"/>
      <c r="T60" s="5235"/>
      <c r="U60" s="5232" t="s">
        <v>11216</v>
      </c>
      <c r="V60" s="5234"/>
      <c r="W60" s="5234"/>
      <c r="X60" s="5235"/>
      <c r="Y60" s="5232" t="s">
        <v>11218</v>
      </c>
      <c r="Z60" s="5234"/>
      <c r="AA60" s="5234"/>
      <c r="AB60" s="5235"/>
      <c r="AC60" s="5232" t="s">
        <v>11198</v>
      </c>
      <c r="AD60" s="5234"/>
      <c r="AE60" s="5234"/>
      <c r="AF60" s="5235"/>
      <c r="AG60" s="5253"/>
      <c r="AH60" s="5254"/>
      <c r="AI60" s="1966" t="s">
        <v>11048</v>
      </c>
      <c r="AJ60" s="1967" t="s">
        <v>3389</v>
      </c>
      <c r="AK60" s="1966" t="s">
        <v>11186</v>
      </c>
      <c r="AL60" s="1968" t="s">
        <v>11234</v>
      </c>
      <c r="AM60" s="1967" t="s">
        <v>11189</v>
      </c>
      <c r="AN60" s="5258"/>
      <c r="AO60" s="5259"/>
      <c r="AP60" s="5232"/>
      <c r="AQ60" s="1968" t="s">
        <v>11568</v>
      </c>
      <c r="AR60" s="5234"/>
      <c r="AS60" s="5234" t="s">
        <v>11181</v>
      </c>
      <c r="AT60" s="5235" t="s">
        <v>11219</v>
      </c>
      <c r="AU60" s="1966" t="s">
        <v>11569</v>
      </c>
      <c r="AV60" s="1968" t="s">
        <v>11186</v>
      </c>
      <c r="AW60" s="1968" t="s">
        <v>11559</v>
      </c>
      <c r="AX60" s="5234"/>
      <c r="AY60" s="1967" t="s">
        <v>11568</v>
      </c>
      <c r="AZ60" s="1966" t="s">
        <v>11253</v>
      </c>
      <c r="BA60" s="1968" t="s">
        <v>11234</v>
      </c>
      <c r="BB60" s="5234"/>
      <c r="BC60" s="5234" t="s">
        <v>11559</v>
      </c>
      <c r="BD60" s="5235"/>
      <c r="BE60" s="1982" t="s">
        <v>11329</v>
      </c>
      <c r="BF60" s="1968" t="s">
        <v>11202</v>
      </c>
      <c r="BG60" s="1968" t="s">
        <v>11277</v>
      </c>
      <c r="BH60" s="5234" t="s">
        <v>11203</v>
      </c>
      <c r="BI60" s="5235"/>
      <c r="BJ60" s="1966" t="s">
        <v>11048</v>
      </c>
      <c r="BK60" s="1967" t="s">
        <v>3389</v>
      </c>
      <c r="BL60" s="1966" t="s">
        <v>11392</v>
      </c>
      <c r="BM60" s="1968" t="s">
        <v>11564</v>
      </c>
      <c r="BN60" s="1968" t="s">
        <v>11329</v>
      </c>
      <c r="BO60" s="1967" t="s">
        <v>11204</v>
      </c>
      <c r="BP60" s="1966" t="s">
        <v>11453</v>
      </c>
      <c r="BQ60" s="1968" t="s">
        <v>11426</v>
      </c>
      <c r="BR60" s="1968" t="s">
        <v>11392</v>
      </c>
      <c r="BS60" s="1967" t="s">
        <v>11205</v>
      </c>
      <c r="BT60" s="2015"/>
      <c r="BU60" s="2011"/>
      <c r="BV60" s="2016"/>
      <c r="BW60" s="1966" t="s">
        <v>11565</v>
      </c>
      <c r="BX60" s="1968" t="s">
        <v>11255</v>
      </c>
      <c r="BY60" s="1967" t="s">
        <v>11206</v>
      </c>
      <c r="BZ60" s="2015"/>
      <c r="CA60" s="2011"/>
      <c r="CB60" s="2016"/>
      <c r="CC60" s="1966" t="s">
        <v>11567</v>
      </c>
      <c r="CD60" s="1968" t="s">
        <v>11206</v>
      </c>
      <c r="CE60" s="1967" t="s">
        <v>11223</v>
      </c>
      <c r="CF60" s="2015"/>
      <c r="CG60" s="2011"/>
      <c r="CH60" s="2016"/>
      <c r="CI60" s="1982" t="s">
        <v>11241</v>
      </c>
      <c r="CJ60" s="1968" t="s">
        <v>11570</v>
      </c>
      <c r="CK60" s="1967" t="s">
        <v>11208</v>
      </c>
      <c r="CL60" s="1966" t="s">
        <v>11086</v>
      </c>
      <c r="CM60" s="1967" t="s">
        <v>11083</v>
      </c>
      <c r="CN60" s="5250" t="s">
        <v>11286</v>
      </c>
      <c r="CO60" s="5214"/>
      <c r="CP60" s="5214"/>
      <c r="CQ60" s="5233"/>
      <c r="CR60" s="5232" t="s">
        <v>11272</v>
      </c>
      <c r="CS60" s="5235"/>
      <c r="CT60" s="5232" t="s">
        <v>11512</v>
      </c>
      <c r="CU60" s="5234"/>
      <c r="CV60" s="5235"/>
      <c r="CW60" s="5232" t="s">
        <v>11356</v>
      </c>
      <c r="CX60" s="5235"/>
      <c r="CY60" s="5272"/>
      <c r="CZ60" s="5275"/>
      <c r="DA60" s="5192"/>
      <c r="DB60" s="5233"/>
      <c r="DC60" s="5232" t="s">
        <v>11223</v>
      </c>
      <c r="DD60" s="5235"/>
      <c r="DE60" s="5250" t="s">
        <v>11428</v>
      </c>
      <c r="DF60" s="5235"/>
    </row>
    <row r="61" spans="1:110" customFormat="1" ht="15.75">
      <c r="A61" s="1966" t="s">
        <v>3389</v>
      </c>
      <c r="B61" s="1967" t="s">
        <v>11097</v>
      </c>
      <c r="C61" s="5250" t="s">
        <v>11227</v>
      </c>
      <c r="D61" s="5214"/>
      <c r="E61" s="5214"/>
      <c r="F61" s="5233"/>
      <c r="G61" s="5232"/>
      <c r="H61" s="5234"/>
      <c r="I61" s="5234"/>
      <c r="J61" s="5235"/>
      <c r="K61" s="5232" t="s">
        <v>11228</v>
      </c>
      <c r="L61" s="5234"/>
      <c r="M61" s="5234"/>
      <c r="N61" s="5234"/>
      <c r="O61" s="5235"/>
      <c r="P61" s="5232" t="s">
        <v>11229</v>
      </c>
      <c r="Q61" s="5234"/>
      <c r="R61" s="5234"/>
      <c r="S61" s="5234"/>
      <c r="T61" s="5235"/>
      <c r="U61" s="5232" t="s">
        <v>11230</v>
      </c>
      <c r="V61" s="5234"/>
      <c r="W61" s="5234"/>
      <c r="X61" s="5235"/>
      <c r="Y61" s="5232" t="s">
        <v>11231</v>
      </c>
      <c r="Z61" s="5234"/>
      <c r="AA61" s="5234"/>
      <c r="AB61" s="5235"/>
      <c r="AC61" s="5232" t="s">
        <v>11181</v>
      </c>
      <c r="AD61" s="5234"/>
      <c r="AE61" s="5234"/>
      <c r="AF61" s="5235"/>
      <c r="AG61" s="5253"/>
      <c r="AH61" s="5254"/>
      <c r="AI61" s="1966" t="s">
        <v>3389</v>
      </c>
      <c r="AJ61" s="1967" t="s">
        <v>11097</v>
      </c>
      <c r="AK61" s="5232" t="s">
        <v>11563</v>
      </c>
      <c r="AL61" s="5234" t="s">
        <v>11253</v>
      </c>
      <c r="AM61" s="5235" t="s">
        <v>11202</v>
      </c>
      <c r="AN61" s="5258"/>
      <c r="AO61" s="5259"/>
      <c r="AP61" s="5232" t="s">
        <v>11568</v>
      </c>
      <c r="AQ61" s="5234" t="s">
        <v>11183</v>
      </c>
      <c r="AR61" s="5234"/>
      <c r="AS61" s="5234"/>
      <c r="AT61" s="5235"/>
      <c r="AU61" s="5232" t="s">
        <v>11563</v>
      </c>
      <c r="AV61" s="5234" t="s">
        <v>11186</v>
      </c>
      <c r="AW61" s="5234"/>
      <c r="AX61" s="5234"/>
      <c r="AY61" s="5235" t="s">
        <v>11183</v>
      </c>
      <c r="AZ61" s="5232" t="s">
        <v>11277</v>
      </c>
      <c r="BA61" s="5234" t="s">
        <v>11277</v>
      </c>
      <c r="BB61" s="5234" t="s">
        <v>11563</v>
      </c>
      <c r="BC61" s="5234"/>
      <c r="BD61" s="5235"/>
      <c r="BE61" s="5250" t="s">
        <v>11203</v>
      </c>
      <c r="BF61" s="5234"/>
      <c r="BG61" s="5234" t="s">
        <v>11301</v>
      </c>
      <c r="BH61" s="5234" t="s">
        <v>11236</v>
      </c>
      <c r="BI61" s="5235"/>
      <c r="BJ61" s="1966" t="s">
        <v>3389</v>
      </c>
      <c r="BK61" s="1967" t="s">
        <v>11097</v>
      </c>
      <c r="BL61" s="5267" t="s">
        <v>11426</v>
      </c>
      <c r="BM61" s="5268"/>
      <c r="BN61" s="5279" t="s">
        <v>11564</v>
      </c>
      <c r="BO61" s="5281" t="s">
        <v>11205</v>
      </c>
      <c r="BP61" s="5232" t="s">
        <v>11565</v>
      </c>
      <c r="BQ61" s="5234"/>
      <c r="BR61" s="5234" t="s">
        <v>11453</v>
      </c>
      <c r="BS61" s="5235" t="s">
        <v>11206</v>
      </c>
      <c r="BT61" s="2015"/>
      <c r="BU61" s="2011"/>
      <c r="BV61" s="2016"/>
      <c r="BW61" s="5232" t="s">
        <v>11505</v>
      </c>
      <c r="BX61" s="5234" t="s">
        <v>11191</v>
      </c>
      <c r="BY61" s="5235" t="s">
        <v>11237</v>
      </c>
      <c r="BZ61" s="2015"/>
      <c r="CA61" s="2011"/>
      <c r="CB61" s="2016"/>
      <c r="CC61" s="1966" t="s">
        <v>11331</v>
      </c>
      <c r="CD61" s="1968" t="s">
        <v>11237</v>
      </c>
      <c r="CE61" s="1967" t="s">
        <v>11193</v>
      </c>
      <c r="CF61" s="2015"/>
      <c r="CG61" s="2011"/>
      <c r="CH61" s="2016"/>
      <c r="CI61" s="1982" t="s">
        <v>11257</v>
      </c>
      <c r="CJ61" s="1968" t="s">
        <v>11279</v>
      </c>
      <c r="CK61" s="1967" t="s">
        <v>11209</v>
      </c>
      <c r="CL61" s="1966" t="s">
        <v>11083</v>
      </c>
      <c r="CM61" s="1967" t="s">
        <v>11137</v>
      </c>
      <c r="CN61" s="5250" t="s">
        <v>11518</v>
      </c>
      <c r="CO61" s="5214"/>
      <c r="CP61" s="5214"/>
      <c r="CQ61" s="5233"/>
      <c r="CR61" s="5232" t="s">
        <v>11519</v>
      </c>
      <c r="CS61" s="5235"/>
      <c r="CT61" s="5232" t="s">
        <v>11520</v>
      </c>
      <c r="CU61" s="5234"/>
      <c r="CV61" s="5235"/>
      <c r="CW61" s="5232" t="s">
        <v>11299</v>
      </c>
      <c r="CX61" s="5235"/>
      <c r="CY61" s="5272"/>
      <c r="CZ61" s="5275"/>
      <c r="DA61" s="5192"/>
      <c r="DB61" s="5233"/>
      <c r="DC61" s="5232" t="s">
        <v>11193</v>
      </c>
      <c r="DD61" s="5235"/>
      <c r="DE61" s="5250" t="s">
        <v>11304</v>
      </c>
      <c r="DF61" s="5235"/>
    </row>
    <row r="62" spans="1:110" customFormat="1" ht="15.75">
      <c r="A62" s="1966" t="s">
        <v>11097</v>
      </c>
      <c r="B62" s="1967" t="s">
        <v>11098</v>
      </c>
      <c r="C62" s="5230"/>
      <c r="D62" s="5214"/>
      <c r="E62" s="5214"/>
      <c r="F62" s="5233"/>
      <c r="G62" s="5232"/>
      <c r="H62" s="5234"/>
      <c r="I62" s="5234"/>
      <c r="J62" s="5235"/>
      <c r="K62" s="5232"/>
      <c r="L62" s="5234"/>
      <c r="M62" s="5234"/>
      <c r="N62" s="5234"/>
      <c r="O62" s="5235"/>
      <c r="P62" s="5232"/>
      <c r="Q62" s="5234"/>
      <c r="R62" s="5234"/>
      <c r="S62" s="5234"/>
      <c r="T62" s="5235"/>
      <c r="U62" s="5232"/>
      <c r="V62" s="5234"/>
      <c r="W62" s="5234"/>
      <c r="X62" s="5235"/>
      <c r="Y62" s="5232"/>
      <c r="Z62" s="5234"/>
      <c r="AA62" s="5234"/>
      <c r="AB62" s="5235"/>
      <c r="AC62" s="5232"/>
      <c r="AD62" s="5234"/>
      <c r="AE62" s="5234"/>
      <c r="AF62" s="5235"/>
      <c r="AG62" s="5253"/>
      <c r="AH62" s="5254"/>
      <c r="AI62" s="1966" t="s">
        <v>11097</v>
      </c>
      <c r="AJ62" s="1967" t="s">
        <v>11098</v>
      </c>
      <c r="AK62" s="5232"/>
      <c r="AL62" s="5234"/>
      <c r="AM62" s="5235"/>
      <c r="AN62" s="5258"/>
      <c r="AO62" s="5259"/>
      <c r="AP62" s="5232"/>
      <c r="AQ62" s="5234"/>
      <c r="AR62" s="5234"/>
      <c r="AS62" s="5234"/>
      <c r="AT62" s="5235" t="s">
        <v>11180</v>
      </c>
      <c r="AU62" s="5232"/>
      <c r="AV62" s="5234"/>
      <c r="AW62" s="5234"/>
      <c r="AX62" s="5234"/>
      <c r="AY62" s="5235"/>
      <c r="AZ62" s="5232"/>
      <c r="BA62" s="5234"/>
      <c r="BB62" s="5234"/>
      <c r="BC62" s="5234"/>
      <c r="BD62" s="5235"/>
      <c r="BE62" s="5250"/>
      <c r="BF62" s="5234"/>
      <c r="BG62" s="5234"/>
      <c r="BH62" s="5234"/>
      <c r="BI62" s="5235"/>
      <c r="BJ62" s="1966" t="s">
        <v>11097</v>
      </c>
      <c r="BK62" s="1967" t="s">
        <v>11098</v>
      </c>
      <c r="BL62" s="5269"/>
      <c r="BM62" s="5270"/>
      <c r="BN62" s="5280"/>
      <c r="BO62" s="5282"/>
      <c r="BP62" s="5232"/>
      <c r="BQ62" s="5234"/>
      <c r="BR62" s="5234"/>
      <c r="BS62" s="5235"/>
      <c r="BT62" s="2015"/>
      <c r="BU62" s="2011"/>
      <c r="BV62" s="2016"/>
      <c r="BW62" s="5232"/>
      <c r="BX62" s="5234"/>
      <c r="BY62" s="5235"/>
      <c r="BZ62" s="1966" t="s">
        <v>11570</v>
      </c>
      <c r="CA62" s="1968" t="s">
        <v>11192</v>
      </c>
      <c r="CB62" s="1967" t="s">
        <v>11241</v>
      </c>
      <c r="CC62" s="1966" t="s">
        <v>11208</v>
      </c>
      <c r="CD62" s="1968" t="s">
        <v>11571</v>
      </c>
      <c r="CE62" s="1967" t="s">
        <v>11242</v>
      </c>
      <c r="CF62" s="2015"/>
      <c r="CG62" s="2011"/>
      <c r="CH62" s="2016"/>
      <c r="CI62" s="1982" t="s">
        <v>11572</v>
      </c>
      <c r="CJ62" s="1968" t="s">
        <v>11303</v>
      </c>
      <c r="CK62" s="1967" t="s">
        <v>11194</v>
      </c>
      <c r="CL62" s="1966" t="s">
        <v>11137</v>
      </c>
      <c r="CM62" s="1967" t="s">
        <v>11085</v>
      </c>
      <c r="CN62" s="5250" t="s">
        <v>11524</v>
      </c>
      <c r="CO62" s="5214"/>
      <c r="CP62" s="5214"/>
      <c r="CQ62" s="5233"/>
      <c r="CR62" s="5232" t="s">
        <v>11323</v>
      </c>
      <c r="CS62" s="5235"/>
      <c r="CT62" s="5232" t="s">
        <v>11249</v>
      </c>
      <c r="CU62" s="5234"/>
      <c r="CV62" s="5235"/>
      <c r="CW62" s="5232" t="s">
        <v>11197</v>
      </c>
      <c r="CX62" s="5235"/>
      <c r="CY62" s="5272"/>
      <c r="CZ62" s="5275"/>
      <c r="DA62" s="5192"/>
      <c r="DB62" s="5233"/>
      <c r="DC62" s="5232" t="s">
        <v>11264</v>
      </c>
      <c r="DD62" s="5235"/>
      <c r="DE62" s="5250" t="s">
        <v>11501</v>
      </c>
      <c r="DF62" s="5235"/>
    </row>
    <row r="63" spans="1:110" customFormat="1" ht="15.75">
      <c r="A63" s="1966" t="s">
        <v>11098</v>
      </c>
      <c r="B63" s="1967" t="s">
        <v>11246</v>
      </c>
      <c r="C63" s="5250" t="s">
        <v>11247</v>
      </c>
      <c r="D63" s="5234"/>
      <c r="E63" s="5234"/>
      <c r="F63" s="5235"/>
      <c r="G63" s="5232" t="s">
        <v>11248</v>
      </c>
      <c r="H63" s="5214"/>
      <c r="I63" s="5214"/>
      <c r="J63" s="5233"/>
      <c r="K63" s="5232" t="s">
        <v>11249</v>
      </c>
      <c r="L63" s="5234"/>
      <c r="M63" s="5234"/>
      <c r="N63" s="5234"/>
      <c r="O63" s="5235"/>
      <c r="P63" s="5232" t="s">
        <v>11250</v>
      </c>
      <c r="Q63" s="5234"/>
      <c r="R63" s="5234"/>
      <c r="S63" s="5234"/>
      <c r="T63" s="5235"/>
      <c r="U63" s="5232" t="s">
        <v>11215</v>
      </c>
      <c r="V63" s="5234"/>
      <c r="W63" s="5234"/>
      <c r="X63" s="5235"/>
      <c r="Y63" s="5232" t="s">
        <v>11178</v>
      </c>
      <c r="Z63" s="5234"/>
      <c r="AA63" s="5234"/>
      <c r="AB63" s="5235"/>
      <c r="AC63" s="5232" t="s">
        <v>11251</v>
      </c>
      <c r="AD63" s="5234"/>
      <c r="AE63" s="5234"/>
      <c r="AF63" s="5235"/>
      <c r="AG63" s="5253"/>
      <c r="AH63" s="5254"/>
      <c r="AI63" s="1966" t="s">
        <v>11098</v>
      </c>
      <c r="AJ63" s="1967" t="s">
        <v>11246</v>
      </c>
      <c r="AK63" s="5232" t="s">
        <v>11563</v>
      </c>
      <c r="AL63" s="5234" t="s">
        <v>11277</v>
      </c>
      <c r="AM63" s="5235" t="s">
        <v>11329</v>
      </c>
      <c r="AN63" s="5258"/>
      <c r="AO63" s="5259"/>
      <c r="AP63" s="5232" t="s">
        <v>11573</v>
      </c>
      <c r="AQ63" s="5234" t="s">
        <v>11568</v>
      </c>
      <c r="AR63" s="5234"/>
      <c r="AS63" s="5234"/>
      <c r="AT63" s="5235"/>
      <c r="AU63" s="5232" t="s">
        <v>11188</v>
      </c>
      <c r="AV63" s="5234" t="s">
        <v>11563</v>
      </c>
      <c r="AW63" s="5234" t="s">
        <v>11186</v>
      </c>
      <c r="AX63" s="5234"/>
      <c r="AY63" s="5235" t="s">
        <v>11182</v>
      </c>
      <c r="AZ63" s="5232" t="s">
        <v>11202</v>
      </c>
      <c r="BA63" s="5234" t="s">
        <v>11301</v>
      </c>
      <c r="BB63" s="5234" t="s">
        <v>11234</v>
      </c>
      <c r="BC63" s="5234"/>
      <c r="BD63" s="5235"/>
      <c r="BE63" s="5250" t="s">
        <v>11204</v>
      </c>
      <c r="BF63" s="5234" t="s">
        <v>11236</v>
      </c>
      <c r="BG63" s="5234" t="s">
        <v>11190</v>
      </c>
      <c r="BH63" s="5234" t="s">
        <v>11255</v>
      </c>
      <c r="BI63" s="5235"/>
      <c r="BJ63" s="1966" t="s">
        <v>11098</v>
      </c>
      <c r="BK63" s="1967" t="s">
        <v>11246</v>
      </c>
      <c r="BL63" s="5277" t="s">
        <v>11565</v>
      </c>
      <c r="BM63" s="5279" t="s">
        <v>11566</v>
      </c>
      <c r="BN63" s="5279" t="s">
        <v>11426</v>
      </c>
      <c r="BO63" s="5281" t="s">
        <v>11206</v>
      </c>
      <c r="BP63" s="5232" t="s">
        <v>11192</v>
      </c>
      <c r="BQ63" s="5234" t="s">
        <v>11567</v>
      </c>
      <c r="BR63" s="5234" t="s">
        <v>11574</v>
      </c>
      <c r="BS63" s="5235" t="s">
        <v>11207</v>
      </c>
      <c r="BT63" s="2015"/>
      <c r="BU63" s="2011"/>
      <c r="BV63" s="2016"/>
      <c r="BW63" s="1966" t="s">
        <v>11331</v>
      </c>
      <c r="BX63" s="1968" t="s">
        <v>11237</v>
      </c>
      <c r="BY63" s="1967" t="s">
        <v>11256</v>
      </c>
      <c r="BZ63" s="1966" t="s">
        <v>11279</v>
      </c>
      <c r="CA63" s="1968" t="s">
        <v>11241</v>
      </c>
      <c r="CB63" s="1967" t="s">
        <v>11257</v>
      </c>
      <c r="CC63" s="1966" t="s">
        <v>11209</v>
      </c>
      <c r="CD63" s="1968" t="s">
        <v>11575</v>
      </c>
      <c r="CE63" s="1967" t="s">
        <v>11258</v>
      </c>
      <c r="CF63" s="1966" t="s">
        <v>11315</v>
      </c>
      <c r="CG63" s="1968" t="s">
        <v>11265</v>
      </c>
      <c r="CH63" s="1967" t="s">
        <v>11259</v>
      </c>
      <c r="CI63" s="1982" t="s">
        <v>11576</v>
      </c>
      <c r="CJ63" s="1968" t="s">
        <v>11577</v>
      </c>
      <c r="CK63" s="1967" t="s">
        <v>11260</v>
      </c>
      <c r="CL63" s="1966" t="s">
        <v>11085</v>
      </c>
      <c r="CM63" s="1967" t="s">
        <v>11093</v>
      </c>
      <c r="CN63" s="5250" t="s">
        <v>11528</v>
      </c>
      <c r="CO63" s="5214"/>
      <c r="CP63" s="5214"/>
      <c r="CQ63" s="5233"/>
      <c r="CR63" s="5232" t="s">
        <v>11343</v>
      </c>
      <c r="CS63" s="5235"/>
      <c r="CT63" s="5232" t="s">
        <v>11273</v>
      </c>
      <c r="CU63" s="5234"/>
      <c r="CV63" s="5235"/>
      <c r="CW63" s="5232" t="s">
        <v>11230</v>
      </c>
      <c r="CX63" s="5235"/>
      <c r="CY63" s="5272"/>
      <c r="CZ63" s="5275"/>
      <c r="DA63" s="5192"/>
      <c r="DB63" s="5233"/>
      <c r="DC63" s="5232" t="s">
        <v>11529</v>
      </c>
      <c r="DD63" s="5235"/>
      <c r="DE63" s="5250" t="s">
        <v>11360</v>
      </c>
      <c r="DF63" s="5235"/>
    </row>
    <row r="64" spans="1:110" customFormat="1" ht="15.75">
      <c r="A64" s="1966" t="s">
        <v>11246</v>
      </c>
      <c r="B64" s="1967" t="s">
        <v>3409</v>
      </c>
      <c r="C64" s="5250"/>
      <c r="D64" s="5234"/>
      <c r="E64" s="5234"/>
      <c r="F64" s="5235"/>
      <c r="G64" s="5192"/>
      <c r="H64" s="5214"/>
      <c r="I64" s="5214"/>
      <c r="J64" s="5233"/>
      <c r="K64" s="5232"/>
      <c r="L64" s="5234"/>
      <c r="M64" s="5234"/>
      <c r="N64" s="5234"/>
      <c r="O64" s="5235"/>
      <c r="P64" s="5232"/>
      <c r="Q64" s="5234"/>
      <c r="R64" s="5234"/>
      <c r="S64" s="5234"/>
      <c r="T64" s="5235"/>
      <c r="U64" s="5232"/>
      <c r="V64" s="5234"/>
      <c r="W64" s="5234"/>
      <c r="X64" s="5235"/>
      <c r="Y64" s="5232"/>
      <c r="Z64" s="5234"/>
      <c r="AA64" s="5234"/>
      <c r="AB64" s="5235"/>
      <c r="AC64" s="5232"/>
      <c r="AD64" s="5234"/>
      <c r="AE64" s="5234"/>
      <c r="AF64" s="5235"/>
      <c r="AG64" s="5253"/>
      <c r="AH64" s="5254"/>
      <c r="AI64" s="1966" t="s">
        <v>11246</v>
      </c>
      <c r="AJ64" s="1967" t="s">
        <v>3409</v>
      </c>
      <c r="AK64" s="5232"/>
      <c r="AL64" s="5234"/>
      <c r="AM64" s="5235"/>
      <c r="AN64" s="5258"/>
      <c r="AO64" s="5259"/>
      <c r="AP64" s="5232"/>
      <c r="AQ64" s="5234"/>
      <c r="AR64" s="5234"/>
      <c r="AS64" s="5234" t="s">
        <v>11251</v>
      </c>
      <c r="AT64" s="5235" t="s">
        <v>11220</v>
      </c>
      <c r="AU64" s="5232"/>
      <c r="AV64" s="5234"/>
      <c r="AW64" s="5234"/>
      <c r="AX64" s="5234"/>
      <c r="AY64" s="5235"/>
      <c r="AZ64" s="5232"/>
      <c r="BA64" s="5234"/>
      <c r="BB64" s="5234"/>
      <c r="BC64" s="5234"/>
      <c r="BD64" s="5235"/>
      <c r="BE64" s="5250"/>
      <c r="BF64" s="5234"/>
      <c r="BG64" s="5234"/>
      <c r="BH64" s="5234"/>
      <c r="BI64" s="5235"/>
      <c r="BJ64" s="1966" t="s">
        <v>11246</v>
      </c>
      <c r="BK64" s="1967" t="s">
        <v>3409</v>
      </c>
      <c r="BL64" s="5278"/>
      <c r="BM64" s="5280"/>
      <c r="BN64" s="5280"/>
      <c r="BO64" s="5282"/>
      <c r="BP64" s="5232"/>
      <c r="BQ64" s="5234"/>
      <c r="BR64" s="5234"/>
      <c r="BS64" s="5235"/>
      <c r="BT64" s="1966" t="s">
        <v>11331</v>
      </c>
      <c r="BU64" s="1968" t="s">
        <v>11237</v>
      </c>
      <c r="BV64" s="1967" t="s">
        <v>11256</v>
      </c>
      <c r="BW64" s="1966" t="s">
        <v>11500</v>
      </c>
      <c r="BX64" s="1968" t="s">
        <v>11193</v>
      </c>
      <c r="BY64" s="1967" t="s">
        <v>11264</v>
      </c>
      <c r="BZ64" s="1966" t="s">
        <v>11332</v>
      </c>
      <c r="CA64" s="1968" t="s">
        <v>11257</v>
      </c>
      <c r="CB64" s="1967" t="s">
        <v>11265</v>
      </c>
      <c r="CC64" s="1966" t="s">
        <v>11194</v>
      </c>
      <c r="CD64" s="1968" t="s">
        <v>11428</v>
      </c>
      <c r="CE64" s="1967" t="s">
        <v>11238</v>
      </c>
      <c r="CF64" s="1966" t="s">
        <v>11333</v>
      </c>
      <c r="CG64" s="1968" t="s">
        <v>11225</v>
      </c>
      <c r="CH64" s="1967" t="s">
        <v>11266</v>
      </c>
      <c r="CI64" s="1982" t="s">
        <v>11578</v>
      </c>
      <c r="CJ64" s="1968" t="s">
        <v>11210</v>
      </c>
      <c r="CK64" s="1967" t="s">
        <v>11267</v>
      </c>
      <c r="CL64" s="1966" t="s">
        <v>11093</v>
      </c>
      <c r="CM64" s="1967" t="s">
        <v>11087</v>
      </c>
      <c r="CN64" s="5250" t="s">
        <v>11422</v>
      </c>
      <c r="CO64" s="5214"/>
      <c r="CP64" s="5214"/>
      <c r="CQ64" s="5233"/>
      <c r="CR64" s="5232" t="s">
        <v>11352</v>
      </c>
      <c r="CS64" s="5235"/>
      <c r="CT64" s="5232" t="s">
        <v>11288</v>
      </c>
      <c r="CU64" s="5234"/>
      <c r="CV64" s="5235"/>
      <c r="CW64" s="5232" t="s">
        <v>11177</v>
      </c>
      <c r="CX64" s="5235"/>
      <c r="CY64" s="5272"/>
      <c r="CZ64" s="5275"/>
      <c r="DA64" s="5192"/>
      <c r="DB64" s="5233"/>
      <c r="DC64" s="5232" t="s">
        <v>11280</v>
      </c>
      <c r="DD64" s="5235"/>
      <c r="DE64" s="5250" t="s">
        <v>11534</v>
      </c>
      <c r="DF64" s="5235"/>
    </row>
    <row r="65" spans="1:110" customFormat="1" ht="15.75">
      <c r="A65" s="1966" t="s">
        <v>3409</v>
      </c>
      <c r="B65" s="1967" t="s">
        <v>3420</v>
      </c>
      <c r="C65" s="5250" t="s">
        <v>11271</v>
      </c>
      <c r="D65" s="5234"/>
      <c r="E65" s="5234"/>
      <c r="F65" s="5235"/>
      <c r="G65" s="5232" t="s">
        <v>11272</v>
      </c>
      <c r="H65" s="5234"/>
      <c r="I65" s="5234"/>
      <c r="J65" s="5235"/>
      <c r="K65" s="5232" t="s">
        <v>11273</v>
      </c>
      <c r="L65" s="5234"/>
      <c r="M65" s="5234"/>
      <c r="N65" s="5234"/>
      <c r="O65" s="5235"/>
      <c r="P65" s="5232" t="s">
        <v>11213</v>
      </c>
      <c r="Q65" s="5234"/>
      <c r="R65" s="5234"/>
      <c r="S65" s="5234"/>
      <c r="T65" s="5235"/>
      <c r="U65" s="5232" t="s">
        <v>11229</v>
      </c>
      <c r="V65" s="5234"/>
      <c r="W65" s="5234"/>
      <c r="X65" s="5235"/>
      <c r="Y65" s="5232" t="s">
        <v>11216</v>
      </c>
      <c r="Z65" s="5234"/>
      <c r="AA65" s="5234"/>
      <c r="AB65" s="5235"/>
      <c r="AC65" s="5232" t="s">
        <v>11274</v>
      </c>
      <c r="AD65" s="5234"/>
      <c r="AE65" s="5234"/>
      <c r="AF65" s="5235"/>
      <c r="AG65" s="5253"/>
      <c r="AH65" s="5254"/>
      <c r="AI65" s="1966" t="s">
        <v>3409</v>
      </c>
      <c r="AJ65" s="1967" t="s">
        <v>3420</v>
      </c>
      <c r="AK65" s="5232" t="s">
        <v>11188</v>
      </c>
      <c r="AL65" s="5234" t="s">
        <v>11301</v>
      </c>
      <c r="AM65" s="5235" t="s">
        <v>11203</v>
      </c>
      <c r="AN65" s="5258"/>
      <c r="AO65" s="5259"/>
      <c r="AP65" s="5232" t="s">
        <v>11568</v>
      </c>
      <c r="AQ65" s="5234" t="s">
        <v>11183</v>
      </c>
      <c r="AR65" s="5234" t="s">
        <v>11558</v>
      </c>
      <c r="AS65" s="5234"/>
      <c r="AT65" s="5235"/>
      <c r="AU65" s="5232"/>
      <c r="AV65" s="5234"/>
      <c r="AW65" s="5234"/>
      <c r="AX65" s="5234"/>
      <c r="AY65" s="5235" t="s">
        <v>11198</v>
      </c>
      <c r="AZ65" s="5232" t="s">
        <v>11329</v>
      </c>
      <c r="BA65" s="5234" t="s">
        <v>11202</v>
      </c>
      <c r="BB65" s="5234" t="s">
        <v>11253</v>
      </c>
      <c r="BC65" s="5234"/>
      <c r="BD65" s="5235"/>
      <c r="BE65" s="5250" t="s">
        <v>11255</v>
      </c>
      <c r="BF65" s="5234" t="s">
        <v>11453</v>
      </c>
      <c r="BG65" s="5234" t="s">
        <v>11392</v>
      </c>
      <c r="BH65" s="5234" t="s">
        <v>11191</v>
      </c>
      <c r="BI65" s="5235"/>
      <c r="BJ65" s="1966" t="s">
        <v>3409</v>
      </c>
      <c r="BK65" s="1967" t="s">
        <v>3420</v>
      </c>
      <c r="BL65" s="5277" t="s">
        <v>11505</v>
      </c>
      <c r="BM65" s="5279" t="s">
        <v>11579</v>
      </c>
      <c r="BN65" s="5279" t="s">
        <v>11565</v>
      </c>
      <c r="BO65" s="5281" t="s">
        <v>11223</v>
      </c>
      <c r="BP65" s="5232" t="s">
        <v>11241</v>
      </c>
      <c r="BQ65" s="5234" t="s">
        <v>11571</v>
      </c>
      <c r="BR65" s="5234" t="s">
        <v>11223</v>
      </c>
      <c r="BS65" s="5235" t="s">
        <v>11279</v>
      </c>
      <c r="BT65" s="1966" t="s">
        <v>11279</v>
      </c>
      <c r="BU65" s="1968" t="s">
        <v>11241</v>
      </c>
      <c r="BV65" s="1967" t="s">
        <v>11264</v>
      </c>
      <c r="BW65" s="1966" t="s">
        <v>11265</v>
      </c>
      <c r="BX65" s="1968" t="s">
        <v>11332</v>
      </c>
      <c r="BY65" s="1967" t="s">
        <v>11194</v>
      </c>
      <c r="BZ65" s="1966" t="s">
        <v>11259</v>
      </c>
      <c r="CA65" s="1968" t="s">
        <v>11315</v>
      </c>
      <c r="CB65" s="1967" t="s">
        <v>11280</v>
      </c>
      <c r="CC65" s="1966" t="s">
        <v>11266</v>
      </c>
      <c r="CD65" s="1968" t="s">
        <v>11333</v>
      </c>
      <c r="CE65" s="1967" t="s">
        <v>11210</v>
      </c>
      <c r="CF65" s="1966" t="s">
        <v>11580</v>
      </c>
      <c r="CG65" s="1968" t="s">
        <v>11581</v>
      </c>
      <c r="CH65" s="1967" t="s">
        <v>11281</v>
      </c>
      <c r="CI65" s="1982" t="s">
        <v>11582</v>
      </c>
      <c r="CJ65" s="1968" t="s">
        <v>11583</v>
      </c>
      <c r="CK65" s="1967" t="s">
        <v>11282</v>
      </c>
      <c r="CL65" s="1969" t="s">
        <v>11087</v>
      </c>
      <c r="CM65" s="1970" t="s">
        <v>11138</v>
      </c>
      <c r="CN65" s="5283" t="s">
        <v>11368</v>
      </c>
      <c r="CO65" s="5202"/>
      <c r="CP65" s="5202"/>
      <c r="CQ65" s="5244"/>
      <c r="CR65" s="5262" t="s">
        <v>11227</v>
      </c>
      <c r="CS65" s="5264"/>
      <c r="CT65" s="5262" t="s">
        <v>11353</v>
      </c>
      <c r="CU65" s="5263"/>
      <c r="CV65" s="5264"/>
      <c r="CW65" s="5262" t="s">
        <v>11541</v>
      </c>
      <c r="CX65" s="5264"/>
      <c r="CY65" s="5273"/>
      <c r="CZ65" s="5276"/>
      <c r="DA65" s="5197"/>
      <c r="DB65" s="5244"/>
      <c r="DC65" s="5262" t="s">
        <v>11542</v>
      </c>
      <c r="DD65" s="5264"/>
      <c r="DE65" s="5283" t="s">
        <v>11543</v>
      </c>
      <c r="DF65" s="5264"/>
    </row>
    <row r="66" spans="1:110" customFormat="1" ht="15.75">
      <c r="A66" s="1966" t="s">
        <v>3420</v>
      </c>
      <c r="B66" s="1967" t="s">
        <v>3431</v>
      </c>
      <c r="C66" s="5250" t="s">
        <v>11286</v>
      </c>
      <c r="D66" s="5234"/>
      <c r="E66" s="5234"/>
      <c r="F66" s="5235"/>
      <c r="G66" s="5232" t="s">
        <v>11287</v>
      </c>
      <c r="H66" s="5234"/>
      <c r="I66" s="5234"/>
      <c r="J66" s="5235"/>
      <c r="K66" s="5232" t="s">
        <v>11288</v>
      </c>
      <c r="L66" s="5234"/>
      <c r="M66" s="5234"/>
      <c r="N66" s="5234"/>
      <c r="O66" s="5235"/>
      <c r="P66" s="5232"/>
      <c r="Q66" s="5234"/>
      <c r="R66" s="5234"/>
      <c r="S66" s="5234"/>
      <c r="T66" s="5235"/>
      <c r="U66" s="5232"/>
      <c r="V66" s="5234"/>
      <c r="W66" s="5234"/>
      <c r="X66" s="5235"/>
      <c r="Y66" s="5232"/>
      <c r="Z66" s="5234"/>
      <c r="AA66" s="5234"/>
      <c r="AB66" s="5235"/>
      <c r="AC66" s="5232"/>
      <c r="AD66" s="5234"/>
      <c r="AE66" s="5234"/>
      <c r="AF66" s="5235"/>
      <c r="AG66" s="5253"/>
      <c r="AH66" s="5254"/>
      <c r="AI66" s="1966" t="s">
        <v>3420</v>
      </c>
      <c r="AJ66" s="1967" t="s">
        <v>3431</v>
      </c>
      <c r="AK66" s="5232"/>
      <c r="AL66" s="5234"/>
      <c r="AM66" s="5235"/>
      <c r="AN66" s="5258"/>
      <c r="AO66" s="5259"/>
      <c r="AP66" s="5232"/>
      <c r="AQ66" s="5234"/>
      <c r="AR66" s="5234"/>
      <c r="AS66" s="5234" t="s">
        <v>11274</v>
      </c>
      <c r="AT66" s="5235" t="s">
        <v>11179</v>
      </c>
      <c r="AU66" s="5232"/>
      <c r="AV66" s="5234"/>
      <c r="AW66" s="5234"/>
      <c r="AX66" s="5234"/>
      <c r="AY66" s="5235"/>
      <c r="AZ66" s="5232"/>
      <c r="BA66" s="5234"/>
      <c r="BB66" s="5234"/>
      <c r="BC66" s="5234"/>
      <c r="BD66" s="5235"/>
      <c r="BE66" s="5250"/>
      <c r="BF66" s="5234"/>
      <c r="BG66" s="5234"/>
      <c r="BH66" s="5234"/>
      <c r="BI66" s="5235"/>
      <c r="BJ66" s="1966" t="s">
        <v>3420</v>
      </c>
      <c r="BK66" s="1967" t="s">
        <v>3431</v>
      </c>
      <c r="BL66" s="5278"/>
      <c r="BM66" s="5280"/>
      <c r="BN66" s="5280"/>
      <c r="BO66" s="5282"/>
      <c r="BP66" s="5232"/>
      <c r="BQ66" s="5234"/>
      <c r="BR66" s="5234"/>
      <c r="BS66" s="5235"/>
      <c r="BT66" s="1966" t="s">
        <v>11584</v>
      </c>
      <c r="BU66" s="1968" t="s">
        <v>11242</v>
      </c>
      <c r="BV66" s="1967" t="s">
        <v>11258</v>
      </c>
      <c r="BW66" s="1966" t="s">
        <v>11577</v>
      </c>
      <c r="BX66" s="1968" t="s">
        <v>11585</v>
      </c>
      <c r="BY66" s="1967" t="s">
        <v>11289</v>
      </c>
      <c r="BZ66" s="1966" t="s">
        <v>11542</v>
      </c>
      <c r="CA66" s="1968" t="s">
        <v>11586</v>
      </c>
      <c r="CB66" s="1967" t="s">
        <v>11290</v>
      </c>
      <c r="CC66" s="1966" t="s">
        <v>11360</v>
      </c>
      <c r="CD66" s="1968" t="s">
        <v>11267</v>
      </c>
      <c r="CE66" s="1967" t="s">
        <v>11226</v>
      </c>
      <c r="CF66" s="1966" t="s">
        <v>11587</v>
      </c>
      <c r="CG66" s="1968" t="s">
        <v>11588</v>
      </c>
      <c r="CH66" s="1967" t="s">
        <v>11291</v>
      </c>
      <c r="CI66" s="1982" t="s">
        <v>11589</v>
      </c>
      <c r="CJ66" s="1968" t="s">
        <v>11590</v>
      </c>
      <c r="CK66" s="1967" t="s">
        <v>11262</v>
      </c>
      <c r="CL66" s="2021"/>
      <c r="CM66" s="2021"/>
      <c r="CN66" s="1955"/>
      <c r="CO66" s="1955"/>
      <c r="CP66" s="1955"/>
      <c r="CQ66" s="1955"/>
      <c r="CR66" s="1955"/>
      <c r="CS66" s="1955"/>
      <c r="CT66" s="1955"/>
      <c r="CU66" s="1955"/>
      <c r="CV66" s="1955"/>
      <c r="CW66" s="1955"/>
      <c r="CX66" s="1955"/>
      <c r="CY66" s="1955"/>
      <c r="CZ66" s="1955"/>
      <c r="DA66" s="1955"/>
      <c r="DB66" s="1955"/>
      <c r="DC66" s="1955"/>
      <c r="DD66" s="1955"/>
      <c r="DE66" s="1955"/>
      <c r="DF66" s="1955"/>
    </row>
    <row r="67" spans="1:110" customFormat="1" ht="15.75">
      <c r="A67" s="1966" t="s">
        <v>3431</v>
      </c>
      <c r="B67" s="1967" t="s">
        <v>11295</v>
      </c>
      <c r="C67" s="5250" t="s">
        <v>11296</v>
      </c>
      <c r="D67" s="5234"/>
      <c r="E67" s="5234"/>
      <c r="F67" s="5235"/>
      <c r="G67" s="5232" t="s">
        <v>11297</v>
      </c>
      <c r="H67" s="5234"/>
      <c r="I67" s="5234"/>
      <c r="J67" s="5235"/>
      <c r="K67" s="5232" t="s">
        <v>11175</v>
      </c>
      <c r="L67" s="5234"/>
      <c r="M67" s="5234"/>
      <c r="N67" s="5234"/>
      <c r="O67" s="5235"/>
      <c r="P67" s="5232" t="s">
        <v>11298</v>
      </c>
      <c r="Q67" s="5234"/>
      <c r="R67" s="5234"/>
      <c r="S67" s="5234"/>
      <c r="T67" s="5235"/>
      <c r="U67" s="5232" t="s">
        <v>11176</v>
      </c>
      <c r="V67" s="5234"/>
      <c r="W67" s="5234"/>
      <c r="X67" s="5235"/>
      <c r="Y67" s="5232" t="s">
        <v>11197</v>
      </c>
      <c r="Z67" s="5234"/>
      <c r="AA67" s="5234"/>
      <c r="AB67" s="5235"/>
      <c r="AC67" s="5232" t="s">
        <v>11180</v>
      </c>
      <c r="AD67" s="5234"/>
      <c r="AE67" s="5234"/>
      <c r="AF67" s="5235"/>
      <c r="AG67" s="5253"/>
      <c r="AH67" s="5254"/>
      <c r="AI67" s="1966" t="s">
        <v>3431</v>
      </c>
      <c r="AJ67" s="1967" t="s">
        <v>11295</v>
      </c>
      <c r="AK67" s="5232" t="s">
        <v>11188</v>
      </c>
      <c r="AL67" s="5234" t="s">
        <v>11202</v>
      </c>
      <c r="AM67" s="5235" t="s">
        <v>11236</v>
      </c>
      <c r="AN67" s="5258"/>
      <c r="AO67" s="5259"/>
      <c r="AP67" s="5232"/>
      <c r="AQ67" s="5234" t="s">
        <v>11558</v>
      </c>
      <c r="AR67" s="5234" t="s">
        <v>11182</v>
      </c>
      <c r="AS67" s="5234"/>
      <c r="AT67" s="5235"/>
      <c r="AU67" s="5232" t="s">
        <v>11253</v>
      </c>
      <c r="AV67" s="5234" t="s">
        <v>11188</v>
      </c>
      <c r="AW67" s="5234" t="s">
        <v>11563</v>
      </c>
      <c r="AX67" s="5234"/>
      <c r="AY67" s="5235"/>
      <c r="AZ67" s="5232" t="s">
        <v>11203</v>
      </c>
      <c r="BA67" s="5234" t="s">
        <v>11190</v>
      </c>
      <c r="BB67" s="5234" t="s">
        <v>11277</v>
      </c>
      <c r="BC67" s="5234" t="s">
        <v>11186</v>
      </c>
      <c r="BD67" s="5235"/>
      <c r="BE67" s="5250" t="s">
        <v>11574</v>
      </c>
      <c r="BF67" s="5234" t="s">
        <v>11191</v>
      </c>
      <c r="BG67" s="5234" t="s">
        <v>11453</v>
      </c>
      <c r="BH67" s="5234" t="s">
        <v>11192</v>
      </c>
      <c r="BI67" s="5235"/>
      <c r="BJ67" s="1966" t="s">
        <v>3431</v>
      </c>
      <c r="BK67" s="1967" t="s">
        <v>11295</v>
      </c>
      <c r="BL67" s="1966" t="s">
        <v>11570</v>
      </c>
      <c r="BM67" s="1968" t="s">
        <v>11207</v>
      </c>
      <c r="BN67" s="1968" t="s">
        <v>11505</v>
      </c>
      <c r="BO67" s="1967" t="s">
        <v>11256</v>
      </c>
      <c r="BP67" s="1966" t="s">
        <v>11264</v>
      </c>
      <c r="BQ67" s="1968" t="s">
        <v>11257</v>
      </c>
      <c r="BR67" s="1968" t="s">
        <v>11208</v>
      </c>
      <c r="BS67" s="1967" t="s">
        <v>11303</v>
      </c>
      <c r="BT67" s="1966" t="s">
        <v>11194</v>
      </c>
      <c r="BU67" s="1968" t="s">
        <v>11265</v>
      </c>
      <c r="BV67" s="1967" t="s">
        <v>11304</v>
      </c>
      <c r="BW67" s="1966" t="s">
        <v>11290</v>
      </c>
      <c r="BX67" s="1968" t="s">
        <v>11542</v>
      </c>
      <c r="BY67" s="1967" t="s">
        <v>11305</v>
      </c>
      <c r="BZ67" s="1966" t="s">
        <v>11591</v>
      </c>
      <c r="CA67" s="1968" t="s">
        <v>11334</v>
      </c>
      <c r="CB67" s="1967" t="s">
        <v>11306</v>
      </c>
      <c r="CC67" s="1966" t="s">
        <v>11592</v>
      </c>
      <c r="CD67" s="1968" t="s">
        <v>11593</v>
      </c>
      <c r="CE67" s="1967" t="s">
        <v>11307</v>
      </c>
      <c r="CF67" s="1966" t="s">
        <v>11594</v>
      </c>
      <c r="CG67" s="1968" t="s">
        <v>11595</v>
      </c>
      <c r="CH67" s="1967" t="s">
        <v>11308</v>
      </c>
      <c r="CI67" s="1982" t="s">
        <v>11394</v>
      </c>
      <c r="CJ67" s="1968" t="s">
        <v>11596</v>
      </c>
      <c r="CK67" s="1967" t="s">
        <v>11309</v>
      </c>
      <c r="CL67" s="2021"/>
      <c r="CM67" s="2021"/>
      <c r="CN67" s="1955"/>
      <c r="CO67" s="1955"/>
      <c r="CP67" s="1955"/>
      <c r="CQ67" s="1955"/>
      <c r="CR67" s="1955"/>
      <c r="CS67" s="1955"/>
      <c r="CT67" s="1955"/>
      <c r="CU67" s="1955"/>
      <c r="CV67" s="1955"/>
      <c r="CW67" s="1955"/>
      <c r="CX67" s="1955"/>
      <c r="CY67" s="1955"/>
      <c r="CZ67" s="1955"/>
      <c r="DA67" s="1955"/>
      <c r="DB67" s="1955"/>
      <c r="DC67" s="1955"/>
      <c r="DD67" s="1955"/>
      <c r="DE67" s="1955"/>
      <c r="DF67" s="1955"/>
    </row>
    <row r="68" spans="1:110" customFormat="1" ht="15.75">
      <c r="A68" s="1966" t="s">
        <v>11295</v>
      </c>
      <c r="B68" s="1967" t="s">
        <v>11068</v>
      </c>
      <c r="C68" s="5250" t="s">
        <v>11313</v>
      </c>
      <c r="D68" s="5234"/>
      <c r="E68" s="5234"/>
      <c r="F68" s="5235"/>
      <c r="G68" s="5232" t="s">
        <v>11314</v>
      </c>
      <c r="H68" s="5234"/>
      <c r="I68" s="5234"/>
      <c r="J68" s="5235"/>
      <c r="K68" s="5232" t="s">
        <v>11212</v>
      </c>
      <c r="L68" s="5234"/>
      <c r="M68" s="5234"/>
      <c r="N68" s="5234"/>
      <c r="O68" s="5235"/>
      <c r="P68" s="5232"/>
      <c r="Q68" s="5234"/>
      <c r="R68" s="5234"/>
      <c r="S68" s="5234"/>
      <c r="T68" s="5235"/>
      <c r="U68" s="5232"/>
      <c r="V68" s="5234"/>
      <c r="W68" s="5234"/>
      <c r="X68" s="5235"/>
      <c r="Y68" s="5232"/>
      <c r="Z68" s="5234"/>
      <c r="AA68" s="5234"/>
      <c r="AB68" s="5235"/>
      <c r="AC68" s="5232"/>
      <c r="AD68" s="5234"/>
      <c r="AE68" s="5234"/>
      <c r="AF68" s="5235"/>
      <c r="AG68" s="5253"/>
      <c r="AH68" s="5254"/>
      <c r="AI68" s="1966" t="s">
        <v>11295</v>
      </c>
      <c r="AJ68" s="1967" t="s">
        <v>11068</v>
      </c>
      <c r="AK68" s="5232"/>
      <c r="AL68" s="5234"/>
      <c r="AM68" s="5235"/>
      <c r="AN68" s="5258"/>
      <c r="AO68" s="5259"/>
      <c r="AP68" s="5232"/>
      <c r="AQ68" s="5234"/>
      <c r="AR68" s="5234"/>
      <c r="AS68" s="5234" t="s">
        <v>11180</v>
      </c>
      <c r="AT68" s="5235" t="s">
        <v>11231</v>
      </c>
      <c r="AU68" s="5232"/>
      <c r="AV68" s="5234"/>
      <c r="AW68" s="5234"/>
      <c r="AX68" s="5234"/>
      <c r="AY68" s="5235"/>
      <c r="AZ68" s="5232"/>
      <c r="BA68" s="5234"/>
      <c r="BB68" s="5234"/>
      <c r="BC68" s="5234"/>
      <c r="BD68" s="5235"/>
      <c r="BE68" s="5250"/>
      <c r="BF68" s="5234"/>
      <c r="BG68" s="5234"/>
      <c r="BH68" s="5234"/>
      <c r="BI68" s="5235"/>
      <c r="BJ68" s="1966" t="s">
        <v>11295</v>
      </c>
      <c r="BK68" s="1967" t="s">
        <v>11068</v>
      </c>
      <c r="BL68" s="1966" t="s">
        <v>11571</v>
      </c>
      <c r="BM68" s="1968" t="s">
        <v>11331</v>
      </c>
      <c r="BN68" s="1968" t="s">
        <v>11192</v>
      </c>
      <c r="BO68" s="1967" t="s">
        <v>11279</v>
      </c>
      <c r="BP68" s="1966" t="s">
        <v>11258</v>
      </c>
      <c r="BQ68" s="1968" t="s">
        <v>11303</v>
      </c>
      <c r="BR68" s="1968" t="s">
        <v>11264</v>
      </c>
      <c r="BS68" s="1967" t="s">
        <v>11315</v>
      </c>
      <c r="BT68" s="1966" t="s">
        <v>11576</v>
      </c>
      <c r="BU68" s="1968" t="s">
        <v>11238</v>
      </c>
      <c r="BV68" s="1967" t="s">
        <v>11266</v>
      </c>
      <c r="BW68" s="1966" t="s">
        <v>11591</v>
      </c>
      <c r="BX68" s="1968" t="s">
        <v>11334</v>
      </c>
      <c r="BY68" s="1967" t="s">
        <v>11306</v>
      </c>
      <c r="BZ68" s="1966" t="s">
        <v>11291</v>
      </c>
      <c r="CA68" s="1968" t="s">
        <v>11587</v>
      </c>
      <c r="CB68" s="1967" t="s">
        <v>11316</v>
      </c>
      <c r="CC68" s="1966" t="s">
        <v>11414</v>
      </c>
      <c r="CD68" s="1968" t="s">
        <v>11543</v>
      </c>
      <c r="CE68" s="1967" t="s">
        <v>11317</v>
      </c>
      <c r="CF68" s="1966" t="s">
        <v>11597</v>
      </c>
      <c r="CG68" s="1968" t="s">
        <v>11598</v>
      </c>
      <c r="CH68" s="1967" t="s">
        <v>11318</v>
      </c>
      <c r="CI68" s="1982" t="s">
        <v>11599</v>
      </c>
      <c r="CJ68" s="1968" t="s">
        <v>11600</v>
      </c>
      <c r="CK68" s="1967" t="s">
        <v>11319</v>
      </c>
      <c r="CL68" s="2021"/>
      <c r="CM68" s="2021"/>
      <c r="CN68" s="1955"/>
      <c r="CO68" s="1955"/>
      <c r="CP68" s="1955"/>
      <c r="CQ68" s="1955"/>
      <c r="CR68" s="1955"/>
      <c r="CS68" s="1955"/>
      <c r="CT68" s="1955"/>
      <c r="CU68" s="1955"/>
      <c r="CV68" s="1955"/>
      <c r="CW68" s="1955"/>
      <c r="CX68" s="1955"/>
      <c r="CY68" s="1955"/>
      <c r="CZ68" s="1955"/>
      <c r="DA68" s="1955"/>
      <c r="DB68" s="1955"/>
      <c r="DC68" s="1955"/>
      <c r="DD68" s="1955"/>
      <c r="DE68" s="1955"/>
      <c r="DF68" s="1955"/>
    </row>
    <row r="69" spans="1:110" customFormat="1" ht="15.75">
      <c r="A69" s="1966" t="s">
        <v>11068</v>
      </c>
      <c r="B69" s="1967" t="s">
        <v>11071</v>
      </c>
      <c r="C69" s="5250" t="s">
        <v>11322</v>
      </c>
      <c r="D69" s="5234"/>
      <c r="E69" s="5234"/>
      <c r="F69" s="5235"/>
      <c r="G69" s="5232" t="s">
        <v>11323</v>
      </c>
      <c r="H69" s="5234"/>
      <c r="I69" s="5234"/>
      <c r="J69" s="5235"/>
      <c r="K69" s="5232" t="s">
        <v>11272</v>
      </c>
      <c r="L69" s="5234"/>
      <c r="M69" s="5234"/>
      <c r="N69" s="5234"/>
      <c r="O69" s="5235"/>
      <c r="P69" s="5232" t="s">
        <v>11273</v>
      </c>
      <c r="Q69" s="5234"/>
      <c r="R69" s="5234"/>
      <c r="S69" s="5234"/>
      <c r="T69" s="5235"/>
      <c r="U69" s="5232" t="s">
        <v>11324</v>
      </c>
      <c r="V69" s="5234"/>
      <c r="W69" s="5234"/>
      <c r="X69" s="5235"/>
      <c r="Y69" s="5232" t="s">
        <v>11325</v>
      </c>
      <c r="Z69" s="5234"/>
      <c r="AA69" s="5234"/>
      <c r="AB69" s="5235"/>
      <c r="AC69" s="5232" t="s">
        <v>11220</v>
      </c>
      <c r="AD69" s="5234"/>
      <c r="AE69" s="5234"/>
      <c r="AF69" s="5235"/>
      <c r="AG69" s="5253"/>
      <c r="AH69" s="5254"/>
      <c r="AI69" s="1966" t="s">
        <v>11068</v>
      </c>
      <c r="AJ69" s="1967" t="s">
        <v>11071</v>
      </c>
      <c r="AK69" s="5232" t="s">
        <v>11188</v>
      </c>
      <c r="AL69" s="5234" t="s">
        <v>11329</v>
      </c>
      <c r="AM69" s="5235" t="s">
        <v>11426</v>
      </c>
      <c r="AN69" s="5258"/>
      <c r="AO69" s="5259"/>
      <c r="AP69" s="5232"/>
      <c r="AQ69" s="5234" t="s">
        <v>11183</v>
      </c>
      <c r="AR69" s="5234"/>
      <c r="AS69" s="5234"/>
      <c r="AT69" s="5235"/>
      <c r="AU69" s="5232" t="s">
        <v>11277</v>
      </c>
      <c r="AV69" s="5234" t="s">
        <v>11253</v>
      </c>
      <c r="AW69" s="5234" t="s">
        <v>11188</v>
      </c>
      <c r="AX69" s="5234"/>
      <c r="AY69" s="5235" t="s">
        <v>11181</v>
      </c>
      <c r="AZ69" s="5232" t="s">
        <v>11236</v>
      </c>
      <c r="BA69" s="5234" t="s">
        <v>11564</v>
      </c>
      <c r="BB69" s="5234" t="s">
        <v>11189</v>
      </c>
      <c r="BC69" s="5234"/>
      <c r="BD69" s="5235"/>
      <c r="BE69" s="5250" t="s">
        <v>11192</v>
      </c>
      <c r="BF69" s="5234" t="s">
        <v>11505</v>
      </c>
      <c r="BG69" s="5234" t="s">
        <v>11566</v>
      </c>
      <c r="BH69" s="5234" t="s">
        <v>11331</v>
      </c>
      <c r="BI69" s="5235"/>
      <c r="BJ69" s="1966" t="s">
        <v>11068</v>
      </c>
      <c r="BK69" s="1967" t="s">
        <v>11071</v>
      </c>
      <c r="BL69" s="1966" t="s">
        <v>11575</v>
      </c>
      <c r="BM69" s="1968" t="s">
        <v>11500</v>
      </c>
      <c r="BN69" s="1968" t="s">
        <v>11571</v>
      </c>
      <c r="BO69" s="1967" t="s">
        <v>11332</v>
      </c>
      <c r="BP69" s="1966" t="s">
        <v>11304</v>
      </c>
      <c r="BQ69" s="1968" t="s">
        <v>11238</v>
      </c>
      <c r="BR69" s="1968" t="s">
        <v>11529</v>
      </c>
      <c r="BS69" s="1967" t="s">
        <v>11333</v>
      </c>
      <c r="BT69" s="1966" t="s">
        <v>11578</v>
      </c>
      <c r="BU69" s="1968" t="s">
        <v>11501</v>
      </c>
      <c r="BV69" s="1967" t="s">
        <v>11334</v>
      </c>
      <c r="BW69" s="1966" t="s">
        <v>11601</v>
      </c>
      <c r="BX69" s="1968" t="s">
        <v>11593</v>
      </c>
      <c r="BY69" s="1967" t="s">
        <v>11335</v>
      </c>
      <c r="BZ69" s="1966" t="s">
        <v>11602</v>
      </c>
      <c r="CA69" s="1968" t="s">
        <v>11595</v>
      </c>
      <c r="CB69" s="1967" t="s">
        <v>11317</v>
      </c>
      <c r="CC69" s="1966" t="s">
        <v>11603</v>
      </c>
      <c r="CD69" s="1968" t="s">
        <v>11604</v>
      </c>
      <c r="CE69" s="1967" t="s">
        <v>11336</v>
      </c>
      <c r="CF69" s="1966" t="s">
        <v>11605</v>
      </c>
      <c r="CG69" s="1968" t="s">
        <v>11606</v>
      </c>
      <c r="CH69" s="1967" t="s">
        <v>11337</v>
      </c>
      <c r="CI69" s="1982" t="s">
        <v>11607</v>
      </c>
      <c r="CJ69" s="1968" t="s">
        <v>11608</v>
      </c>
      <c r="CK69" s="1967" t="s">
        <v>11338</v>
      </c>
      <c r="CL69" s="2021"/>
      <c r="CM69" s="2021"/>
      <c r="CN69" s="1955"/>
      <c r="CO69" s="1955"/>
      <c r="CP69" s="1955"/>
      <c r="CQ69" s="1955"/>
      <c r="CR69" s="1955"/>
      <c r="CS69" s="1955"/>
      <c r="CT69" s="1955"/>
      <c r="CU69" s="1955"/>
      <c r="CV69" s="1955"/>
      <c r="CW69" s="1955"/>
      <c r="CX69" s="1955"/>
      <c r="CY69" s="1955"/>
      <c r="CZ69" s="1955"/>
      <c r="DA69" s="1955"/>
      <c r="DB69" s="1955"/>
      <c r="DC69" s="1955"/>
      <c r="DD69" s="1955"/>
      <c r="DE69" s="1955"/>
      <c r="DF69" s="1955"/>
    </row>
    <row r="70" spans="1:110" customFormat="1" ht="15.75">
      <c r="A70" s="1966" t="s">
        <v>11071</v>
      </c>
      <c r="B70" s="1967" t="s">
        <v>11073</v>
      </c>
      <c r="C70" s="5250" t="s">
        <v>11342</v>
      </c>
      <c r="D70" s="5234"/>
      <c r="E70" s="5234"/>
      <c r="F70" s="5235"/>
      <c r="G70" s="5232" t="s">
        <v>11343</v>
      </c>
      <c r="H70" s="5234"/>
      <c r="I70" s="5234"/>
      <c r="J70" s="5235"/>
      <c r="K70" s="5232" t="s">
        <v>11287</v>
      </c>
      <c r="L70" s="5234"/>
      <c r="M70" s="5234"/>
      <c r="N70" s="5234"/>
      <c r="O70" s="5235"/>
      <c r="P70" s="5232"/>
      <c r="Q70" s="5234"/>
      <c r="R70" s="5234"/>
      <c r="S70" s="5234"/>
      <c r="T70" s="5235"/>
      <c r="U70" s="5232"/>
      <c r="V70" s="5234"/>
      <c r="W70" s="5234"/>
      <c r="X70" s="5235"/>
      <c r="Y70" s="5232"/>
      <c r="Z70" s="5234"/>
      <c r="AA70" s="5234"/>
      <c r="AB70" s="5235"/>
      <c r="AC70" s="5232"/>
      <c r="AD70" s="5234"/>
      <c r="AE70" s="5234"/>
      <c r="AF70" s="5235"/>
      <c r="AG70" s="5253"/>
      <c r="AH70" s="5254"/>
      <c r="AI70" s="1966" t="s">
        <v>11071</v>
      </c>
      <c r="AJ70" s="1967" t="s">
        <v>11073</v>
      </c>
      <c r="AK70" s="5232"/>
      <c r="AL70" s="5234"/>
      <c r="AM70" s="5235"/>
      <c r="AN70" s="5258"/>
      <c r="AO70" s="5259"/>
      <c r="AP70" s="5232"/>
      <c r="AQ70" s="5234"/>
      <c r="AR70" s="5234"/>
      <c r="AS70" s="5234" t="s">
        <v>11220</v>
      </c>
      <c r="AT70" s="5235" t="s">
        <v>11178</v>
      </c>
      <c r="AU70" s="5232"/>
      <c r="AV70" s="5234"/>
      <c r="AW70" s="5234"/>
      <c r="AX70" s="5234"/>
      <c r="AY70" s="5235"/>
      <c r="AZ70" s="5232"/>
      <c r="BA70" s="5234"/>
      <c r="BB70" s="5234"/>
      <c r="BC70" s="5234"/>
      <c r="BD70" s="5235"/>
      <c r="BE70" s="5250"/>
      <c r="BF70" s="5234"/>
      <c r="BG70" s="5234"/>
      <c r="BH70" s="5234"/>
      <c r="BI70" s="5235"/>
      <c r="BJ70" s="1966" t="s">
        <v>11071</v>
      </c>
      <c r="BK70" s="1967" t="s">
        <v>11073</v>
      </c>
      <c r="BL70" s="1966" t="s">
        <v>11584</v>
      </c>
      <c r="BM70" s="1968" t="s">
        <v>11257</v>
      </c>
      <c r="BN70" s="1968" t="s">
        <v>11256</v>
      </c>
      <c r="BO70" s="1967" t="s">
        <v>11258</v>
      </c>
      <c r="BP70" s="1966" t="s">
        <v>11609</v>
      </c>
      <c r="BQ70" s="1968" t="s">
        <v>11586</v>
      </c>
      <c r="BR70" s="1968" t="s">
        <v>11304</v>
      </c>
      <c r="BS70" s="1967" t="s">
        <v>11344</v>
      </c>
      <c r="BT70" s="1966" t="s">
        <v>11226</v>
      </c>
      <c r="BU70" s="1968" t="s">
        <v>11334</v>
      </c>
      <c r="BV70" s="1967" t="s">
        <v>11345</v>
      </c>
      <c r="BW70" s="1966" t="s">
        <v>11610</v>
      </c>
      <c r="BX70" s="1968" t="s">
        <v>11589</v>
      </c>
      <c r="BY70" s="1967" t="s">
        <v>11308</v>
      </c>
      <c r="BZ70" s="1966" t="s">
        <v>11604</v>
      </c>
      <c r="CA70" s="1968" t="s">
        <v>11611</v>
      </c>
      <c r="CB70" s="1967" t="s">
        <v>11309</v>
      </c>
      <c r="CC70" s="1966" t="s">
        <v>11612</v>
      </c>
      <c r="CD70" s="1968" t="s">
        <v>11613</v>
      </c>
      <c r="CE70" s="1967" t="s">
        <v>11319</v>
      </c>
      <c r="CF70" s="1966" t="s">
        <v>11614</v>
      </c>
      <c r="CG70" s="1968" t="s">
        <v>11615</v>
      </c>
      <c r="CH70" s="1967" t="s">
        <v>11346</v>
      </c>
      <c r="CI70" s="1982" t="s">
        <v>11616</v>
      </c>
      <c r="CJ70" s="1968" t="s">
        <v>11617</v>
      </c>
      <c r="CK70" s="1967" t="s">
        <v>11347</v>
      </c>
      <c r="CL70" s="2021"/>
      <c r="CM70" s="2021"/>
      <c r="CN70" s="1955"/>
      <c r="CO70" s="1955"/>
      <c r="CP70" s="1955"/>
      <c r="CQ70" s="1955"/>
      <c r="CR70" s="1955"/>
      <c r="CS70" s="1955"/>
      <c r="CT70" s="1955"/>
      <c r="CU70" s="1955"/>
      <c r="CV70" s="1955"/>
      <c r="CW70" s="1955"/>
      <c r="CX70" s="1955"/>
      <c r="CY70" s="1955"/>
      <c r="CZ70" s="1955"/>
      <c r="DA70" s="1955"/>
      <c r="DB70" s="1955"/>
      <c r="DC70" s="1955"/>
      <c r="DD70" s="1955"/>
      <c r="DE70" s="1955"/>
      <c r="DF70" s="1955"/>
    </row>
    <row r="71" spans="1:110" customFormat="1" ht="15.75">
      <c r="A71" s="1966" t="s">
        <v>11073</v>
      </c>
      <c r="B71" s="1967" t="s">
        <v>11129</v>
      </c>
      <c r="C71" s="5250" t="s">
        <v>11351</v>
      </c>
      <c r="D71" s="5234"/>
      <c r="E71" s="5234"/>
      <c r="F71" s="5235"/>
      <c r="G71" s="5232" t="s">
        <v>11352</v>
      </c>
      <c r="H71" s="5234"/>
      <c r="I71" s="5234"/>
      <c r="J71" s="5235"/>
      <c r="K71" s="5232" t="s">
        <v>11314</v>
      </c>
      <c r="L71" s="5234"/>
      <c r="M71" s="5234"/>
      <c r="N71" s="5234"/>
      <c r="O71" s="5235"/>
      <c r="P71" s="5232" t="s">
        <v>11353</v>
      </c>
      <c r="Q71" s="5234"/>
      <c r="R71" s="5234"/>
      <c r="S71" s="5234"/>
      <c r="T71" s="5235"/>
      <c r="U71" s="5232" t="s">
        <v>11354</v>
      </c>
      <c r="V71" s="5234"/>
      <c r="W71" s="5234"/>
      <c r="X71" s="5235"/>
      <c r="Y71" s="5232" t="s">
        <v>11355</v>
      </c>
      <c r="Z71" s="5234"/>
      <c r="AA71" s="5234"/>
      <c r="AB71" s="5235"/>
      <c r="AC71" s="5232" t="s">
        <v>11179</v>
      </c>
      <c r="AD71" s="5234"/>
      <c r="AE71" s="5234"/>
      <c r="AF71" s="5235"/>
      <c r="AG71" s="5253"/>
      <c r="AH71" s="5254"/>
      <c r="AI71" s="1966" t="s">
        <v>11073</v>
      </c>
      <c r="AJ71" s="1967" t="s">
        <v>11129</v>
      </c>
      <c r="AK71" s="5232" t="s">
        <v>11234</v>
      </c>
      <c r="AL71" s="5234" t="s">
        <v>11190</v>
      </c>
      <c r="AM71" s="5235" t="s">
        <v>11255</v>
      </c>
      <c r="AN71" s="5258"/>
      <c r="AO71" s="5259"/>
      <c r="AP71" s="5232"/>
      <c r="AQ71" s="5234" t="s">
        <v>11558</v>
      </c>
      <c r="AR71" s="5234"/>
      <c r="AS71" s="5234"/>
      <c r="AT71" s="5235"/>
      <c r="AU71" s="5232" t="s">
        <v>11301</v>
      </c>
      <c r="AV71" s="5234" t="s">
        <v>11277</v>
      </c>
      <c r="AW71" s="5234" t="s">
        <v>11253</v>
      </c>
      <c r="AX71" s="5234"/>
      <c r="AY71" s="5235" t="s">
        <v>11219</v>
      </c>
      <c r="AZ71" s="5232" t="s">
        <v>11453</v>
      </c>
      <c r="BA71" s="5234" t="s">
        <v>11426</v>
      </c>
      <c r="BB71" s="5234" t="s">
        <v>11202</v>
      </c>
      <c r="BC71" s="5234"/>
      <c r="BD71" s="5235"/>
      <c r="BE71" s="5250" t="s">
        <v>11331</v>
      </c>
      <c r="BF71" s="5234" t="s">
        <v>11570</v>
      </c>
      <c r="BG71" s="5234" t="s">
        <v>11206</v>
      </c>
      <c r="BH71" s="5234" t="s">
        <v>11279</v>
      </c>
      <c r="BI71" s="5235"/>
      <c r="BJ71" s="1966" t="s">
        <v>11073</v>
      </c>
      <c r="BK71" s="1967" t="s">
        <v>11129</v>
      </c>
      <c r="BL71" s="1966" t="s">
        <v>11572</v>
      </c>
      <c r="BM71" s="1968" t="s">
        <v>11428</v>
      </c>
      <c r="BN71" s="1968" t="s">
        <v>11264</v>
      </c>
      <c r="BO71" s="1967" t="s">
        <v>11259</v>
      </c>
      <c r="BP71" s="1966" t="s">
        <v>11618</v>
      </c>
      <c r="BQ71" s="1968" t="s">
        <v>11581</v>
      </c>
      <c r="BR71" s="1968" t="s">
        <v>11243</v>
      </c>
      <c r="BS71" s="1967" t="s">
        <v>11360</v>
      </c>
      <c r="BT71" s="1966" t="s">
        <v>11619</v>
      </c>
      <c r="BU71" s="1968" t="s">
        <v>11582</v>
      </c>
      <c r="BV71" s="1967" t="s">
        <v>11307</v>
      </c>
      <c r="BW71" s="1966" t="s">
        <v>11598</v>
      </c>
      <c r="BX71" s="1968" t="s">
        <v>11502</v>
      </c>
      <c r="BY71" s="1967" t="s">
        <v>11361</v>
      </c>
      <c r="BZ71" s="1966" t="s">
        <v>11535</v>
      </c>
      <c r="CA71" s="1968" t="s">
        <v>11620</v>
      </c>
      <c r="CB71" s="1967" t="s">
        <v>11362</v>
      </c>
      <c r="CC71" s="1966" t="s">
        <v>11615</v>
      </c>
      <c r="CD71" s="1968" t="s">
        <v>11621</v>
      </c>
      <c r="CE71" s="1967" t="s">
        <v>11363</v>
      </c>
      <c r="CF71" s="1966" t="s">
        <v>11622</v>
      </c>
      <c r="CG71" s="1968" t="s">
        <v>11623</v>
      </c>
      <c r="CH71" s="1967" t="s">
        <v>11311</v>
      </c>
      <c r="CI71" s="1982" t="s">
        <v>11624</v>
      </c>
      <c r="CJ71" s="1968" t="s">
        <v>11397</v>
      </c>
      <c r="CK71" s="1967" t="s">
        <v>11364</v>
      </c>
      <c r="CL71" s="2021"/>
      <c r="CM71" s="2021"/>
      <c r="CN71" s="1955"/>
      <c r="CO71" s="1955"/>
      <c r="CP71" s="1955"/>
      <c r="CQ71" s="1955"/>
      <c r="CR71" s="1955"/>
      <c r="CS71" s="1955"/>
      <c r="CT71" s="1955"/>
      <c r="CU71" s="1955"/>
      <c r="CV71" s="1955"/>
      <c r="CW71" s="1955"/>
      <c r="CX71" s="1955"/>
      <c r="CY71" s="1955"/>
      <c r="CZ71" s="1955"/>
      <c r="DA71" s="1955"/>
      <c r="DB71" s="1955"/>
      <c r="DC71" s="1955"/>
      <c r="DD71" s="1955"/>
      <c r="DE71" s="1955"/>
      <c r="DF71" s="1955"/>
    </row>
    <row r="72" spans="1:110" customFormat="1" ht="15.75">
      <c r="A72" s="1966" t="s">
        <v>11129</v>
      </c>
      <c r="B72" s="1967" t="s">
        <v>11077</v>
      </c>
      <c r="C72" s="5250" t="s">
        <v>11368</v>
      </c>
      <c r="D72" s="5234"/>
      <c r="E72" s="5234"/>
      <c r="F72" s="5235"/>
      <c r="G72" s="5232" t="s">
        <v>11211</v>
      </c>
      <c r="H72" s="5234"/>
      <c r="I72" s="5234"/>
      <c r="J72" s="5235"/>
      <c r="K72" s="5232" t="s">
        <v>11369</v>
      </c>
      <c r="L72" s="5234"/>
      <c r="M72" s="5234"/>
      <c r="N72" s="5234"/>
      <c r="O72" s="5235"/>
      <c r="P72" s="5232"/>
      <c r="Q72" s="5234"/>
      <c r="R72" s="5234"/>
      <c r="S72" s="5234"/>
      <c r="T72" s="5235"/>
      <c r="U72" s="5232"/>
      <c r="V72" s="5234"/>
      <c r="W72" s="5234"/>
      <c r="X72" s="5235"/>
      <c r="Y72" s="5232"/>
      <c r="Z72" s="5234"/>
      <c r="AA72" s="5234"/>
      <c r="AB72" s="5235"/>
      <c r="AC72" s="5232"/>
      <c r="AD72" s="5234"/>
      <c r="AE72" s="5234"/>
      <c r="AF72" s="5235"/>
      <c r="AG72" s="5253"/>
      <c r="AH72" s="5254"/>
      <c r="AI72" s="1966" t="s">
        <v>11129</v>
      </c>
      <c r="AJ72" s="1967" t="s">
        <v>11077</v>
      </c>
      <c r="AK72" s="5232"/>
      <c r="AL72" s="5234"/>
      <c r="AM72" s="5235"/>
      <c r="AN72" s="5258"/>
      <c r="AO72" s="5259"/>
      <c r="AP72" s="5232"/>
      <c r="AQ72" s="5234"/>
      <c r="AR72" s="5234"/>
      <c r="AS72" s="5234"/>
      <c r="AT72" s="5235"/>
      <c r="AU72" s="5232"/>
      <c r="AV72" s="5234"/>
      <c r="AW72" s="5234"/>
      <c r="AX72" s="5234"/>
      <c r="AY72" s="5235"/>
      <c r="AZ72" s="5232"/>
      <c r="BA72" s="5234"/>
      <c r="BB72" s="5234"/>
      <c r="BC72" s="5234"/>
      <c r="BD72" s="5235"/>
      <c r="BE72" s="5250"/>
      <c r="BF72" s="5234"/>
      <c r="BG72" s="5234"/>
      <c r="BH72" s="5234"/>
      <c r="BI72" s="5235"/>
      <c r="BJ72" s="1966" t="s">
        <v>11129</v>
      </c>
      <c r="BK72" s="1967" t="s">
        <v>11077</v>
      </c>
      <c r="BL72" s="1966" t="s">
        <v>11315</v>
      </c>
      <c r="BM72" s="1968" t="s">
        <v>11529</v>
      </c>
      <c r="BN72" s="1968" t="s">
        <v>11209</v>
      </c>
      <c r="BO72" s="1967" t="s">
        <v>11577</v>
      </c>
      <c r="BP72" s="1966" t="s">
        <v>11281</v>
      </c>
      <c r="BQ72" s="1968" t="s">
        <v>11625</v>
      </c>
      <c r="BR72" s="1968" t="s">
        <v>11581</v>
      </c>
      <c r="BS72" s="1967" t="s">
        <v>11370</v>
      </c>
      <c r="BT72" s="1966" t="s">
        <v>11590</v>
      </c>
      <c r="BU72" s="1968" t="s">
        <v>11626</v>
      </c>
      <c r="BV72" s="1967" t="s">
        <v>11371</v>
      </c>
      <c r="BW72" s="1966" t="s">
        <v>11627</v>
      </c>
      <c r="BX72" s="1968" t="s">
        <v>11506</v>
      </c>
      <c r="BY72" s="1967" t="s">
        <v>11372</v>
      </c>
      <c r="BZ72" s="1966" t="s">
        <v>11628</v>
      </c>
      <c r="CA72" s="1968" t="s">
        <v>11629</v>
      </c>
      <c r="CB72" s="1967" t="s">
        <v>11373</v>
      </c>
      <c r="CC72" s="1966" t="s">
        <v>11630</v>
      </c>
      <c r="CD72" s="1968" t="s">
        <v>11631</v>
      </c>
      <c r="CE72" s="1967" t="s">
        <v>11374</v>
      </c>
      <c r="CF72" s="1966" t="s">
        <v>11632</v>
      </c>
      <c r="CG72" s="1968" t="s">
        <v>11294</v>
      </c>
      <c r="CH72" s="1967" t="s">
        <v>11375</v>
      </c>
      <c r="CI72" s="1982" t="s">
        <v>11633</v>
      </c>
      <c r="CJ72" s="1968" t="s">
        <v>11348</v>
      </c>
      <c r="CK72" s="1967" t="s">
        <v>11376</v>
      </c>
      <c r="CL72" s="2021"/>
      <c r="CM72" s="2021"/>
      <c r="CN72" s="1955"/>
      <c r="CO72" s="1955"/>
      <c r="CP72" s="1955"/>
      <c r="CQ72" s="1955"/>
      <c r="CR72" s="1955"/>
      <c r="CS72" s="1955"/>
      <c r="CT72" s="1955"/>
      <c r="CU72" s="1955"/>
      <c r="CV72" s="1955"/>
      <c r="CW72" s="1955"/>
      <c r="CX72" s="1955"/>
      <c r="CY72" s="1955"/>
      <c r="CZ72" s="1955"/>
      <c r="DA72" s="1955"/>
      <c r="DB72" s="1955"/>
      <c r="DC72" s="1955"/>
      <c r="DD72" s="1955"/>
      <c r="DE72" s="1955"/>
      <c r="DF72" s="1955"/>
    </row>
    <row r="73" spans="1:110" customFormat="1" ht="15.75">
      <c r="A73" s="1966" t="s">
        <v>11077</v>
      </c>
      <c r="B73" s="1967" t="s">
        <v>11116</v>
      </c>
      <c r="C73" s="5250" t="s">
        <v>11380</v>
      </c>
      <c r="D73" s="5234"/>
      <c r="E73" s="5234"/>
      <c r="F73" s="5235"/>
      <c r="G73" s="5232" t="s">
        <v>11271</v>
      </c>
      <c r="H73" s="5234"/>
      <c r="I73" s="5234"/>
      <c r="J73" s="5235"/>
      <c r="K73" s="5232" t="s">
        <v>11381</v>
      </c>
      <c r="L73" s="5234"/>
      <c r="M73" s="5234"/>
      <c r="N73" s="5234"/>
      <c r="O73" s="5235"/>
      <c r="P73" s="5232"/>
      <c r="Q73" s="5234"/>
      <c r="R73" s="5234"/>
      <c r="S73" s="5234"/>
      <c r="T73" s="5235"/>
      <c r="U73" s="5232"/>
      <c r="V73" s="5234"/>
      <c r="W73" s="5234"/>
      <c r="X73" s="5235"/>
      <c r="Y73" s="5232"/>
      <c r="Z73" s="5234"/>
      <c r="AA73" s="5234"/>
      <c r="AB73" s="5235"/>
      <c r="AC73" s="5232"/>
      <c r="AD73" s="5234"/>
      <c r="AE73" s="5234"/>
      <c r="AF73" s="5235"/>
      <c r="AG73" s="5253"/>
      <c r="AH73" s="5254"/>
      <c r="AI73" s="1966" t="s">
        <v>11077</v>
      </c>
      <c r="AJ73" s="1967" t="s">
        <v>11116</v>
      </c>
      <c r="AK73" s="5232"/>
      <c r="AL73" s="5234"/>
      <c r="AM73" s="5235"/>
      <c r="AN73" s="5258"/>
      <c r="AO73" s="5259"/>
      <c r="AP73" s="5232"/>
      <c r="AQ73" s="5234"/>
      <c r="AR73" s="5234"/>
      <c r="AS73" s="5234" t="s">
        <v>11218</v>
      </c>
      <c r="AT73" s="5235" t="s">
        <v>11326</v>
      </c>
      <c r="AU73" s="5232"/>
      <c r="AV73" s="5234"/>
      <c r="AW73" s="5234"/>
      <c r="AX73" s="5234"/>
      <c r="AY73" s="5235"/>
      <c r="AZ73" s="5232"/>
      <c r="BA73" s="5234"/>
      <c r="BB73" s="5234"/>
      <c r="BC73" s="5234"/>
      <c r="BD73" s="5235"/>
      <c r="BE73" s="5250"/>
      <c r="BF73" s="5234"/>
      <c r="BG73" s="5234"/>
      <c r="BH73" s="5234"/>
      <c r="BI73" s="5235"/>
      <c r="BJ73" s="1966" t="s">
        <v>11077</v>
      </c>
      <c r="BK73" s="1967" t="s">
        <v>11116</v>
      </c>
      <c r="BL73" s="1966" t="s">
        <v>11455</v>
      </c>
      <c r="BM73" s="1968" t="s">
        <v>11585</v>
      </c>
      <c r="BN73" s="1968" t="s">
        <v>11303</v>
      </c>
      <c r="BO73" s="1967" t="s">
        <v>11280</v>
      </c>
      <c r="BP73" s="1966" t="s">
        <v>11306</v>
      </c>
      <c r="BQ73" s="1968" t="s">
        <v>11634</v>
      </c>
      <c r="BR73" s="1968" t="s">
        <v>11625</v>
      </c>
      <c r="BS73" s="1967" t="s">
        <v>11244</v>
      </c>
      <c r="BT73" s="1966" t="s">
        <v>11602</v>
      </c>
      <c r="BU73" s="1968" t="s">
        <v>11589</v>
      </c>
      <c r="BV73" s="1967" t="s">
        <v>11317</v>
      </c>
      <c r="BW73" s="1966" t="s">
        <v>11612</v>
      </c>
      <c r="BX73" s="1968" t="s">
        <v>11535</v>
      </c>
      <c r="BY73" s="1967" t="s">
        <v>11319</v>
      </c>
      <c r="BZ73" s="1966" t="s">
        <v>11608</v>
      </c>
      <c r="CA73" s="1968" t="s">
        <v>11635</v>
      </c>
      <c r="CB73" s="1967" t="s">
        <v>11382</v>
      </c>
      <c r="CC73" s="1966" t="s">
        <v>11616</v>
      </c>
      <c r="CD73" s="1968" t="s">
        <v>11636</v>
      </c>
      <c r="CE73" s="1967" t="s">
        <v>11347</v>
      </c>
      <c r="CF73" s="1966" t="s">
        <v>11637</v>
      </c>
      <c r="CG73" s="1968" t="s">
        <v>11364</v>
      </c>
      <c r="CH73" s="1967" t="s">
        <v>11383</v>
      </c>
      <c r="CI73" s="1982" t="s">
        <v>11638</v>
      </c>
      <c r="CJ73" s="1968" t="s">
        <v>11503</v>
      </c>
      <c r="CK73" s="1967" t="s">
        <v>11384</v>
      </c>
      <c r="CL73" s="2021"/>
      <c r="CM73" s="2021"/>
      <c r="CN73" s="1955"/>
      <c r="CO73" s="1955"/>
      <c r="CP73" s="1955"/>
      <c r="CQ73" s="1955"/>
      <c r="CR73" s="1955"/>
      <c r="CS73" s="1955"/>
      <c r="CT73" s="1955"/>
      <c r="CU73" s="1955"/>
      <c r="CV73" s="1955"/>
      <c r="CW73" s="1955"/>
      <c r="CX73" s="1955"/>
      <c r="CY73" s="1955"/>
      <c r="CZ73" s="1955"/>
      <c r="DA73" s="1955"/>
      <c r="DB73" s="1955"/>
      <c r="DC73" s="1955"/>
      <c r="DD73" s="1955"/>
      <c r="DE73" s="1955"/>
      <c r="DF73" s="1955"/>
    </row>
    <row r="74" spans="1:110" customFormat="1" ht="15.75">
      <c r="A74" s="1966" t="s">
        <v>11116</v>
      </c>
      <c r="B74" s="1967" t="s">
        <v>11076</v>
      </c>
      <c r="C74" s="5250" t="s">
        <v>11388</v>
      </c>
      <c r="D74" s="5234"/>
      <c r="E74" s="5234"/>
      <c r="F74" s="5235"/>
      <c r="G74" s="5232" t="s">
        <v>11296</v>
      </c>
      <c r="H74" s="5234"/>
      <c r="I74" s="5234"/>
      <c r="J74" s="5235"/>
      <c r="K74" s="5232" t="s">
        <v>11343</v>
      </c>
      <c r="L74" s="5234"/>
      <c r="M74" s="5234"/>
      <c r="N74" s="5234"/>
      <c r="O74" s="5235"/>
      <c r="P74" s="5232" t="s">
        <v>11272</v>
      </c>
      <c r="Q74" s="5234"/>
      <c r="R74" s="5234"/>
      <c r="S74" s="5234"/>
      <c r="T74" s="5235"/>
      <c r="U74" s="5232" t="s">
        <v>11298</v>
      </c>
      <c r="V74" s="5234"/>
      <c r="W74" s="5234"/>
      <c r="X74" s="5235"/>
      <c r="Y74" s="5232" t="s">
        <v>11229</v>
      </c>
      <c r="Z74" s="5234"/>
      <c r="AA74" s="5234"/>
      <c r="AB74" s="5235"/>
      <c r="AC74" s="5232" t="s">
        <v>11232</v>
      </c>
      <c r="AD74" s="5234"/>
      <c r="AE74" s="5234"/>
      <c r="AF74" s="5235"/>
      <c r="AG74" s="5253"/>
      <c r="AH74" s="5254"/>
      <c r="AI74" s="1966" t="s">
        <v>11116</v>
      </c>
      <c r="AJ74" s="1967" t="s">
        <v>11076</v>
      </c>
      <c r="AK74" s="5232" t="s">
        <v>11234</v>
      </c>
      <c r="AL74" s="5234" t="s">
        <v>11564</v>
      </c>
      <c r="AM74" s="5235" t="s">
        <v>11565</v>
      </c>
      <c r="AN74" s="5258"/>
      <c r="AO74" s="5259"/>
      <c r="AP74" s="5232" t="s">
        <v>11573</v>
      </c>
      <c r="AQ74" s="5234" t="s">
        <v>11183</v>
      </c>
      <c r="AR74" s="5234" t="s">
        <v>11198</v>
      </c>
      <c r="AS74" s="5234"/>
      <c r="AT74" s="5235"/>
      <c r="AU74" s="5232" t="s">
        <v>11329</v>
      </c>
      <c r="AV74" s="5234" t="s">
        <v>11301</v>
      </c>
      <c r="AW74" s="5234"/>
      <c r="AX74" s="5234"/>
      <c r="AY74" s="5235" t="s">
        <v>11274</v>
      </c>
      <c r="AZ74" s="5232" t="s">
        <v>11565</v>
      </c>
      <c r="BA74" s="5234" t="s">
        <v>11255</v>
      </c>
      <c r="BB74" s="5234" t="s">
        <v>11190</v>
      </c>
      <c r="BC74" s="5234" t="s">
        <v>11563</v>
      </c>
      <c r="BD74" s="5235"/>
      <c r="BE74" s="5250" t="s">
        <v>11500</v>
      </c>
      <c r="BF74" s="5234" t="s">
        <v>11256</v>
      </c>
      <c r="BG74" s="5234" t="s">
        <v>11237</v>
      </c>
      <c r="BH74" s="5234" t="s">
        <v>11209</v>
      </c>
      <c r="BI74" s="5235"/>
      <c r="BJ74" s="1966" t="s">
        <v>11116</v>
      </c>
      <c r="BK74" s="1967" t="s">
        <v>11076</v>
      </c>
      <c r="BL74" s="1966" t="s">
        <v>11333</v>
      </c>
      <c r="BM74" s="1968" t="s">
        <v>11280</v>
      </c>
      <c r="BN74" s="1968" t="s">
        <v>11194</v>
      </c>
      <c r="BO74" s="1967" t="s">
        <v>11243</v>
      </c>
      <c r="BP74" s="1966" t="s">
        <v>11592</v>
      </c>
      <c r="BQ74" s="1968" t="s">
        <v>11639</v>
      </c>
      <c r="BR74" s="1968" t="s">
        <v>11588</v>
      </c>
      <c r="BS74" s="1967" t="s">
        <v>11307</v>
      </c>
      <c r="BT74" s="1966" t="s">
        <v>11640</v>
      </c>
      <c r="BU74" s="1968" t="s">
        <v>11641</v>
      </c>
      <c r="BV74" s="1967" t="s">
        <v>11394</v>
      </c>
      <c r="BW74" s="1966" t="s">
        <v>11642</v>
      </c>
      <c r="BX74" s="1968" t="s">
        <v>11643</v>
      </c>
      <c r="BY74" s="1967" t="s">
        <v>11395</v>
      </c>
      <c r="BZ74" s="1966" t="s">
        <v>11644</v>
      </c>
      <c r="CA74" s="1968" t="s">
        <v>11645</v>
      </c>
      <c r="CB74" s="1967" t="s">
        <v>11396</v>
      </c>
      <c r="CC74" s="1966" t="s">
        <v>11646</v>
      </c>
      <c r="CD74" s="1968" t="s">
        <v>11632</v>
      </c>
      <c r="CE74" s="1967" t="s">
        <v>11397</v>
      </c>
      <c r="CF74" s="1966" t="s">
        <v>11647</v>
      </c>
      <c r="CG74" s="1968" t="s">
        <v>11633</v>
      </c>
      <c r="CH74" s="1967" t="s">
        <v>11398</v>
      </c>
      <c r="CI74" s="1982" t="s">
        <v>11648</v>
      </c>
      <c r="CJ74" s="1968" t="s">
        <v>11649</v>
      </c>
      <c r="CK74" s="1967" t="s">
        <v>11399</v>
      </c>
      <c r="CL74" s="2021"/>
      <c r="CM74" s="2021"/>
      <c r="CN74" s="1955"/>
      <c r="CO74" s="1955"/>
      <c r="CP74" s="1955"/>
      <c r="CQ74" s="1955"/>
      <c r="CR74" s="1955"/>
      <c r="CS74" s="1955"/>
      <c r="CT74" s="1955"/>
      <c r="CU74" s="1955"/>
      <c r="CV74" s="1955"/>
      <c r="CW74" s="1955"/>
      <c r="CX74" s="1955"/>
      <c r="CY74" s="1955"/>
      <c r="CZ74" s="1955"/>
      <c r="DA74" s="1955"/>
      <c r="DB74" s="1955"/>
      <c r="DC74" s="1955"/>
      <c r="DD74" s="1955"/>
      <c r="DE74" s="1955"/>
      <c r="DF74" s="1955"/>
    </row>
    <row r="75" spans="1:110" customFormat="1" ht="15.75">
      <c r="A75" s="1966" t="s">
        <v>11076</v>
      </c>
      <c r="B75" s="1967" t="s">
        <v>11405</v>
      </c>
      <c r="C75" s="5250" t="s">
        <v>11406</v>
      </c>
      <c r="D75" s="5234"/>
      <c r="E75" s="5234"/>
      <c r="F75" s="5235"/>
      <c r="G75" s="5232" t="s">
        <v>11322</v>
      </c>
      <c r="H75" s="5234"/>
      <c r="I75" s="5234"/>
      <c r="J75" s="5235"/>
      <c r="K75" s="5232" t="s">
        <v>11352</v>
      </c>
      <c r="L75" s="5234"/>
      <c r="M75" s="5234"/>
      <c r="N75" s="5234"/>
      <c r="O75" s="5235"/>
      <c r="P75" s="5232"/>
      <c r="Q75" s="5234"/>
      <c r="R75" s="5234"/>
      <c r="S75" s="5234"/>
      <c r="T75" s="5235"/>
      <c r="U75" s="5232"/>
      <c r="V75" s="5234"/>
      <c r="W75" s="5234"/>
      <c r="X75" s="5235"/>
      <c r="Y75" s="5232"/>
      <c r="Z75" s="5234"/>
      <c r="AA75" s="5234"/>
      <c r="AB75" s="5235"/>
      <c r="AC75" s="5232"/>
      <c r="AD75" s="5234"/>
      <c r="AE75" s="5234"/>
      <c r="AF75" s="5235"/>
      <c r="AG75" s="5253"/>
      <c r="AH75" s="5254"/>
      <c r="AI75" s="1966" t="s">
        <v>11076</v>
      </c>
      <c r="AJ75" s="1967" t="s">
        <v>11405</v>
      </c>
      <c r="AK75" s="5232"/>
      <c r="AL75" s="5234"/>
      <c r="AM75" s="5235"/>
      <c r="AN75" s="5258"/>
      <c r="AO75" s="5259"/>
      <c r="AP75" s="5232"/>
      <c r="AQ75" s="5234"/>
      <c r="AR75" s="5234"/>
      <c r="AS75" s="5234"/>
      <c r="AT75" s="5235"/>
      <c r="AU75" s="5232"/>
      <c r="AV75" s="5234"/>
      <c r="AW75" s="5234"/>
      <c r="AX75" s="5234"/>
      <c r="AY75" s="5235"/>
      <c r="AZ75" s="5232"/>
      <c r="BA75" s="5234"/>
      <c r="BB75" s="5234"/>
      <c r="BC75" s="5234"/>
      <c r="BD75" s="5235"/>
      <c r="BE75" s="5250"/>
      <c r="BF75" s="5234"/>
      <c r="BG75" s="5234"/>
      <c r="BH75" s="5234"/>
      <c r="BI75" s="5235"/>
      <c r="BJ75" s="1966" t="s">
        <v>11076</v>
      </c>
      <c r="BK75" s="1967" t="s">
        <v>11405</v>
      </c>
      <c r="BL75" s="1966" t="s">
        <v>11609</v>
      </c>
      <c r="BM75" s="1968" t="s">
        <v>11333</v>
      </c>
      <c r="BN75" s="1968" t="s">
        <v>11259</v>
      </c>
      <c r="BO75" s="1967" t="s">
        <v>11210</v>
      </c>
      <c r="BP75" s="1966" t="s">
        <v>11335</v>
      </c>
      <c r="BQ75" s="1968" t="s">
        <v>11650</v>
      </c>
      <c r="BR75" s="1968" t="s">
        <v>11639</v>
      </c>
      <c r="BS75" s="1967" t="s">
        <v>11240</v>
      </c>
      <c r="BT75" s="1966" t="s">
        <v>11603</v>
      </c>
      <c r="BU75" s="1968" t="s">
        <v>11598</v>
      </c>
      <c r="BV75" s="1967" t="s">
        <v>11292</v>
      </c>
      <c r="BW75" s="1966" t="s">
        <v>11651</v>
      </c>
      <c r="BX75" s="1968" t="s">
        <v>11615</v>
      </c>
      <c r="BY75" s="1967" t="s">
        <v>11338</v>
      </c>
      <c r="BZ75" s="1966" t="s">
        <v>11652</v>
      </c>
      <c r="CA75" s="1968" t="s">
        <v>11622</v>
      </c>
      <c r="CB75" s="1967" t="s">
        <v>11347</v>
      </c>
      <c r="CC75" s="1966" t="s">
        <v>11653</v>
      </c>
      <c r="CD75" s="1968" t="s">
        <v>11654</v>
      </c>
      <c r="CE75" s="1967" t="s">
        <v>11407</v>
      </c>
      <c r="CF75" s="1966" t="s">
        <v>11655</v>
      </c>
      <c r="CG75" s="1968" t="s">
        <v>11656</v>
      </c>
      <c r="CH75" s="1967" t="s">
        <v>11365</v>
      </c>
      <c r="CI75" s="1982" t="s">
        <v>11657</v>
      </c>
      <c r="CJ75" s="1968" t="s">
        <v>11658</v>
      </c>
      <c r="CK75" s="1967" t="s">
        <v>11408</v>
      </c>
      <c r="CL75" s="2021"/>
      <c r="CM75" s="2021"/>
      <c r="CN75" s="1955"/>
      <c r="CO75" s="1955"/>
      <c r="CP75" s="1955"/>
      <c r="CQ75" s="1955"/>
      <c r="CR75" s="1955"/>
      <c r="CS75" s="1955"/>
      <c r="CT75" s="1955"/>
      <c r="CU75" s="1955"/>
      <c r="CV75" s="1955"/>
      <c r="CW75" s="1955"/>
      <c r="CX75" s="1955"/>
      <c r="CY75" s="1955"/>
      <c r="CZ75" s="1955"/>
      <c r="DA75" s="1955"/>
      <c r="DB75" s="1955"/>
      <c r="DC75" s="1955"/>
      <c r="DD75" s="1955"/>
      <c r="DE75" s="1955"/>
      <c r="DF75" s="1955"/>
    </row>
    <row r="76" spans="1:110" customFormat="1" ht="15.75">
      <c r="A76" s="1966" t="s">
        <v>11405</v>
      </c>
      <c r="B76" s="1967" t="s">
        <v>11078</v>
      </c>
      <c r="C76" s="5250" t="s">
        <v>11412</v>
      </c>
      <c r="D76" s="5234"/>
      <c r="E76" s="5234"/>
      <c r="F76" s="5235"/>
      <c r="G76" s="5232" t="s">
        <v>11413</v>
      </c>
      <c r="H76" s="5234"/>
      <c r="I76" s="5234"/>
      <c r="J76" s="5235"/>
      <c r="K76" s="5232" t="s">
        <v>11211</v>
      </c>
      <c r="L76" s="5234"/>
      <c r="M76" s="5234"/>
      <c r="N76" s="5234"/>
      <c r="O76" s="5235"/>
      <c r="P76" s="5232"/>
      <c r="Q76" s="5234"/>
      <c r="R76" s="5234"/>
      <c r="S76" s="5234"/>
      <c r="T76" s="5235"/>
      <c r="U76" s="5232"/>
      <c r="V76" s="5234"/>
      <c r="W76" s="5234"/>
      <c r="X76" s="5235"/>
      <c r="Y76" s="5232"/>
      <c r="Z76" s="5234"/>
      <c r="AA76" s="5234"/>
      <c r="AB76" s="5235"/>
      <c r="AC76" s="5232"/>
      <c r="AD76" s="5234"/>
      <c r="AE76" s="5234"/>
      <c r="AF76" s="5235"/>
      <c r="AG76" s="5253"/>
      <c r="AH76" s="5254"/>
      <c r="AI76" s="1966" t="s">
        <v>11405</v>
      </c>
      <c r="AJ76" s="1967" t="s">
        <v>11078</v>
      </c>
      <c r="AK76" s="5232"/>
      <c r="AL76" s="5234"/>
      <c r="AM76" s="5235"/>
      <c r="AN76" s="5258"/>
      <c r="AO76" s="5259"/>
      <c r="AP76" s="5232"/>
      <c r="AQ76" s="5234"/>
      <c r="AR76" s="5234"/>
      <c r="AS76" s="5234" t="s">
        <v>11231</v>
      </c>
      <c r="AT76" s="5235" t="s">
        <v>11216</v>
      </c>
      <c r="AU76" s="5232"/>
      <c r="AV76" s="5234"/>
      <c r="AW76" s="5234"/>
      <c r="AX76" s="5234"/>
      <c r="AY76" s="5235"/>
      <c r="AZ76" s="5232"/>
      <c r="BA76" s="5234"/>
      <c r="BB76" s="5234"/>
      <c r="BC76" s="5234"/>
      <c r="BD76" s="5235"/>
      <c r="BE76" s="5250"/>
      <c r="BF76" s="5234"/>
      <c r="BG76" s="5234"/>
      <c r="BH76" s="5234"/>
      <c r="BI76" s="5235"/>
      <c r="BJ76" s="1966" t="s">
        <v>11405</v>
      </c>
      <c r="BK76" s="1967" t="s">
        <v>11078</v>
      </c>
      <c r="BL76" s="1966" t="s">
        <v>11501</v>
      </c>
      <c r="BM76" s="1968" t="s">
        <v>11266</v>
      </c>
      <c r="BN76" s="1968" t="s">
        <v>11225</v>
      </c>
      <c r="BO76" s="1967" t="s">
        <v>11578</v>
      </c>
      <c r="BP76" s="1966" t="s">
        <v>11371</v>
      </c>
      <c r="BQ76" s="1968" t="s">
        <v>11589</v>
      </c>
      <c r="BR76" s="1968" t="s">
        <v>11659</v>
      </c>
      <c r="BS76" s="1967" t="s">
        <v>11414</v>
      </c>
      <c r="BT76" s="1966" t="s">
        <v>11620</v>
      </c>
      <c r="BU76" s="1968" t="s">
        <v>11660</v>
      </c>
      <c r="BV76" s="1967" t="s">
        <v>11415</v>
      </c>
      <c r="BW76" s="1966" t="s">
        <v>11644</v>
      </c>
      <c r="BX76" s="1968" t="s">
        <v>11645</v>
      </c>
      <c r="BY76" s="1967" t="s">
        <v>11396</v>
      </c>
      <c r="BZ76" s="1966" t="s">
        <v>11661</v>
      </c>
      <c r="CA76" s="1968" t="s">
        <v>11662</v>
      </c>
      <c r="CB76" s="1967" t="s">
        <v>11375</v>
      </c>
      <c r="CC76" s="1966" t="s">
        <v>11647</v>
      </c>
      <c r="CD76" s="1968" t="s">
        <v>11633</v>
      </c>
      <c r="CE76" s="1967" t="s">
        <v>11398</v>
      </c>
      <c r="CF76" s="1966" t="s">
        <v>11648</v>
      </c>
      <c r="CG76" s="1968" t="s">
        <v>11649</v>
      </c>
      <c r="CH76" s="1967" t="s">
        <v>11399</v>
      </c>
      <c r="CI76" s="1982" t="s">
        <v>11663</v>
      </c>
      <c r="CJ76" s="1968" t="s">
        <v>11664</v>
      </c>
      <c r="CK76" s="1967" t="s">
        <v>11416</v>
      </c>
      <c r="CL76" s="2021"/>
      <c r="CM76" s="2021"/>
      <c r="CN76" s="1955"/>
      <c r="CO76" s="1955"/>
      <c r="CP76" s="1955"/>
      <c r="CQ76" s="1955"/>
      <c r="CR76" s="1955"/>
      <c r="CS76" s="1955"/>
      <c r="CT76" s="1955"/>
      <c r="CU76" s="1955"/>
      <c r="CV76" s="1955"/>
      <c r="CW76" s="1955"/>
      <c r="CX76" s="1955"/>
      <c r="CY76" s="1955"/>
      <c r="CZ76" s="1955"/>
      <c r="DA76" s="1955"/>
      <c r="DB76" s="1955"/>
      <c r="DC76" s="1955"/>
      <c r="DD76" s="1955"/>
      <c r="DE76" s="1955"/>
      <c r="DF76" s="1955"/>
    </row>
    <row r="77" spans="1:110" customFormat="1" ht="15.75">
      <c r="A77" s="1966" t="s">
        <v>11078</v>
      </c>
      <c r="B77" s="1967" t="s">
        <v>11420</v>
      </c>
      <c r="C77" s="5250" t="s">
        <v>11421</v>
      </c>
      <c r="D77" s="5234"/>
      <c r="E77" s="5234"/>
      <c r="F77" s="5235"/>
      <c r="G77" s="5232" t="s">
        <v>11422</v>
      </c>
      <c r="H77" s="5234"/>
      <c r="I77" s="5234"/>
      <c r="J77" s="5235"/>
      <c r="K77" s="5232" t="s">
        <v>11247</v>
      </c>
      <c r="L77" s="5234"/>
      <c r="M77" s="5234"/>
      <c r="N77" s="5234"/>
      <c r="O77" s="5235"/>
      <c r="P77" s="5232" t="s">
        <v>11297</v>
      </c>
      <c r="Q77" s="5234"/>
      <c r="R77" s="5234"/>
      <c r="S77" s="5234"/>
      <c r="T77" s="5235"/>
      <c r="U77" s="5232" t="s">
        <v>11249</v>
      </c>
      <c r="V77" s="5234"/>
      <c r="W77" s="5234"/>
      <c r="X77" s="5235"/>
      <c r="Y77" s="5232" t="s">
        <v>11214</v>
      </c>
      <c r="Z77" s="5234"/>
      <c r="AA77" s="5234"/>
      <c r="AB77" s="5235"/>
      <c r="AC77" s="5232" t="s">
        <v>11423</v>
      </c>
      <c r="AD77" s="5234"/>
      <c r="AE77" s="5234"/>
      <c r="AF77" s="5235"/>
      <c r="AG77" s="5253"/>
      <c r="AH77" s="5254"/>
      <c r="AI77" s="1966" t="s">
        <v>11078</v>
      </c>
      <c r="AJ77" s="1967" t="s">
        <v>11420</v>
      </c>
      <c r="AK77" s="5232" t="s">
        <v>11234</v>
      </c>
      <c r="AL77" s="5234" t="s">
        <v>11564</v>
      </c>
      <c r="AM77" s="5235" t="s">
        <v>11191</v>
      </c>
      <c r="AN77" s="5258"/>
      <c r="AO77" s="5259"/>
      <c r="AP77" s="5232"/>
      <c r="AQ77" s="5234" t="s">
        <v>11558</v>
      </c>
      <c r="AR77" s="5234"/>
      <c r="AS77" s="5234"/>
      <c r="AT77" s="5235"/>
      <c r="AU77" s="5232" t="s">
        <v>11564</v>
      </c>
      <c r="AV77" s="5234" t="s">
        <v>11329</v>
      </c>
      <c r="AW77" s="5234" t="s">
        <v>11277</v>
      </c>
      <c r="AX77" s="5234"/>
      <c r="AY77" s="5235"/>
      <c r="AZ77" s="5232" t="s">
        <v>11574</v>
      </c>
      <c r="BA77" s="5234" t="s">
        <v>11565</v>
      </c>
      <c r="BB77" s="5234" t="s">
        <v>11190</v>
      </c>
      <c r="BC77" s="5234"/>
      <c r="BD77" s="5235"/>
      <c r="BE77" s="5250" t="s">
        <v>11584</v>
      </c>
      <c r="BF77" s="5234" t="s">
        <v>11257</v>
      </c>
      <c r="BG77" s="5234" t="s">
        <v>11570</v>
      </c>
      <c r="BH77" s="5234" t="s">
        <v>11428</v>
      </c>
      <c r="BI77" s="5235"/>
      <c r="BJ77" s="1966" t="s">
        <v>11078</v>
      </c>
      <c r="BK77" s="1967" t="s">
        <v>11420</v>
      </c>
      <c r="BL77" s="1966" t="s">
        <v>11305</v>
      </c>
      <c r="BM77" s="1968" t="s">
        <v>11581</v>
      </c>
      <c r="BN77" s="1968" t="s">
        <v>11609</v>
      </c>
      <c r="BO77" s="1967" t="s">
        <v>11281</v>
      </c>
      <c r="BP77" s="1966" t="s">
        <v>11665</v>
      </c>
      <c r="BQ77" s="1968" t="s">
        <v>11641</v>
      </c>
      <c r="BR77" s="1968" t="s">
        <v>11594</v>
      </c>
      <c r="BS77" s="1967" t="s">
        <v>11429</v>
      </c>
      <c r="BT77" s="1966" t="s">
        <v>11666</v>
      </c>
      <c r="BU77" s="1968" t="s">
        <v>11667</v>
      </c>
      <c r="BV77" s="1967" t="s">
        <v>11270</v>
      </c>
      <c r="BW77" s="1966" t="s">
        <v>11668</v>
      </c>
      <c r="BX77" s="1968" t="s">
        <v>11636</v>
      </c>
      <c r="BY77" s="1967" t="s">
        <v>11430</v>
      </c>
      <c r="BZ77" s="1966" t="s">
        <v>11653</v>
      </c>
      <c r="CA77" s="1968" t="s">
        <v>11364</v>
      </c>
      <c r="CB77" s="1967" t="s">
        <v>11407</v>
      </c>
      <c r="CC77" s="1966" t="s">
        <v>11669</v>
      </c>
      <c r="CD77" s="1968" t="s">
        <v>11670</v>
      </c>
      <c r="CE77" s="1967" t="s">
        <v>11431</v>
      </c>
      <c r="CF77" s="1966" t="s">
        <v>11671</v>
      </c>
      <c r="CG77" s="1968" t="s">
        <v>11509</v>
      </c>
      <c r="CH77" s="1967" t="s">
        <v>11432</v>
      </c>
      <c r="CI77" s="1982" t="s">
        <v>11672</v>
      </c>
      <c r="CJ77" s="1968" t="s">
        <v>11350</v>
      </c>
      <c r="CK77" s="1967" t="s">
        <v>11433</v>
      </c>
      <c r="CL77" s="2021"/>
      <c r="CM77" s="2021"/>
      <c r="CN77" s="1955"/>
      <c r="CO77" s="1955"/>
      <c r="CP77" s="1955"/>
      <c r="CQ77" s="1955"/>
      <c r="CR77" s="1955"/>
      <c r="CS77" s="1955"/>
      <c r="CT77" s="1955"/>
      <c r="CU77" s="1955"/>
      <c r="CV77" s="1955"/>
      <c r="CW77" s="1955"/>
      <c r="CX77" s="1955"/>
      <c r="CY77" s="1955"/>
      <c r="CZ77" s="1955"/>
      <c r="DA77" s="1955"/>
      <c r="DB77" s="1955"/>
      <c r="DC77" s="1955"/>
      <c r="DD77" s="1955"/>
      <c r="DE77" s="1955"/>
      <c r="DF77" s="1955"/>
    </row>
    <row r="78" spans="1:110" customFormat="1" ht="15.75">
      <c r="A78" s="1966" t="s">
        <v>11420</v>
      </c>
      <c r="B78" s="1967" t="s">
        <v>11122</v>
      </c>
      <c r="C78" s="5250" t="s">
        <v>11437</v>
      </c>
      <c r="D78" s="5234"/>
      <c r="E78" s="5234"/>
      <c r="F78" s="5235"/>
      <c r="G78" s="5232" t="s">
        <v>11438</v>
      </c>
      <c r="H78" s="5234"/>
      <c r="I78" s="5234"/>
      <c r="J78" s="5235"/>
      <c r="K78" s="5232" t="s">
        <v>11439</v>
      </c>
      <c r="L78" s="5234"/>
      <c r="M78" s="5234"/>
      <c r="N78" s="5234"/>
      <c r="O78" s="5235"/>
      <c r="P78" s="5232"/>
      <c r="Q78" s="5234"/>
      <c r="R78" s="5234"/>
      <c r="S78" s="5234"/>
      <c r="T78" s="5235"/>
      <c r="U78" s="5232"/>
      <c r="V78" s="5234"/>
      <c r="W78" s="5234"/>
      <c r="X78" s="5235"/>
      <c r="Y78" s="5232"/>
      <c r="Z78" s="5234"/>
      <c r="AA78" s="5234"/>
      <c r="AB78" s="5235"/>
      <c r="AC78" s="5232"/>
      <c r="AD78" s="5234"/>
      <c r="AE78" s="5234"/>
      <c r="AF78" s="5235"/>
      <c r="AG78" s="5253"/>
      <c r="AH78" s="5254"/>
      <c r="AI78" s="1966" t="s">
        <v>11420</v>
      </c>
      <c r="AJ78" s="1967" t="s">
        <v>11122</v>
      </c>
      <c r="AK78" s="5232"/>
      <c r="AL78" s="5234"/>
      <c r="AM78" s="5235"/>
      <c r="AN78" s="5258"/>
      <c r="AO78" s="5259"/>
      <c r="AP78" s="5232"/>
      <c r="AQ78" s="5234"/>
      <c r="AR78" s="5234"/>
      <c r="AS78" s="5234" t="s">
        <v>11423</v>
      </c>
      <c r="AT78" s="5235" t="s">
        <v>11299</v>
      </c>
      <c r="AU78" s="5232"/>
      <c r="AV78" s="5234"/>
      <c r="AW78" s="5234"/>
      <c r="AX78" s="5234"/>
      <c r="AY78" s="5235"/>
      <c r="AZ78" s="5232"/>
      <c r="BA78" s="5234"/>
      <c r="BB78" s="5234"/>
      <c r="BC78" s="5234"/>
      <c r="BD78" s="5235"/>
      <c r="BE78" s="5250"/>
      <c r="BF78" s="5234"/>
      <c r="BG78" s="5234"/>
      <c r="BH78" s="5234"/>
      <c r="BI78" s="5235"/>
      <c r="BJ78" s="1966" t="s">
        <v>11420</v>
      </c>
      <c r="BK78" s="1967" t="s">
        <v>11122</v>
      </c>
      <c r="BL78" s="1966" t="s">
        <v>11334</v>
      </c>
      <c r="BM78" s="1968" t="s">
        <v>11580</v>
      </c>
      <c r="BN78" s="1968" t="s">
        <v>11501</v>
      </c>
      <c r="BO78" s="1967" t="s">
        <v>11261</v>
      </c>
      <c r="BP78" s="1966" t="s">
        <v>11598</v>
      </c>
      <c r="BQ78" s="1968" t="s">
        <v>11596</v>
      </c>
      <c r="BR78" s="1968" t="s">
        <v>11245</v>
      </c>
      <c r="BS78" s="1967" t="s">
        <v>11361</v>
      </c>
      <c r="BT78" s="1966" t="s">
        <v>11673</v>
      </c>
      <c r="BU78" s="1968" t="s">
        <v>11515</v>
      </c>
      <c r="BV78" s="1967" t="s">
        <v>11440</v>
      </c>
      <c r="BW78" s="1966" t="s">
        <v>11646</v>
      </c>
      <c r="BX78" s="1968" t="s">
        <v>11485</v>
      </c>
      <c r="BY78" s="1967" t="s">
        <v>11397</v>
      </c>
      <c r="BZ78" s="1966" t="s">
        <v>11647</v>
      </c>
      <c r="CA78" s="1968" t="s">
        <v>11312</v>
      </c>
      <c r="CB78" s="1967" t="s">
        <v>11398</v>
      </c>
      <c r="CC78" s="1966" t="s">
        <v>11674</v>
      </c>
      <c r="CD78" s="1968" t="s">
        <v>11675</v>
      </c>
      <c r="CE78" s="1967" t="s">
        <v>11349</v>
      </c>
      <c r="CF78" s="1966" t="s">
        <v>11676</v>
      </c>
      <c r="CG78" s="1968" t="s">
        <v>11677</v>
      </c>
      <c r="CH78" s="1967" t="s">
        <v>11441</v>
      </c>
      <c r="CI78" s="1982" t="s">
        <v>11678</v>
      </c>
      <c r="CJ78" s="1968" t="s">
        <v>11679</v>
      </c>
      <c r="CK78" s="1967" t="s">
        <v>11442</v>
      </c>
      <c r="CL78" s="2021"/>
      <c r="CM78" s="2021"/>
      <c r="CN78" s="1955"/>
      <c r="CO78" s="1955"/>
      <c r="CP78" s="1955"/>
      <c r="CQ78" s="1955"/>
      <c r="CR78" s="1955"/>
      <c r="CS78" s="1955"/>
      <c r="CT78" s="1955"/>
      <c r="CU78" s="1955"/>
      <c r="CV78" s="1955"/>
      <c r="CW78" s="1955"/>
      <c r="CX78" s="1955"/>
      <c r="CY78" s="1955"/>
      <c r="CZ78" s="1955"/>
      <c r="DA78" s="1955"/>
      <c r="DB78" s="1955"/>
      <c r="DC78" s="1955"/>
      <c r="DD78" s="1955"/>
      <c r="DE78" s="1955"/>
      <c r="DF78" s="1955"/>
    </row>
    <row r="79" spans="1:110" customFormat="1" ht="15.75">
      <c r="A79" s="1966" t="s">
        <v>11122</v>
      </c>
      <c r="B79" s="1967" t="s">
        <v>11445</v>
      </c>
      <c r="C79" s="5250" t="s">
        <v>11446</v>
      </c>
      <c r="D79" s="5234"/>
      <c r="E79" s="5234"/>
      <c r="F79" s="5235"/>
      <c r="G79" s="5232" t="s">
        <v>11447</v>
      </c>
      <c r="H79" s="5234"/>
      <c r="I79" s="5234"/>
      <c r="J79" s="5235"/>
      <c r="K79" s="5232" t="s">
        <v>11313</v>
      </c>
      <c r="L79" s="5234"/>
      <c r="M79" s="5234"/>
      <c r="N79" s="5234"/>
      <c r="O79" s="5235"/>
      <c r="P79" s="5232" t="s">
        <v>11369</v>
      </c>
      <c r="Q79" s="5234"/>
      <c r="R79" s="5234"/>
      <c r="S79" s="5234"/>
      <c r="T79" s="5235"/>
      <c r="U79" s="5232" t="s">
        <v>11448</v>
      </c>
      <c r="V79" s="5234"/>
      <c r="W79" s="5234"/>
      <c r="X79" s="5235"/>
      <c r="Y79" s="5232" t="s">
        <v>11449</v>
      </c>
      <c r="Z79" s="5234"/>
      <c r="AA79" s="5234"/>
      <c r="AB79" s="5235"/>
      <c r="AC79" s="5232" t="s">
        <v>11217</v>
      </c>
      <c r="AD79" s="5234"/>
      <c r="AE79" s="5234"/>
      <c r="AF79" s="5235"/>
      <c r="AG79" s="5253"/>
      <c r="AH79" s="5254"/>
      <c r="AI79" s="1966" t="s">
        <v>11122</v>
      </c>
      <c r="AJ79" s="1967" t="s">
        <v>11445</v>
      </c>
      <c r="AK79" s="5232" t="s">
        <v>11234</v>
      </c>
      <c r="AL79" s="5234" t="s">
        <v>11236</v>
      </c>
      <c r="AM79" s="5235" t="s">
        <v>11579</v>
      </c>
      <c r="AN79" s="5258"/>
      <c r="AO79" s="5259"/>
      <c r="AP79" s="5232" t="s">
        <v>11568</v>
      </c>
      <c r="AQ79" s="5234"/>
      <c r="AR79" s="5234" t="s">
        <v>11251</v>
      </c>
      <c r="AS79" s="5234"/>
      <c r="AT79" s="5235"/>
      <c r="AU79" s="5232"/>
      <c r="AV79" s="5234" t="s">
        <v>11190</v>
      </c>
      <c r="AW79" s="5234" t="s">
        <v>11189</v>
      </c>
      <c r="AX79" s="5234"/>
      <c r="AY79" s="5235" t="s">
        <v>11680</v>
      </c>
      <c r="AZ79" s="5232" t="s">
        <v>11505</v>
      </c>
      <c r="BA79" s="5234" t="s">
        <v>11191</v>
      </c>
      <c r="BB79" s="5234" t="s">
        <v>11564</v>
      </c>
      <c r="BC79" s="5234"/>
      <c r="BD79" s="5235"/>
      <c r="BE79" s="5250" t="s">
        <v>11265</v>
      </c>
      <c r="BF79" s="5234" t="s">
        <v>11332</v>
      </c>
      <c r="BG79" s="5234" t="s">
        <v>11256</v>
      </c>
      <c r="BH79" s="5234" t="s">
        <v>11455</v>
      </c>
      <c r="BI79" s="5235"/>
      <c r="BJ79" s="1966" t="s">
        <v>11122</v>
      </c>
      <c r="BK79" s="1967" t="s">
        <v>11445</v>
      </c>
      <c r="BL79" s="1966" t="s">
        <v>11634</v>
      </c>
      <c r="BM79" s="1968" t="s">
        <v>11226</v>
      </c>
      <c r="BN79" s="1968" t="s">
        <v>11305</v>
      </c>
      <c r="BO79" s="1967" t="s">
        <v>11244</v>
      </c>
      <c r="BP79" s="1966" t="s">
        <v>11627</v>
      </c>
      <c r="BQ79" s="1968" t="s">
        <v>11660</v>
      </c>
      <c r="BR79" s="1968" t="s">
        <v>11681</v>
      </c>
      <c r="BS79" s="1967" t="s">
        <v>11372</v>
      </c>
      <c r="BT79" s="1966" t="s">
        <v>11682</v>
      </c>
      <c r="BU79" s="1968" t="s">
        <v>11614</v>
      </c>
      <c r="BV79" s="1967" t="s">
        <v>11456</v>
      </c>
      <c r="BW79" s="1966" t="s">
        <v>11683</v>
      </c>
      <c r="BX79" s="1968" t="s">
        <v>11684</v>
      </c>
      <c r="BY79" s="1967" t="s">
        <v>11457</v>
      </c>
      <c r="BZ79" s="1966" t="s">
        <v>11685</v>
      </c>
      <c r="CA79" s="1968" t="s">
        <v>11686</v>
      </c>
      <c r="CB79" s="1967" t="s">
        <v>11431</v>
      </c>
      <c r="CC79" s="1966" t="s">
        <v>11687</v>
      </c>
      <c r="CD79" s="1968" t="s">
        <v>11688</v>
      </c>
      <c r="CE79" s="1967" t="s">
        <v>11458</v>
      </c>
      <c r="CF79" s="1966" t="s">
        <v>11689</v>
      </c>
      <c r="CG79" s="1968" t="s">
        <v>11690</v>
      </c>
      <c r="CH79" s="1967" t="s">
        <v>11459</v>
      </c>
      <c r="CI79" s="1982" t="s">
        <v>11691</v>
      </c>
      <c r="CJ79" s="1968" t="s">
        <v>11692</v>
      </c>
      <c r="CK79" s="1967" t="s">
        <v>11379</v>
      </c>
      <c r="CL79" s="2021"/>
      <c r="CM79" s="2021"/>
      <c r="CN79" s="1955"/>
      <c r="CO79" s="1955"/>
      <c r="CP79" s="1955"/>
      <c r="CQ79" s="1955"/>
      <c r="CR79" s="1955"/>
      <c r="CS79" s="1955"/>
      <c r="CT79" s="1955"/>
      <c r="CU79" s="1955"/>
      <c r="CV79" s="1955"/>
      <c r="CW79" s="1955"/>
      <c r="CX79" s="1955"/>
      <c r="CY79" s="1955"/>
      <c r="CZ79" s="1955"/>
      <c r="DA79" s="1955"/>
      <c r="DB79" s="1955"/>
      <c r="DC79" s="1955"/>
      <c r="DD79" s="1955"/>
      <c r="DE79" s="1955"/>
      <c r="DF79" s="1955"/>
    </row>
    <row r="80" spans="1:110" customFormat="1" ht="15.75">
      <c r="A80" s="1966" t="s">
        <v>11445</v>
      </c>
      <c r="B80" s="1967" t="s">
        <v>11080</v>
      </c>
      <c r="C80" s="5250" t="s">
        <v>11462</v>
      </c>
      <c r="D80" s="5234"/>
      <c r="E80" s="5234"/>
      <c r="F80" s="5235"/>
      <c r="G80" s="5232" t="s">
        <v>11463</v>
      </c>
      <c r="H80" s="5234"/>
      <c r="I80" s="5234"/>
      <c r="J80" s="5235"/>
      <c r="K80" s="5232" t="s">
        <v>11464</v>
      </c>
      <c r="L80" s="5234"/>
      <c r="M80" s="5234"/>
      <c r="N80" s="5234"/>
      <c r="O80" s="5235"/>
      <c r="P80" s="5232"/>
      <c r="Q80" s="5234"/>
      <c r="R80" s="5234"/>
      <c r="S80" s="5234"/>
      <c r="T80" s="5235"/>
      <c r="U80" s="5232"/>
      <c r="V80" s="5234"/>
      <c r="W80" s="5234"/>
      <c r="X80" s="5235"/>
      <c r="Y80" s="5232"/>
      <c r="Z80" s="5234"/>
      <c r="AA80" s="5234"/>
      <c r="AB80" s="5235"/>
      <c r="AC80" s="5232"/>
      <c r="AD80" s="5234"/>
      <c r="AE80" s="5234"/>
      <c r="AF80" s="5235"/>
      <c r="AG80" s="5253"/>
      <c r="AH80" s="5254"/>
      <c r="AI80" s="1966" t="s">
        <v>11445</v>
      </c>
      <c r="AJ80" s="1967" t="s">
        <v>11080</v>
      </c>
      <c r="AK80" s="5232"/>
      <c r="AL80" s="5234"/>
      <c r="AM80" s="5235"/>
      <c r="AN80" s="5258"/>
      <c r="AO80" s="5259"/>
      <c r="AP80" s="5232"/>
      <c r="AQ80" s="5234"/>
      <c r="AR80" s="5214"/>
      <c r="AS80" s="5234" t="s">
        <v>11217</v>
      </c>
      <c r="AT80" s="5235" t="s">
        <v>11450</v>
      </c>
      <c r="AU80" s="5232"/>
      <c r="AV80" s="5234"/>
      <c r="AW80" s="5234"/>
      <c r="AX80" s="5234"/>
      <c r="AY80" s="5235"/>
      <c r="AZ80" s="5232"/>
      <c r="BA80" s="5234"/>
      <c r="BB80" s="5234"/>
      <c r="BC80" s="5234"/>
      <c r="BD80" s="5235"/>
      <c r="BE80" s="5250"/>
      <c r="BF80" s="5234"/>
      <c r="BG80" s="5234"/>
      <c r="BH80" s="5234"/>
      <c r="BI80" s="5235"/>
      <c r="BJ80" s="1966" t="s">
        <v>11445</v>
      </c>
      <c r="BK80" s="1967" t="s">
        <v>11080</v>
      </c>
      <c r="BL80" s="1966" t="s">
        <v>11582</v>
      </c>
      <c r="BM80" s="1968" t="s">
        <v>11583</v>
      </c>
      <c r="BN80" s="1968" t="s">
        <v>11625</v>
      </c>
      <c r="BO80" s="1967" t="s">
        <v>11693</v>
      </c>
      <c r="BP80" s="1966" t="s">
        <v>11606</v>
      </c>
      <c r="BQ80" s="1968" t="s">
        <v>11613</v>
      </c>
      <c r="BR80" s="1968" t="s">
        <v>11620</v>
      </c>
      <c r="BS80" s="1967" t="s">
        <v>11465</v>
      </c>
      <c r="BT80" s="1966" t="s">
        <v>11694</v>
      </c>
      <c r="BU80" s="1968" t="s">
        <v>11630</v>
      </c>
      <c r="BV80" s="1967" t="s">
        <v>11466</v>
      </c>
      <c r="BW80" s="1966" t="s">
        <v>11695</v>
      </c>
      <c r="BX80" s="1968" t="s">
        <v>11696</v>
      </c>
      <c r="BY80" s="1967" t="s">
        <v>11467</v>
      </c>
      <c r="BZ80" s="1966" t="s">
        <v>11697</v>
      </c>
      <c r="CA80" s="1968" t="s">
        <v>11698</v>
      </c>
      <c r="CB80" s="1967" t="s">
        <v>11468</v>
      </c>
      <c r="CC80" s="1966" t="s">
        <v>11699</v>
      </c>
      <c r="CD80" s="1968" t="s">
        <v>11700</v>
      </c>
      <c r="CE80" s="1967" t="s">
        <v>11469</v>
      </c>
      <c r="CF80" s="1966" t="s">
        <v>11701</v>
      </c>
      <c r="CG80" s="1968" t="s">
        <v>11702</v>
      </c>
      <c r="CH80" s="1967" t="s">
        <v>11417</v>
      </c>
      <c r="CI80" s="1982" t="s">
        <v>11703</v>
      </c>
      <c r="CJ80" s="1968" t="s">
        <v>11704</v>
      </c>
      <c r="CK80" s="1967" t="s">
        <v>11387</v>
      </c>
      <c r="CL80" s="2021"/>
      <c r="CM80" s="2021"/>
      <c r="CN80" s="1955"/>
      <c r="CO80" s="1955"/>
      <c r="CP80" s="1955"/>
      <c r="CQ80" s="1955"/>
      <c r="CR80" s="1955"/>
      <c r="CS80" s="1955"/>
      <c r="CT80" s="1955"/>
      <c r="CU80" s="1955"/>
      <c r="CV80" s="1955"/>
      <c r="CW80" s="1955"/>
      <c r="CX80" s="1955"/>
      <c r="CY80" s="1955"/>
      <c r="CZ80" s="1955"/>
      <c r="DA80" s="1955"/>
      <c r="DB80" s="1955"/>
      <c r="DC80" s="1955"/>
      <c r="DD80" s="1955"/>
      <c r="DE80" s="1955"/>
      <c r="DF80" s="1955"/>
    </row>
    <row r="81" spans="1:110" customFormat="1" ht="15.75">
      <c r="A81" s="1966" t="s">
        <v>11080</v>
      </c>
      <c r="B81" s="1967" t="s">
        <v>11472</v>
      </c>
      <c r="C81" s="5250" t="s">
        <v>11473</v>
      </c>
      <c r="D81" s="5234"/>
      <c r="E81" s="5234"/>
      <c r="F81" s="5235"/>
      <c r="G81" s="5232" t="s">
        <v>11474</v>
      </c>
      <c r="H81" s="5234"/>
      <c r="I81" s="5234"/>
      <c r="J81" s="5235"/>
      <c r="K81" s="5232" t="s">
        <v>11475</v>
      </c>
      <c r="L81" s="5234"/>
      <c r="M81" s="5234"/>
      <c r="N81" s="5234"/>
      <c r="O81" s="5235"/>
      <c r="P81" s="5232" t="s">
        <v>11381</v>
      </c>
      <c r="Q81" s="5234"/>
      <c r="R81" s="5234"/>
      <c r="S81" s="5234"/>
      <c r="T81" s="5235"/>
      <c r="U81" s="5232" t="s">
        <v>11476</v>
      </c>
      <c r="V81" s="5234"/>
      <c r="W81" s="5234"/>
      <c r="X81" s="5235"/>
      <c r="Y81" s="5232" t="s">
        <v>11477</v>
      </c>
      <c r="Z81" s="5234"/>
      <c r="AA81" s="5234"/>
      <c r="AB81" s="5235"/>
      <c r="AC81" s="5232" t="s">
        <v>11178</v>
      </c>
      <c r="AD81" s="5234"/>
      <c r="AE81" s="5234"/>
      <c r="AF81" s="5235"/>
      <c r="AG81" s="5253"/>
      <c r="AH81" s="5254"/>
      <c r="AI81" s="1966" t="s">
        <v>11080</v>
      </c>
      <c r="AJ81" s="1967" t="s">
        <v>11472</v>
      </c>
      <c r="AK81" s="5232" t="s">
        <v>11234</v>
      </c>
      <c r="AL81" s="5234" t="s">
        <v>11426</v>
      </c>
      <c r="AM81" s="5235" t="s">
        <v>11567</v>
      </c>
      <c r="AN81" s="5258"/>
      <c r="AO81" s="5259"/>
      <c r="AP81" s="5232" t="s">
        <v>11573</v>
      </c>
      <c r="AQ81" s="5234" t="s">
        <v>11183</v>
      </c>
      <c r="AR81" s="5234" t="s">
        <v>11219</v>
      </c>
      <c r="AS81" s="5263"/>
      <c r="AT81" s="5264"/>
      <c r="AU81" s="5232" t="s">
        <v>11236</v>
      </c>
      <c r="AV81" s="5234" t="s">
        <v>11564</v>
      </c>
      <c r="AW81" s="5234"/>
      <c r="AX81" s="5234"/>
      <c r="AY81" s="5235"/>
      <c r="AZ81" s="5232" t="s">
        <v>11237</v>
      </c>
      <c r="BA81" s="5234" t="s">
        <v>11574</v>
      </c>
      <c r="BB81" s="5234" t="s">
        <v>11392</v>
      </c>
      <c r="BC81" s="5234" t="s">
        <v>11188</v>
      </c>
      <c r="BD81" s="5235"/>
      <c r="BE81" s="5250" t="s">
        <v>11585</v>
      </c>
      <c r="BF81" s="5234" t="s">
        <v>11265</v>
      </c>
      <c r="BG81" s="5234" t="s">
        <v>11242</v>
      </c>
      <c r="BH81" s="5234" t="s">
        <v>11280</v>
      </c>
      <c r="BI81" s="5235"/>
      <c r="BJ81" s="1966" t="s">
        <v>11080</v>
      </c>
      <c r="BK81" s="1967" t="s">
        <v>11472</v>
      </c>
      <c r="BL81" s="1966" t="s">
        <v>11626</v>
      </c>
      <c r="BM81" s="1968" t="s">
        <v>11639</v>
      </c>
      <c r="BN81" s="1968" t="s">
        <v>11583</v>
      </c>
      <c r="BO81" s="1967" t="s">
        <v>11483</v>
      </c>
      <c r="BP81" s="1966" t="s">
        <v>11705</v>
      </c>
      <c r="BQ81" s="1968" t="s">
        <v>11643</v>
      </c>
      <c r="BR81" s="1968" t="s">
        <v>11666</v>
      </c>
      <c r="BS81" s="1967" t="s">
        <v>11484</v>
      </c>
      <c r="BT81" s="1966" t="s">
        <v>11706</v>
      </c>
      <c r="BU81" s="1968" t="s">
        <v>11707</v>
      </c>
      <c r="BV81" s="1967" t="s">
        <v>11485</v>
      </c>
      <c r="BW81" s="1966" t="s">
        <v>11708</v>
      </c>
      <c r="BX81" s="1968" t="s">
        <v>11709</v>
      </c>
      <c r="BY81" s="1967" t="s">
        <v>11486</v>
      </c>
      <c r="BZ81" s="1966" t="s">
        <v>11710</v>
      </c>
      <c r="CA81" s="1968" t="s">
        <v>11711</v>
      </c>
      <c r="CB81" s="1967" t="s">
        <v>11487</v>
      </c>
      <c r="CC81" s="1966" t="s">
        <v>11712</v>
      </c>
      <c r="CD81" s="1968" t="s">
        <v>11713</v>
      </c>
      <c r="CE81" s="1967" t="s">
        <v>11409</v>
      </c>
      <c r="CF81" s="1966" t="s">
        <v>11714</v>
      </c>
      <c r="CG81" s="1968" t="s">
        <v>11715</v>
      </c>
      <c r="CH81" s="1967" t="s">
        <v>11434</v>
      </c>
      <c r="CI81" s="1982" t="s">
        <v>11716</v>
      </c>
      <c r="CJ81" s="1968" t="s">
        <v>11717</v>
      </c>
      <c r="CK81" s="1967" t="s">
        <v>11488</v>
      </c>
      <c r="CL81" s="2021"/>
      <c r="CM81" s="2021"/>
      <c r="CN81" s="1955"/>
      <c r="CO81" s="1955"/>
      <c r="CP81" s="1955"/>
      <c r="CQ81" s="1955"/>
      <c r="CR81" s="1955"/>
      <c r="CS81" s="1955"/>
      <c r="CT81" s="1955"/>
      <c r="CU81" s="1955"/>
      <c r="CV81" s="1955"/>
      <c r="CW81" s="1955"/>
      <c r="CX81" s="1955"/>
      <c r="CY81" s="1955"/>
      <c r="CZ81" s="1955"/>
      <c r="DA81" s="1955"/>
      <c r="DB81" s="1955"/>
      <c r="DC81" s="1955"/>
      <c r="DD81" s="1955"/>
      <c r="DE81" s="1955"/>
      <c r="DF81" s="1955"/>
    </row>
    <row r="82" spans="1:110" customFormat="1" ht="15.75">
      <c r="A82" s="1969" t="s">
        <v>11472</v>
      </c>
      <c r="B82" s="1970" t="s">
        <v>11082</v>
      </c>
      <c r="C82" s="5283" t="s">
        <v>11493</v>
      </c>
      <c r="D82" s="5263"/>
      <c r="E82" s="5263"/>
      <c r="F82" s="5264"/>
      <c r="G82" s="5262" t="s">
        <v>11494</v>
      </c>
      <c r="H82" s="5263"/>
      <c r="I82" s="5263"/>
      <c r="J82" s="5264"/>
      <c r="K82" s="5262" t="s">
        <v>11422</v>
      </c>
      <c r="L82" s="5263"/>
      <c r="M82" s="5263"/>
      <c r="N82" s="5263"/>
      <c r="O82" s="5264"/>
      <c r="P82" s="5262"/>
      <c r="Q82" s="5263"/>
      <c r="R82" s="5263"/>
      <c r="S82" s="5263"/>
      <c r="T82" s="5264"/>
      <c r="U82" s="5262"/>
      <c r="V82" s="5263"/>
      <c r="W82" s="5263"/>
      <c r="X82" s="5264"/>
      <c r="Y82" s="5262"/>
      <c r="Z82" s="5263"/>
      <c r="AA82" s="5263"/>
      <c r="AB82" s="5264"/>
      <c r="AC82" s="5262"/>
      <c r="AD82" s="5263"/>
      <c r="AE82" s="5263"/>
      <c r="AF82" s="5264"/>
      <c r="AG82" s="5255"/>
      <c r="AH82" s="5256"/>
      <c r="AI82" s="1969" t="s">
        <v>11472</v>
      </c>
      <c r="AJ82" s="1970" t="s">
        <v>11082</v>
      </c>
      <c r="AK82" s="5262"/>
      <c r="AL82" s="5263"/>
      <c r="AM82" s="5264"/>
      <c r="AN82" s="5260"/>
      <c r="AO82" s="5261"/>
      <c r="AP82" s="5262"/>
      <c r="AQ82" s="5263"/>
      <c r="AR82" s="5263"/>
      <c r="AS82" s="2006"/>
      <c r="AT82" s="2006"/>
      <c r="AU82" s="5262"/>
      <c r="AV82" s="5263"/>
      <c r="AW82" s="5263"/>
      <c r="AX82" s="5263"/>
      <c r="AY82" s="5264"/>
      <c r="AZ82" s="5262"/>
      <c r="BA82" s="5263"/>
      <c r="BB82" s="5263"/>
      <c r="BC82" s="5263"/>
      <c r="BD82" s="5264"/>
      <c r="BE82" s="5283"/>
      <c r="BF82" s="5263"/>
      <c r="BG82" s="5263"/>
      <c r="BH82" s="5263"/>
      <c r="BI82" s="5264"/>
      <c r="BJ82" s="2020"/>
      <c r="BK82" s="2020"/>
      <c r="BL82" s="1969" t="s">
        <v>11718</v>
      </c>
      <c r="BM82" s="1971" t="s">
        <v>11626</v>
      </c>
      <c r="BN82" s="1971" t="s">
        <v>11587</v>
      </c>
      <c r="BO82" s="1970" t="s">
        <v>11719</v>
      </c>
      <c r="BP82" s="1969" t="s">
        <v>11608</v>
      </c>
      <c r="BQ82" s="1971" t="s">
        <v>11720</v>
      </c>
      <c r="BR82" s="1971" t="s">
        <v>11721</v>
      </c>
      <c r="BS82" s="1970" t="s">
        <v>11382</v>
      </c>
      <c r="BT82" s="1969" t="s">
        <v>11722</v>
      </c>
      <c r="BU82" s="1971" t="s">
        <v>11723</v>
      </c>
      <c r="BV82" s="1970" t="s">
        <v>11320</v>
      </c>
      <c r="BW82" s="1969" t="s">
        <v>11724</v>
      </c>
      <c r="BX82" s="1971" t="s">
        <v>11725</v>
      </c>
      <c r="BY82" s="1970" t="s">
        <v>11495</v>
      </c>
      <c r="BZ82" s="2019" t="s">
        <v>11726</v>
      </c>
      <c r="CA82" s="1971" t="s">
        <v>11727</v>
      </c>
      <c r="CB82" s="1970" t="s">
        <v>11469</v>
      </c>
      <c r="CC82" s="1969" t="s">
        <v>11728</v>
      </c>
      <c r="CD82" s="1971" t="s">
        <v>11729</v>
      </c>
      <c r="CE82" s="1970" t="s">
        <v>11417</v>
      </c>
      <c r="CF82" s="1969" t="s">
        <v>11730</v>
      </c>
      <c r="CG82" s="1971" t="s">
        <v>11731</v>
      </c>
      <c r="CH82" s="1970" t="s">
        <v>11387</v>
      </c>
      <c r="CI82" s="2019" t="s">
        <v>11732</v>
      </c>
      <c r="CJ82" s="1971" t="s">
        <v>11733</v>
      </c>
      <c r="CK82" s="1970" t="s">
        <v>11411</v>
      </c>
      <c r="CL82" s="2021"/>
      <c r="CM82" s="2021"/>
      <c r="CN82" s="1955"/>
      <c r="CO82" s="1955"/>
      <c r="CP82" s="1955"/>
      <c r="CQ82" s="1955"/>
      <c r="CR82" s="1955"/>
      <c r="CS82" s="1955"/>
      <c r="CT82" s="1955"/>
      <c r="CU82" s="1955"/>
      <c r="CV82" s="1955"/>
      <c r="CW82" s="1955"/>
      <c r="CX82" s="1955"/>
      <c r="CY82" s="1955"/>
      <c r="CZ82" s="1955"/>
      <c r="DA82" s="1955"/>
      <c r="DB82" s="1955"/>
      <c r="DC82" s="1955"/>
      <c r="DD82" s="1955"/>
      <c r="DE82" s="1955"/>
      <c r="DF82" s="1955"/>
    </row>
    <row r="83" spans="1:110" customFormat="1" ht="15.75">
      <c r="A83" s="1955"/>
      <c r="B83" s="5290" t="s">
        <v>11734</v>
      </c>
      <c r="C83" s="5290"/>
      <c r="D83" s="5290"/>
      <c r="E83" s="5290"/>
      <c r="F83" s="5290"/>
      <c r="G83" s="5290"/>
      <c r="H83" s="5290"/>
      <c r="I83" s="5290"/>
      <c r="J83" s="5290"/>
      <c r="K83" s="5290"/>
      <c r="L83" s="5290"/>
      <c r="M83" s="5290"/>
      <c r="N83" s="5290"/>
      <c r="O83" s="5290"/>
      <c r="P83" s="5290"/>
      <c r="Q83" s="5290"/>
      <c r="R83" s="5290"/>
      <c r="S83" s="5290"/>
      <c r="T83" s="5290"/>
      <c r="U83" s="5290"/>
      <c r="V83" s="5290"/>
      <c r="W83" s="5290"/>
      <c r="X83" s="5290"/>
      <c r="Y83" s="5290"/>
      <c r="Z83" s="5290"/>
      <c r="AA83" s="5290"/>
      <c r="AB83" s="5290"/>
      <c r="AC83" s="5290"/>
      <c r="AD83" s="5290"/>
      <c r="AE83" s="5290"/>
      <c r="AF83" s="5290"/>
      <c r="AG83" s="5290"/>
      <c r="AH83" s="5290"/>
      <c r="AI83" s="5290"/>
      <c r="AJ83" s="5290"/>
      <c r="AK83" s="1955"/>
      <c r="AL83" s="2006" t="s">
        <v>11735</v>
      </c>
      <c r="AM83" s="2006"/>
      <c r="AN83" s="2006"/>
      <c r="AO83" s="2006"/>
      <c r="AP83" s="2006"/>
      <c r="AQ83" s="2006"/>
      <c r="AR83" s="2006"/>
      <c r="AS83" s="1955"/>
      <c r="AT83" s="1955"/>
      <c r="AU83" s="2006"/>
      <c r="AV83" s="2006"/>
      <c r="AW83" s="2006"/>
      <c r="AX83" s="2006"/>
      <c r="AY83" s="2006"/>
      <c r="AZ83" s="2006"/>
      <c r="BA83" s="2006"/>
      <c r="BB83" s="2006"/>
      <c r="BC83" s="2006"/>
      <c r="BD83" s="2006"/>
      <c r="BE83" s="2006"/>
      <c r="BF83" s="2006"/>
      <c r="BG83" s="2006"/>
      <c r="BH83" s="2006"/>
      <c r="BI83" s="2006"/>
      <c r="BJ83" s="2006"/>
      <c r="BK83" s="2006"/>
      <c r="BL83" s="1955"/>
      <c r="BM83" s="1955"/>
      <c r="BN83" s="1955"/>
      <c r="BO83" s="1955"/>
      <c r="BP83" s="1955"/>
      <c r="BQ83" s="1955"/>
      <c r="BR83" s="1955"/>
      <c r="BS83" s="1955"/>
      <c r="BT83" s="1955"/>
      <c r="BU83" s="1955"/>
      <c r="BV83" s="1955"/>
      <c r="BW83" s="1955"/>
      <c r="BX83" s="1955"/>
      <c r="BY83" s="1955"/>
      <c r="BZ83" s="1955"/>
      <c r="CA83" s="1955"/>
      <c r="CB83" s="1955"/>
      <c r="CC83" s="1955"/>
      <c r="CD83" s="1955"/>
      <c r="CE83" s="1955"/>
      <c r="CF83" s="1955"/>
      <c r="CG83" s="1955"/>
      <c r="CH83" s="1955"/>
      <c r="CI83" s="1955"/>
      <c r="CJ83" s="1955"/>
      <c r="CK83" s="1955"/>
      <c r="CL83" s="1955"/>
      <c r="CM83" s="1955"/>
      <c r="CN83" s="1955"/>
      <c r="CO83" s="1955"/>
      <c r="CP83" s="1955"/>
      <c r="CQ83" s="1955"/>
      <c r="CR83" s="1955"/>
      <c r="CS83" s="1955"/>
      <c r="CT83" s="1955"/>
      <c r="CU83" s="1955"/>
      <c r="CV83" s="1955"/>
      <c r="CW83" s="1955"/>
      <c r="CX83" s="1955"/>
      <c r="CY83" s="1955"/>
      <c r="CZ83" s="1955"/>
      <c r="DA83" s="1955"/>
      <c r="DB83" s="1955"/>
      <c r="DC83" s="1955"/>
      <c r="DD83" s="1955"/>
      <c r="DE83" s="1955"/>
      <c r="DF83" s="1955"/>
    </row>
  </sheetData>
  <mergeCells count="901">
    <mergeCell ref="A1:H1"/>
    <mergeCell ref="A2:B2"/>
    <mergeCell ref="C2:AL2"/>
    <mergeCell ref="AS2:AT2"/>
    <mergeCell ref="A3:B3"/>
    <mergeCell ref="N3:O3"/>
    <mergeCell ref="P3:R3"/>
    <mergeCell ref="S3:T3"/>
    <mergeCell ref="U3:V3"/>
    <mergeCell ref="W3:X3"/>
    <mergeCell ref="Y3:Z3"/>
    <mergeCell ref="AS3:AT3"/>
    <mergeCell ref="C4:O4"/>
    <mergeCell ref="Y4:Z4"/>
    <mergeCell ref="AA4:AL4"/>
    <mergeCell ref="C47:O47"/>
    <mergeCell ref="Y47:Z47"/>
    <mergeCell ref="AA47:AL47"/>
    <mergeCell ref="A48:B48"/>
    <mergeCell ref="N48:O48"/>
    <mergeCell ref="P48:R48"/>
    <mergeCell ref="S48:T48"/>
    <mergeCell ref="U48:V48"/>
    <mergeCell ref="W48:X48"/>
    <mergeCell ref="Y48:Z48"/>
    <mergeCell ref="D37:D38"/>
    <mergeCell ref="D39:D40"/>
    <mergeCell ref="D41:D42"/>
    <mergeCell ref="D43:D44"/>
    <mergeCell ref="D45:D46"/>
    <mergeCell ref="E8:E9"/>
    <mergeCell ref="E10:E11"/>
    <mergeCell ref="E31:E32"/>
    <mergeCell ref="E33:E34"/>
    <mergeCell ref="E35:E36"/>
    <mergeCell ref="E37:E38"/>
    <mergeCell ref="AS48:AT48"/>
    <mergeCell ref="A49:B49"/>
    <mergeCell ref="C49:AL49"/>
    <mergeCell ref="AS49:AT49"/>
    <mergeCell ref="A54:B54"/>
    <mergeCell ref="A55:B55"/>
    <mergeCell ref="C55:AH55"/>
    <mergeCell ref="AI55:AJ55"/>
    <mergeCell ref="BJ55:BK55"/>
    <mergeCell ref="AN56:AO56"/>
    <mergeCell ref="AU56:AY56"/>
    <mergeCell ref="AZ56:BD56"/>
    <mergeCell ref="BE56:BI56"/>
    <mergeCell ref="BJ56:BK56"/>
    <mergeCell ref="BL56:BO56"/>
    <mergeCell ref="BP56:BS56"/>
    <mergeCell ref="BT56:BV56"/>
    <mergeCell ref="BW56:BY56"/>
    <mergeCell ref="A56:B56"/>
    <mergeCell ref="C56:F56"/>
    <mergeCell ref="G56:J56"/>
    <mergeCell ref="K56:O56"/>
    <mergeCell ref="P56:T56"/>
    <mergeCell ref="U56:X56"/>
    <mergeCell ref="Y56:AB56"/>
    <mergeCell ref="AC56:AF56"/>
    <mergeCell ref="AG56:AH56"/>
    <mergeCell ref="CF56:CH56"/>
    <mergeCell ref="CI56:CK56"/>
    <mergeCell ref="CL56:CM56"/>
    <mergeCell ref="CN56:CQ56"/>
    <mergeCell ref="CR56:CS56"/>
    <mergeCell ref="CT56:CV56"/>
    <mergeCell ref="CW56:CX56"/>
    <mergeCell ref="DA56:DB56"/>
    <mergeCell ref="BL55:CK55"/>
    <mergeCell ref="CL55:CM55"/>
    <mergeCell ref="CN55:DF55"/>
    <mergeCell ref="BZ56:CB56"/>
    <mergeCell ref="DC56:DD56"/>
    <mergeCell ref="DE56:DF56"/>
    <mergeCell ref="AG57:AH57"/>
    <mergeCell ref="AN57:AO57"/>
    <mergeCell ref="K58:O58"/>
    <mergeCell ref="P58:T58"/>
    <mergeCell ref="U58:X58"/>
    <mergeCell ref="Y58:AB58"/>
    <mergeCell ref="AC58:AF58"/>
    <mergeCell ref="AU58:AY58"/>
    <mergeCell ref="AZ58:BD58"/>
    <mergeCell ref="BE58:BI58"/>
    <mergeCell ref="BL58:BO58"/>
    <mergeCell ref="BP58:BS58"/>
    <mergeCell ref="BW58:BY58"/>
    <mergeCell ref="CC58:CE58"/>
    <mergeCell ref="CI58:CK58"/>
    <mergeCell ref="CN58:CQ58"/>
    <mergeCell ref="CR58:CS58"/>
    <mergeCell ref="CT58:CV58"/>
    <mergeCell ref="CW58:CX58"/>
    <mergeCell ref="DC58:DD58"/>
    <mergeCell ref="DE58:DF58"/>
    <mergeCell ref="CC56:CE56"/>
    <mergeCell ref="K59:O59"/>
    <mergeCell ref="P59:T59"/>
    <mergeCell ref="U59:X59"/>
    <mergeCell ref="Y59:AB59"/>
    <mergeCell ref="AC59:AF59"/>
    <mergeCell ref="BH59:BI59"/>
    <mergeCell ref="CN59:CQ59"/>
    <mergeCell ref="CR59:CS59"/>
    <mergeCell ref="CT59:CV59"/>
    <mergeCell ref="CW59:CX59"/>
    <mergeCell ref="DC59:DD59"/>
    <mergeCell ref="DE59:DF59"/>
    <mergeCell ref="C60:F60"/>
    <mergeCell ref="K60:O60"/>
    <mergeCell ref="P60:T60"/>
    <mergeCell ref="U60:X60"/>
    <mergeCell ref="Y60:AB60"/>
    <mergeCell ref="AC60:AF60"/>
    <mergeCell ref="BH60:BI60"/>
    <mergeCell ref="CN60:CQ60"/>
    <mergeCell ref="CR60:CS60"/>
    <mergeCell ref="CT60:CV60"/>
    <mergeCell ref="CW60:CX60"/>
    <mergeCell ref="DC60:DD60"/>
    <mergeCell ref="DE60:DF60"/>
    <mergeCell ref="AP59:AP60"/>
    <mergeCell ref="AR59:AR64"/>
    <mergeCell ref="AT60:AT61"/>
    <mergeCell ref="AT62:AT63"/>
    <mergeCell ref="BB59:BB60"/>
    <mergeCell ref="BB61:BB62"/>
    <mergeCell ref="BB63:BB64"/>
    <mergeCell ref="BD59:BD82"/>
    <mergeCell ref="CN61:CQ61"/>
    <mergeCell ref="CR61:CS61"/>
    <mergeCell ref="CT61:CV61"/>
    <mergeCell ref="CW61:CX61"/>
    <mergeCell ref="DC61:DD61"/>
    <mergeCell ref="DE61:DF61"/>
    <mergeCell ref="CN62:CQ62"/>
    <mergeCell ref="CR62:CS62"/>
    <mergeCell ref="CT62:CV62"/>
    <mergeCell ref="CW62:CX62"/>
    <mergeCell ref="DC62:DD62"/>
    <mergeCell ref="DE62:DF62"/>
    <mergeCell ref="CN63:CQ63"/>
    <mergeCell ref="CR63:CS63"/>
    <mergeCell ref="CT63:CV63"/>
    <mergeCell ref="CW63:CX63"/>
    <mergeCell ref="DC63:DD63"/>
    <mergeCell ref="DE63:DF63"/>
    <mergeCell ref="CN64:CQ64"/>
    <mergeCell ref="CR64:CS64"/>
    <mergeCell ref="CT64:CV64"/>
    <mergeCell ref="CW64:CX64"/>
    <mergeCell ref="DC64:DD64"/>
    <mergeCell ref="DE64:DF64"/>
    <mergeCell ref="C65:F65"/>
    <mergeCell ref="G65:J65"/>
    <mergeCell ref="K65:O65"/>
    <mergeCell ref="CN65:CQ65"/>
    <mergeCell ref="CR65:CS65"/>
    <mergeCell ref="CT65:CV65"/>
    <mergeCell ref="CW65:CX65"/>
    <mergeCell ref="DC65:DD65"/>
    <mergeCell ref="DE65:DF65"/>
    <mergeCell ref="AR65:AR66"/>
    <mergeCell ref="AT64:AT65"/>
    <mergeCell ref="AT66:AT67"/>
    <mergeCell ref="AV63:AV66"/>
    <mergeCell ref="AV67:AV68"/>
    <mergeCell ref="AX59:AX82"/>
    <mergeCell ref="AY61:AY62"/>
    <mergeCell ref="AY63:AY64"/>
    <mergeCell ref="AY65:AY68"/>
    <mergeCell ref="AY69:AY70"/>
    <mergeCell ref="AY71:AY73"/>
    <mergeCell ref="AY74:AY78"/>
    <mergeCell ref="AY79:AY82"/>
    <mergeCell ref="AZ61:AZ62"/>
    <mergeCell ref="AZ63:AZ64"/>
    <mergeCell ref="C66:F66"/>
    <mergeCell ref="G66:J66"/>
    <mergeCell ref="K66:O66"/>
    <mergeCell ref="C67:F67"/>
    <mergeCell ref="G67:J67"/>
    <mergeCell ref="K67:O67"/>
    <mergeCell ref="C68:F68"/>
    <mergeCell ref="G68:J68"/>
    <mergeCell ref="K68:O68"/>
    <mergeCell ref="C69:F69"/>
    <mergeCell ref="G69:J69"/>
    <mergeCell ref="K69:O69"/>
    <mergeCell ref="C70:F70"/>
    <mergeCell ref="G70:J70"/>
    <mergeCell ref="K70:O70"/>
    <mergeCell ref="C71:F71"/>
    <mergeCell ref="G71:J71"/>
    <mergeCell ref="K71:O71"/>
    <mergeCell ref="C72:F72"/>
    <mergeCell ref="G72:J72"/>
    <mergeCell ref="K72:O72"/>
    <mergeCell ref="C73:F73"/>
    <mergeCell ref="G73:J73"/>
    <mergeCell ref="K73:O73"/>
    <mergeCell ref="C74:F74"/>
    <mergeCell ref="G74:J74"/>
    <mergeCell ref="K74:O74"/>
    <mergeCell ref="C75:F75"/>
    <mergeCell ref="G75:J75"/>
    <mergeCell ref="K75:O75"/>
    <mergeCell ref="C76:F76"/>
    <mergeCell ref="G76:J76"/>
    <mergeCell ref="K76:O76"/>
    <mergeCell ref="C77:F77"/>
    <mergeCell ref="G77:J77"/>
    <mergeCell ref="K77:O77"/>
    <mergeCell ref="C78:F78"/>
    <mergeCell ref="G78:J78"/>
    <mergeCell ref="K78:O78"/>
    <mergeCell ref="C79:F79"/>
    <mergeCell ref="G79:J79"/>
    <mergeCell ref="K79:O79"/>
    <mergeCell ref="C80:F80"/>
    <mergeCell ref="G80:J80"/>
    <mergeCell ref="K80:O80"/>
    <mergeCell ref="C81:F81"/>
    <mergeCell ref="G81:J81"/>
    <mergeCell ref="K81:O81"/>
    <mergeCell ref="C82:F82"/>
    <mergeCell ref="G82:J82"/>
    <mergeCell ref="K82:O82"/>
    <mergeCell ref="B83:AJ83"/>
    <mergeCell ref="C5:C6"/>
    <mergeCell ref="C8:C9"/>
    <mergeCell ref="C10:C11"/>
    <mergeCell ref="C31:C32"/>
    <mergeCell ref="C33:C34"/>
    <mergeCell ref="C35:C36"/>
    <mergeCell ref="C37:C38"/>
    <mergeCell ref="C39:C40"/>
    <mergeCell ref="C41:C42"/>
    <mergeCell ref="C43:C44"/>
    <mergeCell ref="C45:C46"/>
    <mergeCell ref="D5:D6"/>
    <mergeCell ref="D7:D9"/>
    <mergeCell ref="D10:D11"/>
    <mergeCell ref="D31:D32"/>
    <mergeCell ref="D33:D34"/>
    <mergeCell ref="D35:D36"/>
    <mergeCell ref="E39:E40"/>
    <mergeCell ref="E41:E42"/>
    <mergeCell ref="E43:E44"/>
    <mergeCell ref="E45:E46"/>
    <mergeCell ref="F8:F9"/>
    <mergeCell ref="F10:F11"/>
    <mergeCell ref="F31:F32"/>
    <mergeCell ref="F33:F34"/>
    <mergeCell ref="F35:F36"/>
    <mergeCell ref="F37:F38"/>
    <mergeCell ref="F39:F40"/>
    <mergeCell ref="F41:F42"/>
    <mergeCell ref="F43:F44"/>
    <mergeCell ref="F45:F46"/>
    <mergeCell ref="G8:G9"/>
    <mergeCell ref="G10:G11"/>
    <mergeCell ref="G12:G13"/>
    <mergeCell ref="G14:G15"/>
    <mergeCell ref="G16:G17"/>
    <mergeCell ref="G18:G20"/>
    <mergeCell ref="G21:G23"/>
    <mergeCell ref="G24:G25"/>
    <mergeCell ref="G26:G27"/>
    <mergeCell ref="G28:G29"/>
    <mergeCell ref="G31:G32"/>
    <mergeCell ref="G33:G34"/>
    <mergeCell ref="G35:G36"/>
    <mergeCell ref="G37:G38"/>
    <mergeCell ref="G39:G40"/>
    <mergeCell ref="G41:G42"/>
    <mergeCell ref="G43:G44"/>
    <mergeCell ref="G45:G46"/>
    <mergeCell ref="H8:H9"/>
    <mergeCell ref="H10:H11"/>
    <mergeCell ref="H12:H13"/>
    <mergeCell ref="H14:H15"/>
    <mergeCell ref="H16:H17"/>
    <mergeCell ref="H18:H20"/>
    <mergeCell ref="H21:H23"/>
    <mergeCell ref="H24:H25"/>
    <mergeCell ref="H26:H27"/>
    <mergeCell ref="H28:H29"/>
    <mergeCell ref="H31:H32"/>
    <mergeCell ref="H33:H34"/>
    <mergeCell ref="H35:H36"/>
    <mergeCell ref="H37:H38"/>
    <mergeCell ref="H39:H40"/>
    <mergeCell ref="H41:H42"/>
    <mergeCell ref="H43:H44"/>
    <mergeCell ref="H45:H46"/>
    <mergeCell ref="I8:I9"/>
    <mergeCell ref="I10:I11"/>
    <mergeCell ref="I12:I13"/>
    <mergeCell ref="I14:I15"/>
    <mergeCell ref="I16:I17"/>
    <mergeCell ref="I18:I20"/>
    <mergeCell ref="I21:I23"/>
    <mergeCell ref="I24:I25"/>
    <mergeCell ref="I26:I27"/>
    <mergeCell ref="I28:I29"/>
    <mergeCell ref="I31:I32"/>
    <mergeCell ref="I33:I34"/>
    <mergeCell ref="I35:I36"/>
    <mergeCell ref="I37:I38"/>
    <mergeCell ref="I39:I40"/>
    <mergeCell ref="I41:I42"/>
    <mergeCell ref="I43:I44"/>
    <mergeCell ref="I45:I46"/>
    <mergeCell ref="J8:J9"/>
    <mergeCell ref="J10:J11"/>
    <mergeCell ref="J12:J13"/>
    <mergeCell ref="J14:J15"/>
    <mergeCell ref="J16:J17"/>
    <mergeCell ref="J18:J20"/>
    <mergeCell ref="J21:J23"/>
    <mergeCell ref="J24:J25"/>
    <mergeCell ref="J26:J27"/>
    <mergeCell ref="J28:J29"/>
    <mergeCell ref="J31:J32"/>
    <mergeCell ref="J33:J34"/>
    <mergeCell ref="J35:J36"/>
    <mergeCell ref="J37:J38"/>
    <mergeCell ref="J39:J40"/>
    <mergeCell ref="J41:J42"/>
    <mergeCell ref="J43:J44"/>
    <mergeCell ref="J45:J46"/>
    <mergeCell ref="K8:K9"/>
    <mergeCell ref="K10:K11"/>
    <mergeCell ref="K12:K13"/>
    <mergeCell ref="K14:K15"/>
    <mergeCell ref="K16:K17"/>
    <mergeCell ref="K18:K20"/>
    <mergeCell ref="K21:K23"/>
    <mergeCell ref="K24:K25"/>
    <mergeCell ref="K26:K27"/>
    <mergeCell ref="K28:K29"/>
    <mergeCell ref="K31:K32"/>
    <mergeCell ref="K33:K34"/>
    <mergeCell ref="K35:K36"/>
    <mergeCell ref="K37:K38"/>
    <mergeCell ref="K39:K40"/>
    <mergeCell ref="K41:K42"/>
    <mergeCell ref="K43:K44"/>
    <mergeCell ref="K45:K46"/>
    <mergeCell ref="L8:L9"/>
    <mergeCell ref="L10:L11"/>
    <mergeCell ref="L12:L13"/>
    <mergeCell ref="L14:L15"/>
    <mergeCell ref="L16:L17"/>
    <mergeCell ref="L18:L20"/>
    <mergeCell ref="L21:L23"/>
    <mergeCell ref="L24:L25"/>
    <mergeCell ref="L26:L27"/>
    <mergeCell ref="L28:L29"/>
    <mergeCell ref="L31:L32"/>
    <mergeCell ref="L33:L34"/>
    <mergeCell ref="L35:L36"/>
    <mergeCell ref="L37:L38"/>
    <mergeCell ref="L39:L40"/>
    <mergeCell ref="L41:L42"/>
    <mergeCell ref="L43:L44"/>
    <mergeCell ref="L45:L46"/>
    <mergeCell ref="M8:M9"/>
    <mergeCell ref="M10:M11"/>
    <mergeCell ref="M12:M13"/>
    <mergeCell ref="M14:M15"/>
    <mergeCell ref="M16:M17"/>
    <mergeCell ref="M18:M20"/>
    <mergeCell ref="M21:M23"/>
    <mergeCell ref="M24:M25"/>
    <mergeCell ref="M26:M27"/>
    <mergeCell ref="M28:M29"/>
    <mergeCell ref="M31:M32"/>
    <mergeCell ref="M33:M34"/>
    <mergeCell ref="M35:M36"/>
    <mergeCell ref="M37:M38"/>
    <mergeCell ref="M39:M40"/>
    <mergeCell ref="M41:M42"/>
    <mergeCell ref="M43:M44"/>
    <mergeCell ref="M45:M46"/>
    <mergeCell ref="P8:P9"/>
    <mergeCell ref="P10:P11"/>
    <mergeCell ref="P12:P13"/>
    <mergeCell ref="P14:P15"/>
    <mergeCell ref="P16:P17"/>
    <mergeCell ref="P18:P20"/>
    <mergeCell ref="P21:P23"/>
    <mergeCell ref="P24:P25"/>
    <mergeCell ref="P26:P27"/>
    <mergeCell ref="P28:P29"/>
    <mergeCell ref="P31:P32"/>
    <mergeCell ref="P33:P34"/>
    <mergeCell ref="P35:P36"/>
    <mergeCell ref="P37:P38"/>
    <mergeCell ref="P39:P40"/>
    <mergeCell ref="P41:P42"/>
    <mergeCell ref="P43:P44"/>
    <mergeCell ref="P45:P46"/>
    <mergeCell ref="Q8:Q9"/>
    <mergeCell ref="Q10:Q11"/>
    <mergeCell ref="Q12:Q13"/>
    <mergeCell ref="Q14:Q15"/>
    <mergeCell ref="Q16:Q17"/>
    <mergeCell ref="Q18:Q20"/>
    <mergeCell ref="Q21:Q23"/>
    <mergeCell ref="Q24:Q25"/>
    <mergeCell ref="Q26:Q27"/>
    <mergeCell ref="Q28:Q29"/>
    <mergeCell ref="Q31:Q32"/>
    <mergeCell ref="Q33:Q34"/>
    <mergeCell ref="Q35:Q36"/>
    <mergeCell ref="Q37:Q38"/>
    <mergeCell ref="Q39:Q40"/>
    <mergeCell ref="Q41:Q42"/>
    <mergeCell ref="Q43:Q44"/>
    <mergeCell ref="Q45:Q46"/>
    <mergeCell ref="R8:R9"/>
    <mergeCell ref="R10:R11"/>
    <mergeCell ref="R12:R13"/>
    <mergeCell ref="R14:R15"/>
    <mergeCell ref="R16:R17"/>
    <mergeCell ref="R18:R20"/>
    <mergeCell ref="R21:R23"/>
    <mergeCell ref="R24:R25"/>
    <mergeCell ref="R26:R27"/>
    <mergeCell ref="R28:R29"/>
    <mergeCell ref="R31:R32"/>
    <mergeCell ref="R33:R34"/>
    <mergeCell ref="R35:R36"/>
    <mergeCell ref="R37:R38"/>
    <mergeCell ref="R39:R40"/>
    <mergeCell ref="R41:R42"/>
    <mergeCell ref="R43:R44"/>
    <mergeCell ref="R45:R46"/>
    <mergeCell ref="S28:S29"/>
    <mergeCell ref="T8:T9"/>
    <mergeCell ref="T10:T11"/>
    <mergeCell ref="T12:T13"/>
    <mergeCell ref="T14:T15"/>
    <mergeCell ref="T16:T17"/>
    <mergeCell ref="T18:T20"/>
    <mergeCell ref="T21:T23"/>
    <mergeCell ref="T24:T25"/>
    <mergeCell ref="T26:T27"/>
    <mergeCell ref="T28:T29"/>
    <mergeCell ref="S8:S9"/>
    <mergeCell ref="S10:S11"/>
    <mergeCell ref="S12:S13"/>
    <mergeCell ref="S14:S15"/>
    <mergeCell ref="S16:S17"/>
    <mergeCell ref="S18:S20"/>
    <mergeCell ref="S21:S23"/>
    <mergeCell ref="S24:S25"/>
    <mergeCell ref="S26:S27"/>
    <mergeCell ref="U28:U29"/>
    <mergeCell ref="V8:V9"/>
    <mergeCell ref="V10:V11"/>
    <mergeCell ref="V12:V13"/>
    <mergeCell ref="V14:V15"/>
    <mergeCell ref="V16:V17"/>
    <mergeCell ref="V18:V20"/>
    <mergeCell ref="V21:V23"/>
    <mergeCell ref="V24:V25"/>
    <mergeCell ref="V26:V27"/>
    <mergeCell ref="V28:V29"/>
    <mergeCell ref="U8:U9"/>
    <mergeCell ref="U10:U11"/>
    <mergeCell ref="U12:U13"/>
    <mergeCell ref="U14:U15"/>
    <mergeCell ref="U16:U17"/>
    <mergeCell ref="U18:U20"/>
    <mergeCell ref="U21:U23"/>
    <mergeCell ref="U24:U25"/>
    <mergeCell ref="U26:U27"/>
    <mergeCell ref="W28:W29"/>
    <mergeCell ref="X8:X9"/>
    <mergeCell ref="X10:X11"/>
    <mergeCell ref="X12:X13"/>
    <mergeCell ref="X14:X15"/>
    <mergeCell ref="X16:X17"/>
    <mergeCell ref="X18:X20"/>
    <mergeCell ref="X21:X23"/>
    <mergeCell ref="X24:X25"/>
    <mergeCell ref="X26:X27"/>
    <mergeCell ref="X28:X29"/>
    <mergeCell ref="W8:W9"/>
    <mergeCell ref="W10:W11"/>
    <mergeCell ref="W12:W13"/>
    <mergeCell ref="W14:W15"/>
    <mergeCell ref="W16:W17"/>
    <mergeCell ref="W18:W20"/>
    <mergeCell ref="W21:W23"/>
    <mergeCell ref="W24:W25"/>
    <mergeCell ref="W26:W27"/>
    <mergeCell ref="AA8:AA9"/>
    <mergeCell ref="AA10:AA11"/>
    <mergeCell ref="AA12:AA13"/>
    <mergeCell ref="AA14:AA15"/>
    <mergeCell ref="AA16:AA17"/>
    <mergeCell ref="AA18:AA20"/>
    <mergeCell ref="AA21:AA23"/>
    <mergeCell ref="AA24:AA25"/>
    <mergeCell ref="AA26:AA27"/>
    <mergeCell ref="AA28:AA29"/>
    <mergeCell ref="AA31:AA32"/>
    <mergeCell ref="AA33:AA34"/>
    <mergeCell ref="AA35:AA36"/>
    <mergeCell ref="AA37:AA38"/>
    <mergeCell ref="AA39:AA40"/>
    <mergeCell ref="AA41:AA42"/>
    <mergeCell ref="AA43:AA44"/>
    <mergeCell ref="AA45:AA46"/>
    <mergeCell ref="AB8:AB9"/>
    <mergeCell ref="AB10:AB11"/>
    <mergeCell ref="AB12:AB13"/>
    <mergeCell ref="AC8:AC9"/>
    <mergeCell ref="AC10:AC11"/>
    <mergeCell ref="AC12:AC13"/>
    <mergeCell ref="AD8:AD9"/>
    <mergeCell ref="AE8:AE9"/>
    <mergeCell ref="AK61:AK62"/>
    <mergeCell ref="AI56:AJ56"/>
    <mergeCell ref="AK56:AM56"/>
    <mergeCell ref="AL71:AL73"/>
    <mergeCell ref="AL74:AL76"/>
    <mergeCell ref="AL77:AL78"/>
    <mergeCell ref="AL79:AL80"/>
    <mergeCell ref="AK63:AK64"/>
    <mergeCell ref="AK65:AK66"/>
    <mergeCell ref="AK67:AK68"/>
    <mergeCell ref="AK69:AK70"/>
    <mergeCell ref="AK71:AK73"/>
    <mergeCell ref="AK74:AK76"/>
    <mergeCell ref="AK77:AK78"/>
    <mergeCell ref="AK79:AK80"/>
    <mergeCell ref="AM63:AM64"/>
    <mergeCell ref="AM65:AM66"/>
    <mergeCell ref="AM67:AM68"/>
    <mergeCell ref="AM69:AM70"/>
    <mergeCell ref="AL61:AL62"/>
    <mergeCell ref="AL63:AL64"/>
    <mergeCell ref="AL65:AL66"/>
    <mergeCell ref="AL67:AL68"/>
    <mergeCell ref="AL69:AL70"/>
    <mergeCell ref="AM31:AM32"/>
    <mergeCell ref="AM33:AM34"/>
    <mergeCell ref="AM35:AM36"/>
    <mergeCell ref="AM37:AM38"/>
    <mergeCell ref="AM39:AM40"/>
    <mergeCell ref="AM41:AM42"/>
    <mergeCell ref="AM43:AM44"/>
    <mergeCell ref="AM45:AM46"/>
    <mergeCell ref="AM61:AM62"/>
    <mergeCell ref="AM10:AM11"/>
    <mergeCell ref="AM12:AM13"/>
    <mergeCell ref="AM14:AM15"/>
    <mergeCell ref="AM16:AM17"/>
    <mergeCell ref="AM18:AM20"/>
    <mergeCell ref="AM21:AM23"/>
    <mergeCell ref="AM24:AM25"/>
    <mergeCell ref="AM26:AM27"/>
    <mergeCell ref="AM28:AM29"/>
    <mergeCell ref="AM71:AM73"/>
    <mergeCell ref="AM74:AM76"/>
    <mergeCell ref="AM77:AM78"/>
    <mergeCell ref="AM79:AM80"/>
    <mergeCell ref="AM81:AM82"/>
    <mergeCell ref="AN8:AN9"/>
    <mergeCell ref="AN10:AN11"/>
    <mergeCell ref="AN12:AN13"/>
    <mergeCell ref="AN14:AN15"/>
    <mergeCell ref="AN16:AN17"/>
    <mergeCell ref="AN18:AN20"/>
    <mergeCell ref="AN21:AN23"/>
    <mergeCell ref="AN24:AN25"/>
    <mergeCell ref="AN26:AN27"/>
    <mergeCell ref="AN28:AN29"/>
    <mergeCell ref="AN31:AN32"/>
    <mergeCell ref="AN33:AN34"/>
    <mergeCell ref="AN35:AN36"/>
    <mergeCell ref="AN37:AN38"/>
    <mergeCell ref="AN39:AN40"/>
    <mergeCell ref="AN41:AN42"/>
    <mergeCell ref="AN43:AN44"/>
    <mergeCell ref="AN45:AN46"/>
    <mergeCell ref="AM8:AM9"/>
    <mergeCell ref="AO8:AO9"/>
    <mergeCell ref="AO10:AO11"/>
    <mergeCell ref="AO12:AO13"/>
    <mergeCell ref="AO14:AO15"/>
    <mergeCell ref="AO16:AO17"/>
    <mergeCell ref="AO18:AO20"/>
    <mergeCell ref="AO21:AO23"/>
    <mergeCell ref="AO24:AO25"/>
    <mergeCell ref="AO26:AO27"/>
    <mergeCell ref="AO28:AO29"/>
    <mergeCell ref="AO31:AO32"/>
    <mergeCell ref="AO33:AO34"/>
    <mergeCell ref="AO35:AO36"/>
    <mergeCell ref="AO37:AO38"/>
    <mergeCell ref="AO39:AO40"/>
    <mergeCell ref="AO41:AO42"/>
    <mergeCell ref="AO43:AO44"/>
    <mergeCell ref="AO45:AO46"/>
    <mergeCell ref="AP8:AP9"/>
    <mergeCell ref="AP10:AP11"/>
    <mergeCell ref="AP12:AP13"/>
    <mergeCell ref="AP14:AP15"/>
    <mergeCell ref="AP16:AP17"/>
    <mergeCell ref="AP18:AP20"/>
    <mergeCell ref="AP21:AP23"/>
    <mergeCell ref="AP24:AP25"/>
    <mergeCell ref="AP26:AP27"/>
    <mergeCell ref="AP28:AP29"/>
    <mergeCell ref="AP31:AP32"/>
    <mergeCell ref="AP33:AP34"/>
    <mergeCell ref="AP35:AP36"/>
    <mergeCell ref="AP37:AP38"/>
    <mergeCell ref="AP39:AP40"/>
    <mergeCell ref="AP41:AP42"/>
    <mergeCell ref="AP43:AP44"/>
    <mergeCell ref="AP45:AP46"/>
    <mergeCell ref="AQ8:AQ9"/>
    <mergeCell ref="AQ10:AQ11"/>
    <mergeCell ref="AQ12:AQ13"/>
    <mergeCell ref="AQ14:AQ15"/>
    <mergeCell ref="AQ16:AQ17"/>
    <mergeCell ref="AQ18:AQ20"/>
    <mergeCell ref="AQ21:AQ23"/>
    <mergeCell ref="AQ24:AQ25"/>
    <mergeCell ref="AQ26:AQ27"/>
    <mergeCell ref="AQ67:AQ68"/>
    <mergeCell ref="AQ69:AQ70"/>
    <mergeCell ref="AQ71:AQ73"/>
    <mergeCell ref="AQ74:AQ76"/>
    <mergeCell ref="AQ77:AQ80"/>
    <mergeCell ref="AQ81:AQ82"/>
    <mergeCell ref="AP61:AP62"/>
    <mergeCell ref="AP63:AP64"/>
    <mergeCell ref="AP65:AP73"/>
    <mergeCell ref="AP74:AP78"/>
    <mergeCell ref="AP79:AP80"/>
    <mergeCell ref="AP81:AP82"/>
    <mergeCell ref="AR14:AR15"/>
    <mergeCell ref="AR16:AR17"/>
    <mergeCell ref="AR18:AR20"/>
    <mergeCell ref="AR21:AR23"/>
    <mergeCell ref="AR24:AR25"/>
    <mergeCell ref="AR26:AR27"/>
    <mergeCell ref="AQ61:AQ62"/>
    <mergeCell ref="AQ63:AQ64"/>
    <mergeCell ref="AQ65:AQ66"/>
    <mergeCell ref="AQ28:AQ29"/>
    <mergeCell ref="AQ31:AQ32"/>
    <mergeCell ref="AQ33:AQ34"/>
    <mergeCell ref="AQ35:AQ36"/>
    <mergeCell ref="AQ37:AQ38"/>
    <mergeCell ref="AQ39:AQ40"/>
    <mergeCell ref="AQ41:AQ42"/>
    <mergeCell ref="AQ43:AQ44"/>
    <mergeCell ref="AQ45:AQ46"/>
    <mergeCell ref="AR67:AR73"/>
    <mergeCell ref="AR74:AR78"/>
    <mergeCell ref="AR79:AR80"/>
    <mergeCell ref="AR81:AR82"/>
    <mergeCell ref="AS60:AS63"/>
    <mergeCell ref="AS64:AS65"/>
    <mergeCell ref="AS66:AS67"/>
    <mergeCell ref="AS68:AS69"/>
    <mergeCell ref="AS70:AS72"/>
    <mergeCell ref="AS73:AS75"/>
    <mergeCell ref="AS76:AS77"/>
    <mergeCell ref="AS78:AS79"/>
    <mergeCell ref="AS80:AS81"/>
    <mergeCell ref="AT68:AT69"/>
    <mergeCell ref="AT70:AT72"/>
    <mergeCell ref="AT73:AT75"/>
    <mergeCell ref="AT76:AT77"/>
    <mergeCell ref="AT78:AT79"/>
    <mergeCell ref="AT80:AT81"/>
    <mergeCell ref="AU61:AU62"/>
    <mergeCell ref="AU63:AU66"/>
    <mergeCell ref="AU67:AU68"/>
    <mergeCell ref="AU69:AU70"/>
    <mergeCell ref="AU71:AU73"/>
    <mergeCell ref="AU74:AU76"/>
    <mergeCell ref="AU77:AU80"/>
    <mergeCell ref="AU81:AU82"/>
    <mergeCell ref="AV69:AV70"/>
    <mergeCell ref="AV71:AV73"/>
    <mergeCell ref="AV74:AV76"/>
    <mergeCell ref="AV77:AV78"/>
    <mergeCell ref="AV79:AV80"/>
    <mergeCell ref="AV81:AV82"/>
    <mergeCell ref="AW63:AW66"/>
    <mergeCell ref="AW67:AW68"/>
    <mergeCell ref="AW69:AW70"/>
    <mergeCell ref="AW71:AW76"/>
    <mergeCell ref="AW77:AW78"/>
    <mergeCell ref="AW79:AW82"/>
    <mergeCell ref="AZ65:AZ66"/>
    <mergeCell ref="AZ67:AZ68"/>
    <mergeCell ref="AZ69:AZ70"/>
    <mergeCell ref="AZ71:AZ73"/>
    <mergeCell ref="AZ74:AZ76"/>
    <mergeCell ref="AZ77:AZ78"/>
    <mergeCell ref="AZ79:AZ80"/>
    <mergeCell ref="AZ81:AZ82"/>
    <mergeCell ref="BA61:BA62"/>
    <mergeCell ref="BA63:BA64"/>
    <mergeCell ref="BA65:BA66"/>
    <mergeCell ref="BA67:BA68"/>
    <mergeCell ref="BA69:BA70"/>
    <mergeCell ref="BA71:BA73"/>
    <mergeCell ref="BA74:BA76"/>
    <mergeCell ref="BA77:BA78"/>
    <mergeCell ref="BA79:BA80"/>
    <mergeCell ref="BA81:BA82"/>
    <mergeCell ref="BE65:BE66"/>
    <mergeCell ref="BE67:BE68"/>
    <mergeCell ref="BE69:BE70"/>
    <mergeCell ref="BE71:BE73"/>
    <mergeCell ref="BE74:BE76"/>
    <mergeCell ref="BE77:BE78"/>
    <mergeCell ref="BE79:BE80"/>
    <mergeCell ref="BE81:BE82"/>
    <mergeCell ref="BB65:BB66"/>
    <mergeCell ref="BB67:BB68"/>
    <mergeCell ref="BB69:BB70"/>
    <mergeCell ref="BB71:BB73"/>
    <mergeCell ref="BB74:BB76"/>
    <mergeCell ref="BB77:BB78"/>
    <mergeCell ref="BB79:BB80"/>
    <mergeCell ref="BB81:BB82"/>
    <mergeCell ref="BC60:BC66"/>
    <mergeCell ref="BC67:BC73"/>
    <mergeCell ref="BC74:BC80"/>
    <mergeCell ref="BC81:BC82"/>
    <mergeCell ref="BN65:BN66"/>
    <mergeCell ref="BO61:BO62"/>
    <mergeCell ref="BO63:BO64"/>
    <mergeCell ref="BO65:BO66"/>
    <mergeCell ref="BH81:BI82"/>
    <mergeCell ref="BH69:BI70"/>
    <mergeCell ref="BG61:BG62"/>
    <mergeCell ref="BG63:BG64"/>
    <mergeCell ref="BG65:BG66"/>
    <mergeCell ref="BG67:BG68"/>
    <mergeCell ref="BG69:BG70"/>
    <mergeCell ref="BG71:BG73"/>
    <mergeCell ref="BG74:BG76"/>
    <mergeCell ref="BG77:BG78"/>
    <mergeCell ref="BG79:BG80"/>
    <mergeCell ref="BW61:BW62"/>
    <mergeCell ref="BX61:BX62"/>
    <mergeCell ref="BY61:BY62"/>
    <mergeCell ref="CY58:CY65"/>
    <mergeCell ref="CZ58:CZ65"/>
    <mergeCell ref="DA58:DB65"/>
    <mergeCell ref="U61:X62"/>
    <mergeCell ref="Y61:AB62"/>
    <mergeCell ref="AC61:AF62"/>
    <mergeCell ref="BP63:BP64"/>
    <mergeCell ref="BP65:BP66"/>
    <mergeCell ref="BQ63:BQ64"/>
    <mergeCell ref="BQ65:BQ66"/>
    <mergeCell ref="BR61:BR62"/>
    <mergeCell ref="BR63:BR64"/>
    <mergeCell ref="BR65:BR66"/>
    <mergeCell ref="BS61:BS62"/>
    <mergeCell ref="BS63:BS64"/>
    <mergeCell ref="BS65:BS66"/>
    <mergeCell ref="BL63:BL64"/>
    <mergeCell ref="BL65:BL66"/>
    <mergeCell ref="BM63:BM64"/>
    <mergeCell ref="BM65:BM66"/>
    <mergeCell ref="BN61:BN62"/>
    <mergeCell ref="AM2:AR3"/>
    <mergeCell ref="AV61:AW62"/>
    <mergeCell ref="BH61:BI62"/>
    <mergeCell ref="BL61:BM62"/>
    <mergeCell ref="BP61:BQ62"/>
    <mergeCell ref="BH63:BI64"/>
    <mergeCell ref="BE61:BF62"/>
    <mergeCell ref="AM48:AR49"/>
    <mergeCell ref="W41:X42"/>
    <mergeCell ref="BN63:BN64"/>
    <mergeCell ref="BF63:BF64"/>
    <mergeCell ref="BE63:BE64"/>
    <mergeCell ref="AR28:AR29"/>
    <mergeCell ref="AR31:AR32"/>
    <mergeCell ref="AR33:AR34"/>
    <mergeCell ref="AR35:AR36"/>
    <mergeCell ref="AR37:AR38"/>
    <mergeCell ref="AR39:AR40"/>
    <mergeCell ref="AR41:AR42"/>
    <mergeCell ref="AR43:AR44"/>
    <mergeCell ref="AR45:AR46"/>
    <mergeCell ref="AR8:AR9"/>
    <mergeCell ref="AR10:AR11"/>
    <mergeCell ref="AR12:AR13"/>
    <mergeCell ref="U81:X82"/>
    <mergeCell ref="Y81:AB82"/>
    <mergeCell ref="AC81:AF82"/>
    <mergeCell ref="P77:T78"/>
    <mergeCell ref="U77:X78"/>
    <mergeCell ref="Y77:AB78"/>
    <mergeCell ref="AC77:AF78"/>
    <mergeCell ref="BH77:BI78"/>
    <mergeCell ref="P79:T80"/>
    <mergeCell ref="U79:X80"/>
    <mergeCell ref="Y79:AB80"/>
    <mergeCell ref="AC79:AF80"/>
    <mergeCell ref="BH79:BI80"/>
    <mergeCell ref="BG81:BG82"/>
    <mergeCell ref="BF77:BF78"/>
    <mergeCell ref="BF79:BF80"/>
    <mergeCell ref="BF81:BF82"/>
    <mergeCell ref="AL81:AL82"/>
    <mergeCell ref="AK81:AK82"/>
    <mergeCell ref="P65:T66"/>
    <mergeCell ref="U65:X66"/>
    <mergeCell ref="Y65:AB66"/>
    <mergeCell ref="AC65:AF66"/>
    <mergeCell ref="BH65:BI66"/>
    <mergeCell ref="P74:T76"/>
    <mergeCell ref="U74:X76"/>
    <mergeCell ref="Y74:AB76"/>
    <mergeCell ref="AC74:AF76"/>
    <mergeCell ref="BH74:BI76"/>
    <mergeCell ref="P67:T68"/>
    <mergeCell ref="P71:T73"/>
    <mergeCell ref="U71:X73"/>
    <mergeCell ref="Y71:AB73"/>
    <mergeCell ref="AC71:AF73"/>
    <mergeCell ref="BH71:BI73"/>
    <mergeCell ref="U67:X68"/>
    <mergeCell ref="Y67:AB68"/>
    <mergeCell ref="AC67:AF68"/>
    <mergeCell ref="BF65:BF66"/>
    <mergeCell ref="BF67:BF68"/>
    <mergeCell ref="BF69:BF70"/>
    <mergeCell ref="BF71:BF73"/>
    <mergeCell ref="BF74:BF76"/>
    <mergeCell ref="C58:F59"/>
    <mergeCell ref="G58:J59"/>
    <mergeCell ref="S43:T44"/>
    <mergeCell ref="U43:V44"/>
    <mergeCell ref="W43:X44"/>
    <mergeCell ref="S45:T46"/>
    <mergeCell ref="U45:V46"/>
    <mergeCell ref="W45:X46"/>
    <mergeCell ref="BH67:BI68"/>
    <mergeCell ref="AG58:AH82"/>
    <mergeCell ref="AN58:AO82"/>
    <mergeCell ref="P69:T70"/>
    <mergeCell ref="U69:X70"/>
    <mergeCell ref="Y69:AB70"/>
    <mergeCell ref="AC69:AF70"/>
    <mergeCell ref="U63:X64"/>
    <mergeCell ref="Y63:AB64"/>
    <mergeCell ref="AC63:AF64"/>
    <mergeCell ref="P81:T82"/>
    <mergeCell ref="G60:J62"/>
    <mergeCell ref="C61:F62"/>
    <mergeCell ref="K61:O62"/>
    <mergeCell ref="P61:T62"/>
    <mergeCell ref="C63:F64"/>
    <mergeCell ref="G63:J64"/>
    <mergeCell ref="K63:O64"/>
    <mergeCell ref="P63:T64"/>
    <mergeCell ref="N5:O29"/>
    <mergeCell ref="Y5:Z29"/>
    <mergeCell ref="N31:O46"/>
    <mergeCell ref="S31:T32"/>
    <mergeCell ref="U31:V32"/>
    <mergeCell ref="W31:X32"/>
    <mergeCell ref="Y31:Z46"/>
    <mergeCell ref="S33:T34"/>
    <mergeCell ref="U33:V34"/>
    <mergeCell ref="W33:X34"/>
    <mergeCell ref="S35:T36"/>
    <mergeCell ref="U35:V36"/>
    <mergeCell ref="W35:X36"/>
    <mergeCell ref="S37:T38"/>
    <mergeCell ref="U37:V38"/>
    <mergeCell ref="W37:X38"/>
    <mergeCell ref="S39:T40"/>
    <mergeCell ref="U39:V40"/>
    <mergeCell ref="W39:X40"/>
    <mergeCell ref="S41:T42"/>
    <mergeCell ref="U41:V42"/>
  </mergeCells>
  <phoneticPr fontId="214" type="noConversion"/>
  <pageMargins left="0.75" right="0.75" top="1" bottom="1" header="0.50902777777777797" footer="0.50902777777777797"/>
  <pageSetup paperSize="9" orientation="portrait"/>
  <headerFooter scaleWithDoc="0" alignWithMargins="0"/>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10"/>
  <dimension ref="A1:V63"/>
  <sheetViews>
    <sheetView zoomScale="85" zoomScaleNormal="85" workbookViewId="0">
      <selection sqref="A1:V1"/>
    </sheetView>
  </sheetViews>
  <sheetFormatPr defaultColWidth="9" defaultRowHeight="14.25"/>
  <cols>
    <col min="18" max="18" width="9.375"/>
  </cols>
  <sheetData>
    <row r="1" spans="1:22" ht="33.75" customHeight="1">
      <c r="A1" s="5335" t="s">
        <v>11156</v>
      </c>
      <c r="B1" s="5205"/>
      <c r="C1" s="5205"/>
      <c r="D1" s="5205"/>
      <c r="E1" s="5205"/>
      <c r="F1" s="5205"/>
      <c r="G1" s="5205"/>
      <c r="H1" s="5205"/>
      <c r="I1" s="5205"/>
      <c r="J1" s="5205"/>
      <c r="K1" s="5205"/>
      <c r="L1" s="5205"/>
      <c r="M1" s="5205"/>
      <c r="N1" s="5205"/>
      <c r="O1" s="5205"/>
      <c r="P1" s="5205"/>
      <c r="Q1" s="5205"/>
      <c r="R1" s="5205"/>
      <c r="S1" s="5205"/>
      <c r="T1" s="5205"/>
      <c r="U1" s="5205"/>
      <c r="V1" s="5205"/>
    </row>
    <row r="2" spans="1:22" ht="15.75">
      <c r="A2" s="5336" t="s">
        <v>909</v>
      </c>
      <c r="B2" s="5337"/>
      <c r="C2" s="5303" t="s">
        <v>11736</v>
      </c>
      <c r="D2" s="5303"/>
      <c r="E2" s="5303"/>
      <c r="F2" s="5303"/>
      <c r="G2" s="5303"/>
      <c r="H2" s="5303"/>
      <c r="I2" s="5303"/>
      <c r="J2" s="5303"/>
      <c r="K2" s="5303"/>
      <c r="L2" s="5303"/>
      <c r="M2" s="5303"/>
      <c r="N2" s="5303"/>
      <c r="O2" s="5303"/>
      <c r="P2" s="5303"/>
      <c r="Q2" s="5303"/>
      <c r="R2" s="5303"/>
      <c r="S2" s="5303"/>
      <c r="T2" s="5303"/>
      <c r="U2" s="5303"/>
      <c r="V2" s="5305"/>
    </row>
    <row r="3" spans="1:22" ht="15.75">
      <c r="A3" s="5338" t="s">
        <v>11159</v>
      </c>
      <c r="B3" s="5339"/>
      <c r="C3" s="1870" t="s">
        <v>11737</v>
      </c>
      <c r="D3" s="1871" t="s">
        <v>11738</v>
      </c>
      <c r="E3" s="1871" t="s">
        <v>11739</v>
      </c>
      <c r="F3" s="1871" t="s">
        <v>11740</v>
      </c>
      <c r="G3" s="1871" t="s">
        <v>11741</v>
      </c>
      <c r="H3" s="1871" t="s">
        <v>11742</v>
      </c>
      <c r="I3" s="1871" t="s">
        <v>11743</v>
      </c>
      <c r="J3" s="1871" t="s">
        <v>11744</v>
      </c>
      <c r="K3" s="1871" t="s">
        <v>11745</v>
      </c>
      <c r="L3" s="1871" t="s">
        <v>11746</v>
      </c>
      <c r="M3" s="1871" t="s">
        <v>11747</v>
      </c>
      <c r="N3" s="1871" t="s">
        <v>11748</v>
      </c>
      <c r="O3" s="1925" t="s">
        <v>11749</v>
      </c>
      <c r="P3" s="1926" t="s">
        <v>11750</v>
      </c>
      <c r="Q3" s="1871" t="s">
        <v>11751</v>
      </c>
      <c r="R3" s="1871" t="s">
        <v>11752</v>
      </c>
      <c r="S3" s="1871" t="s">
        <v>11753</v>
      </c>
      <c r="T3" s="1871" t="s">
        <v>11754</v>
      </c>
      <c r="U3" s="1871" t="s">
        <v>11755</v>
      </c>
      <c r="V3" s="1938" t="s">
        <v>11756</v>
      </c>
    </row>
    <row r="4" spans="1:22" ht="15.75">
      <c r="A4" s="1872" t="s">
        <v>2410</v>
      </c>
      <c r="B4" s="1873" t="s">
        <v>11052</v>
      </c>
      <c r="C4" s="5340" t="s">
        <v>11757</v>
      </c>
      <c r="D4" s="5193"/>
      <c r="E4" s="5193"/>
      <c r="F4" s="5193"/>
      <c r="G4" s="5193"/>
      <c r="H4" s="5193"/>
      <c r="I4" s="5193"/>
      <c r="J4" s="5193"/>
      <c r="K4" s="5193"/>
      <c r="L4" s="5193"/>
      <c r="M4" s="5193"/>
      <c r="N4" s="5193"/>
      <c r="O4" s="5341"/>
      <c r="P4" s="5342" t="s">
        <v>11159</v>
      </c>
      <c r="Q4" s="5193"/>
      <c r="R4" s="5193"/>
      <c r="S4" s="5193"/>
      <c r="T4" s="5193"/>
      <c r="U4" s="5193"/>
      <c r="V4" s="5215"/>
    </row>
    <row r="5" spans="1:22">
      <c r="A5" s="1872" t="s">
        <v>5908</v>
      </c>
      <c r="B5" s="1873">
        <v>3</v>
      </c>
      <c r="C5" s="1875">
        <v>0.3</v>
      </c>
      <c r="D5" s="1874">
        <v>0.5</v>
      </c>
      <c r="E5" s="1874">
        <v>0.8</v>
      </c>
      <c r="F5" s="1874">
        <v>1.2</v>
      </c>
      <c r="G5" s="1874">
        <v>2</v>
      </c>
      <c r="H5" s="1874">
        <v>3</v>
      </c>
      <c r="I5" s="1874">
        <v>4</v>
      </c>
      <c r="J5" s="1874">
        <v>6</v>
      </c>
      <c r="K5" s="1874">
        <v>10</v>
      </c>
      <c r="L5" s="1874">
        <v>14</v>
      </c>
      <c r="M5" s="1874">
        <v>25</v>
      </c>
      <c r="N5" s="1874">
        <v>40</v>
      </c>
      <c r="O5" s="1927">
        <v>60</v>
      </c>
      <c r="P5" s="1928">
        <v>0.1</v>
      </c>
      <c r="Q5" s="1939">
        <v>0.14000000000000001</v>
      </c>
      <c r="R5" s="1940">
        <v>0.25</v>
      </c>
      <c r="S5" s="1940">
        <v>0.4</v>
      </c>
      <c r="T5" s="1940">
        <v>0.6</v>
      </c>
      <c r="U5" s="1941">
        <v>1</v>
      </c>
      <c r="V5" s="1942">
        <v>1.4</v>
      </c>
    </row>
    <row r="6" spans="1:22">
      <c r="A6" s="1872">
        <v>3</v>
      </c>
      <c r="B6" s="1873">
        <v>6</v>
      </c>
      <c r="C6" s="1875">
        <v>0.4</v>
      </c>
      <c r="D6" s="1874">
        <v>0.6</v>
      </c>
      <c r="E6" s="1874">
        <v>1</v>
      </c>
      <c r="F6" s="1874">
        <v>1.5</v>
      </c>
      <c r="G6" s="1874">
        <v>2.5</v>
      </c>
      <c r="H6" s="1874">
        <v>4</v>
      </c>
      <c r="I6" s="1874">
        <v>5</v>
      </c>
      <c r="J6" s="1874">
        <v>8</v>
      </c>
      <c r="K6" s="1874">
        <v>12</v>
      </c>
      <c r="L6" s="1874">
        <v>18</v>
      </c>
      <c r="M6" s="1874">
        <v>30</v>
      </c>
      <c r="N6" s="1874">
        <v>48</v>
      </c>
      <c r="O6" s="1927">
        <v>75</v>
      </c>
      <c r="P6" s="1928">
        <v>0.12</v>
      </c>
      <c r="Q6" s="1939">
        <v>0.18</v>
      </c>
      <c r="R6" s="1939">
        <v>0.3</v>
      </c>
      <c r="S6" s="1939">
        <v>0.48</v>
      </c>
      <c r="T6" s="1939">
        <v>0.75</v>
      </c>
      <c r="U6" s="1943">
        <v>1.2</v>
      </c>
      <c r="V6" s="1944">
        <v>1.8</v>
      </c>
    </row>
    <row r="7" spans="1:22">
      <c r="A7" s="1872">
        <v>6</v>
      </c>
      <c r="B7" s="1873">
        <v>10</v>
      </c>
      <c r="C7" s="1875">
        <v>0.4</v>
      </c>
      <c r="D7" s="1874">
        <v>0.6</v>
      </c>
      <c r="E7" s="1874">
        <v>1</v>
      </c>
      <c r="F7" s="1874">
        <v>1.5</v>
      </c>
      <c r="G7" s="1874">
        <v>2.5</v>
      </c>
      <c r="H7" s="1874">
        <v>4</v>
      </c>
      <c r="I7" s="1874">
        <v>6</v>
      </c>
      <c r="J7" s="1874">
        <v>9</v>
      </c>
      <c r="K7" s="1874">
        <v>15</v>
      </c>
      <c r="L7" s="1874">
        <v>22</v>
      </c>
      <c r="M7" s="1874">
        <v>36</v>
      </c>
      <c r="N7" s="1874">
        <v>58</v>
      </c>
      <c r="O7" s="1927">
        <v>90</v>
      </c>
      <c r="P7" s="1928">
        <v>0.15</v>
      </c>
      <c r="Q7" s="1939">
        <v>0.22</v>
      </c>
      <c r="R7" s="1939">
        <v>0.36</v>
      </c>
      <c r="S7" s="1939">
        <v>0.57999999999999996</v>
      </c>
      <c r="T7" s="1939">
        <v>0.9</v>
      </c>
      <c r="U7" s="1943">
        <v>1.5</v>
      </c>
      <c r="V7" s="1944">
        <v>2.2000000000000002</v>
      </c>
    </row>
    <row r="8" spans="1:22">
      <c r="A8" s="1872">
        <v>10</v>
      </c>
      <c r="B8" s="1873">
        <v>18</v>
      </c>
      <c r="C8" s="1875">
        <v>0.5</v>
      </c>
      <c r="D8" s="1874">
        <v>0.8</v>
      </c>
      <c r="E8" s="1874">
        <v>1.2</v>
      </c>
      <c r="F8" s="1874">
        <v>2</v>
      </c>
      <c r="G8" s="1874">
        <v>3</v>
      </c>
      <c r="H8" s="1874">
        <v>5</v>
      </c>
      <c r="I8" s="1874">
        <v>8</v>
      </c>
      <c r="J8" s="1885">
        <v>11</v>
      </c>
      <c r="K8" s="1885">
        <v>18</v>
      </c>
      <c r="L8" s="1885">
        <v>27</v>
      </c>
      <c r="M8" s="1885">
        <v>43</v>
      </c>
      <c r="N8" s="1874">
        <v>70</v>
      </c>
      <c r="O8" s="1927">
        <v>110</v>
      </c>
      <c r="P8" s="1928">
        <v>0.18</v>
      </c>
      <c r="Q8" s="1939">
        <v>0.27</v>
      </c>
      <c r="R8" s="1939">
        <v>0.43</v>
      </c>
      <c r="S8" s="1939">
        <v>0.7</v>
      </c>
      <c r="T8" s="1939">
        <v>1.1000000000000001</v>
      </c>
      <c r="U8" s="1943">
        <v>1.8</v>
      </c>
      <c r="V8" s="1944">
        <v>2.7</v>
      </c>
    </row>
    <row r="9" spans="1:22">
      <c r="A9" s="1872">
        <v>18</v>
      </c>
      <c r="B9" s="1873">
        <v>30</v>
      </c>
      <c r="C9" s="1875">
        <v>0.6</v>
      </c>
      <c r="D9" s="1874">
        <v>1</v>
      </c>
      <c r="E9" s="1874">
        <v>1.5</v>
      </c>
      <c r="F9" s="1874">
        <v>2.5</v>
      </c>
      <c r="G9" s="1874">
        <v>4</v>
      </c>
      <c r="H9" s="1874">
        <v>6</v>
      </c>
      <c r="I9" s="1874">
        <v>9</v>
      </c>
      <c r="J9" s="1885">
        <v>13</v>
      </c>
      <c r="K9" s="1885">
        <v>21</v>
      </c>
      <c r="L9" s="1885">
        <v>33</v>
      </c>
      <c r="M9" s="1885">
        <v>52</v>
      </c>
      <c r="N9" s="1874">
        <v>84</v>
      </c>
      <c r="O9" s="1927">
        <v>130</v>
      </c>
      <c r="P9" s="1928">
        <v>0.21</v>
      </c>
      <c r="Q9" s="1939">
        <v>0.33</v>
      </c>
      <c r="R9" s="1939">
        <v>0.52</v>
      </c>
      <c r="S9" s="1939">
        <v>0.84</v>
      </c>
      <c r="T9" s="1939">
        <v>1.3</v>
      </c>
      <c r="U9" s="1943">
        <v>2.1</v>
      </c>
      <c r="V9" s="1944">
        <v>3.3</v>
      </c>
    </row>
    <row r="10" spans="1:22">
      <c r="A10" s="1872">
        <v>30</v>
      </c>
      <c r="B10" s="1873">
        <v>50</v>
      </c>
      <c r="C10" s="1875">
        <v>0.6</v>
      </c>
      <c r="D10" s="1874">
        <v>1</v>
      </c>
      <c r="E10" s="1874">
        <v>1.5</v>
      </c>
      <c r="F10" s="1874">
        <v>2.5</v>
      </c>
      <c r="G10" s="1874">
        <v>4</v>
      </c>
      <c r="H10" s="1874">
        <v>7</v>
      </c>
      <c r="I10" s="1874">
        <v>11</v>
      </c>
      <c r="J10" s="1885">
        <v>16</v>
      </c>
      <c r="K10" s="1885">
        <v>25</v>
      </c>
      <c r="L10" s="1885">
        <v>39</v>
      </c>
      <c r="M10" s="1885">
        <v>62</v>
      </c>
      <c r="N10" s="1874">
        <v>100</v>
      </c>
      <c r="O10" s="1927">
        <v>160</v>
      </c>
      <c r="P10" s="1928">
        <v>0.25</v>
      </c>
      <c r="Q10" s="1939">
        <v>0.39</v>
      </c>
      <c r="R10" s="1939">
        <v>0.62</v>
      </c>
      <c r="S10" s="1939">
        <v>1</v>
      </c>
      <c r="T10" s="1939">
        <v>1.6</v>
      </c>
      <c r="U10" s="1943">
        <v>2.5</v>
      </c>
      <c r="V10" s="1944">
        <v>3.9</v>
      </c>
    </row>
    <row r="11" spans="1:22">
      <c r="A11" s="1872">
        <v>50</v>
      </c>
      <c r="B11" s="1873">
        <v>80</v>
      </c>
      <c r="C11" s="1875">
        <v>0.8</v>
      </c>
      <c r="D11" s="1874">
        <v>1.2</v>
      </c>
      <c r="E11" s="1874">
        <v>2</v>
      </c>
      <c r="F11" s="1874">
        <v>3</v>
      </c>
      <c r="G11" s="1874">
        <v>5</v>
      </c>
      <c r="H11" s="1874">
        <v>8</v>
      </c>
      <c r="I11" s="1874">
        <v>13</v>
      </c>
      <c r="J11" s="1885">
        <v>19</v>
      </c>
      <c r="K11" s="1885">
        <v>30</v>
      </c>
      <c r="L11" s="1885">
        <v>46</v>
      </c>
      <c r="M11" s="1885">
        <v>74</v>
      </c>
      <c r="N11" s="1874">
        <v>120</v>
      </c>
      <c r="O11" s="1927">
        <v>190</v>
      </c>
      <c r="P11" s="1928">
        <v>0.3</v>
      </c>
      <c r="Q11" s="1939">
        <v>0.46</v>
      </c>
      <c r="R11" s="1939">
        <v>0.74</v>
      </c>
      <c r="S11" s="1939">
        <v>1.2</v>
      </c>
      <c r="T11" s="1939">
        <v>1.9</v>
      </c>
      <c r="U11" s="1943">
        <v>3</v>
      </c>
      <c r="V11" s="1944">
        <v>4.5999999999999996</v>
      </c>
    </row>
    <row r="12" spans="1:22">
      <c r="A12" s="1872">
        <v>80</v>
      </c>
      <c r="B12" s="1873">
        <v>120</v>
      </c>
      <c r="C12" s="1875">
        <v>1</v>
      </c>
      <c r="D12" s="1874">
        <v>1.5</v>
      </c>
      <c r="E12" s="1874">
        <v>2.5</v>
      </c>
      <c r="F12" s="1874">
        <v>4</v>
      </c>
      <c r="G12" s="1874">
        <v>6</v>
      </c>
      <c r="H12" s="1874">
        <v>10</v>
      </c>
      <c r="I12" s="1874">
        <v>15</v>
      </c>
      <c r="J12" s="1885">
        <v>22</v>
      </c>
      <c r="K12" s="1885">
        <v>35</v>
      </c>
      <c r="L12" s="1885">
        <v>54</v>
      </c>
      <c r="M12" s="1885">
        <v>87</v>
      </c>
      <c r="N12" s="1874">
        <v>140</v>
      </c>
      <c r="O12" s="1927">
        <v>220</v>
      </c>
      <c r="P12" s="1928">
        <v>0.35</v>
      </c>
      <c r="Q12" s="1939">
        <v>0.54</v>
      </c>
      <c r="R12" s="1939">
        <v>0.87</v>
      </c>
      <c r="S12" s="1939">
        <v>1.4</v>
      </c>
      <c r="T12" s="1939">
        <v>2.2000000000000002</v>
      </c>
      <c r="U12" s="1943">
        <v>3.5</v>
      </c>
      <c r="V12" s="1944">
        <v>5.4</v>
      </c>
    </row>
    <row r="13" spans="1:22">
      <c r="A13" s="1872">
        <v>120</v>
      </c>
      <c r="B13" s="1873">
        <v>180</v>
      </c>
      <c r="C13" s="1875">
        <v>1.2</v>
      </c>
      <c r="D13" s="1874">
        <v>2</v>
      </c>
      <c r="E13" s="1874">
        <v>3.5</v>
      </c>
      <c r="F13" s="1874">
        <v>5</v>
      </c>
      <c r="G13" s="1874">
        <v>8</v>
      </c>
      <c r="H13" s="1874">
        <v>12</v>
      </c>
      <c r="I13" s="1874">
        <v>18</v>
      </c>
      <c r="J13" s="1885">
        <v>25</v>
      </c>
      <c r="K13" s="1885">
        <v>40</v>
      </c>
      <c r="L13" s="1885">
        <v>63</v>
      </c>
      <c r="M13" s="1885">
        <v>100</v>
      </c>
      <c r="N13" s="1874">
        <v>160</v>
      </c>
      <c r="O13" s="1927">
        <v>250</v>
      </c>
      <c r="P13" s="1928">
        <v>0.4</v>
      </c>
      <c r="Q13" s="1939">
        <v>0.63</v>
      </c>
      <c r="R13" s="1939">
        <v>1</v>
      </c>
      <c r="S13" s="1939">
        <v>1.6</v>
      </c>
      <c r="T13" s="1939">
        <v>2.5</v>
      </c>
      <c r="U13" s="1943">
        <v>4</v>
      </c>
      <c r="V13" s="1944">
        <v>6.3</v>
      </c>
    </row>
    <row r="14" spans="1:22">
      <c r="A14" s="1872">
        <v>180</v>
      </c>
      <c r="B14" s="1873">
        <v>250</v>
      </c>
      <c r="C14" s="1875">
        <v>2</v>
      </c>
      <c r="D14" s="1874">
        <v>3</v>
      </c>
      <c r="E14" s="1874">
        <v>4.5</v>
      </c>
      <c r="F14" s="1874">
        <v>7</v>
      </c>
      <c r="G14" s="1874">
        <v>10</v>
      </c>
      <c r="H14" s="1874">
        <v>14</v>
      </c>
      <c r="I14" s="1874">
        <v>20</v>
      </c>
      <c r="J14" s="1885">
        <v>29</v>
      </c>
      <c r="K14" s="1885">
        <v>46</v>
      </c>
      <c r="L14" s="1885">
        <v>72</v>
      </c>
      <c r="M14" s="1885">
        <v>115</v>
      </c>
      <c r="N14" s="1874">
        <v>185</v>
      </c>
      <c r="O14" s="1927">
        <v>290</v>
      </c>
      <c r="P14" s="1928">
        <v>0.46</v>
      </c>
      <c r="Q14" s="1939">
        <v>0.72</v>
      </c>
      <c r="R14" s="1939">
        <v>1.1499999999999999</v>
      </c>
      <c r="S14" s="1939">
        <v>1.85</v>
      </c>
      <c r="T14" s="1939">
        <v>2.9</v>
      </c>
      <c r="U14" s="1943">
        <v>4.5999999999999996</v>
      </c>
      <c r="V14" s="1944">
        <v>7.2</v>
      </c>
    </row>
    <row r="15" spans="1:22">
      <c r="A15" s="1872">
        <v>250</v>
      </c>
      <c r="B15" s="1873">
        <v>315</v>
      </c>
      <c r="C15" s="1875">
        <v>2.5</v>
      </c>
      <c r="D15" s="1874">
        <v>4</v>
      </c>
      <c r="E15" s="1874">
        <v>6</v>
      </c>
      <c r="F15" s="1874">
        <v>8</v>
      </c>
      <c r="G15" s="1874">
        <v>12</v>
      </c>
      <c r="H15" s="1874">
        <v>16</v>
      </c>
      <c r="I15" s="1874">
        <v>23</v>
      </c>
      <c r="J15" s="1885">
        <v>32</v>
      </c>
      <c r="K15" s="1885">
        <v>52</v>
      </c>
      <c r="L15" s="1885">
        <v>81</v>
      </c>
      <c r="M15" s="1885">
        <v>130</v>
      </c>
      <c r="N15" s="1874">
        <v>210</v>
      </c>
      <c r="O15" s="1927">
        <v>320</v>
      </c>
      <c r="P15" s="1928">
        <v>0.52</v>
      </c>
      <c r="Q15" s="1939">
        <v>0.81</v>
      </c>
      <c r="R15" s="1939">
        <v>1.3</v>
      </c>
      <c r="S15" s="1939">
        <v>2.1</v>
      </c>
      <c r="T15" s="1939">
        <v>3.2</v>
      </c>
      <c r="U15" s="1943">
        <v>5.2</v>
      </c>
      <c r="V15" s="1944">
        <v>8.1</v>
      </c>
    </row>
    <row r="16" spans="1:22">
      <c r="A16" s="1872">
        <v>315</v>
      </c>
      <c r="B16" s="1873">
        <v>400</v>
      </c>
      <c r="C16" s="1875">
        <v>3</v>
      </c>
      <c r="D16" s="1874">
        <v>5</v>
      </c>
      <c r="E16" s="1874">
        <v>7</v>
      </c>
      <c r="F16" s="1874">
        <v>9</v>
      </c>
      <c r="G16" s="1874">
        <v>13</v>
      </c>
      <c r="H16" s="1874">
        <v>18</v>
      </c>
      <c r="I16" s="1874">
        <v>25</v>
      </c>
      <c r="J16" s="1885">
        <v>36</v>
      </c>
      <c r="K16" s="1885">
        <v>57</v>
      </c>
      <c r="L16" s="1885">
        <v>89</v>
      </c>
      <c r="M16" s="1885">
        <v>140</v>
      </c>
      <c r="N16" s="1874">
        <v>230</v>
      </c>
      <c r="O16" s="1927">
        <v>360</v>
      </c>
      <c r="P16" s="1928">
        <v>0.56999999999999995</v>
      </c>
      <c r="Q16" s="1939">
        <v>0.89</v>
      </c>
      <c r="R16" s="1939">
        <v>1.4</v>
      </c>
      <c r="S16" s="1939">
        <v>2.2999999999999998</v>
      </c>
      <c r="T16" s="1939">
        <v>3.6</v>
      </c>
      <c r="U16" s="1943">
        <v>5.7</v>
      </c>
      <c r="V16" s="1944">
        <v>8.9</v>
      </c>
    </row>
    <row r="17" spans="1:22">
      <c r="A17" s="1872">
        <v>400</v>
      </c>
      <c r="B17" s="1873">
        <v>500</v>
      </c>
      <c r="C17" s="1875">
        <v>4</v>
      </c>
      <c r="D17" s="1874">
        <v>6</v>
      </c>
      <c r="E17" s="1874">
        <v>8</v>
      </c>
      <c r="F17" s="1874">
        <v>10</v>
      </c>
      <c r="G17" s="1874">
        <v>15</v>
      </c>
      <c r="H17" s="1874">
        <v>20</v>
      </c>
      <c r="I17" s="1874">
        <v>27</v>
      </c>
      <c r="J17" s="1885">
        <v>40</v>
      </c>
      <c r="K17" s="1885">
        <v>63</v>
      </c>
      <c r="L17" s="1885">
        <v>97</v>
      </c>
      <c r="M17" s="1885">
        <v>155</v>
      </c>
      <c r="N17" s="1874">
        <v>250</v>
      </c>
      <c r="O17" s="1927">
        <v>400</v>
      </c>
      <c r="P17" s="1928">
        <v>0.63</v>
      </c>
      <c r="Q17" s="1939">
        <v>0.97</v>
      </c>
      <c r="R17" s="1939">
        <v>1.55</v>
      </c>
      <c r="S17" s="1939">
        <v>2.5</v>
      </c>
      <c r="T17" s="1939">
        <v>4</v>
      </c>
      <c r="U17" s="1943">
        <v>6.3</v>
      </c>
      <c r="V17" s="1944">
        <v>9.6999999999999993</v>
      </c>
    </row>
    <row r="18" spans="1:22">
      <c r="A18" s="1872">
        <v>500</v>
      </c>
      <c r="B18" s="1873">
        <v>630</v>
      </c>
      <c r="C18" s="1875"/>
      <c r="D18" s="1874"/>
      <c r="E18" s="1874">
        <v>9</v>
      </c>
      <c r="F18" s="1874">
        <v>11</v>
      </c>
      <c r="G18" s="1874">
        <v>16</v>
      </c>
      <c r="H18" s="1874">
        <v>22</v>
      </c>
      <c r="I18" s="1874">
        <v>32</v>
      </c>
      <c r="J18" s="1874">
        <v>44</v>
      </c>
      <c r="K18" s="1874">
        <v>70</v>
      </c>
      <c r="L18" s="1874">
        <v>110</v>
      </c>
      <c r="M18" s="1874">
        <v>175</v>
      </c>
      <c r="N18" s="1874">
        <v>280</v>
      </c>
      <c r="O18" s="1927">
        <v>440</v>
      </c>
      <c r="P18" s="1928">
        <v>0.7</v>
      </c>
      <c r="Q18" s="1939">
        <v>1.1000000000000001</v>
      </c>
      <c r="R18" s="1939">
        <v>1.75</v>
      </c>
      <c r="S18" s="1939">
        <v>2.8</v>
      </c>
      <c r="T18" s="1939">
        <v>4.4000000000000004</v>
      </c>
      <c r="U18" s="1943">
        <v>7</v>
      </c>
      <c r="V18" s="1944">
        <v>11</v>
      </c>
    </row>
    <row r="19" spans="1:22">
      <c r="A19" s="1872">
        <v>630</v>
      </c>
      <c r="B19" s="1873">
        <v>800</v>
      </c>
      <c r="C19" s="1875"/>
      <c r="D19" s="1874"/>
      <c r="E19" s="1874">
        <v>10</v>
      </c>
      <c r="F19" s="1874">
        <v>13</v>
      </c>
      <c r="G19" s="1874">
        <v>18</v>
      </c>
      <c r="H19" s="1874">
        <v>25</v>
      </c>
      <c r="I19" s="1874">
        <v>36</v>
      </c>
      <c r="J19" s="1874">
        <v>50</v>
      </c>
      <c r="K19" s="1874">
        <v>80</v>
      </c>
      <c r="L19" s="1874">
        <v>125</v>
      </c>
      <c r="M19" s="1874">
        <v>200</v>
      </c>
      <c r="N19" s="1874">
        <v>320</v>
      </c>
      <c r="O19" s="1927">
        <v>500</v>
      </c>
      <c r="P19" s="1928">
        <v>0.8</v>
      </c>
      <c r="Q19" s="1939">
        <v>1.25</v>
      </c>
      <c r="R19" s="1939">
        <v>2</v>
      </c>
      <c r="S19" s="1939">
        <v>3.2</v>
      </c>
      <c r="T19" s="1939">
        <v>5</v>
      </c>
      <c r="U19" s="1943">
        <v>8</v>
      </c>
      <c r="V19" s="1944">
        <v>12.5</v>
      </c>
    </row>
    <row r="20" spans="1:22">
      <c r="A20" s="1872">
        <v>800</v>
      </c>
      <c r="B20" s="1873">
        <v>1000</v>
      </c>
      <c r="C20" s="1875"/>
      <c r="D20" s="1874"/>
      <c r="E20" s="1874">
        <v>11</v>
      </c>
      <c r="F20" s="1874">
        <v>15</v>
      </c>
      <c r="G20" s="1874">
        <v>21</v>
      </c>
      <c r="H20" s="1874">
        <v>28</v>
      </c>
      <c r="I20" s="1874">
        <v>40</v>
      </c>
      <c r="J20" s="1874">
        <v>56</v>
      </c>
      <c r="K20" s="1874">
        <v>90</v>
      </c>
      <c r="L20" s="1874">
        <v>140</v>
      </c>
      <c r="M20" s="1874">
        <v>230</v>
      </c>
      <c r="N20" s="1874">
        <v>360</v>
      </c>
      <c r="O20" s="1927">
        <v>560</v>
      </c>
      <c r="P20" s="1928">
        <v>0.9</v>
      </c>
      <c r="Q20" s="1939">
        <v>1.4</v>
      </c>
      <c r="R20" s="1939">
        <v>2.2999999999999998</v>
      </c>
      <c r="S20" s="1939">
        <v>3.6</v>
      </c>
      <c r="T20" s="1939">
        <v>5.6</v>
      </c>
      <c r="U20" s="1943">
        <v>9</v>
      </c>
      <c r="V20" s="1944">
        <v>14</v>
      </c>
    </row>
    <row r="21" spans="1:22">
      <c r="A21" s="1872">
        <v>1000</v>
      </c>
      <c r="B21" s="1873">
        <v>1250</v>
      </c>
      <c r="C21" s="1875"/>
      <c r="D21" s="1874"/>
      <c r="E21" s="1874">
        <v>13</v>
      </c>
      <c r="F21" s="1874">
        <v>18</v>
      </c>
      <c r="G21" s="1874">
        <v>24</v>
      </c>
      <c r="H21" s="1874">
        <v>33</v>
      </c>
      <c r="I21" s="1874">
        <v>47</v>
      </c>
      <c r="J21" s="1874">
        <v>66</v>
      </c>
      <c r="K21" s="1874">
        <v>105</v>
      </c>
      <c r="L21" s="1874">
        <v>165</v>
      </c>
      <c r="M21" s="1874">
        <v>260</v>
      </c>
      <c r="N21" s="1874">
        <v>420</v>
      </c>
      <c r="O21" s="1927">
        <v>660</v>
      </c>
      <c r="P21" s="1928">
        <v>1.05</v>
      </c>
      <c r="Q21" s="1939">
        <v>1.65</v>
      </c>
      <c r="R21" s="1939">
        <v>2.6</v>
      </c>
      <c r="S21" s="1939">
        <v>4.2</v>
      </c>
      <c r="T21" s="1939">
        <v>6.6</v>
      </c>
      <c r="U21" s="1943">
        <v>10.5</v>
      </c>
      <c r="V21" s="1944">
        <v>16.5</v>
      </c>
    </row>
    <row r="22" spans="1:22" ht="15.75">
      <c r="A22" s="1872">
        <v>1250</v>
      </c>
      <c r="B22" s="1876">
        <v>1600</v>
      </c>
      <c r="C22" s="1875"/>
      <c r="D22" s="1874"/>
      <c r="E22" s="1874">
        <v>15</v>
      </c>
      <c r="F22" s="1874">
        <v>21</v>
      </c>
      <c r="G22" s="1874">
        <v>29</v>
      </c>
      <c r="H22" s="1874">
        <v>39</v>
      </c>
      <c r="I22" s="1874">
        <v>55</v>
      </c>
      <c r="J22" s="1874">
        <v>78</v>
      </c>
      <c r="K22" s="1874">
        <v>125</v>
      </c>
      <c r="L22" s="1874">
        <v>195</v>
      </c>
      <c r="M22" s="1874">
        <v>310</v>
      </c>
      <c r="N22" s="1874">
        <v>500</v>
      </c>
      <c r="O22" s="1927">
        <v>780</v>
      </c>
      <c r="P22" s="1928">
        <v>1.25</v>
      </c>
      <c r="Q22" s="1939">
        <v>1.95</v>
      </c>
      <c r="R22" s="1939">
        <v>3.1</v>
      </c>
      <c r="S22" s="1939">
        <v>5</v>
      </c>
      <c r="T22" s="1939">
        <v>7.8</v>
      </c>
      <c r="U22" s="1943">
        <v>12.5</v>
      </c>
      <c r="V22" s="1944">
        <v>19.5</v>
      </c>
    </row>
    <row r="23" spans="1:22">
      <c r="A23" s="1872">
        <v>1600</v>
      </c>
      <c r="B23" s="1873">
        <v>2000</v>
      </c>
      <c r="C23" s="1875"/>
      <c r="D23" s="1874"/>
      <c r="E23" s="1874">
        <v>18</v>
      </c>
      <c r="F23" s="1874">
        <v>25</v>
      </c>
      <c r="G23" s="1874">
        <v>35</v>
      </c>
      <c r="H23" s="1874">
        <v>46</v>
      </c>
      <c r="I23" s="1874">
        <v>65</v>
      </c>
      <c r="J23" s="1874">
        <v>92</v>
      </c>
      <c r="K23" s="1874">
        <v>150</v>
      </c>
      <c r="L23" s="1874">
        <v>230</v>
      </c>
      <c r="M23" s="1874">
        <v>370</v>
      </c>
      <c r="N23" s="1874">
        <v>600</v>
      </c>
      <c r="O23" s="1927">
        <v>920</v>
      </c>
      <c r="P23" s="1928">
        <v>1.5</v>
      </c>
      <c r="Q23" s="1939">
        <v>2.2999999999999998</v>
      </c>
      <c r="R23" s="1939">
        <v>3.7</v>
      </c>
      <c r="S23" s="1939">
        <v>6</v>
      </c>
      <c r="T23" s="1939">
        <v>9.1999999999999993</v>
      </c>
      <c r="U23" s="1943">
        <v>15</v>
      </c>
      <c r="V23" s="1944">
        <v>23</v>
      </c>
    </row>
    <row r="24" spans="1:22">
      <c r="A24" s="1872">
        <v>2000</v>
      </c>
      <c r="B24" s="1873">
        <v>2500</v>
      </c>
      <c r="C24" s="1875"/>
      <c r="D24" s="1874"/>
      <c r="E24" s="1874">
        <v>22</v>
      </c>
      <c r="F24" s="1874">
        <v>30</v>
      </c>
      <c r="G24" s="1874">
        <v>41</v>
      </c>
      <c r="H24" s="1874">
        <v>55</v>
      </c>
      <c r="I24" s="1874">
        <v>78</v>
      </c>
      <c r="J24" s="1874">
        <v>110</v>
      </c>
      <c r="K24" s="1874">
        <v>175</v>
      </c>
      <c r="L24" s="1874">
        <v>280</v>
      </c>
      <c r="M24" s="1874">
        <v>440</v>
      </c>
      <c r="N24" s="1874">
        <v>700</v>
      </c>
      <c r="O24" s="1927">
        <v>1100</v>
      </c>
      <c r="P24" s="1928">
        <v>1.75</v>
      </c>
      <c r="Q24" s="1939">
        <v>2.8</v>
      </c>
      <c r="R24" s="1939">
        <v>4.4000000000000004</v>
      </c>
      <c r="S24" s="1939">
        <v>7</v>
      </c>
      <c r="T24" s="1943">
        <v>11</v>
      </c>
      <c r="U24" s="1943">
        <v>17.5</v>
      </c>
      <c r="V24" s="1944">
        <v>28</v>
      </c>
    </row>
    <row r="25" spans="1:22">
      <c r="A25" s="1877">
        <v>2500</v>
      </c>
      <c r="B25" s="1878">
        <v>3150</v>
      </c>
      <c r="C25" s="1879"/>
      <c r="D25" s="1880"/>
      <c r="E25" s="1880">
        <v>26</v>
      </c>
      <c r="F25" s="1880">
        <v>36</v>
      </c>
      <c r="G25" s="1880">
        <v>50</v>
      </c>
      <c r="H25" s="1880">
        <v>68</v>
      </c>
      <c r="I25" s="1880">
        <v>96</v>
      </c>
      <c r="J25" s="1880">
        <v>135</v>
      </c>
      <c r="K25" s="1880">
        <v>210</v>
      </c>
      <c r="L25" s="1880">
        <v>330</v>
      </c>
      <c r="M25" s="1880">
        <v>540</v>
      </c>
      <c r="N25" s="1880">
        <v>860</v>
      </c>
      <c r="O25" s="1929">
        <v>1350</v>
      </c>
      <c r="P25" s="1930">
        <v>2.1</v>
      </c>
      <c r="Q25" s="1945">
        <v>3.3</v>
      </c>
      <c r="R25" s="1945">
        <v>5.4</v>
      </c>
      <c r="S25" s="1945">
        <v>8.6</v>
      </c>
      <c r="T25" s="1880">
        <v>13.5</v>
      </c>
      <c r="U25" s="1946">
        <v>21</v>
      </c>
      <c r="V25" s="1947">
        <v>33</v>
      </c>
    </row>
    <row r="26" spans="1:22" ht="15.75">
      <c r="A26" s="5328" t="s">
        <v>11758</v>
      </c>
      <c r="B26" s="5328"/>
      <c r="C26" s="5328"/>
      <c r="D26" s="5328"/>
      <c r="E26" s="5328"/>
      <c r="F26" s="5328"/>
      <c r="G26" s="5328"/>
      <c r="H26" s="5328"/>
      <c r="I26" s="5328"/>
      <c r="J26" s="5328"/>
      <c r="K26" s="5328"/>
      <c r="L26" s="5328"/>
      <c r="M26" s="5328"/>
      <c r="N26" s="5328"/>
      <c r="O26" s="5328"/>
      <c r="P26" s="5328"/>
      <c r="Q26" s="5328"/>
      <c r="R26" s="5328"/>
      <c r="S26" s="5328"/>
      <c r="T26" s="5328"/>
      <c r="U26" s="5328"/>
      <c r="V26" s="5328"/>
    </row>
    <row r="27" spans="1:22">
      <c r="A27" s="5329" t="s">
        <v>11759</v>
      </c>
      <c r="B27" s="5329"/>
      <c r="C27" s="5329"/>
      <c r="D27" s="5329"/>
      <c r="E27" s="5329"/>
      <c r="F27" s="5329"/>
      <c r="G27" s="5329"/>
      <c r="H27" s="5329"/>
      <c r="I27" s="5329"/>
      <c r="J27" s="5329"/>
      <c r="K27" s="5329"/>
      <c r="L27" s="5329"/>
      <c r="M27" s="5329"/>
      <c r="N27" s="5329"/>
      <c r="O27" s="5329"/>
      <c r="P27" s="5329"/>
      <c r="Q27" s="5329"/>
      <c r="R27" s="5329"/>
      <c r="S27" s="5329"/>
      <c r="T27" s="5329"/>
      <c r="U27" s="5329"/>
      <c r="V27" s="5329"/>
    </row>
    <row r="28" spans="1:22">
      <c r="A28" s="5323" t="s">
        <v>11142</v>
      </c>
      <c r="B28" s="5330" t="s">
        <v>11760</v>
      </c>
      <c r="C28" s="5330"/>
      <c r="D28" s="5330"/>
      <c r="E28" s="5330"/>
      <c r="F28" s="5330"/>
      <c r="G28" s="5330"/>
      <c r="H28" s="5330"/>
      <c r="I28" s="5330"/>
      <c r="J28" s="5207"/>
      <c r="K28" s="5207"/>
      <c r="L28" s="5207"/>
      <c r="M28" s="5207"/>
      <c r="N28" s="5212"/>
      <c r="O28" s="5323" t="s">
        <v>11761</v>
      </c>
      <c r="P28" s="5331"/>
      <c r="Q28" s="5331"/>
      <c r="R28" s="5331"/>
      <c r="S28" s="5331"/>
      <c r="T28" s="5331"/>
      <c r="U28" s="5331"/>
      <c r="V28" s="5332"/>
    </row>
    <row r="29" spans="1:22">
      <c r="A29" s="5324"/>
      <c r="B29" s="5316" t="s">
        <v>11762</v>
      </c>
      <c r="C29" s="5316"/>
      <c r="D29" s="5316"/>
      <c r="E29" s="5316"/>
      <c r="F29" s="5316"/>
      <c r="G29" s="5316"/>
      <c r="H29" s="5316"/>
      <c r="I29" s="5316"/>
      <c r="J29" s="5193"/>
      <c r="K29" s="5193"/>
      <c r="L29" s="5193"/>
      <c r="M29" s="5193"/>
      <c r="N29" s="5215"/>
      <c r="O29" s="5324" t="s">
        <v>11762</v>
      </c>
      <c r="P29" s="5333"/>
      <c r="Q29" s="5333"/>
      <c r="R29" s="5333"/>
      <c r="S29" s="5333"/>
      <c r="T29" s="5333"/>
      <c r="U29" s="5333"/>
      <c r="V29" s="5334"/>
    </row>
    <row r="30" spans="1:22">
      <c r="A30" s="5324"/>
      <c r="B30" s="1881" t="s">
        <v>11763</v>
      </c>
      <c r="C30" s="1881" t="s">
        <v>11764</v>
      </c>
      <c r="D30" s="1881" t="s">
        <v>11765</v>
      </c>
      <c r="E30" s="5316" t="s">
        <v>11766</v>
      </c>
      <c r="F30" s="5316"/>
      <c r="G30" s="5316" t="s">
        <v>11767</v>
      </c>
      <c r="H30" s="5316"/>
      <c r="I30" s="5316" t="s">
        <v>11768</v>
      </c>
      <c r="J30" s="5316"/>
      <c r="K30" s="5316" t="s">
        <v>11769</v>
      </c>
      <c r="L30" s="5316"/>
      <c r="M30" s="5316" t="s">
        <v>11770</v>
      </c>
      <c r="N30" s="5317"/>
      <c r="O30" s="5320" t="s">
        <v>11763</v>
      </c>
      <c r="P30" s="5316"/>
      <c r="Q30" s="5316" t="s">
        <v>11764</v>
      </c>
      <c r="R30" s="5316"/>
      <c r="S30" s="5316" t="s">
        <v>11765</v>
      </c>
      <c r="T30" s="5316"/>
      <c r="U30" s="5316" t="s">
        <v>11771</v>
      </c>
      <c r="V30" s="5317"/>
    </row>
    <row r="31" spans="1:22">
      <c r="A31" s="1882" t="s">
        <v>429</v>
      </c>
      <c r="B31" s="1881" t="s">
        <v>11772</v>
      </c>
      <c r="C31" s="1881" t="s">
        <v>11772</v>
      </c>
      <c r="D31" s="1881" t="s">
        <v>11773</v>
      </c>
      <c r="E31" s="5193" t="s">
        <v>11774</v>
      </c>
      <c r="F31" s="5193"/>
      <c r="G31" s="5193" t="s">
        <v>11775</v>
      </c>
      <c r="H31" s="5193"/>
      <c r="I31" s="5193" t="s">
        <v>11776</v>
      </c>
      <c r="J31" s="5193"/>
      <c r="K31" s="5193" t="s">
        <v>11777</v>
      </c>
      <c r="L31" s="5193"/>
      <c r="M31" s="5193" t="s">
        <v>11778</v>
      </c>
      <c r="N31" s="5215"/>
      <c r="O31" s="5320" t="s">
        <v>11775</v>
      </c>
      <c r="P31" s="5316"/>
      <c r="Q31" s="5316" t="s">
        <v>11777</v>
      </c>
      <c r="R31" s="5316"/>
      <c r="S31" s="5316" t="s">
        <v>11779</v>
      </c>
      <c r="T31" s="5316"/>
      <c r="U31" s="5316" t="s">
        <v>11780</v>
      </c>
      <c r="V31" s="5317"/>
    </row>
    <row r="32" spans="1:22">
      <c r="A32" s="1883" t="s">
        <v>408</v>
      </c>
      <c r="B32" s="1884" t="s">
        <v>11773</v>
      </c>
      <c r="C32" s="1884" t="s">
        <v>11773</v>
      </c>
      <c r="D32" s="1884" t="s">
        <v>11775</v>
      </c>
      <c r="E32" s="5326" t="s">
        <v>11776</v>
      </c>
      <c r="F32" s="5326"/>
      <c r="G32" s="5326" t="s">
        <v>11777</v>
      </c>
      <c r="H32" s="5326"/>
      <c r="I32" s="5326" t="s">
        <v>11781</v>
      </c>
      <c r="J32" s="5326"/>
      <c r="K32" s="5326" t="s">
        <v>11782</v>
      </c>
      <c r="L32" s="5326"/>
      <c r="M32" s="5326" t="s">
        <v>11780</v>
      </c>
      <c r="N32" s="5327"/>
      <c r="O32" s="5320"/>
      <c r="P32" s="5316"/>
      <c r="Q32" s="5316"/>
      <c r="R32" s="5316"/>
      <c r="S32" s="5316"/>
      <c r="T32" s="5316"/>
      <c r="U32" s="5316"/>
      <c r="V32" s="5317"/>
    </row>
    <row r="33" spans="1:22">
      <c r="A33" s="1886" t="s">
        <v>9733</v>
      </c>
      <c r="B33" s="1881" t="s">
        <v>11775</v>
      </c>
      <c r="C33" s="1881" t="s">
        <v>11776</v>
      </c>
      <c r="D33" s="1881" t="s">
        <v>11776</v>
      </c>
      <c r="E33" s="5193" t="s">
        <v>11781</v>
      </c>
      <c r="F33" s="5193"/>
      <c r="G33" s="5193" t="s">
        <v>11782</v>
      </c>
      <c r="H33" s="5193"/>
      <c r="I33" s="5193" t="s">
        <v>11780</v>
      </c>
      <c r="J33" s="5193"/>
      <c r="K33" s="5193" t="s">
        <v>11783</v>
      </c>
      <c r="L33" s="5193"/>
      <c r="M33" s="5193" t="s">
        <v>11784</v>
      </c>
      <c r="N33" s="5215"/>
      <c r="O33" s="5320" t="s">
        <v>11785</v>
      </c>
      <c r="P33" s="5316"/>
      <c r="Q33" s="5316" t="s">
        <v>11779</v>
      </c>
      <c r="R33" s="5316"/>
      <c r="S33" s="5316" t="s">
        <v>11780</v>
      </c>
      <c r="T33" s="5316"/>
      <c r="U33" s="5316" t="s">
        <v>11784</v>
      </c>
      <c r="V33" s="5317"/>
    </row>
    <row r="34" spans="1:22">
      <c r="A34" s="1887" t="s">
        <v>412</v>
      </c>
      <c r="B34" s="1888" t="s">
        <v>11778</v>
      </c>
      <c r="C34" s="1888" t="s">
        <v>11777</v>
      </c>
      <c r="D34" s="1888" t="s">
        <v>11779</v>
      </c>
      <c r="E34" s="5198" t="s">
        <v>11786</v>
      </c>
      <c r="F34" s="5198"/>
      <c r="G34" s="5198" t="s">
        <v>11787</v>
      </c>
      <c r="H34" s="5198"/>
      <c r="I34" s="5198" t="s">
        <v>11784</v>
      </c>
      <c r="J34" s="5198"/>
      <c r="K34" s="5198" t="s">
        <v>11788</v>
      </c>
      <c r="L34" s="5198"/>
      <c r="M34" s="5198" t="s">
        <v>11789</v>
      </c>
      <c r="N34" s="5203"/>
      <c r="O34" s="5325"/>
      <c r="P34" s="5318"/>
      <c r="Q34" s="5318"/>
      <c r="R34" s="5318"/>
      <c r="S34" s="5318"/>
      <c r="T34" s="5318"/>
      <c r="U34" s="5318"/>
      <c r="V34" s="5319"/>
    </row>
    <row r="35" spans="1:22" ht="15.75">
      <c r="A35" s="5303" t="s">
        <v>11790</v>
      </c>
      <c r="B35" s="5303"/>
      <c r="C35" s="5303"/>
      <c r="D35" s="5303"/>
      <c r="E35" s="5303"/>
      <c r="F35" s="5303"/>
      <c r="G35" s="5303"/>
      <c r="H35" s="5303"/>
      <c r="I35" s="5303"/>
      <c r="J35" s="5303"/>
      <c r="K35" s="5303"/>
      <c r="L35" s="5303"/>
      <c r="M35" s="5303"/>
      <c r="N35" s="5303"/>
      <c r="O35" s="5303"/>
      <c r="P35" s="5303"/>
      <c r="Q35" s="5303"/>
      <c r="R35" s="5303"/>
      <c r="S35" s="5303"/>
      <c r="T35" s="5303"/>
      <c r="U35" s="1948"/>
      <c r="V35" s="1948"/>
    </row>
    <row r="36" spans="1:22" ht="15.75">
      <c r="A36" s="5321" t="s">
        <v>909</v>
      </c>
      <c r="B36" s="5322"/>
      <c r="C36" s="1889" t="s">
        <v>11744</v>
      </c>
      <c r="D36" s="1890" t="s">
        <v>11791</v>
      </c>
      <c r="E36" s="1891" t="s">
        <v>11792</v>
      </c>
      <c r="F36" s="1890" t="s">
        <v>11793</v>
      </c>
      <c r="G36" s="1892" t="s">
        <v>11794</v>
      </c>
      <c r="H36" s="1893" t="s">
        <v>11795</v>
      </c>
      <c r="I36" s="1931" t="s">
        <v>11745</v>
      </c>
      <c r="J36" s="1891" t="s">
        <v>11791</v>
      </c>
      <c r="K36" s="1891" t="s">
        <v>11792</v>
      </c>
      <c r="L36" s="1891" t="s">
        <v>11793</v>
      </c>
      <c r="M36" s="1932" t="s">
        <v>11794</v>
      </c>
      <c r="N36" s="1893" t="s">
        <v>11795</v>
      </c>
      <c r="O36" s="1931" t="s">
        <v>11746</v>
      </c>
      <c r="P36" s="1891" t="s">
        <v>11791</v>
      </c>
      <c r="Q36" s="1891" t="s">
        <v>11792</v>
      </c>
      <c r="R36" s="1891" t="s">
        <v>11793</v>
      </c>
      <c r="S36" s="1932" t="s">
        <v>11794</v>
      </c>
      <c r="T36" s="1893" t="s">
        <v>11795</v>
      </c>
      <c r="U36" s="1948"/>
      <c r="V36" s="1948"/>
    </row>
    <row r="37" spans="1:22">
      <c r="A37" s="1872" t="s">
        <v>5908</v>
      </c>
      <c r="B37" s="1873">
        <v>3</v>
      </c>
      <c r="C37" s="1894">
        <f t="shared" ref="C37:C49" si="0">J5</f>
        <v>6</v>
      </c>
      <c r="D37" s="1895">
        <f t="shared" ref="D37:D49" si="1">C37*0.15</f>
        <v>0.9</v>
      </c>
      <c r="E37" s="1896">
        <v>1</v>
      </c>
      <c r="F37" s="1897">
        <f t="shared" ref="F37:F49" si="2">C37*0.175</f>
        <v>1.05</v>
      </c>
      <c r="G37" s="1898">
        <v>1</v>
      </c>
      <c r="H37" s="1899">
        <f t="shared" ref="H37:H49" si="3">G37-E37/2</f>
        <v>0.5</v>
      </c>
      <c r="I37" s="1914">
        <f t="shared" ref="I37:I49" si="4">K5</f>
        <v>10</v>
      </c>
      <c r="J37" s="1915">
        <f t="shared" ref="J37:J49" si="5">D37*1.25</f>
        <v>1.125</v>
      </c>
      <c r="K37" s="1896">
        <v>1.2</v>
      </c>
      <c r="L37" s="1933">
        <f t="shared" ref="L37:L49" si="6">1.4*F37</f>
        <v>1.47</v>
      </c>
      <c r="M37" s="1934">
        <v>1.6</v>
      </c>
      <c r="N37" s="1899">
        <f t="shared" ref="N37:N49" si="7">M37-K37/2</f>
        <v>1</v>
      </c>
      <c r="O37" s="1894">
        <f t="shared" ref="O37:O49" si="8">L5</f>
        <v>14</v>
      </c>
      <c r="P37" s="1895">
        <f t="shared" ref="P37:P49" si="9">J37*1.25</f>
        <v>1.40625</v>
      </c>
      <c r="Q37" s="1949">
        <v>1.6</v>
      </c>
      <c r="R37" s="1933">
        <f>1.4*L37</f>
        <v>2.0579999999999998</v>
      </c>
      <c r="S37" s="1950">
        <v>2</v>
      </c>
      <c r="T37" s="1899">
        <f t="shared" ref="T37:T49" si="10">S37-Q37/2</f>
        <v>1.2</v>
      </c>
      <c r="U37" s="1948"/>
      <c r="V37" s="1951"/>
    </row>
    <row r="38" spans="1:22">
      <c r="A38" s="1872">
        <v>3</v>
      </c>
      <c r="B38" s="1873">
        <v>6</v>
      </c>
      <c r="C38" s="1900">
        <f t="shared" si="0"/>
        <v>8</v>
      </c>
      <c r="D38" s="1901">
        <f t="shared" si="1"/>
        <v>1.2</v>
      </c>
      <c r="E38" s="1902">
        <v>1.2</v>
      </c>
      <c r="F38" s="1903">
        <f t="shared" si="2"/>
        <v>1.4</v>
      </c>
      <c r="G38" s="1904">
        <v>1.4</v>
      </c>
      <c r="H38" s="1905">
        <f t="shared" si="3"/>
        <v>0.8</v>
      </c>
      <c r="I38" s="1914">
        <f t="shared" si="4"/>
        <v>12</v>
      </c>
      <c r="J38" s="1901">
        <f t="shared" si="5"/>
        <v>1.5</v>
      </c>
      <c r="K38" s="1902">
        <v>1.4</v>
      </c>
      <c r="L38" s="1903">
        <f t="shared" si="6"/>
        <v>1.96</v>
      </c>
      <c r="M38" s="1904">
        <v>2</v>
      </c>
      <c r="N38" s="1905">
        <f t="shared" si="7"/>
        <v>1.3</v>
      </c>
      <c r="O38" s="1935">
        <f t="shared" si="8"/>
        <v>18</v>
      </c>
      <c r="P38" s="1901">
        <f t="shared" si="9"/>
        <v>1.875</v>
      </c>
      <c r="Q38" s="1902">
        <v>2</v>
      </c>
      <c r="R38" s="1903">
        <f t="shared" ref="R38:R49" si="11">L38*1.4</f>
        <v>2.7440000000000002</v>
      </c>
      <c r="S38" s="1952">
        <v>2.6</v>
      </c>
      <c r="T38" s="1905">
        <f t="shared" si="10"/>
        <v>1.6</v>
      </c>
      <c r="U38" s="1948"/>
      <c r="V38" s="1951"/>
    </row>
    <row r="39" spans="1:22">
      <c r="A39" s="1872">
        <v>6</v>
      </c>
      <c r="B39" s="1873">
        <v>10</v>
      </c>
      <c r="C39" s="1900">
        <f t="shared" si="0"/>
        <v>9</v>
      </c>
      <c r="D39" s="1901">
        <f t="shared" si="1"/>
        <v>1.35</v>
      </c>
      <c r="E39" s="1902">
        <v>1.4</v>
      </c>
      <c r="F39" s="1903">
        <f t="shared" si="2"/>
        <v>1.575</v>
      </c>
      <c r="G39" s="1904">
        <v>1.6</v>
      </c>
      <c r="H39" s="1905">
        <f t="shared" si="3"/>
        <v>0.9</v>
      </c>
      <c r="I39" s="1914">
        <f t="shared" si="4"/>
        <v>15</v>
      </c>
      <c r="J39" s="1901">
        <f t="shared" si="5"/>
        <v>1.6875</v>
      </c>
      <c r="K39" s="1902">
        <v>1.8</v>
      </c>
      <c r="L39" s="1903">
        <f t="shared" si="6"/>
        <v>2.2050000000000001</v>
      </c>
      <c r="M39" s="1904">
        <v>2.4</v>
      </c>
      <c r="N39" s="1905">
        <f t="shared" si="7"/>
        <v>1.5</v>
      </c>
      <c r="O39" s="1935">
        <f t="shared" si="8"/>
        <v>22</v>
      </c>
      <c r="P39" s="1901">
        <f t="shared" si="9"/>
        <v>2.109375</v>
      </c>
      <c r="Q39" s="1902">
        <v>2.4</v>
      </c>
      <c r="R39" s="1903">
        <f t="shared" si="11"/>
        <v>3.0870000000000002</v>
      </c>
      <c r="S39" s="1952">
        <v>3.2</v>
      </c>
      <c r="T39" s="1905">
        <f t="shared" si="10"/>
        <v>2</v>
      </c>
      <c r="U39" s="1948"/>
      <c r="V39" s="1951"/>
    </row>
    <row r="40" spans="1:22">
      <c r="A40" s="1872">
        <v>10</v>
      </c>
      <c r="B40" s="1873">
        <v>18</v>
      </c>
      <c r="C40" s="1900">
        <f t="shared" si="0"/>
        <v>11</v>
      </c>
      <c r="D40" s="1901">
        <f t="shared" si="1"/>
        <v>1.65</v>
      </c>
      <c r="E40" s="1902">
        <v>1.6</v>
      </c>
      <c r="F40" s="1903">
        <f t="shared" si="2"/>
        <v>1.925</v>
      </c>
      <c r="G40" s="1904">
        <v>2</v>
      </c>
      <c r="H40" s="1905">
        <f t="shared" si="3"/>
        <v>1.2</v>
      </c>
      <c r="I40" s="1914">
        <f t="shared" si="4"/>
        <v>18</v>
      </c>
      <c r="J40" s="1901">
        <f t="shared" si="5"/>
        <v>2.0625</v>
      </c>
      <c r="K40" s="1902">
        <v>2</v>
      </c>
      <c r="L40" s="1903">
        <f t="shared" si="6"/>
        <v>2.6949999999999998</v>
      </c>
      <c r="M40" s="1904">
        <v>2.8</v>
      </c>
      <c r="N40" s="1905">
        <f t="shared" si="7"/>
        <v>1.8</v>
      </c>
      <c r="O40" s="1935">
        <f t="shared" si="8"/>
        <v>27</v>
      </c>
      <c r="P40" s="1901">
        <f t="shared" si="9"/>
        <v>2.578125</v>
      </c>
      <c r="Q40" s="1902">
        <v>2.8</v>
      </c>
      <c r="R40" s="1903">
        <f t="shared" si="11"/>
        <v>3.7730000000000001</v>
      </c>
      <c r="S40" s="1952">
        <v>4</v>
      </c>
      <c r="T40" s="1905">
        <f t="shared" si="10"/>
        <v>2.6</v>
      </c>
      <c r="U40" s="1948"/>
      <c r="V40" s="1951"/>
    </row>
    <row r="41" spans="1:22">
      <c r="A41" s="1872">
        <v>18</v>
      </c>
      <c r="B41" s="1873">
        <v>30</v>
      </c>
      <c r="C41" s="1900">
        <f t="shared" si="0"/>
        <v>13</v>
      </c>
      <c r="D41" s="1901">
        <f t="shared" si="1"/>
        <v>1.95</v>
      </c>
      <c r="E41" s="1902">
        <v>2</v>
      </c>
      <c r="F41" s="1903">
        <f t="shared" si="2"/>
        <v>2.2749999999999999</v>
      </c>
      <c r="G41" s="1904">
        <v>2.4</v>
      </c>
      <c r="H41" s="1905">
        <f t="shared" si="3"/>
        <v>1.4</v>
      </c>
      <c r="I41" s="1914">
        <f t="shared" si="4"/>
        <v>21</v>
      </c>
      <c r="J41" s="1901">
        <f t="shared" si="5"/>
        <v>2.4375</v>
      </c>
      <c r="K41" s="1902">
        <v>2.4</v>
      </c>
      <c r="L41" s="1903">
        <f t="shared" si="6"/>
        <v>3.1850000000000001</v>
      </c>
      <c r="M41" s="1904">
        <v>3.4</v>
      </c>
      <c r="N41" s="1905">
        <f t="shared" si="7"/>
        <v>2.2000000000000002</v>
      </c>
      <c r="O41" s="1935">
        <f t="shared" si="8"/>
        <v>33</v>
      </c>
      <c r="P41" s="1901">
        <f t="shared" si="9"/>
        <v>3.046875</v>
      </c>
      <c r="Q41" s="1902">
        <v>3.4</v>
      </c>
      <c r="R41" s="1903">
        <f t="shared" si="11"/>
        <v>4.4589999999999996</v>
      </c>
      <c r="S41" s="1952">
        <v>5</v>
      </c>
      <c r="T41" s="1905">
        <f t="shared" si="10"/>
        <v>3.3</v>
      </c>
      <c r="U41" s="1948"/>
      <c r="V41" s="1951"/>
    </row>
    <row r="42" spans="1:22">
      <c r="A42" s="1872">
        <v>30</v>
      </c>
      <c r="B42" s="1873">
        <v>50</v>
      </c>
      <c r="C42" s="1900">
        <f t="shared" si="0"/>
        <v>16</v>
      </c>
      <c r="D42" s="1901">
        <f t="shared" si="1"/>
        <v>2.4</v>
      </c>
      <c r="E42" s="1902">
        <v>2.4</v>
      </c>
      <c r="F42" s="1903">
        <f t="shared" si="2"/>
        <v>2.8</v>
      </c>
      <c r="G42" s="1904">
        <v>2.8</v>
      </c>
      <c r="H42" s="1905">
        <f t="shared" si="3"/>
        <v>1.6</v>
      </c>
      <c r="I42" s="1914">
        <f t="shared" si="4"/>
        <v>25</v>
      </c>
      <c r="J42" s="1901">
        <f t="shared" si="5"/>
        <v>3</v>
      </c>
      <c r="K42" s="1902">
        <v>3</v>
      </c>
      <c r="L42" s="1903">
        <f t="shared" si="6"/>
        <v>3.92</v>
      </c>
      <c r="M42" s="1904">
        <v>4</v>
      </c>
      <c r="N42" s="1905">
        <f t="shared" si="7"/>
        <v>2.5</v>
      </c>
      <c r="O42" s="1935">
        <f t="shared" si="8"/>
        <v>39</v>
      </c>
      <c r="P42" s="1901">
        <f t="shared" si="9"/>
        <v>3.75</v>
      </c>
      <c r="Q42" s="1902">
        <v>4</v>
      </c>
      <c r="R42" s="1903">
        <f t="shared" si="11"/>
        <v>5.4880000000000004</v>
      </c>
      <c r="S42" s="1952">
        <v>6</v>
      </c>
      <c r="T42" s="1905">
        <f t="shared" si="10"/>
        <v>4</v>
      </c>
      <c r="U42" s="1948"/>
      <c r="V42" s="1951"/>
    </row>
    <row r="43" spans="1:22">
      <c r="A43" s="1872">
        <v>50</v>
      </c>
      <c r="B43" s="1873">
        <v>80</v>
      </c>
      <c r="C43" s="1900">
        <f t="shared" si="0"/>
        <v>19</v>
      </c>
      <c r="D43" s="1901">
        <f t="shared" si="1"/>
        <v>2.85</v>
      </c>
      <c r="E43" s="1902">
        <v>2.8</v>
      </c>
      <c r="F43" s="1903">
        <f t="shared" si="2"/>
        <v>3.3250000000000002</v>
      </c>
      <c r="G43" s="1904">
        <v>3.4</v>
      </c>
      <c r="H43" s="1905">
        <f t="shared" si="3"/>
        <v>2</v>
      </c>
      <c r="I43" s="1914">
        <f t="shared" si="4"/>
        <v>30</v>
      </c>
      <c r="J43" s="1901">
        <f t="shared" si="5"/>
        <v>3.5625</v>
      </c>
      <c r="K43" s="1902">
        <v>3.6</v>
      </c>
      <c r="L43" s="1903">
        <f t="shared" si="6"/>
        <v>4.6550000000000002</v>
      </c>
      <c r="M43" s="1904">
        <v>4.5999999999999996</v>
      </c>
      <c r="N43" s="1905">
        <f t="shared" si="7"/>
        <v>2.8</v>
      </c>
      <c r="O43" s="1935">
        <f t="shared" si="8"/>
        <v>46</v>
      </c>
      <c r="P43" s="1901">
        <f t="shared" si="9"/>
        <v>4.453125</v>
      </c>
      <c r="Q43" s="1902">
        <v>4.5999999999999996</v>
      </c>
      <c r="R43" s="1903">
        <f t="shared" si="11"/>
        <v>6.5170000000000003</v>
      </c>
      <c r="S43" s="1952">
        <v>7</v>
      </c>
      <c r="T43" s="1905">
        <f t="shared" si="10"/>
        <v>4.7</v>
      </c>
      <c r="U43" s="1948"/>
      <c r="V43" s="1951"/>
    </row>
    <row r="44" spans="1:22">
      <c r="A44" s="1872">
        <v>80</v>
      </c>
      <c r="B44" s="1873">
        <v>120</v>
      </c>
      <c r="C44" s="1900">
        <f t="shared" si="0"/>
        <v>22</v>
      </c>
      <c r="D44" s="1901">
        <f t="shared" si="1"/>
        <v>3.3</v>
      </c>
      <c r="E44" s="1902">
        <v>3.2</v>
      </c>
      <c r="F44" s="1903">
        <f t="shared" si="2"/>
        <v>3.85</v>
      </c>
      <c r="G44" s="1904">
        <v>3.8</v>
      </c>
      <c r="H44" s="1905">
        <f t="shared" si="3"/>
        <v>2.2000000000000002</v>
      </c>
      <c r="I44" s="1914">
        <f t="shared" si="4"/>
        <v>35</v>
      </c>
      <c r="J44" s="1901">
        <f t="shared" si="5"/>
        <v>4.125</v>
      </c>
      <c r="K44" s="1902">
        <v>4.2</v>
      </c>
      <c r="L44" s="1903">
        <f t="shared" si="6"/>
        <v>5.39</v>
      </c>
      <c r="M44" s="1904">
        <v>5.4</v>
      </c>
      <c r="N44" s="1905">
        <f t="shared" si="7"/>
        <v>3.3</v>
      </c>
      <c r="O44" s="1935">
        <f t="shared" si="8"/>
        <v>54</v>
      </c>
      <c r="P44" s="1901">
        <f t="shared" si="9"/>
        <v>5.15625</v>
      </c>
      <c r="Q44" s="1902">
        <v>5.4</v>
      </c>
      <c r="R44" s="1903">
        <f t="shared" si="11"/>
        <v>7.5460000000000003</v>
      </c>
      <c r="S44" s="1952">
        <v>8</v>
      </c>
      <c r="T44" s="1905">
        <f t="shared" si="10"/>
        <v>5.3</v>
      </c>
      <c r="U44" s="1948"/>
      <c r="V44" s="1951"/>
    </row>
    <row r="45" spans="1:22">
      <c r="A45" s="1872">
        <v>120</v>
      </c>
      <c r="B45" s="1873">
        <v>180</v>
      </c>
      <c r="C45" s="1900">
        <f t="shared" si="0"/>
        <v>25</v>
      </c>
      <c r="D45" s="1901">
        <f t="shared" si="1"/>
        <v>3.75</v>
      </c>
      <c r="E45" s="1902">
        <v>3.8</v>
      </c>
      <c r="F45" s="1903">
        <f t="shared" si="2"/>
        <v>4.375</v>
      </c>
      <c r="G45" s="1904">
        <v>4.4000000000000004</v>
      </c>
      <c r="H45" s="1905">
        <f t="shared" si="3"/>
        <v>2.5</v>
      </c>
      <c r="I45" s="1914">
        <f t="shared" si="4"/>
        <v>40</v>
      </c>
      <c r="J45" s="1901">
        <f t="shared" si="5"/>
        <v>4.6875</v>
      </c>
      <c r="K45" s="1902">
        <v>4.8</v>
      </c>
      <c r="L45" s="1903">
        <f t="shared" si="6"/>
        <v>6.125</v>
      </c>
      <c r="M45" s="1904">
        <v>6</v>
      </c>
      <c r="N45" s="1905">
        <f t="shared" si="7"/>
        <v>3.6</v>
      </c>
      <c r="O45" s="1935">
        <f t="shared" si="8"/>
        <v>63</v>
      </c>
      <c r="P45" s="1901">
        <f t="shared" si="9"/>
        <v>5.859375</v>
      </c>
      <c r="Q45" s="1902">
        <v>6</v>
      </c>
      <c r="R45" s="1903">
        <f t="shared" si="11"/>
        <v>8.5749999999999993</v>
      </c>
      <c r="S45" s="1952">
        <v>9</v>
      </c>
      <c r="T45" s="1905">
        <f t="shared" si="10"/>
        <v>6</v>
      </c>
      <c r="U45" s="1948"/>
      <c r="V45" s="1951"/>
    </row>
    <row r="46" spans="1:22">
      <c r="A46" s="1872">
        <v>180</v>
      </c>
      <c r="B46" s="1873">
        <v>250</v>
      </c>
      <c r="C46" s="1900">
        <f t="shared" si="0"/>
        <v>29</v>
      </c>
      <c r="D46" s="1901">
        <f t="shared" si="1"/>
        <v>4.3499999999999996</v>
      </c>
      <c r="E46" s="1902">
        <v>4.4000000000000004</v>
      </c>
      <c r="F46" s="1903">
        <f t="shared" si="2"/>
        <v>5.0750000000000002</v>
      </c>
      <c r="G46" s="1904">
        <v>5</v>
      </c>
      <c r="H46" s="1905">
        <f t="shared" si="3"/>
        <v>2.8</v>
      </c>
      <c r="I46" s="1914">
        <f t="shared" si="4"/>
        <v>46</v>
      </c>
      <c r="J46" s="1901">
        <f t="shared" si="5"/>
        <v>5.4375</v>
      </c>
      <c r="K46" s="1902">
        <v>5.4</v>
      </c>
      <c r="L46" s="1903">
        <f t="shared" si="6"/>
        <v>7.1050000000000004</v>
      </c>
      <c r="M46" s="1904">
        <v>7</v>
      </c>
      <c r="N46" s="1905">
        <f t="shared" si="7"/>
        <v>4.3</v>
      </c>
      <c r="O46" s="1935">
        <f t="shared" si="8"/>
        <v>72</v>
      </c>
      <c r="P46" s="1901">
        <f t="shared" si="9"/>
        <v>6.796875</v>
      </c>
      <c r="Q46" s="1902">
        <v>7</v>
      </c>
      <c r="R46" s="1903">
        <f t="shared" si="11"/>
        <v>9.9469999999999992</v>
      </c>
      <c r="S46" s="1952">
        <v>10</v>
      </c>
      <c r="T46" s="1905">
        <f t="shared" si="10"/>
        <v>6.5</v>
      </c>
      <c r="U46" s="1948"/>
      <c r="V46" s="1951"/>
    </row>
    <row r="47" spans="1:22">
      <c r="A47" s="1872">
        <v>250</v>
      </c>
      <c r="B47" s="1873">
        <v>315</v>
      </c>
      <c r="C47" s="1900">
        <f t="shared" si="0"/>
        <v>32</v>
      </c>
      <c r="D47" s="1901">
        <f t="shared" si="1"/>
        <v>4.8</v>
      </c>
      <c r="E47" s="1902">
        <v>4.8</v>
      </c>
      <c r="F47" s="1903">
        <f t="shared" si="2"/>
        <v>5.6</v>
      </c>
      <c r="G47" s="1904">
        <v>5.6</v>
      </c>
      <c r="H47" s="1905">
        <f t="shared" si="3"/>
        <v>3.2</v>
      </c>
      <c r="I47" s="1914">
        <f t="shared" si="4"/>
        <v>52</v>
      </c>
      <c r="J47" s="1901">
        <f t="shared" si="5"/>
        <v>6</v>
      </c>
      <c r="K47" s="1902">
        <v>6</v>
      </c>
      <c r="L47" s="1903">
        <f t="shared" si="6"/>
        <v>7.84</v>
      </c>
      <c r="M47" s="1904">
        <v>8</v>
      </c>
      <c r="N47" s="1905">
        <f t="shared" si="7"/>
        <v>5</v>
      </c>
      <c r="O47" s="1935">
        <f t="shared" si="8"/>
        <v>81</v>
      </c>
      <c r="P47" s="1901">
        <f t="shared" si="9"/>
        <v>7.5</v>
      </c>
      <c r="Q47" s="1902">
        <v>8</v>
      </c>
      <c r="R47" s="1903">
        <f t="shared" si="11"/>
        <v>10.976000000000001</v>
      </c>
      <c r="S47" s="1952">
        <v>11</v>
      </c>
      <c r="T47" s="1905">
        <f t="shared" si="10"/>
        <v>7</v>
      </c>
      <c r="U47" s="1948"/>
      <c r="V47" s="1951"/>
    </row>
    <row r="48" spans="1:22">
      <c r="A48" s="1872">
        <v>315</v>
      </c>
      <c r="B48" s="1873">
        <v>400</v>
      </c>
      <c r="C48" s="1900">
        <f t="shared" si="0"/>
        <v>36</v>
      </c>
      <c r="D48" s="1901">
        <f t="shared" si="1"/>
        <v>5.4</v>
      </c>
      <c r="E48" s="1902">
        <v>5.4</v>
      </c>
      <c r="F48" s="1903">
        <f t="shared" si="2"/>
        <v>6.3</v>
      </c>
      <c r="G48" s="1904">
        <v>6.2</v>
      </c>
      <c r="H48" s="1905">
        <f t="shared" si="3"/>
        <v>3.5</v>
      </c>
      <c r="I48" s="1914">
        <f t="shared" si="4"/>
        <v>57</v>
      </c>
      <c r="J48" s="1901">
        <f t="shared" si="5"/>
        <v>6.75</v>
      </c>
      <c r="K48" s="1902">
        <v>7</v>
      </c>
      <c r="L48" s="1903">
        <f t="shared" si="6"/>
        <v>8.82</v>
      </c>
      <c r="M48" s="1904">
        <v>9</v>
      </c>
      <c r="N48" s="1905">
        <f t="shared" si="7"/>
        <v>5.5</v>
      </c>
      <c r="O48" s="1935">
        <f t="shared" si="8"/>
        <v>89</v>
      </c>
      <c r="P48" s="1901">
        <f t="shared" si="9"/>
        <v>8.4375</v>
      </c>
      <c r="Q48" s="1902">
        <v>9</v>
      </c>
      <c r="R48" s="1903">
        <f t="shared" si="11"/>
        <v>12.348000000000001</v>
      </c>
      <c r="S48" s="1952">
        <v>12</v>
      </c>
      <c r="T48" s="1905">
        <f t="shared" si="10"/>
        <v>7.5</v>
      </c>
      <c r="U48" s="1948"/>
      <c r="V48" s="1951"/>
    </row>
    <row r="49" spans="1:22">
      <c r="A49" s="1872">
        <v>400</v>
      </c>
      <c r="B49" s="1873">
        <v>500</v>
      </c>
      <c r="C49" s="1906">
        <f t="shared" si="0"/>
        <v>40</v>
      </c>
      <c r="D49" s="1907">
        <f t="shared" si="1"/>
        <v>6</v>
      </c>
      <c r="E49" s="1908">
        <v>6</v>
      </c>
      <c r="F49" s="1909">
        <f t="shared" si="2"/>
        <v>7</v>
      </c>
      <c r="G49" s="1910">
        <v>7</v>
      </c>
      <c r="H49" s="1911">
        <f t="shared" si="3"/>
        <v>4</v>
      </c>
      <c r="I49" s="1914">
        <f t="shared" si="4"/>
        <v>63</v>
      </c>
      <c r="J49" s="1907">
        <f t="shared" si="5"/>
        <v>7.5</v>
      </c>
      <c r="K49" s="1908">
        <v>8</v>
      </c>
      <c r="L49" s="1936">
        <f t="shared" si="6"/>
        <v>9.8000000000000007</v>
      </c>
      <c r="M49" s="1910">
        <v>10</v>
      </c>
      <c r="N49" s="1911">
        <f t="shared" si="7"/>
        <v>6</v>
      </c>
      <c r="O49" s="1935">
        <f t="shared" si="8"/>
        <v>97</v>
      </c>
      <c r="P49" s="1907">
        <f t="shared" si="9"/>
        <v>9.375</v>
      </c>
      <c r="Q49" s="1908">
        <v>10</v>
      </c>
      <c r="R49" s="1909">
        <f t="shared" si="11"/>
        <v>13.72</v>
      </c>
      <c r="S49" s="1953">
        <v>14</v>
      </c>
      <c r="T49" s="1911">
        <f t="shared" si="10"/>
        <v>9</v>
      </c>
      <c r="U49" s="1948"/>
      <c r="V49" s="1951"/>
    </row>
    <row r="50" spans="1:22" ht="15.75">
      <c r="A50" s="5321" t="s">
        <v>909</v>
      </c>
      <c r="B50" s="5322"/>
      <c r="C50" s="1912" t="s">
        <v>11747</v>
      </c>
      <c r="D50" s="1891" t="s">
        <v>11791</v>
      </c>
      <c r="E50" s="1891" t="s">
        <v>11792</v>
      </c>
      <c r="F50" s="1891" t="s">
        <v>11793</v>
      </c>
      <c r="G50" s="1913" t="s">
        <v>11794</v>
      </c>
      <c r="H50" s="1893" t="s">
        <v>11795</v>
      </c>
      <c r="I50" s="1931" t="s">
        <v>11748</v>
      </c>
      <c r="J50" s="1891" t="s">
        <v>11791</v>
      </c>
      <c r="K50" s="1891" t="s">
        <v>11792</v>
      </c>
      <c r="L50" s="1891" t="s">
        <v>11793</v>
      </c>
      <c r="M50" s="1932" t="s">
        <v>11794</v>
      </c>
      <c r="N50" s="1893" t="s">
        <v>11795</v>
      </c>
      <c r="O50" s="1931" t="s">
        <v>11749</v>
      </c>
      <c r="P50" s="1891" t="s">
        <v>11791</v>
      </c>
      <c r="Q50" s="1891" t="s">
        <v>11792</v>
      </c>
      <c r="R50" s="1891" t="s">
        <v>11793</v>
      </c>
      <c r="S50" s="1954" t="s">
        <v>11794</v>
      </c>
      <c r="T50" s="1893" t="s">
        <v>11795</v>
      </c>
      <c r="U50" s="1948"/>
      <c r="V50" s="1951"/>
    </row>
    <row r="51" spans="1:22">
      <c r="A51" s="1872" t="s">
        <v>5908</v>
      </c>
      <c r="B51" s="1873">
        <v>3</v>
      </c>
      <c r="C51" s="1914">
        <f t="shared" ref="C51:C63" si="12">M5</f>
        <v>25</v>
      </c>
      <c r="D51" s="1915">
        <f t="shared" ref="D51:D63" si="13">P37*1.25</f>
        <v>1.7578125</v>
      </c>
      <c r="E51" s="1916">
        <v>2</v>
      </c>
      <c r="F51" s="1917">
        <f t="shared" ref="F51:F63" si="14">1.4*R37</f>
        <v>2.8812000000000002</v>
      </c>
      <c r="G51" s="1918">
        <v>3</v>
      </c>
      <c r="H51" s="1899">
        <f t="shared" ref="H51:H63" si="15">G51-E51/2</f>
        <v>2</v>
      </c>
      <c r="I51" s="1935">
        <f t="shared" ref="I51:I63" si="16">N5</f>
        <v>40</v>
      </c>
      <c r="J51" s="1915">
        <f>1.25*D51</f>
        <v>2.197265625</v>
      </c>
      <c r="K51" s="1896">
        <v>2.4</v>
      </c>
      <c r="L51" s="1917">
        <f t="shared" ref="L51:L62" si="17">1.4*F51</f>
        <v>4.0336800000000004</v>
      </c>
      <c r="M51" s="1934">
        <v>4</v>
      </c>
      <c r="N51" s="1899">
        <f t="shared" ref="N51:N63" si="18">M51-K51/2</f>
        <v>2.8</v>
      </c>
      <c r="O51" s="1935">
        <f t="shared" ref="O51:O63" si="19">O5</f>
        <v>60</v>
      </c>
      <c r="P51" s="1915">
        <f t="shared" ref="P51:P63" si="20">1.25*J51</f>
        <v>2.74658203125</v>
      </c>
      <c r="Q51" s="1896">
        <v>3</v>
      </c>
      <c r="R51" s="1917">
        <f t="shared" ref="R51:R62" si="21">L51*1.4</f>
        <v>5.6471520000000002</v>
      </c>
      <c r="S51" s="1950">
        <v>6</v>
      </c>
      <c r="T51" s="1899">
        <f t="shared" ref="T51:T63" si="22">S51-Q51/2</f>
        <v>4.5</v>
      </c>
      <c r="U51" s="1948"/>
      <c r="V51" s="1951"/>
    </row>
    <row r="52" spans="1:22">
      <c r="A52" s="1872">
        <v>3</v>
      </c>
      <c r="B52" s="1873">
        <v>6</v>
      </c>
      <c r="C52" s="1914">
        <f t="shared" si="12"/>
        <v>30</v>
      </c>
      <c r="D52" s="1901">
        <f t="shared" si="13"/>
        <v>2.34375</v>
      </c>
      <c r="E52" s="1919">
        <v>2.4</v>
      </c>
      <c r="F52" s="1920">
        <f t="shared" si="14"/>
        <v>3.8416000000000001</v>
      </c>
      <c r="G52" s="1921">
        <v>4</v>
      </c>
      <c r="H52" s="1905">
        <f t="shared" si="15"/>
        <v>2.8</v>
      </c>
      <c r="I52" s="1935">
        <f t="shared" si="16"/>
        <v>48</v>
      </c>
      <c r="J52" s="1901">
        <f t="shared" ref="J52:J62" si="23">D52*1.25</f>
        <v>2.9296875</v>
      </c>
      <c r="K52" s="1902">
        <v>3</v>
      </c>
      <c r="L52" s="1917">
        <f t="shared" si="17"/>
        <v>5.3782399999999999</v>
      </c>
      <c r="M52" s="1904">
        <v>5</v>
      </c>
      <c r="N52" s="1905">
        <f t="shared" si="18"/>
        <v>3.5</v>
      </c>
      <c r="O52" s="1935">
        <f t="shared" si="19"/>
        <v>75</v>
      </c>
      <c r="P52" s="1901">
        <f t="shared" si="20"/>
        <v>3.662109375</v>
      </c>
      <c r="Q52" s="1902">
        <v>4</v>
      </c>
      <c r="R52" s="1917">
        <f t="shared" si="21"/>
        <v>7.5295360000000002</v>
      </c>
      <c r="S52" s="1952">
        <v>8</v>
      </c>
      <c r="T52" s="1905">
        <f t="shared" si="22"/>
        <v>6</v>
      </c>
      <c r="U52" s="1948"/>
      <c r="V52" s="1951"/>
    </row>
    <row r="53" spans="1:22">
      <c r="A53" s="1872">
        <v>6</v>
      </c>
      <c r="B53" s="1873">
        <v>10</v>
      </c>
      <c r="C53" s="1914">
        <f t="shared" si="12"/>
        <v>36</v>
      </c>
      <c r="D53" s="1901">
        <f t="shared" si="13"/>
        <v>2.63671875</v>
      </c>
      <c r="E53" s="1919">
        <v>2.8</v>
      </c>
      <c r="F53" s="1920">
        <f t="shared" si="14"/>
        <v>4.3217999999999996</v>
      </c>
      <c r="G53" s="1921">
        <v>5</v>
      </c>
      <c r="H53" s="1905">
        <f t="shared" si="15"/>
        <v>3.6</v>
      </c>
      <c r="I53" s="1935">
        <f t="shared" si="16"/>
        <v>58</v>
      </c>
      <c r="J53" s="1901">
        <f t="shared" si="23"/>
        <v>3.2958984375</v>
      </c>
      <c r="K53" s="1902">
        <v>3.6</v>
      </c>
      <c r="L53" s="1917">
        <f t="shared" si="17"/>
        <v>6.0505199999999997</v>
      </c>
      <c r="M53" s="1904">
        <v>6</v>
      </c>
      <c r="N53" s="1905">
        <f t="shared" si="18"/>
        <v>4.2</v>
      </c>
      <c r="O53" s="1935">
        <f t="shared" si="19"/>
        <v>90</v>
      </c>
      <c r="P53" s="1901">
        <f t="shared" si="20"/>
        <v>4.119873046875</v>
      </c>
      <c r="Q53" s="1902">
        <v>5</v>
      </c>
      <c r="R53" s="1917">
        <f t="shared" si="21"/>
        <v>8.4707279999999994</v>
      </c>
      <c r="S53" s="1952">
        <v>9</v>
      </c>
      <c r="T53" s="1905">
        <f t="shared" si="22"/>
        <v>6.5</v>
      </c>
      <c r="U53" s="1948"/>
      <c r="V53" s="1951"/>
    </row>
    <row r="54" spans="1:22">
      <c r="A54" s="1872">
        <v>10</v>
      </c>
      <c r="B54" s="1873">
        <v>18</v>
      </c>
      <c r="C54" s="1914">
        <f t="shared" si="12"/>
        <v>43</v>
      </c>
      <c r="D54" s="1901">
        <f t="shared" si="13"/>
        <v>3.22265625</v>
      </c>
      <c r="E54" s="1919">
        <v>3.4</v>
      </c>
      <c r="F54" s="1920">
        <f t="shared" si="14"/>
        <v>5.2821999999999996</v>
      </c>
      <c r="G54" s="1921">
        <v>6</v>
      </c>
      <c r="H54" s="1905">
        <f t="shared" si="15"/>
        <v>4.3</v>
      </c>
      <c r="I54" s="1935">
        <f t="shared" si="16"/>
        <v>70</v>
      </c>
      <c r="J54" s="1901">
        <f t="shared" si="23"/>
        <v>4.0283203125</v>
      </c>
      <c r="K54" s="1902">
        <v>4</v>
      </c>
      <c r="L54" s="1917">
        <f t="shared" si="17"/>
        <v>7.3950800000000001</v>
      </c>
      <c r="M54" s="1904">
        <v>8</v>
      </c>
      <c r="N54" s="1905">
        <f t="shared" si="18"/>
        <v>6</v>
      </c>
      <c r="O54" s="1935">
        <f t="shared" si="19"/>
        <v>110</v>
      </c>
      <c r="P54" s="1901">
        <f t="shared" si="20"/>
        <v>5.035400390625</v>
      </c>
      <c r="Q54" s="1902">
        <v>6</v>
      </c>
      <c r="R54" s="1917">
        <f t="shared" si="21"/>
        <v>10.353111999999999</v>
      </c>
      <c r="S54" s="1952">
        <v>11</v>
      </c>
      <c r="T54" s="1905">
        <f t="shared" si="22"/>
        <v>8</v>
      </c>
      <c r="U54" s="1948"/>
      <c r="V54" s="1951"/>
    </row>
    <row r="55" spans="1:22">
      <c r="A55" s="1872">
        <v>18</v>
      </c>
      <c r="B55" s="1873">
        <v>30</v>
      </c>
      <c r="C55" s="1914">
        <f t="shared" si="12"/>
        <v>52</v>
      </c>
      <c r="D55" s="1901">
        <f t="shared" si="13"/>
        <v>3.80859375</v>
      </c>
      <c r="E55" s="1919">
        <v>4</v>
      </c>
      <c r="F55" s="1920">
        <f t="shared" si="14"/>
        <v>6.2426000000000004</v>
      </c>
      <c r="G55" s="1921">
        <v>7</v>
      </c>
      <c r="H55" s="1905">
        <f t="shared" si="15"/>
        <v>5</v>
      </c>
      <c r="I55" s="1935">
        <f t="shared" si="16"/>
        <v>84</v>
      </c>
      <c r="J55" s="1901">
        <f t="shared" si="23"/>
        <v>4.7607421875</v>
      </c>
      <c r="K55" s="1902">
        <v>5</v>
      </c>
      <c r="L55" s="1917">
        <f t="shared" si="17"/>
        <v>8.7396399999999996</v>
      </c>
      <c r="M55" s="1904">
        <v>9</v>
      </c>
      <c r="N55" s="1905">
        <f t="shared" si="18"/>
        <v>6.5</v>
      </c>
      <c r="O55" s="1935">
        <f t="shared" si="19"/>
        <v>130</v>
      </c>
      <c r="P55" s="1901">
        <f t="shared" si="20"/>
        <v>5.950927734375</v>
      </c>
      <c r="Q55" s="1902">
        <v>7</v>
      </c>
      <c r="R55" s="1917">
        <f t="shared" si="21"/>
        <v>12.235495999999999</v>
      </c>
      <c r="S55" s="1952">
        <v>13</v>
      </c>
      <c r="T55" s="1905">
        <f t="shared" si="22"/>
        <v>9.5</v>
      </c>
      <c r="U55" s="1948"/>
      <c r="V55" s="1951"/>
    </row>
    <row r="56" spans="1:22">
      <c r="A56" s="1872">
        <v>30</v>
      </c>
      <c r="B56" s="1873">
        <v>50</v>
      </c>
      <c r="C56" s="1914">
        <f t="shared" si="12"/>
        <v>62</v>
      </c>
      <c r="D56" s="1901">
        <f t="shared" si="13"/>
        <v>4.6875</v>
      </c>
      <c r="E56" s="1919">
        <v>5</v>
      </c>
      <c r="F56" s="1920">
        <f t="shared" si="14"/>
        <v>7.6832000000000003</v>
      </c>
      <c r="G56" s="1921">
        <v>8</v>
      </c>
      <c r="H56" s="1905">
        <f t="shared" si="15"/>
        <v>5.5</v>
      </c>
      <c r="I56" s="1935">
        <f t="shared" si="16"/>
        <v>100</v>
      </c>
      <c r="J56" s="1901">
        <f t="shared" si="23"/>
        <v>5.859375</v>
      </c>
      <c r="K56" s="1902">
        <v>6</v>
      </c>
      <c r="L56" s="1917">
        <f t="shared" si="17"/>
        <v>10.75648</v>
      </c>
      <c r="M56" s="1904">
        <v>11</v>
      </c>
      <c r="N56" s="1905">
        <f t="shared" si="18"/>
        <v>8</v>
      </c>
      <c r="O56" s="1935">
        <f t="shared" si="19"/>
        <v>160</v>
      </c>
      <c r="P56" s="1901">
        <f t="shared" si="20"/>
        <v>7.32421875</v>
      </c>
      <c r="Q56" s="1902">
        <v>8</v>
      </c>
      <c r="R56" s="1917">
        <f t="shared" si="21"/>
        <v>15.059072</v>
      </c>
      <c r="S56" s="1952">
        <v>16</v>
      </c>
      <c r="T56" s="1905">
        <f t="shared" si="22"/>
        <v>12</v>
      </c>
      <c r="U56" s="1948"/>
      <c r="V56" s="1951"/>
    </row>
    <row r="57" spans="1:22">
      <c r="A57" s="1872">
        <v>50</v>
      </c>
      <c r="B57" s="1873">
        <v>80</v>
      </c>
      <c r="C57" s="1914">
        <f t="shared" si="12"/>
        <v>74</v>
      </c>
      <c r="D57" s="1901">
        <f t="shared" si="13"/>
        <v>5.56640625</v>
      </c>
      <c r="E57" s="1919">
        <v>6</v>
      </c>
      <c r="F57" s="1920">
        <f t="shared" si="14"/>
        <v>9.1237999999999992</v>
      </c>
      <c r="G57" s="1921">
        <v>9</v>
      </c>
      <c r="H57" s="1905">
        <f t="shared" si="15"/>
        <v>6</v>
      </c>
      <c r="I57" s="1935">
        <f t="shared" si="16"/>
        <v>120</v>
      </c>
      <c r="J57" s="1901">
        <f t="shared" si="23"/>
        <v>6.9580078125</v>
      </c>
      <c r="K57" s="1902">
        <v>7</v>
      </c>
      <c r="L57" s="1917">
        <f t="shared" si="17"/>
        <v>12.77332</v>
      </c>
      <c r="M57" s="1904">
        <v>13</v>
      </c>
      <c r="N57" s="1905">
        <f t="shared" si="18"/>
        <v>9.5</v>
      </c>
      <c r="O57" s="1935">
        <f t="shared" si="19"/>
        <v>190</v>
      </c>
      <c r="P57" s="1901">
        <f t="shared" si="20"/>
        <v>8.697509765625</v>
      </c>
      <c r="Q57" s="1902">
        <v>9</v>
      </c>
      <c r="R57" s="1917">
        <f t="shared" si="21"/>
        <v>17.882648</v>
      </c>
      <c r="S57" s="1952">
        <v>19</v>
      </c>
      <c r="T57" s="1905">
        <f t="shared" si="22"/>
        <v>14.5</v>
      </c>
      <c r="U57" s="1948"/>
      <c r="V57" s="1951"/>
    </row>
    <row r="58" spans="1:22">
      <c r="A58" s="1872">
        <v>80</v>
      </c>
      <c r="B58" s="1873">
        <v>120</v>
      </c>
      <c r="C58" s="1914">
        <f t="shared" si="12"/>
        <v>87</v>
      </c>
      <c r="D58" s="1901">
        <f t="shared" si="13"/>
        <v>6.4453125</v>
      </c>
      <c r="E58" s="1919">
        <v>7</v>
      </c>
      <c r="F58" s="1920">
        <f t="shared" si="14"/>
        <v>10.564399999999999</v>
      </c>
      <c r="G58" s="1921">
        <v>10</v>
      </c>
      <c r="H58" s="1905">
        <f t="shared" si="15"/>
        <v>6.5</v>
      </c>
      <c r="I58" s="1935">
        <f t="shared" si="16"/>
        <v>140</v>
      </c>
      <c r="J58" s="1901">
        <f t="shared" si="23"/>
        <v>8.056640625</v>
      </c>
      <c r="K58" s="1902">
        <v>8</v>
      </c>
      <c r="L58" s="1917">
        <f t="shared" si="17"/>
        <v>14.79016</v>
      </c>
      <c r="M58" s="1904">
        <v>15</v>
      </c>
      <c r="N58" s="1905">
        <f t="shared" si="18"/>
        <v>11</v>
      </c>
      <c r="O58" s="1935">
        <f t="shared" si="19"/>
        <v>220</v>
      </c>
      <c r="P58" s="1901">
        <f t="shared" si="20"/>
        <v>10.07080078125</v>
      </c>
      <c r="Q58" s="1902">
        <v>10</v>
      </c>
      <c r="R58" s="1917">
        <f t="shared" si="21"/>
        <v>20.706223999999999</v>
      </c>
      <c r="S58" s="1952">
        <v>22</v>
      </c>
      <c r="T58" s="1905">
        <f t="shared" si="22"/>
        <v>17</v>
      </c>
      <c r="U58" s="1948"/>
      <c r="V58" s="1951"/>
    </row>
    <row r="59" spans="1:22">
      <c r="A59" s="1872">
        <v>120</v>
      </c>
      <c r="B59" s="1873">
        <v>180</v>
      </c>
      <c r="C59" s="1914">
        <f t="shared" si="12"/>
        <v>100</v>
      </c>
      <c r="D59" s="1901">
        <f t="shared" si="13"/>
        <v>7.32421875</v>
      </c>
      <c r="E59" s="1919">
        <v>8</v>
      </c>
      <c r="F59" s="1920">
        <f t="shared" si="14"/>
        <v>12.005000000000001</v>
      </c>
      <c r="G59" s="1921">
        <v>12</v>
      </c>
      <c r="H59" s="1905">
        <f t="shared" si="15"/>
        <v>8</v>
      </c>
      <c r="I59" s="1935">
        <f t="shared" si="16"/>
        <v>160</v>
      </c>
      <c r="J59" s="1901">
        <f t="shared" si="23"/>
        <v>9.1552734375</v>
      </c>
      <c r="K59" s="1902">
        <v>9</v>
      </c>
      <c r="L59" s="1917">
        <f t="shared" si="17"/>
        <v>16.806999999999999</v>
      </c>
      <c r="M59" s="1904">
        <v>18</v>
      </c>
      <c r="N59" s="1905">
        <f t="shared" si="18"/>
        <v>13.5</v>
      </c>
      <c r="O59" s="1935">
        <f t="shared" si="19"/>
        <v>250</v>
      </c>
      <c r="P59" s="1901">
        <f t="shared" si="20"/>
        <v>11.444091796875</v>
      </c>
      <c r="Q59" s="1902">
        <v>12</v>
      </c>
      <c r="R59" s="1917">
        <f t="shared" si="21"/>
        <v>23.529800000000002</v>
      </c>
      <c r="S59" s="1952">
        <v>25</v>
      </c>
      <c r="T59" s="1905">
        <f t="shared" si="22"/>
        <v>19</v>
      </c>
      <c r="U59" s="1948"/>
      <c r="V59" s="1951"/>
    </row>
    <row r="60" spans="1:22">
      <c r="A60" s="1872">
        <v>180</v>
      </c>
      <c r="B60" s="1873">
        <v>250</v>
      </c>
      <c r="C60" s="1914">
        <f t="shared" si="12"/>
        <v>115</v>
      </c>
      <c r="D60" s="1901">
        <f t="shared" si="13"/>
        <v>8.49609375</v>
      </c>
      <c r="E60" s="1919">
        <v>9</v>
      </c>
      <c r="F60" s="1920">
        <f t="shared" si="14"/>
        <v>13.925800000000001</v>
      </c>
      <c r="G60" s="1921">
        <v>14</v>
      </c>
      <c r="H60" s="1905">
        <f t="shared" si="15"/>
        <v>9.5</v>
      </c>
      <c r="I60" s="1935">
        <f t="shared" si="16"/>
        <v>185</v>
      </c>
      <c r="J60" s="1901">
        <f t="shared" si="23"/>
        <v>10.6201171875</v>
      </c>
      <c r="K60" s="1902">
        <v>10</v>
      </c>
      <c r="L60" s="1917">
        <f t="shared" si="17"/>
        <v>19.496120000000001</v>
      </c>
      <c r="M60" s="1904">
        <v>20</v>
      </c>
      <c r="N60" s="1905">
        <f t="shared" si="18"/>
        <v>15</v>
      </c>
      <c r="O60" s="1935">
        <f t="shared" si="19"/>
        <v>290</v>
      </c>
      <c r="P60" s="1901">
        <f t="shared" si="20"/>
        <v>13.275146484375</v>
      </c>
      <c r="Q60" s="1902">
        <v>14</v>
      </c>
      <c r="R60" s="1917">
        <f t="shared" si="21"/>
        <v>27.294568000000002</v>
      </c>
      <c r="S60" s="1952">
        <v>29</v>
      </c>
      <c r="T60" s="1905">
        <f t="shared" si="22"/>
        <v>22</v>
      </c>
      <c r="U60" s="1948"/>
      <c r="V60" s="1951"/>
    </row>
    <row r="61" spans="1:22">
      <c r="A61" s="1872">
        <v>250</v>
      </c>
      <c r="B61" s="1873">
        <v>315</v>
      </c>
      <c r="C61" s="1914">
        <f t="shared" si="12"/>
        <v>130</v>
      </c>
      <c r="D61" s="1901">
        <f t="shared" si="13"/>
        <v>9.375</v>
      </c>
      <c r="E61" s="1919">
        <v>10</v>
      </c>
      <c r="F61" s="1920">
        <f t="shared" si="14"/>
        <v>15.366400000000001</v>
      </c>
      <c r="G61" s="1921">
        <v>16</v>
      </c>
      <c r="H61" s="1905">
        <f t="shared" si="15"/>
        <v>11</v>
      </c>
      <c r="I61" s="1935">
        <f t="shared" si="16"/>
        <v>210</v>
      </c>
      <c r="J61" s="1901">
        <f t="shared" si="23"/>
        <v>11.71875</v>
      </c>
      <c r="K61" s="1902">
        <v>12</v>
      </c>
      <c r="L61" s="1917">
        <f t="shared" si="17"/>
        <v>21.51296</v>
      </c>
      <c r="M61" s="1904">
        <v>22</v>
      </c>
      <c r="N61" s="1905">
        <f t="shared" si="18"/>
        <v>16</v>
      </c>
      <c r="O61" s="1935">
        <f t="shared" si="19"/>
        <v>320</v>
      </c>
      <c r="P61" s="1901">
        <f t="shared" si="20"/>
        <v>14.6484375</v>
      </c>
      <c r="Q61" s="1902">
        <v>16</v>
      </c>
      <c r="R61" s="1917">
        <f t="shared" si="21"/>
        <v>30.118144000000001</v>
      </c>
      <c r="S61" s="1952">
        <v>32</v>
      </c>
      <c r="T61" s="1905">
        <f t="shared" si="22"/>
        <v>24</v>
      </c>
      <c r="U61" s="1948"/>
      <c r="V61" s="1951"/>
    </row>
    <row r="62" spans="1:22">
      <c r="A62" s="1872">
        <v>315</v>
      </c>
      <c r="B62" s="1873">
        <v>400</v>
      </c>
      <c r="C62" s="1914">
        <f t="shared" si="12"/>
        <v>140</v>
      </c>
      <c r="D62" s="1901">
        <f t="shared" si="13"/>
        <v>10.546875</v>
      </c>
      <c r="E62" s="1919">
        <v>11</v>
      </c>
      <c r="F62" s="1920">
        <f t="shared" si="14"/>
        <v>17.287199999999999</v>
      </c>
      <c r="G62" s="1921">
        <v>18</v>
      </c>
      <c r="H62" s="1905">
        <f t="shared" si="15"/>
        <v>12.5</v>
      </c>
      <c r="I62" s="1935">
        <f t="shared" si="16"/>
        <v>230</v>
      </c>
      <c r="J62" s="1901">
        <f t="shared" si="23"/>
        <v>13.18359375</v>
      </c>
      <c r="K62" s="1902">
        <v>14</v>
      </c>
      <c r="L62" s="1917">
        <f t="shared" si="17"/>
        <v>24.202079999999999</v>
      </c>
      <c r="M62" s="1904">
        <v>25</v>
      </c>
      <c r="N62" s="1905">
        <f t="shared" si="18"/>
        <v>18</v>
      </c>
      <c r="O62" s="1935">
        <f t="shared" si="19"/>
        <v>360</v>
      </c>
      <c r="P62" s="1901">
        <f t="shared" si="20"/>
        <v>16.4794921875</v>
      </c>
      <c r="Q62" s="1902">
        <v>18</v>
      </c>
      <c r="R62" s="1917">
        <f t="shared" si="21"/>
        <v>33.882911999999997</v>
      </c>
      <c r="S62" s="1952">
        <v>36</v>
      </c>
      <c r="T62" s="1905">
        <f t="shared" si="22"/>
        <v>27</v>
      </c>
      <c r="U62" s="1948"/>
      <c r="V62" s="1951"/>
    </row>
    <row r="63" spans="1:22">
      <c r="A63" s="1877">
        <v>400</v>
      </c>
      <c r="B63" s="1878">
        <v>500</v>
      </c>
      <c r="C63" s="1906">
        <f t="shared" si="12"/>
        <v>155</v>
      </c>
      <c r="D63" s="1907">
        <f t="shared" si="13"/>
        <v>11.71875</v>
      </c>
      <c r="E63" s="1922">
        <v>12</v>
      </c>
      <c r="F63" s="1923">
        <f t="shared" si="14"/>
        <v>19.207999999999998</v>
      </c>
      <c r="G63" s="1924">
        <v>20</v>
      </c>
      <c r="H63" s="1911">
        <f t="shared" si="15"/>
        <v>14</v>
      </c>
      <c r="I63" s="1906">
        <f t="shared" si="16"/>
        <v>250</v>
      </c>
      <c r="J63" s="1907">
        <f>1.25*D63</f>
        <v>14.6484375</v>
      </c>
      <c r="K63" s="1908">
        <v>16</v>
      </c>
      <c r="L63" s="1937">
        <f>F63*1.4</f>
        <v>26.891200000000001</v>
      </c>
      <c r="M63" s="1910">
        <v>28</v>
      </c>
      <c r="N63" s="1911">
        <f t="shared" si="18"/>
        <v>20</v>
      </c>
      <c r="O63" s="1906">
        <f t="shared" si="19"/>
        <v>400</v>
      </c>
      <c r="P63" s="1907">
        <f t="shared" si="20"/>
        <v>18.310546875</v>
      </c>
      <c r="Q63" s="1908">
        <v>20</v>
      </c>
      <c r="R63" s="1923">
        <f>1.4*L63</f>
        <v>37.647680000000001</v>
      </c>
      <c r="S63" s="1953">
        <v>40</v>
      </c>
      <c r="T63" s="1911">
        <f t="shared" si="22"/>
        <v>30</v>
      </c>
      <c r="U63" s="1948"/>
      <c r="V63" s="1951"/>
    </row>
  </sheetData>
  <mergeCells count="53">
    <mergeCell ref="A1:V1"/>
    <mergeCell ref="A2:B2"/>
    <mergeCell ref="C2:V2"/>
    <mergeCell ref="A3:B3"/>
    <mergeCell ref="C4:O4"/>
    <mergeCell ref="P4:V4"/>
    <mergeCell ref="A26:V26"/>
    <mergeCell ref="A27:V27"/>
    <mergeCell ref="B28:N28"/>
    <mergeCell ref="O28:V28"/>
    <mergeCell ref="B29:N29"/>
    <mergeCell ref="O29:V29"/>
    <mergeCell ref="O30:P30"/>
    <mergeCell ref="Q30:R30"/>
    <mergeCell ref="S30:T30"/>
    <mergeCell ref="U30:V30"/>
    <mergeCell ref="E31:F31"/>
    <mergeCell ref="G31:H31"/>
    <mergeCell ref="I31:J31"/>
    <mergeCell ref="K31:L31"/>
    <mergeCell ref="M31:N31"/>
    <mergeCell ref="E30:F30"/>
    <mergeCell ref="G30:H30"/>
    <mergeCell ref="I30:J30"/>
    <mergeCell ref="K30:L30"/>
    <mergeCell ref="M30:N30"/>
    <mergeCell ref="M33:N33"/>
    <mergeCell ref="E32:F32"/>
    <mergeCell ref="G32:H32"/>
    <mergeCell ref="I32:J32"/>
    <mergeCell ref="K32:L32"/>
    <mergeCell ref="M32:N32"/>
    <mergeCell ref="A35:T35"/>
    <mergeCell ref="A36:B36"/>
    <mergeCell ref="A50:B50"/>
    <mergeCell ref="A28:A30"/>
    <mergeCell ref="O33:P34"/>
    <mergeCell ref="Q33:R34"/>
    <mergeCell ref="S33:T34"/>
    <mergeCell ref="E34:F34"/>
    <mergeCell ref="G34:H34"/>
    <mergeCell ref="I34:J34"/>
    <mergeCell ref="K34:L34"/>
    <mergeCell ref="M34:N34"/>
    <mergeCell ref="E33:F33"/>
    <mergeCell ref="G33:H33"/>
    <mergeCell ref="I33:J33"/>
    <mergeCell ref="K33:L33"/>
    <mergeCell ref="U33:V34"/>
    <mergeCell ref="O31:P32"/>
    <mergeCell ref="Q31:R32"/>
    <mergeCell ref="S31:T32"/>
    <mergeCell ref="U31:V32"/>
  </mergeCells>
  <phoneticPr fontId="214" type="noConversion"/>
  <pageMargins left="0.75" right="0.75" top="1" bottom="1" header="0.50902777777777797" footer="0.50902777777777797"/>
  <pageSetup paperSize="9" orientation="portrait"/>
  <headerFooter scaleWithDoc="0" alignWithMargins="0"/>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11"/>
  <dimension ref="A2:AD127"/>
  <sheetViews>
    <sheetView workbookViewId="0">
      <selection activeCell="Z9" sqref="Z9:Z12"/>
    </sheetView>
  </sheetViews>
  <sheetFormatPr defaultColWidth="8" defaultRowHeight="16.5"/>
  <cols>
    <col min="1" max="37" width="3.25" style="1472" customWidth="1"/>
    <col min="38" max="16384" width="8" style="1472"/>
  </cols>
  <sheetData>
    <row r="2" spans="1:26" ht="20.100000000000001" customHeight="1">
      <c r="A2" s="5345" t="s">
        <v>11796</v>
      </c>
      <c r="B2" s="5346"/>
      <c r="C2" s="5346"/>
      <c r="D2" s="5346"/>
      <c r="E2" s="5346"/>
      <c r="F2" s="5346"/>
      <c r="G2" s="5346"/>
      <c r="H2" s="5432" t="s">
        <v>11797</v>
      </c>
      <c r="I2" s="5432"/>
      <c r="J2" s="5432"/>
      <c r="K2" s="5432"/>
      <c r="L2" s="5432"/>
      <c r="M2" s="5432"/>
      <c r="N2" s="5432"/>
      <c r="O2" s="5432"/>
      <c r="P2" s="5432"/>
      <c r="Q2" s="5432"/>
      <c r="R2" s="5432"/>
      <c r="S2" s="5432"/>
      <c r="T2" s="5432"/>
      <c r="U2" s="5433" t="s">
        <v>11798</v>
      </c>
      <c r="V2" s="5433"/>
      <c r="W2" s="5433"/>
      <c r="X2" s="5433"/>
      <c r="Y2" s="5433"/>
      <c r="Z2" s="5434"/>
    </row>
    <row r="3" spans="1:26">
      <c r="A3" s="5347"/>
      <c r="B3" s="5348"/>
      <c r="C3" s="5348"/>
      <c r="D3" s="5348"/>
      <c r="E3" s="5348"/>
      <c r="F3" s="5348"/>
      <c r="G3" s="5348"/>
      <c r="H3" s="5348" t="s">
        <v>127</v>
      </c>
      <c r="I3" s="5348"/>
      <c r="J3" s="5348"/>
      <c r="K3" s="5348"/>
      <c r="L3" s="5348"/>
      <c r="M3" s="5348"/>
      <c r="N3" s="5348"/>
      <c r="O3" s="5348"/>
      <c r="P3" s="5348"/>
      <c r="Q3" s="5348"/>
      <c r="R3" s="5348"/>
      <c r="S3" s="5348"/>
      <c r="T3" s="5348"/>
      <c r="U3" s="5435" t="s">
        <v>11799</v>
      </c>
      <c r="V3" s="5435"/>
      <c r="W3" s="5435"/>
      <c r="X3" s="5435" t="s">
        <v>11800</v>
      </c>
      <c r="Y3" s="5435"/>
      <c r="Z3" s="5436"/>
    </row>
    <row r="4" spans="1:26">
      <c r="A4" s="1781"/>
      <c r="B4" s="1782"/>
      <c r="C4" s="1782"/>
      <c r="D4" s="1782"/>
      <c r="E4" s="1782"/>
      <c r="F4" s="1782"/>
      <c r="G4" s="1782"/>
      <c r="H4" s="1782"/>
      <c r="I4" s="1782"/>
      <c r="J4" s="1782"/>
      <c r="K4" s="1782"/>
      <c r="L4" s="1782"/>
      <c r="M4" s="1782"/>
      <c r="N4" s="1782"/>
      <c r="O4" s="1782"/>
      <c r="P4" s="1782"/>
      <c r="Q4" s="1782"/>
      <c r="R4" s="1782"/>
      <c r="S4" s="1782"/>
      <c r="T4" s="1782"/>
      <c r="U4" s="1782"/>
      <c r="V4" s="1782"/>
      <c r="W4" s="1782"/>
      <c r="X4" s="1782"/>
      <c r="Y4" s="1782"/>
      <c r="Z4" s="1806"/>
    </row>
    <row r="5" spans="1:26">
      <c r="A5" s="5437" t="s">
        <v>11801</v>
      </c>
      <c r="B5" s="5438"/>
      <c r="C5" s="5438"/>
      <c r="D5" s="5438"/>
      <c r="E5" s="5438"/>
      <c r="F5" s="5438"/>
      <c r="G5" s="5438"/>
      <c r="H5" s="5438"/>
      <c r="I5" s="5438"/>
      <c r="J5" s="5438"/>
      <c r="K5" s="5438"/>
      <c r="L5" s="5438"/>
      <c r="M5" s="5438"/>
      <c r="N5" s="5438"/>
      <c r="O5" s="5438"/>
      <c r="P5" s="5438"/>
      <c r="Q5" s="5438"/>
      <c r="R5" s="5438"/>
      <c r="S5" s="5438"/>
      <c r="T5" s="5438"/>
      <c r="U5" s="5438"/>
      <c r="V5" s="5438"/>
      <c r="W5" s="5438"/>
      <c r="X5" s="5438"/>
      <c r="Y5" s="5438"/>
      <c r="Z5" s="5439"/>
    </row>
    <row r="6" spans="1:26">
      <c r="A6" s="5440" t="s">
        <v>11802</v>
      </c>
      <c r="B6" s="5441"/>
      <c r="C6" s="5441"/>
      <c r="D6" s="5441"/>
      <c r="E6" s="5441"/>
      <c r="F6" s="5441"/>
      <c r="G6" s="5441"/>
      <c r="H6" s="5441"/>
      <c r="I6" s="5441"/>
      <c r="J6" s="5441"/>
      <c r="K6" s="5441"/>
      <c r="L6" s="5441"/>
      <c r="M6" s="5441"/>
      <c r="N6" s="5441"/>
      <c r="O6" s="5441"/>
      <c r="P6" s="5441"/>
      <c r="Q6" s="5441"/>
      <c r="R6" s="5441"/>
      <c r="S6" s="5441"/>
      <c r="T6" s="5441"/>
      <c r="U6" s="5441"/>
      <c r="V6" s="5441"/>
      <c r="W6" s="5441"/>
      <c r="X6" s="5441"/>
      <c r="Y6" s="5441"/>
      <c r="Z6" s="5442"/>
    </row>
    <row r="7" spans="1:26">
      <c r="A7" s="5443" t="s">
        <v>11803</v>
      </c>
      <c r="B7" s="5444"/>
      <c r="C7" s="5444"/>
      <c r="D7" s="5444"/>
      <c r="E7" s="5444"/>
      <c r="F7" s="5444"/>
      <c r="G7" s="5444"/>
      <c r="H7" s="5444"/>
      <c r="I7" s="1834">
        <v>1.2</v>
      </c>
      <c r="J7" s="1834">
        <v>1.6</v>
      </c>
      <c r="K7" s="1834">
        <v>2</v>
      </c>
      <c r="L7" s="1834">
        <v>2.5</v>
      </c>
      <c r="M7" s="1834">
        <v>3</v>
      </c>
      <c r="N7" s="1834">
        <v>4</v>
      </c>
      <c r="O7" s="1834">
        <v>5</v>
      </c>
      <c r="P7" s="1834">
        <v>6</v>
      </c>
      <c r="Q7" s="1834">
        <v>8</v>
      </c>
      <c r="R7" s="1834">
        <v>10</v>
      </c>
      <c r="S7" s="1834">
        <v>12</v>
      </c>
      <c r="T7" s="1834">
        <v>16</v>
      </c>
      <c r="U7" s="1834">
        <v>20</v>
      </c>
      <c r="V7" s="1834">
        <v>24</v>
      </c>
      <c r="W7" s="1834">
        <v>30</v>
      </c>
      <c r="X7" s="1834">
        <v>36</v>
      </c>
      <c r="Y7" s="1834">
        <v>42</v>
      </c>
      <c r="Z7" s="1839">
        <v>48</v>
      </c>
    </row>
    <row r="8" spans="1:26">
      <c r="A8" s="5445" t="s">
        <v>11804</v>
      </c>
      <c r="B8" s="5424"/>
      <c r="C8" s="5424"/>
      <c r="D8" s="5424"/>
      <c r="E8" s="5424"/>
      <c r="F8" s="5424"/>
      <c r="G8" s="5424"/>
      <c r="H8" s="1857" t="s">
        <v>411</v>
      </c>
      <c r="I8" s="1802">
        <v>1.5</v>
      </c>
      <c r="J8" s="1802">
        <v>2</v>
      </c>
      <c r="K8" s="1802">
        <v>2.6</v>
      </c>
      <c r="L8" s="1802">
        <v>3.1</v>
      </c>
      <c r="M8" s="1802">
        <v>3.6</v>
      </c>
      <c r="N8" s="1802">
        <v>4.8</v>
      </c>
      <c r="O8" s="1802">
        <v>5.8</v>
      </c>
      <c r="P8" s="1802">
        <v>7</v>
      </c>
      <c r="Q8" s="1802">
        <v>9</v>
      </c>
      <c r="R8" s="1802">
        <v>11</v>
      </c>
      <c r="S8" s="1802">
        <v>13</v>
      </c>
      <c r="T8" s="1802">
        <v>17</v>
      </c>
      <c r="U8" s="1802">
        <v>22</v>
      </c>
      <c r="V8" s="1802">
        <v>26</v>
      </c>
      <c r="W8" s="1802">
        <v>33</v>
      </c>
      <c r="X8" s="1802">
        <v>39</v>
      </c>
      <c r="Y8" s="1802">
        <v>45</v>
      </c>
      <c r="Z8" s="1810">
        <v>52</v>
      </c>
    </row>
    <row r="9" spans="1:26" ht="16.5" customHeight="1">
      <c r="A9" s="5358" t="s">
        <v>11805</v>
      </c>
      <c r="B9" s="5359"/>
      <c r="C9" s="5364"/>
      <c r="D9" s="5365"/>
      <c r="E9" s="5365"/>
      <c r="F9" s="5365"/>
      <c r="G9" s="5366"/>
      <c r="H9" s="5398" t="s">
        <v>2524</v>
      </c>
      <c r="I9" s="5419"/>
      <c r="J9" s="5419"/>
      <c r="K9" s="5419"/>
      <c r="L9" s="5419"/>
      <c r="M9" s="5419"/>
      <c r="N9" s="5398">
        <v>10</v>
      </c>
      <c r="O9" s="5398">
        <v>11</v>
      </c>
      <c r="P9" s="5398">
        <v>14</v>
      </c>
      <c r="Q9" s="5398">
        <v>17</v>
      </c>
      <c r="R9" s="5398">
        <v>20</v>
      </c>
      <c r="S9" s="5398">
        <v>26</v>
      </c>
      <c r="T9" s="5398">
        <v>32</v>
      </c>
      <c r="U9" s="5398">
        <v>38</v>
      </c>
      <c r="V9" s="5398">
        <v>45</v>
      </c>
      <c r="W9" s="5398">
        <v>52</v>
      </c>
      <c r="X9" s="5398">
        <v>60</v>
      </c>
      <c r="Y9" s="5398">
        <v>70</v>
      </c>
      <c r="Z9" s="5384">
        <v>82</v>
      </c>
    </row>
    <row r="10" spans="1:26">
      <c r="A10" s="5360"/>
      <c r="B10" s="5361"/>
      <c r="C10" s="5367"/>
      <c r="D10" s="5368"/>
      <c r="E10" s="5368"/>
      <c r="F10" s="5368"/>
      <c r="G10" s="5369"/>
      <c r="H10" s="5399"/>
      <c r="I10" s="5420"/>
      <c r="J10" s="5420"/>
      <c r="K10" s="5420"/>
      <c r="L10" s="5420"/>
      <c r="M10" s="5420"/>
      <c r="N10" s="5399"/>
      <c r="O10" s="5399"/>
      <c r="P10" s="5399"/>
      <c r="Q10" s="5399"/>
      <c r="R10" s="5399"/>
      <c r="S10" s="5399"/>
      <c r="T10" s="5399"/>
      <c r="U10" s="5399"/>
      <c r="V10" s="5399"/>
      <c r="W10" s="5399"/>
      <c r="X10" s="5399"/>
      <c r="Y10" s="5399"/>
      <c r="Z10" s="5385"/>
    </row>
    <row r="11" spans="1:26">
      <c r="A11" s="5360"/>
      <c r="B11" s="5361"/>
      <c r="C11" s="5367"/>
      <c r="D11" s="5368"/>
      <c r="E11" s="5368"/>
      <c r="F11" s="5368"/>
      <c r="G11" s="5369"/>
      <c r="H11" s="5399"/>
      <c r="I11" s="5420"/>
      <c r="J11" s="5420"/>
      <c r="K11" s="5420"/>
      <c r="L11" s="5420"/>
      <c r="M11" s="5420"/>
      <c r="N11" s="5399"/>
      <c r="O11" s="5399"/>
      <c r="P11" s="5399"/>
      <c r="Q11" s="5399"/>
      <c r="R11" s="5399"/>
      <c r="S11" s="5399"/>
      <c r="T11" s="5399"/>
      <c r="U11" s="5399"/>
      <c r="V11" s="5399"/>
      <c r="W11" s="5399"/>
      <c r="X11" s="5399"/>
      <c r="Y11" s="5399"/>
      <c r="Z11" s="5385"/>
    </row>
    <row r="12" spans="1:26">
      <c r="A12" s="5360"/>
      <c r="B12" s="5361"/>
      <c r="C12" s="5367"/>
      <c r="D12" s="5368"/>
      <c r="E12" s="5368"/>
      <c r="F12" s="5368"/>
      <c r="G12" s="5369"/>
      <c r="H12" s="5400"/>
      <c r="I12" s="5421"/>
      <c r="J12" s="5421"/>
      <c r="K12" s="5421"/>
      <c r="L12" s="5421"/>
      <c r="M12" s="5421"/>
      <c r="N12" s="5400"/>
      <c r="O12" s="5400"/>
      <c r="P12" s="5400"/>
      <c r="Q12" s="5400"/>
      <c r="R12" s="5400"/>
      <c r="S12" s="5400"/>
      <c r="T12" s="5400"/>
      <c r="U12" s="5400"/>
      <c r="V12" s="5400"/>
      <c r="W12" s="5400"/>
      <c r="X12" s="5400"/>
      <c r="Y12" s="5400"/>
      <c r="Z12" s="5386"/>
    </row>
    <row r="13" spans="1:26">
      <c r="A13" s="5360"/>
      <c r="B13" s="5361"/>
      <c r="C13" s="5367"/>
      <c r="D13" s="5368"/>
      <c r="E13" s="5368"/>
      <c r="F13" s="5368"/>
      <c r="G13" s="5369"/>
      <c r="H13" s="5398" t="s">
        <v>1866</v>
      </c>
      <c r="I13" s="5419"/>
      <c r="J13" s="5419"/>
      <c r="K13" s="5419"/>
      <c r="L13" s="5419"/>
      <c r="M13" s="5419"/>
      <c r="N13" s="5401"/>
      <c r="O13" s="5401"/>
      <c r="P13" s="5401"/>
      <c r="Q13" s="5401"/>
      <c r="R13" s="5401"/>
      <c r="S13" s="5401"/>
      <c r="T13" s="5401"/>
      <c r="U13" s="5401"/>
      <c r="V13" s="5401"/>
      <c r="W13" s="5401"/>
      <c r="X13" s="5401"/>
      <c r="Y13" s="5401"/>
      <c r="Z13" s="5387"/>
    </row>
    <row r="14" spans="1:26">
      <c r="A14" s="5360"/>
      <c r="B14" s="5361"/>
      <c r="C14" s="5367"/>
      <c r="D14" s="5368"/>
      <c r="E14" s="5368"/>
      <c r="F14" s="5368"/>
      <c r="G14" s="5369"/>
      <c r="H14" s="5399"/>
      <c r="I14" s="5420"/>
      <c r="J14" s="5420"/>
      <c r="K14" s="5420"/>
      <c r="L14" s="5420"/>
      <c r="M14" s="5420"/>
      <c r="N14" s="5402"/>
      <c r="O14" s="5402"/>
      <c r="P14" s="5402"/>
      <c r="Q14" s="5402"/>
      <c r="R14" s="5402"/>
      <c r="S14" s="5402"/>
      <c r="T14" s="5402"/>
      <c r="U14" s="5402"/>
      <c r="V14" s="5402"/>
      <c r="W14" s="5402"/>
      <c r="X14" s="5402"/>
      <c r="Y14" s="5402"/>
      <c r="Z14" s="5388"/>
    </row>
    <row r="15" spans="1:26">
      <c r="A15" s="5360"/>
      <c r="B15" s="5361"/>
      <c r="C15" s="5367"/>
      <c r="D15" s="5368"/>
      <c r="E15" s="5368"/>
      <c r="F15" s="5368"/>
      <c r="G15" s="5369"/>
      <c r="H15" s="5399"/>
      <c r="I15" s="5420"/>
      <c r="J15" s="5420"/>
      <c r="K15" s="5420"/>
      <c r="L15" s="5420"/>
      <c r="M15" s="5420"/>
      <c r="N15" s="5402"/>
      <c r="O15" s="5402"/>
      <c r="P15" s="5402"/>
      <c r="Q15" s="5402"/>
      <c r="R15" s="5402"/>
      <c r="S15" s="5402"/>
      <c r="T15" s="5402"/>
      <c r="U15" s="5402"/>
      <c r="V15" s="5402"/>
      <c r="W15" s="5402"/>
      <c r="X15" s="5402"/>
      <c r="Y15" s="5402"/>
      <c r="Z15" s="5388"/>
    </row>
    <row r="16" spans="1:26">
      <c r="A16" s="5362"/>
      <c r="B16" s="5363"/>
      <c r="C16" s="5370"/>
      <c r="D16" s="5371"/>
      <c r="E16" s="5371"/>
      <c r="F16" s="5371"/>
      <c r="G16" s="5372"/>
      <c r="H16" s="5400"/>
      <c r="I16" s="5421"/>
      <c r="J16" s="5421"/>
      <c r="K16" s="5421"/>
      <c r="L16" s="5421"/>
      <c r="M16" s="5421"/>
      <c r="N16" s="5403"/>
      <c r="O16" s="5403"/>
      <c r="P16" s="5403"/>
      <c r="Q16" s="5403"/>
      <c r="R16" s="5403"/>
      <c r="S16" s="5403"/>
      <c r="T16" s="5403"/>
      <c r="U16" s="5403"/>
      <c r="V16" s="5403"/>
      <c r="W16" s="5403"/>
      <c r="X16" s="5403"/>
      <c r="Y16" s="5403"/>
      <c r="Z16" s="5389"/>
    </row>
    <row r="17" spans="1:30">
      <c r="A17" s="5358" t="s">
        <v>11806</v>
      </c>
      <c r="B17" s="5359"/>
      <c r="C17" s="5364"/>
      <c r="D17" s="5365"/>
      <c r="E17" s="5365"/>
      <c r="F17" s="5365"/>
      <c r="G17" s="5366"/>
      <c r="H17" s="5398" t="s">
        <v>2524</v>
      </c>
      <c r="I17" s="5419"/>
      <c r="J17" s="5419"/>
      <c r="K17" s="5378">
        <v>5.5</v>
      </c>
      <c r="L17" s="5378"/>
      <c r="M17" s="5378">
        <v>8</v>
      </c>
      <c r="N17" s="5398">
        <v>10</v>
      </c>
      <c r="O17" s="5398">
        <v>11</v>
      </c>
      <c r="P17" s="5398">
        <v>14</v>
      </c>
      <c r="Q17" s="5398">
        <v>17</v>
      </c>
      <c r="R17" s="5398">
        <v>20</v>
      </c>
      <c r="S17" s="5398">
        <v>26</v>
      </c>
      <c r="T17" s="5398">
        <v>32</v>
      </c>
      <c r="U17" s="5398">
        <v>38</v>
      </c>
      <c r="V17" s="5398">
        <v>45</v>
      </c>
      <c r="W17" s="5398">
        <v>52</v>
      </c>
      <c r="X17" s="5398">
        <v>60</v>
      </c>
      <c r="Y17" s="5398">
        <v>70</v>
      </c>
      <c r="Z17" s="5384">
        <v>82</v>
      </c>
    </row>
    <row r="18" spans="1:30">
      <c r="A18" s="5360"/>
      <c r="B18" s="5361"/>
      <c r="C18" s="5367"/>
      <c r="D18" s="5368"/>
      <c r="E18" s="5368"/>
      <c r="F18" s="5368"/>
      <c r="G18" s="5369"/>
      <c r="H18" s="5425"/>
      <c r="I18" s="5422"/>
      <c r="J18" s="5422"/>
      <c r="K18" s="5422"/>
      <c r="L18" s="5422"/>
      <c r="M18" s="5422"/>
      <c r="N18" s="5404"/>
      <c r="O18" s="5404"/>
      <c r="P18" s="5404"/>
      <c r="Q18" s="5404"/>
      <c r="R18" s="5404"/>
      <c r="S18" s="5404"/>
      <c r="T18" s="5404"/>
      <c r="U18" s="5404"/>
      <c r="V18" s="5404"/>
      <c r="W18" s="5404"/>
      <c r="X18" s="5404"/>
      <c r="Y18" s="5404"/>
      <c r="Z18" s="5390"/>
    </row>
    <row r="19" spans="1:30">
      <c r="A19" s="5360"/>
      <c r="B19" s="5361"/>
      <c r="C19" s="5367"/>
      <c r="D19" s="5368"/>
      <c r="E19" s="5368"/>
      <c r="F19" s="5368"/>
      <c r="G19" s="5369"/>
      <c r="H19" s="5425"/>
      <c r="I19" s="5422"/>
      <c r="J19" s="5422"/>
      <c r="K19" s="5422"/>
      <c r="L19" s="5422"/>
      <c r="M19" s="5422"/>
      <c r="N19" s="5404"/>
      <c r="O19" s="5404"/>
      <c r="P19" s="5404"/>
      <c r="Q19" s="5404"/>
      <c r="R19" s="5404"/>
      <c r="S19" s="5404"/>
      <c r="T19" s="5404"/>
      <c r="U19" s="5404"/>
      <c r="V19" s="5404"/>
      <c r="W19" s="5404"/>
      <c r="X19" s="5404"/>
      <c r="Y19" s="5404"/>
      <c r="Z19" s="5390"/>
    </row>
    <row r="20" spans="1:30">
      <c r="A20" s="5360"/>
      <c r="B20" s="5361"/>
      <c r="C20" s="5367"/>
      <c r="D20" s="5368"/>
      <c r="E20" s="5368"/>
      <c r="F20" s="5368"/>
      <c r="G20" s="5369"/>
      <c r="H20" s="5426"/>
      <c r="I20" s="5423"/>
      <c r="J20" s="5423"/>
      <c r="K20" s="5423"/>
      <c r="L20" s="5423"/>
      <c r="M20" s="5423"/>
      <c r="N20" s="5405"/>
      <c r="O20" s="5405"/>
      <c r="P20" s="5405"/>
      <c r="Q20" s="5405"/>
      <c r="R20" s="5405"/>
      <c r="S20" s="5405"/>
      <c r="T20" s="5405"/>
      <c r="U20" s="5405"/>
      <c r="V20" s="5405"/>
      <c r="W20" s="5405"/>
      <c r="X20" s="5405"/>
      <c r="Y20" s="5405"/>
      <c r="Z20" s="5391"/>
    </row>
    <row r="21" spans="1:30">
      <c r="A21" s="5360"/>
      <c r="B21" s="5361"/>
      <c r="C21" s="5367"/>
      <c r="D21" s="5368"/>
      <c r="E21" s="5368"/>
      <c r="F21" s="5368"/>
      <c r="G21" s="5369"/>
      <c r="H21" s="5398" t="s">
        <v>1866</v>
      </c>
      <c r="I21" s="5419"/>
      <c r="J21" s="5419"/>
      <c r="K21" s="5419"/>
      <c r="L21" s="5419"/>
      <c r="M21" s="5419"/>
      <c r="N21" s="5401"/>
      <c r="O21" s="5401"/>
      <c r="P21" s="5401"/>
      <c r="Q21" s="5401"/>
      <c r="R21" s="5401"/>
      <c r="S21" s="5401"/>
      <c r="T21" s="5401"/>
      <c r="U21" s="5401"/>
      <c r="V21" s="5401"/>
      <c r="W21" s="5401"/>
      <c r="X21" s="5401"/>
      <c r="Y21" s="5401"/>
      <c r="Z21" s="5387"/>
      <c r="AD21" s="1864"/>
    </row>
    <row r="22" spans="1:30">
      <c r="A22" s="5360"/>
      <c r="B22" s="5361"/>
      <c r="C22" s="5367"/>
      <c r="D22" s="5368"/>
      <c r="E22" s="5368"/>
      <c r="F22" s="5368"/>
      <c r="G22" s="5369"/>
      <c r="H22" s="5399"/>
      <c r="I22" s="5420"/>
      <c r="J22" s="5420"/>
      <c r="K22" s="5420"/>
      <c r="L22" s="5420"/>
      <c r="M22" s="5420"/>
      <c r="N22" s="5402"/>
      <c r="O22" s="5402"/>
      <c r="P22" s="5402"/>
      <c r="Q22" s="5402"/>
      <c r="R22" s="5402"/>
      <c r="S22" s="5402"/>
      <c r="T22" s="5402"/>
      <c r="U22" s="5402"/>
      <c r="V22" s="5402"/>
      <c r="W22" s="5402"/>
      <c r="X22" s="5402"/>
      <c r="Y22" s="5402"/>
      <c r="Z22" s="5388"/>
    </row>
    <row r="23" spans="1:30">
      <c r="A23" s="5360"/>
      <c r="B23" s="5361"/>
      <c r="C23" s="5367"/>
      <c r="D23" s="5368"/>
      <c r="E23" s="5368"/>
      <c r="F23" s="5368"/>
      <c r="G23" s="5369"/>
      <c r="H23" s="5399"/>
      <c r="I23" s="5420"/>
      <c r="J23" s="5420"/>
      <c r="K23" s="5420"/>
      <c r="L23" s="5420"/>
      <c r="M23" s="5420"/>
      <c r="N23" s="5402"/>
      <c r="O23" s="5402"/>
      <c r="P23" s="5402"/>
      <c r="Q23" s="5402"/>
      <c r="R23" s="5402"/>
      <c r="S23" s="5402"/>
      <c r="T23" s="5402"/>
      <c r="U23" s="5402"/>
      <c r="V23" s="5402"/>
      <c r="W23" s="5402"/>
      <c r="X23" s="5402"/>
      <c r="Y23" s="5402"/>
      <c r="Z23" s="5388"/>
    </row>
    <row r="24" spans="1:30">
      <c r="A24" s="5362"/>
      <c r="B24" s="5363"/>
      <c r="C24" s="5370"/>
      <c r="D24" s="5371"/>
      <c r="E24" s="5371"/>
      <c r="F24" s="5371"/>
      <c r="G24" s="5372"/>
      <c r="H24" s="5400"/>
      <c r="I24" s="5421"/>
      <c r="J24" s="5421"/>
      <c r="K24" s="5421"/>
      <c r="L24" s="5421"/>
      <c r="M24" s="5421"/>
      <c r="N24" s="5403"/>
      <c r="O24" s="5403"/>
      <c r="P24" s="5403"/>
      <c r="Q24" s="5403"/>
      <c r="R24" s="5403"/>
      <c r="S24" s="5403"/>
      <c r="T24" s="5403"/>
      <c r="U24" s="5403"/>
      <c r="V24" s="5403"/>
      <c r="W24" s="5403"/>
      <c r="X24" s="5403"/>
      <c r="Y24" s="5403"/>
      <c r="Z24" s="5389"/>
    </row>
    <row r="25" spans="1:30">
      <c r="A25" s="5373" t="s">
        <v>11807</v>
      </c>
      <c r="B25" s="5374"/>
      <c r="C25" s="5376"/>
      <c r="D25" s="5376"/>
      <c r="E25" s="5376"/>
      <c r="F25" s="5376"/>
      <c r="G25" s="5376"/>
      <c r="H25" s="5398" t="s">
        <v>2524</v>
      </c>
      <c r="I25" s="5419"/>
      <c r="J25" s="5419"/>
      <c r="K25" s="5419"/>
      <c r="L25" s="5419"/>
      <c r="M25" s="5419"/>
      <c r="N25" s="5398">
        <v>11</v>
      </c>
      <c r="O25" s="5398">
        <v>14</v>
      </c>
      <c r="P25" s="5398">
        <v>17</v>
      </c>
      <c r="Q25" s="5398">
        <v>20</v>
      </c>
      <c r="R25" s="5398">
        <v>26</v>
      </c>
      <c r="S25" s="5398">
        <v>32</v>
      </c>
      <c r="T25" s="5398">
        <v>38</v>
      </c>
      <c r="U25" s="5398">
        <v>45</v>
      </c>
      <c r="V25" s="5398">
        <v>52</v>
      </c>
      <c r="W25" s="5398">
        <v>60</v>
      </c>
      <c r="X25" s="5398">
        <v>70</v>
      </c>
      <c r="Y25" s="5398">
        <v>82</v>
      </c>
      <c r="Z25" s="5384">
        <v>95</v>
      </c>
    </row>
    <row r="26" spans="1:30">
      <c r="A26" s="5375"/>
      <c r="B26" s="5374"/>
      <c r="C26" s="5376"/>
      <c r="D26" s="5376"/>
      <c r="E26" s="5376"/>
      <c r="F26" s="5376"/>
      <c r="G26" s="5376"/>
      <c r="H26" s="5400"/>
      <c r="I26" s="5421"/>
      <c r="J26" s="5421"/>
      <c r="K26" s="5421"/>
      <c r="L26" s="5421"/>
      <c r="M26" s="5421"/>
      <c r="N26" s="5400"/>
      <c r="O26" s="5400"/>
      <c r="P26" s="5400"/>
      <c r="Q26" s="5400"/>
      <c r="R26" s="5400"/>
      <c r="S26" s="5400"/>
      <c r="T26" s="5400"/>
      <c r="U26" s="5400"/>
      <c r="V26" s="5400"/>
      <c r="W26" s="5400"/>
      <c r="X26" s="5400"/>
      <c r="Y26" s="5400"/>
      <c r="Z26" s="5386"/>
    </row>
    <row r="27" spans="1:30">
      <c r="A27" s="5375"/>
      <c r="B27" s="5374"/>
      <c r="C27" s="5376"/>
      <c r="D27" s="5376"/>
      <c r="E27" s="5376"/>
      <c r="F27" s="5376"/>
      <c r="G27" s="5376"/>
      <c r="H27" s="5398" t="s">
        <v>1866</v>
      </c>
      <c r="I27" s="5424"/>
      <c r="J27" s="5424"/>
      <c r="K27" s="5424"/>
      <c r="L27" s="5424"/>
      <c r="M27" s="5424"/>
      <c r="N27" s="5396"/>
      <c r="O27" s="5396"/>
      <c r="P27" s="5396"/>
      <c r="Q27" s="5396"/>
      <c r="R27" s="5396"/>
      <c r="S27" s="5396"/>
      <c r="T27" s="5396"/>
      <c r="U27" s="5396"/>
      <c r="V27" s="5396"/>
      <c r="W27" s="5396"/>
      <c r="X27" s="5396"/>
      <c r="Y27" s="5396"/>
      <c r="Z27" s="5392"/>
    </row>
    <row r="28" spans="1:30">
      <c r="A28" s="5375"/>
      <c r="B28" s="5374"/>
      <c r="C28" s="5376"/>
      <c r="D28" s="5376"/>
      <c r="E28" s="5376"/>
      <c r="F28" s="5376"/>
      <c r="G28" s="5376"/>
      <c r="H28" s="5427"/>
      <c r="I28" s="5424"/>
      <c r="J28" s="5424"/>
      <c r="K28" s="5424"/>
      <c r="L28" s="5424"/>
      <c r="M28" s="5424"/>
      <c r="N28" s="5396"/>
      <c r="O28" s="5396"/>
      <c r="P28" s="5396"/>
      <c r="Q28" s="5396"/>
      <c r="R28" s="5396"/>
      <c r="S28" s="5396"/>
      <c r="T28" s="5396"/>
      <c r="U28" s="5396"/>
      <c r="V28" s="5396"/>
      <c r="W28" s="5396"/>
      <c r="X28" s="5396"/>
      <c r="Y28" s="5396"/>
      <c r="Z28" s="5392"/>
    </row>
    <row r="29" spans="1:30">
      <c r="A29" s="5375"/>
      <c r="B29" s="5374"/>
      <c r="C29" s="5376"/>
      <c r="D29" s="5376"/>
      <c r="E29" s="5376"/>
      <c r="F29" s="5376"/>
      <c r="G29" s="5376"/>
      <c r="H29" s="5428"/>
      <c r="I29" s="5424"/>
      <c r="J29" s="5424"/>
      <c r="K29" s="5424"/>
      <c r="L29" s="5424"/>
      <c r="M29" s="5424"/>
      <c r="N29" s="5396"/>
      <c r="O29" s="5396"/>
      <c r="P29" s="5396"/>
      <c r="Q29" s="5396"/>
      <c r="R29" s="5396"/>
      <c r="S29" s="5396"/>
      <c r="T29" s="5396"/>
      <c r="U29" s="5396"/>
      <c r="V29" s="5396"/>
      <c r="W29" s="5396"/>
      <c r="X29" s="5396"/>
      <c r="Y29" s="5396"/>
      <c r="Z29" s="5392"/>
    </row>
    <row r="30" spans="1:30">
      <c r="A30" s="5373" t="s">
        <v>11807</v>
      </c>
      <c r="B30" s="5374"/>
      <c r="C30" s="5376"/>
      <c r="D30" s="5376"/>
      <c r="E30" s="5376"/>
      <c r="F30" s="5376"/>
      <c r="G30" s="5376"/>
      <c r="H30" s="5398" t="s">
        <v>2524</v>
      </c>
      <c r="I30" s="5424"/>
      <c r="J30" s="5424"/>
      <c r="K30" s="5424"/>
      <c r="L30" s="5424"/>
      <c r="M30" s="5424"/>
      <c r="N30" s="5374">
        <v>8</v>
      </c>
      <c r="O30" s="5374">
        <v>10</v>
      </c>
      <c r="P30" s="5374">
        <v>11</v>
      </c>
      <c r="Q30" s="5374">
        <v>14</v>
      </c>
      <c r="R30" s="5374">
        <v>17</v>
      </c>
      <c r="S30" s="5374">
        <v>20</v>
      </c>
      <c r="T30" s="5374">
        <v>26</v>
      </c>
      <c r="U30" s="5374">
        <v>32</v>
      </c>
      <c r="V30" s="5374">
        <v>38</v>
      </c>
      <c r="W30" s="5374">
        <v>45</v>
      </c>
      <c r="X30" s="5374">
        <v>52</v>
      </c>
      <c r="Y30" s="5374">
        <v>60</v>
      </c>
      <c r="Z30" s="5343"/>
    </row>
    <row r="31" spans="1:30">
      <c r="A31" s="5375"/>
      <c r="B31" s="5374"/>
      <c r="C31" s="5376"/>
      <c r="D31" s="5376"/>
      <c r="E31" s="5376"/>
      <c r="F31" s="5376"/>
      <c r="G31" s="5376"/>
      <c r="H31" s="5427"/>
      <c r="I31" s="5424"/>
      <c r="J31" s="5424"/>
      <c r="K31" s="5424"/>
      <c r="L31" s="5424"/>
      <c r="M31" s="5424"/>
      <c r="N31" s="5374"/>
      <c r="O31" s="5374"/>
      <c r="P31" s="5374"/>
      <c r="Q31" s="5374"/>
      <c r="R31" s="5374"/>
      <c r="S31" s="5374"/>
      <c r="T31" s="5374"/>
      <c r="U31" s="5374"/>
      <c r="V31" s="5374"/>
      <c r="W31" s="5374"/>
      <c r="X31" s="5374"/>
      <c r="Y31" s="5374"/>
      <c r="Z31" s="5343"/>
    </row>
    <row r="32" spans="1:30">
      <c r="A32" s="5375"/>
      <c r="B32" s="5374"/>
      <c r="C32" s="5376"/>
      <c r="D32" s="5376"/>
      <c r="E32" s="5376"/>
      <c r="F32" s="5376"/>
      <c r="G32" s="5376"/>
      <c r="H32" s="5428"/>
      <c r="I32" s="5424"/>
      <c r="J32" s="5424"/>
      <c r="K32" s="5424"/>
      <c r="L32" s="5424"/>
      <c r="M32" s="5424"/>
      <c r="N32" s="5374"/>
      <c r="O32" s="5374"/>
      <c r="P32" s="5374"/>
      <c r="Q32" s="5374"/>
      <c r="R32" s="5374"/>
      <c r="S32" s="5374"/>
      <c r="T32" s="5374"/>
      <c r="U32" s="5374"/>
      <c r="V32" s="5374"/>
      <c r="W32" s="5374"/>
      <c r="X32" s="5374"/>
      <c r="Y32" s="5374"/>
      <c r="Z32" s="5343"/>
    </row>
    <row r="33" spans="1:26">
      <c r="A33" s="5375"/>
      <c r="B33" s="5374"/>
      <c r="C33" s="5376"/>
      <c r="D33" s="5376"/>
      <c r="E33" s="5376"/>
      <c r="F33" s="5376"/>
      <c r="G33" s="5376"/>
      <c r="H33" s="5411" t="s">
        <v>487</v>
      </c>
      <c r="I33" s="5424"/>
      <c r="J33" s="5424"/>
      <c r="K33" s="5424"/>
      <c r="L33" s="5424"/>
      <c r="M33" s="5424"/>
      <c r="N33" s="5409" t="s">
        <v>11808</v>
      </c>
      <c r="O33" s="5409" t="s">
        <v>11809</v>
      </c>
      <c r="P33" s="5409" t="s">
        <v>11810</v>
      </c>
      <c r="Q33" s="5406" t="s">
        <v>11811</v>
      </c>
      <c r="R33" s="5409" t="s">
        <v>11812</v>
      </c>
      <c r="S33" s="5409" t="s">
        <v>11813</v>
      </c>
      <c r="T33" s="5406" t="s">
        <v>11814</v>
      </c>
      <c r="U33" s="5406" t="s">
        <v>11815</v>
      </c>
      <c r="V33" s="5406" t="s">
        <v>11816</v>
      </c>
      <c r="W33" s="5406" t="s">
        <v>11817</v>
      </c>
      <c r="X33" s="5406" t="s">
        <v>11818</v>
      </c>
      <c r="Y33" s="5406" t="s">
        <v>11819</v>
      </c>
      <c r="Z33" s="5393"/>
    </row>
    <row r="34" spans="1:26">
      <c r="A34" s="5375"/>
      <c r="B34" s="5374"/>
      <c r="C34" s="5376"/>
      <c r="D34" s="5376"/>
      <c r="E34" s="5376"/>
      <c r="F34" s="5376"/>
      <c r="G34" s="5376"/>
      <c r="H34" s="5374"/>
      <c r="I34" s="5424"/>
      <c r="J34" s="5424"/>
      <c r="K34" s="5424"/>
      <c r="L34" s="5424"/>
      <c r="M34" s="5424"/>
      <c r="N34" s="5415"/>
      <c r="O34" s="5415"/>
      <c r="P34" s="5417"/>
      <c r="Q34" s="5407"/>
      <c r="R34" s="5415"/>
      <c r="S34" s="5414"/>
      <c r="T34" s="5407"/>
      <c r="U34" s="5407"/>
      <c r="V34" s="5407"/>
      <c r="W34" s="5407"/>
      <c r="X34" s="5407"/>
      <c r="Y34" s="5407"/>
      <c r="Z34" s="5394"/>
    </row>
    <row r="35" spans="1:26">
      <c r="A35" s="5375"/>
      <c r="B35" s="5374"/>
      <c r="C35" s="5376"/>
      <c r="D35" s="5376"/>
      <c r="E35" s="5376"/>
      <c r="F35" s="5376"/>
      <c r="G35" s="5376"/>
      <c r="H35" s="5411" t="s">
        <v>4295</v>
      </c>
      <c r="I35" s="5424"/>
      <c r="J35" s="5424"/>
      <c r="K35" s="5424"/>
      <c r="L35" s="5424"/>
      <c r="M35" s="5424"/>
      <c r="N35" s="5409" t="s">
        <v>11820</v>
      </c>
      <c r="O35" s="5409" t="s">
        <v>11810</v>
      </c>
      <c r="P35" s="5418" t="s">
        <v>11821</v>
      </c>
      <c r="Q35" s="5406" t="s">
        <v>11822</v>
      </c>
      <c r="R35" s="5409" t="s">
        <v>11823</v>
      </c>
      <c r="S35" s="5406" t="s">
        <v>11824</v>
      </c>
      <c r="T35" s="5406" t="s">
        <v>11825</v>
      </c>
      <c r="U35" s="5406" t="s">
        <v>11826</v>
      </c>
      <c r="V35" s="5406" t="s">
        <v>11827</v>
      </c>
      <c r="W35" s="5406" t="s">
        <v>11828</v>
      </c>
      <c r="X35" s="5406" t="s">
        <v>11829</v>
      </c>
      <c r="Y35" s="5406" t="s">
        <v>11830</v>
      </c>
      <c r="Z35" s="5343"/>
    </row>
    <row r="36" spans="1:26">
      <c r="A36" s="5377"/>
      <c r="B36" s="5378"/>
      <c r="C36" s="5379"/>
      <c r="D36" s="5379"/>
      <c r="E36" s="5379"/>
      <c r="F36" s="5379"/>
      <c r="G36" s="5379"/>
      <c r="H36" s="5378"/>
      <c r="I36" s="5419"/>
      <c r="J36" s="5419"/>
      <c r="K36" s="5419"/>
      <c r="L36" s="5419"/>
      <c r="M36" s="5419"/>
      <c r="N36" s="5416"/>
      <c r="O36" s="5416"/>
      <c r="P36" s="5416"/>
      <c r="Q36" s="5408"/>
      <c r="R36" s="5416"/>
      <c r="S36" s="5408"/>
      <c r="T36" s="5408"/>
      <c r="U36" s="5408"/>
      <c r="V36" s="5408"/>
      <c r="W36" s="5408"/>
      <c r="X36" s="5408"/>
      <c r="Y36" s="5408"/>
      <c r="Z36" s="5395"/>
    </row>
    <row r="37" spans="1:26">
      <c r="A37" s="5373" t="s">
        <v>11831</v>
      </c>
      <c r="B37" s="5380"/>
      <c r="C37" s="5376"/>
      <c r="D37" s="5376"/>
      <c r="E37" s="5376"/>
      <c r="F37" s="5376"/>
      <c r="G37" s="5376"/>
      <c r="H37" s="5411" t="s">
        <v>2524</v>
      </c>
      <c r="I37" s="5411">
        <v>2.5</v>
      </c>
      <c r="J37" s="5411">
        <v>3.8</v>
      </c>
      <c r="K37" s="5398">
        <v>4.5999999999999996</v>
      </c>
      <c r="L37" s="5398">
        <v>5.5</v>
      </c>
      <c r="M37" s="5398">
        <v>6</v>
      </c>
      <c r="N37" s="5398">
        <v>8</v>
      </c>
      <c r="O37" s="5398">
        <v>10</v>
      </c>
      <c r="P37" s="5398">
        <v>11</v>
      </c>
      <c r="Q37" s="5398">
        <v>14</v>
      </c>
      <c r="R37" s="5398">
        <v>17</v>
      </c>
      <c r="S37" s="5398">
        <v>20</v>
      </c>
      <c r="T37" s="5398">
        <v>26</v>
      </c>
      <c r="U37" s="5398">
        <v>32</v>
      </c>
      <c r="V37" s="5396"/>
      <c r="W37" s="5396"/>
      <c r="X37" s="5396"/>
      <c r="Y37" s="5396"/>
      <c r="Z37" s="5343"/>
    </row>
    <row r="38" spans="1:26">
      <c r="A38" s="5373"/>
      <c r="B38" s="5380"/>
      <c r="C38" s="5376"/>
      <c r="D38" s="5376"/>
      <c r="E38" s="5376"/>
      <c r="F38" s="5376"/>
      <c r="G38" s="5376"/>
      <c r="H38" s="5411"/>
      <c r="I38" s="5411"/>
      <c r="J38" s="5411"/>
      <c r="K38" s="5400"/>
      <c r="L38" s="5400"/>
      <c r="M38" s="5400"/>
      <c r="N38" s="5400"/>
      <c r="O38" s="5400"/>
      <c r="P38" s="5400"/>
      <c r="Q38" s="5400"/>
      <c r="R38" s="5400"/>
      <c r="S38" s="5400"/>
      <c r="T38" s="5400"/>
      <c r="U38" s="5400"/>
      <c r="V38" s="5396"/>
      <c r="W38" s="5396"/>
      <c r="X38" s="5396"/>
      <c r="Y38" s="5396"/>
      <c r="Z38" s="5343"/>
    </row>
    <row r="39" spans="1:26">
      <c r="A39" s="5373"/>
      <c r="B39" s="5380"/>
      <c r="C39" s="5376"/>
      <c r="D39" s="5376"/>
      <c r="E39" s="5376"/>
      <c r="F39" s="5376"/>
      <c r="G39" s="5376"/>
      <c r="H39" s="5411" t="s">
        <v>487</v>
      </c>
      <c r="I39" s="5406" t="s">
        <v>11832</v>
      </c>
      <c r="J39" s="5406" t="s">
        <v>11833</v>
      </c>
      <c r="K39" s="5406" t="s">
        <v>11834</v>
      </c>
      <c r="L39" s="5406" t="s">
        <v>11835</v>
      </c>
      <c r="M39" s="5406" t="s">
        <v>11836</v>
      </c>
      <c r="N39" s="5406" t="s">
        <v>11837</v>
      </c>
      <c r="O39" s="5406" t="s">
        <v>11838</v>
      </c>
      <c r="P39" s="5406" t="s">
        <v>11839</v>
      </c>
      <c r="Q39" s="5406" t="s">
        <v>11809</v>
      </c>
      <c r="R39" s="5406" t="s">
        <v>11810</v>
      </c>
      <c r="S39" s="5406" t="s">
        <v>11840</v>
      </c>
      <c r="T39" s="5406" t="s">
        <v>11822</v>
      </c>
      <c r="U39" s="5406" t="s">
        <v>11841</v>
      </c>
      <c r="V39" s="5396"/>
      <c r="W39" s="5396"/>
      <c r="X39" s="5396"/>
      <c r="Y39" s="5396"/>
      <c r="Z39" s="5343"/>
    </row>
    <row r="40" spans="1:26">
      <c r="A40" s="5373"/>
      <c r="B40" s="5380"/>
      <c r="C40" s="5376"/>
      <c r="D40" s="5376"/>
      <c r="E40" s="5376"/>
      <c r="F40" s="5376"/>
      <c r="G40" s="5376"/>
      <c r="H40" s="5411"/>
      <c r="I40" s="5406"/>
      <c r="J40" s="5406"/>
      <c r="K40" s="5406"/>
      <c r="L40" s="5406"/>
      <c r="M40" s="5406"/>
      <c r="N40" s="5406"/>
      <c r="O40" s="5406"/>
      <c r="P40" s="5406"/>
      <c r="Q40" s="5406"/>
      <c r="R40" s="5406"/>
      <c r="S40" s="5406"/>
      <c r="T40" s="5406"/>
      <c r="U40" s="5406"/>
      <c r="V40" s="5396"/>
      <c r="W40" s="5396"/>
      <c r="X40" s="5396"/>
      <c r="Y40" s="5396"/>
      <c r="Z40" s="5343"/>
    </row>
    <row r="41" spans="1:26">
      <c r="A41" s="5373"/>
      <c r="B41" s="5380"/>
      <c r="C41" s="5376"/>
      <c r="D41" s="5376"/>
      <c r="E41" s="5376"/>
      <c r="F41" s="5376"/>
      <c r="G41" s="5376"/>
      <c r="H41" s="5411" t="s">
        <v>11842</v>
      </c>
      <c r="I41" s="5406" t="s">
        <v>11843</v>
      </c>
      <c r="J41" s="5406" t="s">
        <v>11844</v>
      </c>
      <c r="K41" s="5406" t="s">
        <v>11835</v>
      </c>
      <c r="L41" s="5406" t="s">
        <v>11845</v>
      </c>
      <c r="M41" s="5406" t="s">
        <v>11846</v>
      </c>
      <c r="N41" s="5406" t="s">
        <v>11838</v>
      </c>
      <c r="O41" s="5406" t="s">
        <v>11847</v>
      </c>
      <c r="P41" s="5406" t="s">
        <v>11808</v>
      </c>
      <c r="Q41" s="5409" t="s">
        <v>11848</v>
      </c>
      <c r="R41" s="5409" t="s">
        <v>11821</v>
      </c>
      <c r="S41" s="5409" t="s">
        <v>11811</v>
      </c>
      <c r="T41" s="5409" t="s">
        <v>11812</v>
      </c>
      <c r="U41" s="5406" t="s">
        <v>11813</v>
      </c>
      <c r="V41" s="5396"/>
      <c r="W41" s="5396"/>
      <c r="X41" s="5396"/>
      <c r="Y41" s="5396"/>
      <c r="Z41" s="5343"/>
    </row>
    <row r="42" spans="1:26">
      <c r="A42" s="5373"/>
      <c r="B42" s="5380"/>
      <c r="C42" s="5376"/>
      <c r="D42" s="5376"/>
      <c r="E42" s="5376"/>
      <c r="F42" s="5376"/>
      <c r="G42" s="5376"/>
      <c r="H42" s="5411"/>
      <c r="I42" s="5406"/>
      <c r="J42" s="5406"/>
      <c r="K42" s="5406"/>
      <c r="L42" s="5406"/>
      <c r="M42" s="5406"/>
      <c r="N42" s="5406"/>
      <c r="O42" s="5406"/>
      <c r="P42" s="5406"/>
      <c r="Q42" s="5410"/>
      <c r="R42" s="5410"/>
      <c r="S42" s="5410"/>
      <c r="T42" s="5410"/>
      <c r="U42" s="5406"/>
      <c r="V42" s="5396"/>
      <c r="W42" s="5396"/>
      <c r="X42" s="5396"/>
      <c r="Y42" s="5396"/>
      <c r="Z42" s="5343"/>
    </row>
    <row r="43" spans="1:26">
      <c r="A43" s="5373" t="s">
        <v>11831</v>
      </c>
      <c r="B43" s="5380"/>
      <c r="C43" s="5376"/>
      <c r="D43" s="5376"/>
      <c r="E43" s="5376"/>
      <c r="F43" s="5376"/>
      <c r="G43" s="5376"/>
      <c r="H43" s="5411" t="s">
        <v>2524</v>
      </c>
      <c r="I43" s="5411">
        <v>3</v>
      </c>
      <c r="J43" s="5411">
        <v>4</v>
      </c>
      <c r="K43" s="5411">
        <v>5</v>
      </c>
      <c r="L43" s="5411">
        <v>6</v>
      </c>
      <c r="M43" s="5411">
        <v>7</v>
      </c>
      <c r="N43" s="5411">
        <v>9</v>
      </c>
      <c r="O43" s="5411">
        <v>11</v>
      </c>
      <c r="P43" s="5411">
        <v>13</v>
      </c>
      <c r="Q43" s="5411">
        <v>17</v>
      </c>
      <c r="R43" s="5411">
        <v>21</v>
      </c>
      <c r="S43" s="5411">
        <v>25</v>
      </c>
      <c r="T43" s="5411">
        <v>32</v>
      </c>
      <c r="U43" s="5411">
        <v>40</v>
      </c>
      <c r="V43" s="5397"/>
      <c r="W43" s="5397"/>
      <c r="X43" s="5397"/>
      <c r="Y43" s="5397"/>
      <c r="Z43" s="5344"/>
    </row>
    <row r="44" spans="1:26">
      <c r="A44" s="5373"/>
      <c r="B44" s="5380"/>
      <c r="C44" s="5376"/>
      <c r="D44" s="5376"/>
      <c r="E44" s="5376"/>
      <c r="F44" s="5376"/>
      <c r="G44" s="5376"/>
      <c r="H44" s="5411"/>
      <c r="I44" s="5411"/>
      <c r="J44" s="5411"/>
      <c r="K44" s="5411"/>
      <c r="L44" s="5411"/>
      <c r="M44" s="5411"/>
      <c r="N44" s="5411"/>
      <c r="O44" s="5411"/>
      <c r="P44" s="5411"/>
      <c r="Q44" s="5411"/>
      <c r="R44" s="5411"/>
      <c r="S44" s="5411"/>
      <c r="T44" s="5411"/>
      <c r="U44" s="5411"/>
      <c r="V44" s="5397"/>
      <c r="W44" s="5397"/>
      <c r="X44" s="5397"/>
      <c r="Y44" s="5397"/>
      <c r="Z44" s="5344"/>
    </row>
    <row r="45" spans="1:26">
      <c r="A45" s="5373"/>
      <c r="B45" s="5380"/>
      <c r="C45" s="5376"/>
      <c r="D45" s="5376"/>
      <c r="E45" s="5376"/>
      <c r="F45" s="5376"/>
      <c r="G45" s="5376"/>
      <c r="H45" s="5411"/>
      <c r="I45" s="5411"/>
      <c r="J45" s="5411"/>
      <c r="K45" s="5411"/>
      <c r="L45" s="5411"/>
      <c r="M45" s="5411"/>
      <c r="N45" s="5411"/>
      <c r="O45" s="5411"/>
      <c r="P45" s="5411"/>
      <c r="Q45" s="5411"/>
      <c r="R45" s="5411"/>
      <c r="S45" s="5411"/>
      <c r="T45" s="5411"/>
      <c r="U45" s="5411"/>
      <c r="V45" s="5397"/>
      <c r="W45" s="5397"/>
      <c r="X45" s="5397"/>
      <c r="Y45" s="5397"/>
      <c r="Z45" s="5344"/>
    </row>
    <row r="46" spans="1:26">
      <c r="A46" s="5373"/>
      <c r="B46" s="5380"/>
      <c r="C46" s="5376"/>
      <c r="D46" s="5376"/>
      <c r="E46" s="5376"/>
      <c r="F46" s="5376"/>
      <c r="G46" s="5376"/>
      <c r="H46" s="5398" t="s">
        <v>487</v>
      </c>
      <c r="I46" s="5412" t="s">
        <v>11849</v>
      </c>
      <c r="J46" s="5412" t="s">
        <v>11850</v>
      </c>
      <c r="K46" s="5412" t="s">
        <v>11851</v>
      </c>
      <c r="L46" s="5412" t="s">
        <v>11852</v>
      </c>
      <c r="M46" s="5412" t="s">
        <v>11853</v>
      </c>
      <c r="N46" s="5412" t="s">
        <v>11854</v>
      </c>
      <c r="O46" s="5412" t="s">
        <v>11855</v>
      </c>
      <c r="P46" s="5412" t="s">
        <v>11856</v>
      </c>
      <c r="Q46" s="5412" t="s">
        <v>11808</v>
      </c>
      <c r="R46" s="5412" t="s">
        <v>11857</v>
      </c>
      <c r="S46" s="5412" t="s">
        <v>11858</v>
      </c>
      <c r="T46" s="5412" t="s">
        <v>11859</v>
      </c>
      <c r="U46" s="5412" t="s">
        <v>11860</v>
      </c>
      <c r="V46" s="5397"/>
      <c r="W46" s="5397"/>
      <c r="X46" s="5397"/>
      <c r="Y46" s="5397"/>
      <c r="Z46" s="5344"/>
    </row>
    <row r="47" spans="1:26">
      <c r="A47" s="5373"/>
      <c r="B47" s="5380"/>
      <c r="C47" s="5376"/>
      <c r="D47" s="5376"/>
      <c r="E47" s="5376"/>
      <c r="F47" s="5376"/>
      <c r="G47" s="5376"/>
      <c r="H47" s="5399"/>
      <c r="I47" s="5412"/>
      <c r="J47" s="5412"/>
      <c r="K47" s="5412"/>
      <c r="L47" s="5412"/>
      <c r="M47" s="5412"/>
      <c r="N47" s="5412"/>
      <c r="O47" s="5412"/>
      <c r="P47" s="5412"/>
      <c r="Q47" s="5412"/>
      <c r="R47" s="5412"/>
      <c r="S47" s="5412"/>
      <c r="T47" s="5412"/>
      <c r="U47" s="5412"/>
      <c r="V47" s="5397"/>
      <c r="W47" s="5397"/>
      <c r="X47" s="5397"/>
      <c r="Y47" s="5397"/>
      <c r="Z47" s="5344"/>
    </row>
    <row r="48" spans="1:26">
      <c r="A48" s="5381"/>
      <c r="B48" s="5382"/>
      <c r="C48" s="5383"/>
      <c r="D48" s="5383"/>
      <c r="E48" s="5383"/>
      <c r="F48" s="5383"/>
      <c r="G48" s="5383"/>
      <c r="H48" s="5429"/>
      <c r="I48" s="5413"/>
      <c r="J48" s="5413"/>
      <c r="K48" s="5413"/>
      <c r="L48" s="5413"/>
      <c r="M48" s="5413"/>
      <c r="N48" s="5413"/>
      <c r="O48" s="5413"/>
      <c r="P48" s="5413"/>
      <c r="Q48" s="5413"/>
      <c r="R48" s="5413"/>
      <c r="S48" s="5413"/>
      <c r="T48" s="5413"/>
      <c r="U48" s="5413"/>
      <c r="V48" s="5397"/>
      <c r="W48" s="5397"/>
      <c r="X48" s="5397"/>
      <c r="Y48" s="5397"/>
      <c r="Z48" s="5344"/>
    </row>
    <row r="49" spans="1:26">
      <c r="A49" s="5430" t="s">
        <v>11861</v>
      </c>
      <c r="B49" s="5346"/>
      <c r="C49" s="5346"/>
      <c r="D49" s="5346"/>
      <c r="E49" s="5346"/>
      <c r="F49" s="5346"/>
      <c r="G49" s="5346"/>
      <c r="H49" s="5346" t="s">
        <v>11862</v>
      </c>
      <c r="I49" s="5346"/>
      <c r="J49" s="5346"/>
      <c r="K49" s="5346" t="s">
        <v>11863</v>
      </c>
      <c r="L49" s="5346"/>
      <c r="M49" s="5346"/>
      <c r="N49" s="5346"/>
      <c r="O49" s="5346"/>
      <c r="P49" s="5346"/>
      <c r="Q49" s="5346"/>
      <c r="R49" s="5346"/>
      <c r="S49" s="5346"/>
      <c r="T49" s="5346"/>
      <c r="U49" s="5346" t="s">
        <v>11864</v>
      </c>
      <c r="V49" s="5346"/>
      <c r="W49" s="5346"/>
      <c r="X49" s="5346"/>
      <c r="Y49" s="5346"/>
      <c r="Z49" s="5431"/>
    </row>
    <row r="50" spans="1:26">
      <c r="A50" s="5349" t="s">
        <v>11865</v>
      </c>
      <c r="B50" s="5350"/>
      <c r="C50" s="5350"/>
      <c r="D50" s="5350"/>
      <c r="E50" s="5350"/>
      <c r="F50" s="5350"/>
      <c r="G50" s="5351"/>
      <c r="H50" s="5355"/>
      <c r="I50" s="5355"/>
      <c r="J50" s="5355"/>
      <c r="K50" s="5355" t="s">
        <v>11866</v>
      </c>
      <c r="L50" s="5355"/>
      <c r="M50" s="5355" t="s">
        <v>961</v>
      </c>
      <c r="N50" s="5355"/>
      <c r="O50" s="5355" t="s">
        <v>962</v>
      </c>
      <c r="P50" s="5355"/>
      <c r="Q50" s="5355" t="s">
        <v>1957</v>
      </c>
      <c r="R50" s="5355"/>
      <c r="S50" s="5355" t="s">
        <v>2524</v>
      </c>
      <c r="T50" s="5355"/>
      <c r="U50" s="5355"/>
      <c r="V50" s="5355"/>
      <c r="W50" s="5355"/>
      <c r="X50" s="5355"/>
      <c r="Y50" s="5355"/>
      <c r="Z50" s="5356"/>
    </row>
    <row r="51" spans="1:26">
      <c r="A51" s="5352"/>
      <c r="B51" s="5353"/>
      <c r="C51" s="5353"/>
      <c r="D51" s="5353"/>
      <c r="E51" s="5353"/>
      <c r="F51" s="5353"/>
      <c r="G51" s="5354"/>
      <c r="H51" s="5348"/>
      <c r="I51" s="5348"/>
      <c r="J51" s="5348"/>
      <c r="K51" s="5348" t="s">
        <v>11867</v>
      </c>
      <c r="L51" s="5348"/>
      <c r="M51" s="5348"/>
      <c r="N51" s="5348"/>
      <c r="O51" s="5348"/>
      <c r="P51" s="5348"/>
      <c r="Q51" s="5348"/>
      <c r="R51" s="5348"/>
      <c r="S51" s="5348"/>
      <c r="T51" s="5348"/>
      <c r="U51" s="5348"/>
      <c r="V51" s="5348"/>
      <c r="W51" s="5348"/>
      <c r="X51" s="5348"/>
      <c r="Y51" s="5348"/>
      <c r="Z51" s="5357"/>
    </row>
    <row r="53" spans="1:26" ht="20.25">
      <c r="A53" s="1858"/>
      <c r="B53" s="1859"/>
      <c r="C53" s="1859"/>
      <c r="D53" s="1859"/>
      <c r="E53" s="1859"/>
      <c r="F53" s="1859"/>
      <c r="G53" s="1859"/>
      <c r="H53" s="1860"/>
      <c r="I53" s="1860"/>
      <c r="J53" s="1860"/>
      <c r="K53" s="1860"/>
      <c r="L53" s="1860"/>
      <c r="M53" s="1860"/>
      <c r="N53" s="1860"/>
      <c r="O53" s="1860"/>
      <c r="P53" s="1860"/>
      <c r="Q53" s="1860"/>
      <c r="R53" s="1860"/>
      <c r="S53" s="1860"/>
      <c r="T53" s="1860"/>
      <c r="U53" s="1863"/>
      <c r="V53" s="1863"/>
      <c r="W53" s="1863"/>
      <c r="X53" s="1863"/>
      <c r="Y53" s="1863"/>
      <c r="Z53" s="1863"/>
    </row>
    <row r="54" spans="1:26">
      <c r="A54" s="1859"/>
      <c r="B54" s="1859"/>
      <c r="C54" s="1859"/>
      <c r="D54" s="1859"/>
      <c r="E54" s="1859"/>
      <c r="F54" s="1859"/>
      <c r="G54" s="1859"/>
      <c r="H54" s="1859"/>
      <c r="I54" s="1859"/>
      <c r="J54" s="1859"/>
      <c r="K54" s="1859"/>
      <c r="L54" s="1859"/>
      <c r="M54" s="1859"/>
      <c r="N54" s="1859"/>
      <c r="O54" s="1859"/>
      <c r="P54" s="1859"/>
      <c r="Q54" s="1859"/>
      <c r="R54" s="1859"/>
      <c r="S54" s="1859"/>
      <c r="T54" s="1859"/>
      <c r="U54" s="1788"/>
      <c r="V54" s="1788"/>
      <c r="W54" s="1788"/>
      <c r="X54" s="1788"/>
      <c r="Y54" s="1788"/>
      <c r="Z54" s="1788"/>
    </row>
    <row r="55" spans="1:26">
      <c r="A55" s="1800"/>
      <c r="B55" s="1800"/>
      <c r="C55" s="1800"/>
      <c r="D55" s="1800"/>
      <c r="E55" s="1800"/>
      <c r="F55" s="1800"/>
      <c r="G55" s="1800"/>
      <c r="H55" s="1800"/>
      <c r="I55" s="1800"/>
      <c r="J55" s="1800"/>
      <c r="K55" s="1800"/>
      <c r="L55" s="1800"/>
      <c r="M55" s="1800"/>
      <c r="N55" s="1800"/>
      <c r="O55" s="1800"/>
      <c r="P55" s="1800"/>
      <c r="Q55" s="1800"/>
      <c r="R55" s="1800"/>
      <c r="S55" s="1800"/>
      <c r="T55" s="1800"/>
      <c r="U55" s="1800"/>
      <c r="V55" s="1800"/>
      <c r="W55" s="1800"/>
      <c r="X55" s="1800"/>
      <c r="Y55" s="1800"/>
      <c r="Z55" s="1800"/>
    </row>
    <row r="56" spans="1:26">
      <c r="A56" s="1861"/>
      <c r="B56" s="1804"/>
      <c r="C56" s="1804"/>
      <c r="D56" s="1804"/>
      <c r="E56" s="1804"/>
      <c r="F56" s="1804"/>
      <c r="G56" s="1804"/>
      <c r="H56" s="1804"/>
      <c r="I56" s="1804"/>
      <c r="J56" s="1804"/>
      <c r="K56" s="1804"/>
      <c r="L56" s="1804"/>
      <c r="M56" s="1804"/>
      <c r="N56" s="1804"/>
      <c r="O56" s="1804"/>
      <c r="P56" s="1804"/>
      <c r="Q56" s="1804"/>
      <c r="R56" s="1804"/>
      <c r="S56" s="1804"/>
      <c r="T56" s="1804"/>
      <c r="U56" s="1804"/>
      <c r="V56" s="1804"/>
      <c r="W56" s="1804"/>
      <c r="X56" s="1804"/>
      <c r="Y56" s="1804"/>
      <c r="Z56" s="1804"/>
    </row>
    <row r="57" spans="1:26">
      <c r="A57" s="1786"/>
      <c r="B57" s="1786"/>
      <c r="C57" s="1786"/>
      <c r="D57" s="1786"/>
      <c r="E57" s="1786"/>
      <c r="F57" s="1786"/>
      <c r="G57" s="1786"/>
      <c r="H57" s="1786"/>
      <c r="I57" s="1786"/>
      <c r="J57" s="1786"/>
      <c r="K57" s="1786"/>
      <c r="L57" s="1786"/>
      <c r="M57" s="1786"/>
      <c r="N57" s="1786"/>
      <c r="O57" s="1786"/>
      <c r="P57" s="1786"/>
      <c r="Q57" s="1786"/>
      <c r="R57" s="1786"/>
      <c r="S57" s="1786"/>
      <c r="T57" s="1786"/>
      <c r="U57" s="1786"/>
      <c r="V57" s="1786"/>
      <c r="W57" s="1786"/>
      <c r="X57" s="1786"/>
      <c r="Y57" s="1786"/>
      <c r="Z57" s="1786"/>
    </row>
    <row r="58" spans="1:26">
      <c r="A58" s="1786"/>
      <c r="B58" s="1786"/>
      <c r="C58" s="1786"/>
      <c r="D58" s="1786"/>
      <c r="E58" s="1786"/>
      <c r="F58" s="1786"/>
      <c r="G58" s="1786"/>
      <c r="H58" s="1786"/>
      <c r="I58" s="1795"/>
      <c r="J58" s="1795"/>
      <c r="K58" s="1795"/>
      <c r="L58" s="1795"/>
      <c r="M58" s="1795"/>
      <c r="N58" s="1795"/>
      <c r="O58" s="1795"/>
      <c r="P58" s="1795"/>
      <c r="Q58" s="1795"/>
      <c r="R58" s="1795"/>
      <c r="S58" s="1795"/>
      <c r="T58" s="1795"/>
      <c r="U58" s="1795"/>
      <c r="V58" s="1795"/>
      <c r="W58" s="1795"/>
      <c r="X58" s="1795"/>
      <c r="Y58" s="1795"/>
      <c r="Z58" s="1795"/>
    </row>
    <row r="59" spans="1:26">
      <c r="A59" s="1786"/>
      <c r="B59" s="1786"/>
      <c r="C59" s="1786"/>
      <c r="D59" s="1786"/>
      <c r="E59" s="1786"/>
      <c r="F59" s="1786"/>
      <c r="G59" s="1786"/>
      <c r="H59" s="1862"/>
      <c r="I59" s="1795"/>
      <c r="J59" s="1795"/>
      <c r="K59" s="1795"/>
      <c r="L59" s="1795"/>
      <c r="M59" s="1795"/>
      <c r="N59" s="1795"/>
      <c r="O59" s="1795"/>
      <c r="P59" s="1795"/>
      <c r="Q59" s="1795"/>
      <c r="R59" s="1795"/>
      <c r="S59" s="1795"/>
      <c r="T59" s="1795"/>
      <c r="U59" s="1795"/>
      <c r="V59" s="1795"/>
      <c r="W59" s="1795"/>
      <c r="X59" s="1795"/>
      <c r="Y59" s="1795"/>
      <c r="Z59" s="1795"/>
    </row>
    <row r="60" spans="1:26">
      <c r="A60" s="1800"/>
      <c r="B60" s="1800"/>
      <c r="C60" s="1800"/>
      <c r="D60" s="1800"/>
      <c r="E60" s="1800"/>
      <c r="F60" s="1800"/>
      <c r="G60" s="1800"/>
      <c r="H60" s="1800"/>
      <c r="I60" s="1800"/>
      <c r="J60" s="1800"/>
      <c r="K60" s="1800"/>
      <c r="L60" s="1800"/>
      <c r="M60" s="1800"/>
      <c r="N60" s="1800"/>
      <c r="O60" s="1800"/>
      <c r="P60" s="1800"/>
      <c r="Q60" s="1800"/>
      <c r="R60" s="1800"/>
      <c r="S60" s="1800"/>
      <c r="T60" s="1800"/>
      <c r="U60" s="1800"/>
      <c r="V60" s="1800"/>
      <c r="W60" s="1800"/>
      <c r="X60" s="1800"/>
      <c r="Y60" s="1800"/>
      <c r="Z60" s="1800"/>
    </row>
    <row r="61" spans="1:26">
      <c r="A61" s="1800"/>
      <c r="B61" s="1800"/>
      <c r="C61" s="1800"/>
      <c r="D61" s="1800"/>
      <c r="E61" s="1800"/>
      <c r="F61" s="1800"/>
      <c r="G61" s="1800"/>
      <c r="H61" s="1800"/>
      <c r="I61" s="1800"/>
      <c r="J61" s="1800"/>
      <c r="K61" s="1800"/>
      <c r="L61" s="1800"/>
      <c r="M61" s="1800"/>
      <c r="N61" s="1800"/>
      <c r="O61" s="1800"/>
      <c r="P61" s="1800"/>
      <c r="Q61" s="1800"/>
      <c r="R61" s="1800"/>
      <c r="S61" s="1800"/>
      <c r="T61" s="1800"/>
      <c r="U61" s="1800"/>
      <c r="V61" s="1800"/>
      <c r="W61" s="1800"/>
      <c r="X61" s="1800"/>
      <c r="Y61" s="1800"/>
      <c r="Z61" s="1800"/>
    </row>
    <row r="62" spans="1:26">
      <c r="A62" s="1800"/>
      <c r="B62" s="1800"/>
      <c r="C62" s="1800"/>
      <c r="D62" s="1800"/>
      <c r="E62" s="1800"/>
      <c r="F62" s="1800"/>
      <c r="G62" s="1800"/>
      <c r="H62" s="1800"/>
      <c r="I62" s="1800"/>
      <c r="J62" s="1800"/>
      <c r="K62" s="1800"/>
      <c r="L62" s="1800"/>
      <c r="M62" s="1800"/>
      <c r="N62" s="1800"/>
      <c r="O62" s="1800"/>
      <c r="P62" s="1800"/>
      <c r="Q62" s="1800"/>
      <c r="R62" s="1800"/>
      <c r="S62" s="1800"/>
      <c r="T62" s="1800"/>
      <c r="U62" s="1800"/>
      <c r="V62" s="1800"/>
      <c r="W62" s="1800"/>
      <c r="X62" s="1800"/>
      <c r="Y62" s="1800"/>
      <c r="Z62" s="1800"/>
    </row>
    <row r="63" spans="1:26">
      <c r="A63" s="1800"/>
      <c r="B63" s="1800"/>
      <c r="C63" s="1800"/>
      <c r="D63" s="1800"/>
      <c r="E63" s="1800"/>
      <c r="F63" s="1800"/>
      <c r="G63" s="1800"/>
      <c r="H63" s="1800"/>
      <c r="I63" s="1800"/>
      <c r="J63" s="1800"/>
      <c r="K63" s="1800"/>
      <c r="L63" s="1800"/>
      <c r="M63" s="1800"/>
      <c r="N63" s="1800"/>
      <c r="O63" s="1800"/>
      <c r="P63" s="1800"/>
      <c r="Q63" s="1800"/>
      <c r="R63" s="1800"/>
      <c r="S63" s="1800"/>
      <c r="T63" s="1800"/>
      <c r="U63" s="1800"/>
      <c r="V63" s="1800"/>
      <c r="W63" s="1800"/>
      <c r="X63" s="1800"/>
      <c r="Y63" s="1800"/>
      <c r="Z63" s="1800"/>
    </row>
    <row r="64" spans="1:26">
      <c r="A64" s="1800"/>
      <c r="B64" s="1800"/>
      <c r="C64" s="1800"/>
      <c r="D64" s="1800"/>
      <c r="E64" s="1800"/>
      <c r="F64" s="1800"/>
      <c r="G64" s="1800"/>
      <c r="H64" s="1800"/>
      <c r="I64" s="1800"/>
      <c r="J64" s="1800"/>
      <c r="K64" s="1800"/>
      <c r="L64" s="1800"/>
      <c r="M64" s="1800"/>
      <c r="N64" s="1800"/>
      <c r="O64" s="1800"/>
      <c r="P64" s="1800"/>
      <c r="Q64" s="1800"/>
      <c r="R64" s="1800"/>
      <c r="S64" s="1800"/>
      <c r="T64" s="1800"/>
      <c r="U64" s="1800"/>
      <c r="V64" s="1800"/>
      <c r="W64" s="1800"/>
      <c r="X64" s="1800"/>
      <c r="Y64" s="1800"/>
      <c r="Z64" s="1800"/>
    </row>
    <row r="65" spans="1:26">
      <c r="A65" s="1800"/>
      <c r="B65" s="1800"/>
      <c r="C65" s="1800"/>
      <c r="D65" s="1800"/>
      <c r="E65" s="1800"/>
      <c r="F65" s="1800"/>
      <c r="G65" s="1800"/>
      <c r="H65" s="1800"/>
      <c r="I65" s="1800"/>
      <c r="J65" s="1800"/>
      <c r="K65" s="1800"/>
      <c r="L65" s="1800"/>
      <c r="M65" s="1800"/>
      <c r="N65" s="1800"/>
      <c r="O65" s="1800"/>
      <c r="P65" s="1800"/>
      <c r="Q65" s="1800"/>
      <c r="R65" s="1800"/>
      <c r="S65" s="1800"/>
      <c r="T65" s="1800"/>
      <c r="U65" s="1800"/>
      <c r="V65" s="1800"/>
      <c r="W65" s="1800"/>
      <c r="X65" s="1800"/>
      <c r="Y65" s="1800"/>
      <c r="Z65" s="1800"/>
    </row>
    <row r="66" spans="1:26">
      <c r="A66" s="1800"/>
      <c r="B66" s="1800"/>
      <c r="C66" s="1800"/>
      <c r="D66" s="1800"/>
      <c r="E66" s="1800"/>
      <c r="F66" s="1800"/>
      <c r="G66" s="1800"/>
      <c r="H66" s="1800"/>
      <c r="I66" s="1800"/>
      <c r="J66" s="1800"/>
      <c r="K66" s="1800"/>
      <c r="L66" s="1800"/>
      <c r="M66" s="1800"/>
      <c r="N66" s="1800"/>
      <c r="O66" s="1800"/>
      <c r="P66" s="1800"/>
      <c r="Q66" s="1800"/>
      <c r="R66" s="1800"/>
      <c r="S66" s="1800"/>
      <c r="T66" s="1800"/>
      <c r="U66" s="1800"/>
      <c r="V66" s="1800"/>
      <c r="W66" s="1800"/>
      <c r="X66" s="1800"/>
      <c r="Y66" s="1800"/>
      <c r="Z66" s="1800"/>
    </row>
    <row r="67" spans="1:26">
      <c r="A67" s="1800"/>
      <c r="B67" s="1800"/>
      <c r="C67" s="1800"/>
      <c r="D67" s="1800"/>
      <c r="E67" s="1800"/>
      <c r="F67" s="1800"/>
      <c r="G67" s="1800"/>
      <c r="H67" s="1800"/>
      <c r="I67" s="1800"/>
      <c r="J67" s="1800"/>
      <c r="K67" s="1800"/>
      <c r="L67" s="1800"/>
      <c r="M67" s="1800"/>
      <c r="N67" s="1800"/>
      <c r="O67" s="1800"/>
      <c r="P67" s="1800"/>
      <c r="Q67" s="1800"/>
      <c r="R67" s="1800"/>
      <c r="S67" s="1800"/>
      <c r="T67" s="1800"/>
      <c r="U67" s="1800"/>
      <c r="V67" s="1800"/>
      <c r="W67" s="1800"/>
      <c r="X67" s="1800"/>
      <c r="Y67" s="1800"/>
      <c r="Z67" s="1800"/>
    </row>
    <row r="68" spans="1:26">
      <c r="A68" s="1800"/>
      <c r="B68" s="1800"/>
      <c r="C68" s="1800"/>
      <c r="D68" s="1800"/>
      <c r="E68" s="1800"/>
      <c r="F68" s="1800"/>
      <c r="G68" s="1800"/>
      <c r="H68" s="1800"/>
      <c r="I68" s="1800"/>
      <c r="J68" s="1800"/>
      <c r="K68" s="1800"/>
      <c r="L68" s="1800"/>
      <c r="M68" s="1800"/>
      <c r="N68" s="1800"/>
      <c r="O68" s="1800"/>
      <c r="P68" s="1800"/>
      <c r="Q68" s="1800"/>
      <c r="R68" s="1800"/>
      <c r="S68" s="1800"/>
      <c r="T68" s="1800"/>
      <c r="U68" s="1800"/>
      <c r="V68" s="1800"/>
      <c r="W68" s="1800"/>
      <c r="X68" s="1800"/>
      <c r="Y68" s="1800"/>
      <c r="Z68" s="1800"/>
    </row>
    <row r="69" spans="1:26">
      <c r="A69" s="1800"/>
      <c r="B69" s="1800"/>
      <c r="C69" s="1800"/>
      <c r="D69" s="1800"/>
      <c r="E69" s="1800"/>
      <c r="F69" s="1800"/>
      <c r="G69" s="1800"/>
      <c r="H69" s="1800"/>
      <c r="I69" s="1800"/>
      <c r="J69" s="1800"/>
      <c r="K69" s="1800"/>
      <c r="L69" s="1800"/>
      <c r="M69" s="1800"/>
      <c r="N69" s="1800"/>
      <c r="O69" s="1800"/>
      <c r="P69" s="1800"/>
      <c r="Q69" s="1800"/>
      <c r="R69" s="1800"/>
      <c r="S69" s="1800"/>
      <c r="T69" s="1800"/>
      <c r="U69" s="1800"/>
      <c r="V69" s="1800"/>
      <c r="W69" s="1800"/>
      <c r="X69" s="1800"/>
      <c r="Y69" s="1800"/>
      <c r="Z69" s="1800"/>
    </row>
    <row r="70" spans="1:26">
      <c r="A70" s="1800"/>
      <c r="B70" s="1800"/>
      <c r="C70" s="1800"/>
      <c r="D70" s="1800"/>
      <c r="E70" s="1800"/>
      <c r="F70" s="1800"/>
      <c r="G70" s="1800"/>
      <c r="H70" s="1800"/>
      <c r="I70" s="1800"/>
      <c r="J70" s="1800"/>
      <c r="K70" s="1800"/>
      <c r="L70" s="1800"/>
      <c r="M70" s="1800"/>
      <c r="N70" s="1800"/>
      <c r="O70" s="1800"/>
      <c r="P70" s="1800"/>
      <c r="Q70" s="1800"/>
      <c r="R70" s="1800"/>
      <c r="S70" s="1800"/>
      <c r="T70" s="1800"/>
      <c r="U70" s="1800"/>
      <c r="V70" s="1800"/>
      <c r="W70" s="1800"/>
      <c r="X70" s="1800"/>
      <c r="Y70" s="1800"/>
      <c r="Z70" s="1800"/>
    </row>
    <row r="71" spans="1:26">
      <c r="A71" s="1800"/>
      <c r="B71" s="1800"/>
      <c r="C71" s="1800"/>
      <c r="D71" s="1800"/>
      <c r="E71" s="1800"/>
      <c r="F71" s="1800"/>
      <c r="G71" s="1800"/>
      <c r="H71" s="1800"/>
      <c r="I71" s="1800"/>
      <c r="J71" s="1800"/>
      <c r="K71" s="1800"/>
      <c r="L71" s="1800"/>
      <c r="M71" s="1800"/>
      <c r="N71" s="1800"/>
      <c r="O71" s="1800"/>
      <c r="P71" s="1800"/>
      <c r="Q71" s="1800"/>
      <c r="R71" s="1800"/>
      <c r="S71" s="1800"/>
      <c r="T71" s="1800"/>
      <c r="U71" s="1800"/>
      <c r="V71" s="1800"/>
      <c r="W71" s="1800"/>
      <c r="X71" s="1800"/>
      <c r="Y71" s="1800"/>
      <c r="Z71" s="1800"/>
    </row>
    <row r="72" spans="1:26">
      <c r="A72" s="1785"/>
      <c r="B72" s="1785"/>
      <c r="C72" s="1786"/>
      <c r="D72" s="1786"/>
      <c r="E72" s="1786"/>
      <c r="F72" s="1786"/>
      <c r="G72" s="1786"/>
      <c r="H72" s="1789"/>
      <c r="I72" s="1794"/>
      <c r="J72" s="1794"/>
      <c r="K72" s="1794"/>
      <c r="L72" s="1794"/>
      <c r="M72" s="1794"/>
      <c r="N72" s="1794"/>
      <c r="O72" s="1794"/>
      <c r="P72" s="1794"/>
      <c r="Q72" s="1794"/>
      <c r="R72" s="1794"/>
      <c r="S72" s="1794"/>
      <c r="T72" s="1794"/>
      <c r="U72" s="1794"/>
      <c r="V72" s="1794"/>
      <c r="W72" s="1794"/>
      <c r="X72" s="1794"/>
      <c r="Y72" s="1794"/>
      <c r="Z72" s="1794"/>
    </row>
    <row r="73" spans="1:26">
      <c r="A73" s="1785"/>
      <c r="B73" s="1793"/>
      <c r="C73" s="1786"/>
      <c r="D73" s="1786"/>
      <c r="E73" s="1786"/>
      <c r="F73" s="1786"/>
      <c r="G73" s="1786"/>
      <c r="H73" s="1168"/>
      <c r="I73" s="1786"/>
      <c r="J73" s="1786"/>
      <c r="K73" s="1786"/>
      <c r="L73" s="1786"/>
      <c r="M73" s="1786"/>
      <c r="N73" s="1786"/>
      <c r="O73" s="1786"/>
      <c r="P73" s="1786"/>
      <c r="Q73" s="1786"/>
      <c r="R73" s="1786"/>
      <c r="S73" s="1786"/>
      <c r="T73" s="1786"/>
      <c r="U73" s="1786"/>
      <c r="V73" s="1786"/>
      <c r="W73" s="1786"/>
      <c r="X73" s="1786"/>
      <c r="Y73" s="1786"/>
      <c r="Z73" s="1786"/>
    </row>
    <row r="74" spans="1:26">
      <c r="A74" s="1793"/>
      <c r="B74" s="1793"/>
      <c r="C74" s="1786"/>
      <c r="D74" s="1786"/>
      <c r="E74" s="1786"/>
      <c r="F74" s="1786"/>
      <c r="G74" s="1786"/>
      <c r="H74" s="1786"/>
      <c r="I74" s="1786"/>
      <c r="J74" s="1786"/>
      <c r="K74" s="1786"/>
      <c r="L74" s="1786"/>
      <c r="M74" s="1786"/>
      <c r="N74" s="1786"/>
      <c r="O74" s="1786"/>
      <c r="P74" s="1786"/>
      <c r="Q74" s="1786"/>
      <c r="R74" s="1786"/>
      <c r="S74" s="1786"/>
      <c r="T74" s="1786"/>
      <c r="U74" s="1786"/>
      <c r="V74" s="1786"/>
      <c r="W74" s="1786"/>
      <c r="X74" s="1786"/>
      <c r="Y74" s="1786"/>
      <c r="Z74" s="1786"/>
    </row>
    <row r="75" spans="1:26">
      <c r="A75" s="1793"/>
      <c r="B75" s="1793"/>
      <c r="C75" s="1786"/>
      <c r="D75" s="1786"/>
      <c r="E75" s="1786"/>
      <c r="F75" s="1786"/>
      <c r="G75" s="1786"/>
      <c r="H75" s="1786"/>
      <c r="I75" s="1786"/>
      <c r="J75" s="1786"/>
      <c r="K75" s="1786"/>
      <c r="L75" s="1786"/>
      <c r="M75" s="1786"/>
      <c r="N75" s="1786"/>
      <c r="O75" s="1786"/>
      <c r="P75" s="1786"/>
      <c r="Q75" s="1786"/>
      <c r="R75" s="1786"/>
      <c r="S75" s="1786"/>
      <c r="T75" s="1786"/>
      <c r="U75" s="1786"/>
      <c r="V75" s="1786"/>
      <c r="W75" s="1786"/>
      <c r="X75" s="1786"/>
      <c r="Y75" s="1786"/>
      <c r="Z75" s="1786"/>
    </row>
    <row r="76" spans="1:26">
      <c r="A76" s="1793"/>
      <c r="B76" s="1793"/>
      <c r="C76" s="1786"/>
      <c r="D76" s="1786"/>
      <c r="E76" s="1786"/>
      <c r="F76" s="1786"/>
      <c r="G76" s="1786"/>
      <c r="H76" s="1786"/>
      <c r="I76" s="1786"/>
      <c r="J76" s="1786"/>
      <c r="K76" s="1786"/>
      <c r="L76" s="1786"/>
      <c r="M76" s="1786"/>
      <c r="N76" s="1786"/>
      <c r="O76" s="1786"/>
      <c r="P76" s="1786"/>
      <c r="Q76" s="1786"/>
      <c r="R76" s="1786"/>
      <c r="S76" s="1786"/>
      <c r="T76" s="1786"/>
      <c r="U76" s="1786"/>
      <c r="V76" s="1786"/>
      <c r="W76" s="1786"/>
      <c r="X76" s="1786"/>
      <c r="Y76" s="1786"/>
      <c r="Z76" s="1786"/>
    </row>
    <row r="77" spans="1:26">
      <c r="A77" s="1793"/>
      <c r="B77" s="1793"/>
      <c r="C77" s="1786"/>
      <c r="D77" s="1786"/>
      <c r="E77" s="1786"/>
      <c r="F77" s="1786"/>
      <c r="G77" s="1786"/>
      <c r="H77" s="1786"/>
      <c r="I77" s="1786"/>
      <c r="J77" s="1786"/>
      <c r="K77" s="1786"/>
      <c r="L77" s="1786"/>
      <c r="M77" s="1786"/>
      <c r="N77" s="1786"/>
      <c r="O77" s="1786"/>
      <c r="P77" s="1786"/>
      <c r="Q77" s="1786"/>
      <c r="R77" s="1786"/>
      <c r="S77" s="1786"/>
      <c r="T77" s="1786"/>
      <c r="U77" s="1786"/>
      <c r="V77" s="1786"/>
      <c r="W77" s="1786"/>
      <c r="X77" s="1786"/>
      <c r="Y77" s="1786"/>
      <c r="Z77" s="1786"/>
    </row>
    <row r="78" spans="1:26">
      <c r="A78" s="1793"/>
      <c r="B78" s="1793"/>
      <c r="C78" s="1786"/>
      <c r="D78" s="1786"/>
      <c r="E78" s="1786"/>
      <c r="F78" s="1786"/>
      <c r="G78" s="1786"/>
      <c r="H78" s="1789"/>
      <c r="I78" s="1794"/>
      <c r="J78" s="1794"/>
      <c r="K78" s="1794"/>
      <c r="L78" s="1794"/>
      <c r="M78" s="1794"/>
      <c r="N78" s="1794"/>
      <c r="O78" s="1794"/>
      <c r="P78" s="1794"/>
      <c r="Q78" s="1794"/>
      <c r="R78" s="1794"/>
      <c r="S78" s="1794"/>
      <c r="T78" s="1794"/>
      <c r="U78" s="1794"/>
      <c r="V78" s="1794"/>
      <c r="W78" s="1794"/>
      <c r="X78" s="1794"/>
      <c r="Y78" s="1794"/>
      <c r="Z78" s="1794"/>
    </row>
    <row r="79" spans="1:26">
      <c r="A79" s="1793"/>
      <c r="B79" s="1793"/>
      <c r="C79" s="1786"/>
      <c r="D79" s="1786"/>
      <c r="E79" s="1786"/>
      <c r="F79" s="1786"/>
      <c r="G79" s="1786"/>
      <c r="H79" s="1789"/>
      <c r="I79" s="1794"/>
      <c r="J79" s="1794"/>
      <c r="K79" s="1794"/>
      <c r="L79" s="1794"/>
      <c r="M79" s="1794"/>
      <c r="N79" s="1794"/>
      <c r="O79" s="1794"/>
      <c r="P79" s="1794"/>
      <c r="Q79" s="1794"/>
      <c r="R79" s="1794"/>
      <c r="S79" s="1794"/>
      <c r="T79" s="1794"/>
      <c r="U79" s="1794"/>
      <c r="V79" s="1794"/>
      <c r="W79" s="1794"/>
      <c r="X79" s="1794"/>
      <c r="Y79" s="1794"/>
      <c r="Z79" s="1794"/>
    </row>
    <row r="80" spans="1:26">
      <c r="A80" s="1793"/>
      <c r="B80" s="1793"/>
      <c r="C80" s="1786"/>
      <c r="D80" s="1786"/>
      <c r="E80" s="1786"/>
      <c r="F80" s="1786"/>
      <c r="G80" s="1786"/>
      <c r="H80" s="1789"/>
      <c r="I80" s="1794"/>
      <c r="J80" s="1794"/>
      <c r="K80" s="1794"/>
      <c r="L80" s="1794"/>
      <c r="M80" s="1794"/>
      <c r="N80" s="1794"/>
      <c r="O80" s="1794"/>
      <c r="P80" s="1794"/>
      <c r="Q80" s="1794"/>
      <c r="R80" s="1794"/>
      <c r="S80" s="1794"/>
      <c r="T80" s="1794"/>
      <c r="U80" s="1794"/>
      <c r="V80" s="1794"/>
      <c r="W80" s="1794"/>
      <c r="X80" s="1794"/>
      <c r="Y80" s="1794"/>
      <c r="Z80" s="1794"/>
    </row>
    <row r="81" spans="1:26">
      <c r="A81" s="1793"/>
      <c r="B81" s="1793"/>
      <c r="C81" s="1786"/>
      <c r="D81" s="1786"/>
      <c r="E81" s="1786"/>
      <c r="F81" s="1786"/>
      <c r="G81" s="1786"/>
      <c r="H81" s="1789"/>
      <c r="I81" s="1794"/>
      <c r="J81" s="1794"/>
      <c r="K81" s="1794"/>
      <c r="L81" s="1794"/>
      <c r="M81" s="1794"/>
      <c r="N81" s="1794"/>
      <c r="O81" s="1794"/>
      <c r="P81" s="1794"/>
      <c r="Q81" s="1794"/>
      <c r="R81" s="1794"/>
      <c r="S81" s="1794"/>
      <c r="T81" s="1794"/>
      <c r="U81" s="1794"/>
      <c r="V81" s="1794"/>
      <c r="W81" s="1794"/>
      <c r="X81" s="1794"/>
      <c r="Y81" s="1794"/>
      <c r="Z81" s="1794"/>
    </row>
    <row r="82" spans="1:26">
      <c r="A82" s="1793"/>
      <c r="B82" s="1793"/>
      <c r="C82" s="1786"/>
      <c r="D82" s="1786"/>
      <c r="E82" s="1786"/>
      <c r="F82" s="1786"/>
      <c r="G82" s="1786"/>
      <c r="H82" s="1789"/>
      <c r="I82" s="1794"/>
      <c r="J82" s="1794"/>
      <c r="K82" s="1794"/>
      <c r="L82" s="1794"/>
      <c r="M82" s="1794"/>
      <c r="N82" s="1794"/>
      <c r="O82" s="1794"/>
      <c r="P82" s="1794"/>
      <c r="Q82" s="1794"/>
      <c r="R82" s="1794"/>
      <c r="S82" s="1794"/>
      <c r="T82" s="1794"/>
      <c r="U82" s="1794"/>
      <c r="V82" s="1794"/>
      <c r="W82" s="1794"/>
      <c r="X82" s="1794"/>
      <c r="Y82" s="1794"/>
      <c r="Z82" s="1794"/>
    </row>
    <row r="83" spans="1:26">
      <c r="A83" s="1793"/>
      <c r="B83" s="1793"/>
      <c r="C83" s="1786"/>
      <c r="D83" s="1786"/>
      <c r="E83" s="1786"/>
      <c r="F83" s="1786"/>
      <c r="G83" s="1786"/>
      <c r="H83" s="1789"/>
      <c r="I83" s="1794"/>
      <c r="J83" s="1794"/>
      <c r="K83" s="1794"/>
      <c r="L83" s="1794"/>
      <c r="M83" s="1794"/>
      <c r="N83" s="1794"/>
      <c r="O83" s="1794"/>
      <c r="P83" s="1794"/>
      <c r="Q83" s="1794"/>
      <c r="R83" s="1794"/>
      <c r="S83" s="1794"/>
      <c r="T83" s="1794"/>
      <c r="U83" s="1794"/>
      <c r="V83" s="1794"/>
      <c r="W83" s="1794"/>
      <c r="X83" s="1794"/>
      <c r="Y83" s="1794"/>
      <c r="Z83" s="1794"/>
    </row>
    <row r="84" spans="1:26">
      <c r="A84" s="1793"/>
      <c r="B84" s="1793"/>
      <c r="C84" s="1786"/>
      <c r="D84" s="1786"/>
      <c r="E84" s="1786"/>
      <c r="F84" s="1786"/>
      <c r="G84" s="1786"/>
      <c r="H84" s="1789"/>
      <c r="I84" s="1794"/>
      <c r="J84" s="1794"/>
      <c r="K84" s="1794"/>
      <c r="L84" s="1794"/>
      <c r="M84" s="1794"/>
      <c r="N84" s="1794"/>
      <c r="O84" s="1794"/>
      <c r="P84" s="1794"/>
      <c r="Q84" s="1794"/>
      <c r="R84" s="1794"/>
      <c r="S84" s="1794"/>
      <c r="T84" s="1794"/>
      <c r="U84" s="1794"/>
      <c r="V84" s="1794"/>
      <c r="W84" s="1794"/>
      <c r="X84" s="1794"/>
      <c r="Y84" s="1794"/>
      <c r="Z84" s="1794"/>
    </row>
    <row r="85" spans="1:26">
      <c r="A85" s="1793"/>
      <c r="B85" s="1793"/>
      <c r="C85" s="1786"/>
      <c r="D85" s="1786"/>
      <c r="E85" s="1786"/>
      <c r="F85" s="1786"/>
      <c r="G85" s="1786"/>
      <c r="H85" s="1789"/>
      <c r="I85" s="1794"/>
      <c r="J85" s="1794"/>
      <c r="K85" s="1794"/>
      <c r="L85" s="1794"/>
      <c r="M85" s="1794"/>
      <c r="N85" s="1794"/>
      <c r="O85" s="1794"/>
      <c r="P85" s="1794"/>
      <c r="Q85" s="1794"/>
      <c r="R85" s="1794"/>
      <c r="S85" s="1794"/>
      <c r="T85" s="1794"/>
      <c r="U85" s="1794"/>
      <c r="V85" s="1794"/>
      <c r="W85" s="1794"/>
      <c r="X85" s="1794"/>
      <c r="Y85" s="1794"/>
      <c r="Z85" s="1794"/>
    </row>
    <row r="86" spans="1:26">
      <c r="A86" s="1785"/>
      <c r="B86" s="1793"/>
      <c r="C86" s="1786"/>
      <c r="D86" s="1786"/>
      <c r="E86" s="1786"/>
      <c r="F86" s="1786"/>
      <c r="G86" s="1786"/>
      <c r="H86" s="1168"/>
      <c r="I86" s="1786"/>
      <c r="J86" s="1786"/>
      <c r="K86" s="1786"/>
      <c r="L86" s="1786"/>
      <c r="M86" s="1786"/>
      <c r="N86" s="1786"/>
      <c r="O86" s="1786"/>
      <c r="P86" s="1786"/>
      <c r="Q86" s="1786"/>
      <c r="R86" s="1786"/>
      <c r="S86" s="1786"/>
      <c r="T86" s="1786"/>
      <c r="U86" s="1786"/>
      <c r="V86" s="1786"/>
      <c r="W86" s="1786"/>
      <c r="X86" s="1786"/>
      <c r="Y86" s="1786"/>
      <c r="Z86" s="1786"/>
    </row>
    <row r="87" spans="1:26">
      <c r="A87" s="1793"/>
      <c r="B87" s="1793"/>
      <c r="C87" s="1786"/>
      <c r="D87" s="1786"/>
      <c r="E87" s="1786"/>
      <c r="F87" s="1786"/>
      <c r="G87" s="1786"/>
      <c r="H87" s="1786"/>
      <c r="I87" s="1786"/>
      <c r="J87" s="1786"/>
      <c r="K87" s="1786"/>
      <c r="L87" s="1786"/>
      <c r="M87" s="1786"/>
      <c r="N87" s="1786"/>
      <c r="O87" s="1786"/>
      <c r="P87" s="1786"/>
      <c r="Q87" s="1786"/>
      <c r="R87" s="1786"/>
      <c r="S87" s="1786"/>
      <c r="T87" s="1786"/>
      <c r="U87" s="1786"/>
      <c r="V87" s="1786"/>
      <c r="W87" s="1786"/>
      <c r="X87" s="1786"/>
      <c r="Y87" s="1786"/>
      <c r="Z87" s="1786"/>
    </row>
    <row r="88" spans="1:26">
      <c r="A88" s="1793"/>
      <c r="B88" s="1793"/>
      <c r="C88" s="1786"/>
      <c r="D88" s="1786"/>
      <c r="E88" s="1786"/>
      <c r="F88" s="1786"/>
      <c r="G88" s="1786"/>
      <c r="H88" s="1786"/>
      <c r="I88" s="1786"/>
      <c r="J88" s="1786"/>
      <c r="K88" s="1786"/>
      <c r="L88" s="1786"/>
      <c r="M88" s="1786"/>
      <c r="N88" s="1786"/>
      <c r="O88" s="1786"/>
      <c r="P88" s="1786"/>
      <c r="Q88" s="1786"/>
      <c r="R88" s="1786"/>
      <c r="S88" s="1786"/>
      <c r="T88" s="1786"/>
      <c r="U88" s="1786"/>
      <c r="V88" s="1786"/>
      <c r="W88" s="1786"/>
      <c r="X88" s="1786"/>
      <c r="Y88" s="1786"/>
      <c r="Z88" s="1786"/>
    </row>
    <row r="89" spans="1:26">
      <c r="A89" s="1793"/>
      <c r="B89" s="1793"/>
      <c r="C89" s="1786"/>
      <c r="D89" s="1786"/>
      <c r="E89" s="1786"/>
      <c r="F89" s="1786"/>
      <c r="G89" s="1786"/>
      <c r="H89" s="1786"/>
      <c r="I89" s="1786"/>
      <c r="J89" s="1786"/>
      <c r="K89" s="1786"/>
      <c r="L89" s="1786"/>
      <c r="M89" s="1786"/>
      <c r="N89" s="1786"/>
      <c r="O89" s="1786"/>
      <c r="P89" s="1786"/>
      <c r="Q89" s="1786"/>
      <c r="R89" s="1786"/>
      <c r="S89" s="1786"/>
      <c r="T89" s="1786"/>
      <c r="U89" s="1786"/>
      <c r="V89" s="1786"/>
      <c r="W89" s="1786"/>
      <c r="X89" s="1786"/>
      <c r="Y89" s="1786"/>
      <c r="Z89" s="1786"/>
    </row>
    <row r="90" spans="1:26">
      <c r="A90" s="1793"/>
      <c r="B90" s="1793"/>
      <c r="C90" s="1786"/>
      <c r="D90" s="1786"/>
      <c r="E90" s="1786"/>
      <c r="F90" s="1786"/>
      <c r="G90" s="1786"/>
      <c r="H90" s="1789"/>
      <c r="I90" s="1786"/>
      <c r="J90" s="1786"/>
      <c r="K90" s="1786"/>
      <c r="L90" s="1786"/>
      <c r="M90" s="1786"/>
      <c r="N90" s="1786"/>
      <c r="O90" s="1786"/>
      <c r="P90" s="1786"/>
      <c r="Q90" s="1786"/>
      <c r="R90" s="1786"/>
      <c r="S90" s="1786"/>
      <c r="T90" s="1786"/>
      <c r="U90" s="1786"/>
      <c r="V90" s="1786"/>
      <c r="W90" s="1786"/>
      <c r="X90" s="1786"/>
      <c r="Y90" s="1786"/>
      <c r="Z90" s="1786"/>
    </row>
    <row r="91" spans="1:26">
      <c r="A91" s="1793"/>
      <c r="B91" s="1793"/>
      <c r="C91" s="1786"/>
      <c r="D91" s="1786"/>
      <c r="E91" s="1786"/>
      <c r="F91" s="1786"/>
      <c r="G91" s="1786"/>
      <c r="H91" s="1794"/>
      <c r="I91" s="1786"/>
      <c r="J91" s="1786"/>
      <c r="K91" s="1786"/>
      <c r="L91" s="1786"/>
      <c r="M91" s="1786"/>
      <c r="N91" s="1786"/>
      <c r="O91" s="1786"/>
      <c r="P91" s="1786"/>
      <c r="Q91" s="1786"/>
      <c r="R91" s="1786"/>
      <c r="S91" s="1786"/>
      <c r="T91" s="1786"/>
      <c r="U91" s="1786"/>
      <c r="V91" s="1786"/>
      <c r="W91" s="1786"/>
      <c r="X91" s="1786"/>
      <c r="Y91" s="1786"/>
      <c r="Z91" s="1786"/>
    </row>
    <row r="92" spans="1:26">
      <c r="A92" s="1793"/>
      <c r="B92" s="1793"/>
      <c r="C92" s="1786"/>
      <c r="D92" s="1786"/>
      <c r="E92" s="1786"/>
      <c r="F92" s="1786"/>
      <c r="G92" s="1786"/>
      <c r="H92" s="1794"/>
      <c r="I92" s="1786"/>
      <c r="J92" s="1786"/>
      <c r="K92" s="1786"/>
      <c r="L92" s="1786"/>
      <c r="M92" s="1786"/>
      <c r="N92" s="1786"/>
      <c r="O92" s="1786"/>
      <c r="P92" s="1786"/>
      <c r="Q92" s="1786"/>
      <c r="R92" s="1786"/>
      <c r="S92" s="1786"/>
      <c r="T92" s="1786"/>
      <c r="U92" s="1786"/>
      <c r="V92" s="1786"/>
      <c r="W92" s="1786"/>
      <c r="X92" s="1786"/>
      <c r="Y92" s="1786"/>
      <c r="Z92" s="1786"/>
    </row>
    <row r="93" spans="1:26">
      <c r="A93" s="1785"/>
      <c r="B93" s="1793"/>
      <c r="C93" s="1786"/>
      <c r="D93" s="1786"/>
      <c r="E93" s="1786"/>
      <c r="F93" s="1786"/>
      <c r="G93" s="1786"/>
      <c r="H93" s="1168"/>
      <c r="I93" s="1786"/>
      <c r="J93" s="1786"/>
      <c r="K93" s="1786"/>
      <c r="L93" s="1786"/>
      <c r="M93" s="1786"/>
      <c r="N93" s="1786"/>
      <c r="O93" s="1786"/>
      <c r="P93" s="1786"/>
      <c r="Q93" s="1786"/>
      <c r="R93" s="1786"/>
      <c r="S93" s="1786"/>
      <c r="T93" s="1786"/>
      <c r="U93" s="1786"/>
      <c r="V93" s="1786"/>
      <c r="W93" s="1786"/>
      <c r="X93" s="1786"/>
      <c r="Y93" s="1786"/>
      <c r="Z93" s="1786"/>
    </row>
    <row r="94" spans="1:26">
      <c r="A94" s="1793"/>
      <c r="B94" s="1793"/>
      <c r="C94" s="1786"/>
      <c r="D94" s="1786"/>
      <c r="E94" s="1786"/>
      <c r="F94" s="1786"/>
      <c r="G94" s="1786"/>
      <c r="H94" s="1786"/>
      <c r="I94" s="1786"/>
      <c r="J94" s="1786"/>
      <c r="K94" s="1786"/>
      <c r="L94" s="1786"/>
      <c r="M94" s="1786"/>
      <c r="N94" s="1786"/>
      <c r="O94" s="1786"/>
      <c r="P94" s="1786"/>
      <c r="Q94" s="1786"/>
      <c r="R94" s="1786"/>
      <c r="S94" s="1786"/>
      <c r="T94" s="1786"/>
      <c r="U94" s="1786"/>
      <c r="V94" s="1786"/>
      <c r="W94" s="1786"/>
      <c r="X94" s="1786"/>
      <c r="Y94" s="1786"/>
      <c r="Z94" s="1786"/>
    </row>
    <row r="95" spans="1:26">
      <c r="A95" s="1793"/>
      <c r="B95" s="1793"/>
      <c r="C95" s="1786"/>
      <c r="D95" s="1786"/>
      <c r="E95" s="1786"/>
      <c r="F95" s="1786"/>
      <c r="G95" s="1786"/>
      <c r="H95" s="1786"/>
      <c r="I95" s="1786"/>
      <c r="J95" s="1786"/>
      <c r="K95" s="1786"/>
      <c r="L95" s="1786"/>
      <c r="M95" s="1786"/>
      <c r="N95" s="1786"/>
      <c r="O95" s="1786"/>
      <c r="P95" s="1786"/>
      <c r="Q95" s="1786"/>
      <c r="R95" s="1786"/>
      <c r="S95" s="1786"/>
      <c r="T95" s="1786"/>
      <c r="U95" s="1786"/>
      <c r="V95" s="1786"/>
      <c r="W95" s="1786"/>
      <c r="X95" s="1786"/>
      <c r="Y95" s="1786"/>
      <c r="Z95" s="1786"/>
    </row>
    <row r="96" spans="1:26">
      <c r="A96" s="1793"/>
      <c r="B96" s="1793"/>
      <c r="C96" s="1786"/>
      <c r="D96" s="1786"/>
      <c r="E96" s="1786"/>
      <c r="F96" s="1786"/>
      <c r="G96" s="1786"/>
      <c r="H96" s="1795"/>
      <c r="I96" s="1786"/>
      <c r="J96" s="1786"/>
      <c r="K96" s="1786"/>
      <c r="L96" s="1786"/>
      <c r="M96" s="1786"/>
      <c r="N96" s="1865"/>
      <c r="O96" s="1865"/>
      <c r="P96" s="1865"/>
      <c r="Q96" s="1865"/>
      <c r="R96" s="1865"/>
      <c r="S96" s="1865"/>
      <c r="T96" s="1865"/>
      <c r="U96" s="1865"/>
      <c r="V96" s="1865"/>
      <c r="W96" s="1865"/>
      <c r="X96" s="1865"/>
      <c r="Y96" s="1865"/>
      <c r="Z96" s="1866"/>
    </row>
    <row r="97" spans="1:26">
      <c r="A97" s="1793"/>
      <c r="B97" s="1793"/>
      <c r="C97" s="1786"/>
      <c r="D97" s="1786"/>
      <c r="E97" s="1786"/>
      <c r="F97" s="1786"/>
      <c r="G97" s="1786"/>
      <c r="H97" s="1793"/>
      <c r="I97" s="1786"/>
      <c r="J97" s="1786"/>
      <c r="K97" s="1786"/>
      <c r="L97" s="1786"/>
      <c r="M97" s="1786"/>
      <c r="N97" s="1866"/>
      <c r="O97" s="1866"/>
      <c r="P97" s="1866"/>
      <c r="Q97" s="1866"/>
      <c r="R97" s="1866"/>
      <c r="S97" s="1869"/>
      <c r="T97" s="1866"/>
      <c r="U97" s="1866"/>
      <c r="V97" s="1866"/>
      <c r="W97" s="1866"/>
      <c r="X97" s="1866"/>
      <c r="Y97" s="1866"/>
      <c r="Z97" s="1866"/>
    </row>
    <row r="98" spans="1:26">
      <c r="A98" s="1793"/>
      <c r="B98" s="1793"/>
      <c r="C98" s="1786"/>
      <c r="D98" s="1786"/>
      <c r="E98" s="1786"/>
      <c r="F98" s="1786"/>
      <c r="G98" s="1786"/>
      <c r="H98" s="1795"/>
      <c r="I98" s="1786"/>
      <c r="J98" s="1786"/>
      <c r="K98" s="1786"/>
      <c r="L98" s="1786"/>
      <c r="M98" s="1786"/>
      <c r="N98" s="1867"/>
      <c r="O98" s="1865"/>
      <c r="P98" s="1865"/>
      <c r="Q98" s="1865"/>
      <c r="R98" s="1867"/>
      <c r="S98" s="1865"/>
      <c r="T98" s="1865"/>
      <c r="U98" s="1865"/>
      <c r="V98" s="1865"/>
      <c r="W98" s="1865"/>
      <c r="X98" s="1865"/>
      <c r="Y98" s="1865"/>
      <c r="Z98" s="1786"/>
    </row>
    <row r="99" spans="1:26">
      <c r="A99" s="1793"/>
      <c r="B99" s="1793"/>
      <c r="C99" s="1786"/>
      <c r="D99" s="1786"/>
      <c r="E99" s="1786"/>
      <c r="F99" s="1786"/>
      <c r="G99" s="1786"/>
      <c r="H99" s="1793"/>
      <c r="I99" s="1786"/>
      <c r="J99" s="1786"/>
      <c r="K99" s="1786"/>
      <c r="L99" s="1786"/>
      <c r="M99" s="1786"/>
      <c r="N99" s="1868"/>
      <c r="O99" s="1866"/>
      <c r="P99" s="1866"/>
      <c r="Q99" s="1866"/>
      <c r="R99" s="1868"/>
      <c r="S99" s="1866"/>
      <c r="T99" s="1866"/>
      <c r="U99" s="1866"/>
      <c r="V99" s="1866"/>
      <c r="W99" s="1866"/>
      <c r="X99" s="1866"/>
      <c r="Y99" s="1866"/>
      <c r="Z99" s="1786"/>
    </row>
    <row r="100" spans="1:26">
      <c r="A100" s="1859"/>
      <c r="B100" s="1859"/>
      <c r="C100" s="1859"/>
      <c r="D100" s="1859"/>
      <c r="E100" s="1859"/>
      <c r="F100" s="1859"/>
      <c r="G100" s="1859"/>
      <c r="H100" s="1859"/>
      <c r="I100" s="1859"/>
      <c r="J100" s="1859"/>
      <c r="K100" s="1859"/>
      <c r="L100" s="1859"/>
      <c r="M100" s="1859"/>
      <c r="N100" s="1859"/>
      <c r="O100" s="1859"/>
      <c r="P100" s="1859"/>
      <c r="Q100" s="1859"/>
      <c r="R100" s="1859"/>
      <c r="S100" s="1859"/>
      <c r="T100" s="1859"/>
      <c r="U100" s="1859"/>
      <c r="V100" s="1859"/>
      <c r="W100" s="1859"/>
      <c r="X100" s="1859"/>
      <c r="Y100" s="1859"/>
      <c r="Z100" s="1859"/>
    </row>
    <row r="101" spans="1:26">
      <c r="A101" s="1859"/>
      <c r="B101" s="1859"/>
      <c r="C101" s="1859"/>
      <c r="D101" s="1859"/>
      <c r="E101" s="1859"/>
      <c r="F101" s="1859"/>
      <c r="G101" s="1859"/>
      <c r="H101" s="1859"/>
      <c r="I101" s="1859"/>
      <c r="J101" s="1859"/>
      <c r="K101" s="1859"/>
      <c r="L101" s="1859"/>
      <c r="M101" s="1859"/>
      <c r="N101" s="1859"/>
      <c r="O101" s="1859"/>
      <c r="P101" s="1859"/>
      <c r="Q101" s="1859"/>
      <c r="R101" s="1859"/>
      <c r="S101" s="1859"/>
      <c r="T101" s="1859"/>
      <c r="U101" s="1859"/>
      <c r="V101" s="1859"/>
      <c r="W101" s="1859"/>
      <c r="X101" s="1859"/>
      <c r="Y101" s="1859"/>
      <c r="Z101" s="1859"/>
    </row>
    <row r="102" spans="1:26">
      <c r="A102" s="1859"/>
      <c r="B102" s="1859"/>
      <c r="C102" s="1859"/>
      <c r="D102" s="1859"/>
      <c r="E102" s="1859"/>
      <c r="F102" s="1859"/>
      <c r="G102" s="1859"/>
      <c r="H102" s="1859"/>
      <c r="I102" s="1859"/>
      <c r="J102" s="1859"/>
      <c r="K102" s="1859"/>
      <c r="L102" s="1859"/>
      <c r="M102" s="1859"/>
      <c r="N102" s="1859"/>
      <c r="O102" s="1859"/>
      <c r="P102" s="1859"/>
      <c r="Q102" s="1859"/>
      <c r="R102" s="1859"/>
      <c r="S102" s="1859"/>
      <c r="T102" s="1859"/>
      <c r="U102" s="1859"/>
      <c r="V102" s="1859"/>
      <c r="W102" s="1859"/>
      <c r="X102" s="1859"/>
      <c r="Y102" s="1859"/>
      <c r="Z102" s="1859"/>
    </row>
    <row r="103" spans="1:26">
      <c r="A103" s="1800"/>
      <c r="B103" s="1800"/>
      <c r="C103" s="1800"/>
      <c r="D103" s="1800"/>
      <c r="E103" s="1800"/>
      <c r="F103" s="1800"/>
      <c r="G103" s="1800"/>
      <c r="H103" s="1800"/>
      <c r="I103" s="1800"/>
      <c r="J103" s="1800"/>
      <c r="K103" s="1800"/>
      <c r="L103" s="1800"/>
      <c r="M103" s="1800"/>
      <c r="N103" s="1800"/>
      <c r="O103" s="1800"/>
      <c r="P103" s="1800"/>
      <c r="Q103" s="1800"/>
      <c r="R103" s="1800"/>
      <c r="S103" s="1800"/>
      <c r="T103" s="1800"/>
      <c r="U103" s="1800"/>
      <c r="V103" s="1800"/>
      <c r="W103" s="1800"/>
      <c r="X103" s="1800"/>
      <c r="Y103" s="1800"/>
      <c r="Z103" s="1800"/>
    </row>
    <row r="104" spans="1:26">
      <c r="A104" s="1800"/>
      <c r="B104" s="1800"/>
      <c r="C104" s="1800"/>
      <c r="D104" s="1800"/>
      <c r="E104" s="1800"/>
      <c r="F104" s="1800"/>
      <c r="G104" s="1800"/>
      <c r="H104" s="1800"/>
      <c r="I104" s="1800"/>
      <c r="J104" s="1800"/>
      <c r="K104" s="1800"/>
      <c r="L104" s="1800"/>
      <c r="M104" s="1800"/>
      <c r="N104" s="1800"/>
      <c r="O104" s="1800"/>
      <c r="P104" s="1800"/>
      <c r="Q104" s="1800"/>
      <c r="R104" s="1800"/>
      <c r="S104" s="1800"/>
      <c r="T104" s="1800"/>
      <c r="U104" s="1800"/>
      <c r="V104" s="1800"/>
      <c r="W104" s="1800"/>
      <c r="X104" s="1800"/>
      <c r="Y104" s="1800"/>
      <c r="Z104" s="1800"/>
    </row>
    <row r="105" spans="1:26">
      <c r="A105" s="1800"/>
      <c r="B105" s="1800"/>
      <c r="C105" s="1800"/>
      <c r="D105" s="1800"/>
      <c r="E105" s="1800"/>
      <c r="F105" s="1800"/>
      <c r="G105" s="1800"/>
      <c r="H105" s="1800"/>
      <c r="I105" s="1800"/>
      <c r="J105" s="1800"/>
      <c r="K105" s="1800"/>
      <c r="L105" s="1800"/>
      <c r="M105" s="1800"/>
      <c r="N105" s="1800"/>
      <c r="O105" s="1800"/>
      <c r="P105" s="1800"/>
      <c r="Q105" s="1800"/>
      <c r="R105" s="1800"/>
      <c r="S105" s="1800"/>
      <c r="T105" s="1800"/>
      <c r="U105" s="1800"/>
      <c r="V105" s="1800"/>
      <c r="W105" s="1800"/>
      <c r="X105" s="1800"/>
      <c r="Y105" s="1800"/>
      <c r="Z105" s="1800"/>
    </row>
    <row r="106" spans="1:26">
      <c r="A106" s="1800"/>
      <c r="B106" s="1800"/>
      <c r="C106" s="1800"/>
      <c r="D106" s="1800"/>
      <c r="E106" s="1800"/>
      <c r="F106" s="1800"/>
      <c r="G106" s="1800"/>
      <c r="H106" s="1800"/>
      <c r="I106" s="1800"/>
      <c r="J106" s="1800"/>
      <c r="K106" s="1800"/>
      <c r="L106" s="1800"/>
      <c r="M106" s="1800"/>
      <c r="N106" s="1800"/>
      <c r="O106" s="1800"/>
      <c r="P106" s="1800"/>
      <c r="Q106" s="1800"/>
      <c r="R106" s="1800"/>
      <c r="S106" s="1800"/>
      <c r="T106" s="1800"/>
      <c r="U106" s="1800"/>
      <c r="V106" s="1800"/>
      <c r="W106" s="1800"/>
      <c r="X106" s="1800"/>
      <c r="Y106" s="1800"/>
      <c r="Z106" s="1800"/>
    </row>
    <row r="107" spans="1:26">
      <c r="A107" s="1800"/>
      <c r="B107" s="1800"/>
      <c r="C107" s="1800"/>
      <c r="D107" s="1800"/>
      <c r="E107" s="1800"/>
      <c r="F107" s="1800"/>
      <c r="G107" s="1800"/>
      <c r="H107" s="1800"/>
      <c r="I107" s="1800"/>
      <c r="J107" s="1800"/>
      <c r="K107" s="1800"/>
      <c r="L107" s="1800"/>
      <c r="M107" s="1800"/>
      <c r="N107" s="1800"/>
      <c r="O107" s="1800"/>
      <c r="P107" s="1800"/>
      <c r="Q107" s="1800"/>
      <c r="R107" s="1800"/>
      <c r="S107" s="1800"/>
      <c r="T107" s="1800"/>
      <c r="U107" s="1800"/>
      <c r="V107" s="1800"/>
      <c r="W107" s="1800"/>
      <c r="X107" s="1800"/>
      <c r="Y107" s="1800"/>
      <c r="Z107" s="1800"/>
    </row>
    <row r="108" spans="1:26">
      <c r="A108" s="1800"/>
      <c r="B108" s="1800"/>
      <c r="C108" s="1800"/>
      <c r="D108" s="1800"/>
      <c r="E108" s="1800"/>
      <c r="F108" s="1800"/>
      <c r="G108" s="1800"/>
      <c r="H108" s="1800"/>
      <c r="I108" s="1800"/>
      <c r="J108" s="1800"/>
      <c r="K108" s="1800"/>
      <c r="L108" s="1800"/>
      <c r="M108" s="1800"/>
      <c r="N108" s="1800"/>
      <c r="O108" s="1800"/>
      <c r="P108" s="1800"/>
      <c r="Q108" s="1800"/>
      <c r="R108" s="1800"/>
      <c r="S108" s="1800"/>
      <c r="T108" s="1800"/>
      <c r="U108" s="1800"/>
      <c r="V108" s="1800"/>
      <c r="W108" s="1800"/>
      <c r="X108" s="1800"/>
      <c r="Y108" s="1800"/>
      <c r="Z108" s="1800"/>
    </row>
    <row r="109" spans="1:26">
      <c r="A109" s="1800"/>
      <c r="B109" s="1800"/>
      <c r="C109" s="1800"/>
      <c r="D109" s="1800"/>
      <c r="E109" s="1800"/>
      <c r="F109" s="1800"/>
      <c r="G109" s="1800"/>
      <c r="H109" s="1800"/>
      <c r="I109" s="1800"/>
      <c r="J109" s="1800"/>
      <c r="K109" s="1800"/>
      <c r="L109" s="1800"/>
      <c r="M109" s="1800"/>
      <c r="N109" s="1800"/>
      <c r="O109" s="1800"/>
      <c r="P109" s="1800"/>
      <c r="Q109" s="1800"/>
      <c r="R109" s="1800"/>
      <c r="S109" s="1800"/>
      <c r="T109" s="1800"/>
      <c r="U109" s="1800"/>
      <c r="V109" s="1800"/>
      <c r="W109" s="1800"/>
      <c r="X109" s="1800"/>
      <c r="Y109" s="1800"/>
      <c r="Z109" s="1800"/>
    </row>
    <row r="110" spans="1:26">
      <c r="A110" s="1800"/>
      <c r="B110" s="1800"/>
      <c r="C110" s="1800"/>
      <c r="D110" s="1800"/>
      <c r="E110" s="1800"/>
      <c r="F110" s="1800"/>
      <c r="G110" s="1800"/>
      <c r="H110" s="1800"/>
      <c r="I110" s="1800"/>
      <c r="J110" s="1800"/>
      <c r="K110" s="1800"/>
      <c r="L110" s="1800"/>
      <c r="M110" s="1800"/>
      <c r="N110" s="1800"/>
      <c r="O110" s="1800"/>
      <c r="P110" s="1800"/>
      <c r="Q110" s="1800"/>
      <c r="R110" s="1800"/>
      <c r="S110" s="1800"/>
      <c r="T110" s="1800"/>
      <c r="U110" s="1800"/>
      <c r="V110" s="1800"/>
      <c r="W110" s="1800"/>
      <c r="X110" s="1800"/>
      <c r="Y110" s="1800"/>
      <c r="Z110" s="1800"/>
    </row>
    <row r="111" spans="1:26">
      <c r="A111" s="1800"/>
      <c r="B111" s="1800"/>
      <c r="C111" s="1800"/>
      <c r="D111" s="1800"/>
      <c r="E111" s="1800"/>
      <c r="F111" s="1800"/>
      <c r="G111" s="1800"/>
      <c r="H111" s="1800"/>
      <c r="I111" s="1800"/>
      <c r="J111" s="1800"/>
      <c r="K111" s="1800"/>
      <c r="L111" s="1800"/>
      <c r="M111" s="1800"/>
      <c r="N111" s="1800"/>
      <c r="O111" s="1800"/>
      <c r="P111" s="1800"/>
      <c r="Q111" s="1800"/>
      <c r="R111" s="1800"/>
      <c r="S111" s="1800"/>
      <c r="T111" s="1800"/>
      <c r="U111" s="1800"/>
      <c r="V111" s="1800"/>
      <c r="W111" s="1800"/>
      <c r="X111" s="1800"/>
      <c r="Y111" s="1800"/>
      <c r="Z111" s="1800"/>
    </row>
    <row r="112" spans="1:26">
      <c r="A112" s="1800"/>
      <c r="B112" s="1800"/>
      <c r="C112" s="1800"/>
      <c r="D112" s="1800"/>
      <c r="E112" s="1800"/>
      <c r="F112" s="1800"/>
      <c r="G112" s="1800"/>
      <c r="H112" s="1800"/>
      <c r="I112" s="1800"/>
      <c r="J112" s="1800"/>
      <c r="K112" s="1800"/>
      <c r="L112" s="1800"/>
      <c r="M112" s="1800"/>
      <c r="N112" s="1800"/>
      <c r="O112" s="1800"/>
      <c r="P112" s="1800"/>
      <c r="Q112" s="1800"/>
      <c r="R112" s="1800"/>
      <c r="S112" s="1800"/>
      <c r="T112" s="1800"/>
      <c r="U112" s="1800"/>
      <c r="V112" s="1800"/>
      <c r="W112" s="1800"/>
      <c r="X112" s="1800"/>
      <c r="Y112" s="1800"/>
      <c r="Z112" s="1800"/>
    </row>
    <row r="113" spans="1:26">
      <c r="A113" s="1800"/>
      <c r="B113" s="1800"/>
      <c r="C113" s="1800"/>
      <c r="D113" s="1800"/>
      <c r="E113" s="1800"/>
      <c r="F113" s="1800"/>
      <c r="G113" s="1800"/>
      <c r="H113" s="1800"/>
      <c r="I113" s="1800"/>
      <c r="J113" s="1800"/>
      <c r="K113" s="1800"/>
      <c r="L113" s="1800"/>
      <c r="M113" s="1800"/>
      <c r="N113" s="1800"/>
      <c r="O113" s="1800"/>
      <c r="P113" s="1800"/>
      <c r="Q113" s="1800"/>
      <c r="R113" s="1800"/>
      <c r="S113" s="1800"/>
      <c r="T113" s="1800"/>
      <c r="U113" s="1800"/>
      <c r="V113" s="1800"/>
      <c r="W113" s="1800"/>
      <c r="X113" s="1800"/>
      <c r="Y113" s="1800"/>
      <c r="Z113" s="1800"/>
    </row>
    <row r="114" spans="1:26">
      <c r="A114" s="1800"/>
      <c r="B114" s="1800"/>
      <c r="C114" s="1800"/>
      <c r="D114" s="1800"/>
      <c r="E114" s="1800"/>
      <c r="F114" s="1800"/>
      <c r="G114" s="1800"/>
      <c r="H114" s="1800"/>
      <c r="I114" s="1800"/>
      <c r="J114" s="1800"/>
      <c r="K114" s="1800"/>
      <c r="L114" s="1800"/>
      <c r="M114" s="1800"/>
      <c r="N114" s="1800"/>
      <c r="O114" s="1800"/>
      <c r="P114" s="1800"/>
      <c r="Q114" s="1800"/>
      <c r="R114" s="1800"/>
      <c r="S114" s="1800"/>
      <c r="T114" s="1800"/>
      <c r="U114" s="1800"/>
      <c r="V114" s="1800"/>
      <c r="W114" s="1800"/>
      <c r="X114" s="1800"/>
      <c r="Y114" s="1800"/>
      <c r="Z114" s="1800"/>
    </row>
    <row r="115" spans="1:26">
      <c r="A115" s="1800"/>
      <c r="B115" s="1800"/>
      <c r="C115" s="1800"/>
      <c r="D115" s="1800"/>
      <c r="E115" s="1800"/>
      <c r="F115" s="1800"/>
      <c r="G115" s="1800"/>
      <c r="H115" s="1800"/>
      <c r="I115" s="1800"/>
      <c r="J115" s="1800"/>
      <c r="K115" s="1800"/>
      <c r="L115" s="1800"/>
      <c r="M115" s="1800"/>
      <c r="N115" s="1800"/>
      <c r="O115" s="1800"/>
      <c r="P115" s="1800"/>
      <c r="Q115" s="1800"/>
      <c r="R115" s="1800"/>
      <c r="S115" s="1800"/>
      <c r="T115" s="1800"/>
      <c r="U115" s="1800"/>
      <c r="V115" s="1800"/>
      <c r="W115" s="1800"/>
      <c r="X115" s="1800"/>
      <c r="Y115" s="1800"/>
      <c r="Z115" s="1800"/>
    </row>
    <row r="116" spans="1:26">
      <c r="A116" s="1800"/>
      <c r="B116" s="1800"/>
      <c r="C116" s="1800"/>
      <c r="D116" s="1800"/>
      <c r="E116" s="1800"/>
      <c r="F116" s="1800"/>
      <c r="G116" s="1800"/>
      <c r="H116" s="1800"/>
      <c r="I116" s="1800"/>
      <c r="J116" s="1800"/>
      <c r="K116" s="1800"/>
      <c r="L116" s="1800"/>
      <c r="M116" s="1800"/>
      <c r="N116" s="1800"/>
      <c r="O116" s="1800"/>
      <c r="P116" s="1800"/>
      <c r="Q116" s="1800"/>
      <c r="R116" s="1800"/>
      <c r="S116" s="1800"/>
      <c r="T116" s="1800"/>
      <c r="U116" s="1800"/>
      <c r="V116" s="1800"/>
      <c r="W116" s="1800"/>
      <c r="X116" s="1800"/>
      <c r="Y116" s="1800"/>
      <c r="Z116" s="1800"/>
    </row>
    <row r="117" spans="1:26">
      <c r="A117" s="1800"/>
      <c r="B117" s="1800"/>
      <c r="C117" s="1800"/>
      <c r="D117" s="1800"/>
      <c r="E117" s="1800"/>
      <c r="F117" s="1800"/>
      <c r="G117" s="1800"/>
      <c r="H117" s="1800"/>
      <c r="I117" s="1800"/>
      <c r="J117" s="1800"/>
      <c r="K117" s="1800"/>
      <c r="L117" s="1800"/>
      <c r="M117" s="1800"/>
      <c r="N117" s="1800"/>
      <c r="O117" s="1800"/>
      <c r="P117" s="1800"/>
      <c r="Q117" s="1800"/>
      <c r="R117" s="1800"/>
      <c r="S117" s="1800"/>
      <c r="T117" s="1800"/>
      <c r="U117" s="1800"/>
      <c r="V117" s="1800"/>
      <c r="W117" s="1800"/>
      <c r="X117" s="1800"/>
      <c r="Y117" s="1800"/>
      <c r="Z117" s="1800"/>
    </row>
    <row r="118" spans="1:26">
      <c r="A118" s="1800"/>
      <c r="B118" s="1800"/>
      <c r="C118" s="1800"/>
      <c r="D118" s="1800"/>
      <c r="E118" s="1800"/>
      <c r="F118" s="1800"/>
      <c r="G118" s="1800"/>
      <c r="H118" s="1800"/>
      <c r="I118" s="1800"/>
      <c r="J118" s="1800"/>
      <c r="K118" s="1800"/>
      <c r="L118" s="1800"/>
      <c r="M118" s="1800"/>
      <c r="N118" s="1800"/>
      <c r="O118" s="1800"/>
      <c r="P118" s="1800"/>
      <c r="Q118" s="1800"/>
      <c r="R118" s="1800"/>
      <c r="S118" s="1800"/>
      <c r="T118" s="1800"/>
      <c r="U118" s="1800"/>
      <c r="V118" s="1800"/>
      <c r="W118" s="1800"/>
      <c r="X118" s="1800"/>
      <c r="Y118" s="1800"/>
      <c r="Z118" s="1800"/>
    </row>
    <row r="119" spans="1:26">
      <c r="A119" s="1800"/>
      <c r="B119" s="1800"/>
      <c r="C119" s="1800"/>
      <c r="D119" s="1800"/>
      <c r="E119" s="1800"/>
      <c r="F119" s="1800"/>
      <c r="G119" s="1800"/>
      <c r="H119" s="1800"/>
      <c r="I119" s="1800"/>
      <c r="J119" s="1800"/>
      <c r="K119" s="1800"/>
      <c r="L119" s="1800"/>
      <c r="M119" s="1800"/>
      <c r="N119" s="1800"/>
      <c r="O119" s="1800"/>
      <c r="P119" s="1800"/>
      <c r="Q119" s="1800"/>
      <c r="R119" s="1800"/>
      <c r="S119" s="1800"/>
      <c r="T119" s="1800"/>
      <c r="U119" s="1800"/>
      <c r="V119" s="1800"/>
      <c r="W119" s="1800"/>
      <c r="X119" s="1800"/>
      <c r="Y119" s="1800"/>
      <c r="Z119" s="1800"/>
    </row>
    <row r="120" spans="1:26">
      <c r="A120" s="1800"/>
      <c r="B120" s="1800"/>
      <c r="C120" s="1800"/>
      <c r="D120" s="1800"/>
      <c r="E120" s="1800"/>
      <c r="F120" s="1800"/>
      <c r="G120" s="1800"/>
      <c r="H120" s="1800"/>
      <c r="I120" s="1800"/>
      <c r="J120" s="1800"/>
      <c r="K120" s="1800"/>
      <c r="L120" s="1800"/>
      <c r="M120" s="1800"/>
      <c r="N120" s="1800"/>
      <c r="O120" s="1800"/>
      <c r="P120" s="1800"/>
      <c r="Q120" s="1800"/>
      <c r="R120" s="1800"/>
      <c r="S120" s="1800"/>
      <c r="T120" s="1800"/>
      <c r="U120" s="1800"/>
      <c r="V120" s="1800"/>
      <c r="W120" s="1800"/>
      <c r="X120" s="1800"/>
      <c r="Y120" s="1800"/>
      <c r="Z120" s="1800"/>
    </row>
    <row r="121" spans="1:26">
      <c r="A121" s="1800"/>
      <c r="B121" s="1800"/>
      <c r="C121" s="1800"/>
      <c r="D121" s="1800"/>
      <c r="E121" s="1800"/>
      <c r="F121" s="1800"/>
      <c r="G121" s="1800"/>
      <c r="H121" s="1800"/>
      <c r="I121" s="1800"/>
      <c r="J121" s="1800"/>
      <c r="K121" s="1800"/>
      <c r="L121" s="1800"/>
      <c r="M121" s="1800"/>
      <c r="N121" s="1800"/>
      <c r="O121" s="1800"/>
      <c r="P121" s="1800"/>
      <c r="Q121" s="1800"/>
      <c r="R121" s="1800"/>
      <c r="S121" s="1800"/>
      <c r="T121" s="1800"/>
      <c r="U121" s="1800"/>
      <c r="V121" s="1800"/>
      <c r="W121" s="1800"/>
      <c r="X121" s="1800"/>
      <c r="Y121" s="1800"/>
      <c r="Z121" s="1800"/>
    </row>
    <row r="122" spans="1:26">
      <c r="A122" s="1800"/>
      <c r="B122" s="1800"/>
      <c r="C122" s="1800"/>
      <c r="D122" s="1800"/>
      <c r="E122" s="1800"/>
      <c r="F122" s="1800"/>
      <c r="G122" s="1800"/>
      <c r="H122" s="1800"/>
      <c r="I122" s="1800"/>
      <c r="J122" s="1800"/>
      <c r="K122" s="1800"/>
      <c r="L122" s="1800"/>
      <c r="M122" s="1800"/>
      <c r="N122" s="1800"/>
      <c r="O122" s="1800"/>
      <c r="P122" s="1800"/>
      <c r="Q122" s="1800"/>
      <c r="R122" s="1800"/>
      <c r="S122" s="1800"/>
      <c r="T122" s="1800"/>
      <c r="U122" s="1800"/>
      <c r="V122" s="1800"/>
      <c r="W122" s="1800"/>
      <c r="X122" s="1800"/>
      <c r="Y122" s="1800"/>
      <c r="Z122" s="1800"/>
    </row>
    <row r="123" spans="1:26">
      <c r="A123" s="1800"/>
      <c r="B123" s="1800"/>
      <c r="C123" s="1800"/>
      <c r="D123" s="1800"/>
      <c r="E123" s="1800"/>
      <c r="F123" s="1800"/>
      <c r="G123" s="1800"/>
      <c r="H123" s="1800"/>
      <c r="I123" s="1800"/>
      <c r="J123" s="1800"/>
      <c r="K123" s="1800"/>
      <c r="L123" s="1800"/>
      <c r="M123" s="1800"/>
      <c r="N123" s="1800"/>
      <c r="O123" s="1800"/>
      <c r="P123" s="1800"/>
      <c r="Q123" s="1800"/>
      <c r="R123" s="1800"/>
      <c r="S123" s="1800"/>
      <c r="T123" s="1800"/>
      <c r="U123" s="1800"/>
      <c r="V123" s="1800"/>
      <c r="W123" s="1800"/>
      <c r="X123" s="1800"/>
      <c r="Y123" s="1800"/>
      <c r="Z123" s="1800"/>
    </row>
    <row r="124" spans="1:26">
      <c r="A124" s="1800"/>
      <c r="B124" s="1800"/>
      <c r="C124" s="1800"/>
      <c r="D124" s="1800"/>
      <c r="E124" s="1800"/>
      <c r="F124" s="1800"/>
      <c r="G124" s="1800"/>
      <c r="H124" s="1800"/>
      <c r="I124" s="1800"/>
      <c r="J124" s="1800"/>
      <c r="K124" s="1800"/>
      <c r="L124" s="1800"/>
      <c r="M124" s="1800"/>
      <c r="N124" s="1800"/>
      <c r="O124" s="1800"/>
      <c r="P124" s="1800"/>
      <c r="Q124" s="1800"/>
      <c r="R124" s="1800"/>
      <c r="S124" s="1800"/>
      <c r="T124" s="1800"/>
      <c r="U124" s="1800"/>
      <c r="V124" s="1800"/>
      <c r="W124" s="1800"/>
      <c r="X124" s="1800"/>
      <c r="Y124" s="1800"/>
      <c r="Z124" s="1800"/>
    </row>
    <row r="125" spans="1:26">
      <c r="A125" s="1800"/>
      <c r="B125" s="1800"/>
      <c r="C125" s="1800"/>
      <c r="D125" s="1800"/>
      <c r="E125" s="1800"/>
      <c r="F125" s="1800"/>
      <c r="G125" s="1800"/>
      <c r="H125" s="1800"/>
      <c r="I125" s="1800"/>
      <c r="J125" s="1800"/>
      <c r="K125" s="1800"/>
      <c r="L125" s="1800"/>
      <c r="M125" s="1800"/>
      <c r="N125" s="1800"/>
      <c r="O125" s="1800"/>
      <c r="P125" s="1800"/>
      <c r="Q125" s="1800"/>
      <c r="R125" s="1800"/>
      <c r="S125" s="1800"/>
      <c r="T125" s="1800"/>
      <c r="U125" s="1800"/>
      <c r="V125" s="1800"/>
      <c r="W125" s="1800"/>
      <c r="X125" s="1800"/>
      <c r="Y125" s="1800"/>
      <c r="Z125" s="1800"/>
    </row>
    <row r="126" spans="1:26">
      <c r="A126" s="1800"/>
      <c r="B126" s="1800"/>
      <c r="C126" s="1800"/>
      <c r="D126" s="1800"/>
      <c r="E126" s="1800"/>
      <c r="F126" s="1800"/>
      <c r="G126" s="1800"/>
      <c r="H126" s="1800"/>
      <c r="I126" s="1800"/>
      <c r="J126" s="1800"/>
      <c r="K126" s="1800"/>
      <c r="L126" s="1800"/>
      <c r="M126" s="1800"/>
      <c r="N126" s="1800"/>
      <c r="O126" s="1800"/>
      <c r="P126" s="1800"/>
      <c r="Q126" s="1800"/>
      <c r="R126" s="1800"/>
      <c r="S126" s="1800"/>
      <c r="T126" s="1800"/>
      <c r="U126" s="1800"/>
      <c r="V126" s="1800"/>
      <c r="W126" s="1800"/>
      <c r="X126" s="1800"/>
      <c r="Y126" s="1800"/>
      <c r="Z126" s="1800"/>
    </row>
    <row r="127" spans="1:26">
      <c r="A127" s="1800"/>
      <c r="B127" s="1800"/>
      <c r="C127" s="1800"/>
      <c r="D127" s="1800"/>
      <c r="E127" s="1800"/>
      <c r="F127" s="1800"/>
      <c r="G127" s="1800"/>
      <c r="H127" s="1800"/>
      <c r="I127" s="1800"/>
      <c r="J127" s="1800"/>
      <c r="K127" s="1800"/>
      <c r="L127" s="1800"/>
      <c r="M127" s="1800"/>
      <c r="N127" s="1800"/>
      <c r="O127" s="1800"/>
      <c r="P127" s="1800"/>
      <c r="Q127" s="1800"/>
      <c r="R127" s="1800"/>
      <c r="S127" s="1800"/>
      <c r="T127" s="1800"/>
      <c r="U127" s="1800"/>
      <c r="V127" s="1800"/>
      <c r="W127" s="1800"/>
      <c r="X127" s="1800"/>
      <c r="Y127" s="1800"/>
      <c r="Z127" s="1800"/>
    </row>
  </sheetData>
  <mergeCells count="305">
    <mergeCell ref="H2:T2"/>
    <mergeCell ref="U2:Z2"/>
    <mergeCell ref="H3:T3"/>
    <mergeCell ref="U3:W3"/>
    <mergeCell ref="X3:Z3"/>
    <mergeCell ref="A5:Z5"/>
    <mergeCell ref="A6:Z6"/>
    <mergeCell ref="A7:H7"/>
    <mergeCell ref="A8:G8"/>
    <mergeCell ref="A49:G49"/>
    <mergeCell ref="H49:J49"/>
    <mergeCell ref="K49:T49"/>
    <mergeCell ref="U49:Z49"/>
    <mergeCell ref="K50:L50"/>
    <mergeCell ref="M50:N50"/>
    <mergeCell ref="O50:P50"/>
    <mergeCell ref="Q50:R50"/>
    <mergeCell ref="S50:T50"/>
    <mergeCell ref="H37:H38"/>
    <mergeCell ref="H39:H40"/>
    <mergeCell ref="H41:H42"/>
    <mergeCell ref="H43:H45"/>
    <mergeCell ref="H46:H48"/>
    <mergeCell ref="I9:I12"/>
    <mergeCell ref="I13:I16"/>
    <mergeCell ref="I17:I20"/>
    <mergeCell ref="I21:I24"/>
    <mergeCell ref="I25:I26"/>
    <mergeCell ref="H9:H12"/>
    <mergeCell ref="H13:H16"/>
    <mergeCell ref="H17:H20"/>
    <mergeCell ref="H21:H24"/>
    <mergeCell ref="H25:H26"/>
    <mergeCell ref="H27:H29"/>
    <mergeCell ref="H30:H32"/>
    <mergeCell ref="H33:H34"/>
    <mergeCell ref="H35:H36"/>
    <mergeCell ref="I39:I40"/>
    <mergeCell ref="I41:I42"/>
    <mergeCell ref="I43:I45"/>
    <mergeCell ref="I46:I48"/>
    <mergeCell ref="K51:L51"/>
    <mergeCell ref="M51:N51"/>
    <mergeCell ref="O51:P51"/>
    <mergeCell ref="Q51:R51"/>
    <mergeCell ref="S51:T51"/>
    <mergeCell ref="J27:J29"/>
    <mergeCell ref="J30:J32"/>
    <mergeCell ref="J33:J34"/>
    <mergeCell ref="J35:J36"/>
    <mergeCell ref="I27:I29"/>
    <mergeCell ref="I30:I32"/>
    <mergeCell ref="I33:I34"/>
    <mergeCell ref="I35:I36"/>
    <mergeCell ref="I37:I38"/>
    <mergeCell ref="J37:J38"/>
    <mergeCell ref="J39:J40"/>
    <mergeCell ref="J41:J42"/>
    <mergeCell ref="J43:J45"/>
    <mergeCell ref="J46:J48"/>
    <mergeCell ref="K9:K12"/>
    <mergeCell ref="K13:K16"/>
    <mergeCell ref="K17:K20"/>
    <mergeCell ref="K21:K24"/>
    <mergeCell ref="K25:K26"/>
    <mergeCell ref="K27:K29"/>
    <mergeCell ref="K30:K32"/>
    <mergeCell ref="K33:K34"/>
    <mergeCell ref="K35:K36"/>
    <mergeCell ref="K37:K38"/>
    <mergeCell ref="K39:K40"/>
    <mergeCell ref="K41:K42"/>
    <mergeCell ref="K43:K45"/>
    <mergeCell ref="K46:K48"/>
    <mergeCell ref="J9:J12"/>
    <mergeCell ref="J13:J16"/>
    <mergeCell ref="J17:J20"/>
    <mergeCell ref="J21:J24"/>
    <mergeCell ref="J25:J26"/>
    <mergeCell ref="L9:L12"/>
    <mergeCell ref="L13:L16"/>
    <mergeCell ref="L17:L20"/>
    <mergeCell ref="L21:L24"/>
    <mergeCell ref="L25:L26"/>
    <mergeCell ref="L27:L29"/>
    <mergeCell ref="L30:L32"/>
    <mergeCell ref="L33:L34"/>
    <mergeCell ref="L35:L36"/>
    <mergeCell ref="M9:M12"/>
    <mergeCell ref="M13:M16"/>
    <mergeCell ref="M17:M20"/>
    <mergeCell ref="M21:M24"/>
    <mergeCell ref="M25:M26"/>
    <mergeCell ref="M27:M29"/>
    <mergeCell ref="M30:M32"/>
    <mergeCell ref="M33:M34"/>
    <mergeCell ref="M35:M36"/>
    <mergeCell ref="N27:N29"/>
    <mergeCell ref="N30:N32"/>
    <mergeCell ref="N33:N34"/>
    <mergeCell ref="N35:N36"/>
    <mergeCell ref="L37:L38"/>
    <mergeCell ref="L39:L40"/>
    <mergeCell ref="L41:L42"/>
    <mergeCell ref="L43:L45"/>
    <mergeCell ref="L46:L48"/>
    <mergeCell ref="M37:M38"/>
    <mergeCell ref="M39:M40"/>
    <mergeCell ref="M41:M42"/>
    <mergeCell ref="M43:M45"/>
    <mergeCell ref="M46:M48"/>
    <mergeCell ref="N37:N38"/>
    <mergeCell ref="N39:N40"/>
    <mergeCell ref="N41:N42"/>
    <mergeCell ref="N43:N45"/>
    <mergeCell ref="N46:N48"/>
    <mergeCell ref="O9:O12"/>
    <mergeCell ref="O13:O16"/>
    <mergeCell ref="O17:O20"/>
    <mergeCell ref="O21:O24"/>
    <mergeCell ref="O25:O26"/>
    <mergeCell ref="O27:O29"/>
    <mergeCell ref="O30:O32"/>
    <mergeCell ref="O33:O34"/>
    <mergeCell ref="O35:O36"/>
    <mergeCell ref="O37:O38"/>
    <mergeCell ref="O39:O40"/>
    <mergeCell ref="O41:O42"/>
    <mergeCell ref="O43:O45"/>
    <mergeCell ref="O46:O48"/>
    <mergeCell ref="N9:N12"/>
    <mergeCell ref="N13:N16"/>
    <mergeCell ref="N17:N20"/>
    <mergeCell ref="N21:N24"/>
    <mergeCell ref="N25:N26"/>
    <mergeCell ref="P9:P12"/>
    <mergeCell ref="P13:P16"/>
    <mergeCell ref="P17:P20"/>
    <mergeCell ref="P21:P24"/>
    <mergeCell ref="P25:P26"/>
    <mergeCell ref="P27:P29"/>
    <mergeCell ref="P30:P32"/>
    <mergeCell ref="P33:P34"/>
    <mergeCell ref="P35:P36"/>
    <mergeCell ref="Q9:Q12"/>
    <mergeCell ref="Q13:Q16"/>
    <mergeCell ref="Q17:Q20"/>
    <mergeCell ref="Q21:Q24"/>
    <mergeCell ref="Q25:Q26"/>
    <mergeCell ref="Q27:Q29"/>
    <mergeCell ref="Q30:Q32"/>
    <mergeCell ref="Q33:Q34"/>
    <mergeCell ref="Q35:Q36"/>
    <mergeCell ref="R27:R29"/>
    <mergeCell ref="R30:R32"/>
    <mergeCell ref="R33:R34"/>
    <mergeCell ref="R35:R36"/>
    <mergeCell ref="P37:P38"/>
    <mergeCell ref="P39:P40"/>
    <mergeCell ref="P41:P42"/>
    <mergeCell ref="P43:P45"/>
    <mergeCell ref="P46:P48"/>
    <mergeCell ref="Q37:Q38"/>
    <mergeCell ref="Q39:Q40"/>
    <mergeCell ref="Q41:Q42"/>
    <mergeCell ref="Q43:Q45"/>
    <mergeCell ref="Q46:Q48"/>
    <mergeCell ref="R37:R38"/>
    <mergeCell ref="R39:R40"/>
    <mergeCell ref="R41:R42"/>
    <mergeCell ref="R43:R45"/>
    <mergeCell ref="R46:R48"/>
    <mergeCell ref="S9:S12"/>
    <mergeCell ref="S13:S16"/>
    <mergeCell ref="S17:S20"/>
    <mergeCell ref="S21:S24"/>
    <mergeCell ref="S25:S26"/>
    <mergeCell ref="S27:S29"/>
    <mergeCell ref="S30:S32"/>
    <mergeCell ref="S33:S34"/>
    <mergeCell ref="S35:S36"/>
    <mergeCell ref="S37:S38"/>
    <mergeCell ref="S39:S40"/>
    <mergeCell ref="S41:S42"/>
    <mergeCell ref="S43:S45"/>
    <mergeCell ref="S46:S48"/>
    <mergeCell ref="R9:R12"/>
    <mergeCell ref="R13:R16"/>
    <mergeCell ref="R17:R20"/>
    <mergeCell ref="R21:R24"/>
    <mergeCell ref="R25:R26"/>
    <mergeCell ref="T9:T12"/>
    <mergeCell ref="T13:T16"/>
    <mergeCell ref="T17:T20"/>
    <mergeCell ref="T21:T24"/>
    <mergeCell ref="T25:T26"/>
    <mergeCell ref="T27:T29"/>
    <mergeCell ref="T30:T32"/>
    <mergeCell ref="T33:T34"/>
    <mergeCell ref="T35:T36"/>
    <mergeCell ref="U9:U12"/>
    <mergeCell ref="U13:U16"/>
    <mergeCell ref="U17:U20"/>
    <mergeCell ref="U21:U24"/>
    <mergeCell ref="U25:U26"/>
    <mergeCell ref="U27:U29"/>
    <mergeCell ref="U30:U32"/>
    <mergeCell ref="U33:U34"/>
    <mergeCell ref="U35:U36"/>
    <mergeCell ref="V27:V29"/>
    <mergeCell ref="V30:V32"/>
    <mergeCell ref="V33:V34"/>
    <mergeCell ref="V35:V36"/>
    <mergeCell ref="T37:T38"/>
    <mergeCell ref="T39:T40"/>
    <mergeCell ref="T41:T42"/>
    <mergeCell ref="T43:T45"/>
    <mergeCell ref="T46:T48"/>
    <mergeCell ref="U37:U38"/>
    <mergeCell ref="U39:U40"/>
    <mergeCell ref="U41:U42"/>
    <mergeCell ref="U43:U45"/>
    <mergeCell ref="U46:U48"/>
    <mergeCell ref="V37:V38"/>
    <mergeCell ref="V39:V40"/>
    <mergeCell ref="V41:V42"/>
    <mergeCell ref="V43:V45"/>
    <mergeCell ref="V46:V48"/>
    <mergeCell ref="W9:W12"/>
    <mergeCell ref="W13:W16"/>
    <mergeCell ref="W17:W20"/>
    <mergeCell ref="W21:W24"/>
    <mergeCell ref="W25:W26"/>
    <mergeCell ref="W27:W29"/>
    <mergeCell ref="W30:W32"/>
    <mergeCell ref="W33:W34"/>
    <mergeCell ref="W35:W36"/>
    <mergeCell ref="W37:W38"/>
    <mergeCell ref="W39:W40"/>
    <mergeCell ref="W41:W42"/>
    <mergeCell ref="W43:W45"/>
    <mergeCell ref="W46:W48"/>
    <mergeCell ref="V9:V12"/>
    <mergeCell ref="V13:V16"/>
    <mergeCell ref="V17:V20"/>
    <mergeCell ref="V21:V24"/>
    <mergeCell ref="V25:V26"/>
    <mergeCell ref="X43:X45"/>
    <mergeCell ref="X46:X48"/>
    <mergeCell ref="Y9:Y12"/>
    <mergeCell ref="Y13:Y16"/>
    <mergeCell ref="Y17:Y20"/>
    <mergeCell ref="Y21:Y24"/>
    <mergeCell ref="Y25:Y26"/>
    <mergeCell ref="Y27:Y29"/>
    <mergeCell ref="Y30:Y32"/>
    <mergeCell ref="Y33:Y34"/>
    <mergeCell ref="Y35:Y36"/>
    <mergeCell ref="Y37:Y38"/>
    <mergeCell ref="Y39:Y40"/>
    <mergeCell ref="Y41:Y42"/>
    <mergeCell ref="Y43:Y45"/>
    <mergeCell ref="Y46:Y48"/>
    <mergeCell ref="X9:X12"/>
    <mergeCell ref="X13:X16"/>
    <mergeCell ref="X17:X20"/>
    <mergeCell ref="X21:X24"/>
    <mergeCell ref="X25:X26"/>
    <mergeCell ref="X27:X29"/>
    <mergeCell ref="X30:X32"/>
    <mergeCell ref="X33:X34"/>
    <mergeCell ref="Z21:Z24"/>
    <mergeCell ref="Z25:Z26"/>
    <mergeCell ref="Z27:Z29"/>
    <mergeCell ref="Z30:Z32"/>
    <mergeCell ref="Z33:Z34"/>
    <mergeCell ref="Z35:Z36"/>
    <mergeCell ref="X37:X38"/>
    <mergeCell ref="X39:X40"/>
    <mergeCell ref="X41:X42"/>
    <mergeCell ref="X35:X36"/>
    <mergeCell ref="Z37:Z38"/>
    <mergeCell ref="Z39:Z40"/>
    <mergeCell ref="Z41:Z42"/>
    <mergeCell ref="Z43:Z45"/>
    <mergeCell ref="Z46:Z48"/>
    <mergeCell ref="A2:G3"/>
    <mergeCell ref="A50:G51"/>
    <mergeCell ref="H50:J51"/>
    <mergeCell ref="U50:Z51"/>
    <mergeCell ref="A9:B16"/>
    <mergeCell ref="C9:G16"/>
    <mergeCell ref="A17:B24"/>
    <mergeCell ref="C17:G24"/>
    <mergeCell ref="A25:B29"/>
    <mergeCell ref="C25:G29"/>
    <mergeCell ref="A30:B36"/>
    <mergeCell ref="C30:G36"/>
    <mergeCell ref="A37:B42"/>
    <mergeCell ref="C37:G42"/>
    <mergeCell ref="A43:B48"/>
    <mergeCell ref="C43:G48"/>
    <mergeCell ref="Z9:Z12"/>
    <mergeCell ref="Z13:Z16"/>
    <mergeCell ref="Z17:Z20"/>
  </mergeCells>
  <phoneticPr fontId="214" type="noConversion"/>
  <pageMargins left="0.58888888888888902" right="0.2" top="0.2" bottom="0.2" header="0.11874999999999999" footer="0.30902777777777801"/>
  <pageSetup paperSize="9" orientation="portrait"/>
  <headerFooter scaleWithDoc="0" alignWithMargins="0"/>
  <drawing r:id="rId1"/>
  <legacyDrawing r:id="rId2"/>
  <oleObjects>
    <mc:AlternateContent xmlns:mc="http://schemas.openxmlformats.org/markup-compatibility/2006">
      <mc:Choice Requires="x14">
        <oleObject progId="Equation.3" shapeId="1211393" r:id="rId3">
          <objectPr defaultSize="0" altText="" r:id="rId4">
            <anchor moveWithCells="1" sizeWithCells="1">
              <from>
                <xdr:col>18</xdr:col>
                <xdr:colOff>38100</xdr:colOff>
                <xdr:row>13</xdr:row>
                <xdr:rowOff>0</xdr:rowOff>
              </from>
              <to>
                <xdr:col>18</xdr:col>
                <xdr:colOff>142875</xdr:colOff>
                <xdr:row>15</xdr:row>
                <xdr:rowOff>0</xdr:rowOff>
              </to>
            </anchor>
          </objectPr>
        </oleObject>
      </mc:Choice>
      <mc:Fallback>
        <oleObject progId="Equation.3" shapeId="1211393" r:id="rId3"/>
      </mc:Fallback>
    </mc:AlternateContent>
    <mc:AlternateContent xmlns:mc="http://schemas.openxmlformats.org/markup-compatibility/2006">
      <mc:Choice Requires="x14">
        <oleObject progId="Equation.3" shapeId="1211394" r:id="rId5">
          <objectPr defaultSize="0" altText="" r:id="rId6">
            <anchor moveWithCells="1" sizeWithCells="1">
              <from>
                <xdr:col>12</xdr:col>
                <xdr:colOff>238125</xdr:colOff>
                <xdr:row>13</xdr:row>
                <xdr:rowOff>0</xdr:rowOff>
              </from>
              <to>
                <xdr:col>13</xdr:col>
                <xdr:colOff>200025</xdr:colOff>
                <xdr:row>15</xdr:row>
                <xdr:rowOff>0</xdr:rowOff>
              </to>
            </anchor>
          </objectPr>
        </oleObject>
      </mc:Choice>
      <mc:Fallback>
        <oleObject progId="Equation.3" shapeId="1211394" r:id="rId5"/>
      </mc:Fallback>
    </mc:AlternateContent>
    <mc:AlternateContent xmlns:mc="http://schemas.openxmlformats.org/markup-compatibility/2006">
      <mc:Choice Requires="x14">
        <oleObject progId="Equation.3" shapeId="1211395" r:id="rId7">
          <objectPr defaultSize="0" altText="" r:id="rId8">
            <anchor moveWithCells="1" sizeWithCells="1">
              <from>
                <xdr:col>14</xdr:col>
                <xdr:colOff>9525</xdr:colOff>
                <xdr:row>13</xdr:row>
                <xdr:rowOff>9525</xdr:rowOff>
              </from>
              <to>
                <xdr:col>14</xdr:col>
                <xdr:colOff>228600</xdr:colOff>
                <xdr:row>15</xdr:row>
                <xdr:rowOff>0</xdr:rowOff>
              </to>
            </anchor>
          </objectPr>
        </oleObject>
      </mc:Choice>
      <mc:Fallback>
        <oleObject progId="Equation.3" shapeId="1211395" r:id="rId7"/>
      </mc:Fallback>
    </mc:AlternateContent>
    <mc:AlternateContent xmlns:mc="http://schemas.openxmlformats.org/markup-compatibility/2006">
      <mc:Choice Requires="x14">
        <oleObject progId="Equation.3" shapeId="1211396" r:id="rId9">
          <objectPr defaultSize="0" altText="" r:id="rId10">
            <anchor moveWithCells="1" sizeWithCells="1">
              <from>
                <xdr:col>15</xdr:col>
                <xdr:colOff>76200</xdr:colOff>
                <xdr:row>13</xdr:row>
                <xdr:rowOff>0</xdr:rowOff>
              </from>
              <to>
                <xdr:col>15</xdr:col>
                <xdr:colOff>190500</xdr:colOff>
                <xdr:row>15</xdr:row>
                <xdr:rowOff>0</xdr:rowOff>
              </to>
            </anchor>
          </objectPr>
        </oleObject>
      </mc:Choice>
      <mc:Fallback>
        <oleObject progId="Equation.3" shapeId="1211396" r:id="rId9"/>
      </mc:Fallback>
    </mc:AlternateContent>
    <mc:AlternateContent xmlns:mc="http://schemas.openxmlformats.org/markup-compatibility/2006">
      <mc:Choice Requires="x14">
        <oleObject progId="Equation.3" shapeId="1211397" r:id="rId11">
          <objectPr defaultSize="0" altText="" r:id="rId12">
            <anchor moveWithCells="1" sizeWithCells="1">
              <from>
                <xdr:col>16</xdr:col>
                <xdr:colOff>38100</xdr:colOff>
                <xdr:row>13</xdr:row>
                <xdr:rowOff>0</xdr:rowOff>
              </from>
              <to>
                <xdr:col>16</xdr:col>
                <xdr:colOff>238125</xdr:colOff>
                <xdr:row>15</xdr:row>
                <xdr:rowOff>0</xdr:rowOff>
              </to>
            </anchor>
          </objectPr>
        </oleObject>
      </mc:Choice>
      <mc:Fallback>
        <oleObject progId="Equation.3" shapeId="1211397" r:id="rId11"/>
      </mc:Fallback>
    </mc:AlternateContent>
    <mc:AlternateContent xmlns:mc="http://schemas.openxmlformats.org/markup-compatibility/2006">
      <mc:Choice Requires="x14">
        <oleObject progId="Equation.3" shapeId="1211398" r:id="rId13">
          <objectPr defaultSize="0" altText="" r:id="rId12">
            <anchor moveWithCells="1" sizeWithCells="1">
              <from>
                <xdr:col>17</xdr:col>
                <xdr:colOff>38100</xdr:colOff>
                <xdr:row>12</xdr:row>
                <xdr:rowOff>190500</xdr:rowOff>
              </from>
              <to>
                <xdr:col>17</xdr:col>
                <xdr:colOff>228600</xdr:colOff>
                <xdr:row>14</xdr:row>
                <xdr:rowOff>161925</xdr:rowOff>
              </to>
            </anchor>
          </objectPr>
        </oleObject>
      </mc:Choice>
      <mc:Fallback>
        <oleObject progId="Equation.3" shapeId="1211398" r:id="rId13"/>
      </mc:Fallback>
    </mc:AlternateContent>
    <mc:AlternateContent xmlns:mc="http://schemas.openxmlformats.org/markup-compatibility/2006">
      <mc:Choice Requires="x14">
        <oleObject progId="Equation.3" shapeId="1211399" r:id="rId14">
          <objectPr defaultSize="0" altText="" r:id="rId4">
            <anchor moveWithCells="1" sizeWithCells="1">
              <from>
                <xdr:col>19</xdr:col>
                <xdr:colOff>38100</xdr:colOff>
                <xdr:row>13</xdr:row>
                <xdr:rowOff>0</xdr:rowOff>
              </from>
              <to>
                <xdr:col>19</xdr:col>
                <xdr:colOff>152400</xdr:colOff>
                <xdr:row>15</xdr:row>
                <xdr:rowOff>0</xdr:rowOff>
              </to>
            </anchor>
          </objectPr>
        </oleObject>
      </mc:Choice>
      <mc:Fallback>
        <oleObject progId="Equation.3" shapeId="1211399" r:id="rId14"/>
      </mc:Fallback>
    </mc:AlternateContent>
    <mc:AlternateContent xmlns:mc="http://schemas.openxmlformats.org/markup-compatibility/2006">
      <mc:Choice Requires="x14">
        <oleObject progId="Equation.3" shapeId="1211400" r:id="rId15">
          <objectPr defaultSize="0" altText="" r:id="rId16">
            <anchor moveWithCells="1" sizeWithCells="1">
              <from>
                <xdr:col>20</xdr:col>
                <xdr:colOff>76200</xdr:colOff>
                <xdr:row>13</xdr:row>
                <xdr:rowOff>0</xdr:rowOff>
              </from>
              <to>
                <xdr:col>20</xdr:col>
                <xdr:colOff>190500</xdr:colOff>
                <xdr:row>15</xdr:row>
                <xdr:rowOff>0</xdr:rowOff>
              </to>
            </anchor>
          </objectPr>
        </oleObject>
      </mc:Choice>
      <mc:Fallback>
        <oleObject progId="Equation.3" shapeId="1211400" r:id="rId15"/>
      </mc:Fallback>
    </mc:AlternateContent>
    <mc:AlternateContent xmlns:mc="http://schemas.openxmlformats.org/markup-compatibility/2006">
      <mc:Choice Requires="x14">
        <oleObject progId="Equation.3" shapeId="1211401" r:id="rId17">
          <objectPr defaultSize="0" altText="" r:id="rId16">
            <anchor moveWithCells="1" sizeWithCells="1">
              <from>
                <xdr:col>21</xdr:col>
                <xdr:colOff>57150</xdr:colOff>
                <xdr:row>13</xdr:row>
                <xdr:rowOff>9525</xdr:rowOff>
              </from>
              <to>
                <xdr:col>21</xdr:col>
                <xdr:colOff>171450</xdr:colOff>
                <xdr:row>15</xdr:row>
                <xdr:rowOff>0</xdr:rowOff>
              </to>
            </anchor>
          </objectPr>
        </oleObject>
      </mc:Choice>
      <mc:Fallback>
        <oleObject progId="Equation.3" shapeId="1211401" r:id="rId17"/>
      </mc:Fallback>
    </mc:AlternateContent>
    <mc:AlternateContent xmlns:mc="http://schemas.openxmlformats.org/markup-compatibility/2006">
      <mc:Choice Requires="x14">
        <oleObject progId="Equation.3" shapeId="1211402" r:id="rId18">
          <objectPr defaultSize="0" altText="" r:id="rId16">
            <anchor moveWithCells="1" sizeWithCells="1">
              <from>
                <xdr:col>22</xdr:col>
                <xdr:colOff>76200</xdr:colOff>
                <xdr:row>13</xdr:row>
                <xdr:rowOff>0</xdr:rowOff>
              </from>
              <to>
                <xdr:col>22</xdr:col>
                <xdr:colOff>190500</xdr:colOff>
                <xdr:row>15</xdr:row>
                <xdr:rowOff>0</xdr:rowOff>
              </to>
            </anchor>
          </objectPr>
        </oleObject>
      </mc:Choice>
      <mc:Fallback>
        <oleObject progId="Equation.3" shapeId="1211402" r:id="rId18"/>
      </mc:Fallback>
    </mc:AlternateContent>
    <mc:AlternateContent xmlns:mc="http://schemas.openxmlformats.org/markup-compatibility/2006">
      <mc:Choice Requires="x14">
        <oleObject progId="Equation.3" shapeId="1211403" r:id="rId19">
          <objectPr defaultSize="0" altText="" r:id="rId16">
            <anchor moveWithCells="1" sizeWithCells="1">
              <from>
                <xdr:col>23</xdr:col>
                <xdr:colOff>114300</xdr:colOff>
                <xdr:row>13</xdr:row>
                <xdr:rowOff>0</xdr:rowOff>
              </from>
              <to>
                <xdr:col>23</xdr:col>
                <xdr:colOff>228600</xdr:colOff>
                <xdr:row>15</xdr:row>
                <xdr:rowOff>0</xdr:rowOff>
              </to>
            </anchor>
          </objectPr>
        </oleObject>
      </mc:Choice>
      <mc:Fallback>
        <oleObject progId="Equation.3" shapeId="1211403" r:id="rId19"/>
      </mc:Fallback>
    </mc:AlternateContent>
    <mc:AlternateContent xmlns:mc="http://schemas.openxmlformats.org/markup-compatibility/2006">
      <mc:Choice Requires="x14">
        <oleObject progId="Equation.3" shapeId="1211404" r:id="rId20">
          <objectPr defaultSize="0" altText="" r:id="rId16">
            <anchor moveWithCells="1" sizeWithCells="1">
              <from>
                <xdr:col>24</xdr:col>
                <xdr:colOff>66675</xdr:colOff>
                <xdr:row>13</xdr:row>
                <xdr:rowOff>0</xdr:rowOff>
              </from>
              <to>
                <xdr:col>24</xdr:col>
                <xdr:colOff>180975</xdr:colOff>
                <xdr:row>15</xdr:row>
                <xdr:rowOff>0</xdr:rowOff>
              </to>
            </anchor>
          </objectPr>
        </oleObject>
      </mc:Choice>
      <mc:Fallback>
        <oleObject progId="Equation.3" shapeId="1211404" r:id="rId20"/>
      </mc:Fallback>
    </mc:AlternateContent>
    <mc:AlternateContent xmlns:mc="http://schemas.openxmlformats.org/markup-compatibility/2006">
      <mc:Choice Requires="x14">
        <oleObject progId="Equation.3" shapeId="1211405" r:id="rId21">
          <objectPr defaultSize="0" altText="" r:id="rId16">
            <anchor moveWithCells="1" sizeWithCells="1">
              <from>
                <xdr:col>25</xdr:col>
                <xdr:colOff>19050</xdr:colOff>
                <xdr:row>8</xdr:row>
                <xdr:rowOff>200025</xdr:rowOff>
              </from>
              <to>
                <xdr:col>25</xdr:col>
                <xdr:colOff>133350</xdr:colOff>
                <xdr:row>9</xdr:row>
                <xdr:rowOff>0</xdr:rowOff>
              </to>
            </anchor>
          </objectPr>
        </oleObject>
      </mc:Choice>
      <mc:Fallback>
        <oleObject progId="Equation.3" shapeId="1211405" r:id="rId21"/>
      </mc:Fallback>
    </mc:AlternateContent>
    <mc:AlternateContent xmlns:mc="http://schemas.openxmlformats.org/markup-compatibility/2006">
      <mc:Choice Requires="x14">
        <oleObject progId="Equation.3" shapeId="1211406" r:id="rId22">
          <objectPr defaultSize="0" altText="" r:id="rId4">
            <anchor moveWithCells="1" sizeWithCells="1">
              <from>
                <xdr:col>18</xdr:col>
                <xdr:colOff>47625</xdr:colOff>
                <xdr:row>21</xdr:row>
                <xdr:rowOff>57150</xdr:rowOff>
              </from>
              <to>
                <xdr:col>18</xdr:col>
                <xdr:colOff>161925</xdr:colOff>
                <xdr:row>23</xdr:row>
                <xdr:rowOff>9525</xdr:rowOff>
              </to>
            </anchor>
          </objectPr>
        </oleObject>
      </mc:Choice>
      <mc:Fallback>
        <oleObject progId="Equation.3" shapeId="1211406" r:id="rId22"/>
      </mc:Fallback>
    </mc:AlternateContent>
    <mc:AlternateContent xmlns:mc="http://schemas.openxmlformats.org/markup-compatibility/2006">
      <mc:Choice Requires="x14">
        <oleObject progId="Equation.3" shapeId="1211407" r:id="rId23">
          <objectPr defaultSize="0" altText="" r:id="rId6">
            <anchor moveWithCells="1" sizeWithCells="1">
              <from>
                <xdr:col>13</xdr:col>
                <xdr:colOff>19050</xdr:colOff>
                <xdr:row>21</xdr:row>
                <xdr:rowOff>114300</xdr:rowOff>
              </from>
              <to>
                <xdr:col>13</xdr:col>
                <xdr:colOff>238125</xdr:colOff>
                <xdr:row>23</xdr:row>
                <xdr:rowOff>66675</xdr:rowOff>
              </to>
            </anchor>
          </objectPr>
        </oleObject>
      </mc:Choice>
      <mc:Fallback>
        <oleObject progId="Equation.3" shapeId="1211407" r:id="rId23"/>
      </mc:Fallback>
    </mc:AlternateContent>
    <mc:AlternateContent xmlns:mc="http://schemas.openxmlformats.org/markup-compatibility/2006">
      <mc:Choice Requires="x14">
        <oleObject progId="Equation.3" shapeId="1211408" r:id="rId24">
          <objectPr defaultSize="0" altText="" r:id="rId8">
            <anchor moveWithCells="1" sizeWithCells="1">
              <from>
                <xdr:col>14</xdr:col>
                <xdr:colOff>9525</xdr:colOff>
                <xdr:row>21</xdr:row>
                <xdr:rowOff>104775</xdr:rowOff>
              </from>
              <to>
                <xdr:col>14</xdr:col>
                <xdr:colOff>228600</xdr:colOff>
                <xdr:row>23</xdr:row>
                <xdr:rowOff>57150</xdr:rowOff>
              </to>
            </anchor>
          </objectPr>
        </oleObject>
      </mc:Choice>
      <mc:Fallback>
        <oleObject progId="Equation.3" shapeId="1211408" r:id="rId24"/>
      </mc:Fallback>
    </mc:AlternateContent>
    <mc:AlternateContent xmlns:mc="http://schemas.openxmlformats.org/markup-compatibility/2006">
      <mc:Choice Requires="x14">
        <oleObject progId="Equation.3" shapeId="1211409" r:id="rId25">
          <objectPr defaultSize="0" altText="" r:id="rId10">
            <anchor moveWithCells="1" sizeWithCells="1">
              <from>
                <xdr:col>15</xdr:col>
                <xdr:colOff>47625</xdr:colOff>
                <xdr:row>21</xdr:row>
                <xdr:rowOff>85725</xdr:rowOff>
              </from>
              <to>
                <xdr:col>15</xdr:col>
                <xdr:colOff>161925</xdr:colOff>
                <xdr:row>23</xdr:row>
                <xdr:rowOff>47625</xdr:rowOff>
              </to>
            </anchor>
          </objectPr>
        </oleObject>
      </mc:Choice>
      <mc:Fallback>
        <oleObject progId="Equation.3" shapeId="1211409" r:id="rId25"/>
      </mc:Fallback>
    </mc:AlternateContent>
    <mc:AlternateContent xmlns:mc="http://schemas.openxmlformats.org/markup-compatibility/2006">
      <mc:Choice Requires="x14">
        <oleObject progId="Equation.3" shapeId="1211410" r:id="rId26">
          <objectPr defaultSize="0" altText="" r:id="rId12">
            <anchor moveWithCells="1" sizeWithCells="1">
              <from>
                <xdr:col>16</xdr:col>
                <xdr:colOff>38100</xdr:colOff>
                <xdr:row>21</xdr:row>
                <xdr:rowOff>66675</xdr:rowOff>
              </from>
              <to>
                <xdr:col>16</xdr:col>
                <xdr:colOff>238125</xdr:colOff>
                <xdr:row>23</xdr:row>
                <xdr:rowOff>28575</xdr:rowOff>
              </to>
            </anchor>
          </objectPr>
        </oleObject>
      </mc:Choice>
      <mc:Fallback>
        <oleObject progId="Equation.3" shapeId="1211410" r:id="rId26"/>
      </mc:Fallback>
    </mc:AlternateContent>
    <mc:AlternateContent xmlns:mc="http://schemas.openxmlformats.org/markup-compatibility/2006">
      <mc:Choice Requires="x14">
        <oleObject progId="Equation.3" shapeId="1211411" r:id="rId27">
          <objectPr defaultSize="0" altText="" r:id="rId12">
            <anchor moveWithCells="1" sizeWithCells="1">
              <from>
                <xdr:col>17</xdr:col>
                <xdr:colOff>47625</xdr:colOff>
                <xdr:row>21</xdr:row>
                <xdr:rowOff>66675</xdr:rowOff>
              </from>
              <to>
                <xdr:col>18</xdr:col>
                <xdr:colOff>0</xdr:colOff>
                <xdr:row>23</xdr:row>
                <xdr:rowOff>28575</xdr:rowOff>
              </to>
            </anchor>
          </objectPr>
        </oleObject>
      </mc:Choice>
      <mc:Fallback>
        <oleObject progId="Equation.3" shapeId="1211411" r:id="rId27"/>
      </mc:Fallback>
    </mc:AlternateContent>
    <mc:AlternateContent xmlns:mc="http://schemas.openxmlformats.org/markup-compatibility/2006">
      <mc:Choice Requires="x14">
        <oleObject progId="Equation.3" shapeId="1211412" r:id="rId28">
          <objectPr defaultSize="0" altText="" r:id="rId4">
            <anchor moveWithCells="1" sizeWithCells="1">
              <from>
                <xdr:col>19</xdr:col>
                <xdr:colOff>66675</xdr:colOff>
                <xdr:row>21</xdr:row>
                <xdr:rowOff>66675</xdr:rowOff>
              </from>
              <to>
                <xdr:col>19</xdr:col>
                <xdr:colOff>180975</xdr:colOff>
                <xdr:row>23</xdr:row>
                <xdr:rowOff>28575</xdr:rowOff>
              </to>
            </anchor>
          </objectPr>
        </oleObject>
      </mc:Choice>
      <mc:Fallback>
        <oleObject progId="Equation.3" shapeId="1211412" r:id="rId28"/>
      </mc:Fallback>
    </mc:AlternateContent>
    <mc:AlternateContent xmlns:mc="http://schemas.openxmlformats.org/markup-compatibility/2006">
      <mc:Choice Requires="x14">
        <oleObject progId="Equation.3" shapeId="1211413" r:id="rId29">
          <objectPr defaultSize="0" altText="" r:id="rId16">
            <anchor moveWithCells="1" sizeWithCells="1">
              <from>
                <xdr:col>20</xdr:col>
                <xdr:colOff>76200</xdr:colOff>
                <xdr:row>21</xdr:row>
                <xdr:rowOff>66675</xdr:rowOff>
              </from>
              <to>
                <xdr:col>20</xdr:col>
                <xdr:colOff>190500</xdr:colOff>
                <xdr:row>23</xdr:row>
                <xdr:rowOff>28575</xdr:rowOff>
              </to>
            </anchor>
          </objectPr>
        </oleObject>
      </mc:Choice>
      <mc:Fallback>
        <oleObject progId="Equation.3" shapeId="1211413" r:id="rId29"/>
      </mc:Fallback>
    </mc:AlternateContent>
    <mc:AlternateContent xmlns:mc="http://schemas.openxmlformats.org/markup-compatibility/2006">
      <mc:Choice Requires="x14">
        <oleObject progId="Equation.3" shapeId="1211414" r:id="rId30">
          <objectPr defaultSize="0" altText="" r:id="rId16">
            <anchor moveWithCells="1" sizeWithCells="1">
              <from>
                <xdr:col>21</xdr:col>
                <xdr:colOff>57150</xdr:colOff>
                <xdr:row>21</xdr:row>
                <xdr:rowOff>66675</xdr:rowOff>
              </from>
              <to>
                <xdr:col>21</xdr:col>
                <xdr:colOff>171450</xdr:colOff>
                <xdr:row>23</xdr:row>
                <xdr:rowOff>28575</xdr:rowOff>
              </to>
            </anchor>
          </objectPr>
        </oleObject>
      </mc:Choice>
      <mc:Fallback>
        <oleObject progId="Equation.3" shapeId="1211414" r:id="rId30"/>
      </mc:Fallback>
    </mc:AlternateContent>
    <mc:AlternateContent xmlns:mc="http://schemas.openxmlformats.org/markup-compatibility/2006">
      <mc:Choice Requires="x14">
        <oleObject progId="Equation.3" shapeId="1211415" r:id="rId31">
          <objectPr defaultSize="0" altText="" r:id="rId16">
            <anchor moveWithCells="1" sizeWithCells="1">
              <from>
                <xdr:col>22</xdr:col>
                <xdr:colOff>66675</xdr:colOff>
                <xdr:row>21</xdr:row>
                <xdr:rowOff>57150</xdr:rowOff>
              </from>
              <to>
                <xdr:col>22</xdr:col>
                <xdr:colOff>180975</xdr:colOff>
                <xdr:row>23</xdr:row>
                <xdr:rowOff>9525</xdr:rowOff>
              </to>
            </anchor>
          </objectPr>
        </oleObject>
      </mc:Choice>
      <mc:Fallback>
        <oleObject progId="Equation.3" shapeId="1211415" r:id="rId31"/>
      </mc:Fallback>
    </mc:AlternateContent>
    <mc:AlternateContent xmlns:mc="http://schemas.openxmlformats.org/markup-compatibility/2006">
      <mc:Choice Requires="x14">
        <oleObject progId="Equation.3" shapeId="1211416" r:id="rId32">
          <objectPr defaultSize="0" altText="" r:id="rId16">
            <anchor moveWithCells="1" sizeWithCells="1">
              <from>
                <xdr:col>23</xdr:col>
                <xdr:colOff>19050</xdr:colOff>
                <xdr:row>21</xdr:row>
                <xdr:rowOff>57150</xdr:rowOff>
              </from>
              <to>
                <xdr:col>23</xdr:col>
                <xdr:colOff>133350</xdr:colOff>
                <xdr:row>23</xdr:row>
                <xdr:rowOff>9525</xdr:rowOff>
              </to>
            </anchor>
          </objectPr>
        </oleObject>
      </mc:Choice>
      <mc:Fallback>
        <oleObject progId="Equation.3" shapeId="1211416" r:id="rId32"/>
      </mc:Fallback>
    </mc:AlternateContent>
    <mc:AlternateContent xmlns:mc="http://schemas.openxmlformats.org/markup-compatibility/2006">
      <mc:Choice Requires="x14">
        <oleObject progId="Equation.3" shapeId="1211417" r:id="rId33">
          <objectPr defaultSize="0" altText="" r:id="rId16">
            <anchor moveWithCells="1" sizeWithCells="1">
              <from>
                <xdr:col>24</xdr:col>
                <xdr:colOff>47625</xdr:colOff>
                <xdr:row>21</xdr:row>
                <xdr:rowOff>47625</xdr:rowOff>
              </from>
              <to>
                <xdr:col>24</xdr:col>
                <xdr:colOff>161925</xdr:colOff>
                <xdr:row>23</xdr:row>
                <xdr:rowOff>0</xdr:rowOff>
              </to>
            </anchor>
          </objectPr>
        </oleObject>
      </mc:Choice>
      <mc:Fallback>
        <oleObject progId="Equation.3" shapeId="1211417" r:id="rId33"/>
      </mc:Fallback>
    </mc:AlternateContent>
    <mc:AlternateContent xmlns:mc="http://schemas.openxmlformats.org/markup-compatibility/2006">
      <mc:Choice Requires="x14">
        <oleObject progId="Equation.3" shapeId="1211418" r:id="rId34">
          <objectPr defaultSize="0" altText="" r:id="rId16">
            <anchor moveWithCells="1" sizeWithCells="1">
              <from>
                <xdr:col>25</xdr:col>
                <xdr:colOff>57150</xdr:colOff>
                <xdr:row>21</xdr:row>
                <xdr:rowOff>47625</xdr:rowOff>
              </from>
              <to>
                <xdr:col>25</xdr:col>
                <xdr:colOff>171450</xdr:colOff>
                <xdr:row>23</xdr:row>
                <xdr:rowOff>0</xdr:rowOff>
              </to>
            </anchor>
          </objectPr>
        </oleObject>
      </mc:Choice>
      <mc:Fallback>
        <oleObject progId="Equation.3" shapeId="1211418" r:id="rId34"/>
      </mc:Fallback>
    </mc:AlternateContent>
    <mc:AlternateContent xmlns:mc="http://schemas.openxmlformats.org/markup-compatibility/2006">
      <mc:Choice Requires="x14">
        <oleObject progId="Equation.3" shapeId="1211419" r:id="rId35">
          <objectPr defaultSize="0" altText="" r:id="rId6">
            <anchor moveWithCells="1" sizeWithCells="1">
              <from>
                <xdr:col>13</xdr:col>
                <xdr:colOff>0</xdr:colOff>
                <xdr:row>26</xdr:row>
                <xdr:rowOff>66675</xdr:rowOff>
              </from>
              <to>
                <xdr:col>13</xdr:col>
                <xdr:colOff>228600</xdr:colOff>
                <xdr:row>28</xdr:row>
                <xdr:rowOff>28575</xdr:rowOff>
              </to>
            </anchor>
          </objectPr>
        </oleObject>
      </mc:Choice>
      <mc:Fallback>
        <oleObject progId="Equation.3" shapeId="1211419" r:id="rId35"/>
      </mc:Fallback>
    </mc:AlternateContent>
    <mc:AlternateContent xmlns:mc="http://schemas.openxmlformats.org/markup-compatibility/2006">
      <mc:Choice Requires="x14">
        <oleObject progId="Equation.3" shapeId="1211420" r:id="rId36">
          <objectPr defaultSize="0" altText="" r:id="rId8">
            <anchor moveWithCells="1" sizeWithCells="1">
              <from>
                <xdr:col>14</xdr:col>
                <xdr:colOff>38100</xdr:colOff>
                <xdr:row>26</xdr:row>
                <xdr:rowOff>104775</xdr:rowOff>
              </from>
              <to>
                <xdr:col>14</xdr:col>
                <xdr:colOff>238125</xdr:colOff>
                <xdr:row>28</xdr:row>
                <xdr:rowOff>57150</xdr:rowOff>
              </to>
            </anchor>
          </objectPr>
        </oleObject>
      </mc:Choice>
      <mc:Fallback>
        <oleObject progId="Equation.3" shapeId="1211420" r:id="rId36"/>
      </mc:Fallback>
    </mc:AlternateContent>
    <mc:AlternateContent xmlns:mc="http://schemas.openxmlformats.org/markup-compatibility/2006">
      <mc:Choice Requires="x14">
        <oleObject progId="Equation.3" shapeId="1211421" r:id="rId37">
          <objectPr defaultSize="0" altText="" r:id="rId10">
            <anchor moveWithCells="1" sizeWithCells="1">
              <from>
                <xdr:col>15</xdr:col>
                <xdr:colOff>47625</xdr:colOff>
                <xdr:row>26</xdr:row>
                <xdr:rowOff>85725</xdr:rowOff>
              </from>
              <to>
                <xdr:col>15</xdr:col>
                <xdr:colOff>161925</xdr:colOff>
                <xdr:row>28</xdr:row>
                <xdr:rowOff>47625</xdr:rowOff>
              </to>
            </anchor>
          </objectPr>
        </oleObject>
      </mc:Choice>
      <mc:Fallback>
        <oleObject progId="Equation.3" shapeId="1211421" r:id="rId37"/>
      </mc:Fallback>
    </mc:AlternateContent>
    <mc:AlternateContent xmlns:mc="http://schemas.openxmlformats.org/markup-compatibility/2006">
      <mc:Choice Requires="x14">
        <oleObject progId="Equation.3" shapeId="1211422" r:id="rId38">
          <objectPr defaultSize="0" altText="" r:id="rId12">
            <anchor moveWithCells="1" sizeWithCells="1">
              <from>
                <xdr:col>16</xdr:col>
                <xdr:colOff>0</xdr:colOff>
                <xdr:row>26</xdr:row>
                <xdr:rowOff>104775</xdr:rowOff>
              </from>
              <to>
                <xdr:col>16</xdr:col>
                <xdr:colOff>200025</xdr:colOff>
                <xdr:row>28</xdr:row>
                <xdr:rowOff>57150</xdr:rowOff>
              </to>
            </anchor>
          </objectPr>
        </oleObject>
      </mc:Choice>
      <mc:Fallback>
        <oleObject progId="Equation.3" shapeId="1211422" r:id="rId38"/>
      </mc:Fallback>
    </mc:AlternateContent>
    <mc:AlternateContent xmlns:mc="http://schemas.openxmlformats.org/markup-compatibility/2006">
      <mc:Choice Requires="x14">
        <oleObject progId="Equation.3" shapeId="1211423" r:id="rId39">
          <objectPr defaultSize="0" altText="" r:id="rId12">
            <anchor moveWithCells="1" sizeWithCells="1">
              <from>
                <xdr:col>17</xdr:col>
                <xdr:colOff>38100</xdr:colOff>
                <xdr:row>26</xdr:row>
                <xdr:rowOff>66675</xdr:rowOff>
              </from>
              <to>
                <xdr:col>17</xdr:col>
                <xdr:colOff>228600</xdr:colOff>
                <xdr:row>28</xdr:row>
                <xdr:rowOff>28575</xdr:rowOff>
              </to>
            </anchor>
          </objectPr>
        </oleObject>
      </mc:Choice>
      <mc:Fallback>
        <oleObject progId="Equation.3" shapeId="1211423" r:id="rId39"/>
      </mc:Fallback>
    </mc:AlternateContent>
    <mc:AlternateContent xmlns:mc="http://schemas.openxmlformats.org/markup-compatibility/2006">
      <mc:Choice Requires="x14">
        <oleObject progId="Equation.3" shapeId="1211424" r:id="rId40">
          <objectPr defaultSize="0" altText="" r:id="rId4">
            <anchor moveWithCells="1" sizeWithCells="1">
              <from>
                <xdr:col>18</xdr:col>
                <xdr:colOff>47625</xdr:colOff>
                <xdr:row>26</xdr:row>
                <xdr:rowOff>85725</xdr:rowOff>
              </from>
              <to>
                <xdr:col>18</xdr:col>
                <xdr:colOff>161925</xdr:colOff>
                <xdr:row>28</xdr:row>
                <xdr:rowOff>47625</xdr:rowOff>
              </to>
            </anchor>
          </objectPr>
        </oleObject>
      </mc:Choice>
      <mc:Fallback>
        <oleObject progId="Equation.3" shapeId="1211424" r:id="rId40"/>
      </mc:Fallback>
    </mc:AlternateContent>
    <mc:AlternateContent xmlns:mc="http://schemas.openxmlformats.org/markup-compatibility/2006">
      <mc:Choice Requires="x14">
        <oleObject progId="Equation.3" shapeId="1211425" r:id="rId41">
          <objectPr defaultSize="0" altText="" r:id="rId4">
            <anchor moveWithCells="1" sizeWithCells="1">
              <from>
                <xdr:col>19</xdr:col>
                <xdr:colOff>76200</xdr:colOff>
                <xdr:row>26</xdr:row>
                <xdr:rowOff>114300</xdr:rowOff>
              </from>
              <to>
                <xdr:col>19</xdr:col>
                <xdr:colOff>190500</xdr:colOff>
                <xdr:row>28</xdr:row>
                <xdr:rowOff>66675</xdr:rowOff>
              </to>
            </anchor>
          </objectPr>
        </oleObject>
      </mc:Choice>
      <mc:Fallback>
        <oleObject progId="Equation.3" shapeId="1211425" r:id="rId41"/>
      </mc:Fallback>
    </mc:AlternateContent>
    <mc:AlternateContent xmlns:mc="http://schemas.openxmlformats.org/markup-compatibility/2006">
      <mc:Choice Requires="x14">
        <oleObject progId="Equation.3" shapeId="1211426" r:id="rId42">
          <objectPr defaultSize="0" altText="" r:id="rId16">
            <anchor moveWithCells="1" sizeWithCells="1">
              <from>
                <xdr:col>20</xdr:col>
                <xdr:colOff>66675</xdr:colOff>
                <xdr:row>26</xdr:row>
                <xdr:rowOff>114300</xdr:rowOff>
              </from>
              <to>
                <xdr:col>20</xdr:col>
                <xdr:colOff>180975</xdr:colOff>
                <xdr:row>28</xdr:row>
                <xdr:rowOff>66675</xdr:rowOff>
              </to>
            </anchor>
          </objectPr>
        </oleObject>
      </mc:Choice>
      <mc:Fallback>
        <oleObject progId="Equation.3" shapeId="1211426" r:id="rId42"/>
      </mc:Fallback>
    </mc:AlternateContent>
    <mc:AlternateContent xmlns:mc="http://schemas.openxmlformats.org/markup-compatibility/2006">
      <mc:Choice Requires="x14">
        <oleObject progId="Equation.3" shapeId="1211427" r:id="rId43">
          <objectPr defaultSize="0" altText="" r:id="rId16">
            <anchor moveWithCells="1" sizeWithCells="1">
              <from>
                <xdr:col>21</xdr:col>
                <xdr:colOff>57150</xdr:colOff>
                <xdr:row>26</xdr:row>
                <xdr:rowOff>114300</xdr:rowOff>
              </from>
              <to>
                <xdr:col>21</xdr:col>
                <xdr:colOff>171450</xdr:colOff>
                <xdr:row>28</xdr:row>
                <xdr:rowOff>66675</xdr:rowOff>
              </to>
            </anchor>
          </objectPr>
        </oleObject>
      </mc:Choice>
      <mc:Fallback>
        <oleObject progId="Equation.3" shapeId="1211427" r:id="rId43"/>
      </mc:Fallback>
    </mc:AlternateContent>
    <mc:AlternateContent xmlns:mc="http://schemas.openxmlformats.org/markup-compatibility/2006">
      <mc:Choice Requires="x14">
        <oleObject progId="Equation.3" shapeId="1211428" r:id="rId44">
          <objectPr defaultSize="0" altText="" r:id="rId16">
            <anchor moveWithCells="1" sizeWithCells="1">
              <from>
                <xdr:col>22</xdr:col>
                <xdr:colOff>38100</xdr:colOff>
                <xdr:row>26</xdr:row>
                <xdr:rowOff>123825</xdr:rowOff>
              </from>
              <to>
                <xdr:col>22</xdr:col>
                <xdr:colOff>142875</xdr:colOff>
                <xdr:row>28</xdr:row>
                <xdr:rowOff>66675</xdr:rowOff>
              </to>
            </anchor>
          </objectPr>
        </oleObject>
      </mc:Choice>
      <mc:Fallback>
        <oleObject progId="Equation.3" shapeId="1211428" r:id="rId44"/>
      </mc:Fallback>
    </mc:AlternateContent>
    <mc:AlternateContent xmlns:mc="http://schemas.openxmlformats.org/markup-compatibility/2006">
      <mc:Choice Requires="x14">
        <oleObject progId="Equation.3" shapeId="1211429" r:id="rId45">
          <objectPr defaultSize="0" altText="" r:id="rId16">
            <anchor moveWithCells="1" sizeWithCells="1">
              <from>
                <xdr:col>23</xdr:col>
                <xdr:colOff>76200</xdr:colOff>
                <xdr:row>26</xdr:row>
                <xdr:rowOff>114300</xdr:rowOff>
              </from>
              <to>
                <xdr:col>23</xdr:col>
                <xdr:colOff>190500</xdr:colOff>
                <xdr:row>28</xdr:row>
                <xdr:rowOff>66675</xdr:rowOff>
              </to>
            </anchor>
          </objectPr>
        </oleObject>
      </mc:Choice>
      <mc:Fallback>
        <oleObject progId="Equation.3" shapeId="1211429" r:id="rId45"/>
      </mc:Fallback>
    </mc:AlternateContent>
    <mc:AlternateContent xmlns:mc="http://schemas.openxmlformats.org/markup-compatibility/2006">
      <mc:Choice Requires="x14">
        <oleObject progId="Equation.3" shapeId="1211430" r:id="rId46">
          <objectPr defaultSize="0" altText="" r:id="rId16">
            <anchor moveWithCells="1" sizeWithCells="1">
              <from>
                <xdr:col>24</xdr:col>
                <xdr:colOff>38100</xdr:colOff>
                <xdr:row>26</xdr:row>
                <xdr:rowOff>123825</xdr:rowOff>
              </from>
              <to>
                <xdr:col>24</xdr:col>
                <xdr:colOff>142875</xdr:colOff>
                <xdr:row>28</xdr:row>
                <xdr:rowOff>66675</xdr:rowOff>
              </to>
            </anchor>
          </objectPr>
        </oleObject>
      </mc:Choice>
      <mc:Fallback>
        <oleObject progId="Equation.3" shapeId="1211430" r:id="rId46"/>
      </mc:Fallback>
    </mc:AlternateContent>
    <mc:AlternateContent xmlns:mc="http://schemas.openxmlformats.org/markup-compatibility/2006">
      <mc:Choice Requires="x14">
        <oleObject progId="Equation.3" shapeId="1211431" r:id="rId47">
          <objectPr defaultSize="0" altText="" r:id="rId16">
            <anchor moveWithCells="1" sizeWithCells="1">
              <from>
                <xdr:col>25</xdr:col>
                <xdr:colOff>57150</xdr:colOff>
                <xdr:row>26</xdr:row>
                <xdr:rowOff>142875</xdr:rowOff>
              </from>
              <to>
                <xdr:col>25</xdr:col>
                <xdr:colOff>171450</xdr:colOff>
                <xdr:row>28</xdr:row>
                <xdr:rowOff>104775</xdr:rowOff>
              </to>
            </anchor>
          </objectPr>
        </oleObject>
      </mc:Choice>
      <mc:Fallback>
        <oleObject progId="Equation.3" shapeId="1211431" r:id="rId47"/>
      </mc:Fallback>
    </mc:AlternateContent>
    <mc:AlternateContent xmlns:mc="http://schemas.openxmlformats.org/markup-compatibility/2006">
      <mc:Choice Requires="x14">
        <oleObject progId="Paint.Picture" shapeId="1211432" r:id="rId48">
          <objectPr defaultSize="0" altText="" r:id="rId49">
            <anchor moveWithCells="1">
              <from>
                <xdr:col>2</xdr:col>
                <xdr:colOff>9525</xdr:colOff>
                <xdr:row>36</xdr:row>
                <xdr:rowOff>123825</xdr:rowOff>
              </from>
              <to>
                <xdr:col>6</xdr:col>
                <xdr:colOff>142875</xdr:colOff>
                <xdr:row>41</xdr:row>
                <xdr:rowOff>66675</xdr:rowOff>
              </to>
            </anchor>
          </objectPr>
        </oleObject>
      </mc:Choice>
      <mc:Fallback>
        <oleObject progId="Paint.Picture" shapeId="1211432" r:id="rId48"/>
      </mc:Fallback>
    </mc:AlternateContent>
    <mc:AlternateContent xmlns:mc="http://schemas.openxmlformats.org/markup-compatibility/2006">
      <mc:Choice Requires="x14">
        <oleObject progId="Equation.3" shapeId="1211433" r:id="rId50">
          <objectPr defaultSize="0" altText="" r:id="rId51">
            <anchor moveWithCells="1" sizeWithCells="1">
              <from>
                <xdr:col>7</xdr:col>
                <xdr:colOff>76200</xdr:colOff>
                <xdr:row>43</xdr:row>
                <xdr:rowOff>142875</xdr:rowOff>
              </from>
              <to>
                <xdr:col>7</xdr:col>
                <xdr:colOff>190500</xdr:colOff>
                <xdr:row>44</xdr:row>
                <xdr:rowOff>47625</xdr:rowOff>
              </to>
            </anchor>
          </objectPr>
        </oleObject>
      </mc:Choice>
      <mc:Fallback>
        <oleObject progId="Equation.3" shapeId="1211433" r:id="rId50"/>
      </mc:Fallback>
    </mc:AlternateContent>
    <mc:AlternateContent xmlns:mc="http://schemas.openxmlformats.org/markup-compatibility/2006">
      <mc:Choice Requires="x14">
        <oleObject progId="Paint.Picture" shapeId="1211434" r:id="rId52">
          <objectPr defaultSize="0" altText="" r:id="rId53">
            <anchor moveWithCells="1">
              <from>
                <xdr:col>2</xdr:col>
                <xdr:colOff>152400</xdr:colOff>
                <xdr:row>8</xdr:row>
                <xdr:rowOff>38100</xdr:rowOff>
              </from>
              <to>
                <xdr:col>6</xdr:col>
                <xdr:colOff>19050</xdr:colOff>
                <xdr:row>15</xdr:row>
                <xdr:rowOff>123825</xdr:rowOff>
              </to>
            </anchor>
          </objectPr>
        </oleObject>
      </mc:Choice>
      <mc:Fallback>
        <oleObject progId="Paint.Picture" shapeId="1211434" r:id="rId52"/>
      </mc:Fallback>
    </mc:AlternateContent>
    <mc:AlternateContent xmlns:mc="http://schemas.openxmlformats.org/markup-compatibility/2006">
      <mc:Choice Requires="x14">
        <oleObject progId="Paint.Picture" shapeId="1211435" r:id="rId54">
          <objectPr defaultSize="0" altText="" r:id="rId55">
            <anchor moveWithCells="1">
              <from>
                <xdr:col>2</xdr:col>
                <xdr:colOff>76200</xdr:colOff>
                <xdr:row>24</xdr:row>
                <xdr:rowOff>9525</xdr:rowOff>
              </from>
              <to>
                <xdr:col>6</xdr:col>
                <xdr:colOff>66675</xdr:colOff>
                <xdr:row>29</xdr:row>
                <xdr:rowOff>0</xdr:rowOff>
              </to>
            </anchor>
          </objectPr>
        </oleObject>
      </mc:Choice>
      <mc:Fallback>
        <oleObject progId="Paint.Picture" shapeId="1211435" r:id="rId54"/>
      </mc:Fallback>
    </mc:AlternateContent>
    <mc:AlternateContent xmlns:mc="http://schemas.openxmlformats.org/markup-compatibility/2006">
      <mc:Choice Requires="x14">
        <oleObject progId="Paint.Picture" shapeId="1211436" r:id="rId56">
          <objectPr defaultSize="0" altText="" r:id="rId57">
            <anchor moveWithCells="1">
              <from>
                <xdr:col>2</xdr:col>
                <xdr:colOff>133350</xdr:colOff>
                <xdr:row>16</xdr:row>
                <xdr:rowOff>28575</xdr:rowOff>
              </from>
              <to>
                <xdr:col>6</xdr:col>
                <xdr:colOff>38100</xdr:colOff>
                <xdr:row>23</xdr:row>
                <xdr:rowOff>161925</xdr:rowOff>
              </to>
            </anchor>
          </objectPr>
        </oleObject>
      </mc:Choice>
      <mc:Fallback>
        <oleObject progId="Paint.Picture" shapeId="1211436" r:id="rId56"/>
      </mc:Fallback>
    </mc:AlternateContent>
    <mc:AlternateContent xmlns:mc="http://schemas.openxmlformats.org/markup-compatibility/2006">
      <mc:Choice Requires="x14">
        <oleObject progId="Paint.Picture" shapeId="1211437" r:id="rId58">
          <objectPr defaultSize="0" altText="" r:id="rId59">
            <anchor moveWithCells="1">
              <from>
                <xdr:col>2</xdr:col>
                <xdr:colOff>66675</xdr:colOff>
                <xdr:row>29</xdr:row>
                <xdr:rowOff>190500</xdr:rowOff>
              </from>
              <to>
                <xdr:col>6</xdr:col>
                <xdr:colOff>171450</xdr:colOff>
                <xdr:row>34</xdr:row>
                <xdr:rowOff>161925</xdr:rowOff>
              </to>
            </anchor>
          </objectPr>
        </oleObject>
      </mc:Choice>
      <mc:Fallback>
        <oleObject progId="Paint.Picture" shapeId="1211437" r:id="rId58"/>
      </mc:Fallback>
    </mc:AlternateContent>
    <mc:AlternateContent xmlns:mc="http://schemas.openxmlformats.org/markup-compatibility/2006">
      <mc:Choice Requires="x14">
        <oleObject progId="Paint.Picture" shapeId="1211438" r:id="rId60">
          <objectPr defaultSize="0" altText="" r:id="rId61">
            <anchor moveWithCells="1">
              <from>
                <xdr:col>2</xdr:col>
                <xdr:colOff>66675</xdr:colOff>
                <xdr:row>42</xdr:row>
                <xdr:rowOff>104775</xdr:rowOff>
              </from>
              <to>
                <xdr:col>6</xdr:col>
                <xdr:colOff>152400</xdr:colOff>
                <xdr:row>47</xdr:row>
                <xdr:rowOff>123825</xdr:rowOff>
              </to>
            </anchor>
          </objectPr>
        </oleObject>
      </mc:Choice>
      <mc:Fallback>
        <oleObject progId="Paint.Picture" shapeId="1211438" r:id="rId60"/>
      </mc:Fallback>
    </mc:AlternateContent>
  </oleObjects>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12"/>
  <dimension ref="A2:Z171"/>
  <sheetViews>
    <sheetView workbookViewId="0">
      <selection activeCell="AB15" sqref="AB15"/>
    </sheetView>
  </sheetViews>
  <sheetFormatPr defaultColWidth="8" defaultRowHeight="16.5"/>
  <cols>
    <col min="1" max="26" width="3.25" style="1472" customWidth="1"/>
    <col min="27" max="16384" width="8" style="1472"/>
  </cols>
  <sheetData>
    <row r="2" spans="1:26" ht="20.25">
      <c r="A2" s="5345" t="s">
        <v>11868</v>
      </c>
      <c r="B2" s="5346"/>
      <c r="C2" s="5346"/>
      <c r="D2" s="5346"/>
      <c r="E2" s="5346"/>
      <c r="F2" s="5346"/>
      <c r="G2" s="5346"/>
      <c r="H2" s="5432" t="s">
        <v>11797</v>
      </c>
      <c r="I2" s="5432"/>
      <c r="J2" s="5432"/>
      <c r="K2" s="5432"/>
      <c r="L2" s="5432"/>
      <c r="M2" s="5432"/>
      <c r="N2" s="5432"/>
      <c r="O2" s="5432"/>
      <c r="P2" s="5432"/>
      <c r="Q2" s="5432"/>
      <c r="R2" s="5432"/>
      <c r="S2" s="5432"/>
      <c r="T2" s="5432"/>
      <c r="U2" s="5433" t="s">
        <v>11798</v>
      </c>
      <c r="V2" s="5433"/>
      <c r="W2" s="5433"/>
      <c r="X2" s="5433"/>
      <c r="Y2" s="5433"/>
      <c r="Z2" s="5434"/>
    </row>
    <row r="3" spans="1:26">
      <c r="A3" s="5347"/>
      <c r="B3" s="5348"/>
      <c r="C3" s="5348"/>
      <c r="D3" s="5348"/>
      <c r="E3" s="5348"/>
      <c r="F3" s="5348"/>
      <c r="G3" s="5348"/>
      <c r="H3" s="5348" t="s">
        <v>11869</v>
      </c>
      <c r="I3" s="5348"/>
      <c r="J3" s="5348"/>
      <c r="K3" s="5348"/>
      <c r="L3" s="5348"/>
      <c r="M3" s="5348"/>
      <c r="N3" s="5348"/>
      <c r="O3" s="5348"/>
      <c r="P3" s="5348"/>
      <c r="Q3" s="5348"/>
      <c r="R3" s="5348"/>
      <c r="S3" s="5348"/>
      <c r="T3" s="5348"/>
      <c r="U3" s="5435" t="s">
        <v>11799</v>
      </c>
      <c r="V3" s="5435"/>
      <c r="W3" s="5435"/>
      <c r="X3" s="5435" t="s">
        <v>11800</v>
      </c>
      <c r="Y3" s="5435"/>
      <c r="Z3" s="5436"/>
    </row>
    <row r="4" spans="1:26">
      <c r="A4" s="1781"/>
      <c r="B4" s="1782"/>
      <c r="C4" s="1782"/>
      <c r="D4" s="1782"/>
      <c r="E4" s="1782"/>
      <c r="F4" s="1782"/>
      <c r="G4" s="1782"/>
      <c r="H4" s="1782"/>
      <c r="I4" s="1782"/>
      <c r="J4" s="1782"/>
      <c r="K4" s="1782"/>
      <c r="L4" s="1782"/>
      <c r="M4" s="1782"/>
      <c r="N4" s="1782"/>
      <c r="O4" s="1782"/>
      <c r="P4" s="1782"/>
      <c r="Q4" s="1782"/>
      <c r="R4" s="1782"/>
      <c r="S4" s="1782"/>
      <c r="T4" s="1782"/>
      <c r="U4" s="1782"/>
      <c r="V4" s="1782"/>
      <c r="W4" s="1782"/>
      <c r="X4" s="1782"/>
      <c r="Y4" s="1782"/>
      <c r="Z4" s="1806"/>
    </row>
    <row r="5" spans="1:26">
      <c r="A5" s="5437" t="s">
        <v>11870</v>
      </c>
      <c r="B5" s="5481"/>
      <c r="C5" s="5481"/>
      <c r="D5" s="5481"/>
      <c r="E5" s="5481"/>
      <c r="F5" s="5481"/>
      <c r="G5" s="5481"/>
      <c r="H5" s="5481"/>
      <c r="I5" s="5481"/>
      <c r="J5" s="5481"/>
      <c r="K5" s="5481"/>
      <c r="L5" s="5481"/>
      <c r="M5" s="5481"/>
      <c r="N5" s="5481"/>
      <c r="O5" s="1800"/>
      <c r="P5" s="1800"/>
      <c r="Q5" s="1800"/>
      <c r="R5" s="1800"/>
      <c r="S5" s="1800"/>
      <c r="T5" s="1800"/>
      <c r="U5" s="1800"/>
      <c r="V5" s="1800"/>
      <c r="W5" s="1800"/>
      <c r="X5" s="1800"/>
      <c r="Y5" s="1800"/>
      <c r="Z5" s="1807"/>
    </row>
    <row r="6" spans="1:26">
      <c r="A6" s="1847"/>
      <c r="B6" s="1833"/>
      <c r="C6" s="1168"/>
      <c r="D6" s="1786"/>
      <c r="E6" s="1168"/>
      <c r="F6" s="1786"/>
      <c r="G6" s="1786"/>
      <c r="H6" s="1786"/>
      <c r="I6" s="1168"/>
      <c r="J6" s="1786"/>
      <c r="K6" s="1786"/>
      <c r="L6" s="1786"/>
      <c r="M6" s="1786"/>
      <c r="N6" s="1168"/>
      <c r="O6" s="1786"/>
      <c r="P6" s="1786"/>
      <c r="Q6" s="1786"/>
      <c r="R6" s="1786"/>
      <c r="S6" s="1168"/>
      <c r="T6" s="1786"/>
      <c r="U6" s="1786"/>
      <c r="V6" s="1786"/>
      <c r="W6" s="1168"/>
      <c r="X6" s="1786"/>
      <c r="Y6" s="1168"/>
      <c r="Z6" s="1809"/>
    </row>
    <row r="7" spans="1:26">
      <c r="A7" s="1847"/>
      <c r="B7" s="1833"/>
      <c r="C7" s="1833"/>
      <c r="D7" s="1833"/>
      <c r="E7" s="1833"/>
      <c r="F7" s="1833"/>
      <c r="G7" s="1833"/>
      <c r="H7" s="1833"/>
      <c r="I7" s="1833"/>
      <c r="J7" s="1833"/>
      <c r="K7" s="1833"/>
      <c r="L7" s="1833"/>
      <c r="M7" s="1833"/>
      <c r="N7" s="1833"/>
      <c r="O7" s="1833"/>
      <c r="P7" s="1833"/>
      <c r="Q7" s="1833"/>
      <c r="R7" s="1833"/>
      <c r="S7" s="1833"/>
      <c r="T7" s="1833"/>
      <c r="U7" s="1833"/>
      <c r="V7" s="1833"/>
      <c r="W7" s="1833"/>
      <c r="X7" s="1833"/>
      <c r="Y7" s="1833"/>
      <c r="Z7" s="1844"/>
    </row>
    <row r="8" spans="1:26">
      <c r="A8" s="1847"/>
      <c r="B8" s="1833"/>
      <c r="C8" s="1833"/>
      <c r="D8" s="1833"/>
      <c r="E8" s="1833"/>
      <c r="F8" s="1833"/>
      <c r="G8" s="1833"/>
      <c r="H8" s="1833"/>
      <c r="I8" s="1833"/>
      <c r="J8" s="1833"/>
      <c r="K8" s="1833"/>
      <c r="L8" s="1833"/>
      <c r="M8" s="1833"/>
      <c r="N8" s="1833"/>
      <c r="O8" s="1833"/>
      <c r="P8" s="1833"/>
      <c r="Q8" s="1833"/>
      <c r="R8" s="1833"/>
      <c r="S8" s="1833"/>
      <c r="T8" s="1833"/>
      <c r="U8" s="1833"/>
      <c r="V8" s="1833"/>
      <c r="W8" s="1833"/>
      <c r="X8" s="1833"/>
      <c r="Y8" s="1833"/>
      <c r="Z8" s="1844"/>
    </row>
    <row r="9" spans="1:26">
      <c r="A9" s="1848"/>
      <c r="B9" s="1787"/>
      <c r="C9" s="1787"/>
      <c r="D9" s="1787"/>
      <c r="E9" s="1168"/>
      <c r="F9" s="1168"/>
      <c r="G9" s="1849"/>
      <c r="H9" s="1849"/>
      <c r="I9" s="1168"/>
      <c r="J9" s="1168"/>
      <c r="K9" s="1168"/>
      <c r="L9" s="1168"/>
      <c r="M9" s="1168"/>
      <c r="N9" s="1168"/>
      <c r="O9" s="1168"/>
      <c r="P9" s="1168"/>
      <c r="Q9" s="1168"/>
      <c r="R9" s="1168"/>
      <c r="S9" s="1168"/>
      <c r="T9" s="1168"/>
      <c r="U9" s="1168"/>
      <c r="V9" s="1168"/>
      <c r="W9" s="1795"/>
      <c r="X9" s="1795"/>
      <c r="Y9" s="1795"/>
      <c r="Z9" s="1855"/>
    </row>
    <row r="10" spans="1:26">
      <c r="A10" s="1848"/>
      <c r="B10" s="1787"/>
      <c r="C10" s="1787"/>
      <c r="D10" s="1787"/>
      <c r="E10" s="1168"/>
      <c r="F10" s="1168"/>
      <c r="G10" s="1849"/>
      <c r="H10" s="1849"/>
      <c r="I10" s="1168"/>
      <c r="J10" s="1168"/>
      <c r="K10" s="1168"/>
      <c r="L10" s="1168"/>
      <c r="M10" s="1168"/>
      <c r="N10" s="1168"/>
      <c r="O10" s="1168"/>
      <c r="P10" s="1168"/>
      <c r="Q10" s="1168"/>
      <c r="R10" s="1168"/>
      <c r="S10" s="1168"/>
      <c r="T10" s="1168"/>
      <c r="U10" s="1168"/>
      <c r="V10" s="1168"/>
      <c r="W10" s="1795"/>
      <c r="X10" s="1795"/>
      <c r="Y10" s="1795"/>
      <c r="Z10" s="1855"/>
    </row>
    <row r="11" spans="1:26">
      <c r="A11" s="1848"/>
      <c r="B11" s="1787"/>
      <c r="C11" s="1787"/>
      <c r="D11" s="1787"/>
      <c r="E11" s="1168"/>
      <c r="F11" s="1168"/>
      <c r="G11" s="1849"/>
      <c r="H11" s="1849"/>
      <c r="I11" s="1168"/>
      <c r="J11" s="1168"/>
      <c r="K11" s="1168"/>
      <c r="L11" s="1168"/>
      <c r="M11" s="1168"/>
      <c r="N11" s="1168"/>
      <c r="O11" s="1168"/>
      <c r="P11" s="1168"/>
      <c r="Q11" s="1168"/>
      <c r="R11" s="1168"/>
      <c r="S11" s="1168"/>
      <c r="T11" s="1168"/>
      <c r="U11" s="1168"/>
      <c r="V11" s="1168"/>
      <c r="W11" s="1795"/>
      <c r="X11" s="1795"/>
      <c r="Y11" s="1795"/>
      <c r="Z11" s="1855"/>
    </row>
    <row r="12" spans="1:26">
      <c r="A12" s="1848"/>
      <c r="B12" s="1787"/>
      <c r="C12" s="1787"/>
      <c r="D12" s="1787"/>
      <c r="E12" s="1168"/>
      <c r="F12" s="1168"/>
      <c r="G12" s="1849"/>
      <c r="H12" s="1849"/>
      <c r="I12" s="1168"/>
      <c r="J12" s="1168"/>
      <c r="K12" s="1168"/>
      <c r="L12" s="1168"/>
      <c r="M12" s="1168"/>
      <c r="N12" s="1168"/>
      <c r="O12" s="1168"/>
      <c r="P12" s="1168"/>
      <c r="Q12" s="1168"/>
      <c r="R12" s="1168"/>
      <c r="S12" s="1168"/>
      <c r="T12" s="1168"/>
      <c r="U12" s="1168"/>
      <c r="V12" s="1168"/>
      <c r="W12" s="1795"/>
      <c r="X12" s="1795"/>
      <c r="Y12" s="1795"/>
      <c r="Z12" s="1855"/>
    </row>
    <row r="13" spans="1:26">
      <c r="A13" s="1848"/>
      <c r="B13" s="1787"/>
      <c r="C13" s="1787"/>
      <c r="D13" s="1787"/>
      <c r="E13" s="1168"/>
      <c r="F13" s="1168"/>
      <c r="G13" s="1168"/>
      <c r="H13" s="1168"/>
      <c r="I13" s="1168"/>
      <c r="J13" s="1168"/>
      <c r="K13" s="1168"/>
      <c r="L13" s="1168"/>
      <c r="M13" s="1168"/>
      <c r="N13" s="1168"/>
      <c r="O13" s="1168"/>
      <c r="P13" s="1168"/>
      <c r="Q13" s="1168"/>
      <c r="R13" s="1168"/>
      <c r="S13" s="1168"/>
      <c r="T13" s="1168"/>
      <c r="U13" s="1168"/>
      <c r="V13" s="1168"/>
      <c r="W13" s="1795"/>
      <c r="X13" s="1795"/>
      <c r="Y13" s="1795"/>
      <c r="Z13" s="1855"/>
    </row>
    <row r="14" spans="1:26">
      <c r="A14" s="1848"/>
      <c r="B14" s="1787"/>
      <c r="C14" s="1787"/>
      <c r="D14" s="1787"/>
      <c r="E14" s="1168"/>
      <c r="F14" s="1168"/>
      <c r="G14" s="1168"/>
      <c r="H14" s="1168"/>
      <c r="I14" s="1168"/>
      <c r="J14" s="1168"/>
      <c r="K14" s="1168"/>
      <c r="L14" s="1168"/>
      <c r="M14" s="1168"/>
      <c r="N14" s="1168"/>
      <c r="O14" s="1168"/>
      <c r="P14" s="1168"/>
      <c r="Q14" s="1168"/>
      <c r="R14" s="1168"/>
      <c r="S14" s="1168"/>
      <c r="T14" s="1168"/>
      <c r="U14" s="1168"/>
      <c r="V14" s="1168"/>
      <c r="W14" s="1795"/>
      <c r="X14" s="1795"/>
      <c r="Y14" s="1795"/>
      <c r="Z14" s="1855"/>
    </row>
    <row r="15" spans="1:26">
      <c r="A15" s="1848"/>
      <c r="B15" s="1787"/>
      <c r="C15" s="1787"/>
      <c r="D15" s="1787"/>
      <c r="E15" s="1168"/>
      <c r="F15" s="1168"/>
      <c r="G15" s="1168"/>
      <c r="H15" s="1168"/>
      <c r="I15" s="1168"/>
      <c r="J15" s="1168"/>
      <c r="K15" s="1168"/>
      <c r="L15" s="1168"/>
      <c r="M15" s="1168"/>
      <c r="N15" s="1168"/>
      <c r="O15" s="1168"/>
      <c r="P15" s="1168"/>
      <c r="Q15" s="1168"/>
      <c r="R15" s="1168"/>
      <c r="S15" s="1168"/>
      <c r="T15" s="1168"/>
      <c r="U15" s="1168"/>
      <c r="V15" s="1168"/>
      <c r="W15" s="1795"/>
      <c r="X15" s="1795"/>
      <c r="Y15" s="1795"/>
      <c r="Z15" s="1855"/>
    </row>
    <row r="16" spans="1:26">
      <c r="A16" s="1848"/>
      <c r="B16" s="1787"/>
      <c r="C16" s="1787"/>
      <c r="D16" s="1787"/>
      <c r="E16" s="1168"/>
      <c r="F16" s="1168"/>
      <c r="G16" s="1168"/>
      <c r="H16" s="1168"/>
      <c r="I16" s="1168"/>
      <c r="J16" s="1168"/>
      <c r="K16" s="1168"/>
      <c r="L16" s="1168"/>
      <c r="M16" s="1168"/>
      <c r="N16" s="1168"/>
      <c r="O16" s="1168"/>
      <c r="P16" s="1168"/>
      <c r="Q16" s="1168"/>
      <c r="R16" s="1168"/>
      <c r="S16" s="1168"/>
      <c r="T16" s="1168"/>
      <c r="U16" s="1168"/>
      <c r="V16" s="1168"/>
      <c r="W16" s="1795"/>
      <c r="X16" s="1795"/>
      <c r="Y16" s="1795"/>
      <c r="Z16" s="1855"/>
    </row>
    <row r="17" spans="1:26">
      <c r="A17" s="1848"/>
      <c r="B17" s="1787"/>
      <c r="C17" s="1787"/>
      <c r="D17" s="1787"/>
      <c r="E17" s="1168"/>
      <c r="F17" s="1168"/>
      <c r="G17" s="1168"/>
      <c r="H17" s="1168"/>
      <c r="I17" s="1168"/>
      <c r="J17" s="1168"/>
      <c r="K17" s="1168"/>
      <c r="L17" s="1168"/>
      <c r="M17" s="1168"/>
      <c r="N17" s="1168"/>
      <c r="O17" s="1168"/>
      <c r="P17" s="1168"/>
      <c r="Q17" s="1168"/>
      <c r="R17" s="1168"/>
      <c r="S17" s="1168"/>
      <c r="T17" s="1168"/>
      <c r="U17" s="1168"/>
      <c r="V17" s="1168"/>
      <c r="W17" s="1795"/>
      <c r="X17" s="1795"/>
      <c r="Y17" s="1795"/>
      <c r="Z17" s="1855"/>
    </row>
    <row r="18" spans="1:26">
      <c r="A18" s="1848"/>
      <c r="B18" s="1787"/>
      <c r="C18" s="1787"/>
      <c r="D18" s="1787"/>
      <c r="E18" s="1168"/>
      <c r="F18" s="1168"/>
      <c r="G18" s="1168"/>
      <c r="H18" s="1168"/>
      <c r="I18" s="1168"/>
      <c r="J18" s="1168"/>
      <c r="K18" s="1168"/>
      <c r="L18" s="1168"/>
      <c r="M18" s="1168"/>
      <c r="N18" s="1168"/>
      <c r="O18" s="1168"/>
      <c r="P18" s="1168"/>
      <c r="Q18" s="1168"/>
      <c r="R18" s="1168"/>
      <c r="S18" s="1168"/>
      <c r="T18" s="1168"/>
      <c r="U18" s="1168"/>
      <c r="V18" s="1168"/>
      <c r="W18" s="1795"/>
      <c r="X18" s="1795"/>
      <c r="Y18" s="1795"/>
      <c r="Z18" s="1855"/>
    </row>
    <row r="19" spans="1:26">
      <c r="A19" s="1848"/>
      <c r="B19" s="1787"/>
      <c r="C19" s="1787"/>
      <c r="D19" s="1787"/>
      <c r="E19" s="1168"/>
      <c r="F19" s="1168"/>
      <c r="G19" s="1168"/>
      <c r="H19" s="1168"/>
      <c r="I19" s="1168"/>
      <c r="J19" s="1168"/>
      <c r="K19" s="1168"/>
      <c r="L19" s="1168"/>
      <c r="M19" s="1168"/>
      <c r="N19" s="1168"/>
      <c r="O19" s="1168"/>
      <c r="P19" s="1168"/>
      <c r="Q19" s="1168"/>
      <c r="R19" s="1168"/>
      <c r="S19" s="1168"/>
      <c r="T19" s="1168"/>
      <c r="U19" s="1168"/>
      <c r="V19" s="1168"/>
      <c r="W19" s="1795"/>
      <c r="X19" s="1795"/>
      <c r="Y19" s="1795"/>
      <c r="Z19" s="1855"/>
    </row>
    <row r="20" spans="1:26">
      <c r="A20" s="1848"/>
      <c r="B20" s="1787"/>
      <c r="C20" s="1787"/>
      <c r="D20" s="1787"/>
      <c r="E20" s="1168"/>
      <c r="F20" s="1168"/>
      <c r="G20" s="1168"/>
      <c r="H20" s="1168"/>
      <c r="I20" s="1168"/>
      <c r="J20" s="1168"/>
      <c r="K20" s="1168"/>
      <c r="L20" s="1168"/>
      <c r="M20" s="1168"/>
      <c r="N20" s="1168"/>
      <c r="O20" s="1168"/>
      <c r="P20" s="1168"/>
      <c r="Q20" s="1168"/>
      <c r="R20" s="1168"/>
      <c r="S20" s="1168"/>
      <c r="T20" s="1168"/>
      <c r="U20" s="1168"/>
      <c r="V20" s="1168"/>
      <c r="W20" s="1795"/>
      <c r="X20" s="1795"/>
      <c r="Y20" s="1795"/>
      <c r="Z20" s="1855"/>
    </row>
    <row r="21" spans="1:26">
      <c r="A21" s="1848"/>
      <c r="B21" s="1787"/>
      <c r="C21" s="1787"/>
      <c r="D21" s="1787"/>
      <c r="E21" s="1168"/>
      <c r="F21" s="1168"/>
      <c r="G21" s="1168"/>
      <c r="H21" s="1168"/>
      <c r="I21" s="1168"/>
      <c r="J21" s="1168"/>
      <c r="K21" s="1168"/>
      <c r="L21" s="1168"/>
      <c r="M21" s="1168"/>
      <c r="N21" s="1168"/>
      <c r="O21" s="1168"/>
      <c r="P21" s="1168"/>
      <c r="Q21" s="1168"/>
      <c r="R21" s="1168"/>
      <c r="S21" s="1168"/>
      <c r="T21" s="1168"/>
      <c r="U21" s="1168"/>
      <c r="V21" s="1168"/>
      <c r="W21" s="1795"/>
      <c r="X21" s="1795"/>
      <c r="Y21" s="1795"/>
      <c r="Z21" s="1855"/>
    </row>
    <row r="22" spans="1:26" ht="18" customHeight="1">
      <c r="A22" s="1829"/>
      <c r="B22" s="1830"/>
      <c r="C22" s="1830"/>
      <c r="D22" s="1830"/>
      <c r="E22" s="1830"/>
      <c r="F22" s="1830"/>
      <c r="G22" s="1830"/>
      <c r="H22" s="1830"/>
      <c r="I22" s="1830"/>
      <c r="J22" s="1830"/>
      <c r="K22" s="1830"/>
      <c r="L22" s="1830"/>
      <c r="M22" s="1830"/>
      <c r="N22" s="1830"/>
      <c r="O22" s="1830"/>
      <c r="P22" s="1830"/>
      <c r="Q22" s="1830"/>
      <c r="R22" s="1830"/>
      <c r="S22" s="1830"/>
      <c r="T22" s="1830"/>
      <c r="U22" s="1830"/>
      <c r="V22" s="1830"/>
      <c r="W22" s="1830"/>
      <c r="X22" s="1830"/>
      <c r="Y22" s="1830"/>
      <c r="Z22" s="1843"/>
    </row>
    <row r="23" spans="1:26" ht="14.25" customHeight="1">
      <c r="A23" s="1829"/>
      <c r="B23" s="1830"/>
      <c r="C23" s="1830"/>
      <c r="D23" s="1830"/>
      <c r="E23" s="1830"/>
      <c r="F23" s="1830"/>
      <c r="G23" s="1830"/>
      <c r="H23" s="1830"/>
      <c r="I23" s="1830"/>
      <c r="J23" s="1830"/>
      <c r="K23" s="1830"/>
      <c r="L23" s="1830"/>
      <c r="M23" s="1830"/>
      <c r="N23" s="1830"/>
      <c r="O23" s="1830"/>
      <c r="P23" s="1830"/>
      <c r="Q23" s="1830"/>
      <c r="R23" s="1830"/>
      <c r="S23" s="1830"/>
      <c r="T23" s="1830"/>
      <c r="U23" s="1830"/>
      <c r="V23" s="1830"/>
      <c r="W23" s="1830"/>
      <c r="X23" s="1830"/>
      <c r="Y23" s="1830"/>
      <c r="Z23" s="1843"/>
    </row>
    <row r="24" spans="1:26">
      <c r="A24" s="5486" t="s">
        <v>11871</v>
      </c>
      <c r="B24" s="5484"/>
      <c r="C24" s="5484" t="s">
        <v>11872</v>
      </c>
      <c r="D24" s="5484"/>
      <c r="E24" s="5484"/>
      <c r="F24" s="5484"/>
      <c r="G24" s="5484"/>
      <c r="H24" s="5484"/>
      <c r="I24" s="5484" t="s">
        <v>11873</v>
      </c>
      <c r="J24" s="5484"/>
      <c r="K24" s="5484"/>
      <c r="L24" s="5484"/>
      <c r="M24" s="5484"/>
      <c r="N24" s="5484"/>
      <c r="O24" s="5484" t="s">
        <v>11874</v>
      </c>
      <c r="P24" s="5484"/>
      <c r="Q24" s="5484"/>
      <c r="R24" s="5484"/>
      <c r="S24" s="5484"/>
      <c r="T24" s="5484"/>
      <c r="U24" s="5484" t="s">
        <v>11875</v>
      </c>
      <c r="V24" s="5484"/>
      <c r="W24" s="5484"/>
      <c r="X24" s="5484"/>
      <c r="Y24" s="5484"/>
      <c r="Z24" s="5485"/>
    </row>
    <row r="25" spans="1:26">
      <c r="A25" s="5373"/>
      <c r="B25" s="5380"/>
      <c r="C25" s="5380"/>
      <c r="D25" s="5380"/>
      <c r="E25" s="5380"/>
      <c r="F25" s="5380"/>
      <c r="G25" s="5380"/>
      <c r="H25" s="5380"/>
      <c r="I25" s="5380"/>
      <c r="J25" s="5380"/>
      <c r="K25" s="5380"/>
      <c r="L25" s="5380"/>
      <c r="M25" s="5380"/>
      <c r="N25" s="5380"/>
      <c r="O25" s="5380"/>
      <c r="P25" s="5380"/>
      <c r="Q25" s="5380"/>
      <c r="R25" s="5380"/>
      <c r="S25" s="5380"/>
      <c r="T25" s="5380"/>
      <c r="U25" s="5380"/>
      <c r="V25" s="5380"/>
      <c r="W25" s="5380"/>
      <c r="X25" s="5380"/>
      <c r="Y25" s="5380"/>
      <c r="Z25" s="5483"/>
    </row>
    <row r="26" spans="1:26">
      <c r="A26" s="5373"/>
      <c r="B26" s="5380"/>
      <c r="C26" s="5380"/>
      <c r="D26" s="5380"/>
      <c r="E26" s="5380"/>
      <c r="F26" s="5380"/>
      <c r="G26" s="5380"/>
      <c r="H26" s="5380"/>
      <c r="I26" s="5482"/>
      <c r="J26" s="5380"/>
      <c r="K26" s="5380"/>
      <c r="L26" s="5380"/>
      <c r="M26" s="5380"/>
      <c r="N26" s="5380"/>
      <c r="O26" s="5482"/>
      <c r="P26" s="5380"/>
      <c r="Q26" s="5380"/>
      <c r="R26" s="5380"/>
      <c r="S26" s="5380"/>
      <c r="T26" s="5380"/>
      <c r="U26" s="5482"/>
      <c r="V26" s="5380"/>
      <c r="W26" s="5380"/>
      <c r="X26" s="5380"/>
      <c r="Y26" s="5380"/>
      <c r="Z26" s="5483"/>
    </row>
    <row r="27" spans="1:26" ht="18.75" customHeight="1">
      <c r="A27" s="5464" t="s">
        <v>517</v>
      </c>
      <c r="B27" s="5465"/>
      <c r="C27" s="5466">
        <v>0.5</v>
      </c>
      <c r="D27" s="5467"/>
      <c r="E27" s="5466">
        <v>2</v>
      </c>
      <c r="F27" s="5467"/>
      <c r="G27" s="5475">
        <v>2</v>
      </c>
      <c r="H27" s="5476"/>
      <c r="I27" s="5396">
        <v>4</v>
      </c>
      <c r="J27" s="5396"/>
      <c r="K27" s="5396">
        <v>3</v>
      </c>
      <c r="L27" s="5396"/>
      <c r="M27" s="5396">
        <v>5</v>
      </c>
      <c r="N27" s="5396"/>
      <c r="O27" s="5396">
        <v>6</v>
      </c>
      <c r="P27" s="5396"/>
      <c r="Q27" s="5396">
        <v>5</v>
      </c>
      <c r="R27" s="5396"/>
      <c r="S27" s="5396">
        <v>7</v>
      </c>
      <c r="T27" s="5396"/>
      <c r="U27" s="5396">
        <v>11</v>
      </c>
      <c r="V27" s="5396"/>
      <c r="W27" s="5396">
        <v>10</v>
      </c>
      <c r="X27" s="5396"/>
      <c r="Y27" s="5411">
        <v>12</v>
      </c>
      <c r="Z27" s="5463"/>
    </row>
    <row r="28" spans="1:26" ht="18.75" customHeight="1">
      <c r="A28" s="5464" t="s">
        <v>518</v>
      </c>
      <c r="B28" s="5465"/>
      <c r="C28" s="5466">
        <v>0.7</v>
      </c>
      <c r="D28" s="5467"/>
      <c r="E28" s="5446">
        <v>2.5</v>
      </c>
      <c r="F28" s="5447"/>
      <c r="G28" s="5477"/>
      <c r="H28" s="5478"/>
      <c r="I28" s="5396">
        <v>5.5</v>
      </c>
      <c r="J28" s="5396"/>
      <c r="K28" s="5396">
        <v>4</v>
      </c>
      <c r="L28" s="5396"/>
      <c r="M28" s="5396">
        <v>7</v>
      </c>
      <c r="N28" s="5396"/>
      <c r="O28" s="5396">
        <v>8</v>
      </c>
      <c r="P28" s="5396"/>
      <c r="Q28" s="5396">
        <v>7</v>
      </c>
      <c r="R28" s="5396"/>
      <c r="S28" s="5396">
        <v>10</v>
      </c>
      <c r="T28" s="5396"/>
      <c r="U28" s="5396">
        <v>15</v>
      </c>
      <c r="V28" s="5396"/>
      <c r="W28" s="5396">
        <v>13</v>
      </c>
      <c r="X28" s="5396"/>
      <c r="Y28" s="5411">
        <v>16</v>
      </c>
      <c r="Z28" s="5463"/>
    </row>
    <row r="29" spans="1:26" ht="18.75" customHeight="1">
      <c r="A29" s="5464" t="s">
        <v>519</v>
      </c>
      <c r="B29" s="5465"/>
      <c r="C29" s="5466">
        <v>0.8</v>
      </c>
      <c r="D29" s="5467"/>
      <c r="E29" s="5448"/>
      <c r="F29" s="5449"/>
      <c r="G29" s="5479"/>
      <c r="H29" s="5480"/>
      <c r="I29" s="5396">
        <v>6.5</v>
      </c>
      <c r="J29" s="5396"/>
      <c r="K29" s="5396">
        <v>5</v>
      </c>
      <c r="L29" s="5396"/>
      <c r="M29" s="5396">
        <v>8</v>
      </c>
      <c r="N29" s="5396"/>
      <c r="O29" s="5396">
        <v>10</v>
      </c>
      <c r="P29" s="5396"/>
      <c r="Q29" s="5396">
        <v>8</v>
      </c>
      <c r="R29" s="5396"/>
      <c r="S29" s="5396">
        <v>11</v>
      </c>
      <c r="T29" s="5396"/>
      <c r="U29" s="5396">
        <v>18.5</v>
      </c>
      <c r="V29" s="5396"/>
      <c r="W29" s="5396">
        <v>16</v>
      </c>
      <c r="X29" s="5396"/>
      <c r="Y29" s="5411">
        <v>19</v>
      </c>
      <c r="Z29" s="5463"/>
    </row>
    <row r="30" spans="1:26">
      <c r="A30" s="5464" t="s">
        <v>520</v>
      </c>
      <c r="B30" s="5465"/>
      <c r="C30" s="5466">
        <v>1</v>
      </c>
      <c r="D30" s="5467"/>
      <c r="E30" s="5466">
        <v>3.5</v>
      </c>
      <c r="F30" s="5467"/>
      <c r="G30" s="5446">
        <v>3</v>
      </c>
      <c r="H30" s="5447"/>
      <c r="I30" s="5396">
        <v>8</v>
      </c>
      <c r="J30" s="5396"/>
      <c r="K30" s="5396">
        <v>6</v>
      </c>
      <c r="L30" s="5396"/>
      <c r="M30" s="5396">
        <v>10</v>
      </c>
      <c r="N30" s="5396"/>
      <c r="O30" s="5396">
        <v>12</v>
      </c>
      <c r="P30" s="5396"/>
      <c r="Q30" s="5396">
        <v>10</v>
      </c>
      <c r="R30" s="5396"/>
      <c r="S30" s="5396">
        <v>14</v>
      </c>
      <c r="T30" s="5396"/>
      <c r="U30" s="5396">
        <v>22</v>
      </c>
      <c r="V30" s="5396"/>
      <c r="W30" s="5396">
        <v>19</v>
      </c>
      <c r="X30" s="5396"/>
      <c r="Y30" s="5411">
        <v>23</v>
      </c>
      <c r="Z30" s="5463"/>
    </row>
    <row r="31" spans="1:26">
      <c r="A31" s="5464" t="s">
        <v>521</v>
      </c>
      <c r="B31" s="5465"/>
      <c r="C31" s="5466">
        <v>1.25</v>
      </c>
      <c r="D31" s="5467"/>
      <c r="E31" s="5466">
        <v>4</v>
      </c>
      <c r="F31" s="5467"/>
      <c r="G31" s="5448"/>
      <c r="H31" s="5449"/>
      <c r="I31" s="5396">
        <v>10</v>
      </c>
      <c r="J31" s="5396"/>
      <c r="K31" s="5396">
        <v>8</v>
      </c>
      <c r="L31" s="5396"/>
      <c r="M31" s="5396">
        <v>13</v>
      </c>
      <c r="N31" s="5396"/>
      <c r="O31" s="5396">
        <v>15</v>
      </c>
      <c r="P31" s="5396"/>
      <c r="Q31" s="5396">
        <v>12</v>
      </c>
      <c r="R31" s="5396"/>
      <c r="S31" s="5396">
        <v>17</v>
      </c>
      <c r="T31" s="5396"/>
      <c r="U31" s="5396">
        <v>26</v>
      </c>
      <c r="V31" s="5396"/>
      <c r="W31" s="5396">
        <v>22</v>
      </c>
      <c r="X31" s="5396"/>
      <c r="Y31" s="5411">
        <v>27</v>
      </c>
      <c r="Z31" s="5463"/>
    </row>
    <row r="32" spans="1:26">
      <c r="A32" s="5464" t="s">
        <v>522</v>
      </c>
      <c r="B32" s="5465"/>
      <c r="C32" s="5466">
        <v>1.5</v>
      </c>
      <c r="D32" s="5467"/>
      <c r="E32" s="5466">
        <v>4.5</v>
      </c>
      <c r="F32" s="5467"/>
      <c r="G32" s="5446">
        <v>4</v>
      </c>
      <c r="H32" s="5447"/>
      <c r="I32" s="5396">
        <v>12</v>
      </c>
      <c r="J32" s="5396"/>
      <c r="K32" s="5396">
        <v>10</v>
      </c>
      <c r="L32" s="5396"/>
      <c r="M32" s="5396">
        <v>16</v>
      </c>
      <c r="N32" s="5396"/>
      <c r="O32" s="5396">
        <v>18</v>
      </c>
      <c r="P32" s="5396"/>
      <c r="Q32" s="5396">
        <v>15</v>
      </c>
      <c r="R32" s="5396"/>
      <c r="S32" s="5396">
        <v>21</v>
      </c>
      <c r="T32" s="5396"/>
      <c r="U32" s="5396">
        <v>35</v>
      </c>
      <c r="V32" s="5396"/>
      <c r="W32" s="5396">
        <v>28</v>
      </c>
      <c r="X32" s="5396"/>
      <c r="Y32" s="5411">
        <v>34</v>
      </c>
      <c r="Z32" s="5463"/>
    </row>
    <row r="33" spans="1:26">
      <c r="A33" s="5464" t="s">
        <v>523</v>
      </c>
      <c r="B33" s="5465"/>
      <c r="C33" s="5466">
        <v>1.75</v>
      </c>
      <c r="D33" s="5467"/>
      <c r="E33" s="5466">
        <v>5.5</v>
      </c>
      <c r="F33" s="5467"/>
      <c r="G33" s="5448"/>
      <c r="H33" s="5449"/>
      <c r="I33" s="5396">
        <v>15</v>
      </c>
      <c r="J33" s="5396"/>
      <c r="K33" s="5396">
        <v>12</v>
      </c>
      <c r="L33" s="5396"/>
      <c r="M33" s="5396">
        <v>19</v>
      </c>
      <c r="N33" s="5396"/>
      <c r="O33" s="5396">
        <v>22</v>
      </c>
      <c r="P33" s="5396"/>
      <c r="Q33" s="5396">
        <v>18</v>
      </c>
      <c r="R33" s="5396"/>
      <c r="S33" s="5396">
        <v>25</v>
      </c>
      <c r="T33" s="5396"/>
      <c r="U33" s="5396">
        <v>38</v>
      </c>
      <c r="V33" s="5396"/>
      <c r="W33" s="5396">
        <v>33</v>
      </c>
      <c r="X33" s="5396"/>
      <c r="Y33" s="5411">
        <v>40</v>
      </c>
      <c r="Z33" s="5463"/>
    </row>
    <row r="34" spans="1:26">
      <c r="A34" s="5464" t="s">
        <v>524</v>
      </c>
      <c r="B34" s="5465"/>
      <c r="C34" s="5446">
        <v>2</v>
      </c>
      <c r="D34" s="5447"/>
      <c r="E34" s="5446">
        <v>6</v>
      </c>
      <c r="F34" s="5447"/>
      <c r="G34" s="5446">
        <v>5</v>
      </c>
      <c r="H34" s="5447"/>
      <c r="I34" s="5396">
        <v>18</v>
      </c>
      <c r="J34" s="5396"/>
      <c r="K34" s="5396">
        <v>14</v>
      </c>
      <c r="L34" s="5396"/>
      <c r="M34" s="5396">
        <v>22</v>
      </c>
      <c r="N34" s="5396"/>
      <c r="O34" s="5396">
        <v>24</v>
      </c>
      <c r="P34" s="5396"/>
      <c r="Q34" s="5396">
        <v>20</v>
      </c>
      <c r="R34" s="5396"/>
      <c r="S34" s="5396">
        <v>28</v>
      </c>
      <c r="T34" s="5396"/>
      <c r="U34" s="5396">
        <v>42</v>
      </c>
      <c r="V34" s="5396"/>
      <c r="W34" s="5396">
        <v>37</v>
      </c>
      <c r="X34" s="5396"/>
      <c r="Y34" s="5411">
        <v>45</v>
      </c>
      <c r="Z34" s="5463"/>
    </row>
    <row r="35" spans="1:26">
      <c r="A35" s="5464" t="s">
        <v>525</v>
      </c>
      <c r="B35" s="5465"/>
      <c r="C35" s="5448"/>
      <c r="D35" s="5449"/>
      <c r="E35" s="5448"/>
      <c r="F35" s="5449"/>
      <c r="G35" s="5450"/>
      <c r="H35" s="5451"/>
      <c r="I35" s="5396">
        <v>20</v>
      </c>
      <c r="J35" s="5396"/>
      <c r="K35" s="5396">
        <v>16</v>
      </c>
      <c r="L35" s="5396"/>
      <c r="M35" s="5396">
        <v>24</v>
      </c>
      <c r="N35" s="5396"/>
      <c r="O35" s="5396">
        <v>26</v>
      </c>
      <c r="P35" s="5396"/>
      <c r="Q35" s="5396">
        <v>22</v>
      </c>
      <c r="R35" s="5396"/>
      <c r="S35" s="5396">
        <v>30</v>
      </c>
      <c r="T35" s="5396"/>
      <c r="U35" s="5396">
        <v>50</v>
      </c>
      <c r="V35" s="5396"/>
      <c r="W35" s="5396">
        <v>42</v>
      </c>
      <c r="X35" s="5396"/>
      <c r="Y35" s="5411">
        <v>50</v>
      </c>
      <c r="Z35" s="5463"/>
    </row>
    <row r="36" spans="1:26">
      <c r="A36" s="5464" t="s">
        <v>526</v>
      </c>
      <c r="B36" s="5465"/>
      <c r="C36" s="5446">
        <v>2.5</v>
      </c>
      <c r="D36" s="5447"/>
      <c r="E36" s="5446">
        <v>7</v>
      </c>
      <c r="F36" s="5447"/>
      <c r="G36" s="5450"/>
      <c r="H36" s="5451"/>
      <c r="I36" s="5396">
        <v>22</v>
      </c>
      <c r="J36" s="5396"/>
      <c r="K36" s="5396">
        <v>18</v>
      </c>
      <c r="L36" s="5396"/>
      <c r="M36" s="5396">
        <v>28</v>
      </c>
      <c r="N36" s="5396"/>
      <c r="O36" s="5396">
        <v>29</v>
      </c>
      <c r="P36" s="5396"/>
      <c r="Q36" s="5396">
        <v>25</v>
      </c>
      <c r="R36" s="5396"/>
      <c r="S36" s="5396">
        <v>35</v>
      </c>
      <c r="T36" s="5396"/>
      <c r="U36" s="5396">
        <v>55</v>
      </c>
      <c r="V36" s="5396"/>
      <c r="W36" s="5396">
        <v>46</v>
      </c>
      <c r="X36" s="5396"/>
      <c r="Y36" s="5411">
        <v>56</v>
      </c>
      <c r="Z36" s="5463"/>
    </row>
    <row r="37" spans="1:26">
      <c r="A37" s="5464" t="s">
        <v>527</v>
      </c>
      <c r="B37" s="5465"/>
      <c r="C37" s="5450"/>
      <c r="D37" s="5451"/>
      <c r="E37" s="5450"/>
      <c r="F37" s="5451"/>
      <c r="G37" s="5450"/>
      <c r="H37" s="5451"/>
      <c r="I37" s="5396">
        <v>24</v>
      </c>
      <c r="J37" s="5396"/>
      <c r="K37" s="5396">
        <v>20</v>
      </c>
      <c r="L37" s="5396"/>
      <c r="M37" s="5396">
        <v>30</v>
      </c>
      <c r="N37" s="5396"/>
      <c r="O37" s="5396">
        <v>32</v>
      </c>
      <c r="P37" s="5396"/>
      <c r="Q37" s="5396">
        <v>28</v>
      </c>
      <c r="R37" s="5396"/>
      <c r="S37" s="5396">
        <v>38</v>
      </c>
      <c r="T37" s="5396"/>
      <c r="U37" s="5396">
        <v>60</v>
      </c>
      <c r="V37" s="5396"/>
      <c r="W37" s="5396">
        <v>52</v>
      </c>
      <c r="X37" s="5396"/>
      <c r="Y37" s="5411">
        <v>62</v>
      </c>
      <c r="Z37" s="5463"/>
    </row>
    <row r="38" spans="1:26">
      <c r="A38" s="5464" t="s">
        <v>528</v>
      </c>
      <c r="B38" s="5465"/>
      <c r="C38" s="5448"/>
      <c r="D38" s="5449"/>
      <c r="E38" s="5448"/>
      <c r="F38" s="5449"/>
      <c r="G38" s="5448"/>
      <c r="H38" s="5449"/>
      <c r="I38" s="5396">
        <v>27</v>
      </c>
      <c r="J38" s="5396"/>
      <c r="K38" s="5396">
        <v>22</v>
      </c>
      <c r="L38" s="5396"/>
      <c r="M38" s="5396">
        <v>32</v>
      </c>
      <c r="N38" s="5396"/>
      <c r="O38" s="5396">
        <v>36</v>
      </c>
      <c r="P38" s="5396"/>
      <c r="Q38" s="5396">
        <v>31</v>
      </c>
      <c r="R38" s="5396"/>
      <c r="S38" s="5396">
        <v>41</v>
      </c>
      <c r="T38" s="5396"/>
      <c r="U38" s="5396">
        <v>65</v>
      </c>
      <c r="V38" s="5396"/>
      <c r="W38" s="5396">
        <v>58</v>
      </c>
      <c r="X38" s="5396"/>
      <c r="Y38" s="5411">
        <v>68</v>
      </c>
      <c r="Z38" s="5463"/>
    </row>
    <row r="39" spans="1:26">
      <c r="A39" s="5464" t="s">
        <v>529</v>
      </c>
      <c r="B39" s="5465"/>
      <c r="C39" s="5446">
        <v>3</v>
      </c>
      <c r="D39" s="5447"/>
      <c r="E39" s="5446">
        <v>8</v>
      </c>
      <c r="F39" s="5447"/>
      <c r="G39" s="5446">
        <v>6</v>
      </c>
      <c r="H39" s="5447"/>
      <c r="I39" s="5396">
        <v>30</v>
      </c>
      <c r="J39" s="5396"/>
      <c r="K39" s="5396">
        <v>24</v>
      </c>
      <c r="L39" s="5396"/>
      <c r="M39" s="5396">
        <v>36</v>
      </c>
      <c r="N39" s="5396"/>
      <c r="O39" s="5396">
        <v>42</v>
      </c>
      <c r="P39" s="5396"/>
      <c r="Q39" s="5396">
        <v>35</v>
      </c>
      <c r="R39" s="5396"/>
      <c r="S39" s="5396">
        <v>47</v>
      </c>
      <c r="T39" s="5396"/>
      <c r="U39" s="5396">
        <v>75</v>
      </c>
      <c r="V39" s="5396"/>
      <c r="W39" s="5396">
        <v>65</v>
      </c>
      <c r="X39" s="5396"/>
      <c r="Y39" s="5411">
        <v>77</v>
      </c>
      <c r="Z39" s="5463"/>
    </row>
    <row r="40" spans="1:26">
      <c r="A40" s="5464" t="s">
        <v>530</v>
      </c>
      <c r="B40" s="5465"/>
      <c r="C40" s="5448"/>
      <c r="D40" s="5449"/>
      <c r="E40" s="5448"/>
      <c r="F40" s="5449"/>
      <c r="G40" s="5448"/>
      <c r="H40" s="5449"/>
      <c r="I40" s="5396">
        <v>32</v>
      </c>
      <c r="J40" s="5396"/>
      <c r="K40" s="5396">
        <v>27</v>
      </c>
      <c r="L40" s="5396"/>
      <c r="M40" s="5396">
        <v>39</v>
      </c>
      <c r="N40" s="5396"/>
      <c r="O40" s="5396">
        <v>45</v>
      </c>
      <c r="P40" s="5396"/>
      <c r="Q40" s="5396">
        <v>38</v>
      </c>
      <c r="R40" s="5396"/>
      <c r="S40" s="5396">
        <v>50</v>
      </c>
      <c r="T40" s="5396"/>
      <c r="U40" s="5396">
        <v>80</v>
      </c>
      <c r="V40" s="5396"/>
      <c r="W40" s="5396">
        <v>70</v>
      </c>
      <c r="X40" s="5396"/>
      <c r="Y40" s="5411">
        <v>82</v>
      </c>
      <c r="Z40" s="5463"/>
    </row>
    <row r="41" spans="1:26">
      <c r="A41" s="5464" t="s">
        <v>531</v>
      </c>
      <c r="B41" s="5465"/>
      <c r="C41" s="5466">
        <v>3.5</v>
      </c>
      <c r="D41" s="5467"/>
      <c r="E41" s="5466">
        <v>9</v>
      </c>
      <c r="F41" s="5467"/>
      <c r="G41" s="5473">
        <v>7</v>
      </c>
      <c r="H41" s="5474"/>
      <c r="I41" s="5396">
        <v>35</v>
      </c>
      <c r="J41" s="5396"/>
      <c r="K41" s="5396">
        <v>30</v>
      </c>
      <c r="L41" s="5396"/>
      <c r="M41" s="5396">
        <v>44</v>
      </c>
      <c r="N41" s="5396"/>
      <c r="O41" s="5396">
        <v>48</v>
      </c>
      <c r="P41" s="5396"/>
      <c r="Q41" s="5396">
        <v>42</v>
      </c>
      <c r="R41" s="5396"/>
      <c r="S41" s="5396">
        <v>56</v>
      </c>
      <c r="T41" s="5396"/>
      <c r="U41" s="5396">
        <v>90</v>
      </c>
      <c r="V41" s="5396"/>
      <c r="W41" s="5396">
        <v>78</v>
      </c>
      <c r="X41" s="5396"/>
      <c r="Y41" s="5411">
        <v>92</v>
      </c>
      <c r="Z41" s="5463"/>
    </row>
    <row r="42" spans="1:26">
      <c r="A42" s="5464" t="s">
        <v>533</v>
      </c>
      <c r="B42" s="5465"/>
      <c r="C42" s="5466">
        <v>4</v>
      </c>
      <c r="D42" s="5467"/>
      <c r="E42" s="5466">
        <v>10</v>
      </c>
      <c r="F42" s="5467"/>
      <c r="G42" s="5452">
        <v>10</v>
      </c>
      <c r="H42" s="5453"/>
      <c r="I42" s="5396">
        <v>42</v>
      </c>
      <c r="J42" s="5396"/>
      <c r="K42" s="5396">
        <v>36</v>
      </c>
      <c r="L42" s="5396"/>
      <c r="M42" s="5396">
        <v>52</v>
      </c>
      <c r="N42" s="5396"/>
      <c r="O42" s="5396">
        <v>56</v>
      </c>
      <c r="P42" s="5396"/>
      <c r="Q42" s="5396">
        <v>50</v>
      </c>
      <c r="R42" s="5396"/>
      <c r="S42" s="5396">
        <v>66</v>
      </c>
      <c r="T42" s="5396"/>
      <c r="U42" s="5396">
        <v>105</v>
      </c>
      <c r="V42" s="5396"/>
      <c r="W42" s="5396">
        <v>90</v>
      </c>
      <c r="X42" s="5396"/>
      <c r="Y42" s="5411">
        <v>106</v>
      </c>
      <c r="Z42" s="5463"/>
    </row>
    <row r="43" spans="1:26">
      <c r="A43" s="5464" t="s">
        <v>3901</v>
      </c>
      <c r="B43" s="5465"/>
      <c r="C43" s="5466">
        <v>4.5</v>
      </c>
      <c r="D43" s="5467"/>
      <c r="E43" s="5466">
        <v>11</v>
      </c>
      <c r="F43" s="5467"/>
      <c r="G43" s="5454"/>
      <c r="H43" s="5455"/>
      <c r="I43" s="5396">
        <v>48</v>
      </c>
      <c r="J43" s="5396"/>
      <c r="K43" s="5396">
        <v>42</v>
      </c>
      <c r="L43" s="5396"/>
      <c r="M43" s="5396">
        <v>60</v>
      </c>
      <c r="N43" s="5396"/>
      <c r="O43" s="5396">
        <v>64</v>
      </c>
      <c r="P43" s="5396"/>
      <c r="Q43" s="5396">
        <v>58</v>
      </c>
      <c r="R43" s="5396"/>
      <c r="S43" s="5396">
        <v>75</v>
      </c>
      <c r="T43" s="5396"/>
      <c r="U43" s="5396">
        <v>115</v>
      </c>
      <c r="V43" s="5396"/>
      <c r="W43" s="5396">
        <v>105</v>
      </c>
      <c r="X43" s="5396"/>
      <c r="Y43" s="5411">
        <v>123</v>
      </c>
      <c r="Z43" s="5463"/>
    </row>
    <row r="44" spans="1:26">
      <c r="A44" s="5464" t="s">
        <v>11876</v>
      </c>
      <c r="B44" s="5465"/>
      <c r="C44" s="5466">
        <v>5</v>
      </c>
      <c r="D44" s="5467"/>
      <c r="E44" s="5466">
        <v>13</v>
      </c>
      <c r="F44" s="5467"/>
      <c r="G44" s="5468">
        <v>12</v>
      </c>
      <c r="H44" s="5469"/>
      <c r="I44" s="5470">
        <v>55</v>
      </c>
      <c r="J44" s="5470"/>
      <c r="K44" s="5470">
        <v>48</v>
      </c>
      <c r="L44" s="5470"/>
      <c r="M44" s="5470">
        <v>68</v>
      </c>
      <c r="N44" s="5470"/>
      <c r="O44" s="5470">
        <v>72</v>
      </c>
      <c r="P44" s="5470"/>
      <c r="Q44" s="5470">
        <v>65</v>
      </c>
      <c r="R44" s="5470"/>
      <c r="S44" s="5470">
        <v>85</v>
      </c>
      <c r="T44" s="5470"/>
      <c r="U44" s="5470">
        <v>130</v>
      </c>
      <c r="V44" s="5470"/>
      <c r="W44" s="5470">
        <v>120</v>
      </c>
      <c r="X44" s="5470"/>
      <c r="Y44" s="5471">
        <v>140</v>
      </c>
      <c r="Z44" s="5472"/>
    </row>
    <row r="45" spans="1:26" ht="13.5" customHeight="1">
      <c r="A45" s="5456" t="s">
        <v>11877</v>
      </c>
      <c r="B45" s="5457"/>
      <c r="C45" s="5457"/>
      <c r="D45" s="5457"/>
      <c r="E45" s="5457"/>
      <c r="F45" s="5457"/>
      <c r="G45" s="5457"/>
      <c r="H45" s="5457"/>
      <c r="I45" s="5457"/>
      <c r="J45" s="5457"/>
      <c r="K45" s="5457"/>
      <c r="L45" s="5457"/>
      <c r="M45" s="5457"/>
      <c r="N45" s="5457"/>
      <c r="O45" s="5457"/>
      <c r="P45" s="5457"/>
      <c r="Q45" s="5457"/>
      <c r="R45" s="5457"/>
      <c r="S45" s="5457"/>
      <c r="T45" s="5457"/>
      <c r="U45" s="5457"/>
      <c r="V45" s="5457"/>
      <c r="W45" s="5457"/>
      <c r="X45" s="5457"/>
      <c r="Y45" s="5457"/>
      <c r="Z45" s="5458"/>
    </row>
    <row r="46" spans="1:26" ht="13.5" customHeight="1">
      <c r="A46" s="5459"/>
      <c r="B46" s="5457"/>
      <c r="C46" s="5457"/>
      <c r="D46" s="5457"/>
      <c r="E46" s="5457"/>
      <c r="F46" s="5457"/>
      <c r="G46" s="5457"/>
      <c r="H46" s="5457"/>
      <c r="I46" s="5457"/>
      <c r="J46" s="5457"/>
      <c r="K46" s="5457"/>
      <c r="L46" s="5457"/>
      <c r="M46" s="5457"/>
      <c r="N46" s="5457"/>
      <c r="O46" s="5457"/>
      <c r="P46" s="5457"/>
      <c r="Q46" s="5457"/>
      <c r="R46" s="5457"/>
      <c r="S46" s="5457"/>
      <c r="T46" s="5457"/>
      <c r="U46" s="5457"/>
      <c r="V46" s="5457"/>
      <c r="W46" s="5457"/>
      <c r="X46" s="5457"/>
      <c r="Y46" s="5457"/>
      <c r="Z46" s="5458"/>
    </row>
    <row r="47" spans="1:26" ht="13.5" customHeight="1">
      <c r="A47" s="5459"/>
      <c r="B47" s="5457"/>
      <c r="C47" s="5457"/>
      <c r="D47" s="5457"/>
      <c r="E47" s="5457"/>
      <c r="F47" s="5457"/>
      <c r="G47" s="5457"/>
      <c r="H47" s="5457"/>
      <c r="I47" s="5457"/>
      <c r="J47" s="5457"/>
      <c r="K47" s="5457"/>
      <c r="L47" s="5457"/>
      <c r="M47" s="5457"/>
      <c r="N47" s="5457"/>
      <c r="O47" s="5457"/>
      <c r="P47" s="5457"/>
      <c r="Q47" s="5457"/>
      <c r="R47" s="5457"/>
      <c r="S47" s="5457"/>
      <c r="T47" s="5457"/>
      <c r="U47" s="5457"/>
      <c r="V47" s="5457"/>
      <c r="W47" s="5457"/>
      <c r="X47" s="5457"/>
      <c r="Y47" s="5457"/>
      <c r="Z47" s="5458"/>
    </row>
    <row r="48" spans="1:26" ht="13.5" customHeight="1">
      <c r="A48" s="5460"/>
      <c r="B48" s="5461"/>
      <c r="C48" s="5461"/>
      <c r="D48" s="5461"/>
      <c r="E48" s="5461"/>
      <c r="F48" s="5461"/>
      <c r="G48" s="5461"/>
      <c r="H48" s="5461"/>
      <c r="I48" s="5461"/>
      <c r="J48" s="5461"/>
      <c r="K48" s="5461"/>
      <c r="L48" s="5461"/>
      <c r="M48" s="5461"/>
      <c r="N48" s="5461"/>
      <c r="O48" s="5461"/>
      <c r="P48" s="5461"/>
      <c r="Q48" s="5461"/>
      <c r="R48" s="5461"/>
      <c r="S48" s="5461"/>
      <c r="T48" s="5461"/>
      <c r="U48" s="5461"/>
      <c r="V48" s="5461"/>
      <c r="W48" s="5461"/>
      <c r="X48" s="5461"/>
      <c r="Y48" s="5461"/>
      <c r="Z48" s="5462"/>
    </row>
    <row r="49" spans="1:26">
      <c r="A49" s="5430" t="s">
        <v>11861</v>
      </c>
      <c r="B49" s="5346"/>
      <c r="C49" s="5346"/>
      <c r="D49" s="5346"/>
      <c r="E49" s="5346"/>
      <c r="F49" s="5346"/>
      <c r="G49" s="5346"/>
      <c r="H49" s="5346" t="s">
        <v>11862</v>
      </c>
      <c r="I49" s="5346"/>
      <c r="J49" s="5346"/>
      <c r="K49" s="5346" t="s">
        <v>11863</v>
      </c>
      <c r="L49" s="5346"/>
      <c r="M49" s="5346"/>
      <c r="N49" s="5346"/>
      <c r="O49" s="5346"/>
      <c r="P49" s="5346"/>
      <c r="Q49" s="5346"/>
      <c r="R49" s="5346"/>
      <c r="S49" s="5346"/>
      <c r="T49" s="5346"/>
      <c r="U49" s="5346" t="s">
        <v>11864</v>
      </c>
      <c r="V49" s="5346"/>
      <c r="W49" s="5346"/>
      <c r="X49" s="5346"/>
      <c r="Y49" s="5346"/>
      <c r="Z49" s="5431"/>
    </row>
    <row r="50" spans="1:26">
      <c r="A50" s="5349" t="s">
        <v>11878</v>
      </c>
      <c r="B50" s="5350"/>
      <c r="C50" s="5350"/>
      <c r="D50" s="5350"/>
      <c r="E50" s="5350"/>
      <c r="F50" s="5350"/>
      <c r="G50" s="5351"/>
      <c r="H50" s="5355"/>
      <c r="I50" s="5355"/>
      <c r="J50" s="5355"/>
      <c r="K50" s="5355" t="s">
        <v>11866</v>
      </c>
      <c r="L50" s="5355"/>
      <c r="M50" s="5355" t="s">
        <v>961</v>
      </c>
      <c r="N50" s="5355"/>
      <c r="O50" s="5355" t="s">
        <v>962</v>
      </c>
      <c r="P50" s="5355"/>
      <c r="Q50" s="5355" t="s">
        <v>1957</v>
      </c>
      <c r="R50" s="5355"/>
      <c r="S50" s="5355" t="s">
        <v>2524</v>
      </c>
      <c r="T50" s="5355"/>
      <c r="U50" s="5355"/>
      <c r="V50" s="5355"/>
      <c r="W50" s="5355"/>
      <c r="X50" s="5355"/>
      <c r="Y50" s="5355"/>
      <c r="Z50" s="5356"/>
    </row>
    <row r="51" spans="1:26">
      <c r="A51" s="5352"/>
      <c r="B51" s="5353"/>
      <c r="C51" s="5353"/>
      <c r="D51" s="5353"/>
      <c r="E51" s="5353"/>
      <c r="F51" s="5353"/>
      <c r="G51" s="5354"/>
      <c r="H51" s="5348"/>
      <c r="I51" s="5348"/>
      <c r="J51" s="5348"/>
      <c r="K51" s="5348" t="s">
        <v>11867</v>
      </c>
      <c r="L51" s="5348"/>
      <c r="M51" s="5348"/>
      <c r="N51" s="5348"/>
      <c r="O51" s="5348"/>
      <c r="P51" s="5348"/>
      <c r="Q51" s="5348"/>
      <c r="R51" s="5348"/>
      <c r="S51" s="5348"/>
      <c r="T51" s="5348"/>
      <c r="U51" s="5348"/>
      <c r="V51" s="5348"/>
      <c r="W51" s="5348"/>
      <c r="X51" s="5348"/>
      <c r="Y51" s="5348"/>
      <c r="Z51" s="5357"/>
    </row>
    <row r="52" spans="1:26">
      <c r="A52" s="1800"/>
      <c r="B52" s="1800"/>
      <c r="C52" s="1800"/>
      <c r="D52" s="1800"/>
      <c r="E52" s="1800"/>
      <c r="F52" s="1800"/>
      <c r="G52" s="1800"/>
      <c r="H52" s="1800"/>
      <c r="I52" s="1800"/>
      <c r="J52" s="1800"/>
      <c r="K52" s="1800"/>
      <c r="L52" s="1800"/>
      <c r="M52" s="1800"/>
      <c r="N52" s="1800"/>
      <c r="O52" s="1800"/>
      <c r="P52" s="1800"/>
      <c r="Q52" s="1800"/>
      <c r="R52" s="1800"/>
      <c r="S52" s="1800"/>
      <c r="T52" s="1800"/>
      <c r="U52" s="1800"/>
      <c r="V52" s="1800"/>
      <c r="W52" s="1800"/>
      <c r="X52" s="1800"/>
      <c r="Y52" s="1800"/>
      <c r="Z52" s="1800"/>
    </row>
    <row r="53" spans="1:26">
      <c r="A53" s="1800"/>
      <c r="B53" s="1800"/>
      <c r="C53" s="1800"/>
      <c r="D53" s="1800"/>
      <c r="E53" s="1800"/>
      <c r="F53" s="1800"/>
      <c r="G53" s="1800"/>
      <c r="H53" s="1800"/>
      <c r="I53" s="1800"/>
      <c r="J53" s="1800"/>
      <c r="K53" s="1800"/>
      <c r="L53" s="1800"/>
      <c r="M53" s="1800"/>
      <c r="N53" s="1800"/>
      <c r="O53" s="1800"/>
      <c r="P53" s="1800"/>
      <c r="Q53" s="1800"/>
      <c r="R53" s="1800"/>
      <c r="S53" s="1800"/>
      <c r="T53" s="1800"/>
      <c r="U53" s="1800"/>
      <c r="V53" s="1800"/>
      <c r="W53" s="1800"/>
      <c r="X53" s="1800"/>
      <c r="Y53" s="1800"/>
      <c r="Z53" s="1800"/>
    </row>
    <row r="54" spans="1:26">
      <c r="A54" s="1800"/>
      <c r="B54" s="1800"/>
      <c r="C54" s="1800"/>
      <c r="D54" s="1800"/>
      <c r="E54" s="1800"/>
      <c r="F54" s="1800"/>
      <c r="G54" s="1800"/>
      <c r="H54" s="1800"/>
      <c r="I54" s="1800"/>
      <c r="J54" s="1800"/>
      <c r="K54" s="1800"/>
      <c r="L54" s="1800"/>
      <c r="M54" s="1800"/>
      <c r="N54" s="1800"/>
      <c r="O54" s="1800"/>
      <c r="P54" s="1800"/>
      <c r="Q54" s="1800"/>
      <c r="R54" s="1800"/>
      <c r="S54" s="1800"/>
      <c r="T54" s="1800"/>
      <c r="U54" s="1800"/>
      <c r="V54" s="1800"/>
      <c r="W54" s="1800"/>
      <c r="X54" s="1800"/>
      <c r="Y54" s="1800"/>
      <c r="Z54" s="1800"/>
    </row>
    <row r="55" spans="1:26">
      <c r="A55" s="1800"/>
      <c r="B55" s="1800"/>
      <c r="C55" s="1800"/>
      <c r="D55" s="1800"/>
      <c r="E55" s="1800"/>
      <c r="F55" s="1800"/>
      <c r="G55" s="1800"/>
      <c r="H55" s="1800"/>
      <c r="I55" s="1800"/>
      <c r="J55" s="1800"/>
      <c r="K55" s="1800"/>
      <c r="L55" s="1800"/>
      <c r="M55" s="1800"/>
      <c r="N55" s="1800"/>
      <c r="O55" s="1800"/>
      <c r="P55" s="1800"/>
      <c r="Q55" s="1800"/>
      <c r="R55" s="1800"/>
      <c r="S55" s="1800"/>
      <c r="T55" s="1800"/>
      <c r="U55" s="1800"/>
      <c r="V55" s="1800"/>
      <c r="W55" s="1800"/>
      <c r="X55" s="1800"/>
      <c r="Y55" s="1800"/>
      <c r="Z55" s="1800"/>
    </row>
    <row r="56" spans="1:26">
      <c r="A56" s="1800"/>
      <c r="B56" s="1800"/>
      <c r="C56" s="1800"/>
      <c r="D56" s="1800"/>
      <c r="E56" s="1800"/>
      <c r="F56" s="1800"/>
      <c r="G56" s="1800"/>
      <c r="H56" s="1800"/>
      <c r="I56" s="1800"/>
      <c r="J56" s="1800"/>
      <c r="K56" s="1800"/>
      <c r="L56" s="1800"/>
      <c r="M56" s="1800"/>
      <c r="N56" s="1800"/>
      <c r="O56" s="1800"/>
      <c r="P56" s="1800"/>
      <c r="Q56" s="1800"/>
      <c r="R56" s="1800"/>
      <c r="S56" s="1800"/>
      <c r="T56" s="1800"/>
      <c r="U56" s="1800"/>
      <c r="V56" s="1800"/>
      <c r="W56" s="1800"/>
      <c r="X56" s="1800"/>
      <c r="Y56" s="1800"/>
      <c r="Z56" s="1800"/>
    </row>
    <row r="57" spans="1:26">
      <c r="A57" s="1800"/>
      <c r="B57" s="1800"/>
      <c r="C57" s="1800"/>
      <c r="D57" s="1800"/>
      <c r="E57" s="1800"/>
      <c r="F57" s="1800"/>
      <c r="G57" s="1800"/>
      <c r="H57" s="1800"/>
      <c r="I57" s="1800"/>
      <c r="J57" s="1800"/>
      <c r="K57" s="1800"/>
      <c r="L57" s="1800"/>
      <c r="M57" s="1800"/>
      <c r="N57" s="1800"/>
      <c r="O57" s="1800"/>
      <c r="P57" s="1800"/>
      <c r="Q57" s="1800"/>
      <c r="R57" s="1800"/>
      <c r="S57" s="1800"/>
      <c r="T57" s="1800"/>
      <c r="U57" s="1800"/>
      <c r="V57" s="1800"/>
      <c r="W57" s="1800"/>
      <c r="X57" s="1800"/>
      <c r="Y57" s="1800"/>
      <c r="Z57" s="1800"/>
    </row>
    <row r="58" spans="1:26">
      <c r="A58" s="1800"/>
      <c r="B58" s="1800"/>
      <c r="C58" s="1800"/>
      <c r="D58" s="1800"/>
      <c r="E58" s="1800"/>
      <c r="F58" s="1800"/>
      <c r="G58" s="1800"/>
      <c r="H58" s="1800"/>
      <c r="I58" s="1800"/>
      <c r="J58" s="1800"/>
      <c r="K58" s="1800"/>
      <c r="L58" s="1800"/>
      <c r="M58" s="1800"/>
      <c r="N58" s="1800"/>
      <c r="O58" s="1800"/>
      <c r="P58" s="1800"/>
      <c r="Q58" s="1800"/>
      <c r="R58" s="1800"/>
      <c r="S58" s="1800"/>
      <c r="T58" s="1800"/>
      <c r="U58" s="1800"/>
      <c r="V58" s="1800"/>
      <c r="W58" s="1800"/>
      <c r="X58" s="1800"/>
      <c r="Y58" s="1800"/>
      <c r="Z58" s="1800"/>
    </row>
    <row r="59" spans="1:26">
      <c r="A59" s="1800"/>
      <c r="B59" s="1800"/>
      <c r="C59" s="1800"/>
      <c r="D59" s="1800"/>
      <c r="E59" s="1800"/>
      <c r="F59" s="1800"/>
      <c r="G59" s="1800"/>
      <c r="H59" s="1800"/>
      <c r="I59" s="1800"/>
      <c r="J59" s="1800"/>
      <c r="K59" s="1800"/>
      <c r="L59" s="1800"/>
      <c r="M59" s="1800"/>
      <c r="N59" s="1800"/>
      <c r="O59" s="1800"/>
      <c r="P59" s="1800"/>
      <c r="Q59" s="1800"/>
      <c r="R59" s="1800"/>
      <c r="S59" s="1800"/>
      <c r="T59" s="1800"/>
      <c r="U59" s="1800"/>
      <c r="V59" s="1800"/>
      <c r="W59" s="1800"/>
      <c r="X59" s="1800"/>
      <c r="Y59" s="1800"/>
      <c r="Z59" s="1800"/>
    </row>
    <row r="60" spans="1:26">
      <c r="A60" s="1800"/>
      <c r="B60" s="1800"/>
      <c r="C60" s="1800"/>
      <c r="D60" s="1800"/>
      <c r="E60" s="1800"/>
      <c r="F60" s="1800"/>
      <c r="G60" s="1800"/>
      <c r="H60" s="1800"/>
      <c r="I60" s="1800"/>
      <c r="J60" s="1800"/>
      <c r="K60" s="1800"/>
      <c r="L60" s="1800"/>
      <c r="M60" s="1800"/>
      <c r="N60" s="1800"/>
      <c r="O60" s="1800"/>
      <c r="P60" s="1800"/>
      <c r="Q60" s="1800"/>
      <c r="R60" s="1800"/>
      <c r="S60" s="1800"/>
      <c r="T60" s="1800"/>
      <c r="U60" s="1800"/>
      <c r="V60" s="1800"/>
      <c r="W60" s="1800"/>
      <c r="X60" s="1800"/>
      <c r="Y60" s="1800"/>
      <c r="Z60" s="1800"/>
    </row>
    <row r="61" spans="1:26">
      <c r="A61" s="1800"/>
      <c r="B61" s="1800"/>
      <c r="C61" s="1800"/>
      <c r="D61" s="1800"/>
      <c r="E61" s="1800"/>
      <c r="F61" s="1800"/>
      <c r="G61" s="1800"/>
      <c r="H61" s="1800"/>
      <c r="I61" s="1800"/>
      <c r="J61" s="1800"/>
      <c r="K61" s="1800"/>
      <c r="L61" s="1800"/>
      <c r="M61" s="1800"/>
      <c r="N61" s="1800"/>
      <c r="O61" s="1800"/>
      <c r="P61" s="1800"/>
      <c r="Q61" s="1800"/>
      <c r="R61" s="1800"/>
      <c r="S61" s="1800"/>
      <c r="T61" s="1800"/>
      <c r="U61" s="1800"/>
      <c r="V61" s="1800"/>
      <c r="W61" s="1800"/>
      <c r="X61" s="1800"/>
      <c r="Y61" s="1800"/>
      <c r="Z61" s="1800"/>
    </row>
    <row r="62" spans="1:26">
      <c r="A62" s="1800"/>
      <c r="B62" s="1800"/>
      <c r="C62" s="1800"/>
      <c r="D62" s="1800"/>
      <c r="E62" s="1800"/>
      <c r="F62" s="1800"/>
      <c r="G62" s="1800"/>
      <c r="H62" s="1800"/>
      <c r="I62" s="1800"/>
      <c r="J62" s="1800"/>
      <c r="K62" s="1800"/>
      <c r="L62" s="1800"/>
      <c r="M62" s="1800"/>
      <c r="N62" s="1800"/>
      <c r="O62" s="1800"/>
      <c r="P62" s="1800"/>
      <c r="Q62" s="1800"/>
      <c r="R62" s="1800"/>
      <c r="S62" s="1800"/>
      <c r="T62" s="1800"/>
      <c r="U62" s="1800"/>
      <c r="V62" s="1800"/>
      <c r="W62" s="1800"/>
      <c r="X62" s="1800"/>
      <c r="Y62" s="1800"/>
      <c r="Z62" s="1800"/>
    </row>
    <row r="63" spans="1:26">
      <c r="A63" s="1800"/>
      <c r="B63" s="1800"/>
      <c r="C63" s="1800"/>
      <c r="D63" s="1800"/>
      <c r="E63" s="1800"/>
      <c r="F63" s="1800"/>
      <c r="G63" s="1800"/>
      <c r="H63" s="1800"/>
      <c r="I63" s="1800"/>
      <c r="J63" s="1800"/>
      <c r="K63" s="1800"/>
      <c r="L63" s="1800"/>
      <c r="M63" s="1800"/>
      <c r="N63" s="1800"/>
      <c r="O63" s="1800"/>
      <c r="P63" s="1800"/>
      <c r="Q63" s="1800"/>
      <c r="R63" s="1800"/>
      <c r="S63" s="1800"/>
      <c r="T63" s="1800"/>
      <c r="U63" s="1800"/>
      <c r="V63" s="1800"/>
      <c r="W63" s="1800"/>
      <c r="X63" s="1800"/>
      <c r="Y63" s="1800"/>
      <c r="Z63" s="1800"/>
    </row>
    <row r="64" spans="1:26">
      <c r="A64" s="1800"/>
      <c r="B64" s="1800"/>
      <c r="C64" s="1800"/>
      <c r="D64" s="1800"/>
      <c r="E64" s="1800"/>
      <c r="F64" s="1800"/>
      <c r="G64" s="1800"/>
      <c r="H64" s="1800"/>
      <c r="I64" s="1800"/>
      <c r="J64" s="1800"/>
      <c r="K64" s="1800"/>
      <c r="L64" s="1800"/>
      <c r="M64" s="1800"/>
      <c r="N64" s="1800"/>
      <c r="O64" s="1800"/>
      <c r="P64" s="1800"/>
      <c r="Q64" s="1800"/>
      <c r="R64" s="1800"/>
      <c r="S64" s="1800"/>
      <c r="T64" s="1800"/>
      <c r="U64" s="1800"/>
      <c r="V64" s="1800"/>
      <c r="W64" s="1800"/>
      <c r="X64" s="1800"/>
      <c r="Y64" s="1800"/>
      <c r="Z64" s="1800"/>
    </row>
    <row r="65" spans="1:26">
      <c r="A65" s="1800"/>
      <c r="B65" s="1800"/>
      <c r="C65" s="1800"/>
      <c r="D65" s="1800"/>
      <c r="E65" s="1800"/>
      <c r="F65" s="1800"/>
      <c r="G65" s="1800"/>
      <c r="H65" s="1800"/>
      <c r="I65" s="1800"/>
      <c r="J65" s="1800"/>
      <c r="K65" s="1800"/>
      <c r="L65" s="1800"/>
      <c r="M65" s="1800"/>
      <c r="N65" s="1800"/>
      <c r="O65" s="1800"/>
      <c r="P65" s="1800"/>
      <c r="Q65" s="1800"/>
      <c r="R65" s="1800"/>
      <c r="S65" s="1800"/>
      <c r="T65" s="1800"/>
      <c r="U65" s="1800"/>
      <c r="V65" s="1800"/>
      <c r="W65" s="1800"/>
      <c r="X65" s="1800"/>
      <c r="Y65" s="1800"/>
      <c r="Z65" s="1800"/>
    </row>
    <row r="66" spans="1:26">
      <c r="A66" s="1800"/>
      <c r="B66" s="1800"/>
      <c r="C66" s="1800"/>
      <c r="D66" s="1800"/>
      <c r="E66" s="1800"/>
      <c r="F66" s="1800"/>
      <c r="G66" s="1800"/>
      <c r="H66" s="1800"/>
      <c r="I66" s="1800"/>
      <c r="J66" s="1800"/>
      <c r="K66" s="1800"/>
      <c r="L66" s="1800"/>
      <c r="M66" s="1800"/>
      <c r="N66" s="1800"/>
      <c r="O66" s="1800"/>
      <c r="P66" s="1800"/>
      <c r="Q66" s="1800"/>
      <c r="R66" s="1800"/>
      <c r="S66" s="1800"/>
      <c r="T66" s="1800"/>
      <c r="U66" s="1800"/>
      <c r="V66" s="1800"/>
      <c r="W66" s="1800"/>
      <c r="X66" s="1800"/>
      <c r="Y66" s="1800"/>
      <c r="Z66" s="1800"/>
    </row>
    <row r="67" spans="1:26">
      <c r="A67" s="1800"/>
      <c r="B67" s="1800"/>
      <c r="C67" s="1800"/>
      <c r="D67" s="1800"/>
      <c r="E67" s="1800"/>
      <c r="F67" s="1800"/>
      <c r="G67" s="1800"/>
      <c r="H67" s="1800"/>
      <c r="I67" s="1800"/>
      <c r="J67" s="1800"/>
      <c r="K67" s="1800"/>
      <c r="L67" s="1800"/>
      <c r="M67" s="1800"/>
      <c r="N67" s="1800"/>
      <c r="O67" s="1800"/>
      <c r="P67" s="1800"/>
      <c r="Q67" s="1800"/>
      <c r="R67" s="1800"/>
      <c r="S67" s="1800"/>
      <c r="T67" s="1800"/>
      <c r="U67" s="1800"/>
      <c r="V67" s="1800"/>
      <c r="W67" s="1800"/>
      <c r="X67" s="1800"/>
      <c r="Y67" s="1800"/>
      <c r="Z67" s="1800"/>
    </row>
    <row r="68" spans="1:26">
      <c r="A68" s="1800"/>
      <c r="B68" s="1800"/>
      <c r="C68" s="1800"/>
      <c r="D68" s="1800"/>
      <c r="E68" s="1800"/>
      <c r="F68" s="1800"/>
      <c r="G68" s="1800"/>
      <c r="H68" s="1800"/>
      <c r="I68" s="1800"/>
      <c r="J68" s="1800"/>
      <c r="K68" s="1800"/>
      <c r="L68" s="1800"/>
      <c r="M68" s="1800"/>
      <c r="N68" s="1800"/>
      <c r="O68" s="1800"/>
      <c r="P68" s="1800"/>
      <c r="Q68" s="1800"/>
      <c r="R68" s="1800"/>
      <c r="S68" s="1800"/>
      <c r="T68" s="1800"/>
      <c r="U68" s="1800"/>
      <c r="V68" s="1800"/>
      <c r="W68" s="1800"/>
      <c r="X68" s="1800"/>
      <c r="Y68" s="1800"/>
      <c r="Z68" s="1800"/>
    </row>
    <row r="69" spans="1:26">
      <c r="A69" s="1800"/>
      <c r="B69" s="1800"/>
      <c r="C69" s="1800"/>
      <c r="D69" s="1800"/>
      <c r="E69" s="1800"/>
      <c r="F69" s="1800"/>
      <c r="G69" s="1800"/>
      <c r="H69" s="1800"/>
      <c r="I69" s="1800"/>
      <c r="J69" s="1800"/>
      <c r="K69" s="1800"/>
      <c r="L69" s="1800"/>
      <c r="M69" s="1800"/>
      <c r="N69" s="1800"/>
      <c r="O69" s="1800"/>
      <c r="P69" s="1800"/>
      <c r="Q69" s="1800"/>
      <c r="R69" s="1800"/>
      <c r="S69" s="1800"/>
      <c r="T69" s="1800"/>
      <c r="U69" s="1800"/>
      <c r="V69" s="1800"/>
      <c r="W69" s="1800"/>
      <c r="X69" s="1800"/>
      <c r="Y69" s="1800"/>
      <c r="Z69" s="1800"/>
    </row>
    <row r="70" spans="1:26">
      <c r="A70" s="1800"/>
      <c r="B70" s="1800"/>
      <c r="C70" s="1800"/>
      <c r="D70" s="1800"/>
      <c r="E70" s="1800"/>
      <c r="F70" s="1800"/>
      <c r="G70" s="1800"/>
      <c r="H70" s="1800"/>
      <c r="I70" s="1800"/>
      <c r="J70" s="1800"/>
      <c r="K70" s="1800"/>
      <c r="L70" s="1800"/>
      <c r="M70" s="1800"/>
      <c r="N70" s="1800"/>
      <c r="O70" s="1800"/>
      <c r="P70" s="1800"/>
      <c r="Q70" s="1800"/>
      <c r="R70" s="1800"/>
      <c r="S70" s="1800"/>
      <c r="T70" s="1800"/>
      <c r="U70" s="1800"/>
      <c r="V70" s="1800"/>
      <c r="W70" s="1800"/>
      <c r="X70" s="1800"/>
      <c r="Y70" s="1800"/>
      <c r="Z70" s="1800"/>
    </row>
    <row r="71" spans="1:26">
      <c r="A71" s="1800"/>
      <c r="B71" s="1800"/>
      <c r="C71" s="1800"/>
      <c r="D71" s="1800"/>
      <c r="E71" s="1800"/>
      <c r="F71" s="1800"/>
      <c r="G71" s="1800"/>
      <c r="H71" s="1800"/>
      <c r="I71" s="1800"/>
      <c r="J71" s="1800"/>
      <c r="K71" s="1800"/>
      <c r="L71" s="1800"/>
      <c r="M71" s="1800"/>
      <c r="N71" s="1800"/>
      <c r="O71" s="1800"/>
      <c r="P71" s="1800"/>
      <c r="Q71" s="1800"/>
      <c r="R71" s="1800"/>
      <c r="S71" s="1800"/>
      <c r="T71" s="1800"/>
      <c r="U71" s="1800"/>
      <c r="V71" s="1800"/>
      <c r="W71" s="1800"/>
      <c r="X71" s="1800"/>
      <c r="Y71" s="1800"/>
      <c r="Z71" s="1800"/>
    </row>
    <row r="72" spans="1:26">
      <c r="A72" s="1800"/>
      <c r="B72" s="1800"/>
      <c r="C72" s="1800"/>
      <c r="D72" s="1800"/>
      <c r="E72" s="1800"/>
      <c r="F72" s="1800"/>
      <c r="G72" s="1800"/>
      <c r="H72" s="1800"/>
      <c r="I72" s="1800"/>
      <c r="J72" s="1800"/>
      <c r="K72" s="1800"/>
      <c r="L72" s="1800"/>
      <c r="M72" s="1800"/>
      <c r="N72" s="1800"/>
      <c r="O72" s="1800"/>
      <c r="P72" s="1800"/>
      <c r="Q72" s="1800"/>
      <c r="R72" s="1800"/>
      <c r="S72" s="1800"/>
      <c r="T72" s="1800"/>
      <c r="U72" s="1800"/>
      <c r="V72" s="1800"/>
      <c r="W72" s="1800"/>
      <c r="X72" s="1800"/>
      <c r="Y72" s="1800"/>
      <c r="Z72" s="1800"/>
    </row>
    <row r="73" spans="1:26">
      <c r="A73" s="1800"/>
      <c r="B73" s="1800"/>
      <c r="C73" s="1800"/>
      <c r="D73" s="1800"/>
      <c r="E73" s="1800"/>
      <c r="F73" s="1800"/>
      <c r="G73" s="1800"/>
      <c r="H73" s="1800"/>
      <c r="I73" s="1800"/>
      <c r="J73" s="1800"/>
      <c r="K73" s="1800"/>
      <c r="L73" s="1800"/>
      <c r="M73" s="1800"/>
      <c r="N73" s="1800"/>
      <c r="O73" s="1800"/>
      <c r="P73" s="1800"/>
      <c r="Q73" s="1800"/>
      <c r="R73" s="1800"/>
      <c r="S73" s="1800"/>
      <c r="T73" s="1800"/>
      <c r="U73" s="1800"/>
      <c r="V73" s="1800"/>
      <c r="W73" s="1800"/>
      <c r="X73" s="1800"/>
      <c r="Y73" s="1800"/>
      <c r="Z73" s="1800"/>
    </row>
    <row r="74" spans="1:26">
      <c r="A74" s="1800"/>
      <c r="B74" s="1800"/>
      <c r="C74" s="1800"/>
      <c r="D74" s="1800"/>
      <c r="E74" s="1800"/>
      <c r="F74" s="1800"/>
      <c r="G74" s="1800"/>
      <c r="H74" s="1800"/>
      <c r="I74" s="1800"/>
      <c r="J74" s="1800"/>
      <c r="K74" s="1800"/>
      <c r="L74" s="1800"/>
      <c r="M74" s="1800"/>
      <c r="N74" s="1800"/>
      <c r="O74" s="1800"/>
      <c r="P74" s="1800"/>
      <c r="Q74" s="1800"/>
      <c r="R74" s="1800"/>
      <c r="S74" s="1800"/>
      <c r="T74" s="1800"/>
      <c r="U74" s="1800"/>
      <c r="V74" s="1800"/>
      <c r="W74" s="1800"/>
      <c r="X74" s="1800"/>
      <c r="Y74" s="1800"/>
      <c r="Z74" s="1800"/>
    </row>
    <row r="75" spans="1:26">
      <c r="A75" s="1800"/>
      <c r="B75" s="1800"/>
      <c r="C75" s="1800"/>
      <c r="D75" s="1800"/>
      <c r="E75" s="1800"/>
      <c r="F75" s="1800"/>
      <c r="G75" s="1800"/>
      <c r="H75" s="1800"/>
      <c r="I75" s="1800"/>
      <c r="J75" s="1800"/>
      <c r="K75" s="1800"/>
      <c r="L75" s="1800"/>
      <c r="M75" s="1800"/>
      <c r="N75" s="1800"/>
      <c r="O75" s="1800"/>
      <c r="P75" s="1800"/>
      <c r="Q75" s="1800"/>
      <c r="R75" s="1800"/>
      <c r="S75" s="1800"/>
      <c r="T75" s="1800"/>
      <c r="U75" s="1800"/>
      <c r="V75" s="1800"/>
      <c r="W75" s="1800"/>
      <c r="X75" s="1800"/>
      <c r="Y75" s="1800"/>
      <c r="Z75" s="1800"/>
    </row>
    <row r="76" spans="1:26">
      <c r="A76" s="1800"/>
      <c r="B76" s="1800"/>
      <c r="C76" s="1800"/>
      <c r="D76" s="1800"/>
      <c r="E76" s="1800"/>
      <c r="F76" s="1800"/>
      <c r="G76" s="1800"/>
      <c r="H76" s="1800"/>
      <c r="I76" s="1800"/>
      <c r="J76" s="1800"/>
      <c r="K76" s="1800"/>
      <c r="L76" s="1800"/>
      <c r="M76" s="1800"/>
      <c r="N76" s="1800"/>
      <c r="O76" s="1800"/>
      <c r="P76" s="1800"/>
      <c r="Q76" s="1800"/>
      <c r="R76" s="1800"/>
      <c r="S76" s="1800"/>
      <c r="T76" s="1800"/>
      <c r="U76" s="1800"/>
      <c r="V76" s="1800"/>
      <c r="W76" s="1800"/>
      <c r="X76" s="1800"/>
      <c r="Y76" s="1800"/>
      <c r="Z76" s="1800"/>
    </row>
    <row r="77" spans="1:26">
      <c r="A77" s="1800"/>
      <c r="B77" s="1800"/>
      <c r="C77" s="1800"/>
      <c r="D77" s="1800"/>
      <c r="E77" s="1800"/>
      <c r="F77" s="1800"/>
      <c r="G77" s="1800"/>
      <c r="H77" s="1800"/>
      <c r="I77" s="1800"/>
      <c r="J77" s="1800"/>
      <c r="K77" s="1800"/>
      <c r="L77" s="1800"/>
      <c r="M77" s="1800"/>
      <c r="N77" s="1800"/>
      <c r="O77" s="1800"/>
      <c r="P77" s="1800"/>
      <c r="Q77" s="1800"/>
      <c r="R77" s="1800"/>
      <c r="S77" s="1800"/>
      <c r="T77" s="1800"/>
      <c r="U77" s="1800"/>
      <c r="V77" s="1800"/>
      <c r="W77" s="1800"/>
      <c r="X77" s="1800"/>
      <c r="Y77" s="1800"/>
      <c r="Z77" s="1800"/>
    </row>
    <row r="78" spans="1:26">
      <c r="A78" s="1800"/>
      <c r="B78" s="1800"/>
      <c r="C78" s="1800"/>
      <c r="D78" s="1800"/>
      <c r="E78" s="1800"/>
      <c r="F78" s="1800"/>
      <c r="G78" s="1800"/>
      <c r="H78" s="1800"/>
      <c r="I78" s="1800"/>
      <c r="J78" s="1800"/>
      <c r="K78" s="1800"/>
      <c r="L78" s="1800"/>
      <c r="M78" s="1800"/>
      <c r="N78" s="1800"/>
      <c r="O78" s="1800"/>
      <c r="P78" s="1800"/>
      <c r="Q78" s="1800"/>
      <c r="R78" s="1800"/>
      <c r="S78" s="1800"/>
      <c r="T78" s="1800"/>
      <c r="U78" s="1800"/>
      <c r="V78" s="1800"/>
      <c r="W78" s="1800"/>
      <c r="X78" s="1800"/>
      <c r="Y78" s="1800"/>
      <c r="Z78" s="1800"/>
    </row>
    <row r="79" spans="1:26">
      <c r="A79" s="1800"/>
      <c r="B79" s="1800"/>
      <c r="C79" s="1800"/>
      <c r="D79" s="1800"/>
      <c r="E79" s="1800"/>
      <c r="F79" s="1800"/>
      <c r="G79" s="1800"/>
      <c r="H79" s="1800"/>
      <c r="I79" s="1800"/>
      <c r="J79" s="1800"/>
      <c r="K79" s="1800"/>
      <c r="L79" s="1800"/>
      <c r="M79" s="1800"/>
      <c r="N79" s="1800"/>
      <c r="O79" s="1800"/>
      <c r="P79" s="1800"/>
      <c r="Q79" s="1800"/>
      <c r="R79" s="1800"/>
      <c r="S79" s="1800"/>
      <c r="T79" s="1800"/>
      <c r="U79" s="1800"/>
      <c r="V79" s="1800"/>
      <c r="W79" s="1800"/>
      <c r="X79" s="1800"/>
      <c r="Y79" s="1800"/>
      <c r="Z79" s="1800"/>
    </row>
    <row r="80" spans="1:26">
      <c r="A80" s="1800"/>
      <c r="B80" s="1800"/>
      <c r="C80" s="1800"/>
      <c r="D80" s="1800"/>
      <c r="E80" s="1800"/>
      <c r="F80" s="1800"/>
      <c r="G80" s="1800"/>
      <c r="H80" s="1800"/>
      <c r="I80" s="1800"/>
      <c r="J80" s="1800"/>
      <c r="K80" s="1800"/>
      <c r="L80" s="1800"/>
      <c r="M80" s="1800"/>
      <c r="N80" s="1800"/>
      <c r="O80" s="1800"/>
      <c r="P80" s="1800"/>
      <c r="Q80" s="1800"/>
      <c r="R80" s="1800"/>
      <c r="S80" s="1800"/>
      <c r="T80" s="1800"/>
      <c r="U80" s="1800"/>
      <c r="V80" s="1800"/>
      <c r="W80" s="1800"/>
      <c r="X80" s="1800"/>
      <c r="Y80" s="1800"/>
      <c r="Z80" s="1800"/>
    </row>
    <row r="81" spans="1:26">
      <c r="A81" s="1800"/>
      <c r="B81" s="1800"/>
      <c r="C81" s="1800"/>
      <c r="D81" s="1800"/>
      <c r="E81" s="1800"/>
      <c r="F81" s="1800"/>
      <c r="G81" s="1800"/>
      <c r="H81" s="1800"/>
      <c r="I81" s="1800"/>
      <c r="J81" s="1800"/>
      <c r="K81" s="1800"/>
      <c r="L81" s="1800"/>
      <c r="M81" s="1800"/>
      <c r="N81" s="1800"/>
      <c r="O81" s="1800"/>
      <c r="P81" s="1800"/>
      <c r="Q81" s="1800"/>
      <c r="R81" s="1800"/>
      <c r="S81" s="1800"/>
      <c r="T81" s="1800"/>
      <c r="U81" s="1800"/>
      <c r="V81" s="1800"/>
      <c r="W81" s="1800"/>
      <c r="X81" s="1800"/>
      <c r="Y81" s="1800"/>
      <c r="Z81" s="1800"/>
    </row>
    <row r="82" spans="1:26">
      <c r="A82" s="1800"/>
      <c r="B82" s="1800"/>
      <c r="C82" s="1800"/>
      <c r="D82" s="1800"/>
      <c r="E82" s="1800"/>
      <c r="F82" s="1800"/>
      <c r="G82" s="1800"/>
      <c r="H82" s="1800"/>
      <c r="I82" s="1800"/>
      <c r="J82" s="1800"/>
      <c r="K82" s="1800"/>
      <c r="L82" s="1800"/>
      <c r="M82" s="1800"/>
      <c r="N82" s="1800"/>
      <c r="O82" s="1800"/>
      <c r="P82" s="1800"/>
      <c r="Q82" s="1800"/>
      <c r="R82" s="1800"/>
      <c r="S82" s="1800"/>
      <c r="T82" s="1800"/>
      <c r="U82" s="1800"/>
      <c r="V82" s="1800"/>
      <c r="W82" s="1800"/>
      <c r="X82" s="1800"/>
      <c r="Y82" s="1800"/>
      <c r="Z82" s="1800"/>
    </row>
    <row r="83" spans="1:26">
      <c r="A83" s="1800"/>
      <c r="B83" s="1800"/>
      <c r="C83" s="1800"/>
      <c r="D83" s="1800"/>
      <c r="E83" s="1800"/>
      <c r="F83" s="1800"/>
      <c r="G83" s="1800"/>
      <c r="H83" s="1800"/>
      <c r="I83" s="1800"/>
      <c r="J83" s="1800"/>
      <c r="K83" s="1800"/>
      <c r="L83" s="1800"/>
      <c r="M83" s="1800"/>
      <c r="N83" s="1800"/>
      <c r="O83" s="1800"/>
      <c r="P83" s="1800"/>
      <c r="Q83" s="1800"/>
      <c r="R83" s="1800"/>
      <c r="S83" s="1800"/>
      <c r="T83" s="1800"/>
      <c r="U83" s="1800"/>
      <c r="V83" s="1800"/>
      <c r="W83" s="1800"/>
      <c r="X83" s="1800"/>
      <c r="Y83" s="1800"/>
      <c r="Z83" s="1800"/>
    </row>
    <row r="84" spans="1:26">
      <c r="A84" s="1800"/>
      <c r="B84" s="1800"/>
      <c r="C84" s="1800"/>
      <c r="D84" s="1800"/>
      <c r="E84" s="1800"/>
      <c r="F84" s="1800"/>
      <c r="G84" s="1800"/>
      <c r="H84" s="1800"/>
      <c r="I84" s="1800"/>
      <c r="J84" s="1800"/>
      <c r="K84" s="1800"/>
      <c r="L84" s="1800"/>
      <c r="M84" s="1800"/>
      <c r="N84" s="1800"/>
      <c r="O84" s="1800"/>
      <c r="P84" s="1800"/>
      <c r="Q84" s="1800"/>
      <c r="R84" s="1800"/>
      <c r="S84" s="1800"/>
      <c r="T84" s="1800"/>
      <c r="U84" s="1800"/>
      <c r="V84" s="1800"/>
      <c r="W84" s="1800"/>
      <c r="X84" s="1800"/>
      <c r="Y84" s="1800"/>
      <c r="Z84" s="1800"/>
    </row>
    <row r="85" spans="1:26">
      <c r="A85" s="1800"/>
      <c r="B85" s="1800"/>
      <c r="C85" s="1800"/>
      <c r="D85" s="1800"/>
      <c r="E85" s="1800"/>
      <c r="F85" s="1800"/>
      <c r="G85" s="1800"/>
      <c r="H85" s="1800"/>
      <c r="I85" s="1800"/>
      <c r="J85" s="1800"/>
      <c r="K85" s="1800"/>
      <c r="L85" s="1800"/>
      <c r="M85" s="1800"/>
      <c r="N85" s="1800"/>
      <c r="O85" s="1800"/>
      <c r="P85" s="1800"/>
      <c r="Q85" s="1800"/>
      <c r="R85" s="1800"/>
      <c r="S85" s="1800"/>
      <c r="T85" s="1800"/>
      <c r="U85" s="1800"/>
      <c r="V85" s="1800"/>
      <c r="W85" s="1800"/>
      <c r="X85" s="1800"/>
      <c r="Y85" s="1800"/>
      <c r="Z85" s="1800"/>
    </row>
    <row r="86" spans="1:26">
      <c r="A86" s="1800"/>
      <c r="B86" s="1800"/>
      <c r="C86" s="1800"/>
      <c r="D86" s="1800"/>
      <c r="E86" s="1800"/>
      <c r="F86" s="1800"/>
      <c r="G86" s="1800"/>
      <c r="H86" s="1800"/>
      <c r="I86" s="1800"/>
      <c r="J86" s="1800"/>
      <c r="K86" s="1800"/>
      <c r="L86" s="1800"/>
      <c r="M86" s="1800"/>
      <c r="N86" s="1800"/>
      <c r="O86" s="1800"/>
      <c r="P86" s="1800"/>
      <c r="Q86" s="1800"/>
      <c r="R86" s="1800"/>
      <c r="S86" s="1800"/>
      <c r="T86" s="1800"/>
      <c r="U86" s="1800"/>
      <c r="V86" s="1800"/>
      <c r="W86" s="1800"/>
      <c r="X86" s="1800"/>
      <c r="Y86" s="1800"/>
      <c r="Z86" s="1800"/>
    </row>
    <row r="87" spans="1:26">
      <c r="A87" s="1800"/>
      <c r="B87" s="1800"/>
      <c r="C87" s="1800"/>
      <c r="D87" s="1800"/>
      <c r="E87" s="1800"/>
      <c r="F87" s="1800"/>
      <c r="G87" s="1800"/>
      <c r="H87" s="1800"/>
      <c r="I87" s="1800"/>
      <c r="J87" s="1800"/>
      <c r="K87" s="1800"/>
      <c r="L87" s="1800"/>
      <c r="M87" s="1800"/>
      <c r="N87" s="1800"/>
      <c r="O87" s="1800"/>
      <c r="P87" s="1800"/>
      <c r="Q87" s="1800"/>
      <c r="R87" s="1800"/>
      <c r="S87" s="1800"/>
      <c r="T87" s="1800"/>
      <c r="U87" s="1800"/>
      <c r="V87" s="1800"/>
      <c r="W87" s="1800"/>
      <c r="X87" s="1800"/>
      <c r="Y87" s="1800"/>
      <c r="Z87" s="1800"/>
    </row>
    <row r="88" spans="1:26">
      <c r="A88" s="1800"/>
      <c r="B88" s="1800"/>
      <c r="C88" s="1800"/>
      <c r="D88" s="1800"/>
      <c r="E88" s="1800"/>
      <c r="F88" s="1800"/>
      <c r="G88" s="1800"/>
      <c r="H88" s="1800"/>
      <c r="I88" s="1800"/>
      <c r="J88" s="1800"/>
      <c r="K88" s="1800"/>
      <c r="L88" s="1800"/>
      <c r="M88" s="1800"/>
      <c r="N88" s="1800"/>
      <c r="O88" s="1800"/>
      <c r="P88" s="1800"/>
      <c r="Q88" s="1800"/>
      <c r="R88" s="1800"/>
      <c r="S88" s="1800"/>
      <c r="T88" s="1800"/>
      <c r="U88" s="1800"/>
      <c r="V88" s="1800"/>
      <c r="W88" s="1800"/>
      <c r="X88" s="1800"/>
      <c r="Y88" s="1800"/>
      <c r="Z88" s="1800"/>
    </row>
    <row r="89" spans="1:26">
      <c r="A89" s="1800"/>
      <c r="B89" s="1800"/>
      <c r="C89" s="1800"/>
      <c r="D89" s="1800"/>
      <c r="E89" s="1800"/>
      <c r="F89" s="1800"/>
      <c r="G89" s="1800"/>
      <c r="H89" s="1800"/>
      <c r="I89" s="1800"/>
      <c r="J89" s="1800"/>
      <c r="K89" s="1800"/>
      <c r="L89" s="1800"/>
      <c r="M89" s="1800"/>
      <c r="N89" s="1800"/>
      <c r="O89" s="1800"/>
      <c r="P89" s="1800"/>
      <c r="Q89" s="1800"/>
      <c r="R89" s="1800"/>
      <c r="S89" s="1800"/>
      <c r="T89" s="1800"/>
      <c r="U89" s="1800"/>
      <c r="V89" s="1800"/>
      <c r="W89" s="1800"/>
      <c r="X89" s="1800"/>
      <c r="Y89" s="1800"/>
      <c r="Z89" s="1800"/>
    </row>
    <row r="90" spans="1:26">
      <c r="A90" s="1800"/>
      <c r="B90" s="1800"/>
      <c r="C90" s="1800"/>
      <c r="D90" s="1800"/>
      <c r="E90" s="1800"/>
      <c r="F90" s="1800"/>
      <c r="G90" s="1800"/>
      <c r="H90" s="1800"/>
      <c r="I90" s="1800"/>
      <c r="J90" s="1800"/>
      <c r="K90" s="1800"/>
      <c r="L90" s="1800"/>
      <c r="M90" s="1800"/>
      <c r="N90" s="1800"/>
      <c r="O90" s="1800"/>
      <c r="P90" s="1800"/>
      <c r="Q90" s="1800"/>
      <c r="R90" s="1800"/>
      <c r="S90" s="1800"/>
      <c r="T90" s="1800"/>
      <c r="U90" s="1800"/>
      <c r="V90" s="1800"/>
      <c r="W90" s="1800"/>
      <c r="X90" s="1800"/>
      <c r="Y90" s="1800"/>
      <c r="Z90" s="1800"/>
    </row>
    <row r="91" spans="1:26">
      <c r="A91" s="1800"/>
      <c r="B91" s="1800"/>
      <c r="C91" s="1800"/>
      <c r="D91" s="1800"/>
      <c r="E91" s="1800"/>
      <c r="F91" s="1800"/>
      <c r="G91" s="1800"/>
      <c r="H91" s="1800"/>
      <c r="I91" s="1800"/>
      <c r="J91" s="1800"/>
      <c r="K91" s="1800"/>
      <c r="L91" s="1800"/>
      <c r="M91" s="1800"/>
      <c r="N91" s="1800"/>
      <c r="O91" s="1800"/>
      <c r="P91" s="1800"/>
      <c r="Q91" s="1800"/>
      <c r="R91" s="1800"/>
      <c r="S91" s="1800"/>
      <c r="T91" s="1800"/>
      <c r="U91" s="1800"/>
      <c r="V91" s="1800"/>
      <c r="W91" s="1800"/>
      <c r="X91" s="1800"/>
      <c r="Y91" s="1800"/>
      <c r="Z91" s="1800"/>
    </row>
    <row r="92" spans="1:26">
      <c r="A92" s="1800"/>
      <c r="B92" s="1800"/>
      <c r="C92" s="1800"/>
      <c r="D92" s="1800"/>
      <c r="E92" s="1800"/>
      <c r="F92" s="1800"/>
      <c r="G92" s="1800"/>
      <c r="H92" s="1800"/>
      <c r="I92" s="1800"/>
      <c r="J92" s="1800"/>
      <c r="K92" s="1800"/>
      <c r="L92" s="1800"/>
      <c r="M92" s="1800"/>
      <c r="N92" s="1800"/>
      <c r="O92" s="1800"/>
      <c r="P92" s="1800"/>
      <c r="Q92" s="1800"/>
      <c r="R92" s="1800"/>
      <c r="S92" s="1800"/>
      <c r="T92" s="1800"/>
      <c r="U92" s="1800"/>
      <c r="V92" s="1800"/>
      <c r="W92" s="1800"/>
      <c r="X92" s="1800"/>
      <c r="Y92" s="1800"/>
      <c r="Z92" s="1800"/>
    </row>
    <row r="93" spans="1:26">
      <c r="A93" s="1800"/>
      <c r="B93" s="1800"/>
      <c r="C93" s="1800"/>
      <c r="D93" s="1800"/>
      <c r="E93" s="1800"/>
      <c r="F93" s="1800"/>
      <c r="G93" s="1800"/>
      <c r="H93" s="1800"/>
      <c r="I93" s="1800"/>
      <c r="J93" s="1800"/>
      <c r="K93" s="1800"/>
      <c r="L93" s="1800"/>
      <c r="M93" s="1800"/>
      <c r="N93" s="1800"/>
      <c r="O93" s="1800"/>
      <c r="P93" s="1800"/>
      <c r="Q93" s="1800"/>
      <c r="R93" s="1800"/>
      <c r="S93" s="1800"/>
      <c r="T93" s="1800"/>
      <c r="U93" s="1800"/>
      <c r="V93" s="1800"/>
      <c r="W93" s="1800"/>
      <c r="X93" s="1800"/>
      <c r="Y93" s="1800"/>
      <c r="Z93" s="1800"/>
    </row>
    <row r="94" spans="1:26">
      <c r="A94" s="1800"/>
      <c r="B94" s="1800"/>
      <c r="C94" s="1800"/>
      <c r="D94" s="1800"/>
      <c r="E94" s="1800"/>
      <c r="F94" s="1800"/>
      <c r="G94" s="1800"/>
      <c r="H94" s="1800"/>
      <c r="I94" s="1800"/>
      <c r="J94" s="1800"/>
      <c r="K94" s="1800"/>
      <c r="L94" s="1800"/>
      <c r="M94" s="1800"/>
      <c r="N94" s="1800"/>
      <c r="O94" s="1800"/>
      <c r="P94" s="1800"/>
      <c r="Q94" s="1800"/>
      <c r="R94" s="1800"/>
      <c r="S94" s="1800"/>
      <c r="T94" s="1800"/>
      <c r="U94" s="1800"/>
      <c r="V94" s="1800"/>
      <c r="W94" s="1800"/>
      <c r="X94" s="1800"/>
      <c r="Y94" s="1800"/>
      <c r="Z94" s="1800"/>
    </row>
    <row r="95" spans="1:26">
      <c r="A95" s="1800"/>
      <c r="B95" s="1800"/>
      <c r="C95" s="1800"/>
      <c r="D95" s="1800"/>
      <c r="E95" s="1800"/>
      <c r="F95" s="1800"/>
      <c r="G95" s="1800"/>
      <c r="H95" s="1800"/>
      <c r="I95" s="1800"/>
      <c r="J95" s="1800"/>
      <c r="K95" s="1800"/>
      <c r="L95" s="1800"/>
      <c r="M95" s="1800"/>
      <c r="N95" s="1800"/>
      <c r="O95" s="1800"/>
      <c r="P95" s="1800"/>
      <c r="Q95" s="1800"/>
      <c r="R95" s="1800"/>
      <c r="S95" s="1800"/>
      <c r="T95" s="1800"/>
      <c r="U95" s="1800"/>
      <c r="V95" s="1800"/>
      <c r="W95" s="1800"/>
      <c r="X95" s="1800"/>
      <c r="Y95" s="1800"/>
      <c r="Z95" s="1800"/>
    </row>
    <row r="96" spans="1:26">
      <c r="A96" s="1800"/>
      <c r="B96" s="1800"/>
      <c r="C96" s="1800"/>
      <c r="D96" s="1800"/>
      <c r="E96" s="1800"/>
      <c r="F96" s="1800"/>
      <c r="G96" s="1800"/>
      <c r="H96" s="1800"/>
      <c r="I96" s="1800"/>
      <c r="J96" s="1800"/>
      <c r="K96" s="1800"/>
      <c r="L96" s="1800"/>
      <c r="M96" s="1800"/>
      <c r="N96" s="1800"/>
      <c r="O96" s="1800"/>
      <c r="P96" s="1800"/>
      <c r="Q96" s="1800"/>
      <c r="R96" s="1800"/>
      <c r="S96" s="1800"/>
      <c r="T96" s="1800"/>
      <c r="U96" s="1800"/>
      <c r="V96" s="1800"/>
      <c r="W96" s="1800"/>
      <c r="X96" s="1800"/>
      <c r="Y96" s="1800"/>
      <c r="Z96" s="1800"/>
    </row>
    <row r="97" spans="1:26">
      <c r="A97" s="1800"/>
      <c r="B97" s="1800"/>
      <c r="C97" s="1800"/>
      <c r="D97" s="1800"/>
      <c r="E97" s="1800"/>
      <c r="F97" s="1800"/>
      <c r="G97" s="1800"/>
      <c r="H97" s="1800"/>
      <c r="I97" s="1800"/>
      <c r="J97" s="1800"/>
      <c r="K97" s="1800"/>
      <c r="L97" s="1800"/>
      <c r="M97" s="1800"/>
      <c r="N97" s="1800"/>
      <c r="O97" s="1800"/>
      <c r="P97" s="1800"/>
      <c r="Q97" s="1800"/>
      <c r="R97" s="1800"/>
      <c r="S97" s="1800"/>
      <c r="T97" s="1800"/>
      <c r="U97" s="1800"/>
      <c r="V97" s="1800"/>
      <c r="W97" s="1800"/>
      <c r="X97" s="1800"/>
      <c r="Y97" s="1800"/>
      <c r="Z97" s="1800"/>
    </row>
    <row r="98" spans="1:26">
      <c r="A98" s="1800"/>
      <c r="B98" s="1800"/>
      <c r="C98" s="1800"/>
      <c r="D98" s="1800"/>
      <c r="E98" s="1800"/>
      <c r="F98" s="1800"/>
      <c r="G98" s="1800"/>
      <c r="H98" s="1800"/>
      <c r="I98" s="1800"/>
      <c r="J98" s="1800"/>
      <c r="K98" s="1800"/>
      <c r="L98" s="1800"/>
      <c r="M98" s="1800"/>
      <c r="N98" s="1800"/>
      <c r="O98" s="1800"/>
      <c r="P98" s="1800"/>
      <c r="Q98" s="1800"/>
      <c r="R98" s="1800"/>
      <c r="S98" s="1800"/>
      <c r="T98" s="1800"/>
      <c r="U98" s="1800"/>
      <c r="V98" s="1800"/>
      <c r="W98" s="1800"/>
      <c r="X98" s="1800"/>
      <c r="Y98" s="1800"/>
      <c r="Z98" s="1800"/>
    </row>
    <row r="99" spans="1:26">
      <c r="A99" s="1800"/>
      <c r="B99" s="1800"/>
      <c r="C99" s="1800"/>
      <c r="D99" s="1800"/>
      <c r="E99" s="1800"/>
      <c r="F99" s="1800"/>
      <c r="G99" s="1800"/>
      <c r="H99" s="1800"/>
      <c r="I99" s="1800"/>
      <c r="J99" s="1800"/>
      <c r="K99" s="1800"/>
      <c r="L99" s="1800"/>
      <c r="M99" s="1800"/>
      <c r="N99" s="1800"/>
      <c r="O99" s="1800"/>
      <c r="P99" s="1800"/>
      <c r="Q99" s="1800"/>
      <c r="R99" s="1800"/>
      <c r="S99" s="1800"/>
      <c r="T99" s="1800"/>
      <c r="U99" s="1800"/>
      <c r="V99" s="1800"/>
      <c r="W99" s="1800"/>
      <c r="X99" s="1800"/>
      <c r="Y99" s="1800"/>
      <c r="Z99" s="1800"/>
    </row>
    <row r="100" spans="1:26">
      <c r="A100" s="1800"/>
      <c r="B100" s="1800"/>
      <c r="C100" s="1800"/>
      <c r="D100" s="1800"/>
      <c r="E100" s="1800"/>
      <c r="F100" s="1800"/>
      <c r="G100" s="1800"/>
      <c r="H100" s="1800"/>
      <c r="I100" s="1800"/>
      <c r="J100" s="1800"/>
      <c r="K100" s="1800"/>
      <c r="L100" s="1800"/>
      <c r="M100" s="1800"/>
      <c r="N100" s="1800"/>
      <c r="O100" s="1800"/>
      <c r="P100" s="1800"/>
      <c r="Q100" s="1800"/>
      <c r="R100" s="1800"/>
      <c r="S100" s="1800"/>
      <c r="T100" s="1800"/>
      <c r="U100" s="1800"/>
      <c r="V100" s="1800"/>
      <c r="W100" s="1800"/>
      <c r="X100" s="1800"/>
      <c r="Y100" s="1800"/>
      <c r="Z100" s="1800"/>
    </row>
    <row r="101" spans="1:26">
      <c r="A101" s="1800"/>
      <c r="B101" s="1800"/>
      <c r="C101" s="1800"/>
      <c r="D101" s="1800"/>
      <c r="E101" s="1800"/>
      <c r="F101" s="1800"/>
      <c r="G101" s="1800"/>
      <c r="H101" s="1800"/>
      <c r="I101" s="1800"/>
      <c r="J101" s="1800"/>
      <c r="K101" s="1800"/>
      <c r="L101" s="1800"/>
      <c r="M101" s="1800"/>
      <c r="N101" s="1800"/>
      <c r="O101" s="1800"/>
      <c r="P101" s="1800"/>
      <c r="Q101" s="1800"/>
      <c r="R101" s="1800"/>
      <c r="S101" s="1800"/>
      <c r="T101" s="1800"/>
      <c r="U101" s="1800"/>
      <c r="V101" s="1800"/>
      <c r="W101" s="1800"/>
      <c r="X101" s="1800"/>
      <c r="Y101" s="1800"/>
      <c r="Z101" s="1800"/>
    </row>
    <row r="102" spans="1:26">
      <c r="A102" s="1800"/>
      <c r="B102" s="1800"/>
      <c r="C102" s="1800"/>
      <c r="D102" s="1800"/>
      <c r="E102" s="1800"/>
      <c r="F102" s="1800"/>
      <c r="G102" s="1800"/>
      <c r="H102" s="1800"/>
      <c r="I102" s="1800"/>
      <c r="J102" s="1800"/>
      <c r="K102" s="1800"/>
      <c r="L102" s="1800"/>
      <c r="M102" s="1800"/>
      <c r="N102" s="1800"/>
      <c r="O102" s="1800"/>
      <c r="P102" s="1800"/>
      <c r="Q102" s="1800"/>
      <c r="R102" s="1800"/>
      <c r="S102" s="1800"/>
      <c r="T102" s="1800"/>
      <c r="U102" s="1800"/>
      <c r="V102" s="1800"/>
      <c r="W102" s="1800"/>
      <c r="X102" s="1800"/>
      <c r="Y102" s="1800"/>
      <c r="Z102" s="1800"/>
    </row>
    <row r="103" spans="1:26">
      <c r="A103" s="1800"/>
      <c r="B103" s="1800"/>
      <c r="C103" s="1800"/>
      <c r="D103" s="1800"/>
      <c r="E103" s="1800"/>
      <c r="F103" s="1800"/>
      <c r="G103" s="1800"/>
      <c r="H103" s="1800"/>
      <c r="I103" s="1800"/>
      <c r="J103" s="1800"/>
      <c r="K103" s="1800"/>
      <c r="L103" s="1800"/>
      <c r="M103" s="1800"/>
      <c r="N103" s="1800"/>
      <c r="O103" s="1800"/>
      <c r="P103" s="1800"/>
      <c r="Q103" s="1800"/>
      <c r="R103" s="1800"/>
      <c r="S103" s="1800"/>
      <c r="T103" s="1800"/>
      <c r="U103" s="1800"/>
      <c r="V103" s="1800"/>
      <c r="W103" s="1800"/>
      <c r="X103" s="1800"/>
      <c r="Y103" s="1800"/>
      <c r="Z103" s="1800"/>
    </row>
    <row r="104" spans="1:26">
      <c r="A104" s="1800"/>
      <c r="B104" s="1800"/>
      <c r="C104" s="1800"/>
      <c r="D104" s="1800"/>
      <c r="E104" s="1800"/>
      <c r="F104" s="1800"/>
      <c r="G104" s="1800"/>
      <c r="H104" s="1800"/>
      <c r="I104" s="1800"/>
      <c r="J104" s="1800"/>
      <c r="K104" s="1800"/>
      <c r="L104" s="1800"/>
      <c r="M104" s="1800"/>
      <c r="N104" s="1800"/>
      <c r="O104" s="1800"/>
      <c r="P104" s="1800"/>
      <c r="Q104" s="1800"/>
      <c r="R104" s="1800"/>
      <c r="S104" s="1800"/>
      <c r="T104" s="1800"/>
      <c r="U104" s="1800"/>
      <c r="V104" s="1800"/>
      <c r="W104" s="1800"/>
      <c r="X104" s="1800"/>
      <c r="Y104" s="1800"/>
      <c r="Z104" s="1800"/>
    </row>
    <row r="105" spans="1:26">
      <c r="A105" s="1800"/>
      <c r="B105" s="1800"/>
      <c r="C105" s="1800"/>
      <c r="D105" s="1800"/>
      <c r="E105" s="1800"/>
      <c r="F105" s="1800"/>
      <c r="G105" s="1800"/>
      <c r="H105" s="1800"/>
      <c r="I105" s="1800"/>
      <c r="J105" s="1800"/>
      <c r="K105" s="1800"/>
      <c r="L105" s="1800"/>
      <c r="M105" s="1800"/>
      <c r="N105" s="1800"/>
      <c r="O105" s="1800"/>
      <c r="P105" s="1800"/>
      <c r="Q105" s="1800"/>
      <c r="R105" s="1800"/>
      <c r="S105" s="1800"/>
      <c r="T105" s="1800"/>
      <c r="U105" s="1800"/>
      <c r="V105" s="1800"/>
      <c r="W105" s="1800"/>
      <c r="X105" s="1800"/>
      <c r="Y105" s="1800"/>
      <c r="Z105" s="1800"/>
    </row>
    <row r="106" spans="1:26">
      <c r="A106" s="1800"/>
      <c r="B106" s="1800"/>
      <c r="C106" s="1800"/>
      <c r="D106" s="1800"/>
      <c r="E106" s="1800"/>
      <c r="F106" s="1800"/>
      <c r="G106" s="1800"/>
      <c r="H106" s="1800"/>
      <c r="I106" s="1800"/>
      <c r="J106" s="1800"/>
      <c r="K106" s="1800"/>
      <c r="L106" s="1800"/>
      <c r="M106" s="1800"/>
      <c r="N106" s="1800"/>
      <c r="O106" s="1800"/>
      <c r="P106" s="1800"/>
      <c r="Q106" s="1800"/>
      <c r="R106" s="1800"/>
      <c r="S106" s="1800"/>
      <c r="T106" s="1800"/>
      <c r="U106" s="1800"/>
      <c r="V106" s="1800"/>
      <c r="W106" s="1800"/>
      <c r="X106" s="1800"/>
      <c r="Y106" s="1800"/>
      <c r="Z106" s="1800"/>
    </row>
    <row r="107" spans="1:26">
      <c r="A107" s="1800"/>
      <c r="B107" s="1800"/>
      <c r="C107" s="1800"/>
      <c r="D107" s="1800"/>
      <c r="E107" s="1800"/>
      <c r="F107" s="1800"/>
      <c r="G107" s="1800"/>
      <c r="H107" s="1800"/>
      <c r="I107" s="1800"/>
      <c r="J107" s="1800"/>
      <c r="K107" s="1800"/>
      <c r="L107" s="1800"/>
      <c r="M107" s="1800"/>
      <c r="N107" s="1800"/>
      <c r="O107" s="1800"/>
      <c r="P107" s="1800"/>
      <c r="Q107" s="1800"/>
      <c r="R107" s="1800"/>
      <c r="S107" s="1800"/>
      <c r="T107" s="1800"/>
      <c r="U107" s="1800"/>
      <c r="V107" s="1800"/>
      <c r="W107" s="1800"/>
      <c r="X107" s="1800"/>
      <c r="Y107" s="1800"/>
      <c r="Z107" s="1800"/>
    </row>
    <row r="108" spans="1:26">
      <c r="A108" s="1800"/>
      <c r="B108" s="1800"/>
      <c r="C108" s="1800"/>
      <c r="D108" s="1800"/>
      <c r="E108" s="1800"/>
      <c r="F108" s="1800"/>
      <c r="G108" s="1800"/>
      <c r="H108" s="1800"/>
      <c r="I108" s="1800"/>
      <c r="J108" s="1800"/>
      <c r="K108" s="1800"/>
      <c r="L108" s="1800"/>
      <c r="M108" s="1800"/>
      <c r="N108" s="1800"/>
      <c r="O108" s="1800"/>
      <c r="P108" s="1800"/>
      <c r="Q108" s="1800"/>
      <c r="R108" s="1800"/>
      <c r="S108" s="1800"/>
      <c r="T108" s="1800"/>
      <c r="U108" s="1800"/>
      <c r="V108" s="1800"/>
      <c r="W108" s="1800"/>
      <c r="X108" s="1800"/>
      <c r="Y108" s="1800"/>
      <c r="Z108" s="1800"/>
    </row>
    <row r="109" spans="1:26">
      <c r="A109" s="1800"/>
      <c r="B109" s="1800"/>
      <c r="C109" s="1800"/>
      <c r="D109" s="1800"/>
      <c r="E109" s="1800"/>
      <c r="F109" s="1800"/>
      <c r="G109" s="1800"/>
      <c r="H109" s="1800"/>
      <c r="I109" s="1800"/>
      <c r="J109" s="1800"/>
      <c r="K109" s="1800"/>
      <c r="L109" s="1800"/>
      <c r="M109" s="1800"/>
      <c r="N109" s="1800"/>
      <c r="O109" s="1800"/>
      <c r="P109" s="1800"/>
      <c r="Q109" s="1800"/>
      <c r="R109" s="1800"/>
      <c r="S109" s="1800"/>
      <c r="T109" s="1800"/>
      <c r="U109" s="1800"/>
      <c r="V109" s="1800"/>
      <c r="W109" s="1800"/>
      <c r="X109" s="1800"/>
      <c r="Y109" s="1800"/>
      <c r="Z109" s="1800"/>
    </row>
    <row r="110" spans="1:26">
      <c r="A110" s="1800"/>
      <c r="B110" s="1800"/>
      <c r="C110" s="1800"/>
      <c r="D110" s="1800"/>
      <c r="E110" s="1800"/>
      <c r="F110" s="1800"/>
      <c r="G110" s="1800"/>
      <c r="H110" s="1800"/>
      <c r="I110" s="1800"/>
      <c r="J110" s="1800"/>
      <c r="K110" s="1800"/>
      <c r="L110" s="1800"/>
      <c r="M110" s="1800"/>
      <c r="N110" s="1800"/>
      <c r="O110" s="1800"/>
      <c r="P110" s="1800"/>
      <c r="Q110" s="1800"/>
      <c r="R110" s="1800"/>
      <c r="S110" s="1800"/>
      <c r="T110" s="1800"/>
      <c r="U110" s="1800"/>
      <c r="V110" s="1800"/>
      <c r="W110" s="1800"/>
      <c r="X110" s="1800"/>
      <c r="Y110" s="1800"/>
      <c r="Z110" s="1800"/>
    </row>
    <row r="111" spans="1:26">
      <c r="A111" s="1800"/>
      <c r="B111" s="1800"/>
      <c r="C111" s="1800"/>
      <c r="D111" s="1800"/>
      <c r="E111" s="1800"/>
      <c r="F111" s="1800"/>
      <c r="G111" s="1800"/>
      <c r="H111" s="1800"/>
      <c r="I111" s="1800"/>
      <c r="J111" s="1800"/>
      <c r="K111" s="1800"/>
      <c r="L111" s="1800"/>
      <c r="M111" s="1800"/>
      <c r="N111" s="1800"/>
      <c r="O111" s="1800"/>
      <c r="P111" s="1800"/>
      <c r="Q111" s="1800"/>
      <c r="R111" s="1800"/>
      <c r="S111" s="1800"/>
      <c r="T111" s="1800"/>
      <c r="U111" s="1800"/>
      <c r="V111" s="1800"/>
      <c r="W111" s="1800"/>
      <c r="X111" s="1800"/>
      <c r="Y111" s="1800"/>
      <c r="Z111" s="1800"/>
    </row>
    <row r="112" spans="1:26">
      <c r="A112" s="1800"/>
      <c r="B112" s="1800"/>
      <c r="C112" s="1800"/>
      <c r="D112" s="1800"/>
      <c r="E112" s="1800"/>
      <c r="F112" s="1800"/>
      <c r="G112" s="1800"/>
      <c r="H112" s="1800"/>
      <c r="I112" s="1800"/>
      <c r="J112" s="1800"/>
      <c r="K112" s="1800"/>
      <c r="L112" s="1800"/>
      <c r="M112" s="1800"/>
      <c r="N112" s="1800"/>
      <c r="O112" s="1800"/>
      <c r="P112" s="1800"/>
      <c r="Q112" s="1800"/>
      <c r="R112" s="1800"/>
      <c r="S112" s="1800"/>
      <c r="T112" s="1800"/>
      <c r="U112" s="1800"/>
      <c r="V112" s="1800"/>
      <c r="W112" s="1800"/>
      <c r="X112" s="1800"/>
      <c r="Y112" s="1800"/>
      <c r="Z112" s="1800"/>
    </row>
    <row r="113" spans="1:26">
      <c r="A113" s="1800"/>
      <c r="B113" s="1800"/>
      <c r="C113" s="1800"/>
      <c r="D113" s="1800"/>
      <c r="E113" s="1800"/>
      <c r="F113" s="1800"/>
      <c r="G113" s="1800"/>
      <c r="H113" s="1800"/>
      <c r="I113" s="1800"/>
      <c r="J113" s="1800"/>
      <c r="K113" s="1800"/>
      <c r="L113" s="1800"/>
      <c r="M113" s="1800"/>
      <c r="N113" s="1800"/>
      <c r="O113" s="1800"/>
      <c r="P113" s="1800"/>
      <c r="Q113" s="1800"/>
      <c r="R113" s="1800"/>
      <c r="S113" s="1800"/>
      <c r="T113" s="1800"/>
      <c r="U113" s="1800"/>
      <c r="V113" s="1800"/>
      <c r="W113" s="1800"/>
      <c r="X113" s="1800"/>
      <c r="Y113" s="1800"/>
      <c r="Z113" s="1800"/>
    </row>
    <row r="114" spans="1:26">
      <c r="A114" s="1800"/>
      <c r="B114" s="1800"/>
      <c r="C114" s="1800"/>
      <c r="D114" s="1800"/>
      <c r="E114" s="1800"/>
      <c r="F114" s="1800"/>
      <c r="G114" s="1800"/>
      <c r="H114" s="1800"/>
      <c r="I114" s="1800"/>
      <c r="J114" s="1800"/>
      <c r="K114" s="1800"/>
      <c r="L114" s="1800"/>
      <c r="M114" s="1800"/>
      <c r="N114" s="1800"/>
      <c r="O114" s="1800"/>
      <c r="P114" s="1800"/>
      <c r="Q114" s="1800"/>
      <c r="R114" s="1800"/>
      <c r="S114" s="1800"/>
      <c r="T114" s="1800"/>
      <c r="U114" s="1800"/>
      <c r="V114" s="1800"/>
      <c r="W114" s="1800"/>
      <c r="X114" s="1800"/>
      <c r="Y114" s="1800"/>
      <c r="Z114" s="1800"/>
    </row>
    <row r="115" spans="1:26">
      <c r="A115" s="1800"/>
      <c r="B115" s="1800"/>
      <c r="C115" s="1800"/>
      <c r="D115" s="1800"/>
      <c r="E115" s="1800"/>
      <c r="F115" s="1800"/>
      <c r="G115" s="1800"/>
      <c r="H115" s="1800"/>
      <c r="I115" s="1800"/>
      <c r="J115" s="1800"/>
      <c r="K115" s="1800"/>
      <c r="L115" s="1800"/>
      <c r="M115" s="1800"/>
      <c r="N115" s="1800"/>
      <c r="O115" s="1800"/>
      <c r="P115" s="1800"/>
      <c r="Q115" s="1800"/>
      <c r="R115" s="1800"/>
      <c r="S115" s="1800"/>
      <c r="T115" s="1800"/>
      <c r="U115" s="1800"/>
      <c r="V115" s="1800"/>
      <c r="W115" s="1800"/>
      <c r="X115" s="1800"/>
      <c r="Y115" s="1800"/>
      <c r="Z115" s="1800"/>
    </row>
    <row r="116" spans="1:26">
      <c r="A116" s="1800"/>
      <c r="B116" s="1800"/>
      <c r="C116" s="1800"/>
      <c r="D116" s="1800"/>
      <c r="E116" s="1800"/>
      <c r="F116" s="1800"/>
      <c r="G116" s="1800"/>
      <c r="H116" s="1800"/>
      <c r="I116" s="1800"/>
      <c r="J116" s="1800"/>
      <c r="K116" s="1800"/>
      <c r="L116" s="1800"/>
      <c r="M116" s="1800"/>
      <c r="N116" s="1800"/>
      <c r="O116" s="1800"/>
      <c r="P116" s="1800"/>
      <c r="Q116" s="1800"/>
      <c r="R116" s="1800"/>
      <c r="S116" s="1800"/>
      <c r="T116" s="1800"/>
      <c r="U116" s="1800"/>
      <c r="V116" s="1800"/>
      <c r="W116" s="1800"/>
      <c r="X116" s="1800"/>
      <c r="Y116" s="1800"/>
      <c r="Z116" s="1800"/>
    </row>
    <row r="117" spans="1:26">
      <c r="A117" s="1800"/>
      <c r="B117" s="1800"/>
      <c r="C117" s="1800"/>
      <c r="D117" s="1800"/>
      <c r="E117" s="1800"/>
      <c r="F117" s="1800"/>
      <c r="G117" s="1800"/>
      <c r="H117" s="1800"/>
      <c r="I117" s="1800"/>
      <c r="J117" s="1800"/>
      <c r="K117" s="1800"/>
      <c r="L117" s="1800"/>
      <c r="M117" s="1800"/>
      <c r="N117" s="1800"/>
      <c r="O117" s="1800"/>
      <c r="P117" s="1800"/>
      <c r="Q117" s="1800"/>
      <c r="R117" s="1800"/>
      <c r="S117" s="1800"/>
      <c r="T117" s="1800"/>
      <c r="U117" s="1800"/>
      <c r="V117" s="1800"/>
      <c r="W117" s="1800"/>
      <c r="X117" s="1800"/>
      <c r="Y117" s="1800"/>
      <c r="Z117" s="1800"/>
    </row>
    <row r="118" spans="1:26">
      <c r="A118" s="1800"/>
      <c r="B118" s="1800"/>
      <c r="C118" s="1800"/>
      <c r="D118" s="1800"/>
      <c r="E118" s="1800"/>
      <c r="F118" s="1800"/>
      <c r="G118" s="1800"/>
      <c r="H118" s="1800"/>
      <c r="I118" s="1800"/>
      <c r="J118" s="1800"/>
      <c r="K118" s="1800"/>
      <c r="L118" s="1800"/>
      <c r="M118" s="1800"/>
      <c r="N118" s="1800"/>
      <c r="O118" s="1800"/>
      <c r="P118" s="1800"/>
      <c r="Q118" s="1800"/>
      <c r="R118" s="1800"/>
      <c r="S118" s="1800"/>
      <c r="T118" s="1800"/>
      <c r="U118" s="1800"/>
      <c r="V118" s="1800"/>
      <c r="W118" s="1800"/>
      <c r="X118" s="1800"/>
      <c r="Y118" s="1800"/>
      <c r="Z118" s="1800"/>
    </row>
    <row r="119" spans="1:26">
      <c r="A119" s="1800"/>
      <c r="B119" s="1800"/>
      <c r="C119" s="1800"/>
      <c r="D119" s="1800"/>
      <c r="E119" s="1800"/>
      <c r="F119" s="1800"/>
      <c r="G119" s="1800"/>
      <c r="H119" s="1800"/>
      <c r="I119" s="1800"/>
      <c r="J119" s="1800"/>
      <c r="K119" s="1800"/>
      <c r="L119" s="1800"/>
      <c r="M119" s="1800"/>
      <c r="N119" s="1800"/>
      <c r="O119" s="1800"/>
      <c r="P119" s="1800"/>
      <c r="Q119" s="1800"/>
      <c r="R119" s="1800"/>
      <c r="S119" s="1800"/>
      <c r="T119" s="1800"/>
      <c r="U119" s="1800"/>
      <c r="V119" s="1800"/>
      <c r="W119" s="1800"/>
      <c r="X119" s="1800"/>
      <c r="Y119" s="1800"/>
      <c r="Z119" s="1800"/>
    </row>
    <row r="120" spans="1:26">
      <c r="A120" s="1800"/>
      <c r="B120" s="1800"/>
      <c r="C120" s="1800"/>
      <c r="D120" s="1800"/>
      <c r="E120" s="1800"/>
      <c r="F120" s="1800"/>
      <c r="G120" s="1800"/>
      <c r="H120" s="1800"/>
      <c r="I120" s="1800"/>
      <c r="J120" s="1800"/>
      <c r="K120" s="1800"/>
      <c r="L120" s="1800"/>
      <c r="M120" s="1800"/>
      <c r="N120" s="1800"/>
      <c r="O120" s="1800"/>
      <c r="P120" s="1800"/>
      <c r="Q120" s="1800"/>
      <c r="R120" s="1800"/>
      <c r="S120" s="1800"/>
      <c r="T120" s="1800"/>
      <c r="U120" s="1800"/>
      <c r="V120" s="1800"/>
      <c r="W120" s="1800"/>
      <c r="X120" s="1800"/>
      <c r="Y120" s="1800"/>
      <c r="Z120" s="1800"/>
    </row>
    <row r="121" spans="1:26">
      <c r="A121" s="1800"/>
      <c r="B121" s="1800"/>
      <c r="C121" s="1800"/>
      <c r="D121" s="1800"/>
      <c r="E121" s="1800"/>
      <c r="F121" s="1800"/>
      <c r="G121" s="1800"/>
      <c r="H121" s="1800"/>
      <c r="I121" s="1800"/>
      <c r="J121" s="1800"/>
      <c r="K121" s="1800"/>
      <c r="L121" s="1800"/>
      <c r="M121" s="1800"/>
      <c r="N121" s="1800"/>
      <c r="O121" s="1800"/>
      <c r="P121" s="1800"/>
      <c r="Q121" s="1800"/>
      <c r="R121" s="1800"/>
      <c r="S121" s="1800"/>
      <c r="T121" s="1800"/>
      <c r="U121" s="1800"/>
      <c r="V121" s="1800"/>
      <c r="W121" s="1800"/>
      <c r="X121" s="1800"/>
      <c r="Y121" s="1800"/>
      <c r="Z121" s="1800"/>
    </row>
    <row r="122" spans="1:26">
      <c r="A122" s="1800"/>
      <c r="B122" s="1800"/>
      <c r="C122" s="1800"/>
      <c r="D122" s="1800"/>
      <c r="E122" s="1800"/>
      <c r="F122" s="1800"/>
      <c r="G122" s="1800"/>
      <c r="H122" s="1800"/>
      <c r="I122" s="1800"/>
      <c r="J122" s="1800"/>
      <c r="K122" s="1800"/>
      <c r="L122" s="1800"/>
      <c r="M122" s="1800"/>
      <c r="N122" s="1800"/>
      <c r="O122" s="1800"/>
      <c r="P122" s="1800"/>
      <c r="Q122" s="1800"/>
      <c r="R122" s="1800"/>
      <c r="S122" s="1800"/>
      <c r="T122" s="1800"/>
      <c r="U122" s="1800"/>
      <c r="V122" s="1800"/>
      <c r="W122" s="1800"/>
      <c r="X122" s="1800"/>
      <c r="Y122" s="1800"/>
      <c r="Z122" s="1800"/>
    </row>
    <row r="123" spans="1:26">
      <c r="A123" s="1800"/>
      <c r="B123" s="1800"/>
      <c r="C123" s="1800"/>
      <c r="D123" s="1800"/>
      <c r="E123" s="1800"/>
      <c r="F123" s="1800"/>
      <c r="G123" s="1800"/>
      <c r="H123" s="1800"/>
      <c r="I123" s="1800"/>
      <c r="J123" s="1800"/>
      <c r="K123" s="1800"/>
      <c r="L123" s="1800"/>
      <c r="M123" s="1800"/>
      <c r="N123" s="1800"/>
      <c r="O123" s="1800"/>
      <c r="P123" s="1800"/>
      <c r="Q123" s="1800"/>
      <c r="R123" s="1800"/>
      <c r="S123" s="1800"/>
      <c r="T123" s="1800"/>
      <c r="U123" s="1800"/>
      <c r="V123" s="1800"/>
      <c r="W123" s="1800"/>
      <c r="X123" s="1800"/>
      <c r="Y123" s="1800"/>
      <c r="Z123" s="1800"/>
    </row>
    <row r="124" spans="1:26">
      <c r="A124" s="1800"/>
      <c r="B124" s="1800"/>
      <c r="C124" s="1800"/>
      <c r="D124" s="1800"/>
      <c r="E124" s="1800"/>
      <c r="F124" s="1800"/>
      <c r="G124" s="1800"/>
      <c r="H124" s="1800"/>
      <c r="I124" s="1800"/>
      <c r="J124" s="1800"/>
      <c r="K124" s="1800"/>
      <c r="L124" s="1800"/>
      <c r="M124" s="1800"/>
      <c r="N124" s="1800"/>
      <c r="O124" s="1800"/>
      <c r="P124" s="1800"/>
      <c r="Q124" s="1800"/>
      <c r="R124" s="1800"/>
      <c r="S124" s="1800"/>
      <c r="T124" s="1800"/>
      <c r="U124" s="1800"/>
      <c r="V124" s="1800"/>
      <c r="W124" s="1800"/>
      <c r="X124" s="1800"/>
      <c r="Y124" s="1800"/>
      <c r="Z124" s="1800"/>
    </row>
    <row r="125" spans="1:26">
      <c r="A125" s="1800"/>
      <c r="B125" s="1800"/>
      <c r="C125" s="1800"/>
      <c r="D125" s="1800"/>
      <c r="E125" s="1800"/>
      <c r="F125" s="1800"/>
      <c r="G125" s="1800"/>
      <c r="H125" s="1800"/>
      <c r="I125" s="1800"/>
      <c r="J125" s="1800"/>
      <c r="K125" s="1800"/>
      <c r="L125" s="1800"/>
      <c r="M125" s="1800"/>
      <c r="N125" s="1800"/>
      <c r="O125" s="1800"/>
      <c r="P125" s="1800"/>
      <c r="Q125" s="1800"/>
      <c r="R125" s="1800"/>
      <c r="S125" s="1800"/>
      <c r="T125" s="1800"/>
      <c r="U125" s="1800"/>
      <c r="V125" s="1800"/>
      <c r="W125" s="1800"/>
      <c r="X125" s="1800"/>
      <c r="Y125" s="1800"/>
      <c r="Z125" s="1800"/>
    </row>
    <row r="126" spans="1:26">
      <c r="A126" s="1800"/>
      <c r="B126" s="1800"/>
      <c r="C126" s="1800"/>
      <c r="D126" s="1800"/>
      <c r="E126" s="1800"/>
      <c r="F126" s="1800"/>
      <c r="G126" s="1800"/>
      <c r="H126" s="1800"/>
      <c r="I126" s="1800"/>
      <c r="J126" s="1800"/>
      <c r="K126" s="1800"/>
      <c r="L126" s="1800"/>
      <c r="M126" s="1800"/>
      <c r="N126" s="1800"/>
      <c r="O126" s="1800"/>
      <c r="P126" s="1800"/>
      <c r="Q126" s="1800"/>
      <c r="R126" s="1800"/>
      <c r="S126" s="1800"/>
      <c r="T126" s="1800"/>
      <c r="U126" s="1800"/>
      <c r="V126" s="1800"/>
      <c r="W126" s="1800"/>
      <c r="X126" s="1800"/>
      <c r="Y126" s="1800"/>
      <c r="Z126" s="1800"/>
    </row>
    <row r="127" spans="1:26">
      <c r="A127" s="1800"/>
      <c r="B127" s="1800"/>
      <c r="C127" s="1800"/>
      <c r="D127" s="1800"/>
      <c r="E127" s="1800"/>
      <c r="F127" s="1800"/>
      <c r="G127" s="1800"/>
      <c r="H127" s="1800"/>
      <c r="I127" s="1800"/>
      <c r="J127" s="1800"/>
      <c r="K127" s="1800"/>
      <c r="L127" s="1800"/>
      <c r="M127" s="1800"/>
      <c r="N127" s="1800"/>
      <c r="O127" s="1800"/>
      <c r="P127" s="1800"/>
      <c r="Q127" s="1800"/>
      <c r="R127" s="1800"/>
      <c r="S127" s="1800"/>
      <c r="T127" s="1800"/>
      <c r="U127" s="1800"/>
      <c r="V127" s="1800"/>
      <c r="W127" s="1800"/>
      <c r="X127" s="1800"/>
      <c r="Y127" s="1800"/>
      <c r="Z127" s="1800"/>
    </row>
    <row r="128" spans="1:26">
      <c r="A128" s="1800"/>
      <c r="B128" s="1800"/>
      <c r="C128" s="1800"/>
      <c r="D128" s="1800"/>
      <c r="E128" s="1800"/>
      <c r="F128" s="1800"/>
      <c r="G128" s="1800"/>
      <c r="H128" s="1800"/>
      <c r="I128" s="1800"/>
      <c r="J128" s="1800"/>
      <c r="K128" s="1800"/>
      <c r="L128" s="1800"/>
      <c r="M128" s="1800"/>
      <c r="N128" s="1800"/>
      <c r="O128" s="1800"/>
      <c r="P128" s="1800"/>
      <c r="Q128" s="1800"/>
      <c r="R128" s="1800"/>
      <c r="S128" s="1800"/>
      <c r="T128" s="1800"/>
      <c r="U128" s="1800"/>
      <c r="V128" s="1800"/>
      <c r="W128" s="1800"/>
      <c r="X128" s="1800"/>
      <c r="Y128" s="1800"/>
      <c r="Z128" s="1800"/>
    </row>
    <row r="129" spans="1:26">
      <c r="A129" s="1800"/>
      <c r="B129" s="1800"/>
      <c r="C129" s="1800"/>
      <c r="D129" s="1800"/>
      <c r="E129" s="1800"/>
      <c r="F129" s="1800"/>
      <c r="G129" s="1800"/>
      <c r="H129" s="1800"/>
      <c r="I129" s="1800"/>
      <c r="J129" s="1800"/>
      <c r="K129" s="1800"/>
      <c r="L129" s="1800"/>
      <c r="M129" s="1800"/>
      <c r="N129" s="1800"/>
      <c r="O129" s="1800"/>
      <c r="P129" s="1800"/>
      <c r="Q129" s="1800"/>
      <c r="R129" s="1800"/>
      <c r="S129" s="1800"/>
      <c r="T129" s="1800"/>
      <c r="U129" s="1800"/>
      <c r="V129" s="1800"/>
      <c r="W129" s="1800"/>
      <c r="X129" s="1800"/>
      <c r="Y129" s="1800"/>
      <c r="Z129" s="1800"/>
    </row>
    <row r="130" spans="1:26">
      <c r="A130" s="1800"/>
      <c r="B130" s="1800"/>
      <c r="C130" s="1800"/>
      <c r="D130" s="1800"/>
      <c r="E130" s="1800"/>
      <c r="F130" s="1800"/>
      <c r="G130" s="1800"/>
      <c r="H130" s="1800"/>
      <c r="I130" s="1800"/>
      <c r="J130" s="1800"/>
      <c r="K130" s="1800"/>
      <c r="L130" s="1800"/>
      <c r="M130" s="1800"/>
      <c r="N130" s="1800"/>
      <c r="O130" s="1800"/>
      <c r="P130" s="1800"/>
      <c r="Q130" s="1800"/>
      <c r="R130" s="1800"/>
      <c r="S130" s="1800"/>
      <c r="T130" s="1800"/>
      <c r="U130" s="1800"/>
      <c r="V130" s="1800"/>
      <c r="W130" s="1800"/>
      <c r="X130" s="1800"/>
      <c r="Y130" s="1800"/>
      <c r="Z130" s="1800"/>
    </row>
    <row r="131" spans="1:26">
      <c r="A131" s="1800"/>
      <c r="B131" s="1800"/>
      <c r="C131" s="1800"/>
      <c r="D131" s="1800"/>
      <c r="E131" s="1800"/>
      <c r="F131" s="1800"/>
      <c r="G131" s="1800"/>
      <c r="H131" s="1800"/>
      <c r="I131" s="1800"/>
      <c r="J131" s="1800"/>
      <c r="K131" s="1800"/>
      <c r="L131" s="1800"/>
      <c r="M131" s="1800"/>
      <c r="N131" s="1800"/>
      <c r="O131" s="1800"/>
      <c r="P131" s="1800"/>
      <c r="Q131" s="1800"/>
      <c r="R131" s="1800"/>
      <c r="S131" s="1800"/>
      <c r="T131" s="1800"/>
      <c r="U131" s="1800"/>
      <c r="V131" s="1800"/>
      <c r="W131" s="1800"/>
      <c r="X131" s="1800"/>
      <c r="Y131" s="1800"/>
      <c r="Z131" s="1800"/>
    </row>
    <row r="132" spans="1:26">
      <c r="A132" s="1800"/>
      <c r="B132" s="1800"/>
      <c r="C132" s="1800"/>
      <c r="D132" s="1800"/>
      <c r="E132" s="1800"/>
      <c r="F132" s="1800"/>
      <c r="G132" s="1800"/>
      <c r="H132" s="1800"/>
      <c r="I132" s="1800"/>
      <c r="J132" s="1800"/>
      <c r="K132" s="1800"/>
      <c r="L132" s="1800"/>
      <c r="M132" s="1800"/>
      <c r="N132" s="1800"/>
      <c r="O132" s="1800"/>
      <c r="P132" s="1800"/>
      <c r="Q132" s="1800"/>
      <c r="R132" s="1800"/>
      <c r="S132" s="1800"/>
      <c r="T132" s="1800"/>
      <c r="U132" s="1800"/>
      <c r="V132" s="1800"/>
      <c r="W132" s="1800"/>
      <c r="X132" s="1800"/>
      <c r="Y132" s="1800"/>
      <c r="Z132" s="1800"/>
    </row>
    <row r="133" spans="1:26">
      <c r="A133" s="1800"/>
      <c r="B133" s="1800"/>
      <c r="C133" s="1800"/>
      <c r="D133" s="1800"/>
      <c r="E133" s="1800"/>
      <c r="F133" s="1800"/>
      <c r="G133" s="1800"/>
      <c r="H133" s="1800"/>
      <c r="I133" s="1800"/>
      <c r="J133" s="1800"/>
      <c r="K133" s="1800"/>
      <c r="L133" s="1800"/>
      <c r="M133" s="1800"/>
      <c r="N133" s="1800"/>
      <c r="O133" s="1800"/>
      <c r="P133" s="1800"/>
      <c r="Q133" s="1800"/>
      <c r="R133" s="1800"/>
      <c r="S133" s="1800"/>
      <c r="T133" s="1800"/>
      <c r="U133" s="1800"/>
      <c r="V133" s="1800"/>
      <c r="W133" s="1800"/>
      <c r="X133" s="1800"/>
      <c r="Y133" s="1800"/>
      <c r="Z133" s="1800"/>
    </row>
    <row r="134" spans="1:26">
      <c r="A134" s="1800"/>
      <c r="B134" s="1800"/>
      <c r="C134" s="1800"/>
      <c r="D134" s="1800"/>
      <c r="E134" s="1800"/>
      <c r="F134" s="1800"/>
      <c r="G134" s="1800"/>
      <c r="H134" s="1800"/>
      <c r="I134" s="1800"/>
      <c r="J134" s="1800"/>
      <c r="K134" s="1800"/>
      <c r="L134" s="1800"/>
      <c r="M134" s="1800"/>
      <c r="N134" s="1800"/>
      <c r="O134" s="1800"/>
      <c r="P134" s="1800"/>
      <c r="Q134" s="1800"/>
      <c r="R134" s="1800"/>
      <c r="S134" s="1800"/>
      <c r="T134" s="1800"/>
      <c r="U134" s="1800"/>
      <c r="V134" s="1800"/>
      <c r="W134" s="1800"/>
      <c r="X134" s="1800"/>
      <c r="Y134" s="1800"/>
      <c r="Z134" s="1800"/>
    </row>
    <row r="135" spans="1:26">
      <c r="A135" s="1800"/>
      <c r="B135" s="1800"/>
      <c r="C135" s="1800"/>
      <c r="D135" s="1800"/>
      <c r="E135" s="1800"/>
      <c r="F135" s="1800"/>
      <c r="G135" s="1800"/>
      <c r="H135" s="1800"/>
      <c r="I135" s="1800"/>
      <c r="J135" s="1800"/>
      <c r="K135" s="1800"/>
      <c r="L135" s="1800"/>
      <c r="M135" s="1800"/>
      <c r="N135" s="1800"/>
      <c r="O135" s="1800"/>
      <c r="P135" s="1800"/>
      <c r="Q135" s="1800"/>
      <c r="R135" s="1800"/>
      <c r="S135" s="1800"/>
      <c r="T135" s="1800"/>
      <c r="U135" s="1800"/>
      <c r="V135" s="1800"/>
      <c r="W135" s="1800"/>
      <c r="X135" s="1800"/>
      <c r="Y135" s="1800"/>
      <c r="Z135" s="1800"/>
    </row>
    <row r="136" spans="1:26">
      <c r="A136" s="1800"/>
      <c r="B136" s="1800"/>
      <c r="C136" s="1800"/>
      <c r="D136" s="1800"/>
      <c r="E136" s="1800"/>
      <c r="F136" s="1800"/>
      <c r="G136" s="1800"/>
      <c r="H136" s="1800"/>
      <c r="I136" s="1800"/>
      <c r="J136" s="1800"/>
      <c r="K136" s="1800"/>
      <c r="L136" s="1800"/>
      <c r="M136" s="1800"/>
      <c r="N136" s="1800"/>
      <c r="O136" s="1800"/>
      <c r="P136" s="1800"/>
      <c r="Q136" s="1800"/>
      <c r="R136" s="1800"/>
      <c r="S136" s="1800"/>
      <c r="T136" s="1800"/>
      <c r="U136" s="1800"/>
      <c r="V136" s="1800"/>
      <c r="W136" s="1800"/>
      <c r="X136" s="1800"/>
      <c r="Y136" s="1800"/>
      <c r="Z136" s="1800"/>
    </row>
    <row r="137" spans="1:26">
      <c r="A137" s="1800"/>
      <c r="B137" s="1800"/>
      <c r="C137" s="1800"/>
      <c r="D137" s="1800"/>
      <c r="E137" s="1800"/>
      <c r="F137" s="1800"/>
      <c r="G137" s="1800"/>
      <c r="H137" s="1800"/>
      <c r="I137" s="1800"/>
      <c r="J137" s="1800"/>
      <c r="K137" s="1800"/>
      <c r="L137" s="1800"/>
      <c r="M137" s="1800"/>
      <c r="N137" s="1800"/>
      <c r="O137" s="1800"/>
      <c r="P137" s="1800"/>
      <c r="Q137" s="1800"/>
      <c r="R137" s="1800"/>
      <c r="S137" s="1800"/>
      <c r="T137" s="1800"/>
      <c r="U137" s="1800"/>
      <c r="V137" s="1800"/>
      <c r="W137" s="1800"/>
      <c r="X137" s="1800"/>
      <c r="Y137" s="1800"/>
      <c r="Z137" s="1800"/>
    </row>
    <row r="138" spans="1:26">
      <c r="A138" s="1800"/>
      <c r="B138" s="1800"/>
      <c r="C138" s="1800"/>
      <c r="D138" s="1800"/>
      <c r="E138" s="1800"/>
      <c r="F138" s="1800"/>
      <c r="G138" s="1800"/>
      <c r="H138" s="1800"/>
      <c r="I138" s="1800"/>
      <c r="J138" s="1800"/>
      <c r="K138" s="1800"/>
      <c r="L138" s="1800"/>
      <c r="M138" s="1800"/>
      <c r="N138" s="1800"/>
      <c r="O138" s="1800"/>
      <c r="P138" s="1800"/>
      <c r="Q138" s="1800"/>
      <c r="R138" s="1800"/>
      <c r="S138" s="1800"/>
      <c r="T138" s="1800"/>
      <c r="U138" s="1800"/>
      <c r="V138" s="1800"/>
      <c r="W138" s="1800"/>
      <c r="X138" s="1800"/>
      <c r="Y138" s="1800"/>
      <c r="Z138" s="1800"/>
    </row>
    <row r="139" spans="1:26">
      <c r="A139" s="1800"/>
      <c r="B139" s="1800"/>
      <c r="C139" s="1800"/>
      <c r="D139" s="1800"/>
      <c r="E139" s="1800"/>
      <c r="F139" s="1800"/>
      <c r="G139" s="1800"/>
      <c r="H139" s="1800"/>
      <c r="I139" s="1800"/>
      <c r="J139" s="1800"/>
      <c r="K139" s="1800"/>
      <c r="L139" s="1800"/>
      <c r="M139" s="1800"/>
      <c r="N139" s="1800"/>
      <c r="O139" s="1800"/>
      <c r="P139" s="1800"/>
      <c r="Q139" s="1800"/>
      <c r="R139" s="1800"/>
      <c r="S139" s="1800"/>
      <c r="T139" s="1800"/>
      <c r="U139" s="1800"/>
      <c r="V139" s="1800"/>
      <c r="W139" s="1800"/>
      <c r="X139" s="1800"/>
      <c r="Y139" s="1800"/>
      <c r="Z139" s="1800"/>
    </row>
    <row r="140" spans="1:26">
      <c r="A140" s="1800"/>
      <c r="B140" s="1800"/>
      <c r="C140" s="1800"/>
      <c r="D140" s="1800"/>
      <c r="E140" s="1800"/>
      <c r="F140" s="1800"/>
      <c r="G140" s="1800"/>
      <c r="H140" s="1800"/>
      <c r="I140" s="1800"/>
      <c r="J140" s="1800"/>
      <c r="K140" s="1800"/>
      <c r="L140" s="1800"/>
      <c r="M140" s="1800"/>
      <c r="N140" s="1800"/>
      <c r="O140" s="1800"/>
      <c r="P140" s="1800"/>
      <c r="Q140" s="1800"/>
      <c r="R140" s="1800"/>
      <c r="S140" s="1800"/>
      <c r="T140" s="1800"/>
      <c r="U140" s="1800"/>
      <c r="V140" s="1800"/>
      <c r="W140" s="1800"/>
      <c r="X140" s="1800"/>
      <c r="Y140" s="1800"/>
      <c r="Z140" s="1800"/>
    </row>
    <row r="141" spans="1:26">
      <c r="A141" s="1800"/>
      <c r="B141" s="1800"/>
      <c r="C141" s="1800"/>
      <c r="D141" s="1800"/>
      <c r="E141" s="1800"/>
      <c r="F141" s="1800"/>
      <c r="G141" s="1800"/>
      <c r="H141" s="1800"/>
      <c r="I141" s="1800"/>
      <c r="J141" s="1800"/>
      <c r="K141" s="1800"/>
      <c r="L141" s="1800"/>
      <c r="M141" s="1800"/>
      <c r="N141" s="1800"/>
      <c r="O141" s="1800"/>
      <c r="P141" s="1800"/>
      <c r="Q141" s="1800"/>
      <c r="R141" s="1800"/>
      <c r="S141" s="1800"/>
      <c r="T141" s="1800"/>
      <c r="U141" s="1800"/>
      <c r="V141" s="1800"/>
      <c r="W141" s="1800"/>
      <c r="X141" s="1800"/>
      <c r="Y141" s="1800"/>
      <c r="Z141" s="1800"/>
    </row>
    <row r="142" spans="1:26">
      <c r="A142" s="1800"/>
      <c r="B142" s="1800"/>
      <c r="C142" s="1800"/>
      <c r="D142" s="1800"/>
      <c r="E142" s="1800"/>
      <c r="F142" s="1800"/>
      <c r="G142" s="1800"/>
      <c r="H142" s="1800"/>
      <c r="I142" s="1800"/>
      <c r="J142" s="1800"/>
      <c r="K142" s="1800"/>
      <c r="L142" s="1800"/>
      <c r="M142" s="1800"/>
      <c r="N142" s="1800"/>
      <c r="O142" s="1800"/>
      <c r="P142" s="1800"/>
      <c r="Q142" s="1800"/>
      <c r="R142" s="1800"/>
      <c r="S142" s="1800"/>
      <c r="T142" s="1800"/>
      <c r="U142" s="1800"/>
      <c r="V142" s="1800"/>
      <c r="W142" s="1800"/>
      <c r="X142" s="1800"/>
      <c r="Y142" s="1800"/>
      <c r="Z142" s="1800"/>
    </row>
    <row r="143" spans="1:26">
      <c r="A143" s="1800"/>
      <c r="B143" s="1800"/>
      <c r="C143" s="1800"/>
      <c r="D143" s="1800"/>
      <c r="E143" s="1800"/>
      <c r="F143" s="1800"/>
      <c r="G143" s="1800"/>
      <c r="H143" s="1800"/>
      <c r="I143" s="1800"/>
      <c r="J143" s="1800"/>
      <c r="K143" s="1800"/>
      <c r="L143" s="1800"/>
      <c r="M143" s="1800"/>
      <c r="N143" s="1800"/>
      <c r="O143" s="1800"/>
      <c r="P143" s="1800"/>
      <c r="Q143" s="1800"/>
      <c r="R143" s="1800"/>
      <c r="S143" s="1800"/>
      <c r="T143" s="1800"/>
      <c r="U143" s="1800"/>
      <c r="V143" s="1800"/>
      <c r="W143" s="1800"/>
      <c r="X143" s="1800"/>
      <c r="Y143" s="1800"/>
      <c r="Z143" s="1800"/>
    </row>
    <row r="144" spans="1:26">
      <c r="A144" s="1800"/>
      <c r="B144" s="1800"/>
      <c r="C144" s="1800"/>
      <c r="D144" s="1800"/>
      <c r="E144" s="1800"/>
      <c r="F144" s="1800"/>
      <c r="G144" s="1800"/>
      <c r="H144" s="1800"/>
      <c r="I144" s="1800"/>
      <c r="J144" s="1800"/>
      <c r="K144" s="1800"/>
      <c r="L144" s="1800"/>
      <c r="M144" s="1800"/>
      <c r="N144" s="1800"/>
      <c r="O144" s="1800"/>
      <c r="P144" s="1800"/>
      <c r="Q144" s="1800"/>
      <c r="R144" s="1800"/>
      <c r="S144" s="1800"/>
      <c r="T144" s="1800"/>
      <c r="U144" s="1800"/>
      <c r="V144" s="1800"/>
      <c r="W144" s="1800"/>
      <c r="X144" s="1800"/>
      <c r="Y144" s="1800"/>
      <c r="Z144" s="1800"/>
    </row>
    <row r="145" spans="1:26">
      <c r="A145" s="1800"/>
      <c r="B145" s="1800"/>
      <c r="C145" s="1800"/>
      <c r="D145" s="1800"/>
      <c r="E145" s="1800"/>
      <c r="F145" s="1800"/>
      <c r="G145" s="1800"/>
      <c r="H145" s="1800"/>
      <c r="I145" s="1800"/>
      <c r="J145" s="1800"/>
      <c r="K145" s="1800"/>
      <c r="L145" s="1800"/>
      <c r="M145" s="1800"/>
      <c r="N145" s="1800"/>
      <c r="O145" s="1800"/>
      <c r="P145" s="1800"/>
      <c r="Q145" s="1800"/>
      <c r="R145" s="1800"/>
      <c r="S145" s="1800"/>
      <c r="T145" s="1800"/>
      <c r="U145" s="1800"/>
      <c r="V145" s="1800"/>
      <c r="W145" s="1800"/>
      <c r="X145" s="1800"/>
      <c r="Y145" s="1800"/>
      <c r="Z145" s="1800"/>
    </row>
    <row r="146" spans="1:26">
      <c r="A146" s="1800"/>
      <c r="B146" s="1800"/>
      <c r="C146" s="1800"/>
      <c r="D146" s="1800"/>
      <c r="E146" s="1800"/>
      <c r="F146" s="1800"/>
      <c r="G146" s="1800"/>
      <c r="H146" s="1800"/>
      <c r="I146" s="1800"/>
      <c r="J146" s="1800"/>
      <c r="K146" s="1800"/>
      <c r="L146" s="1800"/>
      <c r="M146" s="1800"/>
      <c r="N146" s="1800"/>
      <c r="O146" s="1800"/>
      <c r="P146" s="1800"/>
      <c r="Q146" s="1800"/>
      <c r="R146" s="1800"/>
      <c r="S146" s="1800"/>
      <c r="T146" s="1800"/>
      <c r="U146" s="1800"/>
      <c r="V146" s="1800"/>
      <c r="W146" s="1800"/>
      <c r="X146" s="1800"/>
      <c r="Y146" s="1800"/>
      <c r="Z146" s="1800"/>
    </row>
    <row r="147" spans="1:26">
      <c r="A147" s="1800"/>
      <c r="B147" s="1800"/>
      <c r="C147" s="1800"/>
      <c r="D147" s="1800"/>
      <c r="E147" s="1800"/>
      <c r="F147" s="1800"/>
      <c r="G147" s="1800"/>
      <c r="H147" s="1800"/>
      <c r="I147" s="1800"/>
      <c r="J147" s="1800"/>
      <c r="K147" s="1800"/>
      <c r="L147" s="1800"/>
      <c r="M147" s="1800"/>
      <c r="N147" s="1800"/>
      <c r="O147" s="1800"/>
      <c r="P147" s="1800"/>
      <c r="Q147" s="1800"/>
      <c r="R147" s="1800"/>
      <c r="S147" s="1800"/>
      <c r="T147" s="1800"/>
      <c r="U147" s="1800"/>
      <c r="V147" s="1800"/>
      <c r="W147" s="1800"/>
      <c r="X147" s="1800"/>
      <c r="Y147" s="1800"/>
      <c r="Z147" s="1800"/>
    </row>
    <row r="148" spans="1:26">
      <c r="A148" s="1800"/>
      <c r="B148" s="1800"/>
      <c r="C148" s="1800"/>
      <c r="D148" s="1800"/>
      <c r="E148" s="1800"/>
      <c r="F148" s="1800"/>
      <c r="G148" s="1800"/>
      <c r="H148" s="1800"/>
      <c r="I148" s="1800"/>
      <c r="J148" s="1800"/>
      <c r="K148" s="1800"/>
      <c r="L148" s="1800"/>
      <c r="M148" s="1800"/>
      <c r="N148" s="1800"/>
      <c r="O148" s="1800"/>
      <c r="P148" s="1800"/>
      <c r="Q148" s="1800"/>
      <c r="R148" s="1800"/>
      <c r="S148" s="1800"/>
      <c r="T148" s="1800"/>
      <c r="U148" s="1800"/>
      <c r="V148" s="1800"/>
      <c r="W148" s="1800"/>
      <c r="X148" s="1800"/>
      <c r="Y148" s="1800"/>
      <c r="Z148" s="1800"/>
    </row>
    <row r="149" spans="1:26">
      <c r="A149" s="1800"/>
      <c r="B149" s="1800"/>
      <c r="C149" s="1800"/>
      <c r="D149" s="1800"/>
      <c r="E149" s="1800"/>
      <c r="F149" s="1800"/>
      <c r="G149" s="1800"/>
      <c r="H149" s="1800"/>
      <c r="I149" s="1800"/>
      <c r="J149" s="1800"/>
      <c r="K149" s="1800"/>
      <c r="L149" s="1800"/>
      <c r="M149" s="1800"/>
      <c r="N149" s="1800"/>
      <c r="O149" s="1800"/>
      <c r="P149" s="1800"/>
      <c r="Q149" s="1800"/>
      <c r="R149" s="1800"/>
      <c r="S149" s="1800"/>
      <c r="T149" s="1800"/>
      <c r="U149" s="1800"/>
      <c r="V149" s="1800"/>
      <c r="W149" s="1800"/>
      <c r="X149" s="1800"/>
      <c r="Y149" s="1800"/>
      <c r="Z149" s="1800"/>
    </row>
    <row r="150" spans="1:26">
      <c r="A150" s="1800"/>
      <c r="B150" s="1800"/>
      <c r="C150" s="1800"/>
      <c r="D150" s="1800"/>
      <c r="E150" s="1800"/>
      <c r="F150" s="1800"/>
      <c r="G150" s="1800"/>
      <c r="H150" s="1800"/>
      <c r="I150" s="1800"/>
      <c r="J150" s="1800"/>
      <c r="K150" s="1800"/>
      <c r="L150" s="1800"/>
      <c r="M150" s="1800"/>
      <c r="N150" s="1800"/>
      <c r="O150" s="1800"/>
      <c r="P150" s="1800"/>
      <c r="Q150" s="1800"/>
      <c r="R150" s="1800"/>
      <c r="S150" s="1800"/>
      <c r="T150" s="1800"/>
      <c r="U150" s="1800"/>
      <c r="V150" s="1800"/>
      <c r="W150" s="1800"/>
      <c r="X150" s="1800"/>
      <c r="Y150" s="1800"/>
      <c r="Z150" s="1800"/>
    </row>
    <row r="151" spans="1:26">
      <c r="A151" s="1800"/>
      <c r="B151" s="1800"/>
      <c r="C151" s="1800"/>
      <c r="D151" s="1800"/>
      <c r="E151" s="1800"/>
      <c r="F151" s="1800"/>
      <c r="G151" s="1800"/>
      <c r="H151" s="1800"/>
      <c r="I151" s="1800"/>
      <c r="J151" s="1800"/>
      <c r="K151" s="1800"/>
      <c r="L151" s="1800"/>
      <c r="M151" s="1800"/>
      <c r="N151" s="1800"/>
      <c r="O151" s="1800"/>
      <c r="P151" s="1800"/>
      <c r="Q151" s="1800"/>
      <c r="R151" s="1800"/>
      <c r="S151" s="1800"/>
      <c r="T151" s="1800"/>
      <c r="U151" s="1800"/>
      <c r="V151" s="1800"/>
      <c r="W151" s="1800"/>
      <c r="X151" s="1800"/>
      <c r="Y151" s="1800"/>
      <c r="Z151" s="1800"/>
    </row>
    <row r="152" spans="1:26">
      <c r="A152" s="1800"/>
      <c r="B152" s="1800"/>
      <c r="C152" s="1800"/>
      <c r="D152" s="1800"/>
      <c r="E152" s="1800"/>
      <c r="F152" s="1800"/>
      <c r="G152" s="1800"/>
      <c r="H152" s="1800"/>
      <c r="I152" s="1800"/>
      <c r="J152" s="1800"/>
      <c r="K152" s="1800"/>
      <c r="L152" s="1800"/>
      <c r="M152" s="1800"/>
      <c r="N152" s="1800"/>
      <c r="O152" s="1800"/>
      <c r="P152" s="1800"/>
      <c r="Q152" s="1800"/>
      <c r="R152" s="1800"/>
      <c r="S152" s="1800"/>
      <c r="T152" s="1800"/>
      <c r="U152" s="1800"/>
      <c r="V152" s="1800"/>
      <c r="W152" s="1800"/>
      <c r="X152" s="1800"/>
      <c r="Y152" s="1800"/>
      <c r="Z152" s="1800"/>
    </row>
    <row r="153" spans="1:26">
      <c r="A153" s="1800"/>
      <c r="B153" s="1800"/>
      <c r="C153" s="1800"/>
      <c r="D153" s="1800"/>
      <c r="E153" s="1800"/>
      <c r="F153" s="1800"/>
      <c r="G153" s="1800"/>
      <c r="H153" s="1800"/>
      <c r="I153" s="1800"/>
      <c r="J153" s="1800"/>
      <c r="K153" s="1800"/>
      <c r="L153" s="1800"/>
      <c r="M153" s="1800"/>
      <c r="N153" s="1800"/>
      <c r="O153" s="1800"/>
      <c r="P153" s="1800"/>
      <c r="Q153" s="1800"/>
      <c r="R153" s="1800"/>
      <c r="S153" s="1800"/>
      <c r="T153" s="1800"/>
      <c r="U153" s="1800"/>
      <c r="V153" s="1800"/>
      <c r="W153" s="1800"/>
      <c r="X153" s="1800"/>
      <c r="Y153" s="1800"/>
      <c r="Z153" s="1800"/>
    </row>
    <row r="154" spans="1:26">
      <c r="A154" s="1800"/>
      <c r="B154" s="1800"/>
      <c r="C154" s="1800"/>
      <c r="D154" s="1800"/>
      <c r="E154" s="1800"/>
      <c r="F154" s="1800"/>
      <c r="G154" s="1800"/>
      <c r="H154" s="1800"/>
      <c r="I154" s="1800"/>
      <c r="J154" s="1800"/>
      <c r="K154" s="1800"/>
      <c r="L154" s="1800"/>
      <c r="M154" s="1800"/>
      <c r="N154" s="1800"/>
      <c r="O154" s="1800"/>
      <c r="P154" s="1800"/>
      <c r="Q154" s="1800"/>
      <c r="R154" s="1800"/>
      <c r="S154" s="1800"/>
      <c r="T154" s="1800"/>
      <c r="U154" s="1800"/>
      <c r="V154" s="1800"/>
      <c r="W154" s="1800"/>
      <c r="X154" s="1800"/>
      <c r="Y154" s="1800"/>
      <c r="Z154" s="1800"/>
    </row>
    <row r="155" spans="1:26">
      <c r="A155" s="1800"/>
      <c r="B155" s="1800"/>
      <c r="C155" s="1800"/>
      <c r="D155" s="1800"/>
      <c r="E155" s="1800"/>
      <c r="F155" s="1800"/>
      <c r="G155" s="1800"/>
      <c r="H155" s="1800"/>
      <c r="I155" s="1800"/>
      <c r="J155" s="1800"/>
      <c r="K155" s="1800"/>
      <c r="L155" s="1800"/>
      <c r="M155" s="1800"/>
      <c r="N155" s="1800"/>
      <c r="O155" s="1800"/>
      <c r="P155" s="1800"/>
      <c r="Q155" s="1800"/>
      <c r="R155" s="1800"/>
      <c r="S155" s="1800"/>
      <c r="T155" s="1800"/>
      <c r="U155" s="1800"/>
      <c r="V155" s="1800"/>
      <c r="W155" s="1800"/>
      <c r="X155" s="1800"/>
      <c r="Y155" s="1800"/>
      <c r="Z155" s="1800"/>
    </row>
    <row r="156" spans="1:26">
      <c r="A156" s="1800"/>
      <c r="B156" s="1800"/>
      <c r="C156" s="1800"/>
      <c r="D156" s="1800"/>
      <c r="E156" s="1800"/>
      <c r="F156" s="1800"/>
      <c r="G156" s="1800"/>
      <c r="H156" s="1800"/>
      <c r="I156" s="1800"/>
      <c r="J156" s="1800"/>
      <c r="K156" s="1800"/>
      <c r="L156" s="1800"/>
      <c r="M156" s="1800"/>
      <c r="N156" s="1800"/>
      <c r="O156" s="1800"/>
      <c r="P156" s="1800"/>
      <c r="Q156" s="1800"/>
      <c r="R156" s="1800"/>
      <c r="S156" s="1800"/>
      <c r="T156" s="1800"/>
      <c r="U156" s="1800"/>
      <c r="V156" s="1800"/>
      <c r="W156" s="1800"/>
      <c r="X156" s="1800"/>
      <c r="Y156" s="1800"/>
      <c r="Z156" s="1800"/>
    </row>
    <row r="157" spans="1:26">
      <c r="A157" s="1800"/>
      <c r="B157" s="1800"/>
      <c r="C157" s="1800"/>
      <c r="D157" s="1800"/>
      <c r="E157" s="1800"/>
      <c r="F157" s="1800"/>
      <c r="G157" s="1800"/>
      <c r="H157" s="1800"/>
      <c r="I157" s="1800"/>
      <c r="J157" s="1800"/>
      <c r="K157" s="1800"/>
      <c r="L157" s="1800"/>
      <c r="M157" s="1800"/>
      <c r="N157" s="1800"/>
      <c r="O157" s="1800"/>
      <c r="P157" s="1800"/>
      <c r="Q157" s="1800"/>
      <c r="R157" s="1800"/>
      <c r="S157" s="1800"/>
      <c r="T157" s="1800"/>
      <c r="U157" s="1800"/>
      <c r="V157" s="1800"/>
      <c r="W157" s="1800"/>
      <c r="X157" s="1800"/>
      <c r="Y157" s="1800"/>
      <c r="Z157" s="1800"/>
    </row>
    <row r="158" spans="1:26">
      <c r="A158" s="1800"/>
      <c r="B158" s="1800"/>
      <c r="C158" s="1800"/>
      <c r="D158" s="1800"/>
      <c r="E158" s="1800"/>
      <c r="F158" s="1800"/>
      <c r="G158" s="1800"/>
      <c r="H158" s="1800"/>
      <c r="I158" s="1800"/>
      <c r="J158" s="1800"/>
      <c r="K158" s="1800"/>
      <c r="L158" s="1800"/>
      <c r="M158" s="1800"/>
      <c r="N158" s="1800"/>
      <c r="O158" s="1800"/>
      <c r="P158" s="1800"/>
      <c r="Q158" s="1800"/>
      <c r="R158" s="1800"/>
      <c r="S158" s="1800"/>
      <c r="T158" s="1800"/>
      <c r="U158" s="1800"/>
      <c r="V158" s="1800"/>
      <c r="W158" s="1800"/>
      <c r="X158" s="1800"/>
      <c r="Y158" s="1800"/>
      <c r="Z158" s="1800"/>
    </row>
    <row r="159" spans="1:26">
      <c r="A159" s="1800"/>
      <c r="B159" s="1800"/>
      <c r="C159" s="1800"/>
      <c r="D159" s="1800"/>
      <c r="E159" s="1800"/>
      <c r="F159" s="1800"/>
      <c r="G159" s="1800"/>
      <c r="H159" s="1800"/>
      <c r="I159" s="1800"/>
      <c r="J159" s="1800"/>
      <c r="K159" s="1800"/>
      <c r="L159" s="1800"/>
      <c r="M159" s="1800"/>
      <c r="N159" s="1800"/>
      <c r="O159" s="1800"/>
      <c r="P159" s="1800"/>
      <c r="Q159" s="1800"/>
      <c r="R159" s="1800"/>
      <c r="S159" s="1800"/>
      <c r="T159" s="1800"/>
      <c r="U159" s="1800"/>
      <c r="V159" s="1800"/>
      <c r="W159" s="1800"/>
      <c r="X159" s="1800"/>
      <c r="Y159" s="1800"/>
      <c r="Z159" s="1800"/>
    </row>
    <row r="160" spans="1:26">
      <c r="A160" s="1800"/>
      <c r="B160" s="1800"/>
      <c r="C160" s="1800"/>
      <c r="D160" s="1800"/>
      <c r="E160" s="1800"/>
      <c r="F160" s="1800"/>
      <c r="G160" s="1800"/>
      <c r="H160" s="1800"/>
      <c r="I160" s="1800"/>
      <c r="J160" s="1800"/>
      <c r="K160" s="1800"/>
      <c r="L160" s="1800"/>
      <c r="M160" s="1800"/>
      <c r="N160" s="1800"/>
      <c r="O160" s="1800"/>
      <c r="P160" s="1800"/>
      <c r="Q160" s="1800"/>
      <c r="R160" s="1800"/>
      <c r="S160" s="1800"/>
      <c r="T160" s="1800"/>
      <c r="U160" s="1800"/>
      <c r="V160" s="1800"/>
      <c r="W160" s="1800"/>
      <c r="X160" s="1800"/>
      <c r="Y160" s="1800"/>
      <c r="Z160" s="1800"/>
    </row>
    <row r="161" spans="1:26">
      <c r="A161" s="1800"/>
      <c r="B161" s="1800"/>
      <c r="C161" s="1800"/>
      <c r="D161" s="1800"/>
      <c r="E161" s="1800"/>
      <c r="F161" s="1800"/>
      <c r="G161" s="1800"/>
      <c r="H161" s="1800"/>
      <c r="I161" s="1800"/>
      <c r="J161" s="1800"/>
      <c r="K161" s="1800"/>
      <c r="L161" s="1800"/>
      <c r="M161" s="1800"/>
      <c r="N161" s="1800"/>
      <c r="O161" s="1800"/>
      <c r="P161" s="1800"/>
      <c r="Q161" s="1800"/>
      <c r="R161" s="1800"/>
      <c r="S161" s="1800"/>
      <c r="T161" s="1800"/>
      <c r="U161" s="1800"/>
      <c r="V161" s="1800"/>
      <c r="W161" s="1800"/>
      <c r="X161" s="1800"/>
      <c r="Y161" s="1800"/>
      <c r="Z161" s="1800"/>
    </row>
    <row r="162" spans="1:26">
      <c r="A162" s="1800"/>
      <c r="B162" s="1800"/>
      <c r="C162" s="1800"/>
      <c r="D162" s="1800"/>
      <c r="E162" s="1800"/>
      <c r="F162" s="1800"/>
      <c r="G162" s="1800"/>
      <c r="H162" s="1800"/>
      <c r="I162" s="1800"/>
      <c r="J162" s="1800"/>
      <c r="K162" s="1800"/>
      <c r="L162" s="1800"/>
      <c r="M162" s="1800"/>
      <c r="N162" s="1800"/>
      <c r="O162" s="1800"/>
      <c r="P162" s="1800"/>
      <c r="Q162" s="1800"/>
      <c r="R162" s="1800"/>
      <c r="S162" s="1800"/>
      <c r="T162" s="1800"/>
      <c r="U162" s="1800"/>
      <c r="V162" s="1800"/>
      <c r="W162" s="1800"/>
      <c r="X162" s="1800"/>
      <c r="Y162" s="1800"/>
      <c r="Z162" s="1800"/>
    </row>
    <row r="163" spans="1:26">
      <c r="A163" s="1800"/>
      <c r="B163" s="1800"/>
      <c r="C163" s="1800"/>
      <c r="D163" s="1800"/>
      <c r="E163" s="1800"/>
      <c r="F163" s="1800"/>
      <c r="G163" s="1800"/>
      <c r="H163" s="1800"/>
      <c r="I163" s="1800"/>
      <c r="J163" s="1800"/>
      <c r="K163" s="1800"/>
      <c r="L163" s="1800"/>
      <c r="M163" s="1800"/>
      <c r="N163" s="1800"/>
      <c r="O163" s="1800"/>
      <c r="P163" s="1800"/>
      <c r="Q163" s="1800"/>
      <c r="R163" s="1800"/>
      <c r="S163" s="1800"/>
      <c r="T163" s="1800"/>
      <c r="U163" s="1800"/>
      <c r="V163" s="1800"/>
      <c r="W163" s="1800"/>
      <c r="X163" s="1800"/>
      <c r="Y163" s="1800"/>
      <c r="Z163" s="1800"/>
    </row>
    <row r="164" spans="1:26">
      <c r="A164" s="1800"/>
      <c r="B164" s="1800"/>
      <c r="C164" s="1800"/>
      <c r="D164" s="1800"/>
      <c r="E164" s="1800"/>
      <c r="F164" s="1800"/>
      <c r="G164" s="1800"/>
      <c r="H164" s="1800"/>
      <c r="I164" s="1800"/>
      <c r="J164" s="1800"/>
      <c r="K164" s="1800"/>
      <c r="L164" s="1800"/>
      <c r="M164" s="1800"/>
      <c r="N164" s="1800"/>
      <c r="O164" s="1800"/>
      <c r="P164" s="1800"/>
      <c r="Q164" s="1800"/>
      <c r="R164" s="1800"/>
      <c r="S164" s="1800"/>
      <c r="T164" s="1800"/>
      <c r="U164" s="1800"/>
      <c r="V164" s="1800"/>
      <c r="W164" s="1800"/>
      <c r="X164" s="1800"/>
      <c r="Y164" s="1800"/>
      <c r="Z164" s="1800"/>
    </row>
    <row r="165" spans="1:26">
      <c r="A165" s="1800"/>
      <c r="B165" s="1800"/>
      <c r="C165" s="1800"/>
      <c r="D165" s="1800"/>
      <c r="E165" s="1800"/>
      <c r="F165" s="1800"/>
      <c r="G165" s="1800"/>
      <c r="H165" s="1800"/>
      <c r="I165" s="1800"/>
      <c r="J165" s="1800"/>
      <c r="K165" s="1800"/>
      <c r="L165" s="1800"/>
      <c r="M165" s="1800"/>
      <c r="N165" s="1800"/>
      <c r="O165" s="1800"/>
      <c r="P165" s="1800"/>
      <c r="Q165" s="1800"/>
      <c r="R165" s="1800"/>
      <c r="S165" s="1800"/>
      <c r="T165" s="1800"/>
      <c r="U165" s="1800"/>
      <c r="V165" s="1800"/>
      <c r="W165" s="1800"/>
      <c r="X165" s="1800"/>
      <c r="Y165" s="1800"/>
      <c r="Z165" s="1800"/>
    </row>
    <row r="166" spans="1:26">
      <c r="A166" s="1800"/>
      <c r="B166" s="1800"/>
      <c r="C166" s="1800"/>
      <c r="D166" s="1800"/>
      <c r="E166" s="1800"/>
      <c r="F166" s="1800"/>
      <c r="G166" s="1800"/>
      <c r="H166" s="1800"/>
      <c r="I166" s="1800"/>
      <c r="J166" s="1800"/>
      <c r="K166" s="1800"/>
      <c r="L166" s="1800"/>
      <c r="M166" s="1800"/>
      <c r="N166" s="1800"/>
      <c r="O166" s="1800"/>
      <c r="P166" s="1800"/>
      <c r="Q166" s="1800"/>
      <c r="R166" s="1800"/>
      <c r="S166" s="1800"/>
      <c r="T166" s="1800"/>
      <c r="U166" s="1800"/>
      <c r="V166" s="1800"/>
      <c r="W166" s="1800"/>
      <c r="X166" s="1800"/>
      <c r="Y166" s="1800"/>
      <c r="Z166" s="1800"/>
    </row>
    <row r="167" spans="1:26">
      <c r="A167" s="1800"/>
      <c r="B167" s="1800"/>
      <c r="C167" s="1800"/>
      <c r="D167" s="1800"/>
      <c r="E167" s="1800"/>
      <c r="F167" s="1800"/>
      <c r="G167" s="1800"/>
      <c r="H167" s="1800"/>
      <c r="I167" s="1800"/>
      <c r="J167" s="1800"/>
      <c r="K167" s="1800"/>
      <c r="L167" s="1800"/>
      <c r="M167" s="1800"/>
      <c r="N167" s="1800"/>
      <c r="O167" s="1800"/>
      <c r="P167" s="1800"/>
      <c r="Q167" s="1800"/>
      <c r="R167" s="1800"/>
      <c r="S167" s="1800"/>
      <c r="T167" s="1800"/>
      <c r="U167" s="1800"/>
      <c r="V167" s="1800"/>
      <c r="W167" s="1800"/>
      <c r="X167" s="1800"/>
      <c r="Y167" s="1800"/>
      <c r="Z167" s="1800"/>
    </row>
    <row r="168" spans="1:26">
      <c r="A168" s="1800"/>
      <c r="B168" s="1800"/>
      <c r="C168" s="1800"/>
      <c r="D168" s="1800"/>
      <c r="E168" s="1800"/>
      <c r="F168" s="1800"/>
      <c r="G168" s="1800"/>
      <c r="H168" s="1800"/>
      <c r="I168" s="1800"/>
      <c r="J168" s="1800"/>
      <c r="K168" s="1800"/>
      <c r="L168" s="1800"/>
      <c r="M168" s="1800"/>
      <c r="N168" s="1800"/>
      <c r="O168" s="1800"/>
      <c r="P168" s="1800"/>
      <c r="Q168" s="1800"/>
      <c r="R168" s="1800"/>
      <c r="S168" s="1800"/>
      <c r="T168" s="1800"/>
      <c r="U168" s="1800"/>
      <c r="V168" s="1800"/>
      <c r="W168" s="1800"/>
      <c r="X168" s="1800"/>
      <c r="Y168" s="1800"/>
      <c r="Z168" s="1800"/>
    </row>
    <row r="169" spans="1:26">
      <c r="A169" s="1800"/>
      <c r="B169" s="1800"/>
      <c r="C169" s="1800"/>
      <c r="D169" s="1800"/>
      <c r="E169" s="1800"/>
      <c r="F169" s="1800"/>
      <c r="G169" s="1800"/>
      <c r="H169" s="1800"/>
      <c r="I169" s="1800"/>
      <c r="J169" s="1800"/>
      <c r="K169" s="1800"/>
      <c r="L169" s="1800"/>
      <c r="M169" s="1800"/>
      <c r="N169" s="1800"/>
      <c r="O169" s="1800"/>
      <c r="P169" s="1800"/>
      <c r="Q169" s="1800"/>
      <c r="R169" s="1800"/>
      <c r="S169" s="1800"/>
      <c r="T169" s="1800"/>
      <c r="U169" s="1800"/>
      <c r="V169" s="1800"/>
      <c r="W169" s="1800"/>
      <c r="X169" s="1800"/>
      <c r="Y169" s="1800"/>
      <c r="Z169" s="1800"/>
    </row>
    <row r="170" spans="1:26">
      <c r="A170" s="1800"/>
      <c r="B170" s="1800"/>
      <c r="C170" s="1800"/>
      <c r="D170" s="1800"/>
      <c r="E170" s="1800"/>
      <c r="F170" s="1800"/>
      <c r="G170" s="1800"/>
      <c r="H170" s="1800"/>
      <c r="I170" s="1800"/>
      <c r="J170" s="1800"/>
      <c r="K170" s="1800"/>
      <c r="L170" s="1800"/>
      <c r="M170" s="1800"/>
      <c r="N170" s="1800"/>
      <c r="O170" s="1800"/>
      <c r="P170" s="1800"/>
      <c r="Q170" s="1800"/>
      <c r="R170" s="1800"/>
      <c r="S170" s="1800"/>
      <c r="T170" s="1800"/>
      <c r="U170" s="1800"/>
      <c r="V170" s="1800"/>
      <c r="W170" s="1800"/>
      <c r="X170" s="1800"/>
      <c r="Y170" s="1800"/>
      <c r="Z170" s="1800"/>
    </row>
    <row r="171" spans="1:26">
      <c r="A171" s="1800"/>
      <c r="B171" s="1800"/>
      <c r="C171" s="1800"/>
      <c r="D171" s="1800"/>
      <c r="E171" s="1800"/>
      <c r="F171" s="1800"/>
      <c r="G171" s="1800"/>
      <c r="H171" s="1800"/>
      <c r="I171" s="1800"/>
      <c r="J171" s="1800"/>
      <c r="K171" s="1800"/>
      <c r="L171" s="1800"/>
      <c r="M171" s="1800"/>
      <c r="N171" s="1800"/>
      <c r="O171" s="1800"/>
      <c r="P171" s="1800"/>
      <c r="Q171" s="1800"/>
      <c r="R171" s="1800"/>
      <c r="S171" s="1800"/>
      <c r="T171" s="1800"/>
      <c r="U171" s="1800"/>
      <c r="V171" s="1800"/>
      <c r="W171" s="1800"/>
      <c r="X171" s="1800"/>
      <c r="Y171" s="1800"/>
      <c r="Z171" s="1800"/>
    </row>
  </sheetData>
  <mergeCells count="256">
    <mergeCell ref="H2:T2"/>
    <mergeCell ref="U2:Z2"/>
    <mergeCell ref="H3:T3"/>
    <mergeCell ref="U3:W3"/>
    <mergeCell ref="X3:Z3"/>
    <mergeCell ref="A5:N5"/>
    <mergeCell ref="I26:J26"/>
    <mergeCell ref="K26:L26"/>
    <mergeCell ref="M26:N26"/>
    <mergeCell ref="O26:P26"/>
    <mergeCell ref="Q26:R26"/>
    <mergeCell ref="S26:T26"/>
    <mergeCell ref="U26:V26"/>
    <mergeCell ref="W26:X26"/>
    <mergeCell ref="Y26:Z26"/>
    <mergeCell ref="I24:N25"/>
    <mergeCell ref="O24:T25"/>
    <mergeCell ref="U24:Z25"/>
    <mergeCell ref="A2:G3"/>
    <mergeCell ref="A24:B26"/>
    <mergeCell ref="C24:D26"/>
    <mergeCell ref="E24:F26"/>
    <mergeCell ref="G24:H26"/>
    <mergeCell ref="U29:V29"/>
    <mergeCell ref="U27:V27"/>
    <mergeCell ref="W27:X27"/>
    <mergeCell ref="Y27:Z27"/>
    <mergeCell ref="A28:B28"/>
    <mergeCell ref="C28:D28"/>
    <mergeCell ref="I28:J28"/>
    <mergeCell ref="K28:L28"/>
    <mergeCell ref="M28:N28"/>
    <mergeCell ref="O28:P28"/>
    <mergeCell ref="Q28:R28"/>
    <mergeCell ref="S28:T28"/>
    <mergeCell ref="U28:V28"/>
    <mergeCell ref="W28:X28"/>
    <mergeCell ref="Y28:Z28"/>
    <mergeCell ref="A27:B27"/>
    <mergeCell ref="C27:D27"/>
    <mergeCell ref="E27:F27"/>
    <mergeCell ref="I27:J27"/>
    <mergeCell ref="K27:L27"/>
    <mergeCell ref="M27:N27"/>
    <mergeCell ref="O27:P27"/>
    <mergeCell ref="Q27:R27"/>
    <mergeCell ref="S27:T27"/>
    <mergeCell ref="W29:X29"/>
    <mergeCell ref="Y29:Z29"/>
    <mergeCell ref="A30:B30"/>
    <mergeCell ref="C30:D30"/>
    <mergeCell ref="E30:F30"/>
    <mergeCell ref="I30:J30"/>
    <mergeCell ref="K30:L30"/>
    <mergeCell ref="M30:N30"/>
    <mergeCell ref="O30:P30"/>
    <mergeCell ref="Q30:R30"/>
    <mergeCell ref="S30:T30"/>
    <mergeCell ref="U30:V30"/>
    <mergeCell ref="W30:X30"/>
    <mergeCell ref="Y30:Z30"/>
    <mergeCell ref="G27:H29"/>
    <mergeCell ref="E28:F29"/>
    <mergeCell ref="A29:B29"/>
    <mergeCell ref="C29:D29"/>
    <mergeCell ref="I29:J29"/>
    <mergeCell ref="K29:L29"/>
    <mergeCell ref="M29:N29"/>
    <mergeCell ref="O29:P29"/>
    <mergeCell ref="Q29:R29"/>
    <mergeCell ref="S29:T29"/>
    <mergeCell ref="U31:V31"/>
    <mergeCell ref="W31:X31"/>
    <mergeCell ref="Y31:Z31"/>
    <mergeCell ref="A32:B32"/>
    <mergeCell ref="C32:D32"/>
    <mergeCell ref="E32:F32"/>
    <mergeCell ref="I32:J32"/>
    <mergeCell ref="K32:L32"/>
    <mergeCell ref="M32:N32"/>
    <mergeCell ref="O32:P32"/>
    <mergeCell ref="Q32:R32"/>
    <mergeCell ref="S32:T32"/>
    <mergeCell ref="U32:V32"/>
    <mergeCell ref="W32:X32"/>
    <mergeCell ref="Y32:Z32"/>
    <mergeCell ref="A31:B31"/>
    <mergeCell ref="C31:D31"/>
    <mergeCell ref="E31:F31"/>
    <mergeCell ref="I31:J31"/>
    <mergeCell ref="K31:L31"/>
    <mergeCell ref="M31:N31"/>
    <mergeCell ref="O31:P31"/>
    <mergeCell ref="Q31:R31"/>
    <mergeCell ref="S31:T31"/>
    <mergeCell ref="U33:V33"/>
    <mergeCell ref="W33:X33"/>
    <mergeCell ref="Y33:Z33"/>
    <mergeCell ref="A34:B34"/>
    <mergeCell ref="I34:J34"/>
    <mergeCell ref="K34:L34"/>
    <mergeCell ref="M34:N34"/>
    <mergeCell ref="O34:P34"/>
    <mergeCell ref="Q34:R34"/>
    <mergeCell ref="S34:T34"/>
    <mergeCell ref="U34:V34"/>
    <mergeCell ref="W34:X34"/>
    <mergeCell ref="Y34:Z34"/>
    <mergeCell ref="A33:B33"/>
    <mergeCell ref="C33:D33"/>
    <mergeCell ref="E33:F33"/>
    <mergeCell ref="I33:J33"/>
    <mergeCell ref="K33:L33"/>
    <mergeCell ref="M33:N33"/>
    <mergeCell ref="O33:P33"/>
    <mergeCell ref="Q33:R33"/>
    <mergeCell ref="S33:T33"/>
    <mergeCell ref="Y35:Z35"/>
    <mergeCell ref="A36:B36"/>
    <mergeCell ref="I36:J36"/>
    <mergeCell ref="K36:L36"/>
    <mergeCell ref="M36:N36"/>
    <mergeCell ref="O36:P36"/>
    <mergeCell ref="Q36:R36"/>
    <mergeCell ref="S36:T36"/>
    <mergeCell ref="U36:V36"/>
    <mergeCell ref="W36:X36"/>
    <mergeCell ref="Y36:Z36"/>
    <mergeCell ref="A35:B35"/>
    <mergeCell ref="I35:J35"/>
    <mergeCell ref="K35:L35"/>
    <mergeCell ref="M35:N35"/>
    <mergeCell ref="O35:P35"/>
    <mergeCell ref="Q35:R35"/>
    <mergeCell ref="S35:T35"/>
    <mergeCell ref="U35:V35"/>
    <mergeCell ref="W35:X35"/>
    <mergeCell ref="Y37:Z37"/>
    <mergeCell ref="A38:B38"/>
    <mergeCell ref="I38:J38"/>
    <mergeCell ref="K38:L38"/>
    <mergeCell ref="M38:N38"/>
    <mergeCell ref="O38:P38"/>
    <mergeCell ref="Q38:R38"/>
    <mergeCell ref="S38:T38"/>
    <mergeCell ref="U38:V38"/>
    <mergeCell ref="W38:X38"/>
    <mergeCell ref="Y38:Z38"/>
    <mergeCell ref="A37:B37"/>
    <mergeCell ref="I37:J37"/>
    <mergeCell ref="K37:L37"/>
    <mergeCell ref="M37:N37"/>
    <mergeCell ref="O37:P37"/>
    <mergeCell ref="Q37:R37"/>
    <mergeCell ref="S37:T37"/>
    <mergeCell ref="U37:V37"/>
    <mergeCell ref="W37:X37"/>
    <mergeCell ref="Y39:Z39"/>
    <mergeCell ref="A40:B40"/>
    <mergeCell ref="I40:J40"/>
    <mergeCell ref="K40:L40"/>
    <mergeCell ref="M40:N40"/>
    <mergeCell ref="O40:P40"/>
    <mergeCell ref="Q40:R40"/>
    <mergeCell ref="S40:T40"/>
    <mergeCell ref="U40:V40"/>
    <mergeCell ref="W40:X40"/>
    <mergeCell ref="Y40:Z40"/>
    <mergeCell ref="A39:B39"/>
    <mergeCell ref="I39:J39"/>
    <mergeCell ref="K39:L39"/>
    <mergeCell ref="M39:N39"/>
    <mergeCell ref="O39:P39"/>
    <mergeCell ref="Q39:R39"/>
    <mergeCell ref="S39:T39"/>
    <mergeCell ref="U39:V39"/>
    <mergeCell ref="W39:X39"/>
    <mergeCell ref="Y41:Z41"/>
    <mergeCell ref="A42:B42"/>
    <mergeCell ref="C42:D42"/>
    <mergeCell ref="E42:F42"/>
    <mergeCell ref="I42:J42"/>
    <mergeCell ref="K42:L42"/>
    <mergeCell ref="M42:N42"/>
    <mergeCell ref="O42:P42"/>
    <mergeCell ref="Q42:R42"/>
    <mergeCell ref="S42:T42"/>
    <mergeCell ref="U42:V42"/>
    <mergeCell ref="W42:X42"/>
    <mergeCell ref="Y42:Z42"/>
    <mergeCell ref="A41:B41"/>
    <mergeCell ref="C41:D41"/>
    <mergeCell ref="E41:F41"/>
    <mergeCell ref="G41:H41"/>
    <mergeCell ref="I41:J41"/>
    <mergeCell ref="K41:L41"/>
    <mergeCell ref="M41:N41"/>
    <mergeCell ref="O41:P41"/>
    <mergeCell ref="Q41:R41"/>
    <mergeCell ref="I43:J43"/>
    <mergeCell ref="K43:L43"/>
    <mergeCell ref="M43:N43"/>
    <mergeCell ref="O43:P43"/>
    <mergeCell ref="Q43:R43"/>
    <mergeCell ref="S43:T43"/>
    <mergeCell ref="S41:T41"/>
    <mergeCell ref="U41:V41"/>
    <mergeCell ref="W41:X41"/>
    <mergeCell ref="K50:L50"/>
    <mergeCell ref="M50:N50"/>
    <mergeCell ref="O50:P50"/>
    <mergeCell ref="Q50:R50"/>
    <mergeCell ref="S50:T50"/>
    <mergeCell ref="U43:V43"/>
    <mergeCell ref="W43:X43"/>
    <mergeCell ref="Y43:Z43"/>
    <mergeCell ref="A44:B44"/>
    <mergeCell ref="C44:D44"/>
    <mergeCell ref="E44:F44"/>
    <mergeCell ref="G44:H44"/>
    <mergeCell ref="I44:J44"/>
    <mergeCell ref="K44:L44"/>
    <mergeCell ref="M44:N44"/>
    <mergeCell ref="O44:P44"/>
    <mergeCell ref="Q44:R44"/>
    <mergeCell ref="S44:T44"/>
    <mergeCell ref="U44:V44"/>
    <mergeCell ref="W44:X44"/>
    <mergeCell ref="Y44:Z44"/>
    <mergeCell ref="A43:B43"/>
    <mergeCell ref="C43:D43"/>
    <mergeCell ref="E43:F43"/>
    <mergeCell ref="K51:L51"/>
    <mergeCell ref="M51:N51"/>
    <mergeCell ref="O51:P51"/>
    <mergeCell ref="Q51:R51"/>
    <mergeCell ref="S51:T51"/>
    <mergeCell ref="G30:H31"/>
    <mergeCell ref="G32:H33"/>
    <mergeCell ref="C34:D35"/>
    <mergeCell ref="E34:F35"/>
    <mergeCell ref="G34:H38"/>
    <mergeCell ref="C36:D38"/>
    <mergeCell ref="E36:F38"/>
    <mergeCell ref="C39:D40"/>
    <mergeCell ref="E39:F40"/>
    <mergeCell ref="G39:H40"/>
    <mergeCell ref="G42:H43"/>
    <mergeCell ref="A45:Z48"/>
    <mergeCell ref="A50:G51"/>
    <mergeCell ref="H50:J51"/>
    <mergeCell ref="U50:Z51"/>
    <mergeCell ref="A49:G49"/>
    <mergeCell ref="H49:J49"/>
    <mergeCell ref="K49:T49"/>
    <mergeCell ref="U49:Z49"/>
  </mergeCells>
  <phoneticPr fontId="214" type="noConversion"/>
  <pageMargins left="0.58888888888888902" right="0.2" top="0.2" bottom="0.2" header="0.11874999999999999" footer="0.30902777777777801"/>
  <pageSetup paperSize="9" orientation="portrait"/>
  <headerFooter scaleWithDoc="0" alignWithMargins="0"/>
  <drawing r:id="rId1"/>
  <legacyDrawing r:id="rId2"/>
  <oleObjects>
    <mc:AlternateContent xmlns:mc="http://schemas.openxmlformats.org/markup-compatibility/2006">
      <mc:Choice Requires="x14">
        <oleObject progId="Equation.3" shapeId="1212417" r:id="rId3">
          <objectPr defaultSize="0" altText="" r:id="rId4">
            <anchor moveWithCells="1" sizeWithCells="1">
              <from>
                <xdr:col>8</xdr:col>
                <xdr:colOff>200025</xdr:colOff>
                <xdr:row>25</xdr:row>
                <xdr:rowOff>0</xdr:rowOff>
              </from>
              <to>
                <xdr:col>9</xdr:col>
                <xdr:colOff>76200</xdr:colOff>
                <xdr:row>26</xdr:row>
                <xdr:rowOff>0</xdr:rowOff>
              </to>
            </anchor>
          </objectPr>
        </oleObject>
      </mc:Choice>
      <mc:Fallback>
        <oleObject progId="Equation.3" shapeId="1212417" r:id="rId3"/>
      </mc:Fallback>
    </mc:AlternateContent>
    <mc:AlternateContent xmlns:mc="http://schemas.openxmlformats.org/markup-compatibility/2006">
      <mc:Choice Requires="x14">
        <oleObject progId="Equation.3" shapeId="1212418" r:id="rId5">
          <objectPr defaultSize="0" altText="" r:id="rId6">
            <anchor moveWithCells="1" sizeWithCells="1">
              <from>
                <xdr:col>10</xdr:col>
                <xdr:colOff>200025</xdr:colOff>
                <xdr:row>24</xdr:row>
                <xdr:rowOff>190500</xdr:rowOff>
              </from>
              <to>
                <xdr:col>11</xdr:col>
                <xdr:colOff>76200</xdr:colOff>
                <xdr:row>26</xdr:row>
                <xdr:rowOff>0</xdr:rowOff>
              </to>
            </anchor>
          </objectPr>
        </oleObject>
      </mc:Choice>
      <mc:Fallback>
        <oleObject progId="Equation.3" shapeId="1212418" r:id="rId5"/>
      </mc:Fallback>
    </mc:AlternateContent>
    <mc:AlternateContent xmlns:mc="http://schemas.openxmlformats.org/markup-compatibility/2006">
      <mc:Choice Requires="x14">
        <oleObject progId="Equation.3" shapeId="1212419" r:id="rId7">
          <objectPr defaultSize="0" altText="" r:id="rId8">
            <anchor moveWithCells="1" sizeWithCells="1">
              <from>
                <xdr:col>12</xdr:col>
                <xdr:colOff>200025</xdr:colOff>
                <xdr:row>24</xdr:row>
                <xdr:rowOff>190500</xdr:rowOff>
              </from>
              <to>
                <xdr:col>13</xdr:col>
                <xdr:colOff>76200</xdr:colOff>
                <xdr:row>26</xdr:row>
                <xdr:rowOff>0</xdr:rowOff>
              </to>
            </anchor>
          </objectPr>
        </oleObject>
      </mc:Choice>
      <mc:Fallback>
        <oleObject progId="Equation.3" shapeId="1212419" r:id="rId7"/>
      </mc:Fallback>
    </mc:AlternateContent>
    <mc:AlternateContent xmlns:mc="http://schemas.openxmlformats.org/markup-compatibility/2006">
      <mc:Choice Requires="x14">
        <oleObject progId="Equation.3" shapeId="1212420" r:id="rId9">
          <objectPr defaultSize="0" altText="" r:id="rId4">
            <anchor moveWithCells="1" sizeWithCells="1">
              <from>
                <xdr:col>14</xdr:col>
                <xdr:colOff>200025</xdr:colOff>
                <xdr:row>25</xdr:row>
                <xdr:rowOff>0</xdr:rowOff>
              </from>
              <to>
                <xdr:col>15</xdr:col>
                <xdr:colOff>76200</xdr:colOff>
                <xdr:row>26</xdr:row>
                <xdr:rowOff>0</xdr:rowOff>
              </to>
            </anchor>
          </objectPr>
        </oleObject>
      </mc:Choice>
      <mc:Fallback>
        <oleObject progId="Equation.3" shapeId="1212420" r:id="rId9"/>
      </mc:Fallback>
    </mc:AlternateContent>
    <mc:AlternateContent xmlns:mc="http://schemas.openxmlformats.org/markup-compatibility/2006">
      <mc:Choice Requires="x14">
        <oleObject progId="Equation.3" shapeId="1212421" r:id="rId10">
          <objectPr defaultSize="0" altText="" r:id="rId6">
            <anchor moveWithCells="1" sizeWithCells="1">
              <from>
                <xdr:col>16</xdr:col>
                <xdr:colOff>200025</xdr:colOff>
                <xdr:row>24</xdr:row>
                <xdr:rowOff>190500</xdr:rowOff>
              </from>
              <to>
                <xdr:col>17</xdr:col>
                <xdr:colOff>76200</xdr:colOff>
                <xdr:row>26</xdr:row>
                <xdr:rowOff>0</xdr:rowOff>
              </to>
            </anchor>
          </objectPr>
        </oleObject>
      </mc:Choice>
      <mc:Fallback>
        <oleObject progId="Equation.3" shapeId="1212421" r:id="rId10"/>
      </mc:Fallback>
    </mc:AlternateContent>
    <mc:AlternateContent xmlns:mc="http://schemas.openxmlformats.org/markup-compatibility/2006">
      <mc:Choice Requires="x14">
        <oleObject progId="Equation.3" shapeId="1212422" r:id="rId11">
          <objectPr defaultSize="0" altText="" r:id="rId8">
            <anchor moveWithCells="1" sizeWithCells="1">
              <from>
                <xdr:col>18</xdr:col>
                <xdr:colOff>200025</xdr:colOff>
                <xdr:row>24</xdr:row>
                <xdr:rowOff>190500</xdr:rowOff>
              </from>
              <to>
                <xdr:col>19</xdr:col>
                <xdr:colOff>76200</xdr:colOff>
                <xdr:row>26</xdr:row>
                <xdr:rowOff>0</xdr:rowOff>
              </to>
            </anchor>
          </objectPr>
        </oleObject>
      </mc:Choice>
      <mc:Fallback>
        <oleObject progId="Equation.3" shapeId="1212422" r:id="rId11"/>
      </mc:Fallback>
    </mc:AlternateContent>
    <mc:AlternateContent xmlns:mc="http://schemas.openxmlformats.org/markup-compatibility/2006">
      <mc:Choice Requires="x14">
        <oleObject progId="Equation.3" shapeId="1212423" r:id="rId12">
          <objectPr defaultSize="0" altText="" r:id="rId4">
            <anchor moveWithCells="1" sizeWithCells="1">
              <from>
                <xdr:col>20</xdr:col>
                <xdr:colOff>200025</xdr:colOff>
                <xdr:row>25</xdr:row>
                <xdr:rowOff>0</xdr:rowOff>
              </from>
              <to>
                <xdr:col>21</xdr:col>
                <xdr:colOff>76200</xdr:colOff>
                <xdr:row>26</xdr:row>
                <xdr:rowOff>0</xdr:rowOff>
              </to>
            </anchor>
          </objectPr>
        </oleObject>
      </mc:Choice>
      <mc:Fallback>
        <oleObject progId="Equation.3" shapeId="1212423" r:id="rId12"/>
      </mc:Fallback>
    </mc:AlternateContent>
    <mc:AlternateContent xmlns:mc="http://schemas.openxmlformats.org/markup-compatibility/2006">
      <mc:Choice Requires="x14">
        <oleObject progId="Equation.3" shapeId="1212424" r:id="rId13">
          <objectPr defaultSize="0" altText="" r:id="rId6">
            <anchor moveWithCells="1" sizeWithCells="1">
              <from>
                <xdr:col>22</xdr:col>
                <xdr:colOff>200025</xdr:colOff>
                <xdr:row>24</xdr:row>
                <xdr:rowOff>190500</xdr:rowOff>
              </from>
              <to>
                <xdr:col>23</xdr:col>
                <xdr:colOff>76200</xdr:colOff>
                <xdr:row>26</xdr:row>
                <xdr:rowOff>0</xdr:rowOff>
              </to>
            </anchor>
          </objectPr>
        </oleObject>
      </mc:Choice>
      <mc:Fallback>
        <oleObject progId="Equation.3" shapeId="1212424" r:id="rId13"/>
      </mc:Fallback>
    </mc:AlternateContent>
    <mc:AlternateContent xmlns:mc="http://schemas.openxmlformats.org/markup-compatibility/2006">
      <mc:Choice Requires="x14">
        <oleObject progId="Equation.3" shapeId="1212425" r:id="rId14">
          <objectPr defaultSize="0" altText="" r:id="rId8">
            <anchor moveWithCells="1" sizeWithCells="1">
              <from>
                <xdr:col>24</xdr:col>
                <xdr:colOff>200025</xdr:colOff>
                <xdr:row>24</xdr:row>
                <xdr:rowOff>190500</xdr:rowOff>
              </from>
              <to>
                <xdr:col>25</xdr:col>
                <xdr:colOff>76200</xdr:colOff>
                <xdr:row>26</xdr:row>
                <xdr:rowOff>0</xdr:rowOff>
              </to>
            </anchor>
          </objectPr>
        </oleObject>
      </mc:Choice>
      <mc:Fallback>
        <oleObject progId="Equation.3" shapeId="1212425" r:id="rId14"/>
      </mc:Fallback>
    </mc:AlternateContent>
    <mc:AlternateContent xmlns:mc="http://schemas.openxmlformats.org/markup-compatibility/2006">
      <mc:Choice Requires="x14">
        <oleObject progId="Equation.3" shapeId="1212426" r:id="rId15">
          <objectPr defaultSize="0" altText="" r:id="rId16">
            <anchor moveWithCells="1" sizeWithCells="1">
              <from>
                <xdr:col>6</xdr:col>
                <xdr:colOff>200025</xdr:colOff>
                <xdr:row>24</xdr:row>
                <xdr:rowOff>0</xdr:rowOff>
              </from>
              <to>
                <xdr:col>7</xdr:col>
                <xdr:colOff>66675</xdr:colOff>
                <xdr:row>25</xdr:row>
                <xdr:rowOff>0</xdr:rowOff>
              </to>
            </anchor>
          </objectPr>
        </oleObject>
      </mc:Choice>
      <mc:Fallback>
        <oleObject progId="Equation.3" shapeId="1212426" r:id="rId15"/>
      </mc:Fallback>
    </mc:AlternateContent>
    <mc:AlternateContent xmlns:mc="http://schemas.openxmlformats.org/markup-compatibility/2006">
      <mc:Choice Requires="x14">
        <oleObject progId="Equation.3" shapeId="1212427" r:id="rId17">
          <objectPr defaultSize="0" altText="" r:id="rId18">
            <anchor moveWithCells="1" sizeWithCells="1">
              <from>
                <xdr:col>4</xdr:col>
                <xdr:colOff>133350</xdr:colOff>
                <xdr:row>24</xdr:row>
                <xdr:rowOff>28575</xdr:rowOff>
              </from>
              <to>
                <xdr:col>5</xdr:col>
                <xdr:colOff>76200</xdr:colOff>
                <xdr:row>25</xdr:row>
                <xdr:rowOff>0</xdr:rowOff>
              </to>
            </anchor>
          </objectPr>
        </oleObject>
      </mc:Choice>
      <mc:Fallback>
        <oleObject progId="Equation.3" shapeId="1212427" r:id="rId17"/>
      </mc:Fallback>
    </mc:AlternateContent>
    <mc:AlternateContent xmlns:mc="http://schemas.openxmlformats.org/markup-compatibility/2006">
      <mc:Choice Requires="x14">
        <oleObject progId="Paint.Picture" shapeId="1212428" r:id="rId19">
          <objectPr defaultSize="0" altText="" r:id="rId20">
            <anchor moveWithCells="1">
              <from>
                <xdr:col>1</xdr:col>
                <xdr:colOff>66675</xdr:colOff>
                <xdr:row>5</xdr:row>
                <xdr:rowOff>161925</xdr:rowOff>
              </from>
              <to>
                <xdr:col>11</xdr:col>
                <xdr:colOff>19050</xdr:colOff>
                <xdr:row>22</xdr:row>
                <xdr:rowOff>114300</xdr:rowOff>
              </to>
            </anchor>
          </objectPr>
        </oleObject>
      </mc:Choice>
      <mc:Fallback>
        <oleObject progId="Paint.Picture" shapeId="1212428" r:id="rId19"/>
      </mc:Fallback>
    </mc:AlternateContent>
    <mc:AlternateContent xmlns:mc="http://schemas.openxmlformats.org/markup-compatibility/2006">
      <mc:Choice Requires="x14">
        <oleObject progId="Paint.Picture" shapeId="1212429" r:id="rId21">
          <objectPr defaultSize="0" altText="" r:id="rId22">
            <anchor moveWithCells="1">
              <from>
                <xdr:col>14</xdr:col>
                <xdr:colOff>57150</xdr:colOff>
                <xdr:row>5</xdr:row>
                <xdr:rowOff>133350</xdr:rowOff>
              </from>
              <to>
                <xdr:col>22</xdr:col>
                <xdr:colOff>228600</xdr:colOff>
                <xdr:row>22</xdr:row>
                <xdr:rowOff>152400</xdr:rowOff>
              </to>
            </anchor>
          </objectPr>
        </oleObject>
      </mc:Choice>
      <mc:Fallback>
        <oleObject progId="Paint.Picture" shapeId="1212429" r:id="rId21"/>
      </mc:Fallback>
    </mc:AlternateContent>
    <mc:AlternateContent xmlns:mc="http://schemas.openxmlformats.org/markup-compatibility/2006">
      <mc:Choice Requires="x14">
        <oleObject progId="Equation.3" shapeId="1212430" r:id="rId23">
          <objectPr defaultSize="0" altText="" r:id="rId24">
            <anchor moveWithCells="1" sizeWithCells="1">
              <from>
                <xdr:col>0</xdr:col>
                <xdr:colOff>133350</xdr:colOff>
                <xdr:row>44</xdr:row>
                <xdr:rowOff>38100</xdr:rowOff>
              </from>
              <to>
                <xdr:col>1</xdr:col>
                <xdr:colOff>9525</xdr:colOff>
                <xdr:row>45</xdr:row>
                <xdr:rowOff>85725</xdr:rowOff>
              </to>
            </anchor>
          </objectPr>
        </oleObject>
      </mc:Choice>
      <mc:Fallback>
        <oleObject progId="Equation.3" shapeId="1212430" r:id="rId23"/>
      </mc:Fallback>
    </mc:AlternateContent>
    <mc:AlternateContent xmlns:mc="http://schemas.openxmlformats.org/markup-compatibility/2006">
      <mc:Choice Requires="x14">
        <oleObject progId="Equation.3" shapeId="1212431" r:id="rId25">
          <objectPr defaultSize="0" altText="" r:id="rId26">
            <anchor moveWithCells="1" sizeWithCells="1">
              <from>
                <xdr:col>5</xdr:col>
                <xdr:colOff>228600</xdr:colOff>
                <xdr:row>44</xdr:row>
                <xdr:rowOff>47625</xdr:rowOff>
              </from>
              <to>
                <xdr:col>6</xdr:col>
                <xdr:colOff>114300</xdr:colOff>
                <xdr:row>45</xdr:row>
                <xdr:rowOff>104775</xdr:rowOff>
              </to>
            </anchor>
          </objectPr>
        </oleObject>
      </mc:Choice>
      <mc:Fallback>
        <oleObject progId="Equation.3" shapeId="1212431" r:id="rId25"/>
      </mc:Fallback>
    </mc:AlternateContent>
    <mc:AlternateContent xmlns:mc="http://schemas.openxmlformats.org/markup-compatibility/2006">
      <mc:Choice Requires="x14">
        <oleObject progId="Equation.3" shapeId="1212432" r:id="rId27">
          <objectPr defaultSize="0" altText="" r:id="rId28">
            <anchor moveWithCells="1" sizeWithCells="1">
              <from>
                <xdr:col>2</xdr:col>
                <xdr:colOff>114300</xdr:colOff>
                <xdr:row>45</xdr:row>
                <xdr:rowOff>85725</xdr:rowOff>
              </from>
              <to>
                <xdr:col>3</xdr:col>
                <xdr:colOff>0</xdr:colOff>
                <xdr:row>46</xdr:row>
                <xdr:rowOff>152400</xdr:rowOff>
              </to>
            </anchor>
          </objectPr>
        </oleObject>
      </mc:Choice>
      <mc:Fallback>
        <oleObject progId="Equation.3" shapeId="1212432" r:id="rId27"/>
      </mc:Fallback>
    </mc:AlternateContent>
  </oleObjects>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13"/>
  <dimension ref="A1:Z171"/>
  <sheetViews>
    <sheetView workbookViewId="0">
      <selection activeCell="AC11" sqref="AC11"/>
    </sheetView>
  </sheetViews>
  <sheetFormatPr defaultColWidth="8" defaultRowHeight="16.5"/>
  <cols>
    <col min="1" max="26" width="3.25" style="1472" customWidth="1"/>
    <col min="27" max="16384" width="8" style="1472"/>
  </cols>
  <sheetData>
    <row r="1" spans="1:26" ht="48" customHeight="1"/>
    <row r="2" spans="1:26" ht="20.25">
      <c r="A2" s="5345" t="s">
        <v>11868</v>
      </c>
      <c r="B2" s="5346"/>
      <c r="C2" s="5346"/>
      <c r="D2" s="5346"/>
      <c r="E2" s="5346"/>
      <c r="F2" s="5346"/>
      <c r="G2" s="5346"/>
      <c r="H2" s="5432" t="s">
        <v>11797</v>
      </c>
      <c r="I2" s="5432"/>
      <c r="J2" s="5432"/>
      <c r="K2" s="5432"/>
      <c r="L2" s="5432"/>
      <c r="M2" s="5432"/>
      <c r="N2" s="5432"/>
      <c r="O2" s="5432"/>
      <c r="P2" s="5432"/>
      <c r="Q2" s="5432"/>
      <c r="R2" s="5432"/>
      <c r="S2" s="5432"/>
      <c r="T2" s="5432"/>
      <c r="U2" s="5433" t="s">
        <v>11798</v>
      </c>
      <c r="V2" s="5433"/>
      <c r="W2" s="5433"/>
      <c r="X2" s="5433"/>
      <c r="Y2" s="5433"/>
      <c r="Z2" s="5434"/>
    </row>
    <row r="3" spans="1:26">
      <c r="A3" s="5347"/>
      <c r="B3" s="5348"/>
      <c r="C3" s="5348"/>
      <c r="D3" s="5348"/>
      <c r="E3" s="5348"/>
      <c r="F3" s="5348"/>
      <c r="G3" s="5348"/>
      <c r="H3" s="5348" t="s">
        <v>11879</v>
      </c>
      <c r="I3" s="5348"/>
      <c r="J3" s="5348"/>
      <c r="K3" s="5348"/>
      <c r="L3" s="5348"/>
      <c r="M3" s="5348"/>
      <c r="N3" s="5348"/>
      <c r="O3" s="5348"/>
      <c r="P3" s="5348"/>
      <c r="Q3" s="5348"/>
      <c r="R3" s="5348"/>
      <c r="S3" s="5348"/>
      <c r="T3" s="5348"/>
      <c r="U3" s="5435" t="s">
        <v>11799</v>
      </c>
      <c r="V3" s="5435"/>
      <c r="W3" s="5435"/>
      <c r="X3" s="5435" t="s">
        <v>11800</v>
      </c>
      <c r="Y3" s="5435"/>
      <c r="Z3" s="5436"/>
    </row>
    <row r="4" spans="1:26">
      <c r="A4" s="1781"/>
      <c r="B4" s="1782"/>
      <c r="C4" s="1782"/>
      <c r="D4" s="1782"/>
      <c r="E4" s="1782"/>
      <c r="F4" s="1782"/>
      <c r="G4" s="1782"/>
      <c r="H4" s="1782"/>
      <c r="I4" s="1782"/>
      <c r="J4" s="1782"/>
      <c r="K4" s="1782"/>
      <c r="L4" s="1782"/>
      <c r="M4" s="1782"/>
      <c r="N4" s="1782"/>
      <c r="O4" s="1782"/>
      <c r="P4" s="1782"/>
      <c r="Q4" s="1782"/>
      <c r="R4" s="1782"/>
      <c r="S4" s="1782"/>
      <c r="T4" s="1782"/>
      <c r="U4" s="1782"/>
      <c r="V4" s="1782"/>
      <c r="W4" s="1782"/>
      <c r="X4" s="1782"/>
      <c r="Y4" s="1782"/>
      <c r="Z4" s="1806"/>
    </row>
    <row r="5" spans="1:26">
      <c r="A5" s="5437" t="s">
        <v>11880</v>
      </c>
      <c r="B5" s="5481"/>
      <c r="C5" s="5481"/>
      <c r="D5" s="5481"/>
      <c r="E5" s="5481"/>
      <c r="F5" s="5481"/>
      <c r="G5" s="5481"/>
      <c r="H5" s="5481"/>
      <c r="I5" s="5481"/>
      <c r="J5" s="5481"/>
      <c r="K5" s="5481"/>
      <c r="L5" s="5481"/>
      <c r="M5" s="5481"/>
      <c r="N5" s="5481"/>
      <c r="O5" s="5481"/>
      <c r="P5" s="5481"/>
      <c r="Q5" s="5481"/>
      <c r="R5" s="5481"/>
      <c r="S5" s="5481"/>
      <c r="T5" s="5481"/>
      <c r="U5" s="5481"/>
      <c r="V5" s="5481"/>
      <c r="W5" s="5481"/>
      <c r="X5" s="5481"/>
      <c r="Y5" s="5481"/>
      <c r="Z5" s="5506"/>
    </row>
    <row r="6" spans="1:26">
      <c r="A6" s="1847"/>
      <c r="B6" s="1833"/>
      <c r="C6" s="1168"/>
      <c r="D6" s="1786"/>
      <c r="E6" s="1168"/>
      <c r="F6" s="1786"/>
      <c r="G6" s="1786"/>
      <c r="H6" s="1786"/>
      <c r="I6" s="1168"/>
      <c r="J6" s="1786"/>
      <c r="K6" s="1786"/>
      <c r="L6" s="1786"/>
      <c r="M6" s="1786"/>
      <c r="N6" s="1168"/>
      <c r="O6" s="1786"/>
      <c r="P6" s="1786"/>
      <c r="Q6" s="1786"/>
      <c r="R6" s="1786"/>
      <c r="S6" s="1168"/>
      <c r="T6" s="1786"/>
      <c r="U6" s="1786"/>
      <c r="V6" s="1786"/>
      <c r="W6" s="1168"/>
      <c r="X6" s="1786"/>
      <c r="Y6" s="1168"/>
      <c r="Z6" s="1809"/>
    </row>
    <row r="7" spans="1:26">
      <c r="A7" s="1847"/>
      <c r="B7" s="1833"/>
      <c r="C7" s="1833"/>
      <c r="D7" s="1833"/>
      <c r="E7" s="1833"/>
      <c r="F7" s="1833"/>
      <c r="G7" s="1833"/>
      <c r="H7" s="1833"/>
      <c r="I7" s="1833"/>
      <c r="J7" s="1833"/>
      <c r="K7" s="1833"/>
      <c r="L7" s="1833"/>
      <c r="M7" s="1833"/>
      <c r="N7" s="1833"/>
      <c r="O7" s="1833"/>
      <c r="P7" s="1833"/>
      <c r="Q7" s="1833"/>
      <c r="R7" s="1833"/>
      <c r="S7" s="1833"/>
      <c r="T7" s="1833"/>
      <c r="U7" s="1833"/>
      <c r="V7" s="1833"/>
      <c r="W7" s="1833"/>
      <c r="X7" s="1833"/>
      <c r="Y7" s="1833"/>
      <c r="Z7" s="1844"/>
    </row>
    <row r="8" spans="1:26">
      <c r="A8" s="1847"/>
      <c r="B8" s="1833"/>
      <c r="C8" s="1833"/>
      <c r="D8" s="1833"/>
      <c r="E8" s="1833"/>
      <c r="F8" s="1833"/>
      <c r="G8" s="1833"/>
      <c r="H8" s="1833"/>
      <c r="I8" s="1833"/>
      <c r="J8" s="1833"/>
      <c r="K8" s="1833"/>
      <c r="L8" s="1833"/>
      <c r="M8" s="1833"/>
      <c r="N8" s="1833"/>
      <c r="O8" s="1833"/>
      <c r="P8" s="1833"/>
      <c r="Q8" s="1833"/>
      <c r="R8" s="1833"/>
      <c r="S8" s="1833"/>
      <c r="T8" s="1833"/>
      <c r="U8" s="1833"/>
      <c r="V8" s="1833"/>
      <c r="W8" s="1833"/>
      <c r="X8" s="1833"/>
      <c r="Y8" s="1833"/>
      <c r="Z8" s="1844"/>
    </row>
    <row r="9" spans="1:26">
      <c r="A9" s="1848"/>
      <c r="B9" s="1787"/>
      <c r="C9" s="1787"/>
      <c r="D9" s="1787"/>
      <c r="E9" s="1168"/>
      <c r="F9" s="1168"/>
      <c r="G9" s="1849"/>
      <c r="H9" s="1849"/>
      <c r="I9" s="1168"/>
      <c r="J9" s="1168"/>
      <c r="K9" s="1168"/>
      <c r="L9" s="1168"/>
      <c r="M9" s="1168"/>
      <c r="N9" s="1168"/>
      <c r="O9" s="1168"/>
      <c r="P9" s="1168"/>
      <c r="Q9" s="1168"/>
      <c r="R9" s="1168"/>
      <c r="S9" s="1168"/>
      <c r="T9" s="1168"/>
      <c r="U9" s="1168"/>
      <c r="V9" s="1168"/>
      <c r="W9" s="1795"/>
      <c r="X9" s="1795"/>
      <c r="Y9" s="1795"/>
      <c r="Z9" s="1855"/>
    </row>
    <row r="10" spans="1:26">
      <c r="A10" s="1848"/>
      <c r="B10" s="1787"/>
      <c r="C10" s="1787"/>
      <c r="D10" s="1787"/>
      <c r="E10" s="1168"/>
      <c r="F10" s="1168"/>
      <c r="G10" s="1849"/>
      <c r="H10" s="1849"/>
      <c r="I10" s="1168"/>
      <c r="J10" s="1168"/>
      <c r="K10" s="1168"/>
      <c r="L10" s="1168"/>
      <c r="M10" s="1168"/>
      <c r="N10" s="1168"/>
      <c r="O10" s="1168"/>
      <c r="P10" s="1168"/>
      <c r="Q10" s="1168"/>
      <c r="R10" s="1168"/>
      <c r="S10" s="1168"/>
      <c r="T10" s="1168"/>
      <c r="U10" s="1168"/>
      <c r="V10" s="1168"/>
      <c r="W10" s="1795"/>
      <c r="X10" s="1795"/>
      <c r="Y10" s="1795"/>
      <c r="Z10" s="1855"/>
    </row>
    <row r="11" spans="1:26">
      <c r="A11" s="1848"/>
      <c r="B11" s="1787"/>
      <c r="C11" s="1787"/>
      <c r="D11" s="1787"/>
      <c r="E11" s="1168"/>
      <c r="F11" s="1168"/>
      <c r="G11" s="1849"/>
      <c r="H11" s="1849"/>
      <c r="I11" s="1168"/>
      <c r="J11" s="1168"/>
      <c r="K11" s="1168"/>
      <c r="L11" s="1168"/>
      <c r="M11" s="1168"/>
      <c r="N11" s="1168"/>
      <c r="O11" s="1168"/>
      <c r="P11" s="1168"/>
      <c r="Q11" s="1168"/>
      <c r="R11" s="1168"/>
      <c r="S11" s="1168"/>
      <c r="T11" s="1168"/>
      <c r="U11" s="1168"/>
      <c r="V11" s="1168"/>
      <c r="W11" s="1795"/>
      <c r="X11" s="1795"/>
      <c r="Y11" s="1795"/>
      <c r="Z11" s="1855"/>
    </row>
    <row r="12" spans="1:26">
      <c r="A12" s="1848"/>
      <c r="B12" s="1787"/>
      <c r="C12" s="1787"/>
      <c r="D12" s="1787"/>
      <c r="E12" s="1168"/>
      <c r="F12" s="1168"/>
      <c r="G12" s="1849"/>
      <c r="H12" s="1849"/>
      <c r="I12" s="1168"/>
      <c r="J12" s="1168"/>
      <c r="K12" s="1168"/>
      <c r="L12" s="1168"/>
      <c r="M12" s="1168"/>
      <c r="N12" s="1168"/>
      <c r="O12" s="1168"/>
      <c r="P12" s="1168"/>
      <c r="Q12" s="1168"/>
      <c r="R12" s="1168"/>
      <c r="S12" s="1168"/>
      <c r="T12" s="1168"/>
      <c r="U12" s="1168"/>
      <c r="V12" s="1168"/>
      <c r="W12" s="1795"/>
      <c r="X12" s="1795"/>
      <c r="Y12" s="1795"/>
      <c r="Z12" s="1855"/>
    </row>
    <row r="13" spans="1:26">
      <c r="A13" s="1848"/>
      <c r="B13" s="1787"/>
      <c r="C13" s="1787"/>
      <c r="D13" s="1787"/>
      <c r="E13" s="1168"/>
      <c r="F13" s="1168"/>
      <c r="G13" s="1168"/>
      <c r="H13" s="1168"/>
      <c r="I13" s="1168"/>
      <c r="J13" s="1168"/>
      <c r="K13" s="1168"/>
      <c r="L13" s="1168"/>
      <c r="M13" s="1168"/>
      <c r="N13" s="1168"/>
      <c r="O13" s="1168"/>
      <c r="P13" s="1168"/>
      <c r="Q13" s="1168"/>
      <c r="R13" s="1168"/>
      <c r="S13" s="1168"/>
      <c r="T13" s="1168"/>
      <c r="U13" s="1168"/>
      <c r="V13" s="1168"/>
      <c r="W13" s="1795"/>
      <c r="X13" s="1795"/>
      <c r="Y13" s="1795"/>
      <c r="Z13" s="1855"/>
    </row>
    <row r="14" spans="1:26">
      <c r="A14" s="1848"/>
      <c r="B14" s="1787"/>
      <c r="C14" s="1787"/>
      <c r="D14" s="1787"/>
      <c r="E14" s="1168"/>
      <c r="F14" s="1168"/>
      <c r="G14" s="1168"/>
      <c r="H14" s="1168"/>
      <c r="I14" s="1168"/>
      <c r="J14" s="1168"/>
      <c r="K14" s="1168"/>
      <c r="L14" s="1168"/>
      <c r="M14" s="1168"/>
      <c r="N14" s="1168"/>
      <c r="O14" s="1168"/>
      <c r="P14" s="1168"/>
      <c r="Q14" s="1168"/>
      <c r="R14" s="1168"/>
      <c r="S14" s="1168"/>
      <c r="T14" s="1168"/>
      <c r="U14" s="1168"/>
      <c r="V14" s="1168"/>
      <c r="W14" s="1795"/>
      <c r="X14" s="1795"/>
      <c r="Y14" s="1795"/>
      <c r="Z14" s="1855"/>
    </row>
    <row r="15" spans="1:26">
      <c r="A15" s="1848"/>
      <c r="B15" s="1787"/>
      <c r="C15" s="1787"/>
      <c r="D15" s="1787"/>
      <c r="E15" s="1168"/>
      <c r="F15" s="1168"/>
      <c r="G15" s="1168"/>
      <c r="H15" s="1168"/>
      <c r="I15" s="1168"/>
      <c r="J15" s="1168"/>
      <c r="K15" s="1168"/>
      <c r="L15" s="1168"/>
      <c r="M15" s="1168"/>
      <c r="N15" s="1168"/>
      <c r="O15" s="1168"/>
      <c r="P15" s="1168"/>
      <c r="Q15" s="1168"/>
      <c r="R15" s="1168"/>
      <c r="S15" s="1168"/>
      <c r="T15" s="1168"/>
      <c r="U15" s="1168"/>
      <c r="V15" s="1168"/>
      <c r="W15" s="1795"/>
      <c r="X15" s="1795"/>
      <c r="Y15" s="1795"/>
      <c r="Z15" s="1855"/>
    </row>
    <row r="16" spans="1:26">
      <c r="A16" s="1848"/>
      <c r="B16" s="1787"/>
      <c r="C16" s="1787"/>
      <c r="D16" s="1787"/>
      <c r="E16" s="1168"/>
      <c r="F16" s="1168"/>
      <c r="G16" s="1168"/>
      <c r="H16" s="1168"/>
      <c r="I16" s="1168"/>
      <c r="J16" s="1168"/>
      <c r="K16" s="1168"/>
      <c r="L16" s="1168"/>
      <c r="M16" s="1168"/>
      <c r="N16" s="1168"/>
      <c r="O16" s="1168"/>
      <c r="P16" s="1168"/>
      <c r="Q16" s="1168"/>
      <c r="R16" s="1168"/>
      <c r="S16" s="1168"/>
      <c r="T16" s="1168"/>
      <c r="U16" s="1168"/>
      <c r="V16" s="1168"/>
      <c r="W16" s="1795"/>
      <c r="X16" s="1795"/>
      <c r="Y16" s="1795"/>
      <c r="Z16" s="1855"/>
    </row>
    <row r="17" spans="1:26">
      <c r="A17" s="1848"/>
      <c r="B17" s="1787"/>
      <c r="C17" s="1787"/>
      <c r="D17" s="1787"/>
      <c r="E17" s="1168"/>
      <c r="F17" s="1168"/>
      <c r="G17" s="1168"/>
      <c r="H17" s="1168"/>
      <c r="I17" s="1168"/>
      <c r="J17" s="1168"/>
      <c r="K17" s="1168"/>
      <c r="L17" s="1168"/>
      <c r="M17" s="1168"/>
      <c r="N17" s="1168"/>
      <c r="O17" s="1168"/>
      <c r="P17" s="1168"/>
      <c r="Q17" s="1168"/>
      <c r="R17" s="1168"/>
      <c r="S17" s="1168"/>
      <c r="T17" s="1168"/>
      <c r="U17" s="1168"/>
      <c r="V17" s="1168"/>
      <c r="W17" s="1795"/>
      <c r="X17" s="1795"/>
      <c r="Y17" s="1795"/>
      <c r="Z17" s="1855"/>
    </row>
    <row r="18" spans="1:26">
      <c r="A18" s="1848"/>
      <c r="B18" s="1787"/>
      <c r="C18" s="1787"/>
      <c r="D18" s="1787"/>
      <c r="E18" s="1168"/>
      <c r="F18" s="1168"/>
      <c r="G18" s="1168"/>
      <c r="H18" s="1168"/>
      <c r="I18" s="1168"/>
      <c r="J18" s="1168"/>
      <c r="K18" s="1168"/>
      <c r="L18" s="1168"/>
      <c r="M18" s="1168"/>
      <c r="N18" s="1168"/>
      <c r="O18" s="1168"/>
      <c r="P18" s="1168"/>
      <c r="Q18" s="1168"/>
      <c r="R18" s="1168"/>
      <c r="S18" s="1168"/>
      <c r="T18" s="1168"/>
      <c r="U18" s="1168"/>
      <c r="V18" s="1168"/>
      <c r="W18" s="1795"/>
      <c r="X18" s="1795"/>
      <c r="Y18" s="1795"/>
      <c r="Z18" s="1855"/>
    </row>
    <row r="19" spans="1:26">
      <c r="A19" s="1848"/>
      <c r="B19" s="1787"/>
      <c r="C19" s="1787"/>
      <c r="D19" s="1787"/>
      <c r="E19" s="1168"/>
      <c r="F19" s="1168"/>
      <c r="G19" s="1168"/>
      <c r="H19" s="1168"/>
      <c r="I19" s="1168"/>
      <c r="J19" s="1168"/>
      <c r="K19" s="1168"/>
      <c r="L19" s="1168"/>
      <c r="M19" s="1168"/>
      <c r="N19" s="1168"/>
      <c r="O19" s="1168"/>
      <c r="P19" s="1168"/>
      <c r="Q19" s="1168"/>
      <c r="R19" s="1168"/>
      <c r="S19" s="1168"/>
      <c r="T19" s="1168"/>
      <c r="U19" s="1168"/>
      <c r="V19" s="1168"/>
      <c r="W19" s="1795"/>
      <c r="X19" s="1795"/>
      <c r="Y19" s="1795"/>
      <c r="Z19" s="1855"/>
    </row>
    <row r="20" spans="1:26">
      <c r="A20" s="1848"/>
      <c r="B20" s="1787"/>
      <c r="C20" s="1787"/>
      <c r="D20" s="1787"/>
      <c r="E20" s="1168"/>
      <c r="F20" s="1168"/>
      <c r="G20" s="1168"/>
      <c r="H20" s="1168"/>
      <c r="I20" s="1168"/>
      <c r="J20" s="1168"/>
      <c r="K20" s="1168"/>
      <c r="L20" s="1168"/>
      <c r="M20" s="1168"/>
      <c r="N20" s="1168"/>
      <c r="O20" s="1168"/>
      <c r="P20" s="1168"/>
      <c r="Q20" s="1168"/>
      <c r="R20" s="1168"/>
      <c r="S20" s="1168"/>
      <c r="T20" s="1168"/>
      <c r="U20" s="1168"/>
      <c r="V20" s="1168"/>
      <c r="W20" s="1795"/>
      <c r="X20" s="1795"/>
      <c r="Y20" s="1795"/>
      <c r="Z20" s="1855"/>
    </row>
    <row r="21" spans="1:26">
      <c r="A21" s="1848"/>
      <c r="B21" s="1787"/>
      <c r="C21" s="1787"/>
      <c r="D21" s="1787"/>
      <c r="E21" s="1168"/>
      <c r="F21" s="1168"/>
      <c r="G21" s="1168"/>
      <c r="H21" s="1168"/>
      <c r="I21" s="1168"/>
      <c r="J21" s="1168"/>
      <c r="K21" s="1168"/>
      <c r="L21" s="1168"/>
      <c r="M21" s="1168"/>
      <c r="N21" s="1168"/>
      <c r="O21" s="1168"/>
      <c r="P21" s="1168"/>
      <c r="Q21" s="1168"/>
      <c r="R21" s="1168"/>
      <c r="S21" s="1168"/>
      <c r="T21" s="1168"/>
      <c r="U21" s="1168"/>
      <c r="V21" s="1168"/>
      <c r="W21" s="1795"/>
      <c r="X21" s="1795"/>
      <c r="Y21" s="1795"/>
      <c r="Z21" s="1855"/>
    </row>
    <row r="22" spans="1:26">
      <c r="A22" s="1829"/>
      <c r="B22" s="1830"/>
      <c r="C22" s="1830"/>
      <c r="D22" s="1830"/>
      <c r="E22" s="1830"/>
      <c r="F22" s="1830"/>
      <c r="G22" s="1830"/>
      <c r="H22" s="1830"/>
      <c r="I22" s="1830"/>
      <c r="J22" s="1830"/>
      <c r="K22" s="1830"/>
      <c r="L22" s="1830"/>
      <c r="M22" s="1830"/>
      <c r="N22" s="1830"/>
      <c r="O22" s="1830"/>
      <c r="P22" s="1830"/>
      <c r="Q22" s="1830"/>
      <c r="R22" s="1830"/>
      <c r="S22" s="1830"/>
      <c r="T22" s="1830"/>
      <c r="U22" s="1830"/>
      <c r="V22" s="1830"/>
      <c r="W22" s="1830"/>
      <c r="X22" s="1830"/>
      <c r="Y22" s="1830"/>
      <c r="Z22" s="1843"/>
    </row>
    <row r="23" spans="1:26">
      <c r="A23" s="1829"/>
      <c r="B23" s="1830"/>
      <c r="C23" s="1830"/>
      <c r="D23" s="1830"/>
      <c r="E23" s="1830"/>
      <c r="F23" s="1830"/>
      <c r="G23" s="1830"/>
      <c r="H23" s="1830"/>
      <c r="I23" s="1830"/>
      <c r="J23" s="1830"/>
      <c r="K23" s="1830"/>
      <c r="L23" s="1830"/>
      <c r="M23" s="1830"/>
      <c r="N23" s="1830"/>
      <c r="O23" s="1830"/>
      <c r="P23" s="1830"/>
      <c r="Q23" s="1830"/>
      <c r="R23" s="1830"/>
      <c r="S23" s="1830"/>
      <c r="T23" s="1830"/>
      <c r="U23" s="1830"/>
      <c r="V23" s="1830"/>
      <c r="W23" s="1830"/>
      <c r="X23" s="1830"/>
      <c r="Y23" s="1830"/>
      <c r="Z23" s="1843"/>
    </row>
    <row r="24" spans="1:26">
      <c r="A24" s="1829"/>
      <c r="B24" s="1830"/>
      <c r="C24" s="1830"/>
      <c r="D24" s="1830"/>
      <c r="E24" s="1830"/>
      <c r="F24" s="1830"/>
      <c r="G24" s="1830"/>
      <c r="H24" s="1830"/>
      <c r="I24" s="1830"/>
      <c r="J24" s="1830"/>
      <c r="K24" s="1830"/>
      <c r="L24" s="1830"/>
      <c r="M24" s="1830"/>
      <c r="N24" s="1830"/>
      <c r="O24" s="1830"/>
      <c r="P24" s="1830"/>
      <c r="Q24" s="1830"/>
      <c r="R24" s="1830"/>
      <c r="S24" s="1830"/>
      <c r="T24" s="1830"/>
      <c r="U24" s="1830"/>
      <c r="V24" s="1830"/>
      <c r="W24" s="1830"/>
      <c r="X24" s="1830"/>
      <c r="Y24" s="1830"/>
      <c r="Z24" s="1843"/>
    </row>
    <row r="25" spans="1:26">
      <c r="A25" s="1831"/>
      <c r="B25" s="1832"/>
      <c r="C25" s="1833"/>
      <c r="D25" s="1833"/>
      <c r="E25" s="1833"/>
      <c r="F25" s="1833"/>
      <c r="G25" s="1833"/>
      <c r="H25" s="1833"/>
      <c r="I25" s="1833"/>
      <c r="J25" s="1833"/>
      <c r="K25" s="1833"/>
      <c r="L25" s="1833"/>
      <c r="M25" s="1833"/>
      <c r="N25" s="1833"/>
      <c r="O25" s="1833"/>
      <c r="P25" s="1833"/>
      <c r="Q25" s="1833"/>
      <c r="R25" s="1833"/>
      <c r="S25" s="1833"/>
      <c r="T25" s="1833"/>
      <c r="U25" s="1833"/>
      <c r="V25" s="1833"/>
      <c r="W25" s="1833"/>
      <c r="X25" s="1833"/>
      <c r="Y25" s="1833"/>
      <c r="Z25" s="1844"/>
    </row>
    <row r="26" spans="1:26">
      <c r="A26" s="1831"/>
      <c r="C26" s="1833"/>
      <c r="D26" s="1833"/>
      <c r="E26" s="1833"/>
      <c r="F26" s="1833"/>
      <c r="G26" s="1833"/>
      <c r="H26" s="1833"/>
      <c r="I26" s="1833"/>
      <c r="J26" s="1833"/>
      <c r="K26" s="1833"/>
      <c r="L26" s="1833"/>
      <c r="M26" s="1833"/>
      <c r="N26" s="1833"/>
      <c r="O26" s="1833"/>
      <c r="P26" s="1833"/>
      <c r="Q26" s="1833"/>
      <c r="R26" s="1833"/>
      <c r="S26" s="1833"/>
      <c r="T26" s="1833"/>
      <c r="U26" s="1833"/>
      <c r="V26" s="1833"/>
      <c r="W26" s="1833"/>
      <c r="X26" s="1833"/>
      <c r="Y26" s="1833"/>
      <c r="Z26" s="1844"/>
    </row>
    <row r="27" spans="1:26">
      <c r="A27" s="5507" t="s">
        <v>11881</v>
      </c>
      <c r="B27" s="5508"/>
      <c r="C27" s="5508"/>
      <c r="D27" s="5508"/>
      <c r="E27" s="5508"/>
      <c r="F27" s="5487" t="s">
        <v>411</v>
      </c>
      <c r="G27" s="1801" t="s">
        <v>517</v>
      </c>
      <c r="H27" s="1801" t="s">
        <v>518</v>
      </c>
      <c r="I27" s="1801" t="s">
        <v>519</v>
      </c>
      <c r="J27" s="1801" t="s">
        <v>520</v>
      </c>
      <c r="K27" s="1801"/>
      <c r="L27" s="1801" t="s">
        <v>521</v>
      </c>
      <c r="M27" s="1801" t="s">
        <v>522</v>
      </c>
      <c r="N27" s="1851" t="s">
        <v>523</v>
      </c>
      <c r="O27" s="1834"/>
      <c r="P27" s="1852" t="s">
        <v>525</v>
      </c>
      <c r="Q27" s="1834"/>
      <c r="R27" s="1852" t="s">
        <v>527</v>
      </c>
      <c r="S27" s="1834"/>
      <c r="T27" s="1852" t="s">
        <v>529</v>
      </c>
      <c r="U27" s="1834"/>
      <c r="V27" s="1852" t="s">
        <v>531</v>
      </c>
      <c r="W27" s="1834"/>
      <c r="X27" s="1834" t="s">
        <v>533</v>
      </c>
      <c r="Y27" s="1834" t="s">
        <v>3901</v>
      </c>
      <c r="Z27" s="1856" t="s">
        <v>11876</v>
      </c>
    </row>
    <row r="28" spans="1:26" ht="24">
      <c r="A28" s="5509" t="s">
        <v>11882</v>
      </c>
      <c r="B28" s="5482"/>
      <c r="C28" s="5482"/>
      <c r="D28" s="5482"/>
      <c r="E28" s="5482"/>
      <c r="F28" s="5488"/>
      <c r="G28" s="1790"/>
      <c r="H28" s="1790" t="s">
        <v>518</v>
      </c>
      <c r="I28" s="1790" t="s">
        <v>519</v>
      </c>
      <c r="J28" s="1790" t="s">
        <v>520</v>
      </c>
      <c r="K28" s="1790" t="s">
        <v>521</v>
      </c>
      <c r="L28" s="1853" t="s">
        <v>522</v>
      </c>
      <c r="M28" s="1853" t="s">
        <v>523</v>
      </c>
      <c r="N28" s="1790"/>
      <c r="O28" s="1854" t="s">
        <v>525</v>
      </c>
      <c r="P28" s="1802"/>
      <c r="Q28" s="1854" t="s">
        <v>527</v>
      </c>
      <c r="R28" s="1802"/>
      <c r="S28" s="1854" t="s">
        <v>529</v>
      </c>
      <c r="T28" s="1802"/>
      <c r="U28" s="1854" t="s">
        <v>531</v>
      </c>
      <c r="V28" s="1802"/>
      <c r="W28" s="1802" t="s">
        <v>533</v>
      </c>
      <c r="X28" s="1802" t="s">
        <v>3901</v>
      </c>
      <c r="Y28" s="1854" t="s">
        <v>11876</v>
      </c>
      <c r="Z28" s="1810"/>
    </row>
    <row r="29" spans="1:26" ht="18.75">
      <c r="A29" s="5509" t="s">
        <v>11883</v>
      </c>
      <c r="B29" s="5482"/>
      <c r="C29" s="5482"/>
      <c r="D29" s="5482"/>
      <c r="E29" s="5482"/>
      <c r="F29" s="1850" t="s">
        <v>2685</v>
      </c>
      <c r="G29" s="1790">
        <v>5.5</v>
      </c>
      <c r="H29" s="1790">
        <v>7</v>
      </c>
      <c r="I29" s="1790">
        <v>8</v>
      </c>
      <c r="J29" s="1790">
        <v>10</v>
      </c>
      <c r="K29" s="1790">
        <v>12</v>
      </c>
      <c r="L29" s="1790">
        <v>14</v>
      </c>
      <c r="M29" s="1790">
        <v>17</v>
      </c>
      <c r="N29" s="1790">
        <v>19</v>
      </c>
      <c r="O29" s="1802">
        <v>22</v>
      </c>
      <c r="P29" s="1802">
        <v>24</v>
      </c>
      <c r="Q29" s="1802">
        <v>27</v>
      </c>
      <c r="R29" s="1802">
        <v>30</v>
      </c>
      <c r="S29" s="1802">
        <v>32</v>
      </c>
      <c r="T29" s="1802">
        <v>36</v>
      </c>
      <c r="U29" s="1802">
        <v>41</v>
      </c>
      <c r="V29" s="1802">
        <v>46</v>
      </c>
      <c r="W29" s="1802">
        <v>50</v>
      </c>
      <c r="X29" s="1802">
        <v>55</v>
      </c>
      <c r="Y29" s="1802">
        <v>65</v>
      </c>
      <c r="Z29" s="1810">
        <v>75</v>
      </c>
    </row>
    <row r="30" spans="1:26">
      <c r="A30" s="5503" t="s">
        <v>2524</v>
      </c>
      <c r="B30" s="5482"/>
      <c r="C30" s="5482"/>
      <c r="D30" s="5482"/>
      <c r="E30" s="5482"/>
      <c r="F30" s="5482"/>
      <c r="G30" s="5482">
        <v>20</v>
      </c>
      <c r="H30" s="5482"/>
      <c r="I30" s="5482">
        <v>22</v>
      </c>
      <c r="J30" s="5482"/>
      <c r="K30" s="5482">
        <v>26</v>
      </c>
      <c r="L30" s="5482"/>
      <c r="M30" s="1790">
        <v>32</v>
      </c>
      <c r="N30" s="1790">
        <v>38</v>
      </c>
      <c r="O30" s="5411">
        <v>45</v>
      </c>
      <c r="P30" s="5411"/>
      <c r="Q30" s="1802">
        <v>48</v>
      </c>
      <c r="R30" s="5411">
        <v>55</v>
      </c>
      <c r="S30" s="5411"/>
      <c r="T30" s="1802">
        <v>65</v>
      </c>
      <c r="U30" s="1802">
        <v>70</v>
      </c>
      <c r="V30" s="1802">
        <v>78</v>
      </c>
      <c r="W30" s="5411"/>
      <c r="X30" s="5411"/>
      <c r="Y30" s="5411"/>
      <c r="Z30" s="5463"/>
    </row>
    <row r="31" spans="1:26">
      <c r="A31" s="5503"/>
      <c r="B31" s="5482"/>
      <c r="C31" s="5482"/>
      <c r="D31" s="5482"/>
      <c r="E31" s="5482"/>
      <c r="F31" s="5482"/>
      <c r="G31" s="1790">
        <v>10</v>
      </c>
      <c r="H31" s="5482">
        <v>12</v>
      </c>
      <c r="I31" s="5482"/>
      <c r="J31" s="1790">
        <v>15</v>
      </c>
      <c r="K31" s="1790">
        <v>18</v>
      </c>
      <c r="L31" s="1790">
        <v>20</v>
      </c>
      <c r="M31" s="1790">
        <v>22</v>
      </c>
      <c r="N31" s="1790">
        <v>25</v>
      </c>
      <c r="O31" s="1802">
        <v>28</v>
      </c>
      <c r="P31" s="1802">
        <v>30</v>
      </c>
      <c r="Q31" s="1802">
        <v>32</v>
      </c>
      <c r="R31" s="1802">
        <v>35</v>
      </c>
      <c r="S31" s="1802">
        <v>38</v>
      </c>
      <c r="T31" s="1802">
        <v>42</v>
      </c>
      <c r="U31" s="1802">
        <v>48</v>
      </c>
      <c r="V31" s="1802">
        <v>52</v>
      </c>
      <c r="W31" s="1802">
        <v>55</v>
      </c>
      <c r="X31" s="1802">
        <v>60</v>
      </c>
      <c r="Y31" s="1802">
        <v>70</v>
      </c>
      <c r="Z31" s="1810">
        <v>80</v>
      </c>
    </row>
    <row r="32" spans="1:26">
      <c r="A32" s="5503"/>
      <c r="B32" s="5482"/>
      <c r="C32" s="5482"/>
      <c r="D32" s="5482"/>
      <c r="E32" s="5482"/>
      <c r="F32" s="5482"/>
      <c r="G32" s="1790">
        <v>10</v>
      </c>
      <c r="H32" s="5482">
        <v>12</v>
      </c>
      <c r="I32" s="5482"/>
      <c r="J32" s="1790">
        <v>15</v>
      </c>
      <c r="K32" s="5482">
        <v>20</v>
      </c>
      <c r="L32" s="5482"/>
      <c r="M32" s="1790">
        <v>25</v>
      </c>
      <c r="N32" s="1790">
        <v>28</v>
      </c>
      <c r="O32" s="1802">
        <v>30</v>
      </c>
      <c r="P32" s="1802">
        <v>32</v>
      </c>
      <c r="Q32" s="1802">
        <v>35</v>
      </c>
      <c r="R32" s="1802">
        <v>38</v>
      </c>
      <c r="S32" s="1802">
        <v>40</v>
      </c>
      <c r="T32" s="1802">
        <v>45</v>
      </c>
      <c r="U32" s="1802">
        <v>50</v>
      </c>
      <c r="V32" s="1802">
        <v>55</v>
      </c>
      <c r="W32" s="1802">
        <v>60</v>
      </c>
      <c r="X32" s="1802">
        <v>70</v>
      </c>
      <c r="Y32" s="1802">
        <v>80</v>
      </c>
      <c r="Z32" s="1810">
        <v>90</v>
      </c>
    </row>
    <row r="33" spans="1:26">
      <c r="A33" s="5503"/>
      <c r="B33" s="5482"/>
      <c r="C33" s="5482"/>
      <c r="D33" s="5482"/>
      <c r="E33" s="5482"/>
      <c r="F33" s="5482"/>
      <c r="G33" s="1790">
        <v>12</v>
      </c>
      <c r="H33" s="1790">
        <v>14</v>
      </c>
      <c r="I33" s="1790">
        <v>16</v>
      </c>
      <c r="J33" s="1790">
        <v>18</v>
      </c>
      <c r="K33" s="1790">
        <v>20</v>
      </c>
      <c r="L33" s="1790">
        <v>22</v>
      </c>
      <c r="M33" s="1790">
        <v>25</v>
      </c>
      <c r="N33" s="1790">
        <v>28</v>
      </c>
      <c r="O33" s="1802">
        <v>32</v>
      </c>
      <c r="P33" s="1802">
        <v>35</v>
      </c>
      <c r="Q33" s="1802">
        <v>40</v>
      </c>
      <c r="R33" s="1802">
        <v>45</v>
      </c>
      <c r="S33" s="1802">
        <v>50</v>
      </c>
      <c r="T33" s="1802">
        <v>55</v>
      </c>
      <c r="U33" s="1802">
        <v>60</v>
      </c>
      <c r="V33" s="1802">
        <v>70</v>
      </c>
      <c r="W33" s="1802">
        <v>75</v>
      </c>
      <c r="X33" s="1802">
        <v>80</v>
      </c>
      <c r="Y33" s="1802">
        <v>95</v>
      </c>
      <c r="Z33" s="1810">
        <v>105</v>
      </c>
    </row>
    <row r="34" spans="1:26">
      <c r="A34" s="5503"/>
      <c r="B34" s="5482"/>
      <c r="C34" s="5482"/>
      <c r="D34" s="5482"/>
      <c r="E34" s="5482"/>
      <c r="F34" s="5482"/>
      <c r="G34" s="1790">
        <v>18</v>
      </c>
      <c r="H34" s="5482">
        <v>20</v>
      </c>
      <c r="I34" s="5482"/>
      <c r="J34" s="1790">
        <v>24</v>
      </c>
      <c r="K34" s="1790">
        <v>28</v>
      </c>
      <c r="L34" s="1790">
        <v>30</v>
      </c>
      <c r="M34" s="1790">
        <v>36</v>
      </c>
      <c r="N34" s="1790">
        <v>40</v>
      </c>
      <c r="O34" s="1802">
        <v>45</v>
      </c>
      <c r="P34" s="1802">
        <v>50</v>
      </c>
      <c r="Q34" s="1802">
        <v>55</v>
      </c>
      <c r="R34" s="1802">
        <v>60</v>
      </c>
      <c r="S34" s="1802">
        <v>65</v>
      </c>
      <c r="T34" s="1802">
        <v>75</v>
      </c>
      <c r="U34" s="1802">
        <v>85</v>
      </c>
      <c r="V34" s="1802">
        <v>95</v>
      </c>
      <c r="W34" s="1802">
        <v>100</v>
      </c>
      <c r="X34" s="1802">
        <v>110</v>
      </c>
      <c r="Y34" s="1802">
        <v>125</v>
      </c>
      <c r="Z34" s="1810">
        <v>140</v>
      </c>
    </row>
    <row r="35" spans="1:26">
      <c r="A35" s="5503"/>
      <c r="B35" s="5482"/>
      <c r="C35" s="5482"/>
      <c r="D35" s="5482"/>
      <c r="E35" s="5482"/>
      <c r="F35" s="5482"/>
      <c r="G35" s="5482">
        <v>5</v>
      </c>
      <c r="H35" s="5482"/>
      <c r="I35" s="1790">
        <v>6</v>
      </c>
      <c r="J35" s="1790">
        <v>7</v>
      </c>
      <c r="K35" s="1790">
        <v>8</v>
      </c>
      <c r="L35" s="1790">
        <v>9</v>
      </c>
      <c r="M35" s="1790">
        <v>11</v>
      </c>
      <c r="N35" s="1790">
        <v>12</v>
      </c>
      <c r="O35" s="1802">
        <v>15</v>
      </c>
      <c r="P35" s="1802">
        <v>16</v>
      </c>
      <c r="Q35" s="1802">
        <v>18</v>
      </c>
      <c r="R35" s="1802">
        <v>20</v>
      </c>
      <c r="S35" s="1802">
        <v>21</v>
      </c>
      <c r="T35" s="1802">
        <v>24</v>
      </c>
      <c r="U35" s="1802">
        <v>27</v>
      </c>
      <c r="V35" s="1802">
        <v>30</v>
      </c>
      <c r="W35" s="1802">
        <v>32</v>
      </c>
      <c r="X35" s="1802">
        <v>35</v>
      </c>
      <c r="Y35" s="1802">
        <v>40</v>
      </c>
      <c r="Z35" s="1810">
        <v>50</v>
      </c>
    </row>
    <row r="36" spans="1:26">
      <c r="A36" s="5503"/>
      <c r="B36" s="5482"/>
      <c r="C36" s="5482"/>
      <c r="D36" s="5482"/>
      <c r="E36" s="5482"/>
      <c r="F36" s="5482"/>
      <c r="G36" s="1790">
        <v>8</v>
      </c>
      <c r="H36" s="5482">
        <v>10</v>
      </c>
      <c r="I36" s="5482"/>
      <c r="J36" s="1790">
        <v>12</v>
      </c>
      <c r="K36" s="1790">
        <v>14</v>
      </c>
      <c r="L36" s="1790">
        <v>16</v>
      </c>
      <c r="M36" s="1790">
        <v>18</v>
      </c>
      <c r="N36" s="1790">
        <v>20</v>
      </c>
      <c r="O36" s="1802">
        <v>22</v>
      </c>
      <c r="P36" s="1802">
        <v>25</v>
      </c>
      <c r="Q36" s="1802">
        <v>28</v>
      </c>
      <c r="R36" s="1802">
        <v>30</v>
      </c>
      <c r="S36" s="1802">
        <v>32</v>
      </c>
      <c r="T36" s="1802">
        <v>35</v>
      </c>
      <c r="U36" s="1802">
        <v>40</v>
      </c>
      <c r="V36" s="1802">
        <v>45</v>
      </c>
      <c r="W36" s="1802">
        <v>48</v>
      </c>
      <c r="X36" s="1802">
        <v>50</v>
      </c>
      <c r="Y36" s="1802">
        <v>60</v>
      </c>
      <c r="Z36" s="1810">
        <v>65</v>
      </c>
    </row>
    <row r="37" spans="1:26">
      <c r="A37" s="5503"/>
      <c r="B37" s="5482"/>
      <c r="C37" s="5482"/>
      <c r="D37" s="5482"/>
      <c r="E37" s="5482"/>
      <c r="F37" s="5482"/>
      <c r="G37" s="1790">
        <v>5</v>
      </c>
      <c r="H37" s="5482">
        <v>6</v>
      </c>
      <c r="I37" s="5482"/>
      <c r="J37" s="1790">
        <v>8</v>
      </c>
      <c r="K37" s="1790">
        <v>10</v>
      </c>
      <c r="L37" s="1790">
        <v>12</v>
      </c>
      <c r="M37" s="1790">
        <v>14</v>
      </c>
      <c r="N37" s="1790">
        <v>16</v>
      </c>
      <c r="O37" s="1802">
        <v>18</v>
      </c>
      <c r="P37" s="1802">
        <v>20</v>
      </c>
      <c r="Q37" s="1802">
        <v>22</v>
      </c>
      <c r="R37" s="5411">
        <v>25</v>
      </c>
      <c r="S37" s="5411"/>
      <c r="T37" s="1802">
        <v>28</v>
      </c>
      <c r="U37" s="1802">
        <v>32</v>
      </c>
      <c r="V37" s="1802">
        <v>36</v>
      </c>
      <c r="W37" s="1802">
        <v>40</v>
      </c>
      <c r="X37" s="1802">
        <v>45</v>
      </c>
      <c r="Y37" s="1802">
        <v>50</v>
      </c>
      <c r="Z37" s="1810">
        <v>55</v>
      </c>
    </row>
    <row r="38" spans="1:26">
      <c r="A38" s="5503"/>
      <c r="B38" s="5482"/>
      <c r="C38" s="5482"/>
      <c r="D38" s="5482"/>
      <c r="E38" s="5482"/>
      <c r="F38" s="5482"/>
      <c r="G38" s="1790">
        <v>35</v>
      </c>
      <c r="H38" s="5482">
        <v>40</v>
      </c>
      <c r="I38" s="5482"/>
      <c r="J38" s="1790">
        <v>45</v>
      </c>
      <c r="K38" s="1790">
        <v>55</v>
      </c>
      <c r="L38" s="1790">
        <v>60</v>
      </c>
      <c r="M38" s="1790">
        <v>70</v>
      </c>
      <c r="N38" s="1790">
        <v>80</v>
      </c>
      <c r="O38" s="1802">
        <v>90</v>
      </c>
      <c r="P38" s="1802">
        <v>100</v>
      </c>
      <c r="Q38" s="1802">
        <v>110</v>
      </c>
      <c r="R38" s="5411">
        <v>120</v>
      </c>
      <c r="S38" s="5411"/>
      <c r="T38" s="1802">
        <v>130</v>
      </c>
      <c r="U38" s="1802">
        <v>140</v>
      </c>
      <c r="V38" s="1802">
        <v>155</v>
      </c>
      <c r="W38" s="1802">
        <v>170</v>
      </c>
      <c r="X38" s="1802">
        <v>190</v>
      </c>
      <c r="Y38" s="1802">
        <v>210</v>
      </c>
      <c r="Z38" s="1810">
        <v>250</v>
      </c>
    </row>
    <row r="39" spans="1:26">
      <c r="A39" s="5504"/>
      <c r="B39" s="5505"/>
      <c r="C39" s="5505"/>
      <c r="D39" s="5505"/>
      <c r="E39" s="5505"/>
      <c r="F39" s="5505"/>
      <c r="G39" s="1791">
        <v>25</v>
      </c>
      <c r="H39" s="5505">
        <v>30</v>
      </c>
      <c r="I39" s="5505"/>
      <c r="J39" s="1791">
        <v>35</v>
      </c>
      <c r="K39" s="1791">
        <v>45</v>
      </c>
      <c r="L39" s="1791">
        <v>50</v>
      </c>
      <c r="M39" s="1791">
        <v>55</v>
      </c>
      <c r="N39" s="1791">
        <v>60</v>
      </c>
      <c r="O39" s="1803">
        <v>65</v>
      </c>
      <c r="P39" s="1803">
        <v>70</v>
      </c>
      <c r="Q39" s="1803">
        <v>75</v>
      </c>
      <c r="R39" s="5471">
        <v>80</v>
      </c>
      <c r="S39" s="5471"/>
      <c r="T39" s="1803">
        <v>90</v>
      </c>
      <c r="U39" s="1803">
        <v>100</v>
      </c>
      <c r="V39" s="1803">
        <v>110</v>
      </c>
      <c r="W39" s="1803">
        <v>120</v>
      </c>
      <c r="X39" s="1803">
        <v>130</v>
      </c>
      <c r="Y39" s="1803">
        <v>150</v>
      </c>
      <c r="Z39" s="1811">
        <v>170</v>
      </c>
    </row>
    <row r="40" spans="1:26">
      <c r="A40" s="1792"/>
      <c r="B40" s="1793"/>
      <c r="C40" s="1786"/>
      <c r="D40" s="1786"/>
      <c r="E40" s="1786"/>
      <c r="F40" s="1786"/>
      <c r="G40" s="1786"/>
      <c r="H40" s="1789"/>
      <c r="I40" s="1794"/>
      <c r="J40" s="1794"/>
      <c r="K40" s="1794"/>
      <c r="L40" s="1794"/>
      <c r="M40" s="1794"/>
      <c r="N40" s="1794"/>
      <c r="O40" s="1794"/>
      <c r="P40" s="1794"/>
      <c r="Q40" s="1794"/>
      <c r="R40" s="1794"/>
      <c r="S40" s="1794"/>
      <c r="T40" s="1794"/>
      <c r="U40" s="1794"/>
      <c r="V40" s="1794"/>
      <c r="W40" s="1794"/>
      <c r="X40" s="1794"/>
      <c r="Y40" s="1794"/>
      <c r="Z40" s="1812"/>
    </row>
    <row r="41" spans="1:26">
      <c r="A41" s="5501" t="s">
        <v>11884</v>
      </c>
      <c r="B41" s="5502"/>
      <c r="C41" s="5502"/>
      <c r="D41" s="5502"/>
      <c r="E41" s="5498" t="s">
        <v>520</v>
      </c>
      <c r="F41" s="5444"/>
      <c r="G41" s="5498" t="s">
        <v>521</v>
      </c>
      <c r="H41" s="5444"/>
      <c r="I41" s="5498" t="s">
        <v>522</v>
      </c>
      <c r="J41" s="5444"/>
      <c r="K41" s="5498" t="s">
        <v>523</v>
      </c>
      <c r="L41" s="5444"/>
      <c r="M41" s="5498" t="s">
        <v>525</v>
      </c>
      <c r="N41" s="5444"/>
      <c r="O41" s="5498" t="s">
        <v>527</v>
      </c>
      <c r="P41" s="5444"/>
      <c r="Q41" s="5498" t="s">
        <v>529</v>
      </c>
      <c r="R41" s="5444"/>
      <c r="S41" s="5498" t="s">
        <v>531</v>
      </c>
      <c r="T41" s="5444"/>
      <c r="U41" s="5498" t="s">
        <v>533</v>
      </c>
      <c r="V41" s="5444"/>
      <c r="W41" s="5498" t="s">
        <v>3901</v>
      </c>
      <c r="X41" s="5444"/>
      <c r="Y41" s="5499" t="s">
        <v>11876</v>
      </c>
      <c r="Z41" s="5500"/>
    </row>
    <row r="42" spans="1:26">
      <c r="A42" s="5492"/>
      <c r="B42" s="5493"/>
      <c r="C42" s="5493"/>
      <c r="D42" s="5493"/>
      <c r="E42" s="5396">
        <v>22</v>
      </c>
      <c r="F42" s="5396"/>
      <c r="G42" s="5396">
        <v>28</v>
      </c>
      <c r="H42" s="5396"/>
      <c r="I42" s="5396">
        <v>32</v>
      </c>
      <c r="J42" s="5396"/>
      <c r="K42" s="5396">
        <v>43</v>
      </c>
      <c r="L42" s="5396"/>
      <c r="M42" s="5396">
        <v>50</v>
      </c>
      <c r="N42" s="5396"/>
      <c r="O42" s="5396">
        <v>60</v>
      </c>
      <c r="P42" s="5396"/>
      <c r="Q42" s="5396">
        <v>66</v>
      </c>
      <c r="R42" s="5396"/>
      <c r="S42" s="5396">
        <v>85</v>
      </c>
      <c r="T42" s="5396"/>
      <c r="U42" s="5396">
        <v>100</v>
      </c>
      <c r="V42" s="5396"/>
      <c r="W42" s="5396">
        <v>120</v>
      </c>
      <c r="X42" s="5396"/>
      <c r="Y42" s="5496">
        <v>140</v>
      </c>
      <c r="Z42" s="5497"/>
    </row>
    <row r="43" spans="1:26">
      <c r="A43" s="5489" t="s">
        <v>1874</v>
      </c>
      <c r="B43" s="5490"/>
      <c r="C43" s="5424" t="s">
        <v>11885</v>
      </c>
      <c r="D43" s="5424"/>
      <c r="E43" s="5396">
        <v>15</v>
      </c>
      <c r="F43" s="5396"/>
      <c r="G43" s="5396">
        <v>18</v>
      </c>
      <c r="H43" s="5396"/>
      <c r="I43" s="5396">
        <v>20</v>
      </c>
      <c r="J43" s="5396"/>
      <c r="K43" s="5396">
        <v>25</v>
      </c>
      <c r="L43" s="5396"/>
      <c r="M43" s="5396">
        <v>30</v>
      </c>
      <c r="N43" s="5396"/>
      <c r="O43" s="5396">
        <v>40</v>
      </c>
      <c r="P43" s="5396"/>
      <c r="Q43" s="5396">
        <v>45</v>
      </c>
      <c r="R43" s="5396"/>
      <c r="S43" s="5396">
        <v>55</v>
      </c>
      <c r="T43" s="5396"/>
      <c r="U43" s="5396">
        <v>70</v>
      </c>
      <c r="V43" s="5396"/>
      <c r="W43" s="5396">
        <v>80</v>
      </c>
      <c r="X43" s="5396"/>
      <c r="Y43" s="5496">
        <v>90</v>
      </c>
      <c r="Z43" s="5497"/>
    </row>
    <row r="44" spans="1:26">
      <c r="A44" s="5491"/>
      <c r="B44" s="5490"/>
      <c r="C44" s="5424" t="s">
        <v>11886</v>
      </c>
      <c r="D44" s="5424"/>
      <c r="E44" s="5396">
        <v>13</v>
      </c>
      <c r="F44" s="5396"/>
      <c r="G44" s="5396">
        <v>14</v>
      </c>
      <c r="H44" s="5396"/>
      <c r="I44" s="5396">
        <v>15</v>
      </c>
      <c r="J44" s="5396"/>
      <c r="K44" s="5396">
        <v>18</v>
      </c>
      <c r="L44" s="5396"/>
      <c r="M44" s="5396">
        <v>22</v>
      </c>
      <c r="N44" s="5396"/>
      <c r="O44" s="5396">
        <v>25</v>
      </c>
      <c r="P44" s="5396"/>
      <c r="Q44" s="5396">
        <v>30</v>
      </c>
      <c r="R44" s="5396"/>
      <c r="S44" s="5396">
        <v>35</v>
      </c>
      <c r="T44" s="5396"/>
      <c r="U44" s="5396">
        <v>42</v>
      </c>
      <c r="V44" s="5396"/>
      <c r="W44" s="5396">
        <v>48</v>
      </c>
      <c r="X44" s="5396"/>
      <c r="Y44" s="5496">
        <v>55</v>
      </c>
      <c r="Z44" s="5497"/>
    </row>
    <row r="45" spans="1:26">
      <c r="A45" s="5492"/>
      <c r="B45" s="5493"/>
      <c r="C45" s="5493"/>
      <c r="D45" s="5493"/>
      <c r="E45" s="5396">
        <v>13</v>
      </c>
      <c r="F45" s="5396"/>
      <c r="G45" s="5396">
        <v>14</v>
      </c>
      <c r="H45" s="5396"/>
      <c r="I45" s="5396">
        <v>16</v>
      </c>
      <c r="J45" s="5396"/>
      <c r="K45" s="5396">
        <v>20</v>
      </c>
      <c r="L45" s="5396"/>
      <c r="M45" s="5396">
        <v>24</v>
      </c>
      <c r="N45" s="5396"/>
      <c r="O45" s="5396">
        <v>28</v>
      </c>
      <c r="P45" s="5396"/>
      <c r="Q45" s="5396">
        <v>32</v>
      </c>
      <c r="R45" s="5396"/>
      <c r="S45" s="5396">
        <v>38</v>
      </c>
      <c r="T45" s="5396"/>
      <c r="U45" s="5396">
        <v>45</v>
      </c>
      <c r="V45" s="5396"/>
      <c r="W45" s="5396">
        <v>50</v>
      </c>
      <c r="X45" s="5396"/>
      <c r="Y45" s="5496">
        <v>58</v>
      </c>
      <c r="Z45" s="5497"/>
    </row>
    <row r="46" spans="1:26">
      <c r="A46" s="5492"/>
      <c r="B46" s="5493"/>
      <c r="C46" s="5493"/>
      <c r="D46" s="5493"/>
      <c r="E46" s="5396">
        <v>12</v>
      </c>
      <c r="F46" s="5396"/>
      <c r="G46" s="5396">
        <v>13</v>
      </c>
      <c r="H46" s="5396"/>
      <c r="I46" s="5396">
        <v>14</v>
      </c>
      <c r="J46" s="5396"/>
      <c r="K46" s="5396">
        <v>17</v>
      </c>
      <c r="L46" s="5396"/>
      <c r="M46" s="5396">
        <v>21</v>
      </c>
      <c r="N46" s="5396"/>
      <c r="O46" s="5396">
        <v>24</v>
      </c>
      <c r="P46" s="5396"/>
      <c r="Q46" s="5396">
        <v>27</v>
      </c>
      <c r="R46" s="5396"/>
      <c r="S46" s="5396">
        <v>33</v>
      </c>
      <c r="T46" s="5396"/>
      <c r="U46" s="5396">
        <v>40</v>
      </c>
      <c r="V46" s="5396"/>
      <c r="W46" s="5396">
        <v>46</v>
      </c>
      <c r="X46" s="5396"/>
      <c r="Y46" s="5496">
        <v>54</v>
      </c>
      <c r="Z46" s="5497"/>
    </row>
    <row r="47" spans="1:26">
      <c r="A47" s="5492"/>
      <c r="B47" s="5493"/>
      <c r="C47" s="5493"/>
      <c r="D47" s="5493"/>
      <c r="E47" s="5424">
        <v>5</v>
      </c>
      <c r="F47" s="5424"/>
      <c r="G47" s="5424"/>
      <c r="H47" s="5424"/>
      <c r="I47" s="5424"/>
      <c r="J47" s="5424"/>
      <c r="K47" s="5424"/>
      <c r="L47" s="5424"/>
      <c r="M47" s="5424"/>
      <c r="N47" s="5424"/>
      <c r="O47" s="5424">
        <v>8</v>
      </c>
      <c r="P47" s="5424"/>
      <c r="Q47" s="5424">
        <v>10</v>
      </c>
      <c r="R47" s="5424"/>
      <c r="S47" s="5424"/>
      <c r="T47" s="5424"/>
      <c r="U47" s="5424"/>
      <c r="V47" s="5424"/>
      <c r="W47" s="5424">
        <v>12</v>
      </c>
      <c r="X47" s="5424"/>
      <c r="Y47" s="5424"/>
      <c r="Z47" s="5343"/>
    </row>
    <row r="48" spans="1:26">
      <c r="A48" s="5494"/>
      <c r="B48" s="5495"/>
      <c r="C48" s="5495"/>
      <c r="D48" s="5495"/>
      <c r="E48" s="5435">
        <v>3</v>
      </c>
      <c r="F48" s="5435"/>
      <c r="G48" s="5435"/>
      <c r="H48" s="5435"/>
      <c r="I48" s="5435">
        <v>4</v>
      </c>
      <c r="J48" s="5435"/>
      <c r="K48" s="5435"/>
      <c r="L48" s="5435"/>
      <c r="M48" s="5435">
        <v>5</v>
      </c>
      <c r="N48" s="5435"/>
      <c r="O48" s="5435"/>
      <c r="P48" s="5435"/>
      <c r="Q48" s="5435">
        <v>6</v>
      </c>
      <c r="R48" s="5435"/>
      <c r="S48" s="5435"/>
      <c r="T48" s="5435"/>
      <c r="U48" s="5435">
        <v>8</v>
      </c>
      <c r="V48" s="5435"/>
      <c r="W48" s="5435"/>
      <c r="X48" s="5435"/>
      <c r="Y48" s="5435">
        <v>10</v>
      </c>
      <c r="Z48" s="5436"/>
    </row>
    <row r="49" spans="1:26">
      <c r="A49" s="5430" t="s">
        <v>11861</v>
      </c>
      <c r="B49" s="5346"/>
      <c r="C49" s="5346"/>
      <c r="D49" s="5346"/>
      <c r="E49" s="5346"/>
      <c r="F49" s="5346"/>
      <c r="G49" s="5346"/>
      <c r="H49" s="5346" t="s">
        <v>11862</v>
      </c>
      <c r="I49" s="5346"/>
      <c r="J49" s="5346"/>
      <c r="K49" s="5346" t="s">
        <v>11863</v>
      </c>
      <c r="L49" s="5346"/>
      <c r="M49" s="5346"/>
      <c r="N49" s="5346"/>
      <c r="O49" s="5346"/>
      <c r="P49" s="5346"/>
      <c r="Q49" s="5346"/>
      <c r="R49" s="5346"/>
      <c r="S49" s="5346"/>
      <c r="T49" s="5346"/>
      <c r="U49" s="5346" t="s">
        <v>11864</v>
      </c>
      <c r="V49" s="5346"/>
      <c r="W49" s="5346"/>
      <c r="X49" s="5346"/>
      <c r="Y49" s="5346"/>
      <c r="Z49" s="5431"/>
    </row>
    <row r="50" spans="1:26">
      <c r="A50" s="5349" t="s">
        <v>11887</v>
      </c>
      <c r="B50" s="5350"/>
      <c r="C50" s="5350"/>
      <c r="D50" s="5350"/>
      <c r="E50" s="5350"/>
      <c r="F50" s="5350"/>
      <c r="G50" s="5351"/>
      <c r="H50" s="5355"/>
      <c r="I50" s="5355"/>
      <c r="J50" s="5355"/>
      <c r="K50" s="5355" t="s">
        <v>11866</v>
      </c>
      <c r="L50" s="5355"/>
      <c r="M50" s="5355" t="s">
        <v>961</v>
      </c>
      <c r="N50" s="5355"/>
      <c r="O50" s="5355" t="s">
        <v>962</v>
      </c>
      <c r="P50" s="5355"/>
      <c r="Q50" s="5355" t="s">
        <v>1957</v>
      </c>
      <c r="R50" s="5355"/>
      <c r="S50" s="5355" t="s">
        <v>2524</v>
      </c>
      <c r="T50" s="5355"/>
      <c r="U50" s="5355"/>
      <c r="V50" s="5355"/>
      <c r="W50" s="5355"/>
      <c r="X50" s="5355"/>
      <c r="Y50" s="5355"/>
      <c r="Z50" s="5356"/>
    </row>
    <row r="51" spans="1:26">
      <c r="A51" s="5352"/>
      <c r="B51" s="5353"/>
      <c r="C51" s="5353"/>
      <c r="D51" s="5353"/>
      <c r="E51" s="5353"/>
      <c r="F51" s="5353"/>
      <c r="G51" s="5354"/>
      <c r="H51" s="5348"/>
      <c r="I51" s="5348"/>
      <c r="J51" s="5348"/>
      <c r="K51" s="5348" t="s">
        <v>11867</v>
      </c>
      <c r="L51" s="5348"/>
      <c r="M51" s="5348"/>
      <c r="N51" s="5348"/>
      <c r="O51" s="5348"/>
      <c r="P51" s="5348"/>
      <c r="Q51" s="5348"/>
      <c r="R51" s="5348"/>
      <c r="S51" s="5348"/>
      <c r="T51" s="5348"/>
      <c r="U51" s="5348"/>
      <c r="V51" s="5348"/>
      <c r="W51" s="5348"/>
      <c r="X51" s="5348"/>
      <c r="Y51" s="5348"/>
      <c r="Z51" s="5357"/>
    </row>
    <row r="52" spans="1:26">
      <c r="A52" s="1800"/>
      <c r="B52" s="1800"/>
      <c r="C52" s="1800"/>
      <c r="D52" s="1800"/>
      <c r="E52" s="1800"/>
      <c r="F52" s="1800"/>
      <c r="G52" s="1800"/>
      <c r="H52" s="1800"/>
      <c r="I52" s="1800"/>
      <c r="J52" s="1800"/>
      <c r="K52" s="1800"/>
      <c r="L52" s="1800"/>
      <c r="M52" s="1800"/>
      <c r="N52" s="1800"/>
      <c r="O52" s="1800"/>
      <c r="P52" s="1800"/>
      <c r="Q52" s="1800"/>
      <c r="R52" s="1800"/>
      <c r="S52" s="1800"/>
      <c r="T52" s="1800"/>
      <c r="U52" s="1800"/>
      <c r="V52" s="1800"/>
      <c r="W52" s="1800"/>
      <c r="X52" s="1800"/>
      <c r="Y52" s="1800"/>
      <c r="Z52" s="1800"/>
    </row>
    <row r="53" spans="1:26">
      <c r="A53" s="1800"/>
      <c r="B53" s="1800"/>
      <c r="C53" s="1800"/>
      <c r="D53" s="1800"/>
      <c r="E53" s="1800"/>
      <c r="F53" s="1800"/>
      <c r="G53" s="1800"/>
      <c r="H53" s="1800"/>
      <c r="I53" s="1800"/>
      <c r="J53" s="1800"/>
      <c r="K53" s="1800"/>
      <c r="L53" s="1800"/>
      <c r="M53" s="1800"/>
      <c r="N53" s="1800"/>
      <c r="O53" s="1800"/>
      <c r="P53" s="1800"/>
      <c r="Q53" s="1800"/>
      <c r="R53" s="1800"/>
      <c r="S53" s="1800"/>
      <c r="T53" s="1800"/>
      <c r="U53" s="1800"/>
      <c r="V53" s="1800"/>
      <c r="W53" s="1800"/>
      <c r="X53" s="1800"/>
      <c r="Y53" s="1800"/>
      <c r="Z53" s="1800"/>
    </row>
    <row r="54" spans="1:26">
      <c r="A54" s="1800"/>
      <c r="B54" s="1800"/>
      <c r="C54" s="1800"/>
      <c r="D54" s="1800"/>
      <c r="E54" s="1800"/>
      <c r="F54" s="1800"/>
      <c r="G54" s="1800"/>
      <c r="H54" s="1800"/>
      <c r="I54" s="1800"/>
      <c r="J54" s="1800"/>
      <c r="K54" s="1800"/>
      <c r="L54" s="1800"/>
      <c r="M54" s="1800"/>
      <c r="N54" s="1800"/>
      <c r="O54" s="1800"/>
      <c r="P54" s="1800"/>
      <c r="Q54" s="1800"/>
      <c r="R54" s="1800"/>
      <c r="S54" s="1800"/>
      <c r="T54" s="1800"/>
      <c r="U54" s="1800"/>
      <c r="V54" s="1800"/>
      <c r="W54" s="1800"/>
      <c r="X54" s="1800"/>
      <c r="Z54" s="1800"/>
    </row>
    <row r="55" spans="1:26">
      <c r="A55" s="1800"/>
      <c r="B55" s="1800"/>
      <c r="C55" s="1800"/>
      <c r="D55" s="1800"/>
      <c r="E55" s="1800"/>
      <c r="F55" s="1800"/>
      <c r="G55" s="1800"/>
      <c r="H55" s="1800"/>
      <c r="I55" s="1800"/>
      <c r="J55" s="1800"/>
      <c r="K55" s="1800"/>
      <c r="L55" s="1800"/>
      <c r="M55" s="1800"/>
      <c r="N55" s="1800"/>
      <c r="O55" s="1800"/>
      <c r="P55" s="1800"/>
      <c r="Q55" s="1800"/>
      <c r="R55" s="1800"/>
      <c r="S55" s="1800"/>
      <c r="T55" s="1800"/>
      <c r="U55" s="1800"/>
      <c r="V55" s="1800"/>
      <c r="W55" s="1800"/>
      <c r="X55" s="1800"/>
      <c r="Y55" s="1800"/>
      <c r="Z55" s="1800"/>
    </row>
    <row r="56" spans="1:26">
      <c r="A56" s="1800"/>
      <c r="B56" s="1800"/>
      <c r="C56" s="1800"/>
      <c r="D56" s="1800"/>
      <c r="E56" s="1800"/>
      <c r="F56" s="1800"/>
      <c r="G56" s="1800"/>
      <c r="H56" s="1800"/>
      <c r="I56" s="1800"/>
      <c r="J56" s="1800"/>
      <c r="K56" s="1800"/>
      <c r="L56" s="1800"/>
      <c r="M56" s="1800"/>
      <c r="N56" s="1800"/>
      <c r="O56" s="1800"/>
      <c r="P56" s="1800"/>
      <c r="Q56" s="1800"/>
      <c r="R56" s="1800"/>
      <c r="S56" s="1800"/>
      <c r="T56" s="1800"/>
      <c r="U56" s="1800"/>
      <c r="V56" s="1800"/>
      <c r="W56" s="1800"/>
      <c r="X56" s="1800"/>
      <c r="Y56" s="1800"/>
      <c r="Z56" s="1800"/>
    </row>
    <row r="57" spans="1:26">
      <c r="A57" s="1800"/>
      <c r="B57" s="1800"/>
      <c r="C57" s="1800"/>
      <c r="D57" s="1800"/>
      <c r="E57" s="1800"/>
      <c r="F57" s="1800"/>
      <c r="G57" s="1800"/>
      <c r="H57" s="1800"/>
      <c r="I57" s="1800"/>
      <c r="J57" s="1800"/>
      <c r="K57" s="1800"/>
      <c r="L57" s="1800"/>
      <c r="M57" s="1800"/>
      <c r="N57" s="1800"/>
      <c r="O57" s="1800"/>
      <c r="P57" s="1800"/>
      <c r="Q57" s="1800"/>
      <c r="R57" s="1800"/>
      <c r="S57" s="1800"/>
      <c r="T57" s="1800"/>
      <c r="U57" s="1800"/>
      <c r="V57" s="1800"/>
      <c r="W57" s="1800"/>
      <c r="X57" s="1800"/>
      <c r="Y57" s="1800"/>
      <c r="Z57" s="1800"/>
    </row>
    <row r="58" spans="1:26">
      <c r="A58" s="1800"/>
      <c r="B58" s="1800"/>
      <c r="C58" s="1800"/>
      <c r="D58" s="1800"/>
      <c r="E58" s="1800"/>
      <c r="F58" s="1800"/>
      <c r="G58" s="1800"/>
      <c r="H58" s="1800"/>
      <c r="I58" s="1800"/>
      <c r="J58" s="1800"/>
      <c r="K58" s="1800"/>
      <c r="L58" s="1800"/>
      <c r="M58" s="1800"/>
      <c r="N58" s="1800"/>
      <c r="O58" s="1800"/>
      <c r="P58" s="1800"/>
      <c r="Q58" s="1800"/>
      <c r="R58" s="1800"/>
      <c r="S58" s="1800"/>
      <c r="T58" s="1800"/>
      <c r="U58" s="1800"/>
      <c r="V58" s="1800"/>
      <c r="W58" s="1800"/>
      <c r="X58" s="1800"/>
      <c r="Y58" s="1800"/>
      <c r="Z58" s="1800"/>
    </row>
    <row r="59" spans="1:26">
      <c r="A59" s="1800"/>
      <c r="B59" s="1800"/>
      <c r="C59" s="1800"/>
      <c r="D59" s="1800"/>
      <c r="E59" s="1800"/>
      <c r="F59" s="1800"/>
      <c r="G59" s="1800"/>
      <c r="H59" s="1800"/>
      <c r="I59" s="1800"/>
      <c r="J59" s="1800"/>
      <c r="K59" s="1800"/>
      <c r="L59" s="1800"/>
      <c r="M59" s="1800"/>
      <c r="N59" s="1800"/>
      <c r="O59" s="1800"/>
      <c r="P59" s="1800"/>
      <c r="Q59" s="1800"/>
      <c r="R59" s="1800"/>
      <c r="S59" s="1800"/>
      <c r="T59" s="1800"/>
      <c r="U59" s="1800"/>
      <c r="V59" s="1800"/>
      <c r="W59" s="1800"/>
      <c r="X59" s="1800"/>
      <c r="Y59" s="1800"/>
      <c r="Z59" s="1800"/>
    </row>
    <row r="60" spans="1:26">
      <c r="A60" s="1800"/>
      <c r="B60" s="1800"/>
      <c r="C60" s="1800"/>
      <c r="D60" s="1800"/>
      <c r="E60" s="1800"/>
      <c r="F60" s="1800"/>
      <c r="G60" s="1800"/>
      <c r="H60" s="1800"/>
      <c r="I60" s="1800"/>
      <c r="J60" s="1800"/>
      <c r="K60" s="1800"/>
      <c r="L60" s="1800"/>
      <c r="M60" s="1800"/>
      <c r="N60" s="1800"/>
      <c r="O60" s="1800"/>
      <c r="P60" s="1800"/>
      <c r="Q60" s="1800"/>
      <c r="R60" s="1800"/>
      <c r="S60" s="1800"/>
      <c r="T60" s="1800"/>
      <c r="U60" s="1800"/>
      <c r="V60" s="1800"/>
      <c r="W60" s="1800"/>
      <c r="X60" s="1800"/>
      <c r="Y60" s="1800"/>
      <c r="Z60" s="1800"/>
    </row>
    <row r="61" spans="1:26">
      <c r="A61" s="1800"/>
      <c r="B61" s="1800"/>
      <c r="C61" s="1800"/>
      <c r="D61" s="1800"/>
      <c r="E61" s="1800"/>
      <c r="F61" s="1800"/>
      <c r="G61" s="1800"/>
      <c r="H61" s="1800"/>
      <c r="I61" s="1800"/>
      <c r="J61" s="1800"/>
      <c r="K61" s="1800"/>
      <c r="L61" s="1800"/>
      <c r="M61" s="1800"/>
      <c r="N61" s="1800"/>
      <c r="O61" s="1800"/>
      <c r="P61" s="1800"/>
      <c r="Q61" s="1800"/>
      <c r="R61" s="1800"/>
      <c r="S61" s="1800"/>
      <c r="T61" s="1800"/>
      <c r="U61" s="1800"/>
      <c r="V61" s="1800"/>
      <c r="W61" s="1800"/>
      <c r="X61" s="1800"/>
      <c r="Y61" s="1800"/>
      <c r="Z61" s="1800"/>
    </row>
    <row r="62" spans="1:26">
      <c r="A62" s="1800"/>
      <c r="B62" s="1800"/>
      <c r="C62" s="1800"/>
      <c r="D62" s="1800"/>
      <c r="E62" s="1800"/>
      <c r="F62" s="1800"/>
      <c r="G62" s="1800"/>
      <c r="H62" s="1800"/>
      <c r="I62" s="1800"/>
      <c r="J62" s="1800"/>
      <c r="K62" s="1800"/>
      <c r="L62" s="1800"/>
      <c r="M62" s="1800"/>
      <c r="N62" s="1800"/>
      <c r="O62" s="1800"/>
      <c r="P62" s="1800"/>
      <c r="Q62" s="1800"/>
      <c r="R62" s="1800"/>
      <c r="S62" s="1800"/>
      <c r="T62" s="1800"/>
      <c r="U62" s="1800"/>
      <c r="V62" s="1800"/>
      <c r="W62" s="1800"/>
      <c r="X62" s="1800"/>
      <c r="Y62" s="1800"/>
      <c r="Z62" s="1800"/>
    </row>
    <row r="63" spans="1:26">
      <c r="A63" s="1800"/>
      <c r="B63" s="1800"/>
      <c r="C63" s="1800"/>
      <c r="D63" s="1800"/>
      <c r="E63" s="1800"/>
      <c r="F63" s="1800"/>
      <c r="G63" s="1800"/>
      <c r="H63" s="1800"/>
      <c r="I63" s="1800"/>
      <c r="J63" s="1800"/>
      <c r="K63" s="1800"/>
      <c r="L63" s="1800"/>
      <c r="M63" s="1800"/>
      <c r="N63" s="1800"/>
      <c r="O63" s="1800"/>
      <c r="P63" s="1800"/>
      <c r="Q63" s="1800"/>
      <c r="R63" s="1800"/>
      <c r="S63" s="1800"/>
      <c r="T63" s="1800"/>
      <c r="U63" s="1800"/>
      <c r="V63" s="1800"/>
      <c r="W63" s="1800"/>
      <c r="X63" s="1800"/>
      <c r="Y63" s="1800"/>
      <c r="Z63" s="1800"/>
    </row>
    <row r="64" spans="1:26">
      <c r="A64" s="1800"/>
      <c r="B64" s="1800"/>
      <c r="C64" s="1800"/>
      <c r="D64" s="1800"/>
      <c r="E64" s="1800"/>
      <c r="F64" s="1800"/>
      <c r="G64" s="1800"/>
      <c r="H64" s="1800"/>
      <c r="I64" s="1800"/>
      <c r="J64" s="1800"/>
      <c r="K64" s="1800"/>
      <c r="L64" s="1800"/>
      <c r="M64" s="1800"/>
      <c r="N64" s="1800"/>
      <c r="O64" s="1800"/>
      <c r="P64" s="1800"/>
      <c r="Q64" s="1800"/>
      <c r="R64" s="1800"/>
      <c r="S64" s="1800"/>
      <c r="T64" s="1800"/>
      <c r="U64" s="1800"/>
      <c r="V64" s="1800"/>
      <c r="W64" s="1800"/>
      <c r="X64" s="1800"/>
      <c r="Y64" s="1800"/>
      <c r="Z64" s="1800"/>
    </row>
    <row r="65" spans="1:26">
      <c r="A65" s="1800"/>
      <c r="B65" s="1800"/>
      <c r="C65" s="1800"/>
      <c r="D65" s="1800"/>
      <c r="E65" s="1800"/>
      <c r="F65" s="1800"/>
      <c r="G65" s="1800"/>
      <c r="H65" s="1800"/>
      <c r="I65" s="1800"/>
      <c r="J65" s="1800"/>
      <c r="K65" s="1800"/>
      <c r="L65" s="1800"/>
      <c r="M65" s="1800"/>
      <c r="N65" s="1800"/>
      <c r="O65" s="1800"/>
      <c r="P65" s="1800"/>
      <c r="Q65" s="1800"/>
      <c r="R65" s="1800"/>
      <c r="S65" s="1800"/>
      <c r="T65" s="1800"/>
      <c r="U65" s="1800"/>
      <c r="V65" s="1800"/>
      <c r="W65" s="1800"/>
      <c r="X65" s="1800"/>
      <c r="Y65" s="1800"/>
      <c r="Z65" s="1800"/>
    </row>
    <row r="66" spans="1:26">
      <c r="A66" s="1800"/>
      <c r="B66" s="1800"/>
      <c r="C66" s="1800"/>
      <c r="D66" s="1800"/>
      <c r="E66" s="1800"/>
      <c r="F66" s="1800"/>
      <c r="G66" s="1800"/>
      <c r="H66" s="1800"/>
      <c r="I66" s="1800"/>
      <c r="J66" s="1800"/>
      <c r="K66" s="1800"/>
      <c r="L66" s="1800"/>
      <c r="M66" s="1800"/>
      <c r="N66" s="1800"/>
      <c r="O66" s="1800"/>
      <c r="P66" s="1800"/>
      <c r="Q66" s="1800"/>
      <c r="R66" s="1800"/>
      <c r="S66" s="1800"/>
      <c r="T66" s="1800"/>
      <c r="U66" s="1800"/>
      <c r="V66" s="1800"/>
      <c r="W66" s="1800"/>
      <c r="X66" s="1800"/>
      <c r="Y66" s="1800"/>
      <c r="Z66" s="1800"/>
    </row>
    <row r="67" spans="1:26">
      <c r="A67" s="1800"/>
      <c r="B67" s="1800"/>
      <c r="C67" s="1800"/>
      <c r="D67" s="1800"/>
      <c r="E67" s="1800"/>
      <c r="F67" s="1800"/>
      <c r="G67" s="1800"/>
      <c r="H67" s="1800"/>
      <c r="I67" s="1800"/>
      <c r="J67" s="1800"/>
      <c r="K67" s="1800"/>
      <c r="L67" s="1800"/>
      <c r="M67" s="1800"/>
      <c r="N67" s="1800"/>
      <c r="O67" s="1800"/>
      <c r="P67" s="1800"/>
      <c r="Q67" s="1800"/>
      <c r="R67" s="1800"/>
      <c r="S67" s="1800"/>
      <c r="T67" s="1800"/>
      <c r="U67" s="1800"/>
      <c r="V67" s="1800"/>
      <c r="W67" s="1800"/>
      <c r="X67" s="1800"/>
      <c r="Y67" s="1800"/>
      <c r="Z67" s="1800"/>
    </row>
    <row r="68" spans="1:26">
      <c r="A68" s="1800"/>
      <c r="B68" s="1800"/>
      <c r="C68" s="1800"/>
      <c r="D68" s="1800"/>
      <c r="E68" s="1800"/>
      <c r="F68" s="1800"/>
      <c r="G68" s="1800"/>
      <c r="H68" s="1800"/>
      <c r="I68" s="1800"/>
      <c r="J68" s="1800"/>
      <c r="K68" s="1800"/>
      <c r="L68" s="1800"/>
      <c r="M68" s="1800"/>
      <c r="N68" s="1800"/>
      <c r="O68" s="1800"/>
      <c r="P68" s="1800"/>
      <c r="Q68" s="1800"/>
      <c r="R68" s="1800"/>
      <c r="S68" s="1800"/>
      <c r="T68" s="1800"/>
      <c r="U68" s="1800"/>
      <c r="V68" s="1800"/>
      <c r="W68" s="1800"/>
      <c r="X68" s="1800"/>
      <c r="Y68" s="1800"/>
      <c r="Z68" s="1800"/>
    </row>
    <row r="69" spans="1:26">
      <c r="A69" s="1800"/>
      <c r="B69" s="1800"/>
      <c r="C69" s="1800"/>
      <c r="D69" s="1800"/>
      <c r="E69" s="1800"/>
      <c r="F69" s="1800"/>
      <c r="G69" s="1800"/>
      <c r="H69" s="1800"/>
      <c r="I69" s="1800"/>
      <c r="J69" s="1800"/>
      <c r="K69" s="1800"/>
      <c r="L69" s="1800"/>
      <c r="M69" s="1800"/>
      <c r="N69" s="1800"/>
      <c r="O69" s="1800"/>
      <c r="P69" s="1800"/>
      <c r="Q69" s="1800"/>
      <c r="R69" s="1800"/>
      <c r="S69" s="1800"/>
      <c r="T69" s="1800"/>
      <c r="U69" s="1800"/>
      <c r="V69" s="1800"/>
      <c r="W69" s="1800"/>
      <c r="X69" s="1800"/>
      <c r="Y69" s="1800"/>
      <c r="Z69" s="1800"/>
    </row>
    <row r="70" spans="1:26">
      <c r="A70" s="1800"/>
      <c r="B70" s="1800"/>
      <c r="C70" s="1800"/>
      <c r="D70" s="1800"/>
      <c r="E70" s="1800"/>
      <c r="F70" s="1800"/>
      <c r="G70" s="1800"/>
      <c r="H70" s="1800"/>
      <c r="I70" s="1800"/>
      <c r="J70" s="1800"/>
      <c r="K70" s="1800"/>
      <c r="L70" s="1800"/>
      <c r="M70" s="1800"/>
      <c r="N70" s="1800"/>
      <c r="O70" s="1800"/>
      <c r="P70" s="1800"/>
      <c r="Q70" s="1800"/>
      <c r="R70" s="1800"/>
      <c r="S70" s="1800"/>
      <c r="T70" s="1800"/>
      <c r="U70" s="1800"/>
      <c r="V70" s="1800"/>
      <c r="W70" s="1800"/>
      <c r="X70" s="1800"/>
      <c r="Y70" s="1800"/>
      <c r="Z70" s="1800"/>
    </row>
    <row r="71" spans="1:26">
      <c r="A71" s="1800"/>
      <c r="B71" s="1800"/>
      <c r="C71" s="1800"/>
      <c r="D71" s="1800"/>
      <c r="E71" s="1800"/>
      <c r="F71" s="1800"/>
      <c r="G71" s="1800"/>
      <c r="H71" s="1800"/>
      <c r="I71" s="1800"/>
      <c r="J71" s="1800"/>
      <c r="K71" s="1800"/>
      <c r="L71" s="1800"/>
      <c r="M71" s="1800"/>
      <c r="N71" s="1800"/>
      <c r="O71" s="1800"/>
      <c r="P71" s="1800"/>
      <c r="Q71" s="1800"/>
      <c r="R71" s="1800"/>
      <c r="S71" s="1800"/>
      <c r="T71" s="1800"/>
      <c r="U71" s="1800"/>
      <c r="V71" s="1800"/>
      <c r="W71" s="1800"/>
      <c r="X71" s="1800"/>
      <c r="Y71" s="1800"/>
      <c r="Z71" s="1800"/>
    </row>
    <row r="72" spans="1:26">
      <c r="A72" s="1800"/>
      <c r="B72" s="1800"/>
      <c r="C72" s="1800"/>
      <c r="D72" s="1800"/>
      <c r="E72" s="1800"/>
      <c r="F72" s="1800"/>
      <c r="G72" s="1800"/>
      <c r="H72" s="1800"/>
      <c r="I72" s="1800"/>
      <c r="J72" s="1800"/>
      <c r="K72" s="1800"/>
      <c r="L72" s="1800"/>
      <c r="M72" s="1800"/>
      <c r="N72" s="1800"/>
      <c r="O72" s="1800"/>
      <c r="P72" s="1800"/>
      <c r="Q72" s="1800"/>
      <c r="R72" s="1800"/>
      <c r="S72" s="1800"/>
      <c r="T72" s="1800"/>
      <c r="U72" s="1800"/>
      <c r="V72" s="1800"/>
      <c r="W72" s="1800"/>
      <c r="X72" s="1800"/>
      <c r="Y72" s="1800"/>
      <c r="Z72" s="1800"/>
    </row>
    <row r="73" spans="1:26">
      <c r="A73" s="1800"/>
      <c r="B73" s="1800"/>
      <c r="C73" s="1800"/>
      <c r="D73" s="1800"/>
      <c r="E73" s="1800"/>
      <c r="F73" s="1800"/>
      <c r="G73" s="1800"/>
      <c r="H73" s="1800"/>
      <c r="I73" s="1800"/>
      <c r="J73" s="1800"/>
      <c r="K73" s="1800"/>
      <c r="L73" s="1800"/>
      <c r="M73" s="1800"/>
      <c r="N73" s="1800"/>
      <c r="O73" s="1800"/>
      <c r="P73" s="1800"/>
      <c r="Q73" s="1800"/>
      <c r="R73" s="1800"/>
      <c r="S73" s="1800"/>
      <c r="T73" s="1800"/>
      <c r="U73" s="1800"/>
      <c r="V73" s="1800"/>
      <c r="W73" s="1800"/>
      <c r="X73" s="1800"/>
      <c r="Y73" s="1800"/>
      <c r="Z73" s="1800"/>
    </row>
    <row r="74" spans="1:26">
      <c r="A74" s="1800"/>
      <c r="B74" s="1800"/>
      <c r="C74" s="1800"/>
      <c r="D74" s="1800"/>
      <c r="E74" s="1800"/>
      <c r="F74" s="1800"/>
      <c r="G74" s="1800"/>
      <c r="H74" s="1800"/>
      <c r="I74" s="1800"/>
      <c r="J74" s="1800"/>
      <c r="K74" s="1800"/>
      <c r="L74" s="1800"/>
      <c r="M74" s="1800"/>
      <c r="N74" s="1800"/>
      <c r="O74" s="1800"/>
      <c r="P74" s="1800"/>
      <c r="Q74" s="1800"/>
      <c r="R74" s="1800"/>
      <c r="S74" s="1800"/>
      <c r="T74" s="1800"/>
      <c r="U74" s="1800"/>
      <c r="V74" s="1800"/>
      <c r="W74" s="1800"/>
      <c r="X74" s="1800"/>
      <c r="Y74" s="1800"/>
      <c r="Z74" s="1800"/>
    </row>
    <row r="75" spans="1:26">
      <c r="A75" s="1800"/>
      <c r="B75" s="1800"/>
      <c r="C75" s="1800"/>
      <c r="D75" s="1800"/>
      <c r="E75" s="1800"/>
      <c r="F75" s="1800"/>
      <c r="G75" s="1800"/>
      <c r="H75" s="1800"/>
      <c r="I75" s="1800"/>
      <c r="J75" s="1800"/>
      <c r="K75" s="1800"/>
      <c r="L75" s="1800"/>
      <c r="M75" s="1800"/>
      <c r="N75" s="1800"/>
      <c r="O75" s="1800"/>
      <c r="P75" s="1800"/>
      <c r="Q75" s="1800"/>
      <c r="R75" s="1800"/>
      <c r="S75" s="1800"/>
      <c r="T75" s="1800"/>
      <c r="U75" s="1800"/>
      <c r="V75" s="1800"/>
      <c r="W75" s="1800"/>
      <c r="X75" s="1800"/>
      <c r="Y75" s="1800"/>
      <c r="Z75" s="1800"/>
    </row>
    <row r="76" spans="1:26">
      <c r="A76" s="1800"/>
      <c r="B76" s="1800"/>
      <c r="C76" s="1800"/>
      <c r="D76" s="1800"/>
      <c r="E76" s="1800"/>
      <c r="F76" s="1800"/>
      <c r="G76" s="1800"/>
      <c r="H76" s="1800"/>
      <c r="I76" s="1800"/>
      <c r="J76" s="1800"/>
      <c r="K76" s="1800"/>
      <c r="L76" s="1800"/>
      <c r="M76" s="1800"/>
      <c r="N76" s="1800"/>
      <c r="O76" s="1800"/>
      <c r="P76" s="1800"/>
      <c r="Q76" s="1800"/>
      <c r="R76" s="1800"/>
      <c r="S76" s="1800"/>
      <c r="T76" s="1800"/>
      <c r="U76" s="1800"/>
      <c r="V76" s="1800"/>
      <c r="W76" s="1800"/>
      <c r="X76" s="1800"/>
      <c r="Y76" s="1800"/>
      <c r="Z76" s="1800"/>
    </row>
    <row r="77" spans="1:26">
      <c r="A77" s="1800"/>
      <c r="B77" s="1800"/>
      <c r="C77" s="1800"/>
      <c r="D77" s="1800"/>
      <c r="E77" s="1800"/>
      <c r="F77" s="1800"/>
      <c r="G77" s="1800"/>
      <c r="H77" s="1800"/>
      <c r="I77" s="1800"/>
      <c r="J77" s="1800"/>
      <c r="K77" s="1800"/>
      <c r="L77" s="1800"/>
      <c r="M77" s="1800"/>
      <c r="N77" s="1800"/>
      <c r="O77" s="1800"/>
      <c r="P77" s="1800"/>
      <c r="Q77" s="1800"/>
      <c r="R77" s="1800"/>
      <c r="S77" s="1800"/>
      <c r="T77" s="1800"/>
      <c r="U77" s="1800"/>
      <c r="V77" s="1800"/>
      <c r="W77" s="1800"/>
      <c r="X77" s="1800"/>
      <c r="Y77" s="1800"/>
      <c r="Z77" s="1800"/>
    </row>
    <row r="78" spans="1:26">
      <c r="A78" s="1800"/>
      <c r="B78" s="1800"/>
      <c r="C78" s="1800"/>
      <c r="D78" s="1800"/>
      <c r="E78" s="1800"/>
      <c r="F78" s="1800"/>
      <c r="G78" s="1800"/>
      <c r="H78" s="1800"/>
      <c r="I78" s="1800"/>
      <c r="J78" s="1800"/>
      <c r="K78" s="1800"/>
      <c r="L78" s="1800"/>
      <c r="M78" s="1800"/>
      <c r="N78" s="1800"/>
      <c r="O78" s="1800"/>
      <c r="P78" s="1800"/>
      <c r="Q78" s="1800"/>
      <c r="R78" s="1800"/>
      <c r="S78" s="1800"/>
      <c r="T78" s="1800"/>
      <c r="U78" s="1800"/>
      <c r="V78" s="1800"/>
      <c r="W78" s="1800"/>
      <c r="X78" s="1800"/>
      <c r="Y78" s="1800"/>
      <c r="Z78" s="1800"/>
    </row>
    <row r="79" spans="1:26">
      <c r="A79" s="1800"/>
      <c r="B79" s="1800"/>
      <c r="C79" s="1800"/>
      <c r="D79" s="1800"/>
      <c r="E79" s="1800"/>
      <c r="F79" s="1800"/>
      <c r="G79" s="1800"/>
      <c r="H79" s="1800"/>
      <c r="I79" s="1800"/>
      <c r="J79" s="1800"/>
      <c r="K79" s="1800"/>
      <c r="L79" s="1800"/>
      <c r="M79" s="1800"/>
      <c r="N79" s="1800"/>
      <c r="O79" s="1800"/>
      <c r="P79" s="1800"/>
      <c r="Q79" s="1800"/>
      <c r="R79" s="1800"/>
      <c r="S79" s="1800"/>
      <c r="T79" s="1800"/>
      <c r="U79" s="1800"/>
      <c r="V79" s="1800"/>
      <c r="W79" s="1800"/>
      <c r="X79" s="1800"/>
      <c r="Y79" s="1800"/>
      <c r="Z79" s="1800"/>
    </row>
    <row r="80" spans="1:26">
      <c r="A80" s="1800"/>
      <c r="B80" s="1800"/>
      <c r="C80" s="1800"/>
      <c r="D80" s="1800"/>
      <c r="E80" s="1800"/>
      <c r="F80" s="1800"/>
      <c r="G80" s="1800"/>
      <c r="H80" s="1800"/>
      <c r="I80" s="1800"/>
      <c r="J80" s="1800"/>
      <c r="K80" s="1800"/>
      <c r="L80" s="1800"/>
      <c r="M80" s="1800"/>
      <c r="N80" s="1800"/>
      <c r="O80" s="1800"/>
      <c r="P80" s="1800"/>
      <c r="Q80" s="1800"/>
      <c r="R80" s="1800"/>
      <c r="S80" s="1800"/>
      <c r="T80" s="1800"/>
      <c r="U80" s="1800"/>
      <c r="V80" s="1800"/>
      <c r="W80" s="1800"/>
      <c r="X80" s="1800"/>
      <c r="Y80" s="1800"/>
      <c r="Z80" s="1800"/>
    </row>
    <row r="81" spans="1:26">
      <c r="A81" s="1800"/>
      <c r="B81" s="1800"/>
      <c r="C81" s="1800"/>
      <c r="D81" s="1800"/>
      <c r="E81" s="1800"/>
      <c r="F81" s="1800"/>
      <c r="G81" s="1800"/>
      <c r="H81" s="1800"/>
      <c r="I81" s="1800"/>
      <c r="J81" s="1800"/>
      <c r="K81" s="1800"/>
      <c r="L81" s="1800"/>
      <c r="M81" s="1800"/>
      <c r="N81" s="1800"/>
      <c r="O81" s="1800"/>
      <c r="P81" s="1800"/>
      <c r="Q81" s="1800"/>
      <c r="R81" s="1800"/>
      <c r="S81" s="1800"/>
      <c r="T81" s="1800"/>
      <c r="U81" s="1800"/>
      <c r="V81" s="1800"/>
      <c r="W81" s="1800"/>
      <c r="X81" s="1800"/>
      <c r="Y81" s="1800"/>
      <c r="Z81" s="1800"/>
    </row>
    <row r="82" spans="1:26">
      <c r="A82" s="1800"/>
      <c r="B82" s="1800"/>
      <c r="C82" s="1800"/>
      <c r="D82" s="1800"/>
      <c r="E82" s="1800"/>
      <c r="F82" s="1800"/>
      <c r="G82" s="1800"/>
      <c r="H82" s="1800"/>
      <c r="I82" s="1800"/>
      <c r="J82" s="1800"/>
      <c r="K82" s="1800"/>
      <c r="L82" s="1800"/>
      <c r="M82" s="1800"/>
      <c r="N82" s="1800"/>
      <c r="O82" s="1800"/>
      <c r="P82" s="1800"/>
      <c r="Q82" s="1800"/>
      <c r="R82" s="1800"/>
      <c r="S82" s="1800"/>
      <c r="T82" s="1800"/>
      <c r="U82" s="1800"/>
      <c r="V82" s="1800"/>
      <c r="W82" s="1800"/>
      <c r="X82" s="1800"/>
      <c r="Y82" s="1800"/>
      <c r="Z82" s="1800"/>
    </row>
    <row r="83" spans="1:26">
      <c r="A83" s="1800"/>
      <c r="B83" s="1800"/>
      <c r="C83" s="1800"/>
      <c r="D83" s="1800"/>
      <c r="E83" s="1800"/>
      <c r="F83" s="1800"/>
      <c r="G83" s="1800"/>
      <c r="H83" s="1800"/>
      <c r="I83" s="1800"/>
      <c r="J83" s="1800"/>
      <c r="K83" s="1800"/>
      <c r="L83" s="1800"/>
      <c r="M83" s="1800"/>
      <c r="N83" s="1800"/>
      <c r="O83" s="1800"/>
      <c r="P83" s="1800"/>
      <c r="Q83" s="1800"/>
      <c r="R83" s="1800"/>
      <c r="S83" s="1800"/>
      <c r="T83" s="1800"/>
      <c r="U83" s="1800"/>
      <c r="V83" s="1800"/>
      <c r="W83" s="1800"/>
      <c r="X83" s="1800"/>
      <c r="Y83" s="1800"/>
      <c r="Z83" s="1800"/>
    </row>
    <row r="84" spans="1:26">
      <c r="A84" s="1800"/>
      <c r="B84" s="1800"/>
      <c r="C84" s="1800"/>
      <c r="D84" s="1800"/>
      <c r="E84" s="1800"/>
      <c r="F84" s="1800"/>
      <c r="G84" s="1800"/>
      <c r="H84" s="1800"/>
      <c r="I84" s="1800"/>
      <c r="J84" s="1800"/>
      <c r="K84" s="1800"/>
      <c r="L84" s="1800"/>
      <c r="M84" s="1800"/>
      <c r="N84" s="1800"/>
      <c r="O84" s="1800"/>
      <c r="P84" s="1800"/>
      <c r="Q84" s="1800"/>
      <c r="R84" s="1800"/>
      <c r="S84" s="1800"/>
      <c r="T84" s="1800"/>
      <c r="U84" s="1800"/>
      <c r="V84" s="1800"/>
      <c r="W84" s="1800"/>
      <c r="X84" s="1800"/>
      <c r="Y84" s="1800"/>
      <c r="Z84" s="1800"/>
    </row>
    <row r="85" spans="1:26">
      <c r="A85" s="1800"/>
      <c r="B85" s="1800"/>
      <c r="C85" s="1800"/>
      <c r="D85" s="1800"/>
      <c r="E85" s="1800"/>
      <c r="F85" s="1800"/>
      <c r="G85" s="1800"/>
      <c r="H85" s="1800"/>
      <c r="I85" s="1800"/>
      <c r="J85" s="1800"/>
      <c r="K85" s="1800"/>
      <c r="L85" s="1800"/>
      <c r="M85" s="1800"/>
      <c r="N85" s="1800"/>
      <c r="O85" s="1800"/>
      <c r="P85" s="1800"/>
      <c r="Q85" s="1800"/>
      <c r="R85" s="1800"/>
      <c r="S85" s="1800"/>
      <c r="T85" s="1800"/>
      <c r="U85" s="1800"/>
      <c r="V85" s="1800"/>
      <c r="W85" s="1800"/>
      <c r="X85" s="1800"/>
      <c r="Y85" s="1800"/>
      <c r="Z85" s="1800"/>
    </row>
    <row r="86" spans="1:26">
      <c r="A86" s="1800"/>
      <c r="B86" s="1800"/>
      <c r="C86" s="1800"/>
      <c r="D86" s="1800"/>
      <c r="E86" s="1800"/>
      <c r="F86" s="1800"/>
      <c r="G86" s="1800"/>
      <c r="H86" s="1800"/>
      <c r="I86" s="1800"/>
      <c r="J86" s="1800"/>
      <c r="K86" s="1800"/>
      <c r="L86" s="1800"/>
      <c r="M86" s="1800"/>
      <c r="N86" s="1800"/>
      <c r="O86" s="1800"/>
      <c r="P86" s="1800"/>
      <c r="Q86" s="1800"/>
      <c r="R86" s="1800"/>
      <c r="S86" s="1800"/>
      <c r="T86" s="1800"/>
      <c r="U86" s="1800"/>
      <c r="V86" s="1800"/>
      <c r="W86" s="1800"/>
      <c r="X86" s="1800"/>
      <c r="Y86" s="1800"/>
      <c r="Z86" s="1800"/>
    </row>
    <row r="87" spans="1:26">
      <c r="A87" s="1800"/>
      <c r="B87" s="1800"/>
      <c r="C87" s="1800"/>
      <c r="D87" s="1800"/>
      <c r="E87" s="1800"/>
      <c r="F87" s="1800"/>
      <c r="G87" s="1800"/>
      <c r="H87" s="1800"/>
      <c r="I87" s="1800"/>
      <c r="J87" s="1800"/>
      <c r="K87" s="1800"/>
      <c r="L87" s="1800"/>
      <c r="M87" s="1800"/>
      <c r="N87" s="1800"/>
      <c r="O87" s="1800"/>
      <c r="P87" s="1800"/>
      <c r="Q87" s="1800"/>
      <c r="R87" s="1800"/>
      <c r="S87" s="1800"/>
      <c r="T87" s="1800"/>
      <c r="U87" s="1800"/>
      <c r="V87" s="1800"/>
      <c r="W87" s="1800"/>
      <c r="X87" s="1800"/>
      <c r="Y87" s="1800"/>
      <c r="Z87" s="1800"/>
    </row>
    <row r="88" spans="1:26">
      <c r="A88" s="1800"/>
      <c r="B88" s="1800"/>
      <c r="C88" s="1800"/>
      <c r="D88" s="1800"/>
      <c r="E88" s="1800"/>
      <c r="F88" s="1800"/>
      <c r="G88" s="1800"/>
      <c r="H88" s="1800"/>
      <c r="I88" s="1800"/>
      <c r="J88" s="1800"/>
      <c r="K88" s="1800"/>
      <c r="L88" s="1800"/>
      <c r="M88" s="1800"/>
      <c r="N88" s="1800"/>
      <c r="O88" s="1800"/>
      <c r="P88" s="1800"/>
      <c r="Q88" s="1800"/>
      <c r="R88" s="1800"/>
      <c r="S88" s="1800"/>
      <c r="T88" s="1800"/>
      <c r="U88" s="1800"/>
      <c r="V88" s="1800"/>
      <c r="W88" s="1800"/>
      <c r="X88" s="1800"/>
      <c r="Y88" s="1800"/>
      <c r="Z88" s="1800"/>
    </row>
    <row r="89" spans="1:26">
      <c r="A89" s="1800"/>
      <c r="B89" s="1800"/>
      <c r="C89" s="1800"/>
      <c r="D89" s="1800"/>
      <c r="E89" s="1800"/>
      <c r="F89" s="1800"/>
      <c r="G89" s="1800"/>
      <c r="H89" s="1800"/>
      <c r="I89" s="1800"/>
      <c r="J89" s="1800"/>
      <c r="K89" s="1800"/>
      <c r="L89" s="1800"/>
      <c r="M89" s="1800"/>
      <c r="N89" s="1800"/>
      <c r="O89" s="1800"/>
      <c r="P89" s="1800"/>
      <c r="Q89" s="1800"/>
      <c r="R89" s="1800"/>
      <c r="S89" s="1800"/>
      <c r="T89" s="1800"/>
      <c r="U89" s="1800"/>
      <c r="V89" s="1800"/>
      <c r="W89" s="1800"/>
      <c r="X89" s="1800"/>
      <c r="Y89" s="1800"/>
      <c r="Z89" s="1800"/>
    </row>
    <row r="90" spans="1:26">
      <c r="A90" s="1800"/>
      <c r="B90" s="1800"/>
      <c r="C90" s="1800"/>
      <c r="D90" s="1800"/>
      <c r="E90" s="1800"/>
      <c r="F90" s="1800"/>
      <c r="G90" s="1800"/>
      <c r="H90" s="1800"/>
      <c r="I90" s="1800"/>
      <c r="J90" s="1800"/>
      <c r="K90" s="1800"/>
      <c r="L90" s="1800"/>
      <c r="M90" s="1800"/>
      <c r="N90" s="1800"/>
      <c r="O90" s="1800"/>
      <c r="P90" s="1800"/>
      <c r="Q90" s="1800"/>
      <c r="R90" s="1800"/>
      <c r="S90" s="1800"/>
      <c r="T90" s="1800"/>
      <c r="U90" s="1800"/>
      <c r="V90" s="1800"/>
      <c r="W90" s="1800"/>
      <c r="X90" s="1800"/>
      <c r="Y90" s="1800"/>
      <c r="Z90" s="1800"/>
    </row>
    <row r="91" spans="1:26">
      <c r="A91" s="1800"/>
      <c r="B91" s="1800"/>
      <c r="C91" s="1800"/>
      <c r="D91" s="1800"/>
      <c r="E91" s="1800"/>
      <c r="F91" s="1800"/>
      <c r="G91" s="1800"/>
      <c r="H91" s="1800"/>
      <c r="I91" s="1800"/>
      <c r="J91" s="1800"/>
      <c r="K91" s="1800"/>
      <c r="L91" s="1800"/>
      <c r="M91" s="1800"/>
      <c r="N91" s="1800"/>
      <c r="O91" s="1800"/>
      <c r="P91" s="1800"/>
      <c r="Q91" s="1800"/>
      <c r="R91" s="1800"/>
      <c r="S91" s="1800"/>
      <c r="T91" s="1800"/>
      <c r="U91" s="1800"/>
      <c r="V91" s="1800"/>
      <c r="W91" s="1800"/>
      <c r="X91" s="1800"/>
      <c r="Y91" s="1800"/>
      <c r="Z91" s="1800"/>
    </row>
    <row r="92" spans="1:26">
      <c r="A92" s="1800"/>
      <c r="B92" s="1800"/>
      <c r="C92" s="1800"/>
      <c r="D92" s="1800"/>
      <c r="E92" s="1800"/>
      <c r="F92" s="1800"/>
      <c r="G92" s="1800"/>
      <c r="H92" s="1800"/>
      <c r="I92" s="1800"/>
      <c r="J92" s="1800"/>
      <c r="K92" s="1800"/>
      <c r="L92" s="1800"/>
      <c r="M92" s="1800"/>
      <c r="N92" s="1800"/>
      <c r="O92" s="1800"/>
      <c r="P92" s="1800"/>
      <c r="Q92" s="1800"/>
      <c r="R92" s="1800"/>
      <c r="S92" s="1800"/>
      <c r="T92" s="1800"/>
      <c r="U92" s="1800"/>
      <c r="V92" s="1800"/>
      <c r="W92" s="1800"/>
      <c r="X92" s="1800"/>
      <c r="Y92" s="1800"/>
      <c r="Z92" s="1800"/>
    </row>
    <row r="93" spans="1:26">
      <c r="A93" s="1800"/>
      <c r="B93" s="1800"/>
      <c r="C93" s="1800"/>
      <c r="D93" s="1800"/>
      <c r="E93" s="1800"/>
      <c r="F93" s="1800"/>
      <c r="G93" s="1800"/>
      <c r="H93" s="1800"/>
      <c r="I93" s="1800"/>
      <c r="J93" s="1800"/>
      <c r="K93" s="1800"/>
      <c r="L93" s="1800"/>
      <c r="M93" s="1800"/>
      <c r="N93" s="1800"/>
      <c r="O93" s="1800"/>
      <c r="P93" s="1800"/>
      <c r="Q93" s="1800"/>
      <c r="R93" s="1800"/>
      <c r="S93" s="1800"/>
      <c r="T93" s="1800"/>
      <c r="U93" s="1800"/>
      <c r="V93" s="1800"/>
      <c r="W93" s="1800"/>
      <c r="X93" s="1800"/>
      <c r="Y93" s="1800"/>
      <c r="Z93" s="1800"/>
    </row>
    <row r="94" spans="1:26">
      <c r="A94" s="1800"/>
      <c r="B94" s="1800"/>
      <c r="C94" s="1800"/>
      <c r="D94" s="1800"/>
      <c r="E94" s="1800"/>
      <c r="F94" s="1800"/>
      <c r="G94" s="1800"/>
      <c r="H94" s="1800"/>
      <c r="I94" s="1800"/>
      <c r="J94" s="1800"/>
      <c r="K94" s="1800"/>
      <c r="L94" s="1800"/>
      <c r="M94" s="1800"/>
      <c r="N94" s="1800"/>
      <c r="O94" s="1800"/>
      <c r="P94" s="1800"/>
      <c r="Q94" s="1800"/>
      <c r="R94" s="1800"/>
      <c r="S94" s="1800"/>
      <c r="T94" s="1800"/>
      <c r="U94" s="1800"/>
      <c r="V94" s="1800"/>
      <c r="W94" s="1800"/>
      <c r="X94" s="1800"/>
      <c r="Y94" s="1800"/>
      <c r="Z94" s="1800"/>
    </row>
    <row r="95" spans="1:26">
      <c r="A95" s="1800"/>
      <c r="B95" s="1800"/>
      <c r="C95" s="1800"/>
      <c r="D95" s="1800"/>
      <c r="E95" s="1800"/>
      <c r="F95" s="1800"/>
      <c r="G95" s="1800"/>
      <c r="H95" s="1800"/>
      <c r="I95" s="1800"/>
      <c r="J95" s="1800"/>
      <c r="K95" s="1800"/>
      <c r="L95" s="1800"/>
      <c r="M95" s="1800"/>
      <c r="N95" s="1800"/>
      <c r="O95" s="1800"/>
      <c r="P95" s="1800"/>
      <c r="Q95" s="1800"/>
      <c r="R95" s="1800"/>
      <c r="S95" s="1800"/>
      <c r="T95" s="1800"/>
      <c r="U95" s="1800"/>
      <c r="V95" s="1800"/>
      <c r="W95" s="1800"/>
      <c r="X95" s="1800"/>
      <c r="Y95" s="1800"/>
      <c r="Z95" s="1800"/>
    </row>
    <row r="96" spans="1:26">
      <c r="A96" s="1800"/>
      <c r="B96" s="1800"/>
      <c r="C96" s="1800"/>
      <c r="D96" s="1800"/>
      <c r="E96" s="1800"/>
      <c r="F96" s="1800"/>
      <c r="G96" s="1800"/>
      <c r="H96" s="1800"/>
      <c r="I96" s="1800"/>
      <c r="J96" s="1800"/>
      <c r="K96" s="1800"/>
      <c r="L96" s="1800"/>
      <c r="M96" s="1800"/>
      <c r="N96" s="1800"/>
      <c r="O96" s="1800"/>
      <c r="P96" s="1800"/>
      <c r="Q96" s="1800"/>
      <c r="R96" s="1800"/>
      <c r="S96" s="1800"/>
      <c r="T96" s="1800"/>
      <c r="U96" s="1800"/>
      <c r="V96" s="1800"/>
      <c r="W96" s="1800"/>
      <c r="X96" s="1800"/>
      <c r="Y96" s="1800"/>
      <c r="Z96" s="1800"/>
    </row>
    <row r="97" spans="1:26">
      <c r="A97" s="1800"/>
      <c r="B97" s="1800"/>
      <c r="C97" s="1800"/>
      <c r="D97" s="1800"/>
      <c r="E97" s="1800"/>
      <c r="F97" s="1800"/>
      <c r="G97" s="1800"/>
      <c r="H97" s="1800"/>
      <c r="I97" s="1800"/>
      <c r="J97" s="1800"/>
      <c r="K97" s="1800"/>
      <c r="L97" s="1800"/>
      <c r="M97" s="1800"/>
      <c r="N97" s="1800"/>
      <c r="O97" s="1800"/>
      <c r="P97" s="1800"/>
      <c r="Q97" s="1800"/>
      <c r="R97" s="1800"/>
      <c r="S97" s="1800"/>
      <c r="T97" s="1800"/>
      <c r="U97" s="1800"/>
      <c r="V97" s="1800"/>
      <c r="W97" s="1800"/>
      <c r="X97" s="1800"/>
      <c r="Y97" s="1800"/>
      <c r="Z97" s="1800"/>
    </row>
    <row r="98" spans="1:26">
      <c r="A98" s="1800"/>
      <c r="B98" s="1800"/>
      <c r="C98" s="1800"/>
      <c r="D98" s="1800"/>
      <c r="E98" s="1800"/>
      <c r="F98" s="1800"/>
      <c r="G98" s="1800"/>
      <c r="H98" s="1800"/>
      <c r="I98" s="1800"/>
      <c r="J98" s="1800"/>
      <c r="K98" s="1800"/>
      <c r="L98" s="1800"/>
      <c r="M98" s="1800"/>
      <c r="N98" s="1800"/>
      <c r="O98" s="1800"/>
      <c r="P98" s="1800"/>
      <c r="Q98" s="1800"/>
      <c r="R98" s="1800"/>
      <c r="S98" s="1800"/>
      <c r="T98" s="1800"/>
      <c r="U98" s="1800"/>
      <c r="V98" s="1800"/>
      <c r="W98" s="1800"/>
      <c r="X98" s="1800"/>
      <c r="Y98" s="1800"/>
      <c r="Z98" s="1800"/>
    </row>
    <row r="99" spans="1:26">
      <c r="A99" s="1800"/>
      <c r="B99" s="1800"/>
      <c r="C99" s="1800"/>
      <c r="D99" s="1800"/>
      <c r="E99" s="1800"/>
      <c r="F99" s="1800"/>
      <c r="G99" s="1800"/>
      <c r="H99" s="1800"/>
      <c r="I99" s="1800"/>
      <c r="J99" s="1800"/>
      <c r="K99" s="1800"/>
      <c r="L99" s="1800"/>
      <c r="M99" s="1800"/>
      <c r="N99" s="1800"/>
      <c r="O99" s="1800"/>
      <c r="P99" s="1800"/>
      <c r="Q99" s="1800"/>
      <c r="R99" s="1800"/>
      <c r="S99" s="1800"/>
      <c r="T99" s="1800"/>
      <c r="U99" s="1800"/>
      <c r="V99" s="1800"/>
      <c r="W99" s="1800"/>
      <c r="X99" s="1800"/>
      <c r="Y99" s="1800"/>
      <c r="Z99" s="1800"/>
    </row>
    <row r="100" spans="1:26">
      <c r="A100" s="1800"/>
      <c r="B100" s="1800"/>
      <c r="C100" s="1800"/>
      <c r="D100" s="1800"/>
      <c r="E100" s="1800"/>
      <c r="F100" s="1800"/>
      <c r="G100" s="1800"/>
      <c r="H100" s="1800"/>
      <c r="I100" s="1800"/>
      <c r="J100" s="1800"/>
      <c r="K100" s="1800"/>
      <c r="L100" s="1800"/>
      <c r="M100" s="1800"/>
      <c r="N100" s="1800"/>
      <c r="O100" s="1800"/>
      <c r="P100" s="1800"/>
      <c r="Q100" s="1800"/>
      <c r="R100" s="1800"/>
      <c r="S100" s="1800"/>
      <c r="T100" s="1800"/>
      <c r="U100" s="1800"/>
      <c r="V100" s="1800"/>
      <c r="W100" s="1800"/>
      <c r="X100" s="1800"/>
      <c r="Y100" s="1800"/>
      <c r="Z100" s="1800"/>
    </row>
    <row r="101" spans="1:26">
      <c r="A101" s="1800"/>
      <c r="B101" s="1800"/>
      <c r="C101" s="1800"/>
      <c r="D101" s="1800"/>
      <c r="E101" s="1800"/>
      <c r="F101" s="1800"/>
      <c r="G101" s="1800"/>
      <c r="H101" s="1800"/>
      <c r="I101" s="1800"/>
      <c r="J101" s="1800"/>
      <c r="K101" s="1800"/>
      <c r="L101" s="1800"/>
      <c r="M101" s="1800"/>
      <c r="N101" s="1800"/>
      <c r="O101" s="1800"/>
      <c r="P101" s="1800"/>
      <c r="Q101" s="1800"/>
      <c r="R101" s="1800"/>
      <c r="S101" s="1800"/>
      <c r="T101" s="1800"/>
      <c r="U101" s="1800"/>
      <c r="V101" s="1800"/>
      <c r="W101" s="1800"/>
      <c r="X101" s="1800"/>
      <c r="Y101" s="1800"/>
      <c r="Z101" s="1800"/>
    </row>
    <row r="102" spans="1:26">
      <c r="A102" s="1800"/>
      <c r="B102" s="1800"/>
      <c r="C102" s="1800"/>
      <c r="D102" s="1800"/>
      <c r="E102" s="1800"/>
      <c r="F102" s="1800"/>
      <c r="G102" s="1800"/>
      <c r="H102" s="1800"/>
      <c r="I102" s="1800"/>
      <c r="J102" s="1800"/>
      <c r="K102" s="1800"/>
      <c r="L102" s="1800"/>
      <c r="M102" s="1800"/>
      <c r="N102" s="1800"/>
      <c r="O102" s="1800"/>
      <c r="P102" s="1800"/>
      <c r="Q102" s="1800"/>
      <c r="R102" s="1800"/>
      <c r="S102" s="1800"/>
      <c r="T102" s="1800"/>
      <c r="U102" s="1800"/>
      <c r="V102" s="1800"/>
      <c r="W102" s="1800"/>
      <c r="X102" s="1800"/>
      <c r="Y102" s="1800"/>
      <c r="Z102" s="1800"/>
    </row>
    <row r="103" spans="1:26">
      <c r="A103" s="1800"/>
      <c r="B103" s="1800"/>
      <c r="C103" s="1800"/>
      <c r="D103" s="1800"/>
      <c r="E103" s="1800"/>
      <c r="F103" s="1800"/>
      <c r="G103" s="1800"/>
      <c r="H103" s="1800"/>
      <c r="I103" s="1800"/>
      <c r="J103" s="1800"/>
      <c r="K103" s="1800"/>
      <c r="L103" s="1800"/>
      <c r="M103" s="1800"/>
      <c r="N103" s="1800"/>
      <c r="O103" s="1800"/>
      <c r="P103" s="1800"/>
      <c r="Q103" s="1800"/>
      <c r="R103" s="1800"/>
      <c r="S103" s="1800"/>
      <c r="T103" s="1800"/>
      <c r="U103" s="1800"/>
      <c r="V103" s="1800"/>
      <c r="W103" s="1800"/>
      <c r="X103" s="1800"/>
      <c r="Y103" s="1800"/>
      <c r="Z103" s="1800"/>
    </row>
    <row r="104" spans="1:26">
      <c r="A104" s="1800"/>
      <c r="B104" s="1800"/>
      <c r="C104" s="1800"/>
      <c r="D104" s="1800"/>
      <c r="E104" s="1800"/>
      <c r="F104" s="1800"/>
      <c r="G104" s="1800"/>
      <c r="H104" s="1800"/>
      <c r="I104" s="1800"/>
      <c r="J104" s="1800"/>
      <c r="K104" s="1800"/>
      <c r="L104" s="1800"/>
      <c r="M104" s="1800"/>
      <c r="N104" s="1800"/>
      <c r="O104" s="1800"/>
      <c r="P104" s="1800"/>
      <c r="Q104" s="1800"/>
      <c r="R104" s="1800"/>
      <c r="S104" s="1800"/>
      <c r="T104" s="1800"/>
      <c r="U104" s="1800"/>
      <c r="V104" s="1800"/>
      <c r="W104" s="1800"/>
      <c r="X104" s="1800"/>
      <c r="Y104" s="1800"/>
      <c r="Z104" s="1800"/>
    </row>
    <row r="105" spans="1:26">
      <c r="A105" s="1800"/>
      <c r="B105" s="1800"/>
      <c r="C105" s="1800"/>
      <c r="D105" s="1800"/>
      <c r="E105" s="1800"/>
      <c r="F105" s="1800"/>
      <c r="G105" s="1800"/>
      <c r="H105" s="1800"/>
      <c r="I105" s="1800"/>
      <c r="J105" s="1800"/>
      <c r="K105" s="1800"/>
      <c r="L105" s="1800"/>
      <c r="M105" s="1800"/>
      <c r="N105" s="1800"/>
      <c r="O105" s="1800"/>
      <c r="P105" s="1800"/>
      <c r="Q105" s="1800"/>
      <c r="R105" s="1800"/>
      <c r="S105" s="1800"/>
      <c r="T105" s="1800"/>
      <c r="U105" s="1800"/>
      <c r="V105" s="1800"/>
      <c r="W105" s="1800"/>
      <c r="X105" s="1800"/>
      <c r="Y105" s="1800"/>
      <c r="Z105" s="1800"/>
    </row>
    <row r="106" spans="1:26">
      <c r="A106" s="1800"/>
      <c r="B106" s="1800"/>
      <c r="C106" s="1800"/>
      <c r="D106" s="1800"/>
      <c r="E106" s="1800"/>
      <c r="F106" s="1800"/>
      <c r="G106" s="1800"/>
      <c r="H106" s="1800"/>
      <c r="I106" s="1800"/>
      <c r="J106" s="1800"/>
      <c r="K106" s="1800"/>
      <c r="L106" s="1800"/>
      <c r="M106" s="1800"/>
      <c r="N106" s="1800"/>
      <c r="O106" s="1800"/>
      <c r="P106" s="1800"/>
      <c r="Q106" s="1800"/>
      <c r="R106" s="1800"/>
      <c r="S106" s="1800"/>
      <c r="T106" s="1800"/>
      <c r="U106" s="1800"/>
      <c r="V106" s="1800"/>
      <c r="W106" s="1800"/>
      <c r="X106" s="1800"/>
      <c r="Y106" s="1800"/>
      <c r="Z106" s="1800"/>
    </row>
    <row r="107" spans="1:26">
      <c r="A107" s="1800"/>
      <c r="B107" s="1800"/>
      <c r="C107" s="1800"/>
      <c r="D107" s="1800"/>
      <c r="E107" s="1800"/>
      <c r="F107" s="1800"/>
      <c r="G107" s="1800"/>
      <c r="H107" s="1800"/>
      <c r="I107" s="1800"/>
      <c r="J107" s="1800"/>
      <c r="K107" s="1800"/>
      <c r="L107" s="1800"/>
      <c r="M107" s="1800"/>
      <c r="N107" s="1800"/>
      <c r="O107" s="1800"/>
      <c r="P107" s="1800"/>
      <c r="Q107" s="1800"/>
      <c r="R107" s="1800"/>
      <c r="S107" s="1800"/>
      <c r="T107" s="1800"/>
      <c r="U107" s="1800"/>
      <c r="V107" s="1800"/>
      <c r="W107" s="1800"/>
      <c r="X107" s="1800"/>
      <c r="Y107" s="1800"/>
      <c r="Z107" s="1800"/>
    </row>
    <row r="108" spans="1:26">
      <c r="A108" s="1800"/>
      <c r="B108" s="1800"/>
      <c r="C108" s="1800"/>
      <c r="D108" s="1800"/>
      <c r="E108" s="1800"/>
      <c r="F108" s="1800"/>
      <c r="G108" s="1800"/>
      <c r="H108" s="1800"/>
      <c r="I108" s="1800"/>
      <c r="J108" s="1800"/>
      <c r="K108" s="1800"/>
      <c r="L108" s="1800"/>
      <c r="M108" s="1800"/>
      <c r="N108" s="1800"/>
      <c r="O108" s="1800"/>
      <c r="P108" s="1800"/>
      <c r="Q108" s="1800"/>
      <c r="R108" s="1800"/>
      <c r="S108" s="1800"/>
      <c r="T108" s="1800"/>
      <c r="U108" s="1800"/>
      <c r="V108" s="1800"/>
      <c r="W108" s="1800"/>
      <c r="X108" s="1800"/>
      <c r="Y108" s="1800"/>
      <c r="Z108" s="1800"/>
    </row>
    <row r="109" spans="1:26">
      <c r="A109" s="1800"/>
      <c r="B109" s="1800"/>
      <c r="C109" s="1800"/>
      <c r="D109" s="1800"/>
      <c r="E109" s="1800"/>
      <c r="F109" s="1800"/>
      <c r="G109" s="1800"/>
      <c r="H109" s="1800"/>
      <c r="I109" s="1800"/>
      <c r="J109" s="1800"/>
      <c r="K109" s="1800"/>
      <c r="L109" s="1800"/>
      <c r="M109" s="1800"/>
      <c r="N109" s="1800"/>
      <c r="O109" s="1800"/>
      <c r="P109" s="1800"/>
      <c r="Q109" s="1800"/>
      <c r="R109" s="1800"/>
      <c r="S109" s="1800"/>
      <c r="T109" s="1800"/>
      <c r="U109" s="1800"/>
      <c r="V109" s="1800"/>
      <c r="W109" s="1800"/>
      <c r="X109" s="1800"/>
      <c r="Y109" s="1800"/>
      <c r="Z109" s="1800"/>
    </row>
    <row r="110" spans="1:26">
      <c r="A110" s="1800"/>
      <c r="B110" s="1800"/>
      <c r="C110" s="1800"/>
      <c r="D110" s="1800"/>
      <c r="E110" s="1800"/>
      <c r="F110" s="1800"/>
      <c r="G110" s="1800"/>
      <c r="H110" s="1800"/>
      <c r="I110" s="1800"/>
      <c r="J110" s="1800"/>
      <c r="K110" s="1800"/>
      <c r="L110" s="1800"/>
      <c r="M110" s="1800"/>
      <c r="N110" s="1800"/>
      <c r="O110" s="1800"/>
      <c r="P110" s="1800"/>
      <c r="Q110" s="1800"/>
      <c r="R110" s="1800"/>
      <c r="S110" s="1800"/>
      <c r="T110" s="1800"/>
      <c r="U110" s="1800"/>
      <c r="V110" s="1800"/>
      <c r="W110" s="1800"/>
      <c r="X110" s="1800"/>
      <c r="Y110" s="1800"/>
      <c r="Z110" s="1800"/>
    </row>
    <row r="111" spans="1:26">
      <c r="A111" s="1800"/>
      <c r="B111" s="1800"/>
      <c r="C111" s="1800"/>
      <c r="D111" s="1800"/>
      <c r="E111" s="1800"/>
      <c r="F111" s="1800"/>
      <c r="G111" s="1800"/>
      <c r="H111" s="1800"/>
      <c r="I111" s="1800"/>
      <c r="J111" s="1800"/>
      <c r="K111" s="1800"/>
      <c r="L111" s="1800"/>
      <c r="M111" s="1800"/>
      <c r="N111" s="1800"/>
      <c r="O111" s="1800"/>
      <c r="P111" s="1800"/>
      <c r="Q111" s="1800"/>
      <c r="R111" s="1800"/>
      <c r="S111" s="1800"/>
      <c r="T111" s="1800"/>
      <c r="U111" s="1800"/>
      <c r="V111" s="1800"/>
      <c r="W111" s="1800"/>
      <c r="X111" s="1800"/>
      <c r="Y111" s="1800"/>
      <c r="Z111" s="1800"/>
    </row>
    <row r="112" spans="1:26">
      <c r="A112" s="1800"/>
      <c r="B112" s="1800"/>
      <c r="C112" s="1800"/>
      <c r="D112" s="1800"/>
      <c r="E112" s="1800"/>
      <c r="F112" s="1800"/>
      <c r="G112" s="1800"/>
      <c r="H112" s="1800"/>
      <c r="I112" s="1800"/>
      <c r="J112" s="1800"/>
      <c r="K112" s="1800"/>
      <c r="L112" s="1800"/>
      <c r="M112" s="1800"/>
      <c r="N112" s="1800"/>
      <c r="O112" s="1800"/>
      <c r="P112" s="1800"/>
      <c r="Q112" s="1800"/>
      <c r="R112" s="1800"/>
      <c r="S112" s="1800"/>
      <c r="T112" s="1800"/>
      <c r="U112" s="1800"/>
      <c r="V112" s="1800"/>
      <c r="W112" s="1800"/>
      <c r="X112" s="1800"/>
      <c r="Y112" s="1800"/>
      <c r="Z112" s="1800"/>
    </row>
    <row r="113" spans="1:26">
      <c r="A113" s="1800"/>
      <c r="B113" s="1800"/>
      <c r="C113" s="1800"/>
      <c r="D113" s="1800"/>
      <c r="E113" s="1800"/>
      <c r="F113" s="1800"/>
      <c r="G113" s="1800"/>
      <c r="H113" s="1800"/>
      <c r="I113" s="1800"/>
      <c r="J113" s="1800"/>
      <c r="K113" s="1800"/>
      <c r="L113" s="1800"/>
      <c r="M113" s="1800"/>
      <c r="N113" s="1800"/>
      <c r="O113" s="1800"/>
      <c r="P113" s="1800"/>
      <c r="Q113" s="1800"/>
      <c r="R113" s="1800"/>
      <c r="S113" s="1800"/>
      <c r="T113" s="1800"/>
      <c r="U113" s="1800"/>
      <c r="V113" s="1800"/>
      <c r="W113" s="1800"/>
      <c r="X113" s="1800"/>
      <c r="Y113" s="1800"/>
      <c r="Z113" s="1800"/>
    </row>
    <row r="114" spans="1:26">
      <c r="A114" s="1800"/>
      <c r="B114" s="1800"/>
      <c r="C114" s="1800"/>
      <c r="D114" s="1800"/>
      <c r="E114" s="1800"/>
      <c r="F114" s="1800"/>
      <c r="G114" s="1800"/>
      <c r="H114" s="1800"/>
      <c r="I114" s="1800"/>
      <c r="J114" s="1800"/>
      <c r="K114" s="1800"/>
      <c r="L114" s="1800"/>
      <c r="M114" s="1800"/>
      <c r="N114" s="1800"/>
      <c r="O114" s="1800"/>
      <c r="P114" s="1800"/>
      <c r="Q114" s="1800"/>
      <c r="R114" s="1800"/>
      <c r="S114" s="1800"/>
      <c r="T114" s="1800"/>
      <c r="U114" s="1800"/>
      <c r="V114" s="1800"/>
      <c r="W114" s="1800"/>
      <c r="X114" s="1800"/>
      <c r="Y114" s="1800"/>
      <c r="Z114" s="1800"/>
    </row>
    <row r="115" spans="1:26">
      <c r="A115" s="1800"/>
      <c r="B115" s="1800"/>
      <c r="C115" s="1800"/>
      <c r="D115" s="1800"/>
      <c r="E115" s="1800"/>
      <c r="F115" s="1800"/>
      <c r="G115" s="1800"/>
      <c r="H115" s="1800"/>
      <c r="I115" s="1800"/>
      <c r="J115" s="1800"/>
      <c r="K115" s="1800"/>
      <c r="L115" s="1800"/>
      <c r="M115" s="1800"/>
      <c r="N115" s="1800"/>
      <c r="O115" s="1800"/>
      <c r="P115" s="1800"/>
      <c r="Q115" s="1800"/>
      <c r="R115" s="1800"/>
      <c r="S115" s="1800"/>
      <c r="T115" s="1800"/>
      <c r="U115" s="1800"/>
      <c r="V115" s="1800"/>
      <c r="W115" s="1800"/>
      <c r="X115" s="1800"/>
      <c r="Y115" s="1800"/>
      <c r="Z115" s="1800"/>
    </row>
    <row r="116" spans="1:26">
      <c r="A116" s="1800"/>
      <c r="B116" s="1800"/>
      <c r="C116" s="1800"/>
      <c r="D116" s="1800"/>
      <c r="E116" s="1800"/>
      <c r="F116" s="1800"/>
      <c r="G116" s="1800"/>
      <c r="H116" s="1800"/>
      <c r="I116" s="1800"/>
      <c r="J116" s="1800"/>
      <c r="K116" s="1800"/>
      <c r="L116" s="1800"/>
      <c r="M116" s="1800"/>
      <c r="N116" s="1800"/>
      <c r="O116" s="1800"/>
      <c r="P116" s="1800"/>
      <c r="Q116" s="1800"/>
      <c r="R116" s="1800"/>
      <c r="S116" s="1800"/>
      <c r="T116" s="1800"/>
      <c r="U116" s="1800"/>
      <c r="V116" s="1800"/>
      <c r="W116" s="1800"/>
      <c r="X116" s="1800"/>
      <c r="Y116" s="1800"/>
      <c r="Z116" s="1800"/>
    </row>
    <row r="117" spans="1:26">
      <c r="A117" s="1800"/>
      <c r="B117" s="1800"/>
      <c r="C117" s="1800"/>
      <c r="D117" s="1800"/>
      <c r="E117" s="1800"/>
      <c r="F117" s="1800"/>
      <c r="G117" s="1800"/>
      <c r="H117" s="1800"/>
      <c r="I117" s="1800"/>
      <c r="J117" s="1800"/>
      <c r="K117" s="1800"/>
      <c r="L117" s="1800"/>
      <c r="M117" s="1800"/>
      <c r="N117" s="1800"/>
      <c r="O117" s="1800"/>
      <c r="P117" s="1800"/>
      <c r="Q117" s="1800"/>
      <c r="R117" s="1800"/>
      <c r="S117" s="1800"/>
      <c r="T117" s="1800"/>
      <c r="U117" s="1800"/>
      <c r="V117" s="1800"/>
      <c r="W117" s="1800"/>
      <c r="X117" s="1800"/>
      <c r="Y117" s="1800"/>
      <c r="Z117" s="1800"/>
    </row>
    <row r="118" spans="1:26">
      <c r="A118" s="1800"/>
      <c r="B118" s="1800"/>
      <c r="C118" s="1800"/>
      <c r="D118" s="1800"/>
      <c r="E118" s="1800"/>
      <c r="F118" s="1800"/>
      <c r="G118" s="1800"/>
      <c r="H118" s="1800"/>
      <c r="I118" s="1800"/>
      <c r="J118" s="1800"/>
      <c r="K118" s="1800"/>
      <c r="L118" s="1800"/>
      <c r="M118" s="1800"/>
      <c r="N118" s="1800"/>
      <c r="O118" s="1800"/>
      <c r="P118" s="1800"/>
      <c r="Q118" s="1800"/>
      <c r="R118" s="1800"/>
      <c r="S118" s="1800"/>
      <c r="T118" s="1800"/>
      <c r="U118" s="1800"/>
      <c r="V118" s="1800"/>
      <c r="W118" s="1800"/>
      <c r="X118" s="1800"/>
      <c r="Y118" s="1800"/>
      <c r="Z118" s="1800"/>
    </row>
    <row r="119" spans="1:26">
      <c r="A119" s="1800"/>
      <c r="B119" s="1800"/>
      <c r="C119" s="1800"/>
      <c r="D119" s="1800"/>
      <c r="E119" s="1800"/>
      <c r="F119" s="1800"/>
      <c r="G119" s="1800"/>
      <c r="H119" s="1800"/>
      <c r="I119" s="1800"/>
      <c r="J119" s="1800"/>
      <c r="K119" s="1800"/>
      <c r="L119" s="1800"/>
      <c r="M119" s="1800"/>
      <c r="N119" s="1800"/>
      <c r="O119" s="1800"/>
      <c r="P119" s="1800"/>
      <c r="Q119" s="1800"/>
      <c r="R119" s="1800"/>
      <c r="S119" s="1800"/>
      <c r="T119" s="1800"/>
      <c r="U119" s="1800"/>
      <c r="V119" s="1800"/>
      <c r="W119" s="1800"/>
      <c r="X119" s="1800"/>
      <c r="Y119" s="1800"/>
      <c r="Z119" s="1800"/>
    </row>
    <row r="120" spans="1:26">
      <c r="A120" s="1800"/>
      <c r="B120" s="1800"/>
      <c r="C120" s="1800"/>
      <c r="D120" s="1800"/>
      <c r="E120" s="1800"/>
      <c r="F120" s="1800"/>
      <c r="G120" s="1800"/>
      <c r="H120" s="1800"/>
      <c r="I120" s="1800"/>
      <c r="J120" s="1800"/>
      <c r="K120" s="1800"/>
      <c r="L120" s="1800"/>
      <c r="M120" s="1800"/>
      <c r="N120" s="1800"/>
      <c r="O120" s="1800"/>
      <c r="P120" s="1800"/>
      <c r="Q120" s="1800"/>
      <c r="R120" s="1800"/>
      <c r="S120" s="1800"/>
      <c r="T120" s="1800"/>
      <c r="U120" s="1800"/>
      <c r="V120" s="1800"/>
      <c r="W120" s="1800"/>
      <c r="X120" s="1800"/>
      <c r="Y120" s="1800"/>
      <c r="Z120" s="1800"/>
    </row>
    <row r="121" spans="1:26">
      <c r="A121" s="1800"/>
      <c r="B121" s="1800"/>
      <c r="C121" s="1800"/>
      <c r="D121" s="1800"/>
      <c r="E121" s="1800"/>
      <c r="F121" s="1800"/>
      <c r="G121" s="1800"/>
      <c r="H121" s="1800"/>
      <c r="I121" s="1800"/>
      <c r="J121" s="1800"/>
      <c r="K121" s="1800"/>
      <c r="L121" s="1800"/>
      <c r="M121" s="1800"/>
      <c r="N121" s="1800"/>
      <c r="O121" s="1800"/>
      <c r="P121" s="1800"/>
      <c r="Q121" s="1800"/>
      <c r="R121" s="1800"/>
      <c r="S121" s="1800"/>
      <c r="T121" s="1800"/>
      <c r="U121" s="1800"/>
      <c r="V121" s="1800"/>
      <c r="W121" s="1800"/>
      <c r="X121" s="1800"/>
      <c r="Y121" s="1800"/>
      <c r="Z121" s="1800"/>
    </row>
    <row r="122" spans="1:26">
      <c r="A122" s="1800"/>
      <c r="B122" s="1800"/>
      <c r="C122" s="1800"/>
      <c r="D122" s="1800"/>
      <c r="E122" s="1800"/>
      <c r="F122" s="1800"/>
      <c r="G122" s="1800"/>
      <c r="H122" s="1800"/>
      <c r="I122" s="1800"/>
      <c r="J122" s="1800"/>
      <c r="K122" s="1800"/>
      <c r="L122" s="1800"/>
      <c r="M122" s="1800"/>
      <c r="N122" s="1800"/>
      <c r="O122" s="1800"/>
      <c r="P122" s="1800"/>
      <c r="Q122" s="1800"/>
      <c r="R122" s="1800"/>
      <c r="S122" s="1800"/>
      <c r="T122" s="1800"/>
      <c r="U122" s="1800"/>
      <c r="V122" s="1800"/>
      <c r="W122" s="1800"/>
      <c r="X122" s="1800"/>
      <c r="Y122" s="1800"/>
      <c r="Z122" s="1800"/>
    </row>
    <row r="123" spans="1:26">
      <c r="A123" s="1800"/>
      <c r="B123" s="1800"/>
      <c r="C123" s="1800"/>
      <c r="D123" s="1800"/>
      <c r="E123" s="1800"/>
      <c r="F123" s="1800"/>
      <c r="G123" s="1800"/>
      <c r="H123" s="1800"/>
      <c r="I123" s="1800"/>
      <c r="J123" s="1800"/>
      <c r="K123" s="1800"/>
      <c r="L123" s="1800"/>
      <c r="M123" s="1800"/>
      <c r="N123" s="1800"/>
      <c r="O123" s="1800"/>
      <c r="P123" s="1800"/>
      <c r="Q123" s="1800"/>
      <c r="R123" s="1800"/>
      <c r="S123" s="1800"/>
      <c r="T123" s="1800"/>
      <c r="U123" s="1800"/>
      <c r="V123" s="1800"/>
      <c r="W123" s="1800"/>
      <c r="X123" s="1800"/>
      <c r="Y123" s="1800"/>
      <c r="Z123" s="1800"/>
    </row>
    <row r="124" spans="1:26">
      <c r="A124" s="1800"/>
      <c r="B124" s="1800"/>
      <c r="C124" s="1800"/>
      <c r="D124" s="1800"/>
      <c r="E124" s="1800"/>
      <c r="F124" s="1800"/>
      <c r="G124" s="1800"/>
      <c r="H124" s="1800"/>
      <c r="I124" s="1800"/>
      <c r="J124" s="1800"/>
      <c r="K124" s="1800"/>
      <c r="L124" s="1800"/>
      <c r="M124" s="1800"/>
      <c r="N124" s="1800"/>
      <c r="O124" s="1800"/>
      <c r="P124" s="1800"/>
      <c r="Q124" s="1800"/>
      <c r="R124" s="1800"/>
      <c r="S124" s="1800"/>
      <c r="T124" s="1800"/>
      <c r="U124" s="1800"/>
      <c r="V124" s="1800"/>
      <c r="W124" s="1800"/>
      <c r="X124" s="1800"/>
      <c r="Y124" s="1800"/>
      <c r="Z124" s="1800"/>
    </row>
    <row r="125" spans="1:26">
      <c r="A125" s="1800"/>
      <c r="B125" s="1800"/>
      <c r="C125" s="1800"/>
      <c r="D125" s="1800"/>
      <c r="E125" s="1800"/>
      <c r="F125" s="1800"/>
      <c r="G125" s="1800"/>
      <c r="H125" s="1800"/>
      <c r="I125" s="1800"/>
      <c r="J125" s="1800"/>
      <c r="K125" s="1800"/>
      <c r="L125" s="1800"/>
      <c r="M125" s="1800"/>
      <c r="N125" s="1800"/>
      <c r="O125" s="1800"/>
      <c r="P125" s="1800"/>
      <c r="Q125" s="1800"/>
      <c r="R125" s="1800"/>
      <c r="S125" s="1800"/>
      <c r="T125" s="1800"/>
      <c r="U125" s="1800"/>
      <c r="V125" s="1800"/>
      <c r="W125" s="1800"/>
      <c r="X125" s="1800"/>
      <c r="Y125" s="1800"/>
      <c r="Z125" s="1800"/>
    </row>
    <row r="126" spans="1:26">
      <c r="A126" s="1800"/>
      <c r="B126" s="1800"/>
      <c r="C126" s="1800"/>
      <c r="D126" s="1800"/>
      <c r="E126" s="1800"/>
      <c r="F126" s="1800"/>
      <c r="G126" s="1800"/>
      <c r="H126" s="1800"/>
      <c r="I126" s="1800"/>
      <c r="J126" s="1800"/>
      <c r="K126" s="1800"/>
      <c r="L126" s="1800"/>
      <c r="M126" s="1800"/>
      <c r="N126" s="1800"/>
      <c r="O126" s="1800"/>
      <c r="P126" s="1800"/>
      <c r="Q126" s="1800"/>
      <c r="R126" s="1800"/>
      <c r="S126" s="1800"/>
      <c r="T126" s="1800"/>
      <c r="U126" s="1800"/>
      <c r="V126" s="1800"/>
      <c r="W126" s="1800"/>
      <c r="X126" s="1800"/>
      <c r="Y126" s="1800"/>
      <c r="Z126" s="1800"/>
    </row>
    <row r="127" spans="1:26">
      <c r="A127" s="1800"/>
      <c r="B127" s="1800"/>
      <c r="C127" s="1800"/>
      <c r="D127" s="1800"/>
      <c r="E127" s="1800"/>
      <c r="F127" s="1800"/>
      <c r="G127" s="1800"/>
      <c r="H127" s="1800"/>
      <c r="I127" s="1800"/>
      <c r="J127" s="1800"/>
      <c r="K127" s="1800"/>
      <c r="L127" s="1800"/>
      <c r="M127" s="1800"/>
      <c r="N127" s="1800"/>
      <c r="O127" s="1800"/>
      <c r="P127" s="1800"/>
      <c r="Q127" s="1800"/>
      <c r="R127" s="1800"/>
      <c r="S127" s="1800"/>
      <c r="T127" s="1800"/>
      <c r="U127" s="1800"/>
      <c r="V127" s="1800"/>
      <c r="W127" s="1800"/>
      <c r="X127" s="1800"/>
      <c r="Y127" s="1800"/>
      <c r="Z127" s="1800"/>
    </row>
    <row r="128" spans="1:26">
      <c r="A128" s="1800"/>
      <c r="B128" s="1800"/>
      <c r="C128" s="1800"/>
      <c r="D128" s="1800"/>
      <c r="E128" s="1800"/>
      <c r="F128" s="1800"/>
      <c r="G128" s="1800"/>
      <c r="H128" s="1800"/>
      <c r="I128" s="1800"/>
      <c r="J128" s="1800"/>
      <c r="K128" s="1800"/>
      <c r="L128" s="1800"/>
      <c r="M128" s="1800"/>
      <c r="N128" s="1800"/>
      <c r="O128" s="1800"/>
      <c r="P128" s="1800"/>
      <c r="Q128" s="1800"/>
      <c r="R128" s="1800"/>
      <c r="S128" s="1800"/>
      <c r="T128" s="1800"/>
      <c r="U128" s="1800"/>
      <c r="V128" s="1800"/>
      <c r="W128" s="1800"/>
      <c r="X128" s="1800"/>
      <c r="Y128" s="1800"/>
      <c r="Z128" s="1800"/>
    </row>
    <row r="129" spans="1:26">
      <c r="A129" s="1800"/>
      <c r="B129" s="1800"/>
      <c r="C129" s="1800"/>
      <c r="D129" s="1800"/>
      <c r="E129" s="1800"/>
      <c r="F129" s="1800"/>
      <c r="G129" s="1800"/>
      <c r="H129" s="1800"/>
      <c r="I129" s="1800"/>
      <c r="J129" s="1800"/>
      <c r="K129" s="1800"/>
      <c r="L129" s="1800"/>
      <c r="M129" s="1800"/>
      <c r="N129" s="1800"/>
      <c r="O129" s="1800"/>
      <c r="P129" s="1800"/>
      <c r="Q129" s="1800"/>
      <c r="R129" s="1800"/>
      <c r="S129" s="1800"/>
      <c r="T129" s="1800"/>
      <c r="U129" s="1800"/>
      <c r="V129" s="1800"/>
      <c r="W129" s="1800"/>
      <c r="X129" s="1800"/>
      <c r="Y129" s="1800"/>
      <c r="Z129" s="1800"/>
    </row>
    <row r="130" spans="1:26">
      <c r="A130" s="1800"/>
      <c r="B130" s="1800"/>
      <c r="C130" s="1800"/>
      <c r="D130" s="1800"/>
      <c r="E130" s="1800"/>
      <c r="F130" s="1800"/>
      <c r="G130" s="1800"/>
      <c r="H130" s="1800"/>
      <c r="I130" s="1800"/>
      <c r="J130" s="1800"/>
      <c r="K130" s="1800"/>
      <c r="L130" s="1800"/>
      <c r="M130" s="1800"/>
      <c r="N130" s="1800"/>
      <c r="O130" s="1800"/>
      <c r="P130" s="1800"/>
      <c r="Q130" s="1800"/>
      <c r="R130" s="1800"/>
      <c r="S130" s="1800"/>
      <c r="T130" s="1800"/>
      <c r="U130" s="1800"/>
      <c r="V130" s="1800"/>
      <c r="W130" s="1800"/>
      <c r="X130" s="1800"/>
      <c r="Y130" s="1800"/>
      <c r="Z130" s="1800"/>
    </row>
    <row r="131" spans="1:26">
      <c r="A131" s="1800"/>
      <c r="B131" s="1800"/>
      <c r="C131" s="1800"/>
      <c r="D131" s="1800"/>
      <c r="E131" s="1800"/>
      <c r="F131" s="1800"/>
      <c r="G131" s="1800"/>
      <c r="H131" s="1800"/>
      <c r="I131" s="1800"/>
      <c r="J131" s="1800"/>
      <c r="K131" s="1800"/>
      <c r="L131" s="1800"/>
      <c r="M131" s="1800"/>
      <c r="N131" s="1800"/>
      <c r="O131" s="1800"/>
      <c r="P131" s="1800"/>
      <c r="Q131" s="1800"/>
      <c r="R131" s="1800"/>
      <c r="S131" s="1800"/>
      <c r="T131" s="1800"/>
      <c r="U131" s="1800"/>
      <c r="V131" s="1800"/>
      <c r="W131" s="1800"/>
      <c r="X131" s="1800"/>
      <c r="Y131" s="1800"/>
      <c r="Z131" s="1800"/>
    </row>
    <row r="132" spans="1:26">
      <c r="A132" s="1800"/>
      <c r="B132" s="1800"/>
      <c r="C132" s="1800"/>
      <c r="D132" s="1800"/>
      <c r="E132" s="1800"/>
      <c r="F132" s="1800"/>
      <c r="G132" s="1800"/>
      <c r="H132" s="1800"/>
      <c r="I132" s="1800"/>
      <c r="J132" s="1800"/>
      <c r="K132" s="1800"/>
      <c r="L132" s="1800"/>
      <c r="M132" s="1800"/>
      <c r="N132" s="1800"/>
      <c r="O132" s="1800"/>
      <c r="P132" s="1800"/>
      <c r="Q132" s="1800"/>
      <c r="R132" s="1800"/>
      <c r="S132" s="1800"/>
      <c r="T132" s="1800"/>
      <c r="U132" s="1800"/>
      <c r="V132" s="1800"/>
      <c r="W132" s="1800"/>
      <c r="X132" s="1800"/>
      <c r="Y132" s="1800"/>
      <c r="Z132" s="1800"/>
    </row>
    <row r="133" spans="1:26">
      <c r="A133" s="1800"/>
      <c r="B133" s="1800"/>
      <c r="C133" s="1800"/>
      <c r="D133" s="1800"/>
      <c r="E133" s="1800"/>
      <c r="F133" s="1800"/>
      <c r="G133" s="1800"/>
      <c r="H133" s="1800"/>
      <c r="I133" s="1800"/>
      <c r="J133" s="1800"/>
      <c r="K133" s="1800"/>
      <c r="L133" s="1800"/>
      <c r="M133" s="1800"/>
      <c r="N133" s="1800"/>
      <c r="O133" s="1800"/>
      <c r="P133" s="1800"/>
      <c r="Q133" s="1800"/>
      <c r="R133" s="1800"/>
      <c r="S133" s="1800"/>
      <c r="T133" s="1800"/>
      <c r="U133" s="1800"/>
      <c r="V133" s="1800"/>
      <c r="W133" s="1800"/>
      <c r="X133" s="1800"/>
      <c r="Y133" s="1800"/>
      <c r="Z133" s="1800"/>
    </row>
    <row r="134" spans="1:26">
      <c r="A134" s="1800"/>
      <c r="B134" s="1800"/>
      <c r="C134" s="1800"/>
      <c r="D134" s="1800"/>
      <c r="E134" s="1800"/>
      <c r="F134" s="1800"/>
      <c r="G134" s="1800"/>
      <c r="H134" s="1800"/>
      <c r="I134" s="1800"/>
      <c r="J134" s="1800"/>
      <c r="K134" s="1800"/>
      <c r="L134" s="1800"/>
      <c r="M134" s="1800"/>
      <c r="N134" s="1800"/>
      <c r="O134" s="1800"/>
      <c r="P134" s="1800"/>
      <c r="Q134" s="1800"/>
      <c r="R134" s="1800"/>
      <c r="S134" s="1800"/>
      <c r="T134" s="1800"/>
      <c r="U134" s="1800"/>
      <c r="V134" s="1800"/>
      <c r="W134" s="1800"/>
      <c r="X134" s="1800"/>
      <c r="Y134" s="1800"/>
      <c r="Z134" s="1800"/>
    </row>
    <row r="135" spans="1:26">
      <c r="A135" s="1800"/>
      <c r="B135" s="1800"/>
      <c r="C135" s="1800"/>
      <c r="D135" s="1800"/>
      <c r="E135" s="1800"/>
      <c r="F135" s="1800"/>
      <c r="G135" s="1800"/>
      <c r="H135" s="1800"/>
      <c r="I135" s="1800"/>
      <c r="J135" s="1800"/>
      <c r="K135" s="1800"/>
      <c r="L135" s="1800"/>
      <c r="M135" s="1800"/>
      <c r="N135" s="1800"/>
      <c r="O135" s="1800"/>
      <c r="P135" s="1800"/>
      <c r="Q135" s="1800"/>
      <c r="R135" s="1800"/>
      <c r="S135" s="1800"/>
      <c r="T135" s="1800"/>
      <c r="U135" s="1800"/>
      <c r="V135" s="1800"/>
      <c r="W135" s="1800"/>
      <c r="X135" s="1800"/>
      <c r="Y135" s="1800"/>
      <c r="Z135" s="1800"/>
    </row>
    <row r="136" spans="1:26">
      <c r="A136" s="1800"/>
      <c r="B136" s="1800"/>
      <c r="C136" s="1800"/>
      <c r="D136" s="1800"/>
      <c r="E136" s="1800"/>
      <c r="F136" s="1800"/>
      <c r="G136" s="1800"/>
      <c r="H136" s="1800"/>
      <c r="I136" s="1800"/>
      <c r="J136" s="1800"/>
      <c r="K136" s="1800"/>
      <c r="L136" s="1800"/>
      <c r="M136" s="1800"/>
      <c r="N136" s="1800"/>
      <c r="O136" s="1800"/>
      <c r="P136" s="1800"/>
      <c r="Q136" s="1800"/>
      <c r="R136" s="1800"/>
      <c r="S136" s="1800"/>
      <c r="T136" s="1800"/>
      <c r="U136" s="1800"/>
      <c r="V136" s="1800"/>
      <c r="W136" s="1800"/>
      <c r="X136" s="1800"/>
      <c r="Y136" s="1800"/>
      <c r="Z136" s="1800"/>
    </row>
    <row r="137" spans="1:26">
      <c r="A137" s="1800"/>
      <c r="B137" s="1800"/>
      <c r="C137" s="1800"/>
      <c r="D137" s="1800"/>
      <c r="E137" s="1800"/>
      <c r="F137" s="1800"/>
      <c r="G137" s="1800"/>
      <c r="H137" s="1800"/>
      <c r="I137" s="1800"/>
      <c r="J137" s="1800"/>
      <c r="K137" s="1800"/>
      <c r="L137" s="1800"/>
      <c r="M137" s="1800"/>
      <c r="N137" s="1800"/>
      <c r="O137" s="1800"/>
      <c r="P137" s="1800"/>
      <c r="Q137" s="1800"/>
      <c r="R137" s="1800"/>
      <c r="S137" s="1800"/>
      <c r="T137" s="1800"/>
      <c r="U137" s="1800"/>
      <c r="V137" s="1800"/>
      <c r="W137" s="1800"/>
      <c r="X137" s="1800"/>
      <c r="Y137" s="1800"/>
      <c r="Z137" s="1800"/>
    </row>
    <row r="138" spans="1:26">
      <c r="A138" s="1800"/>
      <c r="B138" s="1800"/>
      <c r="C138" s="1800"/>
      <c r="D138" s="1800"/>
      <c r="E138" s="1800"/>
      <c r="F138" s="1800"/>
      <c r="G138" s="1800"/>
      <c r="H138" s="1800"/>
      <c r="I138" s="1800"/>
      <c r="J138" s="1800"/>
      <c r="K138" s="1800"/>
      <c r="L138" s="1800"/>
      <c r="M138" s="1800"/>
      <c r="N138" s="1800"/>
      <c r="O138" s="1800"/>
      <c r="P138" s="1800"/>
      <c r="Q138" s="1800"/>
      <c r="R138" s="1800"/>
      <c r="S138" s="1800"/>
      <c r="T138" s="1800"/>
      <c r="U138" s="1800"/>
      <c r="V138" s="1800"/>
      <c r="W138" s="1800"/>
      <c r="X138" s="1800"/>
      <c r="Y138" s="1800"/>
      <c r="Z138" s="1800"/>
    </row>
    <row r="139" spans="1:26">
      <c r="A139" s="1800"/>
      <c r="B139" s="1800"/>
      <c r="C139" s="1800"/>
      <c r="D139" s="1800"/>
      <c r="E139" s="1800"/>
      <c r="F139" s="1800"/>
      <c r="G139" s="1800"/>
      <c r="H139" s="1800"/>
      <c r="I139" s="1800"/>
      <c r="J139" s="1800"/>
      <c r="K139" s="1800"/>
      <c r="L139" s="1800"/>
      <c r="M139" s="1800"/>
      <c r="N139" s="1800"/>
      <c r="O139" s="1800"/>
      <c r="P139" s="1800"/>
      <c r="Q139" s="1800"/>
      <c r="R139" s="1800"/>
      <c r="S139" s="1800"/>
      <c r="T139" s="1800"/>
      <c r="U139" s="1800"/>
      <c r="V139" s="1800"/>
      <c r="W139" s="1800"/>
      <c r="X139" s="1800"/>
      <c r="Y139" s="1800"/>
      <c r="Z139" s="1800"/>
    </row>
    <row r="140" spans="1:26">
      <c r="A140" s="1800"/>
      <c r="B140" s="1800"/>
      <c r="C140" s="1800"/>
      <c r="D140" s="1800"/>
      <c r="E140" s="1800"/>
      <c r="F140" s="1800"/>
      <c r="G140" s="1800"/>
      <c r="H140" s="1800"/>
      <c r="I140" s="1800"/>
      <c r="J140" s="1800"/>
      <c r="K140" s="1800"/>
      <c r="L140" s="1800"/>
      <c r="M140" s="1800"/>
      <c r="N140" s="1800"/>
      <c r="O140" s="1800"/>
      <c r="P140" s="1800"/>
      <c r="Q140" s="1800"/>
      <c r="R140" s="1800"/>
      <c r="S140" s="1800"/>
      <c r="T140" s="1800"/>
      <c r="U140" s="1800"/>
      <c r="V140" s="1800"/>
      <c r="W140" s="1800"/>
      <c r="X140" s="1800"/>
      <c r="Y140" s="1800"/>
      <c r="Z140" s="1800"/>
    </row>
    <row r="141" spans="1:26">
      <c r="A141" s="1800"/>
      <c r="B141" s="1800"/>
      <c r="C141" s="1800"/>
      <c r="D141" s="1800"/>
      <c r="E141" s="1800"/>
      <c r="F141" s="1800"/>
      <c r="G141" s="1800"/>
      <c r="H141" s="1800"/>
      <c r="I141" s="1800"/>
      <c r="J141" s="1800"/>
      <c r="K141" s="1800"/>
      <c r="L141" s="1800"/>
      <c r="M141" s="1800"/>
      <c r="N141" s="1800"/>
      <c r="O141" s="1800"/>
      <c r="P141" s="1800"/>
      <c r="Q141" s="1800"/>
      <c r="R141" s="1800"/>
      <c r="S141" s="1800"/>
      <c r="T141" s="1800"/>
      <c r="U141" s="1800"/>
      <c r="V141" s="1800"/>
      <c r="W141" s="1800"/>
      <c r="X141" s="1800"/>
      <c r="Y141" s="1800"/>
      <c r="Z141" s="1800"/>
    </row>
    <row r="142" spans="1:26">
      <c r="A142" s="1800"/>
      <c r="B142" s="1800"/>
      <c r="C142" s="1800"/>
      <c r="D142" s="1800"/>
      <c r="E142" s="1800"/>
      <c r="F142" s="1800"/>
      <c r="G142" s="1800"/>
      <c r="H142" s="1800"/>
      <c r="I142" s="1800"/>
      <c r="J142" s="1800"/>
      <c r="K142" s="1800"/>
      <c r="L142" s="1800"/>
      <c r="M142" s="1800"/>
      <c r="N142" s="1800"/>
      <c r="O142" s="1800"/>
      <c r="P142" s="1800"/>
      <c r="Q142" s="1800"/>
      <c r="R142" s="1800"/>
      <c r="S142" s="1800"/>
      <c r="T142" s="1800"/>
      <c r="U142" s="1800"/>
      <c r="V142" s="1800"/>
      <c r="W142" s="1800"/>
      <c r="X142" s="1800"/>
      <c r="Y142" s="1800"/>
      <c r="Z142" s="1800"/>
    </row>
    <row r="143" spans="1:26">
      <c r="A143" s="1800"/>
      <c r="B143" s="1800"/>
      <c r="C143" s="1800"/>
      <c r="D143" s="1800"/>
      <c r="E143" s="1800"/>
      <c r="F143" s="1800"/>
      <c r="G143" s="1800"/>
      <c r="H143" s="1800"/>
      <c r="I143" s="1800"/>
      <c r="J143" s="1800"/>
      <c r="K143" s="1800"/>
      <c r="L143" s="1800"/>
      <c r="M143" s="1800"/>
      <c r="N143" s="1800"/>
      <c r="O143" s="1800"/>
      <c r="P143" s="1800"/>
      <c r="Q143" s="1800"/>
      <c r="R143" s="1800"/>
      <c r="S143" s="1800"/>
      <c r="T143" s="1800"/>
      <c r="U143" s="1800"/>
      <c r="V143" s="1800"/>
      <c r="W143" s="1800"/>
      <c r="X143" s="1800"/>
      <c r="Y143" s="1800"/>
      <c r="Z143" s="1800"/>
    </row>
    <row r="144" spans="1:26">
      <c r="A144" s="1800"/>
      <c r="B144" s="1800"/>
      <c r="C144" s="1800"/>
      <c r="D144" s="1800"/>
      <c r="E144" s="1800"/>
      <c r="F144" s="1800"/>
      <c r="G144" s="1800"/>
      <c r="H144" s="1800"/>
      <c r="I144" s="1800"/>
      <c r="J144" s="1800"/>
      <c r="K144" s="1800"/>
      <c r="L144" s="1800"/>
      <c r="M144" s="1800"/>
      <c r="N144" s="1800"/>
      <c r="O144" s="1800"/>
      <c r="P144" s="1800"/>
      <c r="Q144" s="1800"/>
      <c r="R144" s="1800"/>
      <c r="S144" s="1800"/>
      <c r="T144" s="1800"/>
      <c r="U144" s="1800"/>
      <c r="V144" s="1800"/>
      <c r="W144" s="1800"/>
      <c r="X144" s="1800"/>
      <c r="Y144" s="1800"/>
      <c r="Z144" s="1800"/>
    </row>
    <row r="145" spans="1:26">
      <c r="A145" s="1800"/>
      <c r="B145" s="1800"/>
      <c r="C145" s="1800"/>
      <c r="D145" s="1800"/>
      <c r="E145" s="1800"/>
      <c r="F145" s="1800"/>
      <c r="G145" s="1800"/>
      <c r="H145" s="1800"/>
      <c r="I145" s="1800"/>
      <c r="J145" s="1800"/>
      <c r="K145" s="1800"/>
      <c r="L145" s="1800"/>
      <c r="M145" s="1800"/>
      <c r="N145" s="1800"/>
      <c r="O145" s="1800"/>
      <c r="P145" s="1800"/>
      <c r="Q145" s="1800"/>
      <c r="R145" s="1800"/>
      <c r="S145" s="1800"/>
      <c r="T145" s="1800"/>
      <c r="U145" s="1800"/>
      <c r="V145" s="1800"/>
      <c r="W145" s="1800"/>
      <c r="X145" s="1800"/>
      <c r="Y145" s="1800"/>
      <c r="Z145" s="1800"/>
    </row>
    <row r="146" spans="1:26">
      <c r="A146" s="1800"/>
      <c r="B146" s="1800"/>
      <c r="C146" s="1800"/>
      <c r="D146" s="1800"/>
      <c r="E146" s="1800"/>
      <c r="F146" s="1800"/>
      <c r="G146" s="1800"/>
      <c r="H146" s="1800"/>
      <c r="I146" s="1800"/>
      <c r="J146" s="1800"/>
      <c r="K146" s="1800"/>
      <c r="L146" s="1800"/>
      <c r="M146" s="1800"/>
      <c r="N146" s="1800"/>
      <c r="O146" s="1800"/>
      <c r="P146" s="1800"/>
      <c r="Q146" s="1800"/>
      <c r="R146" s="1800"/>
      <c r="S146" s="1800"/>
      <c r="T146" s="1800"/>
      <c r="U146" s="1800"/>
      <c r="V146" s="1800"/>
      <c r="W146" s="1800"/>
      <c r="X146" s="1800"/>
      <c r="Y146" s="1800"/>
      <c r="Z146" s="1800"/>
    </row>
    <row r="147" spans="1:26">
      <c r="A147" s="1800"/>
      <c r="B147" s="1800"/>
      <c r="C147" s="1800"/>
      <c r="D147" s="1800"/>
      <c r="E147" s="1800"/>
      <c r="F147" s="1800"/>
      <c r="G147" s="1800"/>
      <c r="H147" s="1800"/>
      <c r="I147" s="1800"/>
      <c r="J147" s="1800"/>
      <c r="K147" s="1800"/>
      <c r="L147" s="1800"/>
      <c r="M147" s="1800"/>
      <c r="N147" s="1800"/>
      <c r="O147" s="1800"/>
      <c r="P147" s="1800"/>
      <c r="Q147" s="1800"/>
      <c r="R147" s="1800"/>
      <c r="S147" s="1800"/>
      <c r="T147" s="1800"/>
      <c r="U147" s="1800"/>
      <c r="V147" s="1800"/>
      <c r="W147" s="1800"/>
      <c r="X147" s="1800"/>
      <c r="Y147" s="1800"/>
      <c r="Z147" s="1800"/>
    </row>
    <row r="148" spans="1:26">
      <c r="A148" s="1800"/>
      <c r="B148" s="1800"/>
      <c r="C148" s="1800"/>
      <c r="D148" s="1800"/>
      <c r="E148" s="1800"/>
      <c r="F148" s="1800"/>
      <c r="G148" s="1800"/>
      <c r="H148" s="1800"/>
      <c r="I148" s="1800"/>
      <c r="J148" s="1800"/>
      <c r="K148" s="1800"/>
      <c r="L148" s="1800"/>
      <c r="M148" s="1800"/>
      <c r="N148" s="1800"/>
      <c r="O148" s="1800"/>
      <c r="P148" s="1800"/>
      <c r="Q148" s="1800"/>
      <c r="R148" s="1800"/>
      <c r="S148" s="1800"/>
      <c r="T148" s="1800"/>
      <c r="U148" s="1800"/>
      <c r="V148" s="1800"/>
      <c r="W148" s="1800"/>
      <c r="X148" s="1800"/>
      <c r="Y148" s="1800"/>
      <c r="Z148" s="1800"/>
    </row>
    <row r="149" spans="1:26">
      <c r="A149" s="1800"/>
      <c r="B149" s="1800"/>
      <c r="C149" s="1800"/>
      <c r="D149" s="1800"/>
      <c r="E149" s="1800"/>
      <c r="F149" s="1800"/>
      <c r="G149" s="1800"/>
      <c r="H149" s="1800"/>
      <c r="I149" s="1800"/>
      <c r="J149" s="1800"/>
      <c r="K149" s="1800"/>
      <c r="L149" s="1800"/>
      <c r="M149" s="1800"/>
      <c r="N149" s="1800"/>
      <c r="O149" s="1800"/>
      <c r="P149" s="1800"/>
      <c r="Q149" s="1800"/>
      <c r="R149" s="1800"/>
      <c r="S149" s="1800"/>
      <c r="T149" s="1800"/>
      <c r="U149" s="1800"/>
      <c r="V149" s="1800"/>
      <c r="W149" s="1800"/>
      <c r="X149" s="1800"/>
      <c r="Y149" s="1800"/>
      <c r="Z149" s="1800"/>
    </row>
    <row r="150" spans="1:26">
      <c r="A150" s="1800"/>
      <c r="B150" s="1800"/>
      <c r="C150" s="1800"/>
      <c r="D150" s="1800"/>
      <c r="E150" s="1800"/>
      <c r="F150" s="1800"/>
      <c r="G150" s="1800"/>
      <c r="H150" s="1800"/>
      <c r="I150" s="1800"/>
      <c r="J150" s="1800"/>
      <c r="K150" s="1800"/>
      <c r="L150" s="1800"/>
      <c r="M150" s="1800"/>
      <c r="N150" s="1800"/>
      <c r="O150" s="1800"/>
      <c r="P150" s="1800"/>
      <c r="Q150" s="1800"/>
      <c r="R150" s="1800"/>
      <c r="S150" s="1800"/>
      <c r="T150" s="1800"/>
      <c r="U150" s="1800"/>
      <c r="V150" s="1800"/>
      <c r="W150" s="1800"/>
      <c r="X150" s="1800"/>
      <c r="Y150" s="1800"/>
      <c r="Z150" s="1800"/>
    </row>
    <row r="151" spans="1:26">
      <c r="A151" s="1800"/>
      <c r="B151" s="1800"/>
      <c r="C151" s="1800"/>
      <c r="D151" s="1800"/>
      <c r="E151" s="1800"/>
      <c r="F151" s="1800"/>
      <c r="G151" s="1800"/>
      <c r="H151" s="1800"/>
      <c r="I151" s="1800"/>
      <c r="J151" s="1800"/>
      <c r="K151" s="1800"/>
      <c r="L151" s="1800"/>
      <c r="M151" s="1800"/>
      <c r="N151" s="1800"/>
      <c r="O151" s="1800"/>
      <c r="P151" s="1800"/>
      <c r="Q151" s="1800"/>
      <c r="R151" s="1800"/>
      <c r="S151" s="1800"/>
      <c r="T151" s="1800"/>
      <c r="U151" s="1800"/>
      <c r="V151" s="1800"/>
      <c r="W151" s="1800"/>
      <c r="X151" s="1800"/>
      <c r="Y151" s="1800"/>
      <c r="Z151" s="1800"/>
    </row>
    <row r="152" spans="1:26">
      <c r="A152" s="1800"/>
      <c r="B152" s="1800"/>
      <c r="C152" s="1800"/>
      <c r="D152" s="1800"/>
      <c r="E152" s="1800"/>
      <c r="F152" s="1800"/>
      <c r="G152" s="1800"/>
      <c r="H152" s="1800"/>
      <c r="I152" s="1800"/>
      <c r="J152" s="1800"/>
      <c r="K152" s="1800"/>
      <c r="L152" s="1800"/>
      <c r="M152" s="1800"/>
      <c r="N152" s="1800"/>
      <c r="O152" s="1800"/>
      <c r="P152" s="1800"/>
      <c r="Q152" s="1800"/>
      <c r="R152" s="1800"/>
      <c r="S152" s="1800"/>
      <c r="T152" s="1800"/>
      <c r="U152" s="1800"/>
      <c r="V152" s="1800"/>
      <c r="W152" s="1800"/>
      <c r="X152" s="1800"/>
      <c r="Y152" s="1800"/>
      <c r="Z152" s="1800"/>
    </row>
    <row r="153" spans="1:26">
      <c r="A153" s="1800"/>
      <c r="B153" s="1800"/>
      <c r="C153" s="1800"/>
      <c r="D153" s="1800"/>
      <c r="E153" s="1800"/>
      <c r="F153" s="1800"/>
      <c r="G153" s="1800"/>
      <c r="H153" s="1800"/>
      <c r="I153" s="1800"/>
      <c r="J153" s="1800"/>
      <c r="K153" s="1800"/>
      <c r="L153" s="1800"/>
      <c r="M153" s="1800"/>
      <c r="N153" s="1800"/>
      <c r="O153" s="1800"/>
      <c r="P153" s="1800"/>
      <c r="Q153" s="1800"/>
      <c r="R153" s="1800"/>
      <c r="S153" s="1800"/>
      <c r="T153" s="1800"/>
      <c r="U153" s="1800"/>
      <c r="V153" s="1800"/>
      <c r="W153" s="1800"/>
      <c r="X153" s="1800"/>
      <c r="Y153" s="1800"/>
      <c r="Z153" s="1800"/>
    </row>
    <row r="154" spans="1:26">
      <c r="A154" s="1800"/>
      <c r="B154" s="1800"/>
      <c r="C154" s="1800"/>
      <c r="D154" s="1800"/>
      <c r="E154" s="1800"/>
      <c r="F154" s="1800"/>
      <c r="G154" s="1800"/>
      <c r="H154" s="1800"/>
      <c r="I154" s="1800"/>
      <c r="J154" s="1800"/>
      <c r="K154" s="1800"/>
      <c r="L154" s="1800"/>
      <c r="M154" s="1800"/>
      <c r="N154" s="1800"/>
      <c r="O154" s="1800"/>
      <c r="P154" s="1800"/>
      <c r="Q154" s="1800"/>
      <c r="R154" s="1800"/>
      <c r="S154" s="1800"/>
      <c r="T154" s="1800"/>
      <c r="U154" s="1800"/>
      <c r="V154" s="1800"/>
      <c r="W154" s="1800"/>
      <c r="X154" s="1800"/>
      <c r="Y154" s="1800"/>
      <c r="Z154" s="1800"/>
    </row>
    <row r="155" spans="1:26">
      <c r="A155" s="1800"/>
      <c r="B155" s="1800"/>
      <c r="C155" s="1800"/>
      <c r="D155" s="1800"/>
      <c r="E155" s="1800"/>
      <c r="F155" s="1800"/>
      <c r="G155" s="1800"/>
      <c r="H155" s="1800"/>
      <c r="I155" s="1800"/>
      <c r="J155" s="1800"/>
      <c r="K155" s="1800"/>
      <c r="L155" s="1800"/>
      <c r="M155" s="1800"/>
      <c r="N155" s="1800"/>
      <c r="O155" s="1800"/>
      <c r="P155" s="1800"/>
      <c r="Q155" s="1800"/>
      <c r="R155" s="1800"/>
      <c r="S155" s="1800"/>
      <c r="T155" s="1800"/>
      <c r="U155" s="1800"/>
      <c r="V155" s="1800"/>
      <c r="W155" s="1800"/>
      <c r="X155" s="1800"/>
      <c r="Y155" s="1800"/>
      <c r="Z155" s="1800"/>
    </row>
    <row r="156" spans="1:26">
      <c r="A156" s="1800"/>
      <c r="B156" s="1800"/>
      <c r="C156" s="1800"/>
      <c r="D156" s="1800"/>
      <c r="E156" s="1800"/>
      <c r="F156" s="1800"/>
      <c r="G156" s="1800"/>
      <c r="H156" s="1800"/>
      <c r="I156" s="1800"/>
      <c r="J156" s="1800"/>
      <c r="K156" s="1800"/>
      <c r="L156" s="1800"/>
      <c r="M156" s="1800"/>
      <c r="N156" s="1800"/>
      <c r="O156" s="1800"/>
      <c r="P156" s="1800"/>
      <c r="Q156" s="1800"/>
      <c r="R156" s="1800"/>
      <c r="S156" s="1800"/>
      <c r="T156" s="1800"/>
      <c r="U156" s="1800"/>
      <c r="V156" s="1800"/>
      <c r="W156" s="1800"/>
      <c r="X156" s="1800"/>
      <c r="Y156" s="1800"/>
      <c r="Z156" s="1800"/>
    </row>
    <row r="157" spans="1:26">
      <c r="A157" s="1800"/>
      <c r="B157" s="1800"/>
      <c r="C157" s="1800"/>
      <c r="D157" s="1800"/>
      <c r="E157" s="1800"/>
      <c r="F157" s="1800"/>
      <c r="G157" s="1800"/>
      <c r="H157" s="1800"/>
      <c r="I157" s="1800"/>
      <c r="J157" s="1800"/>
      <c r="K157" s="1800"/>
      <c r="L157" s="1800"/>
      <c r="M157" s="1800"/>
      <c r="N157" s="1800"/>
      <c r="O157" s="1800"/>
      <c r="P157" s="1800"/>
      <c r="Q157" s="1800"/>
      <c r="R157" s="1800"/>
      <c r="S157" s="1800"/>
      <c r="T157" s="1800"/>
      <c r="U157" s="1800"/>
      <c r="V157" s="1800"/>
      <c r="W157" s="1800"/>
      <c r="X157" s="1800"/>
      <c r="Y157" s="1800"/>
      <c r="Z157" s="1800"/>
    </row>
    <row r="158" spans="1:26">
      <c r="A158" s="1800"/>
      <c r="B158" s="1800"/>
      <c r="C158" s="1800"/>
      <c r="D158" s="1800"/>
      <c r="E158" s="1800"/>
      <c r="F158" s="1800"/>
      <c r="G158" s="1800"/>
      <c r="H158" s="1800"/>
      <c r="I158" s="1800"/>
      <c r="J158" s="1800"/>
      <c r="K158" s="1800"/>
      <c r="L158" s="1800"/>
      <c r="M158" s="1800"/>
      <c r="N158" s="1800"/>
      <c r="O158" s="1800"/>
      <c r="P158" s="1800"/>
      <c r="Q158" s="1800"/>
      <c r="R158" s="1800"/>
      <c r="S158" s="1800"/>
      <c r="T158" s="1800"/>
      <c r="U158" s="1800"/>
      <c r="V158" s="1800"/>
      <c r="W158" s="1800"/>
      <c r="X158" s="1800"/>
      <c r="Y158" s="1800"/>
      <c r="Z158" s="1800"/>
    </row>
    <row r="159" spans="1:26">
      <c r="A159" s="1800"/>
      <c r="B159" s="1800"/>
      <c r="C159" s="1800"/>
      <c r="D159" s="1800"/>
      <c r="E159" s="1800"/>
      <c r="F159" s="1800"/>
      <c r="G159" s="1800"/>
      <c r="H159" s="1800"/>
      <c r="I159" s="1800"/>
      <c r="J159" s="1800"/>
      <c r="K159" s="1800"/>
      <c r="L159" s="1800"/>
      <c r="M159" s="1800"/>
      <c r="N159" s="1800"/>
      <c r="O159" s="1800"/>
      <c r="P159" s="1800"/>
      <c r="Q159" s="1800"/>
      <c r="R159" s="1800"/>
      <c r="S159" s="1800"/>
      <c r="T159" s="1800"/>
      <c r="U159" s="1800"/>
      <c r="V159" s="1800"/>
      <c r="W159" s="1800"/>
      <c r="X159" s="1800"/>
      <c r="Y159" s="1800"/>
      <c r="Z159" s="1800"/>
    </row>
    <row r="160" spans="1:26">
      <c r="A160" s="1800"/>
      <c r="B160" s="1800"/>
      <c r="C160" s="1800"/>
      <c r="D160" s="1800"/>
      <c r="E160" s="1800"/>
      <c r="F160" s="1800"/>
      <c r="G160" s="1800"/>
      <c r="H160" s="1800"/>
      <c r="I160" s="1800"/>
      <c r="J160" s="1800"/>
      <c r="K160" s="1800"/>
      <c r="L160" s="1800"/>
      <c r="M160" s="1800"/>
      <c r="N160" s="1800"/>
      <c r="O160" s="1800"/>
      <c r="P160" s="1800"/>
      <c r="Q160" s="1800"/>
      <c r="R160" s="1800"/>
      <c r="S160" s="1800"/>
      <c r="T160" s="1800"/>
      <c r="U160" s="1800"/>
      <c r="V160" s="1800"/>
      <c r="W160" s="1800"/>
      <c r="X160" s="1800"/>
      <c r="Y160" s="1800"/>
      <c r="Z160" s="1800"/>
    </row>
    <row r="161" spans="1:26">
      <c r="A161" s="1800"/>
      <c r="B161" s="1800"/>
      <c r="C161" s="1800"/>
      <c r="D161" s="1800"/>
      <c r="E161" s="1800"/>
      <c r="F161" s="1800"/>
      <c r="G161" s="1800"/>
      <c r="H161" s="1800"/>
      <c r="I161" s="1800"/>
      <c r="J161" s="1800"/>
      <c r="K161" s="1800"/>
      <c r="L161" s="1800"/>
      <c r="M161" s="1800"/>
      <c r="N161" s="1800"/>
      <c r="O161" s="1800"/>
      <c r="P161" s="1800"/>
      <c r="Q161" s="1800"/>
      <c r="R161" s="1800"/>
      <c r="S161" s="1800"/>
      <c r="T161" s="1800"/>
      <c r="U161" s="1800"/>
      <c r="V161" s="1800"/>
      <c r="W161" s="1800"/>
      <c r="X161" s="1800"/>
      <c r="Y161" s="1800"/>
      <c r="Z161" s="1800"/>
    </row>
    <row r="162" spans="1:26">
      <c r="A162" s="1800"/>
      <c r="B162" s="1800"/>
      <c r="C162" s="1800"/>
      <c r="D162" s="1800"/>
      <c r="E162" s="1800"/>
      <c r="F162" s="1800"/>
      <c r="G162" s="1800"/>
      <c r="H162" s="1800"/>
      <c r="I162" s="1800"/>
      <c r="J162" s="1800"/>
      <c r="K162" s="1800"/>
      <c r="L162" s="1800"/>
      <c r="M162" s="1800"/>
      <c r="N162" s="1800"/>
      <c r="O162" s="1800"/>
      <c r="P162" s="1800"/>
      <c r="Q162" s="1800"/>
      <c r="R162" s="1800"/>
      <c r="S162" s="1800"/>
      <c r="T162" s="1800"/>
      <c r="U162" s="1800"/>
      <c r="V162" s="1800"/>
      <c r="W162" s="1800"/>
      <c r="X162" s="1800"/>
      <c r="Y162" s="1800"/>
      <c r="Z162" s="1800"/>
    </row>
    <row r="163" spans="1:26">
      <c r="A163" s="1800"/>
      <c r="B163" s="1800"/>
      <c r="C163" s="1800"/>
      <c r="D163" s="1800"/>
      <c r="E163" s="1800"/>
      <c r="F163" s="1800"/>
      <c r="G163" s="1800"/>
      <c r="H163" s="1800"/>
      <c r="I163" s="1800"/>
      <c r="J163" s="1800"/>
      <c r="K163" s="1800"/>
      <c r="L163" s="1800"/>
      <c r="M163" s="1800"/>
      <c r="N163" s="1800"/>
      <c r="O163" s="1800"/>
      <c r="P163" s="1800"/>
      <c r="Q163" s="1800"/>
      <c r="R163" s="1800"/>
      <c r="S163" s="1800"/>
      <c r="T163" s="1800"/>
      <c r="U163" s="1800"/>
      <c r="V163" s="1800"/>
      <c r="W163" s="1800"/>
      <c r="X163" s="1800"/>
      <c r="Y163" s="1800"/>
      <c r="Z163" s="1800"/>
    </row>
    <row r="164" spans="1:26">
      <c r="A164" s="1800"/>
      <c r="B164" s="1800"/>
      <c r="C164" s="1800"/>
      <c r="D164" s="1800"/>
      <c r="E164" s="1800"/>
      <c r="F164" s="1800"/>
      <c r="G164" s="1800"/>
      <c r="H164" s="1800"/>
      <c r="I164" s="1800"/>
      <c r="J164" s="1800"/>
      <c r="K164" s="1800"/>
      <c r="L164" s="1800"/>
      <c r="M164" s="1800"/>
      <c r="N164" s="1800"/>
      <c r="O164" s="1800"/>
      <c r="P164" s="1800"/>
      <c r="Q164" s="1800"/>
      <c r="R164" s="1800"/>
      <c r="S164" s="1800"/>
      <c r="T164" s="1800"/>
      <c r="U164" s="1800"/>
      <c r="V164" s="1800"/>
      <c r="W164" s="1800"/>
      <c r="X164" s="1800"/>
      <c r="Y164" s="1800"/>
      <c r="Z164" s="1800"/>
    </row>
    <row r="165" spans="1:26">
      <c r="A165" s="1800"/>
      <c r="B165" s="1800"/>
      <c r="C165" s="1800"/>
      <c r="D165" s="1800"/>
      <c r="E165" s="1800"/>
      <c r="F165" s="1800"/>
      <c r="G165" s="1800"/>
      <c r="H165" s="1800"/>
      <c r="I165" s="1800"/>
      <c r="J165" s="1800"/>
      <c r="K165" s="1800"/>
      <c r="L165" s="1800"/>
      <c r="M165" s="1800"/>
      <c r="N165" s="1800"/>
      <c r="O165" s="1800"/>
      <c r="P165" s="1800"/>
      <c r="Q165" s="1800"/>
      <c r="R165" s="1800"/>
      <c r="S165" s="1800"/>
      <c r="T165" s="1800"/>
      <c r="U165" s="1800"/>
      <c r="V165" s="1800"/>
      <c r="W165" s="1800"/>
      <c r="X165" s="1800"/>
      <c r="Y165" s="1800"/>
      <c r="Z165" s="1800"/>
    </row>
    <row r="166" spans="1:26">
      <c r="A166" s="1800"/>
      <c r="B166" s="1800"/>
      <c r="C166" s="1800"/>
      <c r="D166" s="1800"/>
      <c r="E166" s="1800"/>
      <c r="F166" s="1800"/>
      <c r="G166" s="1800"/>
      <c r="H166" s="1800"/>
      <c r="I166" s="1800"/>
      <c r="J166" s="1800"/>
      <c r="K166" s="1800"/>
      <c r="L166" s="1800"/>
      <c r="M166" s="1800"/>
      <c r="N166" s="1800"/>
      <c r="O166" s="1800"/>
      <c r="P166" s="1800"/>
      <c r="Q166" s="1800"/>
      <c r="R166" s="1800"/>
      <c r="S166" s="1800"/>
      <c r="T166" s="1800"/>
      <c r="U166" s="1800"/>
      <c r="V166" s="1800"/>
      <c r="W166" s="1800"/>
      <c r="X166" s="1800"/>
      <c r="Y166" s="1800"/>
      <c r="Z166" s="1800"/>
    </row>
    <row r="167" spans="1:26">
      <c r="A167" s="1800"/>
      <c r="B167" s="1800"/>
      <c r="C167" s="1800"/>
      <c r="D167" s="1800"/>
      <c r="E167" s="1800"/>
      <c r="F167" s="1800"/>
      <c r="G167" s="1800"/>
      <c r="H167" s="1800"/>
      <c r="I167" s="1800"/>
      <c r="J167" s="1800"/>
      <c r="K167" s="1800"/>
      <c r="L167" s="1800"/>
      <c r="M167" s="1800"/>
      <c r="N167" s="1800"/>
      <c r="O167" s="1800"/>
      <c r="P167" s="1800"/>
      <c r="Q167" s="1800"/>
      <c r="R167" s="1800"/>
      <c r="S167" s="1800"/>
      <c r="T167" s="1800"/>
      <c r="U167" s="1800"/>
      <c r="V167" s="1800"/>
      <c r="W167" s="1800"/>
      <c r="X167" s="1800"/>
      <c r="Y167" s="1800"/>
      <c r="Z167" s="1800"/>
    </row>
    <row r="168" spans="1:26">
      <c r="A168" s="1800"/>
      <c r="B168" s="1800"/>
      <c r="C168" s="1800"/>
      <c r="D168" s="1800"/>
      <c r="E168" s="1800"/>
      <c r="F168" s="1800"/>
      <c r="G168" s="1800"/>
      <c r="H168" s="1800"/>
      <c r="I168" s="1800"/>
      <c r="J168" s="1800"/>
      <c r="K168" s="1800"/>
      <c r="L168" s="1800"/>
      <c r="M168" s="1800"/>
      <c r="N168" s="1800"/>
      <c r="O168" s="1800"/>
      <c r="P168" s="1800"/>
      <c r="Q168" s="1800"/>
      <c r="R168" s="1800"/>
      <c r="S168" s="1800"/>
      <c r="T168" s="1800"/>
      <c r="U168" s="1800"/>
      <c r="V168" s="1800"/>
      <c r="W168" s="1800"/>
      <c r="X168" s="1800"/>
      <c r="Y168" s="1800"/>
      <c r="Z168" s="1800"/>
    </row>
    <row r="169" spans="1:26">
      <c r="A169" s="1800"/>
      <c r="B169" s="1800"/>
      <c r="C169" s="1800"/>
      <c r="D169" s="1800"/>
      <c r="E169" s="1800"/>
      <c r="F169" s="1800"/>
      <c r="G169" s="1800"/>
      <c r="H169" s="1800"/>
      <c r="I169" s="1800"/>
      <c r="J169" s="1800"/>
      <c r="K169" s="1800"/>
      <c r="L169" s="1800"/>
      <c r="M169" s="1800"/>
      <c r="N169" s="1800"/>
      <c r="O169" s="1800"/>
      <c r="P169" s="1800"/>
      <c r="Q169" s="1800"/>
      <c r="R169" s="1800"/>
      <c r="S169" s="1800"/>
      <c r="T169" s="1800"/>
      <c r="U169" s="1800"/>
      <c r="V169" s="1800"/>
      <c r="W169" s="1800"/>
      <c r="X169" s="1800"/>
      <c r="Y169" s="1800"/>
      <c r="Z169" s="1800"/>
    </row>
    <row r="170" spans="1:26">
      <c r="A170" s="1800"/>
      <c r="B170" s="1800"/>
      <c r="C170" s="1800"/>
      <c r="D170" s="1800"/>
      <c r="E170" s="1800"/>
      <c r="F170" s="1800"/>
      <c r="G170" s="1800"/>
      <c r="H170" s="1800"/>
      <c r="I170" s="1800"/>
      <c r="J170" s="1800"/>
      <c r="K170" s="1800"/>
      <c r="L170" s="1800"/>
      <c r="M170" s="1800"/>
      <c r="N170" s="1800"/>
      <c r="O170" s="1800"/>
      <c r="P170" s="1800"/>
      <c r="Q170" s="1800"/>
      <c r="R170" s="1800"/>
      <c r="S170" s="1800"/>
      <c r="T170" s="1800"/>
      <c r="U170" s="1800"/>
      <c r="V170" s="1800"/>
      <c r="W170" s="1800"/>
      <c r="X170" s="1800"/>
      <c r="Y170" s="1800"/>
      <c r="Z170" s="1800"/>
    </row>
    <row r="171" spans="1:26">
      <c r="A171" s="1800"/>
      <c r="B171" s="1800"/>
      <c r="C171" s="1800"/>
      <c r="D171" s="1800"/>
      <c r="E171" s="1800"/>
      <c r="F171" s="1800"/>
      <c r="G171" s="1800"/>
      <c r="H171" s="1800"/>
      <c r="I171" s="1800"/>
      <c r="J171" s="1800"/>
      <c r="K171" s="1800"/>
      <c r="L171" s="1800"/>
      <c r="M171" s="1800"/>
      <c r="N171" s="1800"/>
      <c r="O171" s="1800"/>
      <c r="P171" s="1800"/>
      <c r="Q171" s="1800"/>
      <c r="R171" s="1800"/>
      <c r="S171" s="1800"/>
      <c r="T171" s="1800"/>
      <c r="U171" s="1800"/>
      <c r="V171" s="1800"/>
      <c r="W171" s="1800"/>
      <c r="X171" s="1800"/>
      <c r="Y171" s="1800"/>
      <c r="Z171" s="1800"/>
    </row>
  </sheetData>
  <mergeCells count="141">
    <mergeCell ref="H2:T2"/>
    <mergeCell ref="U2:Z2"/>
    <mergeCell ref="H3:T3"/>
    <mergeCell ref="U3:W3"/>
    <mergeCell ref="X3:Z3"/>
    <mergeCell ref="A5:Z5"/>
    <mergeCell ref="A27:E27"/>
    <mergeCell ref="A28:E28"/>
    <mergeCell ref="A29:E29"/>
    <mergeCell ref="A30:F30"/>
    <mergeCell ref="G30:H30"/>
    <mergeCell ref="I30:J30"/>
    <mergeCell ref="K30:L30"/>
    <mergeCell ref="O30:P30"/>
    <mergeCell ref="R30:S30"/>
    <mergeCell ref="W30:Z30"/>
    <mergeCell ref="A31:F31"/>
    <mergeCell ref="H31:I31"/>
    <mergeCell ref="A32:F32"/>
    <mergeCell ref="H32:I32"/>
    <mergeCell ref="K32:L32"/>
    <mergeCell ref="A33:F33"/>
    <mergeCell ref="A34:F34"/>
    <mergeCell ref="H34:I34"/>
    <mergeCell ref="A35:F35"/>
    <mergeCell ref="G35:H35"/>
    <mergeCell ref="A36:F36"/>
    <mergeCell ref="H36:I36"/>
    <mergeCell ref="A37:F37"/>
    <mergeCell ref="H37:I37"/>
    <mergeCell ref="R37:S37"/>
    <mergeCell ref="A38:F38"/>
    <mergeCell ref="H38:I38"/>
    <mergeCell ref="R38:S38"/>
    <mergeCell ref="A39:F39"/>
    <mergeCell ref="H39:I39"/>
    <mergeCell ref="R39:S39"/>
    <mergeCell ref="U41:V41"/>
    <mergeCell ref="W41:X41"/>
    <mergeCell ref="Y41:Z41"/>
    <mergeCell ref="A42:D42"/>
    <mergeCell ref="E42:F42"/>
    <mergeCell ref="G42:H42"/>
    <mergeCell ref="I42:J42"/>
    <mergeCell ref="K42:L42"/>
    <mergeCell ref="M42:N42"/>
    <mergeCell ref="O42:P42"/>
    <mergeCell ref="Q42:R42"/>
    <mergeCell ref="S42:T42"/>
    <mergeCell ref="U42:V42"/>
    <mergeCell ref="W42:X42"/>
    <mergeCell ref="Y42:Z42"/>
    <mergeCell ref="A41:D41"/>
    <mergeCell ref="E41:F41"/>
    <mergeCell ref="G41:H41"/>
    <mergeCell ref="I41:J41"/>
    <mergeCell ref="K41:L41"/>
    <mergeCell ref="M41:N41"/>
    <mergeCell ref="O41:P41"/>
    <mergeCell ref="Q41:R41"/>
    <mergeCell ref="S41:T41"/>
    <mergeCell ref="W43:X43"/>
    <mergeCell ref="Y43:Z43"/>
    <mergeCell ref="C44:D44"/>
    <mergeCell ref="E44:F44"/>
    <mergeCell ref="G44:H44"/>
    <mergeCell ref="I44:J44"/>
    <mergeCell ref="K44:L44"/>
    <mergeCell ref="M44:N44"/>
    <mergeCell ref="O44:P44"/>
    <mergeCell ref="Q44:R44"/>
    <mergeCell ref="S44:T44"/>
    <mergeCell ref="U44:V44"/>
    <mergeCell ref="W44:X44"/>
    <mergeCell ref="Y44:Z44"/>
    <mergeCell ref="C43:D43"/>
    <mergeCell ref="E43:F43"/>
    <mergeCell ref="G43:H43"/>
    <mergeCell ref="I43:J43"/>
    <mergeCell ref="K43:L43"/>
    <mergeCell ref="M43:N43"/>
    <mergeCell ref="O43:P43"/>
    <mergeCell ref="Q43:R43"/>
    <mergeCell ref="S43:T43"/>
    <mergeCell ref="E45:F45"/>
    <mergeCell ref="G45:H45"/>
    <mergeCell ref="I45:J45"/>
    <mergeCell ref="K45:L45"/>
    <mergeCell ref="M45:N45"/>
    <mergeCell ref="O45:P45"/>
    <mergeCell ref="Q45:R45"/>
    <mergeCell ref="S45:T45"/>
    <mergeCell ref="U43:V43"/>
    <mergeCell ref="W47:Z47"/>
    <mergeCell ref="A48:D48"/>
    <mergeCell ref="E48:H48"/>
    <mergeCell ref="I48:L48"/>
    <mergeCell ref="M48:P48"/>
    <mergeCell ref="Q48:T48"/>
    <mergeCell ref="U48:X48"/>
    <mergeCell ref="Y48:Z48"/>
    <mergeCell ref="U45:V45"/>
    <mergeCell ref="W45:X45"/>
    <mergeCell ref="Y45:Z45"/>
    <mergeCell ref="A46:D46"/>
    <mergeCell ref="E46:F46"/>
    <mergeCell ref="G46:H46"/>
    <mergeCell ref="I46:J46"/>
    <mergeCell ref="K46:L46"/>
    <mergeCell ref="M46:N46"/>
    <mergeCell ref="O46:P46"/>
    <mergeCell ref="Q46:R46"/>
    <mergeCell ref="S46:T46"/>
    <mergeCell ref="U46:V46"/>
    <mergeCell ref="W46:X46"/>
    <mergeCell ref="Y46:Z46"/>
    <mergeCell ref="A45:D45"/>
    <mergeCell ref="K51:L51"/>
    <mergeCell ref="M51:N51"/>
    <mergeCell ref="O51:P51"/>
    <mergeCell ref="Q51:R51"/>
    <mergeCell ref="S51:T51"/>
    <mergeCell ref="F27:F28"/>
    <mergeCell ref="A2:G3"/>
    <mergeCell ref="U50:Z51"/>
    <mergeCell ref="A43:B44"/>
    <mergeCell ref="A50:G51"/>
    <mergeCell ref="H50:J51"/>
    <mergeCell ref="A49:G49"/>
    <mergeCell ref="H49:J49"/>
    <mergeCell ref="K49:T49"/>
    <mergeCell ref="U49:Z49"/>
    <mergeCell ref="K50:L50"/>
    <mergeCell ref="M50:N50"/>
    <mergeCell ref="O50:P50"/>
    <mergeCell ref="Q50:R50"/>
    <mergeCell ref="S50:T50"/>
    <mergeCell ref="A47:D47"/>
    <mergeCell ref="E47:N47"/>
    <mergeCell ref="O47:P47"/>
    <mergeCell ref="Q47:V47"/>
  </mergeCells>
  <phoneticPr fontId="214" type="noConversion"/>
  <pageMargins left="0.58888888888888902" right="0.2" top="0.2" bottom="0.2" header="0.11874999999999999" footer="0.30902777777777801"/>
  <pageSetup paperSize="9" orientation="portrait"/>
  <headerFooter scaleWithDoc="0" alignWithMargins="0"/>
  <drawing r:id="rId1"/>
  <legacyDrawing r:id="rId2"/>
  <oleObjects>
    <mc:AlternateContent xmlns:mc="http://schemas.openxmlformats.org/markup-compatibility/2006">
      <mc:Choice Requires="x14">
        <oleObject progId="Equation.3" shapeId="1213441" r:id="rId3">
          <objectPr defaultSize="0" altText="" r:id="rId4">
            <anchor moveWithCells="1" sizeWithCells="1">
              <from>
                <xdr:col>1</xdr:col>
                <xdr:colOff>161925</xdr:colOff>
                <xdr:row>41</xdr:row>
                <xdr:rowOff>9525</xdr:rowOff>
              </from>
              <to>
                <xdr:col>2</xdr:col>
                <xdr:colOff>114300</xdr:colOff>
                <xdr:row>41</xdr:row>
                <xdr:rowOff>190500</xdr:rowOff>
              </to>
            </anchor>
          </objectPr>
        </oleObject>
      </mc:Choice>
      <mc:Fallback>
        <oleObject progId="Equation.3" shapeId="1213441" r:id="rId3"/>
      </mc:Fallback>
    </mc:AlternateContent>
    <mc:AlternateContent xmlns:mc="http://schemas.openxmlformats.org/markup-compatibility/2006">
      <mc:Choice Requires="x14">
        <oleObject progId="Equation.3" shapeId="1213442" r:id="rId5">
          <objectPr defaultSize="0" altText="" r:id="rId6">
            <anchor moveWithCells="1" sizeWithCells="1">
              <from>
                <xdr:col>1</xdr:col>
                <xdr:colOff>123825</xdr:colOff>
                <xdr:row>44</xdr:row>
                <xdr:rowOff>9525</xdr:rowOff>
              </from>
              <to>
                <xdr:col>2</xdr:col>
                <xdr:colOff>95250</xdr:colOff>
                <xdr:row>44</xdr:row>
                <xdr:rowOff>190500</xdr:rowOff>
              </to>
            </anchor>
          </objectPr>
        </oleObject>
      </mc:Choice>
      <mc:Fallback>
        <oleObject progId="Equation.3" shapeId="1213442" r:id="rId5"/>
      </mc:Fallback>
    </mc:AlternateContent>
    <mc:AlternateContent xmlns:mc="http://schemas.openxmlformats.org/markup-compatibility/2006">
      <mc:Choice Requires="x14">
        <oleObject progId="Equation.3" shapeId="1213443" r:id="rId7">
          <objectPr defaultSize="0" altText="" r:id="rId8">
            <anchor moveWithCells="1" sizeWithCells="1">
              <from>
                <xdr:col>1</xdr:col>
                <xdr:colOff>123825</xdr:colOff>
                <xdr:row>45</xdr:row>
                <xdr:rowOff>0</xdr:rowOff>
              </from>
              <to>
                <xdr:col>2</xdr:col>
                <xdr:colOff>95250</xdr:colOff>
                <xdr:row>45</xdr:row>
                <xdr:rowOff>152400</xdr:rowOff>
              </to>
            </anchor>
          </objectPr>
        </oleObject>
      </mc:Choice>
      <mc:Fallback>
        <oleObject progId="Equation.3" shapeId="1213443" r:id="rId7"/>
      </mc:Fallback>
    </mc:AlternateContent>
    <mc:AlternateContent xmlns:mc="http://schemas.openxmlformats.org/markup-compatibility/2006">
      <mc:Choice Requires="x14">
        <oleObject progId="Equation.3" shapeId="1213444" r:id="rId9">
          <objectPr defaultSize="0" altText="" r:id="rId8">
            <anchor moveWithCells="1" sizeWithCells="1">
              <from>
                <xdr:col>1</xdr:col>
                <xdr:colOff>114300</xdr:colOff>
                <xdr:row>46</xdr:row>
                <xdr:rowOff>0</xdr:rowOff>
              </from>
              <to>
                <xdr:col>2</xdr:col>
                <xdr:colOff>76200</xdr:colOff>
                <xdr:row>46</xdr:row>
                <xdr:rowOff>152400</xdr:rowOff>
              </to>
            </anchor>
          </objectPr>
        </oleObject>
      </mc:Choice>
      <mc:Fallback>
        <oleObject progId="Equation.3" shapeId="1213444" r:id="rId9"/>
      </mc:Fallback>
    </mc:AlternateContent>
    <mc:AlternateContent xmlns:mc="http://schemas.openxmlformats.org/markup-compatibility/2006">
      <mc:Choice Requires="x14">
        <oleObject progId="Equation.3" shapeId="1213445" r:id="rId10">
          <objectPr defaultSize="0" altText="" r:id="rId11">
            <anchor moveWithCells="1" sizeWithCells="1">
              <from>
                <xdr:col>1</xdr:col>
                <xdr:colOff>95250</xdr:colOff>
                <xdr:row>47</xdr:row>
                <xdr:rowOff>0</xdr:rowOff>
              </from>
              <to>
                <xdr:col>2</xdr:col>
                <xdr:colOff>76200</xdr:colOff>
                <xdr:row>47</xdr:row>
                <xdr:rowOff>161925</xdr:rowOff>
              </to>
            </anchor>
          </objectPr>
        </oleObject>
      </mc:Choice>
      <mc:Fallback>
        <oleObject progId="Equation.3" shapeId="1213445" r:id="rId10"/>
      </mc:Fallback>
    </mc:AlternateContent>
    <mc:AlternateContent xmlns:mc="http://schemas.openxmlformats.org/markup-compatibility/2006">
      <mc:Choice Requires="x14">
        <oleObject progId="Equation.3" shapeId="1213446" r:id="rId12">
          <objectPr defaultSize="0" altText="" r:id="rId13">
            <anchor moveWithCells="1" sizeWithCells="1">
              <from>
                <xdr:col>2</xdr:col>
                <xdr:colOff>171450</xdr:colOff>
                <xdr:row>30</xdr:row>
                <xdr:rowOff>9525</xdr:rowOff>
              </from>
              <to>
                <xdr:col>3</xdr:col>
                <xdr:colOff>161925</xdr:colOff>
                <xdr:row>31</xdr:row>
                <xdr:rowOff>0</xdr:rowOff>
              </to>
            </anchor>
          </objectPr>
        </oleObject>
      </mc:Choice>
      <mc:Fallback>
        <oleObject progId="Equation.3" shapeId="1213446" r:id="rId12"/>
      </mc:Fallback>
    </mc:AlternateContent>
    <mc:AlternateContent xmlns:mc="http://schemas.openxmlformats.org/markup-compatibility/2006">
      <mc:Choice Requires="x14">
        <oleObject progId="Equation.3" shapeId="1213447" r:id="rId14">
          <objectPr defaultSize="0" altText="" r:id="rId15">
            <anchor moveWithCells="1" sizeWithCells="1">
              <from>
                <xdr:col>2</xdr:col>
                <xdr:colOff>180975</xdr:colOff>
                <xdr:row>31</xdr:row>
                <xdr:rowOff>28575</xdr:rowOff>
              </from>
              <to>
                <xdr:col>3</xdr:col>
                <xdr:colOff>171450</xdr:colOff>
                <xdr:row>32</xdr:row>
                <xdr:rowOff>0</xdr:rowOff>
              </to>
            </anchor>
          </objectPr>
        </oleObject>
      </mc:Choice>
      <mc:Fallback>
        <oleObject progId="Equation.3" shapeId="1213447" r:id="rId14"/>
      </mc:Fallback>
    </mc:AlternateContent>
    <mc:AlternateContent xmlns:mc="http://schemas.openxmlformats.org/markup-compatibility/2006">
      <mc:Choice Requires="x14">
        <oleObject progId="Equation.3" shapeId="1213448" r:id="rId16">
          <objectPr defaultSize="0" altText="" r:id="rId17">
            <anchor moveWithCells="1" sizeWithCells="1">
              <from>
                <xdr:col>2</xdr:col>
                <xdr:colOff>152400</xdr:colOff>
                <xdr:row>32</xdr:row>
                <xdr:rowOff>0</xdr:rowOff>
              </from>
              <to>
                <xdr:col>3</xdr:col>
                <xdr:colOff>152400</xdr:colOff>
                <xdr:row>32</xdr:row>
                <xdr:rowOff>161925</xdr:rowOff>
              </to>
            </anchor>
          </objectPr>
        </oleObject>
      </mc:Choice>
      <mc:Fallback>
        <oleObject progId="Equation.3" shapeId="1213448" r:id="rId16"/>
      </mc:Fallback>
    </mc:AlternateContent>
    <mc:AlternateContent xmlns:mc="http://schemas.openxmlformats.org/markup-compatibility/2006">
      <mc:Choice Requires="x14">
        <oleObject progId="Equation.3" shapeId="1213449" r:id="rId18">
          <objectPr defaultSize="0" altText="" r:id="rId19">
            <anchor moveWithCells="1" sizeWithCells="1">
              <from>
                <xdr:col>2</xdr:col>
                <xdr:colOff>161925</xdr:colOff>
                <xdr:row>33</xdr:row>
                <xdr:rowOff>0</xdr:rowOff>
              </from>
              <to>
                <xdr:col>3</xdr:col>
                <xdr:colOff>161925</xdr:colOff>
                <xdr:row>33</xdr:row>
                <xdr:rowOff>161925</xdr:rowOff>
              </to>
            </anchor>
          </objectPr>
        </oleObject>
      </mc:Choice>
      <mc:Fallback>
        <oleObject progId="Equation.3" shapeId="1213449" r:id="rId18"/>
      </mc:Fallback>
    </mc:AlternateContent>
    <mc:AlternateContent xmlns:mc="http://schemas.openxmlformats.org/markup-compatibility/2006">
      <mc:Choice Requires="x14">
        <oleObject progId="Equation.3" shapeId="1213450" r:id="rId20">
          <objectPr defaultSize="0" altText="" r:id="rId21">
            <anchor moveWithCells="1" sizeWithCells="1">
              <from>
                <xdr:col>2</xdr:col>
                <xdr:colOff>161925</xdr:colOff>
                <xdr:row>34</xdr:row>
                <xdr:rowOff>9525</xdr:rowOff>
              </from>
              <to>
                <xdr:col>3</xdr:col>
                <xdr:colOff>180975</xdr:colOff>
                <xdr:row>35</xdr:row>
                <xdr:rowOff>0</xdr:rowOff>
              </to>
            </anchor>
          </objectPr>
        </oleObject>
      </mc:Choice>
      <mc:Fallback>
        <oleObject progId="Equation.3" shapeId="1213450" r:id="rId20"/>
      </mc:Fallback>
    </mc:AlternateContent>
    <mc:AlternateContent xmlns:mc="http://schemas.openxmlformats.org/markup-compatibility/2006">
      <mc:Choice Requires="x14">
        <oleObject progId="Equation.3" shapeId="1213451" r:id="rId22">
          <objectPr defaultSize="0" altText="" r:id="rId23">
            <anchor moveWithCells="1" sizeWithCells="1">
              <from>
                <xdr:col>2</xdr:col>
                <xdr:colOff>152400</xdr:colOff>
                <xdr:row>35</xdr:row>
                <xdr:rowOff>28575</xdr:rowOff>
              </from>
              <to>
                <xdr:col>3</xdr:col>
                <xdr:colOff>180975</xdr:colOff>
                <xdr:row>36</xdr:row>
                <xdr:rowOff>0</xdr:rowOff>
              </to>
            </anchor>
          </objectPr>
        </oleObject>
      </mc:Choice>
      <mc:Fallback>
        <oleObject progId="Equation.3" shapeId="1213451" r:id="rId22"/>
      </mc:Fallback>
    </mc:AlternateContent>
    <mc:AlternateContent xmlns:mc="http://schemas.openxmlformats.org/markup-compatibility/2006">
      <mc:Choice Requires="x14">
        <oleObject progId="Equation.3" shapeId="1213452" r:id="rId24">
          <objectPr defaultSize="0" altText="" r:id="rId25">
            <anchor moveWithCells="1" sizeWithCells="1">
              <from>
                <xdr:col>2</xdr:col>
                <xdr:colOff>152400</xdr:colOff>
                <xdr:row>36</xdr:row>
                <xdr:rowOff>0</xdr:rowOff>
              </from>
              <to>
                <xdr:col>3</xdr:col>
                <xdr:colOff>228600</xdr:colOff>
                <xdr:row>37</xdr:row>
                <xdr:rowOff>0</xdr:rowOff>
              </to>
            </anchor>
          </objectPr>
        </oleObject>
      </mc:Choice>
      <mc:Fallback>
        <oleObject progId="Equation.3" shapeId="1213452" r:id="rId24"/>
      </mc:Fallback>
    </mc:AlternateContent>
    <mc:AlternateContent xmlns:mc="http://schemas.openxmlformats.org/markup-compatibility/2006">
      <mc:Choice Requires="x14">
        <oleObject progId="Equation.3" shapeId="1213453" r:id="rId26">
          <objectPr defaultSize="0" altText="" r:id="rId27">
            <anchor moveWithCells="1" sizeWithCells="1">
              <from>
                <xdr:col>2</xdr:col>
                <xdr:colOff>161925</xdr:colOff>
                <xdr:row>37</xdr:row>
                <xdr:rowOff>9525</xdr:rowOff>
              </from>
              <to>
                <xdr:col>3</xdr:col>
                <xdr:colOff>152400</xdr:colOff>
                <xdr:row>38</xdr:row>
                <xdr:rowOff>0</xdr:rowOff>
              </to>
            </anchor>
          </objectPr>
        </oleObject>
      </mc:Choice>
      <mc:Fallback>
        <oleObject progId="Equation.3" shapeId="1213453" r:id="rId26"/>
      </mc:Fallback>
    </mc:AlternateContent>
    <mc:AlternateContent xmlns:mc="http://schemas.openxmlformats.org/markup-compatibility/2006">
      <mc:Choice Requires="x14">
        <oleObject progId="Equation.3" shapeId="1213454" r:id="rId28">
          <objectPr defaultSize="0" altText="" r:id="rId29">
            <anchor moveWithCells="1" sizeWithCells="1">
              <from>
                <xdr:col>2</xdr:col>
                <xdr:colOff>142875</xdr:colOff>
                <xdr:row>37</xdr:row>
                <xdr:rowOff>190500</xdr:rowOff>
              </from>
              <to>
                <xdr:col>3</xdr:col>
                <xdr:colOff>171450</xdr:colOff>
                <xdr:row>39</xdr:row>
                <xdr:rowOff>0</xdr:rowOff>
              </to>
            </anchor>
          </objectPr>
        </oleObject>
      </mc:Choice>
      <mc:Fallback>
        <oleObject progId="Equation.3" shapeId="1213454" r:id="rId28"/>
      </mc:Fallback>
    </mc:AlternateContent>
    <mc:AlternateContent xmlns:mc="http://schemas.openxmlformats.org/markup-compatibility/2006">
      <mc:Choice Requires="x14">
        <oleObject progId="Paint.Picture" shapeId="1213455" r:id="rId30">
          <objectPr defaultSize="0" altText="" r:id="rId31">
            <anchor moveWithCells="1">
              <from>
                <xdr:col>2</xdr:col>
                <xdr:colOff>38100</xdr:colOff>
                <xdr:row>5</xdr:row>
                <xdr:rowOff>76200</xdr:rowOff>
              </from>
              <to>
                <xdr:col>7</xdr:col>
                <xdr:colOff>238125</xdr:colOff>
                <xdr:row>13</xdr:row>
                <xdr:rowOff>0</xdr:rowOff>
              </to>
            </anchor>
          </objectPr>
        </oleObject>
      </mc:Choice>
      <mc:Fallback>
        <oleObject progId="Paint.Picture" shapeId="1213455" r:id="rId30"/>
      </mc:Fallback>
    </mc:AlternateContent>
    <mc:AlternateContent xmlns:mc="http://schemas.openxmlformats.org/markup-compatibility/2006">
      <mc:Choice Requires="x14">
        <oleObject progId="Paint.Picture" shapeId="1213456" r:id="rId32">
          <objectPr defaultSize="0" altText="" r:id="rId33">
            <anchor moveWithCells="1">
              <from>
                <xdr:col>10</xdr:col>
                <xdr:colOff>76200</xdr:colOff>
                <xdr:row>4</xdr:row>
                <xdr:rowOff>190500</xdr:rowOff>
              </from>
              <to>
                <xdr:col>15</xdr:col>
                <xdr:colOff>133350</xdr:colOff>
                <xdr:row>12</xdr:row>
                <xdr:rowOff>85725</xdr:rowOff>
              </to>
            </anchor>
          </objectPr>
        </oleObject>
      </mc:Choice>
      <mc:Fallback>
        <oleObject progId="Paint.Picture" shapeId="1213456" r:id="rId32"/>
      </mc:Fallback>
    </mc:AlternateContent>
    <mc:AlternateContent xmlns:mc="http://schemas.openxmlformats.org/markup-compatibility/2006">
      <mc:Choice Requires="x14">
        <oleObject progId="Paint.Picture" shapeId="1213457" r:id="rId34">
          <objectPr defaultSize="0" altText="" r:id="rId35">
            <anchor moveWithCells="1">
              <from>
                <xdr:col>17</xdr:col>
                <xdr:colOff>142875</xdr:colOff>
                <xdr:row>5</xdr:row>
                <xdr:rowOff>76200</xdr:rowOff>
              </from>
              <to>
                <xdr:col>24</xdr:col>
                <xdr:colOff>76200</xdr:colOff>
                <xdr:row>12</xdr:row>
                <xdr:rowOff>133350</xdr:rowOff>
              </to>
            </anchor>
          </objectPr>
        </oleObject>
      </mc:Choice>
      <mc:Fallback>
        <oleObject progId="Paint.Picture" shapeId="1213457" r:id="rId34"/>
      </mc:Fallback>
    </mc:AlternateContent>
    <mc:AlternateContent xmlns:mc="http://schemas.openxmlformats.org/markup-compatibility/2006">
      <mc:Choice Requires="x14">
        <oleObject progId="Paint.Picture" shapeId="1213458" r:id="rId36">
          <objectPr defaultSize="0" altText="" r:id="rId37">
            <anchor moveWithCells="1">
              <from>
                <xdr:col>0</xdr:col>
                <xdr:colOff>133350</xdr:colOff>
                <xdr:row>13</xdr:row>
                <xdr:rowOff>0</xdr:rowOff>
              </from>
              <to>
                <xdr:col>8</xdr:col>
                <xdr:colOff>190500</xdr:colOff>
                <xdr:row>25</xdr:row>
                <xdr:rowOff>123825</xdr:rowOff>
              </to>
            </anchor>
          </objectPr>
        </oleObject>
      </mc:Choice>
      <mc:Fallback>
        <oleObject progId="Paint.Picture" shapeId="1213458" r:id="rId36"/>
      </mc:Fallback>
    </mc:AlternateContent>
    <mc:AlternateContent xmlns:mc="http://schemas.openxmlformats.org/markup-compatibility/2006">
      <mc:Choice Requires="x14">
        <oleObject progId="Paint.Picture" shapeId="1213459" r:id="rId38">
          <objectPr defaultSize="0" altText="" r:id="rId39">
            <anchor moveWithCells="1">
              <from>
                <xdr:col>9</xdr:col>
                <xdr:colOff>19050</xdr:colOff>
                <xdr:row>15</xdr:row>
                <xdr:rowOff>57150</xdr:rowOff>
              </from>
              <to>
                <xdr:col>16</xdr:col>
                <xdr:colOff>200025</xdr:colOff>
                <xdr:row>24</xdr:row>
                <xdr:rowOff>161925</xdr:rowOff>
              </to>
            </anchor>
          </objectPr>
        </oleObject>
      </mc:Choice>
      <mc:Fallback>
        <oleObject progId="Paint.Picture" shapeId="1213459" r:id="rId38"/>
      </mc:Fallback>
    </mc:AlternateContent>
    <mc:AlternateContent xmlns:mc="http://schemas.openxmlformats.org/markup-compatibility/2006">
      <mc:Choice Requires="x14">
        <oleObject progId="Paint.Picture" shapeId="1213460" r:id="rId40">
          <objectPr defaultSize="0" altText="" r:id="rId41">
            <anchor moveWithCells="1">
              <from>
                <xdr:col>18</xdr:col>
                <xdr:colOff>19050</xdr:colOff>
                <xdr:row>15</xdr:row>
                <xdr:rowOff>142875</xdr:rowOff>
              </from>
              <to>
                <xdr:col>23</xdr:col>
                <xdr:colOff>95250</xdr:colOff>
                <xdr:row>24</xdr:row>
                <xdr:rowOff>28575</xdr:rowOff>
              </to>
            </anchor>
          </objectPr>
        </oleObject>
      </mc:Choice>
      <mc:Fallback>
        <oleObject progId="Paint.Picture" shapeId="1213460" r:id="rId40"/>
      </mc:Fallback>
    </mc:AlternateContent>
  </oleObjects>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14"/>
  <dimension ref="A2:AE153"/>
  <sheetViews>
    <sheetView workbookViewId="0"/>
  </sheetViews>
  <sheetFormatPr defaultColWidth="8" defaultRowHeight="16.5"/>
  <cols>
    <col min="1" max="26" width="3.25" style="1472" customWidth="1"/>
    <col min="27" max="28" width="8" style="1472"/>
    <col min="29" max="29" width="8.25" style="1472" customWidth="1"/>
    <col min="30" max="16384" width="8" style="1472"/>
  </cols>
  <sheetData>
    <row r="2" spans="1:26" ht="20.25">
      <c r="A2" s="5345" t="s">
        <v>11868</v>
      </c>
      <c r="B2" s="5346"/>
      <c r="C2" s="5346"/>
      <c r="D2" s="5346"/>
      <c r="E2" s="5346"/>
      <c r="F2" s="5346"/>
      <c r="G2" s="5346"/>
      <c r="H2" s="5432" t="s">
        <v>11797</v>
      </c>
      <c r="I2" s="5432"/>
      <c r="J2" s="5432"/>
      <c r="K2" s="5432"/>
      <c r="L2" s="5432"/>
      <c r="M2" s="5432"/>
      <c r="N2" s="5432"/>
      <c r="O2" s="5432"/>
      <c r="P2" s="5432"/>
      <c r="Q2" s="5432"/>
      <c r="R2" s="5432"/>
      <c r="S2" s="5432"/>
      <c r="T2" s="5432"/>
      <c r="U2" s="5433" t="s">
        <v>11798</v>
      </c>
      <c r="V2" s="5433"/>
      <c r="W2" s="5433"/>
      <c r="X2" s="5433"/>
      <c r="Y2" s="5433"/>
      <c r="Z2" s="5434"/>
    </row>
    <row r="3" spans="1:26">
      <c r="A3" s="5347"/>
      <c r="B3" s="5348"/>
      <c r="C3" s="5348"/>
      <c r="D3" s="5348"/>
      <c r="E3" s="5348"/>
      <c r="F3" s="5348"/>
      <c r="G3" s="5348"/>
      <c r="H3" s="5348" t="s">
        <v>11888</v>
      </c>
      <c r="I3" s="5348"/>
      <c r="J3" s="5348"/>
      <c r="K3" s="5348"/>
      <c r="L3" s="5348"/>
      <c r="M3" s="5348"/>
      <c r="N3" s="5348"/>
      <c r="O3" s="5348"/>
      <c r="P3" s="5348"/>
      <c r="Q3" s="5348"/>
      <c r="R3" s="5348"/>
      <c r="S3" s="5348"/>
      <c r="T3" s="5348"/>
      <c r="U3" s="5435" t="s">
        <v>11889</v>
      </c>
      <c r="V3" s="5435"/>
      <c r="W3" s="5435"/>
      <c r="X3" s="5435" t="s">
        <v>11800</v>
      </c>
      <c r="Y3" s="5435"/>
      <c r="Z3" s="5436"/>
    </row>
    <row r="4" spans="1:26">
      <c r="A4" s="1781"/>
      <c r="B4" s="1782"/>
      <c r="C4" s="1782"/>
      <c r="D4" s="1782"/>
      <c r="E4" s="1782"/>
      <c r="F4" s="1782"/>
      <c r="G4" s="1782"/>
      <c r="H4" s="1782"/>
      <c r="I4" s="1782"/>
      <c r="J4" s="1782"/>
      <c r="K4" s="1782"/>
      <c r="L4" s="1782"/>
      <c r="M4" s="1782"/>
      <c r="N4" s="1782"/>
      <c r="O4" s="1782"/>
      <c r="P4" s="1782"/>
      <c r="Q4" s="1782"/>
      <c r="R4" s="1782"/>
      <c r="S4" s="1782"/>
      <c r="T4" s="1782"/>
      <c r="U4" s="1782"/>
      <c r="V4" s="1782"/>
      <c r="W4" s="1782"/>
      <c r="X4" s="1782"/>
      <c r="Y4" s="1782"/>
      <c r="Z4" s="1806"/>
    </row>
    <row r="5" spans="1:26">
      <c r="A5" s="5437" t="s">
        <v>11890</v>
      </c>
      <c r="B5" s="5438"/>
      <c r="C5" s="5438"/>
      <c r="D5" s="5438"/>
      <c r="E5" s="5438"/>
      <c r="F5" s="5438"/>
      <c r="G5" s="5438"/>
      <c r="H5" s="5438"/>
      <c r="I5" s="5438"/>
      <c r="J5" s="5438"/>
      <c r="K5" s="5438"/>
      <c r="L5" s="5438"/>
      <c r="M5" s="5438"/>
      <c r="N5" s="5438"/>
      <c r="O5" s="1800"/>
      <c r="P5" s="1800"/>
      <c r="Q5" s="1800"/>
      <c r="R5" s="1800"/>
      <c r="S5" s="1800"/>
      <c r="T5" s="1800"/>
      <c r="U5" s="1800"/>
      <c r="V5" s="1800"/>
      <c r="W5" s="1800"/>
      <c r="X5" s="1800"/>
      <c r="Y5" s="1800"/>
      <c r="Z5" s="1807"/>
    </row>
    <row r="6" spans="1:26">
      <c r="A6" s="5621" t="s">
        <v>11891</v>
      </c>
      <c r="B6" s="5577"/>
      <c r="C6" s="5577"/>
      <c r="D6" s="5577"/>
      <c r="E6" s="5577"/>
      <c r="F6" s="5577"/>
      <c r="G6" s="5577"/>
      <c r="H6" s="5577"/>
      <c r="I6" s="5577"/>
      <c r="J6" s="5577"/>
      <c r="K6" s="5577"/>
      <c r="L6" s="5577"/>
      <c r="M6" s="5577"/>
      <c r="N6" s="5577"/>
      <c r="O6" s="5577"/>
      <c r="P6" s="5577"/>
      <c r="Q6" s="5577"/>
      <c r="R6" s="5577"/>
      <c r="S6" s="5577"/>
      <c r="T6" s="5577"/>
      <c r="U6" s="5577"/>
      <c r="V6" s="5577"/>
      <c r="W6" s="5577"/>
      <c r="X6" s="5577"/>
      <c r="Y6" s="5577"/>
      <c r="Z6" s="5578"/>
    </row>
    <row r="7" spans="1:26">
      <c r="A7" s="5520"/>
      <c r="B7" s="5521"/>
      <c r="C7" s="5521"/>
      <c r="D7" s="5521"/>
      <c r="E7" s="5521"/>
      <c r="F7" s="5521"/>
      <c r="G7" s="5521"/>
      <c r="H7" s="5521"/>
      <c r="I7" s="5521"/>
      <c r="J7" s="5521"/>
      <c r="K7" s="5521"/>
      <c r="L7" s="5521"/>
      <c r="M7" s="5521"/>
      <c r="N7" s="5521"/>
      <c r="O7" s="5521"/>
      <c r="P7" s="5521"/>
      <c r="Q7" s="5521"/>
      <c r="R7" s="5521"/>
      <c r="S7" s="5521"/>
      <c r="T7" s="5521"/>
      <c r="U7" s="5521"/>
      <c r="V7" s="5521"/>
      <c r="W7" s="5521"/>
      <c r="X7" s="5521"/>
      <c r="Y7" s="5521"/>
      <c r="Z7" s="5557"/>
    </row>
    <row r="8" spans="1:26">
      <c r="A8" s="5520"/>
      <c r="B8" s="5521"/>
      <c r="C8" s="5521"/>
      <c r="D8" s="5521"/>
      <c r="E8" s="5521"/>
      <c r="F8" s="5521"/>
      <c r="G8" s="5521"/>
      <c r="H8" s="5521"/>
      <c r="I8" s="5521"/>
      <c r="J8" s="5521"/>
      <c r="K8" s="5521"/>
      <c r="L8" s="5521"/>
      <c r="M8" s="5521"/>
      <c r="N8" s="5521"/>
      <c r="O8" s="5521"/>
      <c r="P8" s="5521"/>
      <c r="Q8" s="5521"/>
      <c r="R8" s="5521"/>
      <c r="S8" s="5521"/>
      <c r="T8" s="5521"/>
      <c r="U8" s="5521"/>
      <c r="V8" s="5521"/>
      <c r="W8" s="5521"/>
      <c r="X8" s="5521"/>
      <c r="Y8" s="5521"/>
      <c r="Z8" s="5557"/>
    </row>
    <row r="9" spans="1:26">
      <c r="A9" s="5520"/>
      <c r="B9" s="5521"/>
      <c r="C9" s="5521"/>
      <c r="D9" s="5521"/>
      <c r="E9" s="5521"/>
      <c r="F9" s="5521"/>
      <c r="G9" s="5521"/>
      <c r="H9" s="5521"/>
      <c r="I9" s="5521"/>
      <c r="J9" s="5521"/>
      <c r="K9" s="5521"/>
      <c r="L9" s="5521"/>
      <c r="M9" s="5521"/>
      <c r="N9" s="5521"/>
      <c r="O9" s="5521"/>
      <c r="P9" s="5521"/>
      <c r="Q9" s="5521"/>
      <c r="R9" s="5521"/>
      <c r="S9" s="5521"/>
      <c r="T9" s="5521"/>
      <c r="U9" s="5521"/>
      <c r="V9" s="5521"/>
      <c r="W9" s="5521"/>
      <c r="X9" s="5521"/>
      <c r="Y9" s="5521"/>
      <c r="Z9" s="5557"/>
    </row>
    <row r="10" spans="1:26">
      <c r="A10" s="5520"/>
      <c r="B10" s="5521"/>
      <c r="C10" s="5521"/>
      <c r="D10" s="5521"/>
      <c r="E10" s="5521"/>
      <c r="F10" s="5521"/>
      <c r="G10" s="5521"/>
      <c r="H10" s="5521"/>
      <c r="I10" s="5521"/>
      <c r="J10" s="5521"/>
      <c r="K10" s="5521"/>
      <c r="L10" s="5521"/>
      <c r="M10" s="5521"/>
      <c r="N10" s="5521"/>
      <c r="O10" s="5521"/>
      <c r="P10" s="5521"/>
      <c r="Q10" s="5521"/>
      <c r="R10" s="5521"/>
      <c r="S10" s="5521"/>
      <c r="T10" s="5521"/>
      <c r="U10" s="5521"/>
      <c r="V10" s="5521"/>
      <c r="W10" s="5521"/>
      <c r="X10" s="5521"/>
      <c r="Y10" s="5521"/>
      <c r="Z10" s="5557"/>
    </row>
    <row r="11" spans="1:26">
      <c r="A11" s="5520"/>
      <c r="B11" s="5521"/>
      <c r="C11" s="5521"/>
      <c r="D11" s="5521"/>
      <c r="E11" s="5521"/>
      <c r="F11" s="5521"/>
      <c r="G11" s="5521"/>
      <c r="H11" s="5521"/>
      <c r="I11" s="5521"/>
      <c r="J11" s="5521"/>
      <c r="K11" s="5521"/>
      <c r="L11" s="5521"/>
      <c r="M11" s="5521"/>
      <c r="N11" s="5521"/>
      <c r="O11" s="5521"/>
      <c r="P11" s="5521"/>
      <c r="Q11" s="5521"/>
      <c r="R11" s="5521"/>
      <c r="S11" s="5521"/>
      <c r="T11" s="5521"/>
      <c r="U11" s="5521"/>
      <c r="V11" s="5521"/>
      <c r="W11" s="5521"/>
      <c r="X11" s="5521"/>
      <c r="Y11" s="5521"/>
      <c r="Z11" s="5557"/>
    </row>
    <row r="12" spans="1:26">
      <c r="A12" s="5520"/>
      <c r="B12" s="5521"/>
      <c r="C12" s="5521"/>
      <c r="D12" s="5521"/>
      <c r="E12" s="5521"/>
      <c r="F12" s="5521"/>
      <c r="G12" s="5521"/>
      <c r="H12" s="5521"/>
      <c r="I12" s="5521"/>
      <c r="J12" s="5521"/>
      <c r="K12" s="5521"/>
      <c r="L12" s="5521"/>
      <c r="M12" s="5521"/>
      <c r="N12" s="5521"/>
      <c r="O12" s="5521"/>
      <c r="P12" s="5521"/>
      <c r="Q12" s="5521"/>
      <c r="R12" s="5521"/>
      <c r="S12" s="5521"/>
      <c r="T12" s="5521"/>
      <c r="U12" s="5521"/>
      <c r="V12" s="5521"/>
      <c r="W12" s="5521"/>
      <c r="X12" s="5521"/>
      <c r="Y12" s="5521"/>
      <c r="Z12" s="5557"/>
    </row>
    <row r="13" spans="1:26">
      <c r="A13" s="5520"/>
      <c r="B13" s="5521"/>
      <c r="C13" s="5521"/>
      <c r="D13" s="5521"/>
      <c r="E13" s="5521"/>
      <c r="F13" s="5521"/>
      <c r="G13" s="5521"/>
      <c r="H13" s="5521"/>
      <c r="I13" s="5521"/>
      <c r="J13" s="5521"/>
      <c r="K13" s="5521"/>
      <c r="L13" s="5521"/>
      <c r="M13" s="5521"/>
      <c r="N13" s="5521"/>
      <c r="O13" s="5521"/>
      <c r="P13" s="5521"/>
      <c r="Q13" s="5521"/>
      <c r="R13" s="5521"/>
      <c r="S13" s="5521"/>
      <c r="T13" s="5521"/>
      <c r="U13" s="5521"/>
      <c r="V13" s="5521"/>
      <c r="W13" s="5521"/>
      <c r="X13" s="5521"/>
      <c r="Y13" s="5521"/>
      <c r="Z13" s="5557"/>
    </row>
    <row r="14" spans="1:26">
      <c r="A14" s="5520"/>
      <c r="B14" s="5521"/>
      <c r="C14" s="5521"/>
      <c r="D14" s="5521"/>
      <c r="E14" s="5521"/>
      <c r="F14" s="5521"/>
      <c r="G14" s="5521"/>
      <c r="H14" s="5521"/>
      <c r="I14" s="5521"/>
      <c r="J14" s="5521"/>
      <c r="K14" s="5521"/>
      <c r="L14" s="5521"/>
      <c r="M14" s="5521"/>
      <c r="N14" s="5521"/>
      <c r="O14" s="5521"/>
      <c r="P14" s="5521"/>
      <c r="Q14" s="5521"/>
      <c r="R14" s="5521"/>
      <c r="S14" s="5521"/>
      <c r="T14" s="5521"/>
      <c r="U14" s="5521"/>
      <c r="V14" s="5521"/>
      <c r="W14" s="5521"/>
      <c r="X14" s="5521"/>
      <c r="Y14" s="5521"/>
      <c r="Z14" s="5557"/>
    </row>
    <row r="15" spans="1:26">
      <c r="A15" s="5520"/>
      <c r="B15" s="5521"/>
      <c r="C15" s="5521"/>
      <c r="D15" s="5521"/>
      <c r="E15" s="5521"/>
      <c r="F15" s="5521"/>
      <c r="G15" s="5521"/>
      <c r="H15" s="5521"/>
      <c r="I15" s="5521"/>
      <c r="J15" s="5521"/>
      <c r="K15" s="5521"/>
      <c r="L15" s="5521"/>
      <c r="M15" s="5521"/>
      <c r="N15" s="5521"/>
      <c r="O15" s="5521"/>
      <c r="P15" s="5521"/>
      <c r="Q15" s="5521"/>
      <c r="R15" s="5521"/>
      <c r="S15" s="5521"/>
      <c r="T15" s="5521"/>
      <c r="U15" s="5521"/>
      <c r="V15" s="5521"/>
      <c r="W15" s="5521"/>
      <c r="X15" s="5521"/>
      <c r="Y15" s="5521"/>
      <c r="Z15" s="5557"/>
    </row>
    <row r="16" spans="1:26">
      <c r="A16" s="1783"/>
      <c r="B16" s="1168"/>
      <c r="C16" s="1168"/>
      <c r="D16" s="1168"/>
      <c r="E16" s="1168"/>
      <c r="F16" s="1168"/>
      <c r="G16" s="1168"/>
      <c r="H16" s="1168"/>
      <c r="I16" s="1168"/>
      <c r="J16" s="1168"/>
      <c r="K16" s="1168"/>
      <c r="L16" s="1168"/>
      <c r="M16" s="1168"/>
      <c r="N16" s="1168"/>
      <c r="O16" s="1168"/>
      <c r="P16" s="1168"/>
      <c r="Q16" s="1168"/>
      <c r="R16" s="1168"/>
      <c r="S16" s="1168"/>
      <c r="T16" s="1168"/>
      <c r="U16" s="1168"/>
      <c r="V16" s="1168"/>
      <c r="W16" s="1168"/>
      <c r="X16" s="1168"/>
      <c r="Y16" s="1168"/>
      <c r="Z16" s="1808"/>
    </row>
    <row r="17" spans="1:26">
      <c r="A17" s="1783"/>
      <c r="B17" s="1168"/>
      <c r="C17" s="1168"/>
      <c r="D17" s="1168"/>
      <c r="E17" s="1168"/>
      <c r="F17" s="1168"/>
      <c r="G17" s="1168"/>
      <c r="H17" s="1168"/>
      <c r="I17" s="1168"/>
      <c r="J17" s="1168"/>
      <c r="K17" s="1168"/>
      <c r="L17" s="1168"/>
      <c r="M17" s="1168"/>
      <c r="N17" s="1168"/>
      <c r="O17" s="1168"/>
      <c r="P17" s="1168"/>
      <c r="Q17" s="1168"/>
      <c r="R17" s="1168"/>
      <c r="S17" s="1168"/>
      <c r="T17" s="1168"/>
      <c r="U17" s="1168"/>
      <c r="V17" s="1168"/>
      <c r="W17" s="1168"/>
      <c r="X17" s="1168"/>
      <c r="Y17" s="1168"/>
      <c r="Z17" s="1808"/>
    </row>
    <row r="18" spans="1:26">
      <c r="A18" s="1783"/>
      <c r="B18" s="1168"/>
      <c r="C18" s="1168"/>
      <c r="D18" s="1168"/>
      <c r="E18" s="1168"/>
      <c r="F18" s="1168"/>
      <c r="G18" s="1168"/>
      <c r="H18" s="1168"/>
      <c r="I18" s="1168"/>
      <c r="J18" s="1168"/>
      <c r="K18" s="1168"/>
      <c r="L18" s="1168"/>
      <c r="M18" s="1168"/>
      <c r="N18" s="1168"/>
      <c r="O18" s="1168"/>
      <c r="P18" s="1168"/>
      <c r="Q18" s="1168"/>
      <c r="R18" s="1168"/>
      <c r="S18" s="1168"/>
      <c r="T18" s="1168"/>
      <c r="U18" s="1168"/>
      <c r="V18" s="1168"/>
      <c r="W18" s="1168"/>
      <c r="X18" s="1168"/>
      <c r="Y18" s="1168"/>
      <c r="Z18" s="1808"/>
    </row>
    <row r="19" spans="1:26">
      <c r="A19" s="1783"/>
      <c r="B19" s="1168"/>
      <c r="C19" s="1168"/>
      <c r="D19" s="1168"/>
      <c r="E19" s="1168"/>
      <c r="F19" s="1168"/>
      <c r="G19" s="1168"/>
      <c r="H19" s="1168"/>
      <c r="I19" s="1168"/>
      <c r="J19" s="1168"/>
      <c r="K19" s="1168"/>
      <c r="L19" s="1168"/>
      <c r="M19" s="1168"/>
      <c r="N19" s="1168"/>
      <c r="O19" s="1168"/>
      <c r="P19" s="1168"/>
      <c r="Q19" s="1168"/>
      <c r="R19" s="1168"/>
      <c r="S19" s="1168"/>
      <c r="T19" s="1168"/>
      <c r="U19" s="1168"/>
      <c r="V19" s="1168"/>
      <c r="W19" s="1168"/>
      <c r="X19" s="1168"/>
      <c r="Y19" s="1168"/>
      <c r="Z19" s="1808"/>
    </row>
    <row r="20" spans="1:26">
      <c r="A20" s="1783"/>
      <c r="B20" s="1168"/>
      <c r="C20" s="1168"/>
      <c r="D20" s="1168"/>
      <c r="E20" s="1168"/>
      <c r="F20" s="1168"/>
      <c r="G20" s="1168"/>
      <c r="H20" s="1168"/>
      <c r="I20" s="1168"/>
      <c r="J20" s="1168"/>
      <c r="K20" s="1168"/>
      <c r="L20" s="1168"/>
      <c r="M20" s="1168"/>
      <c r="N20" s="1168"/>
      <c r="O20" s="1168"/>
      <c r="P20" s="1168"/>
      <c r="Q20" s="1168"/>
      <c r="R20" s="1168"/>
      <c r="S20" s="1168"/>
      <c r="T20" s="1168"/>
      <c r="U20" s="1168"/>
      <c r="V20" s="1168"/>
      <c r="W20" s="1168"/>
      <c r="X20" s="1168"/>
      <c r="Y20" s="1168"/>
      <c r="Z20" s="1808"/>
    </row>
    <row r="21" spans="1:26">
      <c r="A21" s="1784"/>
      <c r="B21" s="1785"/>
      <c r="C21" s="1786"/>
      <c r="D21" s="1786"/>
      <c r="E21" s="1786"/>
      <c r="F21" s="1786"/>
      <c r="G21" s="5529" t="s">
        <v>11892</v>
      </c>
      <c r="H21" s="5441"/>
      <c r="I21" s="5441"/>
      <c r="J21" s="5441"/>
      <c r="K21" s="5441"/>
      <c r="L21" s="5441"/>
      <c r="M21" s="5441"/>
      <c r="N21" s="5441"/>
      <c r="O21" s="5441"/>
      <c r="P21" s="5441"/>
      <c r="Q21" s="5441"/>
      <c r="R21" s="5441"/>
      <c r="S21" s="1786"/>
      <c r="T21" s="1786"/>
      <c r="U21" s="1786"/>
      <c r="V21" s="1786"/>
      <c r="W21" s="1786"/>
      <c r="X21" s="1786"/>
      <c r="Y21" s="1786"/>
      <c r="Z21" s="1809"/>
    </row>
    <row r="22" spans="1:26">
      <c r="A22" s="1784"/>
      <c r="B22" s="1785"/>
      <c r="C22" s="1786"/>
      <c r="D22" s="1786"/>
      <c r="E22" s="1786"/>
      <c r="F22" s="1786"/>
      <c r="G22" s="1786"/>
      <c r="H22" s="1789"/>
      <c r="I22" s="1794"/>
      <c r="J22" s="1794"/>
      <c r="K22" s="1794"/>
      <c r="L22" s="1794"/>
      <c r="M22" s="1794"/>
      <c r="N22" s="1794"/>
      <c r="O22" s="1794"/>
      <c r="P22" s="1794"/>
      <c r="Q22" s="1794"/>
      <c r="R22" s="1794"/>
      <c r="S22" s="1794"/>
      <c r="T22" s="1794"/>
      <c r="U22" s="1794"/>
      <c r="V22" s="1794"/>
      <c r="W22" s="5622"/>
      <c r="X22" s="5622"/>
      <c r="Y22" s="5622"/>
      <c r="Z22" s="5623"/>
    </row>
    <row r="23" spans="1:26">
      <c r="A23" s="5486" t="s">
        <v>11893</v>
      </c>
      <c r="B23" s="5484"/>
      <c r="C23" s="5484"/>
      <c r="D23" s="5484"/>
      <c r="E23" s="5484"/>
      <c r="F23" s="5484"/>
      <c r="G23" s="5484"/>
      <c r="H23" s="5484"/>
      <c r="I23" s="5484"/>
      <c r="J23" s="5484"/>
      <c r="K23" s="5484"/>
      <c r="L23" s="5484"/>
      <c r="M23" s="5484"/>
      <c r="N23" s="5484"/>
      <c r="O23" s="5484"/>
      <c r="P23" s="5484"/>
      <c r="Q23" s="5484"/>
      <c r="R23" s="5484"/>
      <c r="S23" s="5484"/>
      <c r="T23" s="5484"/>
      <c r="U23" s="5616" t="s">
        <v>11894</v>
      </c>
      <c r="V23" s="5616"/>
      <c r="W23" s="5616"/>
      <c r="X23" s="5616"/>
      <c r="Y23" s="5616"/>
      <c r="Z23" s="5500"/>
    </row>
    <row r="24" spans="1:26">
      <c r="A24" s="5617" t="s">
        <v>961</v>
      </c>
      <c r="B24" s="5618"/>
      <c r="C24" s="5421" t="s">
        <v>962</v>
      </c>
      <c r="D24" s="5421"/>
      <c r="E24" s="5421"/>
      <c r="F24" s="5421"/>
      <c r="G24" s="5421" t="s">
        <v>1957</v>
      </c>
      <c r="H24" s="5421"/>
      <c r="I24" s="5421"/>
      <c r="J24" s="5421"/>
      <c r="K24" s="5619" t="s">
        <v>487</v>
      </c>
      <c r="L24" s="5619"/>
      <c r="M24" s="5619"/>
      <c r="N24" s="5619"/>
      <c r="O24" s="5619" t="s">
        <v>2510</v>
      </c>
      <c r="P24" s="5619"/>
      <c r="Q24" s="5619" t="s">
        <v>475</v>
      </c>
      <c r="R24" s="5619"/>
      <c r="S24" s="5619" t="s">
        <v>252</v>
      </c>
      <c r="T24" s="5619"/>
      <c r="U24" s="5619" t="s">
        <v>411</v>
      </c>
      <c r="V24" s="5619"/>
      <c r="W24" s="5619" t="s">
        <v>471</v>
      </c>
      <c r="X24" s="5619"/>
      <c r="Y24" s="5619" t="s">
        <v>462</v>
      </c>
      <c r="Z24" s="5620"/>
    </row>
    <row r="25" spans="1:26">
      <c r="A25" s="5545" t="s">
        <v>11895</v>
      </c>
      <c r="B25" s="5546"/>
      <c r="C25" s="5380" t="s">
        <v>11896</v>
      </c>
      <c r="D25" s="5380"/>
      <c r="E25" s="5380" t="s">
        <v>11897</v>
      </c>
      <c r="F25" s="5380"/>
      <c r="G25" s="5380" t="s">
        <v>11896</v>
      </c>
      <c r="H25" s="5380"/>
      <c r="I25" s="5380" t="s">
        <v>11897</v>
      </c>
      <c r="J25" s="5380"/>
      <c r="K25" s="5380" t="s">
        <v>11896</v>
      </c>
      <c r="L25" s="5380"/>
      <c r="M25" s="5380" t="s">
        <v>11897</v>
      </c>
      <c r="N25" s="5380"/>
      <c r="O25" s="5380" t="s">
        <v>11897</v>
      </c>
      <c r="P25" s="5380"/>
      <c r="Q25" s="5380" t="s">
        <v>11897</v>
      </c>
      <c r="R25" s="5380"/>
      <c r="S25" s="5380" t="s">
        <v>11897</v>
      </c>
      <c r="T25" s="5380"/>
      <c r="U25" s="5380" t="s">
        <v>11898</v>
      </c>
      <c r="V25" s="5380"/>
      <c r="W25" s="5380" t="s">
        <v>11897</v>
      </c>
      <c r="X25" s="5380"/>
      <c r="Y25" s="5380" t="s">
        <v>11897</v>
      </c>
      <c r="Z25" s="5483"/>
    </row>
    <row r="26" spans="1:26">
      <c r="A26" s="5547"/>
      <c r="B26" s="5548"/>
      <c r="C26" s="5380"/>
      <c r="D26" s="5380"/>
      <c r="E26" s="5380"/>
      <c r="F26" s="5380"/>
      <c r="G26" s="5380"/>
      <c r="H26" s="5380"/>
      <c r="I26" s="5380"/>
      <c r="J26" s="5380"/>
      <c r="K26" s="5380"/>
      <c r="L26" s="5380"/>
      <c r="M26" s="5380"/>
      <c r="N26" s="5380"/>
      <c r="O26" s="5380"/>
      <c r="P26" s="5380"/>
      <c r="Q26" s="5380"/>
      <c r="R26" s="5380"/>
      <c r="S26" s="5380"/>
      <c r="T26" s="5380"/>
      <c r="U26" s="5380"/>
      <c r="V26" s="5380"/>
      <c r="W26" s="5380"/>
      <c r="X26" s="5380"/>
      <c r="Y26" s="5380"/>
      <c r="Z26" s="5483"/>
    </row>
    <row r="27" spans="1:26">
      <c r="A27" s="5503">
        <v>5</v>
      </c>
      <c r="B27" s="5482"/>
      <c r="C27" s="5396">
        <v>10</v>
      </c>
      <c r="D27" s="5396"/>
      <c r="E27" s="5396">
        <v>11</v>
      </c>
      <c r="F27" s="5396"/>
      <c r="G27" s="5396">
        <v>3.5</v>
      </c>
      <c r="H27" s="5396"/>
      <c r="I27" s="5396">
        <v>4.5</v>
      </c>
      <c r="J27" s="5396"/>
      <c r="K27" s="5396">
        <v>8</v>
      </c>
      <c r="L27" s="5396"/>
      <c r="M27" s="5396">
        <v>10</v>
      </c>
      <c r="N27" s="5396"/>
      <c r="O27" s="5411">
        <v>1</v>
      </c>
      <c r="P27" s="5411"/>
      <c r="Q27" s="5411">
        <v>0.6</v>
      </c>
      <c r="R27" s="5411"/>
      <c r="S27" s="5411">
        <v>1</v>
      </c>
      <c r="T27" s="5411"/>
      <c r="U27" s="5411" t="s">
        <v>518</v>
      </c>
      <c r="V27" s="5411"/>
      <c r="W27" s="5411">
        <v>9</v>
      </c>
      <c r="X27" s="5411"/>
      <c r="Y27" s="5411">
        <v>3</v>
      </c>
      <c r="Z27" s="5463"/>
    </row>
    <row r="28" spans="1:26">
      <c r="A28" s="5503">
        <v>6</v>
      </c>
      <c r="B28" s="5482"/>
      <c r="C28" s="5482">
        <v>11</v>
      </c>
      <c r="D28" s="5482"/>
      <c r="E28" s="5482">
        <v>12.5</v>
      </c>
      <c r="F28" s="5482"/>
      <c r="G28" s="5482">
        <v>5</v>
      </c>
      <c r="H28" s="5482"/>
      <c r="I28" s="5482">
        <v>6</v>
      </c>
      <c r="J28" s="5482"/>
      <c r="K28" s="5482">
        <v>11</v>
      </c>
      <c r="L28" s="5482"/>
      <c r="M28" s="5482">
        <v>13</v>
      </c>
      <c r="N28" s="5482"/>
      <c r="O28" s="5411"/>
      <c r="P28" s="5411"/>
      <c r="Q28" s="5411"/>
      <c r="R28" s="5411"/>
      <c r="S28" s="5411"/>
      <c r="T28" s="5411"/>
      <c r="U28" s="5411" t="s">
        <v>519</v>
      </c>
      <c r="V28" s="5411"/>
      <c r="W28" s="5411">
        <v>10</v>
      </c>
      <c r="X28" s="5411"/>
      <c r="Y28" s="5411">
        <v>4</v>
      </c>
      <c r="Z28" s="5463"/>
    </row>
    <row r="29" spans="1:26">
      <c r="A29" s="5503">
        <v>8</v>
      </c>
      <c r="B29" s="5482"/>
      <c r="C29" s="5482">
        <v>14.5</v>
      </c>
      <c r="D29" s="5482"/>
      <c r="E29" s="5482">
        <v>16</v>
      </c>
      <c r="F29" s="5482"/>
      <c r="G29" s="5482">
        <v>7</v>
      </c>
      <c r="H29" s="5482"/>
      <c r="I29" s="5482">
        <v>8</v>
      </c>
      <c r="J29" s="5482"/>
      <c r="K29" s="5482">
        <v>15</v>
      </c>
      <c r="L29" s="5482"/>
      <c r="M29" s="5482">
        <v>18</v>
      </c>
      <c r="N29" s="5482"/>
      <c r="O29" s="5411"/>
      <c r="P29" s="5411"/>
      <c r="Q29" s="5411"/>
      <c r="R29" s="5411"/>
      <c r="S29" s="5411"/>
      <c r="T29" s="5411"/>
      <c r="U29" s="5411" t="s">
        <v>520</v>
      </c>
      <c r="V29" s="5411"/>
      <c r="W29" s="5411">
        <v>13</v>
      </c>
      <c r="X29" s="5411"/>
      <c r="Y29" s="5411">
        <v>6</v>
      </c>
      <c r="Z29" s="5463"/>
    </row>
    <row r="30" spans="1:26">
      <c r="A30" s="5503">
        <v>10</v>
      </c>
      <c r="B30" s="5482"/>
      <c r="C30" s="5482">
        <v>16</v>
      </c>
      <c r="D30" s="5482"/>
      <c r="E30" s="5482">
        <v>18</v>
      </c>
      <c r="F30" s="5482"/>
      <c r="G30" s="5482">
        <v>7</v>
      </c>
      <c r="H30" s="5482"/>
      <c r="I30" s="5482">
        <v>8</v>
      </c>
      <c r="J30" s="5482"/>
      <c r="K30" s="5482">
        <v>17</v>
      </c>
      <c r="L30" s="5482"/>
      <c r="M30" s="5482">
        <v>21</v>
      </c>
      <c r="N30" s="5482"/>
      <c r="O30" s="5411"/>
      <c r="P30" s="5411"/>
      <c r="Q30" s="5411"/>
      <c r="R30" s="5411"/>
      <c r="S30" s="5411"/>
      <c r="T30" s="5411"/>
      <c r="U30" s="5411" t="s">
        <v>521</v>
      </c>
      <c r="V30" s="5411"/>
      <c r="W30" s="5411">
        <v>15</v>
      </c>
      <c r="X30" s="5411"/>
      <c r="Y30" s="5411">
        <v>6</v>
      </c>
      <c r="Z30" s="5463"/>
    </row>
    <row r="31" spans="1:26">
      <c r="A31" s="5503">
        <v>12</v>
      </c>
      <c r="B31" s="5482"/>
      <c r="C31" s="5482">
        <v>19</v>
      </c>
      <c r="D31" s="5482"/>
      <c r="E31" s="5482">
        <v>21</v>
      </c>
      <c r="F31" s="5482"/>
      <c r="G31" s="5482">
        <v>8</v>
      </c>
      <c r="H31" s="5482"/>
      <c r="I31" s="5482">
        <v>9</v>
      </c>
      <c r="J31" s="5482"/>
      <c r="K31" s="5482">
        <v>20</v>
      </c>
      <c r="L31" s="5482"/>
      <c r="M31" s="5482">
        <v>25</v>
      </c>
      <c r="N31" s="5482"/>
      <c r="O31" s="5411"/>
      <c r="P31" s="5411"/>
      <c r="Q31" s="5411"/>
      <c r="R31" s="5411"/>
      <c r="S31" s="5411"/>
      <c r="T31" s="5411"/>
      <c r="U31" s="5411" t="s">
        <v>522</v>
      </c>
      <c r="V31" s="5411"/>
      <c r="W31" s="5411">
        <v>18</v>
      </c>
      <c r="X31" s="5411"/>
      <c r="Y31" s="5411">
        <v>7</v>
      </c>
      <c r="Z31" s="5463"/>
    </row>
    <row r="32" spans="1:26">
      <c r="A32" s="5503">
        <v>14</v>
      </c>
      <c r="B32" s="5482"/>
      <c r="C32" s="5482">
        <v>23</v>
      </c>
      <c r="D32" s="5482"/>
      <c r="E32" s="5482">
        <v>25</v>
      </c>
      <c r="F32" s="5482"/>
      <c r="G32" s="5482">
        <v>9</v>
      </c>
      <c r="H32" s="5482"/>
      <c r="I32" s="5482">
        <v>11</v>
      </c>
      <c r="J32" s="5482"/>
      <c r="K32" s="5482">
        <v>23</v>
      </c>
      <c r="L32" s="5482"/>
      <c r="M32" s="5482">
        <v>28</v>
      </c>
      <c r="N32" s="5482"/>
      <c r="O32" s="5411">
        <v>1.6</v>
      </c>
      <c r="P32" s="5411"/>
      <c r="Q32" s="5411"/>
      <c r="R32" s="5411"/>
      <c r="S32" s="5411">
        <v>1.6</v>
      </c>
      <c r="T32" s="5411"/>
      <c r="U32" s="5411" t="s">
        <v>523</v>
      </c>
      <c r="V32" s="5411"/>
      <c r="W32" s="5411">
        <v>22</v>
      </c>
      <c r="X32" s="5411"/>
      <c r="Y32" s="5411">
        <v>8</v>
      </c>
      <c r="Z32" s="5463"/>
    </row>
    <row r="33" spans="1:26">
      <c r="A33" s="5503">
        <v>18</v>
      </c>
      <c r="B33" s="5482"/>
      <c r="C33" s="5482">
        <v>30</v>
      </c>
      <c r="D33" s="5482"/>
      <c r="E33" s="5482">
        <v>32</v>
      </c>
      <c r="F33" s="5482"/>
      <c r="G33" s="5482">
        <v>12</v>
      </c>
      <c r="H33" s="5482"/>
      <c r="I33" s="5482">
        <v>14</v>
      </c>
      <c r="J33" s="5482"/>
      <c r="K33" s="5482">
        <v>30</v>
      </c>
      <c r="L33" s="5482"/>
      <c r="M33" s="5482">
        <v>36</v>
      </c>
      <c r="N33" s="5482"/>
      <c r="O33" s="5411"/>
      <c r="P33" s="5411"/>
      <c r="Q33" s="5411">
        <v>1</v>
      </c>
      <c r="R33" s="5411"/>
      <c r="S33" s="5411"/>
      <c r="T33" s="5411"/>
      <c r="U33" s="5411" t="s">
        <v>525</v>
      </c>
      <c r="V33" s="5411"/>
      <c r="W33" s="5411">
        <v>28</v>
      </c>
      <c r="X33" s="5411"/>
      <c r="Y33" s="5411">
        <v>10</v>
      </c>
      <c r="Z33" s="5463"/>
    </row>
    <row r="34" spans="1:26">
      <c r="A34" s="5503">
        <v>22</v>
      </c>
      <c r="B34" s="5482"/>
      <c r="C34" s="5482">
        <v>37</v>
      </c>
      <c r="D34" s="5482"/>
      <c r="E34" s="5482">
        <v>40</v>
      </c>
      <c r="F34" s="5482"/>
      <c r="G34" s="5482">
        <v>16</v>
      </c>
      <c r="H34" s="5482"/>
      <c r="I34" s="5482">
        <v>18</v>
      </c>
      <c r="J34" s="5482"/>
      <c r="K34" s="5482">
        <v>38</v>
      </c>
      <c r="L34" s="5482"/>
      <c r="M34" s="5482">
        <v>45</v>
      </c>
      <c r="N34" s="5482"/>
      <c r="O34" s="5411"/>
      <c r="P34" s="5411"/>
      <c r="Q34" s="5411"/>
      <c r="R34" s="5411"/>
      <c r="S34" s="5411">
        <v>2.5</v>
      </c>
      <c r="T34" s="5411"/>
      <c r="U34" s="5411" t="s">
        <v>527</v>
      </c>
      <c r="V34" s="5411"/>
      <c r="W34" s="5411">
        <v>34</v>
      </c>
      <c r="X34" s="5411"/>
      <c r="Y34" s="5411">
        <v>14</v>
      </c>
      <c r="Z34" s="5463"/>
    </row>
    <row r="35" spans="1:26">
      <c r="A35" s="5503">
        <v>28</v>
      </c>
      <c r="B35" s="5482"/>
      <c r="C35" s="5482">
        <v>46</v>
      </c>
      <c r="D35" s="5482"/>
      <c r="E35" s="5482">
        <v>50</v>
      </c>
      <c r="F35" s="5482"/>
      <c r="G35" s="5482">
        <v>20</v>
      </c>
      <c r="H35" s="5482"/>
      <c r="I35" s="5482">
        <v>22</v>
      </c>
      <c r="J35" s="5482"/>
      <c r="K35" s="5482">
        <v>48</v>
      </c>
      <c r="L35" s="5482"/>
      <c r="M35" s="5482">
        <v>56</v>
      </c>
      <c r="N35" s="5482"/>
      <c r="O35" s="5411"/>
      <c r="P35" s="5411"/>
      <c r="Q35" s="5411"/>
      <c r="R35" s="5411"/>
      <c r="S35" s="5411"/>
      <c r="T35" s="5411"/>
      <c r="U35" s="5411" t="s">
        <v>529</v>
      </c>
      <c r="V35" s="5411"/>
      <c r="W35" s="5411">
        <v>43</v>
      </c>
      <c r="X35" s="5411"/>
      <c r="Y35" s="5411">
        <v>18</v>
      </c>
      <c r="Z35" s="5463"/>
    </row>
    <row r="36" spans="1:26">
      <c r="A36" s="5503">
        <v>36</v>
      </c>
      <c r="B36" s="5482"/>
      <c r="C36" s="5482">
        <v>56</v>
      </c>
      <c r="D36" s="5482"/>
      <c r="E36" s="5482">
        <v>60</v>
      </c>
      <c r="F36" s="5482"/>
      <c r="G36" s="5482">
        <v>25</v>
      </c>
      <c r="H36" s="5482"/>
      <c r="I36" s="5482">
        <v>28</v>
      </c>
      <c r="J36" s="5482"/>
      <c r="K36" s="5482">
        <v>61</v>
      </c>
      <c r="L36" s="5482"/>
      <c r="M36" s="5482">
        <v>71</v>
      </c>
      <c r="N36" s="5482"/>
      <c r="O36" s="5411">
        <v>2.5</v>
      </c>
      <c r="P36" s="5411"/>
      <c r="Q36" s="5411"/>
      <c r="R36" s="5411"/>
      <c r="S36" s="5411"/>
      <c r="T36" s="5411"/>
      <c r="U36" s="5411" t="s">
        <v>531</v>
      </c>
      <c r="V36" s="5411"/>
      <c r="W36" s="5411">
        <v>53</v>
      </c>
      <c r="X36" s="5411"/>
      <c r="Y36" s="5411">
        <v>23</v>
      </c>
      <c r="Z36" s="5463"/>
    </row>
    <row r="37" spans="1:26">
      <c r="A37" s="5503">
        <v>42</v>
      </c>
      <c r="B37" s="5482"/>
      <c r="C37" s="5482">
        <v>68</v>
      </c>
      <c r="D37" s="5482"/>
      <c r="E37" s="5482">
        <v>72</v>
      </c>
      <c r="F37" s="5482"/>
      <c r="G37" s="5482">
        <v>32</v>
      </c>
      <c r="H37" s="5482"/>
      <c r="I37" s="5482">
        <v>36</v>
      </c>
      <c r="J37" s="5482"/>
      <c r="K37" s="5482">
        <v>74</v>
      </c>
      <c r="L37" s="5482"/>
      <c r="M37" s="5482">
        <v>85</v>
      </c>
      <c r="N37" s="5482"/>
      <c r="O37" s="5411"/>
      <c r="P37" s="5411"/>
      <c r="Q37" s="5411">
        <v>1.6</v>
      </c>
      <c r="R37" s="5411"/>
      <c r="S37" s="5411">
        <v>4</v>
      </c>
      <c r="T37" s="5411"/>
      <c r="U37" s="5411" t="s">
        <v>533</v>
      </c>
      <c r="V37" s="5411"/>
      <c r="W37" s="5411">
        <v>64</v>
      </c>
      <c r="X37" s="5411"/>
      <c r="Y37" s="5411">
        <v>28</v>
      </c>
      <c r="Z37" s="5463"/>
    </row>
    <row r="38" spans="1:26">
      <c r="A38" s="5503">
        <v>48</v>
      </c>
      <c r="B38" s="5482"/>
      <c r="C38" s="5482">
        <v>80</v>
      </c>
      <c r="D38" s="5482"/>
      <c r="E38" s="5482">
        <v>85</v>
      </c>
      <c r="F38" s="5482"/>
      <c r="G38" s="5482">
        <v>36</v>
      </c>
      <c r="H38" s="5482"/>
      <c r="I38" s="5482">
        <v>40</v>
      </c>
      <c r="J38" s="5482"/>
      <c r="K38" s="5482">
        <v>84</v>
      </c>
      <c r="L38" s="5482"/>
      <c r="M38" s="5482">
        <v>95</v>
      </c>
      <c r="N38" s="5482"/>
      <c r="O38" s="5411"/>
      <c r="P38" s="5411"/>
      <c r="Q38" s="5411">
        <v>2</v>
      </c>
      <c r="R38" s="5411"/>
      <c r="S38" s="5411">
        <v>6</v>
      </c>
      <c r="T38" s="5411"/>
      <c r="U38" s="5411" t="s">
        <v>3901</v>
      </c>
      <c r="V38" s="5411"/>
      <c r="W38" s="5411">
        <v>75</v>
      </c>
      <c r="X38" s="5411"/>
      <c r="Y38" s="5411">
        <v>32</v>
      </c>
      <c r="Z38" s="5463"/>
    </row>
    <row r="39" spans="1:26">
      <c r="A39" s="5504">
        <v>54</v>
      </c>
      <c r="B39" s="5505"/>
      <c r="C39" s="5505">
        <v>90</v>
      </c>
      <c r="D39" s="5505"/>
      <c r="E39" s="5505">
        <v>95</v>
      </c>
      <c r="F39" s="5505"/>
      <c r="G39" s="5505">
        <v>40</v>
      </c>
      <c r="H39" s="5505"/>
      <c r="I39" s="5505">
        <v>44</v>
      </c>
      <c r="J39" s="5505"/>
      <c r="K39" s="5505">
        <v>94</v>
      </c>
      <c r="L39" s="5505"/>
      <c r="M39" s="5505">
        <v>106</v>
      </c>
      <c r="N39" s="5505"/>
      <c r="O39" s="5471"/>
      <c r="P39" s="5471"/>
      <c r="Q39" s="5471"/>
      <c r="R39" s="5471"/>
      <c r="S39" s="5471"/>
      <c r="T39" s="5471"/>
      <c r="U39" s="5471" t="s">
        <v>11876</v>
      </c>
      <c r="V39" s="5471"/>
      <c r="W39" s="5471">
        <v>85</v>
      </c>
      <c r="X39" s="5471"/>
      <c r="Y39" s="5471">
        <v>36</v>
      </c>
      <c r="Z39" s="5472"/>
    </row>
    <row r="40" spans="1:26">
      <c r="A40" s="1792"/>
      <c r="B40" s="1793"/>
      <c r="C40" s="1786"/>
      <c r="D40" s="1786"/>
      <c r="E40" s="1786"/>
      <c r="F40" s="1786"/>
      <c r="G40" s="1786"/>
      <c r="H40" s="1789"/>
      <c r="I40" s="1794"/>
      <c r="J40" s="1794"/>
      <c r="K40" s="1794"/>
      <c r="L40" s="1794"/>
      <c r="M40" s="1794"/>
      <c r="N40" s="1794"/>
      <c r="O40" s="1794"/>
      <c r="P40" s="1794"/>
      <c r="Q40" s="1794"/>
      <c r="R40" s="1794"/>
      <c r="S40" s="1794"/>
      <c r="T40" s="1794"/>
      <c r="U40" s="1794"/>
      <c r="V40" s="1794"/>
      <c r="W40" s="1794"/>
      <c r="X40" s="1794"/>
      <c r="Y40" s="1794"/>
      <c r="Z40" s="1812"/>
    </row>
    <row r="41" spans="1:26">
      <c r="A41" s="1792"/>
      <c r="B41" s="1793"/>
      <c r="C41" s="1786"/>
      <c r="D41" s="1786"/>
      <c r="E41" s="1786"/>
      <c r="F41" s="1786"/>
      <c r="G41" s="1786"/>
      <c r="H41" s="1789"/>
      <c r="I41" s="1794"/>
      <c r="J41" s="1794"/>
      <c r="K41" s="1794"/>
      <c r="L41" s="1794"/>
      <c r="M41" s="1794"/>
      <c r="N41" s="1794"/>
      <c r="O41" s="1794"/>
      <c r="P41" s="1794"/>
      <c r="Q41" s="1794"/>
      <c r="R41" s="1794"/>
      <c r="S41" s="1794"/>
      <c r="T41" s="1794"/>
      <c r="U41" s="1794"/>
      <c r="V41" s="1794"/>
      <c r="W41" s="1794"/>
      <c r="X41" s="1794"/>
      <c r="Y41" s="1794"/>
      <c r="Z41" s="1812"/>
    </row>
    <row r="42" spans="1:26">
      <c r="A42" s="1792"/>
      <c r="B42" s="1793"/>
      <c r="C42" s="1786"/>
      <c r="D42" s="1786"/>
      <c r="E42" s="1786"/>
      <c r="F42" s="1786"/>
      <c r="G42" s="1786"/>
      <c r="H42" s="1794"/>
      <c r="I42" s="1786"/>
      <c r="J42" s="1786"/>
      <c r="K42" s="1786"/>
      <c r="L42" s="1786"/>
      <c r="M42" s="1786"/>
      <c r="N42" s="1786"/>
      <c r="O42" s="1786"/>
      <c r="P42" s="1786"/>
      <c r="Q42" s="1786"/>
      <c r="R42" s="1786"/>
      <c r="S42" s="1786"/>
      <c r="T42" s="1786"/>
      <c r="U42" s="1786"/>
      <c r="V42" s="1786"/>
      <c r="W42" s="1786"/>
      <c r="X42" s="1786"/>
      <c r="Y42" s="1786"/>
      <c r="Z42" s="1809"/>
    </row>
    <row r="43" spans="1:26">
      <c r="A43" s="1784"/>
      <c r="B43" s="1793"/>
      <c r="C43" s="1786"/>
      <c r="D43" s="1786"/>
      <c r="E43" s="1786"/>
      <c r="F43" s="1786"/>
      <c r="G43" s="1786"/>
      <c r="H43" s="1168"/>
      <c r="I43" s="1786"/>
      <c r="J43" s="1786"/>
      <c r="K43" s="1786"/>
      <c r="L43" s="1786"/>
      <c r="M43" s="1786"/>
      <c r="N43" s="1786"/>
      <c r="O43" s="1786"/>
      <c r="P43" s="1786"/>
      <c r="Q43" s="1786"/>
      <c r="R43" s="1786"/>
      <c r="S43" s="1786"/>
      <c r="T43" s="1786"/>
      <c r="U43" s="1786"/>
      <c r="V43" s="1786"/>
      <c r="W43" s="1786"/>
      <c r="X43" s="1786"/>
      <c r="Y43" s="1786"/>
      <c r="Z43" s="1809"/>
    </row>
    <row r="44" spans="1:26">
      <c r="A44" s="1792"/>
      <c r="B44" s="1793"/>
      <c r="C44" s="1786"/>
      <c r="D44" s="1786"/>
      <c r="E44" s="1786"/>
      <c r="F44" s="1786"/>
      <c r="G44" s="1786"/>
      <c r="H44" s="1786"/>
      <c r="I44" s="1786"/>
      <c r="J44" s="1786"/>
      <c r="K44" s="1786"/>
      <c r="L44" s="1786"/>
      <c r="M44" s="1786"/>
      <c r="N44" s="1786"/>
      <c r="O44" s="1786"/>
      <c r="P44" s="1786"/>
      <c r="Q44" s="1786"/>
      <c r="R44" s="1786"/>
      <c r="S44" s="1786"/>
      <c r="T44" s="1786"/>
      <c r="U44" s="1786"/>
      <c r="V44" s="1786"/>
      <c r="W44" s="1786"/>
      <c r="X44" s="1786"/>
      <c r="Y44" s="1786"/>
      <c r="Z44" s="1809"/>
    </row>
    <row r="45" spans="1:26">
      <c r="A45" s="1792"/>
      <c r="B45" s="1793"/>
      <c r="C45" s="1786"/>
      <c r="D45" s="1786"/>
      <c r="E45" s="1786"/>
      <c r="F45" s="1786"/>
      <c r="G45" s="1786"/>
      <c r="H45" s="1795"/>
      <c r="I45" s="1786"/>
      <c r="J45" s="1786"/>
      <c r="K45" s="1786"/>
      <c r="L45" s="1786"/>
      <c r="M45" s="1786"/>
      <c r="N45" s="1786"/>
      <c r="O45" s="1786"/>
      <c r="P45" s="1786"/>
      <c r="Q45" s="1786"/>
      <c r="R45" s="1786"/>
      <c r="S45" s="1786"/>
      <c r="T45" s="1786"/>
      <c r="U45" s="1786"/>
      <c r="V45" s="1786"/>
      <c r="W45" s="1786"/>
      <c r="X45" s="1786"/>
      <c r="Y45" s="1786"/>
      <c r="Z45" s="1809"/>
    </row>
    <row r="46" spans="1:26">
      <c r="A46" s="1792"/>
      <c r="B46" s="1793"/>
      <c r="C46" s="1786"/>
      <c r="D46" s="1786"/>
      <c r="E46" s="1786"/>
      <c r="F46" s="1786"/>
      <c r="G46" s="1786"/>
      <c r="H46" s="1793"/>
      <c r="I46" s="1786"/>
      <c r="J46" s="1786"/>
      <c r="K46" s="1786"/>
      <c r="L46" s="1786"/>
      <c r="M46" s="1786"/>
      <c r="N46" s="1786"/>
      <c r="O46" s="1786"/>
      <c r="P46" s="1786"/>
      <c r="Q46" s="1786"/>
      <c r="R46" s="1786"/>
      <c r="S46" s="1786"/>
      <c r="T46" s="1786"/>
      <c r="U46" s="1786"/>
      <c r="V46" s="1786"/>
      <c r="W46" s="1786"/>
      <c r="X46" s="1786"/>
      <c r="Y46" s="1786"/>
      <c r="Z46" s="1809"/>
    </row>
    <row r="47" spans="1:26">
      <c r="A47" s="1792"/>
      <c r="B47" s="1793"/>
      <c r="C47" s="1786"/>
      <c r="D47" s="1786"/>
      <c r="E47" s="1786"/>
      <c r="F47" s="1786"/>
      <c r="G47" s="1786"/>
      <c r="H47" s="1795"/>
      <c r="I47" s="1786"/>
      <c r="J47" s="1786"/>
      <c r="K47" s="1786"/>
      <c r="L47" s="1786"/>
      <c r="M47" s="1786"/>
      <c r="N47" s="1786"/>
      <c r="O47" s="1786"/>
      <c r="P47" s="1786"/>
      <c r="Q47" s="1786"/>
      <c r="R47" s="1786"/>
      <c r="S47" s="1786"/>
      <c r="T47" s="1786"/>
      <c r="U47" s="1786"/>
      <c r="V47" s="1786"/>
      <c r="W47" s="1786"/>
      <c r="X47" s="1786"/>
      <c r="Y47" s="1786"/>
      <c r="Z47" s="1809"/>
    </row>
    <row r="48" spans="1:26">
      <c r="A48" s="1796"/>
      <c r="B48" s="1797"/>
      <c r="C48" s="1798"/>
      <c r="D48" s="1798"/>
      <c r="E48" s="1798"/>
      <c r="F48" s="1798"/>
      <c r="G48" s="1798"/>
      <c r="H48" s="1797"/>
      <c r="I48" s="1798"/>
      <c r="J48" s="1798"/>
      <c r="K48" s="1798"/>
      <c r="L48" s="1798"/>
      <c r="M48" s="1798"/>
      <c r="N48" s="1798"/>
      <c r="O48" s="1798"/>
      <c r="P48" s="1798"/>
      <c r="Q48" s="1798"/>
      <c r="R48" s="1798"/>
      <c r="S48" s="1798"/>
      <c r="T48" s="1798"/>
      <c r="U48" s="1798"/>
      <c r="V48" s="1798"/>
      <c r="W48" s="1798"/>
      <c r="X48" s="1798"/>
      <c r="Y48" s="1798"/>
      <c r="Z48" s="1813"/>
    </row>
    <row r="49" spans="1:31">
      <c r="A49" s="5430" t="s">
        <v>11861</v>
      </c>
      <c r="B49" s="5346"/>
      <c r="C49" s="5346"/>
      <c r="D49" s="5346"/>
      <c r="E49" s="5346"/>
      <c r="F49" s="5346"/>
      <c r="G49" s="5346"/>
      <c r="H49" s="5346" t="s">
        <v>11862</v>
      </c>
      <c r="I49" s="5346"/>
      <c r="J49" s="5346"/>
      <c r="K49" s="5346" t="s">
        <v>11863</v>
      </c>
      <c r="L49" s="5346"/>
      <c r="M49" s="5346"/>
      <c r="N49" s="5346"/>
      <c r="O49" s="5346"/>
      <c r="P49" s="5346"/>
      <c r="Q49" s="5346"/>
      <c r="R49" s="5346"/>
      <c r="S49" s="5346"/>
      <c r="T49" s="5346"/>
      <c r="U49" s="5346" t="s">
        <v>11864</v>
      </c>
      <c r="V49" s="5346"/>
      <c r="W49" s="5346"/>
      <c r="X49" s="5346"/>
      <c r="Y49" s="5346"/>
      <c r="Z49" s="5431"/>
    </row>
    <row r="50" spans="1:31">
      <c r="A50" s="5349" t="s">
        <v>11899</v>
      </c>
      <c r="B50" s="5350"/>
      <c r="C50" s="5350"/>
      <c r="D50" s="5350"/>
      <c r="E50" s="5350"/>
      <c r="F50" s="5350"/>
      <c r="G50" s="5351"/>
      <c r="H50" s="5355"/>
      <c r="I50" s="5355"/>
      <c r="J50" s="5355"/>
      <c r="K50" s="5355" t="s">
        <v>11866</v>
      </c>
      <c r="L50" s="5355"/>
      <c r="M50" s="5355" t="s">
        <v>961</v>
      </c>
      <c r="N50" s="5355"/>
      <c r="O50" s="5355" t="s">
        <v>962</v>
      </c>
      <c r="P50" s="5355"/>
      <c r="Q50" s="5355" t="s">
        <v>1957</v>
      </c>
      <c r="R50" s="5355"/>
      <c r="S50" s="5355" t="s">
        <v>2524</v>
      </c>
      <c r="T50" s="5355"/>
      <c r="U50" s="5355"/>
      <c r="V50" s="5355"/>
      <c r="W50" s="5355"/>
      <c r="X50" s="5355"/>
      <c r="Y50" s="5355"/>
      <c r="Z50" s="5356"/>
    </row>
    <row r="51" spans="1:31">
      <c r="A51" s="5352"/>
      <c r="B51" s="5353"/>
      <c r="C51" s="5353"/>
      <c r="D51" s="5353"/>
      <c r="E51" s="5353"/>
      <c r="F51" s="5353"/>
      <c r="G51" s="5354"/>
      <c r="H51" s="5348"/>
      <c r="I51" s="5348"/>
      <c r="J51" s="5348"/>
      <c r="K51" s="5348" t="s">
        <v>11867</v>
      </c>
      <c r="L51" s="5348"/>
      <c r="M51" s="5348"/>
      <c r="N51" s="5348"/>
      <c r="O51" s="5348"/>
      <c r="P51" s="5348"/>
      <c r="Q51" s="5348"/>
      <c r="R51" s="5348"/>
      <c r="S51" s="5348"/>
      <c r="T51" s="5348"/>
      <c r="U51" s="5348"/>
      <c r="V51" s="5348"/>
      <c r="W51" s="5348"/>
      <c r="X51" s="5348"/>
      <c r="Y51" s="5348"/>
      <c r="Z51" s="5357"/>
    </row>
    <row r="52" spans="1:31" ht="9" customHeight="1">
      <c r="A52" s="1799"/>
      <c r="B52" s="1800"/>
      <c r="C52" s="1800"/>
      <c r="D52" s="1800"/>
      <c r="E52" s="1800"/>
      <c r="F52" s="1800"/>
      <c r="G52" s="1800"/>
      <c r="H52" s="1800"/>
      <c r="I52" s="1800"/>
      <c r="J52" s="1800"/>
      <c r="K52" s="1800"/>
      <c r="L52" s="1800"/>
      <c r="M52" s="1800"/>
      <c r="N52" s="1800"/>
      <c r="O52" s="1800"/>
      <c r="P52" s="1800"/>
      <c r="Q52" s="1800"/>
      <c r="R52" s="1800"/>
      <c r="S52" s="1800"/>
      <c r="T52" s="1800"/>
      <c r="U52" s="1800"/>
      <c r="V52" s="1800"/>
      <c r="W52" s="1800"/>
      <c r="X52" s="1800"/>
      <c r="Y52" s="1800"/>
      <c r="Z52" s="1800"/>
    </row>
    <row r="53" spans="1:31" ht="20.25">
      <c r="A53" s="5345" t="s">
        <v>11868</v>
      </c>
      <c r="B53" s="5346"/>
      <c r="C53" s="5346"/>
      <c r="D53" s="5346"/>
      <c r="E53" s="5346"/>
      <c r="F53" s="5346"/>
      <c r="G53" s="5346"/>
      <c r="H53" s="5432" t="s">
        <v>11797</v>
      </c>
      <c r="I53" s="5432"/>
      <c r="J53" s="5432"/>
      <c r="K53" s="5432"/>
      <c r="L53" s="5432"/>
      <c r="M53" s="5432"/>
      <c r="N53" s="5432"/>
      <c r="O53" s="5432"/>
      <c r="P53" s="5432"/>
      <c r="Q53" s="5432"/>
      <c r="R53" s="5432"/>
      <c r="S53" s="5432"/>
      <c r="T53" s="5432"/>
      <c r="U53" s="5433" t="s">
        <v>11798</v>
      </c>
      <c r="V53" s="5433"/>
      <c r="W53" s="5433"/>
      <c r="X53" s="5433"/>
      <c r="Y53" s="5433"/>
      <c r="Z53" s="5434"/>
    </row>
    <row r="54" spans="1:31">
      <c r="A54" s="5347"/>
      <c r="B54" s="5348"/>
      <c r="C54" s="5348"/>
      <c r="D54" s="5348"/>
      <c r="E54" s="5348"/>
      <c r="F54" s="5348"/>
      <c r="G54" s="5348"/>
      <c r="H54" s="5348" t="s">
        <v>11888</v>
      </c>
      <c r="I54" s="5348"/>
      <c r="J54" s="5348"/>
      <c r="K54" s="5348"/>
      <c r="L54" s="5348"/>
      <c r="M54" s="5348"/>
      <c r="N54" s="5348"/>
      <c r="O54" s="5348"/>
      <c r="P54" s="5348"/>
      <c r="Q54" s="5348"/>
      <c r="R54" s="5348"/>
      <c r="S54" s="5348"/>
      <c r="T54" s="5348"/>
      <c r="U54" s="5435" t="s">
        <v>11889</v>
      </c>
      <c r="V54" s="5435"/>
      <c r="W54" s="5435"/>
      <c r="X54" s="5435" t="s">
        <v>11900</v>
      </c>
      <c r="Y54" s="5435"/>
      <c r="Z54" s="5436"/>
    </row>
    <row r="55" spans="1:31">
      <c r="A55" s="1781"/>
      <c r="B55" s="1782"/>
      <c r="C55" s="1782"/>
      <c r="D55" s="1782"/>
      <c r="E55" s="1782"/>
      <c r="F55" s="1782"/>
      <c r="G55" s="1782"/>
      <c r="H55" s="1782"/>
      <c r="I55" s="1782"/>
      <c r="J55" s="1782"/>
      <c r="K55" s="1782"/>
      <c r="L55" s="1782"/>
      <c r="M55" s="1782"/>
      <c r="N55" s="1782"/>
      <c r="O55" s="1782"/>
      <c r="P55" s="1782"/>
      <c r="Q55" s="1782"/>
      <c r="R55" s="1782"/>
      <c r="S55" s="1782"/>
      <c r="T55" s="1782"/>
      <c r="U55" s="1782"/>
      <c r="V55" s="1782"/>
      <c r="W55" s="1782"/>
      <c r="X55" s="1782"/>
      <c r="Y55" s="1782"/>
      <c r="Z55" s="1806"/>
      <c r="AB55" s="5611"/>
      <c r="AC55" s="5612"/>
      <c r="AD55" s="5612"/>
      <c r="AE55" s="5613"/>
    </row>
    <row r="56" spans="1:31">
      <c r="A56" s="5440" t="s">
        <v>11901</v>
      </c>
      <c r="B56" s="5529"/>
      <c r="C56" s="5529"/>
      <c r="D56" s="5529"/>
      <c r="E56" s="5529"/>
      <c r="F56" s="5529"/>
      <c r="G56" s="5529"/>
      <c r="H56" s="5529"/>
      <c r="I56" s="5529"/>
      <c r="J56" s="5529"/>
      <c r="K56" s="5529"/>
      <c r="L56" s="5529"/>
      <c r="M56" s="5529"/>
      <c r="N56" s="1804"/>
      <c r="O56" s="5518" t="s">
        <v>11902</v>
      </c>
      <c r="P56" s="5518"/>
      <c r="Q56" s="5518"/>
      <c r="R56" s="5518"/>
      <c r="S56" s="5518"/>
      <c r="T56" s="5518"/>
      <c r="U56" s="5518"/>
      <c r="V56" s="5518"/>
      <c r="W56" s="5518"/>
      <c r="X56" s="5518"/>
      <c r="Y56" s="5518"/>
      <c r="Z56" s="5519"/>
    </row>
    <row r="57" spans="1:31" ht="16.5" customHeight="1">
      <c r="A57" s="5520"/>
      <c r="B57" s="5521"/>
      <c r="C57" s="5521"/>
      <c r="D57" s="5521"/>
      <c r="E57" s="5521"/>
      <c r="F57" s="5521"/>
      <c r="G57" s="5521"/>
      <c r="H57" s="5521"/>
      <c r="I57" s="5521"/>
      <c r="J57" s="5521"/>
      <c r="K57" s="5521"/>
      <c r="L57" s="5521"/>
      <c r="M57" s="5521"/>
      <c r="N57" s="1786"/>
      <c r="O57" s="5518"/>
      <c r="P57" s="5518"/>
      <c r="Q57" s="5518"/>
      <c r="R57" s="5518"/>
      <c r="S57" s="5518"/>
      <c r="T57" s="5518"/>
      <c r="U57" s="5518"/>
      <c r="V57" s="5518"/>
      <c r="W57" s="5518"/>
      <c r="X57" s="5518"/>
      <c r="Y57" s="5518"/>
      <c r="Z57" s="5519"/>
    </row>
    <row r="58" spans="1:31">
      <c r="A58" s="5520"/>
      <c r="B58" s="5521"/>
      <c r="C58" s="5521"/>
      <c r="D58" s="5521"/>
      <c r="E58" s="5521"/>
      <c r="F58" s="5521"/>
      <c r="G58" s="5521"/>
      <c r="H58" s="5521"/>
      <c r="I58" s="5521"/>
      <c r="J58" s="5521"/>
      <c r="K58" s="5521"/>
      <c r="L58" s="5521"/>
      <c r="M58" s="5521"/>
      <c r="N58" s="1786"/>
      <c r="O58" s="5518"/>
      <c r="P58" s="5518"/>
      <c r="Q58" s="5518"/>
      <c r="R58" s="5518"/>
      <c r="S58" s="5518"/>
      <c r="T58" s="5518"/>
      <c r="U58" s="5518"/>
      <c r="V58" s="5518"/>
      <c r="W58" s="5518"/>
      <c r="X58" s="5518"/>
      <c r="Y58" s="5518"/>
      <c r="Z58" s="5519"/>
    </row>
    <row r="59" spans="1:31">
      <c r="A59" s="5520"/>
      <c r="B59" s="5521"/>
      <c r="C59" s="5521"/>
      <c r="D59" s="5521"/>
      <c r="E59" s="5521"/>
      <c r="F59" s="5521"/>
      <c r="G59" s="5521"/>
      <c r="H59" s="5521"/>
      <c r="I59" s="5521"/>
      <c r="J59" s="5521"/>
      <c r="K59" s="5521"/>
      <c r="L59" s="5521"/>
      <c r="M59" s="5521"/>
      <c r="N59" s="1786"/>
      <c r="O59" s="5518"/>
      <c r="P59" s="5518"/>
      <c r="Q59" s="5518"/>
      <c r="R59" s="5518"/>
      <c r="S59" s="5518"/>
      <c r="T59" s="5518"/>
      <c r="U59" s="5518"/>
      <c r="V59" s="5518"/>
      <c r="W59" s="5518"/>
      <c r="X59" s="5518"/>
      <c r="Y59" s="5518"/>
      <c r="Z59" s="5519"/>
    </row>
    <row r="60" spans="1:31">
      <c r="A60" s="5520"/>
      <c r="B60" s="5521"/>
      <c r="C60" s="5521"/>
      <c r="D60" s="5521"/>
      <c r="E60" s="5521"/>
      <c r="F60" s="5521"/>
      <c r="G60" s="5521"/>
      <c r="H60" s="5521"/>
      <c r="I60" s="5521"/>
      <c r="J60" s="5521"/>
      <c r="K60" s="5521"/>
      <c r="L60" s="5521"/>
      <c r="M60" s="5521"/>
      <c r="N60" s="1786"/>
      <c r="O60" s="5518"/>
      <c r="P60" s="5518"/>
      <c r="Q60" s="5518"/>
      <c r="R60" s="5518"/>
      <c r="S60" s="5518"/>
      <c r="T60" s="5518"/>
      <c r="U60" s="5518"/>
      <c r="V60" s="5518"/>
      <c r="W60" s="5518"/>
      <c r="X60" s="5518"/>
      <c r="Y60" s="5518"/>
      <c r="Z60" s="5519"/>
    </row>
    <row r="61" spans="1:31">
      <c r="A61" s="5520"/>
      <c r="B61" s="5521"/>
      <c r="C61" s="5521"/>
      <c r="D61" s="5521"/>
      <c r="E61" s="5521"/>
      <c r="F61" s="5521"/>
      <c r="G61" s="5521"/>
      <c r="H61" s="5521"/>
      <c r="I61" s="5521"/>
      <c r="J61" s="5521"/>
      <c r="K61" s="5521"/>
      <c r="L61" s="5521"/>
      <c r="M61" s="5521"/>
      <c r="N61" s="1786"/>
      <c r="O61" s="5518"/>
      <c r="P61" s="5518"/>
      <c r="Q61" s="5518"/>
      <c r="R61" s="5518"/>
      <c r="S61" s="5518"/>
      <c r="T61" s="5518"/>
      <c r="U61" s="5518"/>
      <c r="V61" s="5518"/>
      <c r="W61" s="5518"/>
      <c r="X61" s="5518"/>
      <c r="Y61" s="5518"/>
      <c r="Z61" s="5519"/>
    </row>
    <row r="62" spans="1:31">
      <c r="A62" s="5520"/>
      <c r="B62" s="5521"/>
      <c r="C62" s="5521"/>
      <c r="D62" s="5521"/>
      <c r="E62" s="5521"/>
      <c r="F62" s="5521"/>
      <c r="G62" s="5521"/>
      <c r="H62" s="5521"/>
      <c r="I62" s="5521"/>
      <c r="J62" s="5521"/>
      <c r="K62" s="5521"/>
      <c r="L62" s="5521"/>
      <c r="M62" s="5521"/>
      <c r="N62" s="1786"/>
      <c r="O62" s="5518"/>
      <c r="P62" s="5518"/>
      <c r="Q62" s="5518"/>
      <c r="R62" s="5518"/>
      <c r="S62" s="5518"/>
      <c r="T62" s="5518"/>
      <c r="U62" s="5518"/>
      <c r="V62" s="5518"/>
      <c r="W62" s="5518"/>
      <c r="X62" s="5518"/>
      <c r="Y62" s="5518"/>
      <c r="Z62" s="5519"/>
    </row>
    <row r="63" spans="1:31">
      <c r="A63" s="5520"/>
      <c r="B63" s="5521"/>
      <c r="C63" s="5521"/>
      <c r="D63" s="5521"/>
      <c r="E63" s="5521"/>
      <c r="F63" s="5521"/>
      <c r="G63" s="5521"/>
      <c r="H63" s="5521"/>
      <c r="I63" s="5521"/>
      <c r="J63" s="5521"/>
      <c r="K63" s="5521"/>
      <c r="L63" s="5521"/>
      <c r="M63" s="5521"/>
      <c r="N63" s="1786"/>
      <c r="O63" s="5518"/>
      <c r="P63" s="5518"/>
      <c r="Q63" s="5518"/>
      <c r="R63" s="5518"/>
      <c r="S63" s="5518"/>
      <c r="T63" s="5518"/>
      <c r="U63" s="5518"/>
      <c r="V63" s="5518"/>
      <c r="W63" s="5518"/>
      <c r="X63" s="5518"/>
      <c r="Y63" s="5518"/>
      <c r="Z63" s="5519"/>
    </row>
    <row r="64" spans="1:31" ht="16.5" customHeight="1">
      <c r="A64" s="5614" t="s">
        <v>11903</v>
      </c>
      <c r="B64" s="5498"/>
      <c r="C64" s="5498"/>
      <c r="D64" s="5498"/>
      <c r="E64" s="5498" t="s">
        <v>11904</v>
      </c>
      <c r="F64" s="5498"/>
      <c r="G64" s="5498"/>
      <c r="H64" s="5498"/>
      <c r="I64" s="5498"/>
      <c r="J64" s="5498"/>
      <c r="K64" s="5498"/>
      <c r="L64" s="5498"/>
      <c r="M64" s="5615"/>
      <c r="N64" s="1786"/>
      <c r="O64" s="5518"/>
      <c r="P64" s="5518"/>
      <c r="Q64" s="5518"/>
      <c r="R64" s="5518"/>
      <c r="S64" s="5518"/>
      <c r="T64" s="5518"/>
      <c r="U64" s="5518"/>
      <c r="V64" s="5518"/>
      <c r="W64" s="5518"/>
      <c r="X64" s="5518"/>
      <c r="Y64" s="5518"/>
      <c r="Z64" s="5519"/>
    </row>
    <row r="65" spans="1:28">
      <c r="A65" s="5570">
        <v>5</v>
      </c>
      <c r="B65" s="5396"/>
      <c r="C65" s="5396"/>
      <c r="D65" s="5396"/>
      <c r="E65" s="5602"/>
      <c r="F65" s="5602"/>
      <c r="G65" s="5602"/>
      <c r="H65" s="5396">
        <v>20</v>
      </c>
      <c r="I65" s="5396"/>
      <c r="J65" s="5396">
        <v>25</v>
      </c>
      <c r="K65" s="5396"/>
      <c r="L65" s="5396">
        <v>32</v>
      </c>
      <c r="M65" s="5392"/>
      <c r="N65" s="1786"/>
      <c r="O65" s="5441" t="s">
        <v>11905</v>
      </c>
      <c r="P65" s="5441"/>
      <c r="Q65" s="5441"/>
      <c r="R65" s="5441"/>
      <c r="S65" s="5441"/>
      <c r="T65" s="5441"/>
      <c r="U65" s="5441"/>
      <c r="V65" s="5441"/>
      <c r="W65" s="5441"/>
      <c r="X65" s="5441"/>
      <c r="Y65" s="5441"/>
      <c r="Z65" s="5442"/>
    </row>
    <row r="66" spans="1:28">
      <c r="A66" s="5570">
        <v>6</v>
      </c>
      <c r="B66" s="5396"/>
      <c r="C66" s="5396"/>
      <c r="D66" s="5396"/>
      <c r="E66" s="5602"/>
      <c r="F66" s="5602"/>
      <c r="G66" s="5602"/>
      <c r="H66" s="5396">
        <v>25</v>
      </c>
      <c r="I66" s="5396"/>
      <c r="J66" s="5396">
        <v>32</v>
      </c>
      <c r="K66" s="5396"/>
      <c r="L66" s="5396">
        <v>40</v>
      </c>
      <c r="M66" s="5392"/>
      <c r="N66" s="1786"/>
      <c r="O66" s="5605" t="s">
        <v>11906</v>
      </c>
      <c r="P66" s="5606"/>
      <c r="Q66" s="5606"/>
      <c r="R66" s="5606"/>
      <c r="S66" s="5606"/>
      <c r="T66" s="5607"/>
      <c r="U66" s="5608" t="s">
        <v>11907</v>
      </c>
      <c r="V66" s="5609"/>
      <c r="W66" s="5609"/>
      <c r="X66" s="5609"/>
      <c r="Y66" s="5609"/>
      <c r="Z66" s="5610"/>
    </row>
    <row r="67" spans="1:28">
      <c r="A67" s="5570">
        <v>8</v>
      </c>
      <c r="B67" s="5396"/>
      <c r="C67" s="5396"/>
      <c r="D67" s="5396"/>
      <c r="E67" s="5602"/>
      <c r="F67" s="5602"/>
      <c r="G67" s="5602"/>
      <c r="H67" s="5396">
        <v>32</v>
      </c>
      <c r="I67" s="5396"/>
      <c r="J67" s="5396">
        <v>40</v>
      </c>
      <c r="K67" s="5396"/>
      <c r="L67" s="5396">
        <v>50</v>
      </c>
      <c r="M67" s="5392"/>
      <c r="N67" s="1786"/>
      <c r="O67" s="5603">
        <v>20</v>
      </c>
      <c r="P67" s="5591"/>
      <c r="Q67" s="5591"/>
      <c r="R67" s="5591"/>
      <c r="S67" s="5591"/>
      <c r="T67" s="5604"/>
      <c r="U67" s="5364"/>
      <c r="V67" s="5365"/>
      <c r="W67" s="5365"/>
      <c r="X67" s="5365"/>
      <c r="Y67" s="5365"/>
      <c r="Z67" s="5522"/>
    </row>
    <row r="68" spans="1:28">
      <c r="A68" s="5570">
        <v>10</v>
      </c>
      <c r="B68" s="5396"/>
      <c r="C68" s="5396"/>
      <c r="D68" s="5396"/>
      <c r="E68" s="5602"/>
      <c r="F68" s="5602"/>
      <c r="G68" s="5602"/>
      <c r="H68" s="5396">
        <v>40</v>
      </c>
      <c r="I68" s="5396"/>
      <c r="J68" s="5396">
        <v>50</v>
      </c>
      <c r="K68" s="5396"/>
      <c r="L68" s="5396">
        <v>63</v>
      </c>
      <c r="M68" s="5392"/>
      <c r="N68" s="1786"/>
      <c r="O68" s="5603">
        <v>25</v>
      </c>
      <c r="P68" s="5591"/>
      <c r="Q68" s="5591"/>
      <c r="R68" s="5591"/>
      <c r="S68" s="5591"/>
      <c r="T68" s="5604"/>
      <c r="U68" s="5370"/>
      <c r="V68" s="5371"/>
      <c r="W68" s="5371"/>
      <c r="X68" s="5371"/>
      <c r="Y68" s="5371"/>
      <c r="Z68" s="5523"/>
      <c r="AB68" s="1838"/>
    </row>
    <row r="69" spans="1:28">
      <c r="A69" s="5570">
        <v>12</v>
      </c>
      <c r="B69" s="5396"/>
      <c r="C69" s="5396"/>
      <c r="D69" s="5396"/>
      <c r="E69" s="5589">
        <v>-40</v>
      </c>
      <c r="F69" s="5589"/>
      <c r="G69" s="5589"/>
      <c r="H69" s="5396">
        <v>50</v>
      </c>
      <c r="I69" s="5396"/>
      <c r="J69" s="5396">
        <v>63</v>
      </c>
      <c r="K69" s="5396"/>
      <c r="L69" s="5396">
        <v>80</v>
      </c>
      <c r="M69" s="5392"/>
      <c r="N69" s="1786"/>
      <c r="O69" s="5593" t="s">
        <v>11908</v>
      </c>
      <c r="P69" s="5594"/>
      <c r="Q69" s="5594"/>
      <c r="R69" s="5594"/>
      <c r="S69" s="5594"/>
      <c r="T69" s="5595"/>
      <c r="U69" s="5590"/>
      <c r="V69" s="5591"/>
      <c r="W69" s="5591"/>
      <c r="X69" s="5591"/>
      <c r="Y69" s="5591"/>
      <c r="Z69" s="5592"/>
    </row>
    <row r="70" spans="1:28">
      <c r="A70" s="5570">
        <v>14</v>
      </c>
      <c r="B70" s="5396"/>
      <c r="C70" s="5396"/>
      <c r="D70" s="5396"/>
      <c r="E70" s="5589">
        <v>-50</v>
      </c>
      <c r="F70" s="5589"/>
      <c r="G70" s="5589"/>
      <c r="H70" s="5396">
        <v>63</v>
      </c>
      <c r="I70" s="5396"/>
      <c r="J70" s="5396">
        <v>80</v>
      </c>
      <c r="K70" s="5396"/>
      <c r="L70" s="5396">
        <v>100</v>
      </c>
      <c r="M70" s="5392"/>
      <c r="N70" s="1786"/>
      <c r="O70" s="5593" t="s">
        <v>11909</v>
      </c>
      <c r="P70" s="5594"/>
      <c r="Q70" s="5594"/>
      <c r="R70" s="5594"/>
      <c r="S70" s="5594"/>
      <c r="T70" s="5595"/>
      <c r="U70" s="5590"/>
      <c r="V70" s="5591"/>
      <c r="W70" s="5591"/>
      <c r="X70" s="5591"/>
      <c r="Y70" s="5591"/>
      <c r="Z70" s="5592"/>
    </row>
    <row r="71" spans="1:28">
      <c r="A71" s="5570">
        <v>18</v>
      </c>
      <c r="B71" s="5396"/>
      <c r="C71" s="5396"/>
      <c r="D71" s="5396"/>
      <c r="E71" s="5589">
        <v>-63</v>
      </c>
      <c r="F71" s="5589"/>
      <c r="G71" s="5589"/>
      <c r="H71" s="5396">
        <v>80</v>
      </c>
      <c r="I71" s="5396"/>
      <c r="J71" s="5396">
        <v>100</v>
      </c>
      <c r="K71" s="5396"/>
      <c r="L71" s="5396">
        <v>125</v>
      </c>
      <c r="M71" s="5392"/>
      <c r="N71" s="1786"/>
      <c r="O71" s="5596" t="s">
        <v>11910</v>
      </c>
      <c r="P71" s="5597"/>
      <c r="Q71" s="5597"/>
      <c r="R71" s="5597"/>
      <c r="S71" s="5597"/>
      <c r="T71" s="5598"/>
      <c r="U71" s="5599"/>
      <c r="V71" s="5600"/>
      <c r="W71" s="5600"/>
      <c r="X71" s="5600"/>
      <c r="Y71" s="5600"/>
      <c r="Z71" s="5601"/>
    </row>
    <row r="72" spans="1:28">
      <c r="A72" s="5570">
        <v>22</v>
      </c>
      <c r="B72" s="5396"/>
      <c r="C72" s="5396"/>
      <c r="D72" s="5396"/>
      <c r="E72" s="5589">
        <v>-80</v>
      </c>
      <c r="F72" s="5589"/>
      <c r="G72" s="5589"/>
      <c r="H72" s="5396">
        <v>100</v>
      </c>
      <c r="I72" s="5396"/>
      <c r="J72" s="5396">
        <v>125</v>
      </c>
      <c r="K72" s="5396"/>
      <c r="L72" s="5396">
        <v>160</v>
      </c>
      <c r="M72" s="5392"/>
      <c r="N72" s="1786"/>
      <c r="O72" s="5524" t="s">
        <v>11911</v>
      </c>
      <c r="P72" s="5524"/>
      <c r="Q72" s="5524"/>
      <c r="R72" s="5524"/>
      <c r="S72" s="5524"/>
      <c r="T72" s="5524"/>
      <c r="U72" s="5524"/>
      <c r="V72" s="5524"/>
      <c r="W72" s="5524"/>
      <c r="X72" s="5524"/>
      <c r="Y72" s="5524"/>
      <c r="Z72" s="5525"/>
    </row>
    <row r="73" spans="1:28">
      <c r="A73" s="5570">
        <v>28</v>
      </c>
      <c r="B73" s="5396"/>
      <c r="C73" s="5396"/>
      <c r="D73" s="5396"/>
      <c r="E73" s="5396">
        <v>100</v>
      </c>
      <c r="F73" s="5396"/>
      <c r="G73" s="5396"/>
      <c r="H73" s="5396">
        <v>125</v>
      </c>
      <c r="I73" s="5396"/>
      <c r="J73" s="5396">
        <v>160</v>
      </c>
      <c r="K73" s="5396"/>
      <c r="L73" s="5396">
        <v>200</v>
      </c>
      <c r="M73" s="5392"/>
      <c r="N73" s="1786"/>
      <c r="O73" s="5526"/>
      <c r="P73" s="5526"/>
      <c r="Q73" s="5526"/>
      <c r="R73" s="5526"/>
      <c r="S73" s="5526"/>
      <c r="T73" s="5526"/>
      <c r="U73" s="5526"/>
      <c r="V73" s="5526"/>
      <c r="W73" s="5526"/>
      <c r="X73" s="5526"/>
      <c r="Y73" s="5526"/>
      <c r="Z73" s="5527"/>
    </row>
    <row r="74" spans="1:28">
      <c r="A74" s="5570">
        <v>36</v>
      </c>
      <c r="B74" s="5396"/>
      <c r="C74" s="5396"/>
      <c r="D74" s="5396"/>
      <c r="E74" s="5396">
        <v>125</v>
      </c>
      <c r="F74" s="5396"/>
      <c r="G74" s="5396"/>
      <c r="H74" s="5396">
        <v>160</v>
      </c>
      <c r="I74" s="5396"/>
      <c r="J74" s="5396">
        <v>200</v>
      </c>
      <c r="K74" s="5396"/>
      <c r="L74" s="5396">
        <v>250</v>
      </c>
      <c r="M74" s="5392"/>
      <c r="N74" s="1786"/>
      <c r="O74" s="5558" t="s">
        <v>11912</v>
      </c>
      <c r="P74" s="5558"/>
      <c r="Q74" s="5558"/>
      <c r="R74" s="5558"/>
      <c r="S74" s="5558"/>
      <c r="T74" s="5558"/>
      <c r="U74" s="5558"/>
      <c r="V74" s="5558"/>
      <c r="W74" s="5558"/>
      <c r="X74" s="5558"/>
      <c r="Y74" s="5558"/>
      <c r="Z74" s="5559"/>
    </row>
    <row r="75" spans="1:28">
      <c r="A75" s="5588">
        <v>42</v>
      </c>
      <c r="B75" s="5401"/>
      <c r="C75" s="5401"/>
      <c r="D75" s="5401"/>
      <c r="E75" s="5401">
        <v>160</v>
      </c>
      <c r="F75" s="5401"/>
      <c r="G75" s="5401"/>
      <c r="H75" s="5401">
        <v>200</v>
      </c>
      <c r="I75" s="5401"/>
      <c r="J75" s="5401">
        <v>250</v>
      </c>
      <c r="K75" s="5401"/>
      <c r="L75" s="5401">
        <v>320</v>
      </c>
      <c r="M75" s="5387"/>
      <c r="N75" s="1786"/>
      <c r="O75" s="5558"/>
      <c r="P75" s="5558"/>
      <c r="Q75" s="5558"/>
      <c r="R75" s="5558"/>
      <c r="S75" s="5558"/>
      <c r="T75" s="5558"/>
      <c r="U75" s="5558"/>
      <c r="V75" s="5558"/>
      <c r="W75" s="5558"/>
      <c r="X75" s="5558"/>
      <c r="Y75" s="5558"/>
      <c r="Z75" s="5559"/>
    </row>
    <row r="76" spans="1:28">
      <c r="A76" s="5570">
        <v>48</v>
      </c>
      <c r="B76" s="5396"/>
      <c r="C76" s="5396"/>
      <c r="D76" s="5396"/>
      <c r="E76" s="5396">
        <v>200</v>
      </c>
      <c r="F76" s="5396"/>
      <c r="G76" s="5396"/>
      <c r="H76" s="5396">
        <v>250</v>
      </c>
      <c r="I76" s="5396"/>
      <c r="J76" s="5396">
        <v>320</v>
      </c>
      <c r="K76" s="5396"/>
      <c r="L76" s="5396">
        <v>400</v>
      </c>
      <c r="M76" s="5392"/>
      <c r="N76" s="1786"/>
      <c r="O76" s="5558"/>
      <c r="P76" s="5558"/>
      <c r="Q76" s="5558"/>
      <c r="R76" s="5558"/>
      <c r="S76" s="5558"/>
      <c r="T76" s="5558"/>
      <c r="U76" s="5558"/>
      <c r="V76" s="5558"/>
      <c r="W76" s="5558"/>
      <c r="X76" s="5558"/>
      <c r="Y76" s="5558"/>
      <c r="Z76" s="5559"/>
    </row>
    <row r="77" spans="1:28">
      <c r="A77" s="5563">
        <v>54</v>
      </c>
      <c r="B77" s="5470"/>
      <c r="C77" s="5470"/>
      <c r="D77" s="5470"/>
      <c r="E77" s="5470">
        <v>250</v>
      </c>
      <c r="F77" s="5470"/>
      <c r="G77" s="5470"/>
      <c r="H77" s="5470">
        <v>320</v>
      </c>
      <c r="I77" s="5470"/>
      <c r="J77" s="5470">
        <v>400</v>
      </c>
      <c r="K77" s="5470"/>
      <c r="L77" s="5470">
        <v>500</v>
      </c>
      <c r="M77" s="5587"/>
      <c r="N77" s="1786"/>
      <c r="O77" s="1805"/>
      <c r="P77" s="1805"/>
      <c r="Q77" s="1805"/>
      <c r="R77" s="1805"/>
      <c r="S77" s="1805"/>
      <c r="T77" s="1805"/>
      <c r="U77" s="1805"/>
      <c r="V77" s="1805"/>
      <c r="W77" s="1805"/>
      <c r="X77" s="1805"/>
      <c r="Y77" s="1805"/>
      <c r="Z77" s="1814"/>
    </row>
    <row r="78" spans="1:28">
      <c r="A78" s="1815"/>
      <c r="B78" s="1816"/>
      <c r="C78" s="1816"/>
      <c r="D78" s="1816"/>
      <c r="E78" s="1816"/>
      <c r="F78" s="1816"/>
      <c r="G78" s="1816"/>
      <c r="H78" s="1816"/>
      <c r="I78" s="1816"/>
      <c r="J78" s="1816"/>
      <c r="K78" s="1816"/>
      <c r="L78" s="1816"/>
      <c r="M78" s="1816"/>
      <c r="N78" s="1786"/>
      <c r="O78" s="1805"/>
      <c r="P78" s="1805"/>
      <c r="Q78" s="1805"/>
      <c r="R78" s="1805"/>
      <c r="S78" s="1805"/>
      <c r="T78" s="1805"/>
      <c r="U78" s="1805"/>
      <c r="V78" s="1805"/>
      <c r="W78" s="1805"/>
      <c r="X78" s="1805"/>
      <c r="Y78" s="1805"/>
      <c r="Z78" s="1814"/>
    </row>
    <row r="79" spans="1:28">
      <c r="A79" s="5576" t="s">
        <v>11913</v>
      </c>
      <c r="B79" s="5577"/>
      <c r="C79" s="5577"/>
      <c r="D79" s="5577"/>
      <c r="E79" s="5577"/>
      <c r="F79" s="5577"/>
      <c r="G79" s="5577"/>
      <c r="H79" s="5577"/>
      <c r="I79" s="5577"/>
      <c r="J79" s="5577"/>
      <c r="K79" s="5577"/>
      <c r="L79" s="5577"/>
      <c r="M79" s="5577"/>
      <c r="N79" s="5577"/>
      <c r="O79" s="5577"/>
      <c r="P79" s="5577"/>
      <c r="Q79" s="5577"/>
      <c r="R79" s="5577"/>
      <c r="S79" s="5577"/>
      <c r="T79" s="5577"/>
      <c r="U79" s="5577"/>
      <c r="V79" s="5577"/>
      <c r="W79" s="5577"/>
      <c r="X79" s="5577"/>
      <c r="Y79" s="5577"/>
      <c r="Z79" s="5578"/>
    </row>
    <row r="80" spans="1:28" ht="16.5" customHeight="1">
      <c r="A80" s="1817" t="s">
        <v>11914</v>
      </c>
      <c r="B80" s="1818"/>
      <c r="C80" s="1818"/>
      <c r="D80" s="1818"/>
      <c r="E80" s="1818"/>
      <c r="F80" s="1818"/>
      <c r="G80" s="1818"/>
      <c r="H80" s="1818"/>
      <c r="I80" s="1818"/>
      <c r="J80" s="1818"/>
      <c r="K80" s="5560" t="s">
        <v>11915</v>
      </c>
      <c r="L80" s="5561"/>
      <c r="M80" s="5561"/>
      <c r="N80" s="5555">
        <v>5</v>
      </c>
      <c r="O80" s="5555">
        <v>6</v>
      </c>
      <c r="P80" s="5555">
        <v>8</v>
      </c>
      <c r="Q80" s="5555">
        <v>10</v>
      </c>
      <c r="R80" s="5555">
        <v>12</v>
      </c>
      <c r="S80" s="5555">
        <v>14</v>
      </c>
      <c r="T80" s="5555">
        <v>18</v>
      </c>
      <c r="U80" s="5555">
        <v>22</v>
      </c>
      <c r="V80" s="5555">
        <v>28</v>
      </c>
      <c r="W80" s="5555">
        <v>36</v>
      </c>
      <c r="X80" s="5555">
        <v>42</v>
      </c>
      <c r="Y80" s="5555">
        <v>48</v>
      </c>
      <c r="Z80" s="5556">
        <v>54</v>
      </c>
    </row>
    <row r="81" spans="1:26">
      <c r="A81" s="1819"/>
      <c r="B81" s="1820"/>
      <c r="C81" s="1820"/>
      <c r="D81" s="1820"/>
      <c r="E81" s="1820"/>
      <c r="F81" s="1820"/>
      <c r="G81" s="1820"/>
      <c r="H81" s="1820"/>
      <c r="I81" s="1820"/>
      <c r="J81" s="1820"/>
      <c r="K81" s="5562"/>
      <c r="L81" s="5551"/>
      <c r="M81" s="5551"/>
      <c r="N81" s="5411"/>
      <c r="O81" s="5411"/>
      <c r="P81" s="5411"/>
      <c r="Q81" s="5411"/>
      <c r="R81" s="5411"/>
      <c r="S81" s="5411"/>
      <c r="T81" s="5411"/>
      <c r="U81" s="5411"/>
      <c r="V81" s="5411"/>
      <c r="W81" s="5411"/>
      <c r="X81" s="5411"/>
      <c r="Y81" s="5411"/>
      <c r="Z81" s="5463"/>
    </row>
    <row r="82" spans="1:26">
      <c r="A82" s="1819"/>
      <c r="B82" s="1820"/>
      <c r="C82" s="1820"/>
      <c r="D82" s="1820"/>
      <c r="E82" s="1820"/>
      <c r="F82" s="1820"/>
      <c r="G82" s="1820"/>
      <c r="H82" s="1820"/>
      <c r="I82" s="1820"/>
      <c r="J82" s="1820"/>
      <c r="K82" s="5579" t="s">
        <v>462</v>
      </c>
      <c r="L82" s="5551"/>
      <c r="M82" s="5551"/>
      <c r="N82" s="1802">
        <v>12</v>
      </c>
      <c r="O82" s="1802">
        <v>15</v>
      </c>
      <c r="P82" s="1802">
        <v>20</v>
      </c>
      <c r="Q82" s="1802">
        <v>23</v>
      </c>
      <c r="R82" s="1802">
        <v>27</v>
      </c>
      <c r="S82" s="1802">
        <v>30</v>
      </c>
      <c r="T82" s="1802">
        <v>38</v>
      </c>
      <c r="U82" s="1802">
        <v>47</v>
      </c>
      <c r="V82" s="1802">
        <v>58</v>
      </c>
      <c r="W82" s="1802">
        <v>73</v>
      </c>
      <c r="X82" s="1802">
        <v>87</v>
      </c>
      <c r="Y82" s="1802">
        <v>97</v>
      </c>
      <c r="Z82" s="1810">
        <v>108</v>
      </c>
    </row>
    <row r="83" spans="1:26">
      <c r="A83" s="1819"/>
      <c r="B83" s="1820"/>
      <c r="C83" s="1820"/>
      <c r="D83" s="1820"/>
      <c r="E83" s="1820"/>
      <c r="F83" s="1820"/>
      <c r="G83" s="1820"/>
      <c r="H83" s="1820"/>
      <c r="I83" s="1820"/>
      <c r="J83" s="1820"/>
      <c r="K83" s="5584" t="s">
        <v>2524</v>
      </c>
      <c r="L83" s="5550" t="s">
        <v>11895</v>
      </c>
      <c r="M83" s="5551"/>
      <c r="N83" s="5398">
        <v>15</v>
      </c>
      <c r="O83" s="5398">
        <v>16</v>
      </c>
      <c r="P83" s="5398">
        <v>20</v>
      </c>
      <c r="Q83" s="5398">
        <v>22</v>
      </c>
      <c r="R83" s="5398">
        <v>28</v>
      </c>
      <c r="S83" s="5398">
        <v>32</v>
      </c>
      <c r="T83" s="5398">
        <v>42</v>
      </c>
      <c r="U83" s="5398">
        <v>50</v>
      </c>
      <c r="V83" s="5398">
        <v>62</v>
      </c>
      <c r="W83" s="5398">
        <v>76</v>
      </c>
      <c r="X83" s="5398">
        <v>92</v>
      </c>
      <c r="Y83" s="5398">
        <v>108</v>
      </c>
      <c r="Z83" s="5384">
        <v>122</v>
      </c>
    </row>
    <row r="84" spans="1:26">
      <c r="A84" s="1819"/>
      <c r="B84" s="1820"/>
      <c r="C84" s="1820"/>
      <c r="D84" s="1820"/>
      <c r="E84" s="1820"/>
      <c r="F84" s="1820"/>
      <c r="G84" s="1820"/>
      <c r="H84" s="1820"/>
      <c r="I84" s="1820"/>
      <c r="J84" s="1820"/>
      <c r="K84" s="5585"/>
      <c r="L84" s="5551"/>
      <c r="M84" s="5551"/>
      <c r="N84" s="5400"/>
      <c r="O84" s="5400"/>
      <c r="P84" s="5400"/>
      <c r="Q84" s="5400"/>
      <c r="R84" s="5400"/>
      <c r="S84" s="5400"/>
      <c r="T84" s="5400"/>
      <c r="U84" s="5400"/>
      <c r="V84" s="5400"/>
      <c r="W84" s="5400"/>
      <c r="X84" s="5400"/>
      <c r="Y84" s="5400"/>
      <c r="Z84" s="5386"/>
    </row>
    <row r="85" spans="1:26">
      <c r="A85" s="1819"/>
      <c r="B85" s="1820"/>
      <c r="C85" s="1820"/>
      <c r="D85" s="1820"/>
      <c r="E85" s="1820"/>
      <c r="F85" s="1820"/>
      <c r="G85" s="1820"/>
      <c r="H85" s="1820"/>
      <c r="I85" s="1820"/>
      <c r="J85" s="1820"/>
      <c r="K85" s="5585"/>
      <c r="L85" s="5550" t="s">
        <v>11916</v>
      </c>
      <c r="M85" s="5551"/>
      <c r="N85" s="5396">
        <v>0</v>
      </c>
      <c r="O85" s="5396"/>
      <c r="P85" s="5510">
        <v>0</v>
      </c>
      <c r="Q85" s="5511"/>
      <c r="R85" s="5511"/>
      <c r="S85" s="5511"/>
      <c r="T85" s="5512"/>
      <c r="U85" s="5510">
        <v>0</v>
      </c>
      <c r="V85" s="5511"/>
      <c r="W85" s="5511"/>
      <c r="X85" s="5511"/>
      <c r="Y85" s="5511"/>
      <c r="Z85" s="5516"/>
    </row>
    <row r="86" spans="1:26">
      <c r="A86" s="1819"/>
      <c r="B86" s="1820"/>
      <c r="C86" s="1820"/>
      <c r="D86" s="1820"/>
      <c r="E86" s="1820"/>
      <c r="F86" s="1820"/>
      <c r="G86" s="1820"/>
      <c r="H86" s="1820"/>
      <c r="I86" s="1820"/>
      <c r="J86" s="1820"/>
      <c r="K86" s="5586"/>
      <c r="L86" s="5551"/>
      <c r="M86" s="5551"/>
      <c r="N86" s="5396"/>
      <c r="O86" s="5396"/>
      <c r="P86" s="5513"/>
      <c r="Q86" s="5514"/>
      <c r="R86" s="5514"/>
      <c r="S86" s="5514"/>
      <c r="T86" s="5515"/>
      <c r="U86" s="5513"/>
      <c r="V86" s="5514"/>
      <c r="W86" s="5514"/>
      <c r="X86" s="5514"/>
      <c r="Y86" s="5514"/>
      <c r="Z86" s="5517"/>
    </row>
    <row r="87" spans="1:26">
      <c r="A87" s="1819"/>
      <c r="B87" s="1820"/>
      <c r="C87" s="1820"/>
      <c r="D87" s="1820"/>
      <c r="E87" s="1820"/>
      <c r="F87" s="1820"/>
      <c r="G87" s="1820"/>
      <c r="H87" s="1820"/>
      <c r="I87" s="1820"/>
      <c r="J87" s="1820"/>
      <c r="K87" s="5580" t="s">
        <v>963</v>
      </c>
      <c r="L87" s="5581"/>
      <c r="M87" s="5581"/>
      <c r="N87" s="5379">
        <v>0.5</v>
      </c>
      <c r="O87" s="5379"/>
      <c r="P87" s="5398">
        <v>1</v>
      </c>
      <c r="Q87" s="5398"/>
      <c r="R87" s="5398"/>
      <c r="S87" s="5398"/>
      <c r="T87" s="5398">
        <v>1.5</v>
      </c>
      <c r="U87" s="5398"/>
      <c r="V87" s="5398">
        <v>2</v>
      </c>
      <c r="W87" s="5398"/>
      <c r="X87" s="5398"/>
      <c r="Y87" s="5398"/>
      <c r="Z87" s="5384"/>
    </row>
    <row r="88" spans="1:26">
      <c r="A88" s="1821"/>
      <c r="B88" s="1818"/>
      <c r="C88" s="1818"/>
      <c r="D88" s="1818"/>
      <c r="E88" s="1818"/>
      <c r="F88" s="1818"/>
      <c r="G88" s="1818"/>
      <c r="H88" s="1818"/>
      <c r="I88" s="1818"/>
      <c r="J88" s="1818"/>
      <c r="K88" s="1835"/>
      <c r="L88" s="1835"/>
      <c r="M88" s="1835"/>
      <c r="N88" s="1826"/>
      <c r="O88" s="1836"/>
      <c r="P88" s="1836"/>
      <c r="Q88" s="1836"/>
      <c r="R88" s="1836"/>
      <c r="S88" s="1836"/>
      <c r="T88" s="1836"/>
      <c r="U88" s="1836"/>
      <c r="V88" s="1836"/>
      <c r="W88" s="1836"/>
      <c r="X88" s="1836"/>
      <c r="Y88" s="1836"/>
      <c r="Z88" s="1840"/>
    </row>
    <row r="89" spans="1:26">
      <c r="A89" s="5552" t="s">
        <v>11917</v>
      </c>
      <c r="B89" s="5553"/>
      <c r="C89" s="5553"/>
      <c r="D89" s="5553"/>
      <c r="E89" s="5553"/>
      <c r="F89" s="5553"/>
      <c r="G89" s="5553"/>
      <c r="H89" s="5553"/>
      <c r="I89" s="5553"/>
      <c r="J89" s="5553"/>
      <c r="K89" s="5553"/>
      <c r="L89" s="1820"/>
      <c r="M89" s="1820"/>
      <c r="N89" s="1786"/>
      <c r="O89" s="1823"/>
      <c r="P89" s="1823"/>
      <c r="Q89" s="1823"/>
      <c r="R89" s="1823"/>
      <c r="S89" s="1823"/>
      <c r="T89" s="1823"/>
      <c r="U89" s="1823"/>
      <c r="V89" s="1823"/>
      <c r="W89" s="1823"/>
      <c r="X89" s="1823"/>
      <c r="Y89" s="1823"/>
      <c r="Z89" s="1841"/>
    </row>
    <row r="90" spans="1:26">
      <c r="A90" s="5554"/>
      <c r="B90" s="5553"/>
      <c r="C90" s="5553"/>
      <c r="D90" s="5553"/>
      <c r="E90" s="5553"/>
      <c r="F90" s="5553"/>
      <c r="G90" s="5553"/>
      <c r="H90" s="5553"/>
      <c r="I90" s="5553"/>
      <c r="J90" s="5553"/>
      <c r="K90" s="5553"/>
      <c r="L90" s="1820"/>
      <c r="M90" s="1820"/>
      <c r="N90" s="1786"/>
      <c r="O90" s="1823"/>
      <c r="P90" s="1823"/>
      <c r="Q90" s="1823"/>
      <c r="R90" s="1823"/>
      <c r="S90" s="1823"/>
      <c r="T90" s="1823"/>
      <c r="U90" s="1823"/>
      <c r="V90" s="1823"/>
      <c r="W90" s="1823"/>
      <c r="X90" s="1823"/>
      <c r="Y90" s="1823"/>
      <c r="Z90" s="1841"/>
    </row>
    <row r="91" spans="1:26">
      <c r="A91" s="1822"/>
      <c r="B91" s="1823"/>
      <c r="C91" s="1823"/>
      <c r="D91" s="1823"/>
      <c r="E91" s="1823"/>
      <c r="F91" s="1823"/>
      <c r="G91" s="1823"/>
      <c r="H91" s="5582" t="s">
        <v>11918</v>
      </c>
      <c r="I91" s="5583"/>
      <c r="J91" s="5583"/>
      <c r="K91" s="5583"/>
      <c r="L91" s="5583"/>
      <c r="M91" s="5583"/>
      <c r="N91" s="5583"/>
      <c r="O91" s="5583"/>
      <c r="P91" s="5583"/>
      <c r="Q91" s="1823"/>
      <c r="R91" s="1823"/>
      <c r="S91" s="1823"/>
      <c r="T91" s="1823"/>
      <c r="U91" s="1823"/>
      <c r="V91" s="1823"/>
      <c r="W91" s="1823"/>
      <c r="X91" s="1823"/>
      <c r="Y91" s="1823"/>
      <c r="Z91" s="1841"/>
    </row>
    <row r="92" spans="1:26">
      <c r="A92" s="1824"/>
      <c r="B92" s="1825"/>
      <c r="C92" s="1826"/>
      <c r="D92" s="1826"/>
      <c r="E92" s="1826"/>
      <c r="F92" s="1826"/>
      <c r="G92" s="1826"/>
      <c r="H92" s="1827"/>
      <c r="I92" s="1837"/>
      <c r="J92" s="1837"/>
      <c r="K92" s="1837"/>
      <c r="L92" s="1837"/>
      <c r="M92" s="1837"/>
      <c r="N92" s="1837"/>
      <c r="O92" s="1837"/>
      <c r="P92" s="1837"/>
      <c r="Q92" s="1837"/>
      <c r="R92" s="1837"/>
      <c r="S92" s="1837"/>
      <c r="T92" s="1837"/>
      <c r="U92" s="1837"/>
      <c r="V92" s="1837"/>
      <c r="W92" s="1837"/>
      <c r="X92" s="1837"/>
      <c r="Y92" s="1837"/>
      <c r="Z92" s="1842"/>
    </row>
    <row r="93" spans="1:26">
      <c r="A93" s="1792"/>
      <c r="B93" s="1793"/>
      <c r="C93" s="1786"/>
      <c r="D93" s="1786"/>
      <c r="E93" s="1786"/>
      <c r="F93" s="1786"/>
      <c r="G93" s="1786"/>
      <c r="H93" s="1789"/>
      <c r="I93" s="1794"/>
      <c r="J93" s="1794"/>
      <c r="K93" s="1794"/>
      <c r="L93" s="1794"/>
      <c r="M93" s="1794"/>
      <c r="N93" s="1794"/>
      <c r="O93" s="1794"/>
      <c r="P93" s="1794"/>
      <c r="Q93" s="1794"/>
      <c r="R93" s="1794"/>
      <c r="S93" s="1794"/>
      <c r="T93" s="1794"/>
      <c r="U93" s="1794"/>
      <c r="V93" s="1794"/>
      <c r="W93" s="1794"/>
      <c r="X93" s="1794"/>
      <c r="Y93" s="1794"/>
      <c r="Z93" s="1812"/>
    </row>
    <row r="94" spans="1:26">
      <c r="A94" s="1784"/>
      <c r="B94" s="1793"/>
      <c r="C94" s="1786"/>
      <c r="D94" s="1786"/>
      <c r="E94" s="1786"/>
      <c r="F94" s="1786"/>
      <c r="G94" s="1786"/>
      <c r="H94" s="1168"/>
      <c r="I94" s="1786"/>
      <c r="J94" s="1786"/>
      <c r="K94" s="1786"/>
      <c r="L94" s="1786"/>
      <c r="M94" s="1786"/>
      <c r="N94" s="1786"/>
      <c r="O94" s="1786"/>
      <c r="P94" s="1786"/>
      <c r="Q94" s="1786"/>
      <c r="R94" s="1786"/>
      <c r="S94" s="1786"/>
      <c r="T94" s="1786"/>
      <c r="U94" s="1786"/>
      <c r="V94" s="1786"/>
      <c r="W94" s="1786"/>
      <c r="X94" s="1786"/>
      <c r="Y94" s="1786"/>
      <c r="Z94" s="1809"/>
    </row>
    <row r="95" spans="1:26">
      <c r="A95" s="1792"/>
      <c r="B95" s="1793"/>
      <c r="C95" s="1786"/>
      <c r="D95" s="1786"/>
      <c r="E95" s="1786"/>
      <c r="F95" s="1786"/>
      <c r="G95" s="1786"/>
      <c r="H95" s="1786"/>
      <c r="I95" s="1786"/>
      <c r="J95" s="1786"/>
      <c r="K95" s="1786"/>
      <c r="L95" s="1786"/>
      <c r="M95" s="1786"/>
      <c r="N95" s="1786"/>
      <c r="O95" s="1786"/>
      <c r="P95" s="1786"/>
      <c r="Q95" s="1786"/>
      <c r="R95" s="1786"/>
      <c r="S95" s="1786"/>
      <c r="T95" s="1786"/>
      <c r="U95" s="1786"/>
      <c r="V95" s="1786"/>
      <c r="W95" s="1786"/>
      <c r="X95" s="1786"/>
      <c r="Y95" s="1786"/>
      <c r="Z95" s="1809"/>
    </row>
    <row r="96" spans="1:26">
      <c r="A96" s="1792"/>
      <c r="B96" s="1793"/>
      <c r="C96" s="1786"/>
      <c r="D96" s="1786"/>
      <c r="E96" s="1786"/>
      <c r="F96" s="1786"/>
      <c r="G96" s="1786"/>
      <c r="H96" s="1795"/>
      <c r="I96" s="1786"/>
      <c r="J96" s="1786"/>
      <c r="K96" s="1786"/>
      <c r="L96" s="1786"/>
      <c r="M96" s="1786"/>
      <c r="N96" s="1786"/>
      <c r="O96" s="1786"/>
      <c r="P96" s="1786"/>
      <c r="Q96" s="1786"/>
      <c r="R96" s="1786"/>
      <c r="S96" s="1786"/>
      <c r="T96" s="1786"/>
      <c r="U96" s="1786"/>
      <c r="V96" s="1786"/>
      <c r="W96" s="1786"/>
      <c r="X96" s="1786"/>
      <c r="Y96" s="1786"/>
      <c r="Z96" s="1809"/>
    </row>
    <row r="97" spans="1:26">
      <c r="A97" s="1792"/>
      <c r="B97" s="1793"/>
      <c r="C97" s="1786"/>
      <c r="D97" s="1786"/>
      <c r="E97" s="1786"/>
      <c r="F97" s="1786"/>
      <c r="G97" s="1786"/>
      <c r="H97" s="1793"/>
      <c r="I97" s="1786"/>
      <c r="J97" s="1786"/>
      <c r="K97" s="1786"/>
      <c r="L97" s="1786"/>
      <c r="M97" s="1786"/>
      <c r="N97" s="1786"/>
      <c r="O97" s="1786"/>
      <c r="P97" s="1786"/>
      <c r="Q97" s="1786"/>
      <c r="R97" s="1786"/>
      <c r="S97" s="1786"/>
      <c r="T97" s="1786"/>
      <c r="U97" s="1786"/>
      <c r="V97" s="1786"/>
      <c r="W97" s="1786"/>
      <c r="X97" s="1786"/>
      <c r="Y97" s="1786"/>
      <c r="Z97" s="1809"/>
    </row>
    <row r="98" spans="1:26">
      <c r="A98" s="1792"/>
      <c r="B98" s="1793"/>
      <c r="C98" s="1786"/>
      <c r="D98" s="1786"/>
      <c r="E98" s="1786"/>
      <c r="F98" s="1786"/>
      <c r="G98" s="1786"/>
      <c r="H98" s="1795"/>
      <c r="I98" s="1786"/>
      <c r="J98" s="1786"/>
      <c r="K98" s="1786"/>
      <c r="L98" s="1786"/>
      <c r="M98" s="1786"/>
      <c r="N98" s="1786"/>
      <c r="O98" s="1786"/>
      <c r="P98" s="1786"/>
      <c r="Q98" s="1786"/>
      <c r="R98" s="1786"/>
      <c r="S98" s="1786"/>
      <c r="T98" s="1786"/>
      <c r="U98" s="1786"/>
      <c r="V98" s="1786"/>
      <c r="W98" s="1786"/>
      <c r="X98" s="1786"/>
      <c r="Y98" s="1786"/>
      <c r="Z98" s="1809"/>
    </row>
    <row r="99" spans="1:26">
      <c r="A99" s="1796"/>
      <c r="B99" s="1797"/>
      <c r="C99" s="1798"/>
      <c r="D99" s="1798"/>
      <c r="E99" s="1798"/>
      <c r="F99" s="1798"/>
      <c r="G99" s="1798"/>
      <c r="H99" s="1797"/>
      <c r="I99" s="1798"/>
      <c r="J99" s="1798"/>
      <c r="K99" s="1798"/>
      <c r="L99" s="1798"/>
      <c r="M99" s="1798"/>
      <c r="N99" s="1798"/>
      <c r="O99" s="1798"/>
      <c r="P99" s="1798"/>
      <c r="Q99" s="1798"/>
      <c r="R99" s="1798"/>
      <c r="S99" s="1798"/>
      <c r="T99" s="1798"/>
      <c r="U99" s="1798"/>
      <c r="V99" s="1798"/>
      <c r="W99" s="1798"/>
      <c r="X99" s="1798"/>
      <c r="Y99" s="1798"/>
      <c r="Z99" s="1813"/>
    </row>
    <row r="100" spans="1:26">
      <c r="A100" s="5430" t="s">
        <v>11861</v>
      </c>
      <c r="B100" s="5346"/>
      <c r="C100" s="5346"/>
      <c r="D100" s="5346"/>
      <c r="E100" s="5346"/>
      <c r="F100" s="5346"/>
      <c r="G100" s="5346"/>
      <c r="H100" s="5346" t="s">
        <v>11862</v>
      </c>
      <c r="I100" s="5346"/>
      <c r="J100" s="5346"/>
      <c r="K100" s="5346" t="s">
        <v>11863</v>
      </c>
      <c r="L100" s="5346"/>
      <c r="M100" s="5346"/>
      <c r="N100" s="5346"/>
      <c r="O100" s="5346"/>
      <c r="P100" s="5346"/>
      <c r="Q100" s="5346"/>
      <c r="R100" s="5346"/>
      <c r="S100" s="5346"/>
      <c r="T100" s="5346"/>
      <c r="U100" s="5346" t="s">
        <v>11864</v>
      </c>
      <c r="V100" s="5346"/>
      <c r="W100" s="5346"/>
      <c r="X100" s="5346"/>
      <c r="Y100" s="5346"/>
      <c r="Z100" s="5431"/>
    </row>
    <row r="101" spans="1:26">
      <c r="A101" s="5349" t="s">
        <v>11899</v>
      </c>
      <c r="B101" s="5350"/>
      <c r="C101" s="5350"/>
      <c r="D101" s="5350"/>
      <c r="E101" s="5350"/>
      <c r="F101" s="5350"/>
      <c r="G101" s="5351"/>
      <c r="H101" s="5355"/>
      <c r="I101" s="5355"/>
      <c r="J101" s="5355"/>
      <c r="K101" s="5355" t="s">
        <v>11866</v>
      </c>
      <c r="L101" s="5355"/>
      <c r="M101" s="5355" t="s">
        <v>961</v>
      </c>
      <c r="N101" s="5355"/>
      <c r="O101" s="5355" t="s">
        <v>962</v>
      </c>
      <c r="P101" s="5355"/>
      <c r="Q101" s="5355" t="s">
        <v>1957</v>
      </c>
      <c r="R101" s="5355"/>
      <c r="S101" s="5355" t="s">
        <v>2524</v>
      </c>
      <c r="T101" s="5355"/>
      <c r="U101" s="5355"/>
      <c r="V101" s="5355"/>
      <c r="W101" s="5355"/>
      <c r="X101" s="5355"/>
      <c r="Y101" s="5355"/>
      <c r="Z101" s="5356"/>
    </row>
    <row r="102" spans="1:26">
      <c r="A102" s="5352"/>
      <c r="B102" s="5353"/>
      <c r="C102" s="5353"/>
      <c r="D102" s="5353"/>
      <c r="E102" s="5353"/>
      <c r="F102" s="5353"/>
      <c r="G102" s="5354"/>
      <c r="H102" s="5348"/>
      <c r="I102" s="5348"/>
      <c r="J102" s="5348"/>
      <c r="K102" s="5348" t="s">
        <v>11867</v>
      </c>
      <c r="L102" s="5348"/>
      <c r="M102" s="5348"/>
      <c r="N102" s="5348"/>
      <c r="O102" s="5348"/>
      <c r="P102" s="5348"/>
      <c r="Q102" s="5348"/>
      <c r="R102" s="5348"/>
      <c r="S102" s="5348"/>
      <c r="T102" s="5348"/>
      <c r="U102" s="5348"/>
      <c r="V102" s="5348"/>
      <c r="W102" s="5348"/>
      <c r="X102" s="5348"/>
      <c r="Y102" s="5348"/>
      <c r="Z102" s="5357"/>
    </row>
    <row r="103" spans="1:26" ht="10.5" customHeight="1"/>
    <row r="104" spans="1:26" ht="20.25">
      <c r="A104" s="5345" t="s">
        <v>11868</v>
      </c>
      <c r="B104" s="5346"/>
      <c r="C104" s="5346"/>
      <c r="D104" s="5346"/>
      <c r="E104" s="5346"/>
      <c r="F104" s="5346"/>
      <c r="G104" s="5346"/>
      <c r="H104" s="5432" t="s">
        <v>11797</v>
      </c>
      <c r="I104" s="5432"/>
      <c r="J104" s="5432"/>
      <c r="K104" s="5432"/>
      <c r="L104" s="5432"/>
      <c r="M104" s="5432"/>
      <c r="N104" s="5432"/>
      <c r="O104" s="5432"/>
      <c r="P104" s="5432"/>
      <c r="Q104" s="5432"/>
      <c r="R104" s="5432"/>
      <c r="S104" s="5432"/>
      <c r="T104" s="5432"/>
      <c r="U104" s="5433" t="s">
        <v>11798</v>
      </c>
      <c r="V104" s="5433"/>
      <c r="W104" s="5433"/>
      <c r="X104" s="5433"/>
      <c r="Y104" s="5433"/>
      <c r="Z104" s="5434"/>
    </row>
    <row r="105" spans="1:26">
      <c r="A105" s="5347"/>
      <c r="B105" s="5348"/>
      <c r="C105" s="5348"/>
      <c r="D105" s="5348"/>
      <c r="E105" s="5348"/>
      <c r="F105" s="5348"/>
      <c r="G105" s="5348"/>
      <c r="H105" s="5348" t="s">
        <v>11888</v>
      </c>
      <c r="I105" s="5348"/>
      <c r="J105" s="5348"/>
      <c r="K105" s="5348"/>
      <c r="L105" s="5348"/>
      <c r="M105" s="5348"/>
      <c r="N105" s="5348"/>
      <c r="O105" s="5348"/>
      <c r="P105" s="5348"/>
      <c r="Q105" s="5348"/>
      <c r="R105" s="5348"/>
      <c r="S105" s="5348"/>
      <c r="T105" s="5348"/>
      <c r="U105" s="5435" t="s">
        <v>11889</v>
      </c>
      <c r="V105" s="5435"/>
      <c r="W105" s="5435"/>
      <c r="X105" s="5435" t="s">
        <v>11919</v>
      </c>
      <c r="Y105" s="5435"/>
      <c r="Z105" s="5436"/>
    </row>
    <row r="106" spans="1:26">
      <c r="A106" s="1781"/>
      <c r="B106" s="1782"/>
      <c r="C106" s="1782"/>
      <c r="D106" s="1782"/>
      <c r="E106" s="1782"/>
      <c r="F106" s="1782"/>
      <c r="G106" s="1782"/>
      <c r="H106" s="1782"/>
      <c r="I106" s="1782"/>
      <c r="J106" s="1782"/>
      <c r="K106" s="1782"/>
      <c r="L106" s="1782"/>
      <c r="M106" s="1782"/>
      <c r="N106" s="1782"/>
      <c r="O106" s="1782"/>
      <c r="P106" s="1782"/>
      <c r="Q106" s="1782"/>
      <c r="R106" s="1782"/>
      <c r="S106" s="1782"/>
      <c r="T106" s="1782"/>
      <c r="U106" s="1782"/>
      <c r="V106" s="1782"/>
      <c r="W106" s="1782"/>
      <c r="X106" s="1782"/>
      <c r="Y106" s="1782"/>
      <c r="Z106" s="1806"/>
    </row>
    <row r="107" spans="1:26">
      <c r="A107" s="1828"/>
      <c r="B107" s="1804"/>
      <c r="C107" s="1804"/>
      <c r="D107" s="1804"/>
      <c r="E107" s="1804"/>
      <c r="F107" s="1804"/>
      <c r="G107" s="1804"/>
      <c r="H107" s="1804"/>
      <c r="I107" s="1804"/>
      <c r="J107" s="1804"/>
      <c r="K107" s="1804"/>
      <c r="L107" s="1804"/>
      <c r="M107" s="1804"/>
      <c r="N107" s="1804"/>
      <c r="O107" s="1800"/>
      <c r="P107" s="1800"/>
      <c r="Q107" s="1800"/>
      <c r="R107" s="1800"/>
      <c r="S107" s="1800"/>
      <c r="T107" s="1800"/>
      <c r="U107" s="1800"/>
      <c r="V107" s="1800"/>
      <c r="W107" s="1800"/>
      <c r="X107" s="1800"/>
      <c r="Y107" s="1800"/>
      <c r="Z107" s="1807"/>
    </row>
    <row r="108" spans="1:26">
      <c r="A108" s="5486" t="s">
        <v>11920</v>
      </c>
      <c r="B108" s="5484"/>
      <c r="C108" s="5498" t="s">
        <v>2524</v>
      </c>
      <c r="D108" s="5444"/>
      <c r="E108" s="5498" t="s">
        <v>961</v>
      </c>
      <c r="F108" s="5444"/>
      <c r="G108" s="5444"/>
      <c r="H108" s="5444"/>
      <c r="I108" s="5498" t="s">
        <v>962</v>
      </c>
      <c r="J108" s="5444"/>
      <c r="K108" s="5444"/>
      <c r="L108" s="5444"/>
      <c r="M108" s="5444"/>
      <c r="N108" s="5498" t="s">
        <v>11842</v>
      </c>
      <c r="O108" s="5444"/>
      <c r="P108" s="5444"/>
      <c r="Q108" s="5444"/>
      <c r="R108" s="5444"/>
      <c r="S108" s="5498" t="s">
        <v>487</v>
      </c>
      <c r="T108" s="5444"/>
      <c r="U108" s="5444"/>
      <c r="V108" s="5444"/>
      <c r="W108" s="5498" t="s">
        <v>429</v>
      </c>
      <c r="X108" s="5444"/>
      <c r="Y108" s="5498" t="s">
        <v>1966</v>
      </c>
      <c r="Z108" s="5575"/>
    </row>
    <row r="109" spans="1:26">
      <c r="A109" s="5373"/>
      <c r="B109" s="5380"/>
      <c r="C109" s="5380" t="s">
        <v>11898</v>
      </c>
      <c r="D109" s="5380"/>
      <c r="E109" s="5380" t="s">
        <v>11895</v>
      </c>
      <c r="F109" s="5380"/>
      <c r="G109" s="5380" t="s">
        <v>11921</v>
      </c>
      <c r="H109" s="5380"/>
      <c r="I109" s="5380" t="s">
        <v>11895</v>
      </c>
      <c r="J109" s="5380"/>
      <c r="K109" s="5380" t="s">
        <v>11921</v>
      </c>
      <c r="L109" s="5380"/>
      <c r="M109" s="5380"/>
      <c r="N109" s="5380" t="s">
        <v>11895</v>
      </c>
      <c r="O109" s="5380"/>
      <c r="P109" s="5380" t="s">
        <v>11921</v>
      </c>
      <c r="Q109" s="5380"/>
      <c r="R109" s="5380"/>
      <c r="S109" s="5380" t="s">
        <v>11895</v>
      </c>
      <c r="T109" s="5380"/>
      <c r="U109" s="5380" t="s">
        <v>11921</v>
      </c>
      <c r="V109" s="5380"/>
      <c r="W109" s="5380" t="s">
        <v>11897</v>
      </c>
      <c r="X109" s="5380"/>
      <c r="Y109" s="5380" t="s">
        <v>11897</v>
      </c>
      <c r="Z109" s="5483"/>
    </row>
    <row r="110" spans="1:26">
      <c r="A110" s="5373"/>
      <c r="B110" s="5380"/>
      <c r="C110" s="5380"/>
      <c r="D110" s="5380"/>
      <c r="E110" s="5380"/>
      <c r="F110" s="5380"/>
      <c r="G110" s="5380"/>
      <c r="H110" s="5380"/>
      <c r="I110" s="5380"/>
      <c r="J110" s="5380"/>
      <c r="K110" s="5380"/>
      <c r="L110" s="5380"/>
      <c r="M110" s="5380"/>
      <c r="N110" s="5380"/>
      <c r="O110" s="5380"/>
      <c r="P110" s="5380"/>
      <c r="Q110" s="5380"/>
      <c r="R110" s="5380"/>
      <c r="S110" s="5380"/>
      <c r="T110" s="5380"/>
      <c r="U110" s="5380"/>
      <c r="V110" s="5380"/>
      <c r="W110" s="5380"/>
      <c r="X110" s="5380"/>
      <c r="Y110" s="5380"/>
      <c r="Z110" s="5483"/>
    </row>
    <row r="111" spans="1:26">
      <c r="A111" s="5570">
        <v>5</v>
      </c>
      <c r="B111" s="5396"/>
      <c r="C111" s="5396" t="s">
        <v>518</v>
      </c>
      <c r="D111" s="5396"/>
      <c r="E111" s="5396">
        <v>5</v>
      </c>
      <c r="F111" s="5396"/>
      <c r="G111" s="5534"/>
      <c r="H111" s="5535"/>
      <c r="I111" s="5496">
        <v>9</v>
      </c>
      <c r="J111" s="5571"/>
      <c r="K111" s="5510"/>
      <c r="L111" s="5511"/>
      <c r="M111" s="5512"/>
      <c r="N111" s="5496">
        <v>3</v>
      </c>
      <c r="O111" s="5571"/>
      <c r="P111" s="5496"/>
      <c r="Q111" s="5574"/>
      <c r="R111" s="5571"/>
      <c r="S111" s="5496">
        <v>6.5</v>
      </c>
      <c r="T111" s="5571"/>
      <c r="U111" s="5510"/>
      <c r="V111" s="5512"/>
      <c r="W111" s="5572">
        <v>1</v>
      </c>
      <c r="X111" s="5573"/>
      <c r="Y111" s="5475">
        <v>0.3</v>
      </c>
      <c r="Z111" s="5531"/>
    </row>
    <row r="112" spans="1:26">
      <c r="A112" s="5570">
        <v>6</v>
      </c>
      <c r="B112" s="5396"/>
      <c r="C112" s="5396" t="s">
        <v>519</v>
      </c>
      <c r="D112" s="5396"/>
      <c r="E112" s="5396">
        <v>6</v>
      </c>
      <c r="F112" s="5396"/>
      <c r="G112" s="5536"/>
      <c r="H112" s="5537"/>
      <c r="I112" s="5496">
        <v>10</v>
      </c>
      <c r="J112" s="5571"/>
      <c r="K112" s="5513"/>
      <c r="L112" s="5514"/>
      <c r="M112" s="5515"/>
      <c r="N112" s="5496">
        <v>4</v>
      </c>
      <c r="O112" s="5571"/>
      <c r="P112" s="5510"/>
      <c r="Q112" s="5511"/>
      <c r="R112" s="5512"/>
      <c r="S112" s="5496">
        <v>8</v>
      </c>
      <c r="T112" s="5571"/>
      <c r="U112" s="5528"/>
      <c r="V112" s="5530"/>
      <c r="W112" s="5475">
        <v>1.6</v>
      </c>
      <c r="X112" s="5476"/>
      <c r="Y112" s="5477"/>
      <c r="Z112" s="5532"/>
    </row>
    <row r="113" spans="1:26">
      <c r="A113" s="5570">
        <v>8</v>
      </c>
      <c r="B113" s="5396"/>
      <c r="C113" s="5396" t="s">
        <v>520</v>
      </c>
      <c r="D113" s="5396"/>
      <c r="E113" s="5396">
        <v>8</v>
      </c>
      <c r="F113" s="5396"/>
      <c r="G113" s="5536"/>
      <c r="H113" s="5537"/>
      <c r="I113" s="5496">
        <v>13</v>
      </c>
      <c r="J113" s="5571"/>
      <c r="K113" s="5510"/>
      <c r="L113" s="5511"/>
      <c r="M113" s="5512"/>
      <c r="N113" s="5496">
        <v>6</v>
      </c>
      <c r="O113" s="5571"/>
      <c r="P113" s="5528"/>
      <c r="Q113" s="5529"/>
      <c r="R113" s="5530"/>
      <c r="S113" s="5496">
        <v>10</v>
      </c>
      <c r="T113" s="5571"/>
      <c r="U113" s="5513"/>
      <c r="V113" s="5515"/>
      <c r="W113" s="5477"/>
      <c r="X113" s="5478"/>
      <c r="Y113" s="5477"/>
      <c r="Z113" s="5532"/>
    </row>
    <row r="114" spans="1:26">
      <c r="A114" s="5570">
        <v>10</v>
      </c>
      <c r="B114" s="5396"/>
      <c r="C114" s="5396" t="s">
        <v>521</v>
      </c>
      <c r="D114" s="5396"/>
      <c r="E114" s="5396">
        <v>10</v>
      </c>
      <c r="F114" s="5396"/>
      <c r="G114" s="5538"/>
      <c r="H114" s="5539"/>
      <c r="I114" s="5496">
        <v>15</v>
      </c>
      <c r="J114" s="5571"/>
      <c r="K114" s="5528"/>
      <c r="L114" s="5529"/>
      <c r="M114" s="5530"/>
      <c r="N114" s="5496">
        <v>6</v>
      </c>
      <c r="O114" s="5571"/>
      <c r="P114" s="5513"/>
      <c r="Q114" s="5514"/>
      <c r="R114" s="5515"/>
      <c r="S114" s="5496">
        <v>12</v>
      </c>
      <c r="T114" s="5571"/>
      <c r="U114" s="5510"/>
      <c r="V114" s="5512"/>
      <c r="W114" s="5479"/>
      <c r="X114" s="5480"/>
      <c r="Y114" s="5479"/>
      <c r="Z114" s="5533"/>
    </row>
    <row r="115" spans="1:26">
      <c r="A115" s="5570">
        <v>12</v>
      </c>
      <c r="B115" s="5396"/>
      <c r="C115" s="5396" t="s">
        <v>522</v>
      </c>
      <c r="D115" s="5396"/>
      <c r="E115" s="5396">
        <v>12</v>
      </c>
      <c r="F115" s="5396"/>
      <c r="G115" s="5510"/>
      <c r="H115" s="5512"/>
      <c r="I115" s="5496">
        <v>18</v>
      </c>
      <c r="J115" s="5571"/>
      <c r="K115" s="5513"/>
      <c r="L115" s="5514"/>
      <c r="M115" s="5515"/>
      <c r="N115" s="5496">
        <v>7</v>
      </c>
      <c r="O115" s="5571"/>
      <c r="P115" s="5510"/>
      <c r="Q115" s="5511"/>
      <c r="R115" s="5512"/>
      <c r="S115" s="5496">
        <v>14</v>
      </c>
      <c r="T115" s="5571"/>
      <c r="U115" s="5528"/>
      <c r="V115" s="5530"/>
      <c r="W115" s="5475">
        <v>2.5</v>
      </c>
      <c r="X115" s="5476"/>
      <c r="Y115" s="5475">
        <v>0.4</v>
      </c>
      <c r="Z115" s="5531"/>
    </row>
    <row r="116" spans="1:26">
      <c r="A116" s="5570">
        <v>14</v>
      </c>
      <c r="B116" s="5396"/>
      <c r="C116" s="5396" t="s">
        <v>523</v>
      </c>
      <c r="D116" s="5396"/>
      <c r="E116" s="5396">
        <v>14</v>
      </c>
      <c r="F116" s="5396"/>
      <c r="G116" s="5528"/>
      <c r="H116" s="5530"/>
      <c r="I116" s="5496">
        <v>22</v>
      </c>
      <c r="J116" s="5571"/>
      <c r="K116" s="5510"/>
      <c r="L116" s="5511"/>
      <c r="M116" s="5512"/>
      <c r="N116" s="5496">
        <v>8</v>
      </c>
      <c r="O116" s="5571"/>
      <c r="P116" s="5528"/>
      <c r="Q116" s="5529"/>
      <c r="R116" s="5530"/>
      <c r="S116" s="5496">
        <v>16</v>
      </c>
      <c r="T116" s="5571"/>
      <c r="U116" s="5513"/>
      <c r="V116" s="5515"/>
      <c r="W116" s="5477"/>
      <c r="X116" s="5478"/>
      <c r="Y116" s="5477"/>
      <c r="Z116" s="5532"/>
    </row>
    <row r="117" spans="1:26">
      <c r="A117" s="5570">
        <v>18</v>
      </c>
      <c r="B117" s="5396"/>
      <c r="C117" s="5396" t="s">
        <v>525</v>
      </c>
      <c r="D117" s="5396"/>
      <c r="E117" s="5396">
        <v>18</v>
      </c>
      <c r="F117" s="5396"/>
      <c r="G117" s="5528"/>
      <c r="H117" s="5530"/>
      <c r="I117" s="5496">
        <v>23</v>
      </c>
      <c r="J117" s="5571"/>
      <c r="K117" s="5513"/>
      <c r="L117" s="5514"/>
      <c r="M117" s="5515"/>
      <c r="N117" s="5496">
        <v>10</v>
      </c>
      <c r="O117" s="5571"/>
      <c r="P117" s="5513"/>
      <c r="Q117" s="5514"/>
      <c r="R117" s="5515"/>
      <c r="S117" s="5496">
        <v>20</v>
      </c>
      <c r="T117" s="5571"/>
      <c r="U117" s="5510"/>
      <c r="V117" s="5512"/>
      <c r="W117" s="5477"/>
      <c r="X117" s="5478"/>
      <c r="Y117" s="5479"/>
      <c r="Z117" s="5533"/>
    </row>
    <row r="118" spans="1:26">
      <c r="A118" s="5570">
        <v>22</v>
      </c>
      <c r="B118" s="5396"/>
      <c r="C118" s="5396" t="s">
        <v>527</v>
      </c>
      <c r="D118" s="5396"/>
      <c r="E118" s="5396">
        <v>22</v>
      </c>
      <c r="F118" s="5396"/>
      <c r="G118" s="5528"/>
      <c r="H118" s="5530"/>
      <c r="I118" s="5496">
        <v>34</v>
      </c>
      <c r="J118" s="5571"/>
      <c r="K118" s="5510"/>
      <c r="L118" s="5511"/>
      <c r="M118" s="5512"/>
      <c r="N118" s="5496">
        <v>14</v>
      </c>
      <c r="O118" s="5571"/>
      <c r="P118" s="5510"/>
      <c r="Q118" s="5511"/>
      <c r="R118" s="5512"/>
      <c r="S118" s="5496">
        <v>28</v>
      </c>
      <c r="T118" s="5571"/>
      <c r="U118" s="5513"/>
      <c r="V118" s="5515"/>
      <c r="W118" s="5479"/>
      <c r="X118" s="5480"/>
      <c r="Y118" s="5475">
        <v>0.5</v>
      </c>
      <c r="Z118" s="5531"/>
    </row>
    <row r="119" spans="1:26">
      <c r="A119" s="5570">
        <v>28</v>
      </c>
      <c r="B119" s="5396"/>
      <c r="C119" s="5396" t="s">
        <v>529</v>
      </c>
      <c r="D119" s="5396"/>
      <c r="E119" s="5396">
        <v>28</v>
      </c>
      <c r="F119" s="5396"/>
      <c r="G119" s="5513"/>
      <c r="H119" s="5515"/>
      <c r="I119" s="5496">
        <v>43</v>
      </c>
      <c r="J119" s="5571"/>
      <c r="K119" s="5513"/>
      <c r="L119" s="5514"/>
      <c r="M119" s="5515"/>
      <c r="N119" s="5496">
        <v>18</v>
      </c>
      <c r="O119" s="5571"/>
      <c r="P119" s="5513"/>
      <c r="Q119" s="5514"/>
      <c r="R119" s="5515"/>
      <c r="S119" s="5496">
        <v>36</v>
      </c>
      <c r="T119" s="5571"/>
      <c r="U119" s="5510"/>
      <c r="V119" s="5512"/>
      <c r="W119" s="5572">
        <v>4</v>
      </c>
      <c r="X119" s="5573"/>
      <c r="Y119" s="5477"/>
      <c r="Z119" s="5532"/>
    </row>
    <row r="120" spans="1:26">
      <c r="A120" s="5570">
        <v>36</v>
      </c>
      <c r="B120" s="5396"/>
      <c r="C120" s="5396" t="s">
        <v>531</v>
      </c>
      <c r="D120" s="5396"/>
      <c r="E120" s="5396">
        <v>36</v>
      </c>
      <c r="F120" s="5396"/>
      <c r="G120" s="5510"/>
      <c r="H120" s="5512"/>
      <c r="I120" s="5496">
        <v>53</v>
      </c>
      <c r="J120" s="5571"/>
      <c r="K120" s="5510"/>
      <c r="L120" s="5511"/>
      <c r="M120" s="5512"/>
      <c r="N120" s="5496">
        <v>23</v>
      </c>
      <c r="O120" s="5571"/>
      <c r="P120" s="5510"/>
      <c r="Q120" s="5511"/>
      <c r="R120" s="5512"/>
      <c r="S120" s="5496">
        <v>44</v>
      </c>
      <c r="T120" s="5571"/>
      <c r="U120" s="5513"/>
      <c r="V120" s="5515"/>
      <c r="W120" s="5475">
        <v>6</v>
      </c>
      <c r="X120" s="5476"/>
      <c r="Y120" s="5479"/>
      <c r="Z120" s="5533"/>
    </row>
    <row r="121" spans="1:26">
      <c r="A121" s="5570">
        <v>42</v>
      </c>
      <c r="B121" s="5396"/>
      <c r="C121" s="5396" t="s">
        <v>533</v>
      </c>
      <c r="D121" s="5396"/>
      <c r="E121" s="5396">
        <v>42</v>
      </c>
      <c r="F121" s="5396"/>
      <c r="G121" s="5528"/>
      <c r="H121" s="5530"/>
      <c r="I121" s="5496">
        <v>64</v>
      </c>
      <c r="J121" s="5571"/>
      <c r="K121" s="5528"/>
      <c r="L121" s="5529"/>
      <c r="M121" s="5530"/>
      <c r="N121" s="5496">
        <v>28</v>
      </c>
      <c r="O121" s="5571"/>
      <c r="P121" s="5513"/>
      <c r="Q121" s="5514"/>
      <c r="R121" s="5515"/>
      <c r="S121" s="5496">
        <v>52</v>
      </c>
      <c r="T121" s="5571"/>
      <c r="U121" s="5510"/>
      <c r="V121" s="5512"/>
      <c r="W121" s="5477"/>
      <c r="X121" s="5478"/>
      <c r="Y121" s="5475">
        <v>0.8</v>
      </c>
      <c r="Z121" s="5531"/>
    </row>
    <row r="122" spans="1:26">
      <c r="A122" s="5570">
        <v>48</v>
      </c>
      <c r="B122" s="5396"/>
      <c r="C122" s="5396" t="s">
        <v>3901</v>
      </c>
      <c r="D122" s="5396"/>
      <c r="E122" s="5396">
        <v>48</v>
      </c>
      <c r="F122" s="5396"/>
      <c r="G122" s="5528"/>
      <c r="H122" s="5530"/>
      <c r="I122" s="5496">
        <v>75</v>
      </c>
      <c r="J122" s="5571"/>
      <c r="K122" s="5513"/>
      <c r="L122" s="5514"/>
      <c r="M122" s="5515"/>
      <c r="N122" s="5496">
        <v>32</v>
      </c>
      <c r="O122" s="5571"/>
      <c r="P122" s="5510"/>
      <c r="Q122" s="5511"/>
      <c r="R122" s="5512"/>
      <c r="S122" s="5496">
        <v>60</v>
      </c>
      <c r="T122" s="5571"/>
      <c r="U122" s="5528"/>
      <c r="V122" s="5530"/>
      <c r="W122" s="5477"/>
      <c r="X122" s="5478"/>
      <c r="Y122" s="5477"/>
      <c r="Z122" s="5532"/>
    </row>
    <row r="123" spans="1:26">
      <c r="A123" s="5563">
        <v>54</v>
      </c>
      <c r="B123" s="5470"/>
      <c r="C123" s="5470" t="s">
        <v>11876</v>
      </c>
      <c r="D123" s="5470"/>
      <c r="E123" s="5470">
        <v>54</v>
      </c>
      <c r="F123" s="5470"/>
      <c r="G123" s="5540"/>
      <c r="H123" s="5541"/>
      <c r="I123" s="5564">
        <v>85</v>
      </c>
      <c r="J123" s="5565"/>
      <c r="K123" s="5564"/>
      <c r="L123" s="5566"/>
      <c r="M123" s="5565"/>
      <c r="N123" s="5564">
        <v>36</v>
      </c>
      <c r="O123" s="5565"/>
      <c r="P123" s="5540"/>
      <c r="Q123" s="5544"/>
      <c r="R123" s="5541"/>
      <c r="S123" s="5564">
        <v>70</v>
      </c>
      <c r="T123" s="5565"/>
      <c r="U123" s="5540"/>
      <c r="V123" s="5541"/>
      <c r="W123" s="5542"/>
      <c r="X123" s="5543"/>
      <c r="Y123" s="5542"/>
      <c r="Z123" s="5549"/>
    </row>
    <row r="124" spans="1:26">
      <c r="A124" s="5567" t="s">
        <v>11922</v>
      </c>
      <c r="B124" s="5568"/>
      <c r="C124" s="5568"/>
      <c r="D124" s="5568"/>
      <c r="E124" s="5568"/>
      <c r="F124" s="5568"/>
      <c r="G124" s="5568"/>
      <c r="H124" s="5568"/>
      <c r="I124" s="5568"/>
      <c r="J124" s="5568"/>
      <c r="K124" s="5568"/>
      <c r="L124" s="5568"/>
      <c r="M124" s="5568"/>
      <c r="N124" s="5568"/>
      <c r="O124" s="5568"/>
      <c r="P124" s="5568"/>
      <c r="Q124" s="5568"/>
      <c r="R124" s="5568"/>
      <c r="S124" s="5568"/>
      <c r="T124" s="5568"/>
      <c r="U124" s="5568"/>
      <c r="V124" s="5568"/>
      <c r="W124" s="5568"/>
      <c r="X124" s="5568"/>
      <c r="Y124" s="5568"/>
      <c r="Z124" s="5569"/>
    </row>
    <row r="125" spans="1:26">
      <c r="A125" s="5459"/>
      <c r="B125" s="5457"/>
      <c r="C125" s="5457"/>
      <c r="D125" s="5457"/>
      <c r="E125" s="5457"/>
      <c r="F125" s="5457"/>
      <c r="G125" s="5457"/>
      <c r="H125" s="5457"/>
      <c r="I125" s="5457"/>
      <c r="J125" s="5457"/>
      <c r="K125" s="5457"/>
      <c r="L125" s="5457"/>
      <c r="M125" s="5457"/>
      <c r="N125" s="5457"/>
      <c r="O125" s="5457"/>
      <c r="P125" s="5457"/>
      <c r="Q125" s="5457"/>
      <c r="R125" s="5457"/>
      <c r="S125" s="5457"/>
      <c r="T125" s="5457"/>
      <c r="U125" s="5457"/>
      <c r="V125" s="5457"/>
      <c r="W125" s="5457"/>
      <c r="X125" s="5457"/>
      <c r="Y125" s="5457"/>
      <c r="Z125" s="5458"/>
    </row>
    <row r="126" spans="1:26">
      <c r="A126" s="5459"/>
      <c r="B126" s="5457"/>
      <c r="C126" s="5457"/>
      <c r="D126" s="5457"/>
      <c r="E126" s="5457"/>
      <c r="F126" s="5457"/>
      <c r="G126" s="5457"/>
      <c r="H126" s="5457"/>
      <c r="I126" s="5457"/>
      <c r="J126" s="5457"/>
      <c r="K126" s="5457"/>
      <c r="L126" s="5457"/>
      <c r="M126" s="5457"/>
      <c r="N126" s="5457"/>
      <c r="O126" s="5457"/>
      <c r="P126" s="5457"/>
      <c r="Q126" s="5457"/>
      <c r="R126" s="5457"/>
      <c r="S126" s="5457"/>
      <c r="T126" s="5457"/>
      <c r="U126" s="5457"/>
      <c r="V126" s="5457"/>
      <c r="W126" s="5457"/>
      <c r="X126" s="5457"/>
      <c r="Y126" s="5457"/>
      <c r="Z126" s="5458"/>
    </row>
    <row r="127" spans="1:26">
      <c r="A127" s="1831"/>
      <c r="B127" s="1832"/>
      <c r="C127" s="1833"/>
      <c r="D127" s="1833"/>
      <c r="E127" s="1833"/>
      <c r="F127" s="1833"/>
      <c r="G127" s="1833"/>
      <c r="H127" s="1833"/>
      <c r="I127" s="1833"/>
      <c r="J127" s="1833"/>
      <c r="K127" s="1833"/>
      <c r="L127" s="1833"/>
      <c r="M127" s="1833"/>
      <c r="N127" s="1833"/>
      <c r="O127" s="1833"/>
      <c r="P127" s="1833"/>
      <c r="Q127" s="1833"/>
      <c r="R127" s="1833"/>
      <c r="S127" s="1833"/>
      <c r="T127" s="1833"/>
      <c r="U127" s="1833"/>
      <c r="V127" s="1833"/>
      <c r="W127" s="1833"/>
      <c r="X127" s="1833"/>
      <c r="Y127" s="1833"/>
      <c r="Z127" s="1844"/>
    </row>
    <row r="128" spans="1:26">
      <c r="A128" s="1831"/>
      <c r="C128" s="1833"/>
      <c r="D128" s="1833"/>
      <c r="E128" s="1833"/>
      <c r="F128" s="1833"/>
      <c r="G128" s="1833"/>
      <c r="H128" s="1833"/>
      <c r="I128" s="1833"/>
      <c r="J128" s="1833"/>
      <c r="K128" s="1833"/>
      <c r="L128" s="1833"/>
      <c r="M128" s="1833"/>
      <c r="N128" s="1833"/>
      <c r="O128" s="1833"/>
      <c r="P128" s="1833"/>
      <c r="Q128" s="1833"/>
      <c r="R128" s="1833"/>
      <c r="S128" s="1833"/>
      <c r="T128" s="1833"/>
      <c r="U128" s="1833"/>
      <c r="V128" s="1833"/>
      <c r="W128" s="1833"/>
      <c r="X128" s="1833"/>
      <c r="Y128" s="1833"/>
      <c r="Z128" s="1844"/>
    </row>
    <row r="129" spans="1:26">
      <c r="A129" s="1845"/>
      <c r="B129" s="1846"/>
      <c r="C129" s="1787"/>
      <c r="D129" s="1787"/>
      <c r="E129" s="1787"/>
      <c r="F129" s="1787"/>
      <c r="G129" s="1787"/>
      <c r="H129" s="1787"/>
      <c r="I129" s="1787"/>
      <c r="J129" s="1787"/>
      <c r="K129" s="1787"/>
      <c r="L129" s="1787"/>
      <c r="M129" s="1787"/>
      <c r="N129" s="1787"/>
      <c r="O129" s="1823"/>
      <c r="P129" s="1823"/>
      <c r="Q129" s="1823"/>
      <c r="R129" s="1823"/>
      <c r="S129" s="1823"/>
      <c r="T129" s="1823"/>
      <c r="U129" s="1823"/>
      <c r="V129" s="1823"/>
      <c r="W129" s="1823"/>
      <c r="X129" s="1823"/>
      <c r="Y129" s="1823"/>
      <c r="Z129" s="1841"/>
    </row>
    <row r="130" spans="1:26">
      <c r="A130" s="1845"/>
      <c r="B130" s="1846"/>
      <c r="C130" s="1846"/>
      <c r="D130" s="1846"/>
      <c r="E130" s="1846"/>
      <c r="F130" s="1846"/>
      <c r="G130" s="1846"/>
      <c r="H130" s="1846"/>
      <c r="I130" s="1846"/>
      <c r="J130" s="1846"/>
      <c r="K130" s="1846"/>
      <c r="L130" s="1846"/>
      <c r="M130" s="1846"/>
      <c r="N130" s="1846"/>
      <c r="O130" s="1823"/>
      <c r="P130" s="1823"/>
      <c r="Q130" s="1823"/>
      <c r="R130" s="1823"/>
      <c r="S130" s="1823"/>
      <c r="T130" s="1823"/>
      <c r="U130" s="1823"/>
      <c r="V130" s="1823"/>
      <c r="W130" s="1823"/>
      <c r="X130" s="1823"/>
      <c r="Y130" s="1823"/>
      <c r="Z130" s="1841"/>
    </row>
    <row r="131" spans="1:26">
      <c r="A131" s="1845"/>
      <c r="B131" s="1846"/>
      <c r="C131" s="1846"/>
      <c r="D131" s="1846"/>
      <c r="E131" s="1846"/>
      <c r="F131" s="1846"/>
      <c r="G131" s="1846"/>
      <c r="H131" s="1846"/>
      <c r="I131" s="1846"/>
      <c r="J131" s="1846"/>
      <c r="K131" s="1846"/>
      <c r="L131" s="1846"/>
      <c r="M131" s="1846"/>
      <c r="N131" s="1846"/>
      <c r="O131" s="1823"/>
      <c r="P131" s="1823"/>
      <c r="Q131" s="1823"/>
      <c r="R131" s="1823"/>
      <c r="S131" s="1823"/>
      <c r="T131" s="1823"/>
      <c r="U131" s="1823"/>
      <c r="V131" s="1823"/>
      <c r="W131" s="1823"/>
      <c r="X131" s="1823"/>
      <c r="Y131" s="1823"/>
      <c r="Z131" s="1841"/>
    </row>
    <row r="132" spans="1:26">
      <c r="A132" s="1845"/>
      <c r="B132" s="1846"/>
      <c r="C132" s="1846"/>
      <c r="D132" s="1846"/>
      <c r="E132" s="1846"/>
      <c r="F132" s="1846"/>
      <c r="G132" s="1846"/>
      <c r="H132" s="1846"/>
      <c r="I132" s="1846"/>
      <c r="J132" s="1846"/>
      <c r="K132" s="1846"/>
      <c r="L132" s="1846"/>
      <c r="M132" s="1846"/>
      <c r="N132" s="1846"/>
      <c r="O132" s="1823"/>
      <c r="P132" s="1823"/>
      <c r="Q132" s="1823"/>
      <c r="R132" s="1823"/>
      <c r="S132" s="1823"/>
      <c r="T132" s="1823"/>
      <c r="U132" s="1823"/>
      <c r="V132" s="1823"/>
      <c r="W132" s="1823"/>
      <c r="X132" s="1823"/>
      <c r="Y132" s="1823"/>
      <c r="Z132" s="1841"/>
    </row>
    <row r="133" spans="1:26">
      <c r="A133" s="1845"/>
      <c r="B133" s="1846"/>
      <c r="C133" s="1846"/>
      <c r="D133" s="1846"/>
      <c r="E133" s="1846"/>
      <c r="F133" s="1846"/>
      <c r="G133" s="1846"/>
      <c r="H133" s="1846"/>
      <c r="I133" s="1846"/>
      <c r="J133" s="1846"/>
      <c r="K133" s="1846"/>
      <c r="L133" s="1846"/>
      <c r="M133" s="1846"/>
      <c r="N133" s="1846"/>
      <c r="O133" s="1823"/>
      <c r="P133" s="1823"/>
      <c r="Q133" s="1823"/>
      <c r="R133" s="1823"/>
      <c r="S133" s="1823"/>
      <c r="T133" s="1823"/>
      <c r="U133" s="1823"/>
      <c r="V133" s="1823"/>
      <c r="W133" s="1823"/>
      <c r="X133" s="1823"/>
      <c r="Y133" s="1823"/>
      <c r="Z133" s="1841"/>
    </row>
    <row r="134" spans="1:26">
      <c r="A134" s="1845"/>
      <c r="B134" s="1846"/>
      <c r="C134" s="1846"/>
      <c r="D134" s="1846"/>
      <c r="E134" s="1846"/>
      <c r="F134" s="1846"/>
      <c r="G134" s="1846"/>
      <c r="H134" s="1846"/>
      <c r="I134" s="1846"/>
      <c r="J134" s="1846"/>
      <c r="K134" s="1846"/>
      <c r="L134" s="1846"/>
      <c r="M134" s="1846"/>
      <c r="N134" s="1846"/>
      <c r="O134" s="1823"/>
      <c r="P134" s="1823"/>
      <c r="Q134" s="1823"/>
      <c r="R134" s="1823"/>
      <c r="S134" s="1823"/>
      <c r="T134" s="1823"/>
      <c r="U134" s="1823"/>
      <c r="V134" s="1823"/>
      <c r="W134" s="1823"/>
      <c r="X134" s="1823"/>
      <c r="Y134" s="1823"/>
      <c r="Z134" s="1841"/>
    </row>
    <row r="135" spans="1:26">
      <c r="A135" s="1845"/>
      <c r="B135" s="1846"/>
      <c r="C135" s="1846"/>
      <c r="D135" s="1846"/>
      <c r="E135" s="1846"/>
      <c r="F135" s="1846"/>
      <c r="G135" s="1846"/>
      <c r="H135" s="1846"/>
      <c r="I135" s="1846"/>
      <c r="J135" s="1846"/>
      <c r="K135" s="1846"/>
      <c r="L135" s="1846"/>
      <c r="M135" s="1846"/>
      <c r="N135" s="1846"/>
      <c r="O135" s="1823"/>
      <c r="P135" s="1823"/>
      <c r="Q135" s="1823"/>
      <c r="R135" s="1823"/>
      <c r="S135" s="1823"/>
      <c r="T135" s="1823"/>
      <c r="U135" s="1823"/>
      <c r="V135" s="1823"/>
      <c r="W135" s="1823"/>
      <c r="X135" s="1823"/>
      <c r="Y135" s="1823"/>
      <c r="Z135" s="1841"/>
    </row>
    <row r="136" spans="1:26">
      <c r="A136" s="1845"/>
      <c r="B136" s="1846"/>
      <c r="C136" s="1846"/>
      <c r="D136" s="1846"/>
      <c r="E136" s="1846"/>
      <c r="F136" s="1846"/>
      <c r="G136" s="1846"/>
      <c r="H136" s="1846"/>
      <c r="I136" s="1846"/>
      <c r="J136" s="1846"/>
      <c r="K136" s="1846"/>
      <c r="L136" s="1846"/>
      <c r="M136" s="1846"/>
      <c r="N136" s="1846"/>
      <c r="O136" s="1823"/>
      <c r="P136" s="1823"/>
      <c r="Q136" s="1823"/>
      <c r="R136" s="1823"/>
      <c r="S136" s="1823"/>
      <c r="T136" s="1823"/>
      <c r="U136" s="1823"/>
      <c r="V136" s="1823"/>
      <c r="W136" s="1823"/>
      <c r="X136" s="1823"/>
      <c r="Y136" s="1823"/>
      <c r="Z136" s="1841"/>
    </row>
    <row r="137" spans="1:26">
      <c r="A137" s="1845"/>
      <c r="B137" s="1846"/>
      <c r="C137" s="1846"/>
      <c r="D137" s="1846"/>
      <c r="E137" s="1846"/>
      <c r="F137" s="1846"/>
      <c r="G137" s="1846"/>
      <c r="H137" s="1846"/>
      <c r="I137" s="1846"/>
      <c r="J137" s="1846"/>
      <c r="K137" s="1846"/>
      <c r="L137" s="1846"/>
      <c r="M137" s="1846"/>
      <c r="N137" s="1846"/>
      <c r="O137" s="1823"/>
      <c r="P137" s="1823"/>
      <c r="Q137" s="1823"/>
      <c r="R137" s="1823"/>
      <c r="S137" s="1823"/>
      <c r="T137" s="1823"/>
      <c r="U137" s="1823"/>
      <c r="V137" s="1823"/>
      <c r="W137" s="1823"/>
      <c r="X137" s="1823"/>
      <c r="Y137" s="1823"/>
      <c r="Z137" s="1841"/>
    </row>
    <row r="138" spans="1:26">
      <c r="A138" s="1845"/>
      <c r="B138" s="1846"/>
      <c r="C138" s="1846"/>
      <c r="D138" s="1846"/>
      <c r="E138" s="1846"/>
      <c r="F138" s="1846"/>
      <c r="G138" s="1846"/>
      <c r="H138" s="1846"/>
      <c r="I138" s="1846"/>
      <c r="J138" s="1846"/>
      <c r="K138" s="1846"/>
      <c r="L138" s="1846"/>
      <c r="M138" s="1846"/>
      <c r="N138" s="1846"/>
      <c r="O138" s="1823"/>
      <c r="P138" s="1823"/>
      <c r="Q138" s="1823"/>
      <c r="R138" s="1823"/>
      <c r="S138" s="1823"/>
      <c r="T138" s="1823"/>
      <c r="U138" s="1823"/>
      <c r="V138" s="1823"/>
      <c r="W138" s="1823"/>
      <c r="X138" s="1823"/>
      <c r="Y138" s="1823"/>
      <c r="Z138" s="1841"/>
    </row>
    <row r="139" spans="1:26">
      <c r="A139" s="1845"/>
      <c r="B139" s="1846"/>
      <c r="C139" s="1846"/>
      <c r="D139" s="1846"/>
      <c r="E139" s="1846"/>
      <c r="F139" s="1846"/>
      <c r="G139" s="1846"/>
      <c r="H139" s="1846"/>
      <c r="I139" s="1846"/>
      <c r="J139" s="1846"/>
      <c r="K139" s="1846"/>
      <c r="L139" s="1846"/>
      <c r="M139" s="1846"/>
      <c r="N139" s="1846"/>
      <c r="O139" s="1823"/>
      <c r="P139" s="1823"/>
      <c r="Q139" s="1823"/>
      <c r="R139" s="1823"/>
      <c r="S139" s="1823"/>
      <c r="T139" s="1823"/>
      <c r="U139" s="1823"/>
      <c r="V139" s="1823"/>
      <c r="W139" s="1823"/>
      <c r="X139" s="1823"/>
      <c r="Y139" s="1823"/>
      <c r="Z139" s="1841"/>
    </row>
    <row r="140" spans="1:26">
      <c r="A140" s="1845"/>
      <c r="B140" s="1846"/>
      <c r="C140" s="1846"/>
      <c r="D140" s="1846"/>
      <c r="E140" s="1846"/>
      <c r="F140" s="1846"/>
      <c r="G140" s="1846"/>
      <c r="H140" s="1846"/>
      <c r="I140" s="1846"/>
      <c r="J140" s="1846"/>
      <c r="K140" s="1846"/>
      <c r="L140" s="1846"/>
      <c r="M140" s="1846"/>
      <c r="N140" s="1846"/>
      <c r="O140" s="1823"/>
      <c r="P140" s="1823"/>
      <c r="Q140" s="1823"/>
      <c r="R140" s="1823"/>
      <c r="S140" s="1823"/>
      <c r="T140" s="1823"/>
      <c r="U140" s="1823"/>
      <c r="V140" s="1823"/>
      <c r="W140" s="1823"/>
      <c r="X140" s="1823"/>
      <c r="Y140" s="1823"/>
      <c r="Z140" s="1841"/>
    </row>
    <row r="141" spans="1:26">
      <c r="A141" s="1845"/>
      <c r="B141" s="1846"/>
      <c r="C141" s="1846"/>
      <c r="D141" s="1846"/>
      <c r="E141" s="1846"/>
      <c r="F141" s="1846"/>
      <c r="G141" s="1846"/>
      <c r="H141" s="1846"/>
      <c r="I141" s="1846"/>
      <c r="J141" s="1846"/>
      <c r="K141" s="1846"/>
      <c r="L141" s="1846"/>
      <c r="M141" s="1846"/>
      <c r="N141" s="1846"/>
      <c r="O141" s="1823"/>
      <c r="P141" s="1823"/>
      <c r="Q141" s="1823"/>
      <c r="R141" s="1823"/>
      <c r="S141" s="1823"/>
      <c r="T141" s="1823"/>
      <c r="U141" s="1823"/>
      <c r="V141" s="1823"/>
      <c r="W141" s="1823"/>
      <c r="X141" s="1823"/>
      <c r="Y141" s="1823"/>
      <c r="Z141" s="1841"/>
    </row>
    <row r="142" spans="1:26">
      <c r="A142" s="1792"/>
      <c r="B142" s="1793"/>
      <c r="C142" s="1786"/>
      <c r="D142" s="1786"/>
      <c r="E142" s="1786"/>
      <c r="F142" s="1786"/>
      <c r="G142" s="1786"/>
      <c r="H142" s="1789"/>
      <c r="I142" s="1794"/>
      <c r="J142" s="1794"/>
      <c r="K142" s="1794"/>
      <c r="L142" s="1794"/>
      <c r="M142" s="1794"/>
      <c r="N142" s="1794"/>
      <c r="O142" s="1794"/>
      <c r="P142" s="1794"/>
      <c r="Q142" s="1794"/>
      <c r="R142" s="1794"/>
      <c r="S142" s="1794"/>
      <c r="T142" s="1794"/>
      <c r="U142" s="1794"/>
      <c r="V142" s="1794"/>
      <c r="W142" s="1794"/>
      <c r="X142" s="1794"/>
      <c r="Y142" s="1794"/>
      <c r="Z142" s="1812"/>
    </row>
    <row r="143" spans="1:26">
      <c r="A143" s="1792"/>
      <c r="B143" s="1793"/>
      <c r="C143" s="1786"/>
      <c r="D143" s="1786"/>
      <c r="E143" s="1786"/>
      <c r="F143" s="1786"/>
      <c r="G143" s="1786"/>
      <c r="H143" s="1789"/>
      <c r="I143" s="1794"/>
      <c r="J143" s="1794"/>
      <c r="K143" s="1794"/>
      <c r="L143" s="1794"/>
      <c r="M143" s="1794"/>
      <c r="N143" s="1794"/>
      <c r="O143" s="1794"/>
      <c r="P143" s="1794"/>
      <c r="Q143" s="1794"/>
      <c r="R143" s="1794"/>
      <c r="S143" s="1794"/>
      <c r="T143" s="1794"/>
      <c r="U143" s="1794"/>
      <c r="V143" s="1794"/>
      <c r="W143" s="1794"/>
      <c r="X143" s="1794"/>
      <c r="Y143" s="1794"/>
      <c r="Z143" s="1812"/>
    </row>
    <row r="144" spans="1:26">
      <c r="A144" s="1792"/>
      <c r="B144" s="1793"/>
      <c r="C144" s="1786"/>
      <c r="D144" s="1786"/>
      <c r="E144" s="1786"/>
      <c r="F144" s="1786"/>
      <c r="G144" s="1786"/>
      <c r="H144" s="1794"/>
      <c r="I144" s="1786"/>
      <c r="J144" s="1786"/>
      <c r="K144" s="1786"/>
      <c r="L144" s="1786"/>
      <c r="M144" s="1786"/>
      <c r="N144" s="1786"/>
      <c r="O144" s="1786"/>
      <c r="P144" s="1786"/>
      <c r="Q144" s="1786"/>
      <c r="R144" s="1786"/>
      <c r="S144" s="1786"/>
      <c r="T144" s="1786"/>
      <c r="U144" s="1786"/>
      <c r="V144" s="1786"/>
      <c r="W144" s="1786"/>
      <c r="X144" s="1786"/>
      <c r="Y144" s="1786"/>
      <c r="Z144" s="1809"/>
    </row>
    <row r="145" spans="1:26">
      <c r="A145" s="1784"/>
      <c r="B145" s="1793"/>
      <c r="C145" s="1786"/>
      <c r="D145" s="1786"/>
      <c r="E145" s="1786"/>
      <c r="F145" s="1786"/>
      <c r="G145" s="1786"/>
      <c r="H145" s="1168"/>
      <c r="I145" s="1786"/>
      <c r="J145" s="1786"/>
      <c r="K145" s="1786"/>
      <c r="L145" s="1786"/>
      <c r="M145" s="1786"/>
      <c r="N145" s="1786"/>
      <c r="O145" s="1786"/>
      <c r="P145" s="1786"/>
      <c r="Q145" s="1786"/>
      <c r="R145" s="1786"/>
      <c r="S145" s="1786"/>
      <c r="T145" s="1786"/>
      <c r="U145" s="1786"/>
      <c r="V145" s="1786"/>
      <c r="W145" s="1786"/>
      <c r="X145" s="1786"/>
      <c r="Y145" s="1786"/>
      <c r="Z145" s="1809"/>
    </row>
    <row r="146" spans="1:26">
      <c r="A146" s="1792"/>
      <c r="B146" s="1793"/>
      <c r="C146" s="1786"/>
      <c r="D146" s="1786"/>
      <c r="E146" s="1786"/>
      <c r="F146" s="1786"/>
      <c r="G146" s="1786"/>
      <c r="H146" s="1786"/>
      <c r="I146" s="1786"/>
      <c r="J146" s="1786"/>
      <c r="K146" s="1786"/>
      <c r="L146" s="1786"/>
      <c r="M146" s="1786"/>
      <c r="N146" s="1786"/>
      <c r="O146" s="1786"/>
      <c r="P146" s="1786"/>
      <c r="Q146" s="1786"/>
      <c r="R146" s="1786"/>
      <c r="S146" s="1786"/>
      <c r="T146" s="1786"/>
      <c r="U146" s="1786"/>
      <c r="V146" s="1786"/>
      <c r="W146" s="1786"/>
      <c r="X146" s="1786"/>
      <c r="Y146" s="1786"/>
      <c r="Z146" s="1809"/>
    </row>
    <row r="147" spans="1:26">
      <c r="A147" s="1792"/>
      <c r="B147" s="1793"/>
      <c r="C147" s="1786"/>
      <c r="D147" s="1786"/>
      <c r="E147" s="1786"/>
      <c r="F147" s="1786"/>
      <c r="G147" s="1786"/>
      <c r="H147" s="1795"/>
      <c r="I147" s="1786"/>
      <c r="J147" s="1786"/>
      <c r="K147" s="1786"/>
      <c r="L147" s="1786"/>
      <c r="M147" s="1786"/>
      <c r="N147" s="1786"/>
      <c r="O147" s="1786"/>
      <c r="P147" s="1786"/>
      <c r="Q147" s="1786"/>
      <c r="R147" s="1786"/>
      <c r="S147" s="1786"/>
      <c r="T147" s="1786"/>
      <c r="U147" s="1786"/>
      <c r="V147" s="1786"/>
      <c r="W147" s="1786"/>
      <c r="X147" s="1786"/>
      <c r="Y147" s="1786"/>
      <c r="Z147" s="1809"/>
    </row>
    <row r="148" spans="1:26">
      <c r="A148" s="1792"/>
      <c r="B148" s="1793"/>
      <c r="C148" s="1786"/>
      <c r="D148" s="1786"/>
      <c r="E148" s="1786"/>
      <c r="F148" s="1786"/>
      <c r="G148" s="1786"/>
      <c r="H148" s="1793"/>
      <c r="I148" s="1786"/>
      <c r="J148" s="1786"/>
      <c r="K148" s="1786"/>
      <c r="L148" s="1786"/>
      <c r="M148" s="1786"/>
      <c r="N148" s="1786"/>
      <c r="O148" s="1786"/>
      <c r="P148" s="1786"/>
      <c r="Q148" s="1786"/>
      <c r="R148" s="1786"/>
      <c r="S148" s="1786"/>
      <c r="T148" s="1786"/>
      <c r="U148" s="1786"/>
      <c r="V148" s="1786"/>
      <c r="W148" s="1786"/>
      <c r="X148" s="1786"/>
      <c r="Y148" s="1786"/>
      <c r="Z148" s="1809"/>
    </row>
    <row r="149" spans="1:26">
      <c r="A149" s="1792"/>
      <c r="B149" s="1793"/>
      <c r="C149" s="1786"/>
      <c r="D149" s="1786"/>
      <c r="E149" s="1786"/>
      <c r="F149" s="1786"/>
      <c r="G149" s="1786"/>
      <c r="H149" s="1795"/>
      <c r="I149" s="1786"/>
      <c r="J149" s="1786"/>
      <c r="K149" s="1786"/>
      <c r="L149" s="1786"/>
      <c r="M149" s="1786"/>
      <c r="N149" s="1786"/>
      <c r="O149" s="1786"/>
      <c r="P149" s="1786"/>
      <c r="Q149" s="1786"/>
      <c r="R149" s="1786"/>
      <c r="S149" s="1786"/>
      <c r="T149" s="1786"/>
      <c r="U149" s="1786"/>
      <c r="V149" s="1786"/>
      <c r="W149" s="1786"/>
      <c r="X149" s="1786"/>
      <c r="Y149" s="1786"/>
      <c r="Z149" s="1809"/>
    </row>
    <row r="150" spans="1:26">
      <c r="A150" s="1796"/>
      <c r="B150" s="1797"/>
      <c r="C150" s="1798"/>
      <c r="D150" s="1798"/>
      <c r="E150" s="1798"/>
      <c r="F150" s="1798"/>
      <c r="G150" s="1798"/>
      <c r="H150" s="1797"/>
      <c r="I150" s="1798"/>
      <c r="J150" s="1798"/>
      <c r="K150" s="1798"/>
      <c r="L150" s="1798"/>
      <c r="M150" s="1798"/>
      <c r="N150" s="1798"/>
      <c r="O150" s="1798"/>
      <c r="P150" s="1798"/>
      <c r="Q150" s="1798"/>
      <c r="R150" s="1798"/>
      <c r="S150" s="1798"/>
      <c r="T150" s="1798"/>
      <c r="U150" s="1798"/>
      <c r="V150" s="1798"/>
      <c r="W150" s="1798"/>
      <c r="X150" s="1798"/>
      <c r="Y150" s="1798"/>
      <c r="Z150" s="1813"/>
    </row>
    <row r="151" spans="1:26">
      <c r="A151" s="5430" t="s">
        <v>11861</v>
      </c>
      <c r="B151" s="5346"/>
      <c r="C151" s="5346"/>
      <c r="D151" s="5346"/>
      <c r="E151" s="5346"/>
      <c r="F151" s="5346"/>
      <c r="G151" s="5346"/>
      <c r="H151" s="5346" t="s">
        <v>11862</v>
      </c>
      <c r="I151" s="5346"/>
      <c r="J151" s="5346"/>
      <c r="K151" s="5346" t="s">
        <v>11863</v>
      </c>
      <c r="L151" s="5346"/>
      <c r="M151" s="5346"/>
      <c r="N151" s="5346"/>
      <c r="O151" s="5346"/>
      <c r="P151" s="5346"/>
      <c r="Q151" s="5346"/>
      <c r="R151" s="5346"/>
      <c r="S151" s="5346"/>
      <c r="T151" s="5346"/>
      <c r="U151" s="5346" t="s">
        <v>11864</v>
      </c>
      <c r="V151" s="5346"/>
      <c r="W151" s="5346"/>
      <c r="X151" s="5346"/>
      <c r="Y151" s="5346"/>
      <c r="Z151" s="5431"/>
    </row>
    <row r="152" spans="1:26">
      <c r="A152" s="5349" t="s">
        <v>11899</v>
      </c>
      <c r="B152" s="5350"/>
      <c r="C152" s="5350"/>
      <c r="D152" s="5350"/>
      <c r="E152" s="5350"/>
      <c r="F152" s="5350"/>
      <c r="G152" s="5351"/>
      <c r="H152" s="5355"/>
      <c r="I152" s="5355"/>
      <c r="J152" s="5355"/>
      <c r="K152" s="5355" t="s">
        <v>11866</v>
      </c>
      <c r="L152" s="5355"/>
      <c r="M152" s="5355" t="s">
        <v>961</v>
      </c>
      <c r="N152" s="5355"/>
      <c r="O152" s="5355" t="s">
        <v>962</v>
      </c>
      <c r="P152" s="5355"/>
      <c r="Q152" s="5355" t="s">
        <v>1957</v>
      </c>
      <c r="R152" s="5355"/>
      <c r="S152" s="5355" t="s">
        <v>2524</v>
      </c>
      <c r="T152" s="5355"/>
      <c r="U152" s="5355"/>
      <c r="V152" s="5355"/>
      <c r="W152" s="5355"/>
      <c r="X152" s="5355"/>
      <c r="Y152" s="5355"/>
      <c r="Z152" s="5356"/>
    </row>
    <row r="153" spans="1:26">
      <c r="A153" s="5352"/>
      <c r="B153" s="5353"/>
      <c r="C153" s="5353"/>
      <c r="D153" s="5353"/>
      <c r="E153" s="5353"/>
      <c r="F153" s="5353"/>
      <c r="G153" s="5354"/>
      <c r="H153" s="5348"/>
      <c r="I153" s="5348"/>
      <c r="J153" s="5348"/>
      <c r="K153" s="5348" t="s">
        <v>11867</v>
      </c>
      <c r="L153" s="5348"/>
      <c r="M153" s="5348"/>
      <c r="N153" s="5348"/>
      <c r="O153" s="5348"/>
      <c r="P153" s="5348"/>
      <c r="Q153" s="5348"/>
      <c r="R153" s="5348"/>
      <c r="S153" s="5348"/>
      <c r="T153" s="5348"/>
      <c r="U153" s="5348"/>
      <c r="V153" s="5348"/>
      <c r="W153" s="5348"/>
      <c r="X153" s="5348"/>
      <c r="Y153" s="5348"/>
      <c r="Z153" s="5357"/>
    </row>
  </sheetData>
  <mergeCells count="495">
    <mergeCell ref="H2:T2"/>
    <mergeCell ref="U2:Z2"/>
    <mergeCell ref="H3:T3"/>
    <mergeCell ref="U3:W3"/>
    <mergeCell ref="X3:Z3"/>
    <mergeCell ref="A5:N5"/>
    <mergeCell ref="A6:Z6"/>
    <mergeCell ref="G21:R21"/>
    <mergeCell ref="W22:Z22"/>
    <mergeCell ref="A23:T23"/>
    <mergeCell ref="U23:Z23"/>
    <mergeCell ref="A24:B24"/>
    <mergeCell ref="C24:F24"/>
    <mergeCell ref="G24:J24"/>
    <mergeCell ref="K24:N24"/>
    <mergeCell ref="O24:P24"/>
    <mergeCell ref="Q24:R24"/>
    <mergeCell ref="S24:T24"/>
    <mergeCell ref="U24:V24"/>
    <mergeCell ref="W24:X24"/>
    <mergeCell ref="Y24:Z24"/>
    <mergeCell ref="Y27:Z27"/>
    <mergeCell ref="A28:B28"/>
    <mergeCell ref="C28:D28"/>
    <mergeCell ref="E28:F28"/>
    <mergeCell ref="G28:H28"/>
    <mergeCell ref="I28:J28"/>
    <mergeCell ref="K28:L28"/>
    <mergeCell ref="M28:N28"/>
    <mergeCell ref="U28:V28"/>
    <mergeCell ref="W28:X28"/>
    <mergeCell ref="Y28:Z28"/>
    <mergeCell ref="A27:B27"/>
    <mergeCell ref="C27:D27"/>
    <mergeCell ref="E27:F27"/>
    <mergeCell ref="G27:H27"/>
    <mergeCell ref="I27:J27"/>
    <mergeCell ref="K27:L27"/>
    <mergeCell ref="M27:N27"/>
    <mergeCell ref="U27:V27"/>
    <mergeCell ref="W27:X27"/>
    <mergeCell ref="Y29:Z29"/>
    <mergeCell ref="A30:B30"/>
    <mergeCell ref="C30:D30"/>
    <mergeCell ref="E30:F30"/>
    <mergeCell ref="G30:H30"/>
    <mergeCell ref="I30:J30"/>
    <mergeCell ref="K30:L30"/>
    <mergeCell ref="M30:N30"/>
    <mergeCell ref="U30:V30"/>
    <mergeCell ref="W30:X30"/>
    <mergeCell ref="Y30:Z30"/>
    <mergeCell ref="A29:B29"/>
    <mergeCell ref="C29:D29"/>
    <mergeCell ref="E29:F29"/>
    <mergeCell ref="G29:H29"/>
    <mergeCell ref="I29:J29"/>
    <mergeCell ref="K29:L29"/>
    <mergeCell ref="M29:N29"/>
    <mergeCell ref="U29:V29"/>
    <mergeCell ref="W29:X29"/>
    <mergeCell ref="Y31:Z31"/>
    <mergeCell ref="A32:B32"/>
    <mergeCell ref="C32:D32"/>
    <mergeCell ref="E32:F32"/>
    <mergeCell ref="G32:H32"/>
    <mergeCell ref="I32:J32"/>
    <mergeCell ref="K32:L32"/>
    <mergeCell ref="M32:N32"/>
    <mergeCell ref="U32:V32"/>
    <mergeCell ref="W32:X32"/>
    <mergeCell ref="Y32:Z32"/>
    <mergeCell ref="A31:B31"/>
    <mergeCell ref="C31:D31"/>
    <mergeCell ref="E31:F31"/>
    <mergeCell ref="G31:H31"/>
    <mergeCell ref="I31:J31"/>
    <mergeCell ref="K31:L31"/>
    <mergeCell ref="M31:N31"/>
    <mergeCell ref="U31:V31"/>
    <mergeCell ref="W31:X31"/>
    <mergeCell ref="Y33:Z33"/>
    <mergeCell ref="A34:B34"/>
    <mergeCell ref="C34:D34"/>
    <mergeCell ref="E34:F34"/>
    <mergeCell ref="G34:H34"/>
    <mergeCell ref="I34:J34"/>
    <mergeCell ref="K34:L34"/>
    <mergeCell ref="M34:N34"/>
    <mergeCell ref="U34:V34"/>
    <mergeCell ref="W34:X34"/>
    <mergeCell ref="Y34:Z34"/>
    <mergeCell ref="A33:B33"/>
    <mergeCell ref="C33:D33"/>
    <mergeCell ref="E33:F33"/>
    <mergeCell ref="G33:H33"/>
    <mergeCell ref="I33:J33"/>
    <mergeCell ref="K33:L33"/>
    <mergeCell ref="M33:N33"/>
    <mergeCell ref="U33:V33"/>
    <mergeCell ref="W33:X33"/>
    <mergeCell ref="Y35:Z35"/>
    <mergeCell ref="A36:B36"/>
    <mergeCell ref="C36:D36"/>
    <mergeCell ref="E36:F36"/>
    <mergeCell ref="G36:H36"/>
    <mergeCell ref="I36:J36"/>
    <mergeCell ref="K36:L36"/>
    <mergeCell ref="M36:N36"/>
    <mergeCell ref="U36:V36"/>
    <mergeCell ref="W36:X36"/>
    <mergeCell ref="Y36:Z36"/>
    <mergeCell ref="A35:B35"/>
    <mergeCell ref="C35:D35"/>
    <mergeCell ref="E35:F35"/>
    <mergeCell ref="G35:H35"/>
    <mergeCell ref="I35:J35"/>
    <mergeCell ref="K35:L35"/>
    <mergeCell ref="M35:N35"/>
    <mergeCell ref="U35:V35"/>
    <mergeCell ref="W35:X35"/>
    <mergeCell ref="U37:V37"/>
    <mergeCell ref="W37:X37"/>
    <mergeCell ref="Y37:Z37"/>
    <mergeCell ref="A38:B38"/>
    <mergeCell ref="C38:D38"/>
    <mergeCell ref="E38:F38"/>
    <mergeCell ref="G38:H38"/>
    <mergeCell ref="I38:J38"/>
    <mergeCell ref="K38:L38"/>
    <mergeCell ref="M38:N38"/>
    <mergeCell ref="U38:V38"/>
    <mergeCell ref="W38:X38"/>
    <mergeCell ref="Y38:Z38"/>
    <mergeCell ref="A37:B37"/>
    <mergeCell ref="C37:D37"/>
    <mergeCell ref="E37:F37"/>
    <mergeCell ref="G37:H37"/>
    <mergeCell ref="I37:J37"/>
    <mergeCell ref="K37:L37"/>
    <mergeCell ref="M37:N37"/>
    <mergeCell ref="Q37:R37"/>
    <mergeCell ref="S37:T37"/>
    <mergeCell ref="Y39:Z39"/>
    <mergeCell ref="A49:G49"/>
    <mergeCell ref="H49:J49"/>
    <mergeCell ref="K49:T49"/>
    <mergeCell ref="U49:Z49"/>
    <mergeCell ref="K50:L50"/>
    <mergeCell ref="M50:N50"/>
    <mergeCell ref="O50:P50"/>
    <mergeCell ref="Q50:R50"/>
    <mergeCell ref="S50:T50"/>
    <mergeCell ref="A39:B39"/>
    <mergeCell ref="C39:D39"/>
    <mergeCell ref="E39:F39"/>
    <mergeCell ref="G39:H39"/>
    <mergeCell ref="I39:J39"/>
    <mergeCell ref="K39:L39"/>
    <mergeCell ref="M39:N39"/>
    <mergeCell ref="U39:V39"/>
    <mergeCell ref="W39:X39"/>
    <mergeCell ref="K51:L51"/>
    <mergeCell ref="M51:N51"/>
    <mergeCell ref="O51:P51"/>
    <mergeCell ref="Q51:R51"/>
    <mergeCell ref="S51:T51"/>
    <mergeCell ref="H53:T53"/>
    <mergeCell ref="U53:Z53"/>
    <mergeCell ref="H54:T54"/>
    <mergeCell ref="U54:W54"/>
    <mergeCell ref="X54:Z54"/>
    <mergeCell ref="AB55:AE55"/>
    <mergeCell ref="A56:M56"/>
    <mergeCell ref="A64:D64"/>
    <mergeCell ref="E64:M64"/>
    <mergeCell ref="A65:D65"/>
    <mergeCell ref="E65:G65"/>
    <mergeCell ref="H65:I65"/>
    <mergeCell ref="J65:K65"/>
    <mergeCell ref="L65:M65"/>
    <mergeCell ref="O65:Z65"/>
    <mergeCell ref="A66:D66"/>
    <mergeCell ref="E66:G66"/>
    <mergeCell ref="H66:I66"/>
    <mergeCell ref="J66:K66"/>
    <mergeCell ref="L66:M66"/>
    <mergeCell ref="O66:T66"/>
    <mergeCell ref="U66:Z66"/>
    <mergeCell ref="A67:D67"/>
    <mergeCell ref="E67:G67"/>
    <mergeCell ref="H67:I67"/>
    <mergeCell ref="J67:K67"/>
    <mergeCell ref="L67:M67"/>
    <mergeCell ref="O67:T67"/>
    <mergeCell ref="A68:D68"/>
    <mergeCell ref="E68:G68"/>
    <mergeCell ref="H68:I68"/>
    <mergeCell ref="J68:K68"/>
    <mergeCell ref="L68:M68"/>
    <mergeCell ref="O68:T68"/>
    <mergeCell ref="A69:D69"/>
    <mergeCell ref="E69:G69"/>
    <mergeCell ref="H69:I69"/>
    <mergeCell ref="J69:K69"/>
    <mergeCell ref="L69:M69"/>
    <mergeCell ref="O69:T69"/>
    <mergeCell ref="U69:Z69"/>
    <mergeCell ref="A70:D70"/>
    <mergeCell ref="E70:G70"/>
    <mergeCell ref="H70:I70"/>
    <mergeCell ref="J70:K70"/>
    <mergeCell ref="L70:M70"/>
    <mergeCell ref="O70:T70"/>
    <mergeCell ref="U70:Z70"/>
    <mergeCell ref="A71:D71"/>
    <mergeCell ref="E71:G71"/>
    <mergeCell ref="H71:I71"/>
    <mergeCell ref="J71:K71"/>
    <mergeCell ref="L71:M71"/>
    <mergeCell ref="O71:T71"/>
    <mergeCell ref="U71:Z71"/>
    <mergeCell ref="A72:D72"/>
    <mergeCell ref="E72:G72"/>
    <mergeCell ref="H72:I72"/>
    <mergeCell ref="J72:K72"/>
    <mergeCell ref="L72:M72"/>
    <mergeCell ref="A73:D73"/>
    <mergeCell ref="E73:G73"/>
    <mergeCell ref="H73:I73"/>
    <mergeCell ref="J73:K73"/>
    <mergeCell ref="L73:M73"/>
    <mergeCell ref="A74:D74"/>
    <mergeCell ref="E74:G74"/>
    <mergeCell ref="H74:I74"/>
    <mergeCell ref="J74:K74"/>
    <mergeCell ref="L74:M74"/>
    <mergeCell ref="A75:D75"/>
    <mergeCell ref="E75:G75"/>
    <mergeCell ref="H75:I75"/>
    <mergeCell ref="J75:K75"/>
    <mergeCell ref="L75:M75"/>
    <mergeCell ref="S80:S81"/>
    <mergeCell ref="A76:D76"/>
    <mergeCell ref="E76:G76"/>
    <mergeCell ref="H76:I76"/>
    <mergeCell ref="J76:K76"/>
    <mergeCell ref="L76:M76"/>
    <mergeCell ref="A77:D77"/>
    <mergeCell ref="E77:G77"/>
    <mergeCell ref="H77:I77"/>
    <mergeCell ref="J77:K77"/>
    <mergeCell ref="L77:M77"/>
    <mergeCell ref="K82:M82"/>
    <mergeCell ref="K87:M87"/>
    <mergeCell ref="N87:O87"/>
    <mergeCell ref="P87:S87"/>
    <mergeCell ref="T87:U87"/>
    <mergeCell ref="V87:Z87"/>
    <mergeCell ref="H91:P91"/>
    <mergeCell ref="A100:G100"/>
    <mergeCell ref="H100:J100"/>
    <mergeCell ref="K100:T100"/>
    <mergeCell ref="U100:Z100"/>
    <mergeCell ref="K83:K86"/>
    <mergeCell ref="N83:N84"/>
    <mergeCell ref="O83:O84"/>
    <mergeCell ref="P83:P84"/>
    <mergeCell ref="Q83:Q84"/>
    <mergeCell ref="R83:R84"/>
    <mergeCell ref="S108:V108"/>
    <mergeCell ref="W108:X108"/>
    <mergeCell ref="Y108:Z108"/>
    <mergeCell ref="K101:L101"/>
    <mergeCell ref="M101:N101"/>
    <mergeCell ref="O101:P101"/>
    <mergeCell ref="Q101:R101"/>
    <mergeCell ref="S101:T101"/>
    <mergeCell ref="K102:L102"/>
    <mergeCell ref="M102:N102"/>
    <mergeCell ref="O102:P102"/>
    <mergeCell ref="Q102:R102"/>
    <mergeCell ref="S102:T102"/>
    <mergeCell ref="A111:B111"/>
    <mergeCell ref="C111:D111"/>
    <mergeCell ref="E111:F111"/>
    <mergeCell ref="I111:J111"/>
    <mergeCell ref="N111:O111"/>
    <mergeCell ref="P111:R111"/>
    <mergeCell ref="S111:T111"/>
    <mergeCell ref="W111:X111"/>
    <mergeCell ref="A112:B112"/>
    <mergeCell ref="C112:D112"/>
    <mergeCell ref="E112:F112"/>
    <mergeCell ref="I112:J112"/>
    <mergeCell ref="N112:O112"/>
    <mergeCell ref="S112:T112"/>
    <mergeCell ref="A113:B113"/>
    <mergeCell ref="C113:D113"/>
    <mergeCell ref="E113:F113"/>
    <mergeCell ref="I113:J113"/>
    <mergeCell ref="N113:O113"/>
    <mergeCell ref="S113:T113"/>
    <mergeCell ref="A114:B114"/>
    <mergeCell ref="C114:D114"/>
    <mergeCell ref="E114:F114"/>
    <mergeCell ref="I114:J114"/>
    <mergeCell ref="N114:O114"/>
    <mergeCell ref="S114:T114"/>
    <mergeCell ref="A115:B115"/>
    <mergeCell ref="C115:D115"/>
    <mergeCell ref="E115:F115"/>
    <mergeCell ref="I115:J115"/>
    <mergeCell ref="N115:O115"/>
    <mergeCell ref="S115:T115"/>
    <mergeCell ref="A116:B116"/>
    <mergeCell ref="C116:D116"/>
    <mergeCell ref="E116:F116"/>
    <mergeCell ref="I116:J116"/>
    <mergeCell ref="N116:O116"/>
    <mergeCell ref="S116:T116"/>
    <mergeCell ref="A117:B117"/>
    <mergeCell ref="C117:D117"/>
    <mergeCell ref="E117:F117"/>
    <mergeCell ref="I117:J117"/>
    <mergeCell ref="N117:O117"/>
    <mergeCell ref="S117:T117"/>
    <mergeCell ref="A118:B118"/>
    <mergeCell ref="C118:D118"/>
    <mergeCell ref="E118:F118"/>
    <mergeCell ref="I118:J118"/>
    <mergeCell ref="N118:O118"/>
    <mergeCell ref="S118:T118"/>
    <mergeCell ref="A119:B119"/>
    <mergeCell ref="C119:D119"/>
    <mergeCell ref="E119:F119"/>
    <mergeCell ref="I119:J119"/>
    <mergeCell ref="N119:O119"/>
    <mergeCell ref="S119:T119"/>
    <mergeCell ref="W119:X119"/>
    <mergeCell ref="A120:B120"/>
    <mergeCell ref="C120:D120"/>
    <mergeCell ref="E120:F120"/>
    <mergeCell ref="I120:J120"/>
    <mergeCell ref="N120:O120"/>
    <mergeCell ref="S120:T120"/>
    <mergeCell ref="N123:O123"/>
    <mergeCell ref="S123:T123"/>
    <mergeCell ref="A151:G151"/>
    <mergeCell ref="H151:J151"/>
    <mergeCell ref="K151:T151"/>
    <mergeCell ref="A124:Z126"/>
    <mergeCell ref="A121:B121"/>
    <mergeCell ref="C121:D121"/>
    <mergeCell ref="E121:F121"/>
    <mergeCell ref="I121:J121"/>
    <mergeCell ref="N121:O121"/>
    <mergeCell ref="S121:T121"/>
    <mergeCell ref="A122:B122"/>
    <mergeCell ref="C122:D122"/>
    <mergeCell ref="E122:F122"/>
    <mergeCell ref="I122:J122"/>
    <mergeCell ref="N122:O122"/>
    <mergeCell ref="S122:T122"/>
    <mergeCell ref="U151:Z151"/>
    <mergeCell ref="K152:L152"/>
    <mergeCell ref="M152:N152"/>
    <mergeCell ref="O152:P152"/>
    <mergeCell ref="Q152:R152"/>
    <mergeCell ref="S152:T152"/>
    <mergeCell ref="K153:L153"/>
    <mergeCell ref="M153:N153"/>
    <mergeCell ref="O153:P153"/>
    <mergeCell ref="Q153:R153"/>
    <mergeCell ref="S153:T153"/>
    <mergeCell ref="A7:Z15"/>
    <mergeCell ref="A2:G3"/>
    <mergeCell ref="S34:T36"/>
    <mergeCell ref="O36:P39"/>
    <mergeCell ref="Q38:R39"/>
    <mergeCell ref="S38:T39"/>
    <mergeCell ref="O74:Z76"/>
    <mergeCell ref="K80:M81"/>
    <mergeCell ref="O27:P31"/>
    <mergeCell ref="S27:T31"/>
    <mergeCell ref="Q27:R32"/>
    <mergeCell ref="O32:P35"/>
    <mergeCell ref="S32:T33"/>
    <mergeCell ref="Q33:R36"/>
    <mergeCell ref="T80:T81"/>
    <mergeCell ref="U80:U81"/>
    <mergeCell ref="V80:V81"/>
    <mergeCell ref="W80:W81"/>
    <mergeCell ref="A79:Z79"/>
    <mergeCell ref="N80:N81"/>
    <mergeCell ref="O80:O81"/>
    <mergeCell ref="P80:P81"/>
    <mergeCell ref="Q80:Q81"/>
    <mergeCell ref="R80:R81"/>
    <mergeCell ref="S25:T26"/>
    <mergeCell ref="U25:V26"/>
    <mergeCell ref="W25:X26"/>
    <mergeCell ref="Y25:Z26"/>
    <mergeCell ref="U121:V123"/>
    <mergeCell ref="Y121:Z123"/>
    <mergeCell ref="L83:M84"/>
    <mergeCell ref="L85:M86"/>
    <mergeCell ref="N85:O86"/>
    <mergeCell ref="N109:O110"/>
    <mergeCell ref="S109:T110"/>
    <mergeCell ref="K109:M110"/>
    <mergeCell ref="X80:X81"/>
    <mergeCell ref="X83:X84"/>
    <mergeCell ref="Y80:Y81"/>
    <mergeCell ref="Y83:Y84"/>
    <mergeCell ref="Z80:Z81"/>
    <mergeCell ref="Z83:Z84"/>
    <mergeCell ref="S83:S84"/>
    <mergeCell ref="T83:T84"/>
    <mergeCell ref="U83:U84"/>
    <mergeCell ref="V83:V84"/>
    <mergeCell ref="W83:W84"/>
    <mergeCell ref="K123:M123"/>
    <mergeCell ref="P115:R117"/>
    <mergeCell ref="P122:R123"/>
    <mergeCell ref="A25:B26"/>
    <mergeCell ref="C25:D26"/>
    <mergeCell ref="E25:F26"/>
    <mergeCell ref="G25:H26"/>
    <mergeCell ref="I25:J26"/>
    <mergeCell ref="K25:L26"/>
    <mergeCell ref="M25:N26"/>
    <mergeCell ref="O25:P26"/>
    <mergeCell ref="Q25:R26"/>
    <mergeCell ref="A89:K90"/>
    <mergeCell ref="A104:G105"/>
    <mergeCell ref="A108:B110"/>
    <mergeCell ref="C109:D110"/>
    <mergeCell ref="E109:F110"/>
    <mergeCell ref="G109:H110"/>
    <mergeCell ref="I109:J110"/>
    <mergeCell ref="A101:G102"/>
    <mergeCell ref="H101:J102"/>
    <mergeCell ref="A123:B123"/>
    <mergeCell ref="C123:D123"/>
    <mergeCell ref="E123:F123"/>
    <mergeCell ref="I123:J123"/>
    <mergeCell ref="A152:G153"/>
    <mergeCell ref="H152:J153"/>
    <mergeCell ref="U152:Z153"/>
    <mergeCell ref="W112:X114"/>
    <mergeCell ref="K113:M115"/>
    <mergeCell ref="U114:V116"/>
    <mergeCell ref="Y115:Z117"/>
    <mergeCell ref="K116:M117"/>
    <mergeCell ref="U117:V118"/>
    <mergeCell ref="K118:M119"/>
    <mergeCell ref="P118:R119"/>
    <mergeCell ref="Y118:Z120"/>
    <mergeCell ref="U119:V120"/>
    <mergeCell ref="G111:H114"/>
    <mergeCell ref="Y111:Z114"/>
    <mergeCell ref="K111:M112"/>
    <mergeCell ref="U111:V113"/>
    <mergeCell ref="G120:H123"/>
    <mergeCell ref="W120:X123"/>
    <mergeCell ref="K120:M122"/>
    <mergeCell ref="P120:R121"/>
    <mergeCell ref="G115:H119"/>
    <mergeCell ref="W115:X118"/>
    <mergeCell ref="P112:R114"/>
    <mergeCell ref="U101:Z102"/>
    <mergeCell ref="P109:R110"/>
    <mergeCell ref="P85:T86"/>
    <mergeCell ref="U85:Z86"/>
    <mergeCell ref="U50:Z51"/>
    <mergeCell ref="A53:G54"/>
    <mergeCell ref="O56:Z64"/>
    <mergeCell ref="A57:M63"/>
    <mergeCell ref="U67:Z68"/>
    <mergeCell ref="O72:Z73"/>
    <mergeCell ref="A50:G51"/>
    <mergeCell ref="H50:J51"/>
    <mergeCell ref="U109:V110"/>
    <mergeCell ref="W109:X110"/>
    <mergeCell ref="Y109:Z110"/>
    <mergeCell ref="H104:T104"/>
    <mergeCell ref="U104:Z104"/>
    <mergeCell ref="H105:T105"/>
    <mergeCell ref="U105:W105"/>
    <mergeCell ref="X105:Z105"/>
    <mergeCell ref="C108:D108"/>
    <mergeCell ref="E108:H108"/>
    <mergeCell ref="I108:M108"/>
    <mergeCell ref="N108:R108"/>
  </mergeCells>
  <phoneticPr fontId="214" type="noConversion"/>
  <pageMargins left="0.58888888888888902" right="0.2" top="0.2" bottom="0.2" header="0.11874999999999999" footer="0.30902777777777801"/>
  <pageSetup paperSize="9" orientation="portrait"/>
  <headerFooter scaleWithDoc="0" alignWithMargins="0"/>
  <rowBreaks count="1" manualBreakCount="1">
    <brk id="51" max="25" man="1"/>
  </rowBreaks>
  <drawing r:id="rId1"/>
  <legacyDrawing r:id="rId2"/>
  <oleObjects>
    <mc:AlternateContent xmlns:mc="http://schemas.openxmlformats.org/markup-compatibility/2006">
      <mc:Choice Requires="x14">
        <oleObject progId="Paint.Picture" shapeId="1214465" r:id="rId3">
          <objectPr defaultSize="0" altText="" r:id="rId4">
            <anchor moveWithCells="1">
              <from>
                <xdr:col>0</xdr:col>
                <xdr:colOff>104775</xdr:colOff>
                <xdr:row>8</xdr:row>
                <xdr:rowOff>28575</xdr:rowOff>
              </from>
              <to>
                <xdr:col>10</xdr:col>
                <xdr:colOff>152400</xdr:colOff>
                <xdr:row>18</xdr:row>
                <xdr:rowOff>0</xdr:rowOff>
              </to>
            </anchor>
          </objectPr>
        </oleObject>
      </mc:Choice>
      <mc:Fallback>
        <oleObject progId="Paint.Picture" shapeId="1214465" r:id="rId3"/>
      </mc:Fallback>
    </mc:AlternateContent>
    <mc:AlternateContent xmlns:mc="http://schemas.openxmlformats.org/markup-compatibility/2006">
      <mc:Choice Requires="x14">
        <oleObject progId="Paint.Picture" shapeId="1214466" r:id="rId5">
          <objectPr defaultSize="0" altText="" r:id="rId6">
            <anchor moveWithCells="1">
              <from>
                <xdr:col>12</xdr:col>
                <xdr:colOff>190500</xdr:colOff>
                <xdr:row>7</xdr:row>
                <xdr:rowOff>142875</xdr:rowOff>
              </from>
              <to>
                <xdr:col>22</xdr:col>
                <xdr:colOff>228600</xdr:colOff>
                <xdr:row>18</xdr:row>
                <xdr:rowOff>0</xdr:rowOff>
              </to>
            </anchor>
          </objectPr>
        </oleObject>
      </mc:Choice>
      <mc:Fallback>
        <oleObject progId="Paint.Picture" shapeId="1214466" r:id="rId5"/>
      </mc:Fallback>
    </mc:AlternateContent>
    <mc:AlternateContent xmlns:mc="http://schemas.openxmlformats.org/markup-compatibility/2006">
      <mc:Choice Requires="x14">
        <oleObject progId="Paint.Picture" shapeId="1214467" r:id="rId7">
          <objectPr defaultSize="0" altText="" r:id="rId8">
            <anchor moveWithCells="1">
              <from>
                <xdr:col>1</xdr:col>
                <xdr:colOff>161925</xdr:colOff>
                <xdr:row>56</xdr:row>
                <xdr:rowOff>85725</xdr:rowOff>
              </from>
              <to>
                <xdr:col>10</xdr:col>
                <xdr:colOff>76200</xdr:colOff>
                <xdr:row>62</xdr:row>
                <xdr:rowOff>114300</xdr:rowOff>
              </to>
            </anchor>
          </objectPr>
        </oleObject>
      </mc:Choice>
      <mc:Fallback>
        <oleObject progId="Paint.Picture" shapeId="1214467" r:id="rId7"/>
      </mc:Fallback>
    </mc:AlternateContent>
    <mc:AlternateContent xmlns:mc="http://schemas.openxmlformats.org/markup-compatibility/2006">
      <mc:Choice Requires="x14">
        <oleObject progId="Equation.3" shapeId="1214468" r:id="rId9">
          <objectPr defaultSize="0" altText="" r:id="rId10">
            <anchor moveWithCells="1" sizeWithCells="1">
              <from>
                <xdr:col>22</xdr:col>
                <xdr:colOff>171450</xdr:colOff>
                <xdr:row>66</xdr:row>
                <xdr:rowOff>133350</xdr:rowOff>
              </from>
              <to>
                <xdr:col>23</xdr:col>
                <xdr:colOff>238125</xdr:colOff>
                <xdr:row>67</xdr:row>
                <xdr:rowOff>104775</xdr:rowOff>
              </to>
            </anchor>
          </objectPr>
        </oleObject>
      </mc:Choice>
      <mc:Fallback>
        <oleObject progId="Equation.3" shapeId="1214468" r:id="rId9"/>
      </mc:Fallback>
    </mc:AlternateContent>
    <mc:AlternateContent xmlns:mc="http://schemas.openxmlformats.org/markup-compatibility/2006">
      <mc:Choice Requires="x14">
        <oleObject progId="Equation.3" shapeId="1214469" r:id="rId11">
          <objectPr defaultSize="0" altText="" r:id="rId12">
            <anchor moveWithCells="1" sizeWithCells="1">
              <from>
                <xdr:col>22</xdr:col>
                <xdr:colOff>171450</xdr:colOff>
                <xdr:row>68</xdr:row>
                <xdr:rowOff>0</xdr:rowOff>
              </from>
              <to>
                <xdr:col>23</xdr:col>
                <xdr:colOff>228600</xdr:colOff>
                <xdr:row>68</xdr:row>
                <xdr:rowOff>190500</xdr:rowOff>
              </to>
            </anchor>
          </objectPr>
        </oleObject>
      </mc:Choice>
      <mc:Fallback>
        <oleObject progId="Equation.3" shapeId="1214469" r:id="rId11"/>
      </mc:Fallback>
    </mc:AlternateContent>
    <mc:AlternateContent xmlns:mc="http://schemas.openxmlformats.org/markup-compatibility/2006">
      <mc:Choice Requires="x14">
        <oleObject progId="Equation.3" shapeId="1214470" r:id="rId13">
          <objectPr defaultSize="0" altText="" r:id="rId14">
            <anchor moveWithCells="1" sizeWithCells="1">
              <from>
                <xdr:col>22</xdr:col>
                <xdr:colOff>161925</xdr:colOff>
                <xdr:row>69</xdr:row>
                <xdr:rowOff>9525</xdr:rowOff>
              </from>
              <to>
                <xdr:col>23</xdr:col>
                <xdr:colOff>228600</xdr:colOff>
                <xdr:row>69</xdr:row>
                <xdr:rowOff>190500</xdr:rowOff>
              </to>
            </anchor>
          </objectPr>
        </oleObject>
      </mc:Choice>
      <mc:Fallback>
        <oleObject progId="Equation.3" shapeId="1214470" r:id="rId13"/>
      </mc:Fallback>
    </mc:AlternateContent>
    <mc:AlternateContent xmlns:mc="http://schemas.openxmlformats.org/markup-compatibility/2006">
      <mc:Choice Requires="x14">
        <oleObject progId="Equation.3" shapeId="1214471" r:id="rId15">
          <objectPr defaultSize="0" altText="" r:id="rId16">
            <anchor moveWithCells="1" sizeWithCells="1">
              <from>
                <xdr:col>22</xdr:col>
                <xdr:colOff>171450</xdr:colOff>
                <xdr:row>70</xdr:row>
                <xdr:rowOff>9525</xdr:rowOff>
              </from>
              <to>
                <xdr:col>23</xdr:col>
                <xdr:colOff>238125</xdr:colOff>
                <xdr:row>70</xdr:row>
                <xdr:rowOff>180975</xdr:rowOff>
              </to>
            </anchor>
          </objectPr>
        </oleObject>
      </mc:Choice>
      <mc:Fallback>
        <oleObject progId="Equation.3" shapeId="1214471" r:id="rId15"/>
      </mc:Fallback>
    </mc:AlternateContent>
    <mc:AlternateContent xmlns:mc="http://schemas.openxmlformats.org/markup-compatibility/2006">
      <mc:Choice Requires="x14">
        <oleObject progId="Paint.Picture" shapeId="1214472" r:id="rId17">
          <objectPr defaultSize="0" altText="" r:id="rId18">
            <anchor moveWithCells="1">
              <from>
                <xdr:col>4</xdr:col>
                <xdr:colOff>104775</xdr:colOff>
                <xdr:row>79</xdr:row>
                <xdr:rowOff>38100</xdr:rowOff>
              </from>
              <to>
                <xdr:col>8</xdr:col>
                <xdr:colOff>9525</xdr:colOff>
                <xdr:row>86</xdr:row>
                <xdr:rowOff>38100</xdr:rowOff>
              </to>
            </anchor>
          </objectPr>
        </oleObject>
      </mc:Choice>
      <mc:Fallback>
        <oleObject progId="Paint.Picture" shapeId="1214472" r:id="rId17"/>
      </mc:Fallback>
    </mc:AlternateContent>
    <mc:AlternateContent xmlns:mc="http://schemas.openxmlformats.org/markup-compatibility/2006">
      <mc:Choice Requires="x14">
        <oleObject progId="Paint.Picture" shapeId="1214473" r:id="rId19">
          <objectPr defaultSize="0" altText="" r:id="rId20">
            <anchor moveWithCells="1">
              <from>
                <xdr:col>0</xdr:col>
                <xdr:colOff>228600</xdr:colOff>
                <xdr:row>79</xdr:row>
                <xdr:rowOff>38100</xdr:rowOff>
              </from>
              <to>
                <xdr:col>4</xdr:col>
                <xdr:colOff>57150</xdr:colOff>
                <xdr:row>86</xdr:row>
                <xdr:rowOff>47625</xdr:rowOff>
              </to>
            </anchor>
          </objectPr>
        </oleObject>
      </mc:Choice>
      <mc:Fallback>
        <oleObject progId="Paint.Picture" shapeId="1214473" r:id="rId19"/>
      </mc:Fallback>
    </mc:AlternateContent>
    <mc:AlternateContent xmlns:mc="http://schemas.openxmlformats.org/markup-compatibility/2006">
      <mc:Choice Requires="x14">
        <oleObject progId="Equation.3" shapeId="1214474" r:id="rId21">
          <objectPr defaultSize="0" altText="" r:id="rId22">
            <anchor moveWithCells="1" sizeWithCells="1">
              <from>
                <xdr:col>13</xdr:col>
                <xdr:colOff>123825</xdr:colOff>
                <xdr:row>84</xdr:row>
                <xdr:rowOff>9525</xdr:rowOff>
              </from>
              <to>
                <xdr:col>14</xdr:col>
                <xdr:colOff>76200</xdr:colOff>
                <xdr:row>85</xdr:row>
                <xdr:rowOff>0</xdr:rowOff>
              </to>
            </anchor>
          </objectPr>
        </oleObject>
      </mc:Choice>
      <mc:Fallback>
        <oleObject progId="Equation.3" shapeId="1214474" r:id="rId21"/>
      </mc:Fallback>
    </mc:AlternateContent>
    <mc:AlternateContent xmlns:mc="http://schemas.openxmlformats.org/markup-compatibility/2006">
      <mc:Choice Requires="x14">
        <oleObject progId="Equation.3" shapeId="1214475" r:id="rId23">
          <objectPr defaultSize="0" altText="" r:id="rId24">
            <anchor moveWithCells="1" sizeWithCells="1">
              <from>
                <xdr:col>16</xdr:col>
                <xdr:colOff>190500</xdr:colOff>
                <xdr:row>84</xdr:row>
                <xdr:rowOff>57150</xdr:rowOff>
              </from>
              <to>
                <xdr:col>17</xdr:col>
                <xdr:colOff>238125</xdr:colOff>
                <xdr:row>85</xdr:row>
                <xdr:rowOff>28575</xdr:rowOff>
              </to>
            </anchor>
          </objectPr>
        </oleObject>
      </mc:Choice>
      <mc:Fallback>
        <oleObject progId="Equation.3" shapeId="1214475" r:id="rId23"/>
      </mc:Fallback>
    </mc:AlternateContent>
    <mc:AlternateContent xmlns:mc="http://schemas.openxmlformats.org/markup-compatibility/2006">
      <mc:Choice Requires="x14">
        <oleObject progId="Equation.3" shapeId="1214476" r:id="rId25">
          <objectPr defaultSize="0" altText="" r:id="rId26">
            <anchor moveWithCells="1" sizeWithCells="1">
              <from>
                <xdr:col>22</xdr:col>
                <xdr:colOff>104775</xdr:colOff>
                <xdr:row>84</xdr:row>
                <xdr:rowOff>0</xdr:rowOff>
              </from>
              <to>
                <xdr:col>23</xdr:col>
                <xdr:colOff>66675</xdr:colOff>
                <xdr:row>84</xdr:row>
                <xdr:rowOff>161925</xdr:rowOff>
              </to>
            </anchor>
          </objectPr>
        </oleObject>
      </mc:Choice>
      <mc:Fallback>
        <oleObject progId="Equation.3" shapeId="1214476" r:id="rId25"/>
      </mc:Fallback>
    </mc:AlternateContent>
    <mc:AlternateContent xmlns:mc="http://schemas.openxmlformats.org/markup-compatibility/2006">
      <mc:Choice Requires="x14">
        <oleObject progId="Paint.Picture" shapeId="1214477" r:id="rId27">
          <objectPr defaultSize="0" altText="" r:id="rId28">
            <anchor moveWithCells="1">
              <from>
                <xdr:col>5</xdr:col>
                <xdr:colOff>57150</xdr:colOff>
                <xdr:row>91</xdr:row>
                <xdr:rowOff>114300</xdr:rowOff>
              </from>
              <to>
                <xdr:col>17</xdr:col>
                <xdr:colOff>57150</xdr:colOff>
                <xdr:row>98</xdr:row>
                <xdr:rowOff>161925</xdr:rowOff>
              </to>
            </anchor>
          </objectPr>
        </oleObject>
      </mc:Choice>
      <mc:Fallback>
        <oleObject progId="Paint.Picture" shapeId="1214477" r:id="rId27"/>
      </mc:Fallback>
    </mc:AlternateContent>
    <mc:AlternateContent xmlns:mc="http://schemas.openxmlformats.org/markup-compatibility/2006">
      <mc:Choice Requires="x14">
        <oleObject progId="Equation.3" shapeId="1214478" r:id="rId29">
          <objectPr defaultSize="0" altText="" r:id="rId30">
            <anchor moveWithCells="1" sizeWithCells="1">
              <from>
                <xdr:col>20</xdr:col>
                <xdr:colOff>47625</xdr:colOff>
                <xdr:row>111</xdr:row>
                <xdr:rowOff>9525</xdr:rowOff>
              </from>
              <to>
                <xdr:col>21</xdr:col>
                <xdr:colOff>190500</xdr:colOff>
                <xdr:row>112</xdr:row>
                <xdr:rowOff>0</xdr:rowOff>
              </to>
            </anchor>
          </objectPr>
        </oleObject>
      </mc:Choice>
      <mc:Fallback>
        <oleObject progId="Equation.3" shapeId="1214478" r:id="rId29"/>
      </mc:Fallback>
    </mc:AlternateContent>
    <mc:AlternateContent xmlns:mc="http://schemas.openxmlformats.org/markup-compatibility/2006">
      <mc:Choice Requires="x14">
        <oleObject progId="Equation.3" shapeId="1214479" r:id="rId31">
          <objectPr defaultSize="0" altText="" r:id="rId32">
            <anchor moveWithCells="1" sizeWithCells="1">
              <from>
                <xdr:col>20</xdr:col>
                <xdr:colOff>47625</xdr:colOff>
                <xdr:row>113</xdr:row>
                <xdr:rowOff>190500</xdr:rowOff>
              </from>
              <to>
                <xdr:col>21</xdr:col>
                <xdr:colOff>190500</xdr:colOff>
                <xdr:row>114</xdr:row>
                <xdr:rowOff>161925</xdr:rowOff>
              </to>
            </anchor>
          </objectPr>
        </oleObject>
      </mc:Choice>
      <mc:Fallback>
        <oleObject progId="Equation.3" shapeId="1214479" r:id="rId31"/>
      </mc:Fallback>
    </mc:AlternateContent>
    <mc:AlternateContent xmlns:mc="http://schemas.openxmlformats.org/markup-compatibility/2006">
      <mc:Choice Requires="x14">
        <oleObject progId="Equation.3" shapeId="1214480" r:id="rId33">
          <objectPr defaultSize="0" altText="" r:id="rId34">
            <anchor moveWithCells="1" sizeWithCells="1">
              <from>
                <xdr:col>20</xdr:col>
                <xdr:colOff>38100</xdr:colOff>
                <xdr:row>116</xdr:row>
                <xdr:rowOff>123825</xdr:rowOff>
              </from>
              <to>
                <xdr:col>21</xdr:col>
                <xdr:colOff>171450</xdr:colOff>
                <xdr:row>117</xdr:row>
                <xdr:rowOff>85725</xdr:rowOff>
              </to>
            </anchor>
          </objectPr>
        </oleObject>
      </mc:Choice>
      <mc:Fallback>
        <oleObject progId="Equation.3" shapeId="1214480" r:id="rId33"/>
      </mc:Fallback>
    </mc:AlternateContent>
    <mc:AlternateContent xmlns:mc="http://schemas.openxmlformats.org/markup-compatibility/2006">
      <mc:Choice Requires="x14">
        <oleObject progId="Equation.3" shapeId="1214481" r:id="rId35">
          <objectPr defaultSize="0" altText="" r:id="rId36">
            <anchor moveWithCells="1" sizeWithCells="1">
              <from>
                <xdr:col>20</xdr:col>
                <xdr:colOff>76200</xdr:colOff>
                <xdr:row>118</xdr:row>
                <xdr:rowOff>123825</xdr:rowOff>
              </from>
              <to>
                <xdr:col>21</xdr:col>
                <xdr:colOff>152400</xdr:colOff>
                <xdr:row>119</xdr:row>
                <xdr:rowOff>85725</xdr:rowOff>
              </to>
            </anchor>
          </objectPr>
        </oleObject>
      </mc:Choice>
      <mc:Fallback>
        <oleObject progId="Equation.3" shapeId="1214481" r:id="rId35"/>
      </mc:Fallback>
    </mc:AlternateContent>
    <mc:AlternateContent xmlns:mc="http://schemas.openxmlformats.org/markup-compatibility/2006">
      <mc:Choice Requires="x14">
        <oleObject progId="Equation.3" shapeId="1214482" r:id="rId37">
          <objectPr defaultSize="0" altText="" r:id="rId38">
            <anchor moveWithCells="1" sizeWithCells="1">
              <from>
                <xdr:col>20</xdr:col>
                <xdr:colOff>76200</xdr:colOff>
                <xdr:row>121</xdr:row>
                <xdr:rowOff>9525</xdr:rowOff>
              </from>
              <to>
                <xdr:col>21</xdr:col>
                <xdr:colOff>152400</xdr:colOff>
                <xdr:row>122</xdr:row>
                <xdr:rowOff>0</xdr:rowOff>
              </to>
            </anchor>
          </objectPr>
        </oleObject>
      </mc:Choice>
      <mc:Fallback>
        <oleObject progId="Equation.3" shapeId="1214482" r:id="rId37"/>
      </mc:Fallback>
    </mc:AlternateContent>
    <mc:AlternateContent xmlns:mc="http://schemas.openxmlformats.org/markup-compatibility/2006">
      <mc:Choice Requires="x14">
        <oleObject progId="Equation.3" shapeId="1214483" r:id="rId39">
          <objectPr defaultSize="0" altText="" r:id="rId40">
            <anchor moveWithCells="1" sizeWithCells="1">
              <from>
                <xdr:col>15</xdr:col>
                <xdr:colOff>228600</xdr:colOff>
                <xdr:row>110</xdr:row>
                <xdr:rowOff>9525</xdr:rowOff>
              </from>
              <to>
                <xdr:col>17</xdr:col>
                <xdr:colOff>47625</xdr:colOff>
                <xdr:row>111</xdr:row>
                <xdr:rowOff>0</xdr:rowOff>
              </to>
            </anchor>
          </objectPr>
        </oleObject>
      </mc:Choice>
      <mc:Fallback>
        <oleObject progId="Equation.3" shapeId="1214483" r:id="rId39"/>
      </mc:Fallback>
    </mc:AlternateContent>
    <mc:AlternateContent xmlns:mc="http://schemas.openxmlformats.org/markup-compatibility/2006">
      <mc:Choice Requires="x14">
        <oleObject progId="Equation.3" shapeId="1214484" r:id="rId41">
          <objectPr defaultSize="0" altText="" r:id="rId42">
            <anchor moveWithCells="1" sizeWithCells="1">
              <from>
                <xdr:col>15</xdr:col>
                <xdr:colOff>190500</xdr:colOff>
                <xdr:row>112</xdr:row>
                <xdr:rowOff>0</xdr:rowOff>
              </from>
              <to>
                <xdr:col>17</xdr:col>
                <xdr:colOff>76200</xdr:colOff>
                <xdr:row>113</xdr:row>
                <xdr:rowOff>0</xdr:rowOff>
              </to>
            </anchor>
          </objectPr>
        </oleObject>
      </mc:Choice>
      <mc:Fallback>
        <oleObject progId="Equation.3" shapeId="1214484" r:id="rId41"/>
      </mc:Fallback>
    </mc:AlternateContent>
    <mc:AlternateContent xmlns:mc="http://schemas.openxmlformats.org/markup-compatibility/2006">
      <mc:Choice Requires="x14">
        <oleObject progId="Equation.3" shapeId="1214485" r:id="rId43">
          <objectPr defaultSize="0" altText="" r:id="rId30">
            <anchor moveWithCells="1" sizeWithCells="1">
              <from>
                <xdr:col>15</xdr:col>
                <xdr:colOff>190500</xdr:colOff>
                <xdr:row>114</xdr:row>
                <xdr:rowOff>180975</xdr:rowOff>
              </from>
              <to>
                <xdr:col>17</xdr:col>
                <xdr:colOff>76200</xdr:colOff>
                <xdr:row>115</xdr:row>
                <xdr:rowOff>152400</xdr:rowOff>
              </to>
            </anchor>
          </objectPr>
        </oleObject>
      </mc:Choice>
      <mc:Fallback>
        <oleObject progId="Equation.3" shapeId="1214485" r:id="rId43"/>
      </mc:Fallback>
    </mc:AlternateContent>
    <mc:AlternateContent xmlns:mc="http://schemas.openxmlformats.org/markup-compatibility/2006">
      <mc:Choice Requires="x14">
        <oleObject progId="Equation.3" shapeId="1214486" r:id="rId44">
          <objectPr defaultSize="0" altText="" r:id="rId32">
            <anchor moveWithCells="1" sizeWithCells="1">
              <from>
                <xdr:col>15</xdr:col>
                <xdr:colOff>180975</xdr:colOff>
                <xdr:row>117</xdr:row>
                <xdr:rowOff>142875</xdr:rowOff>
              </from>
              <to>
                <xdr:col>17</xdr:col>
                <xdr:colOff>66675</xdr:colOff>
                <xdr:row>118</xdr:row>
                <xdr:rowOff>114300</xdr:rowOff>
              </to>
            </anchor>
          </objectPr>
        </oleObject>
      </mc:Choice>
      <mc:Fallback>
        <oleObject progId="Equation.3" shapeId="1214486" r:id="rId44"/>
      </mc:Fallback>
    </mc:AlternateContent>
    <mc:AlternateContent xmlns:mc="http://schemas.openxmlformats.org/markup-compatibility/2006">
      <mc:Choice Requires="x14">
        <oleObject progId="Equation.3" shapeId="1214487" r:id="rId45">
          <objectPr defaultSize="0" altText="" r:id="rId34">
            <anchor moveWithCells="1" sizeWithCells="1">
              <from>
                <xdr:col>15</xdr:col>
                <xdr:colOff>190500</xdr:colOff>
                <xdr:row>119</xdr:row>
                <xdr:rowOff>180975</xdr:rowOff>
              </from>
              <to>
                <xdr:col>17</xdr:col>
                <xdr:colOff>76200</xdr:colOff>
                <xdr:row>120</xdr:row>
                <xdr:rowOff>152400</xdr:rowOff>
              </to>
            </anchor>
          </objectPr>
        </oleObject>
      </mc:Choice>
      <mc:Fallback>
        <oleObject progId="Equation.3" shapeId="1214487" r:id="rId45"/>
      </mc:Fallback>
    </mc:AlternateContent>
    <mc:AlternateContent xmlns:mc="http://schemas.openxmlformats.org/markup-compatibility/2006">
      <mc:Choice Requires="x14">
        <oleObject progId="Equation.3" shapeId="1214488" r:id="rId46">
          <objectPr defaultSize="0" altText="" r:id="rId36">
            <anchor moveWithCells="1" sizeWithCells="1">
              <from>
                <xdr:col>15</xdr:col>
                <xdr:colOff>209550</xdr:colOff>
                <xdr:row>121</xdr:row>
                <xdr:rowOff>66675</xdr:rowOff>
              </from>
              <to>
                <xdr:col>17</xdr:col>
                <xdr:colOff>38100</xdr:colOff>
                <xdr:row>122</xdr:row>
                <xdr:rowOff>38100</xdr:rowOff>
              </to>
            </anchor>
          </objectPr>
        </oleObject>
      </mc:Choice>
      <mc:Fallback>
        <oleObject progId="Equation.3" shapeId="1214488" r:id="rId46"/>
      </mc:Fallback>
    </mc:AlternateContent>
    <mc:AlternateContent xmlns:mc="http://schemas.openxmlformats.org/markup-compatibility/2006">
      <mc:Choice Requires="x14">
        <oleObject progId="Equation.3" shapeId="1214489" r:id="rId47">
          <objectPr defaultSize="0" altText="" r:id="rId30">
            <anchor moveWithCells="1" sizeWithCells="1">
              <from>
                <xdr:col>10</xdr:col>
                <xdr:colOff>152400</xdr:colOff>
                <xdr:row>110</xdr:row>
                <xdr:rowOff>142875</xdr:rowOff>
              </from>
              <to>
                <xdr:col>12</xdr:col>
                <xdr:colOff>38100</xdr:colOff>
                <xdr:row>111</xdr:row>
                <xdr:rowOff>114300</xdr:rowOff>
              </to>
            </anchor>
          </objectPr>
        </oleObject>
      </mc:Choice>
      <mc:Fallback>
        <oleObject progId="Equation.3" shapeId="1214489" r:id="rId47"/>
      </mc:Fallback>
    </mc:AlternateContent>
    <mc:AlternateContent xmlns:mc="http://schemas.openxmlformats.org/markup-compatibility/2006">
      <mc:Choice Requires="x14">
        <oleObject progId="Equation.3" shapeId="1214490" r:id="rId48">
          <objectPr defaultSize="0" altText="" r:id="rId32">
            <anchor moveWithCells="1" sizeWithCells="1">
              <from>
                <xdr:col>10</xdr:col>
                <xdr:colOff>133350</xdr:colOff>
                <xdr:row>113</xdr:row>
                <xdr:rowOff>0</xdr:rowOff>
              </from>
              <to>
                <xdr:col>12</xdr:col>
                <xdr:colOff>19050</xdr:colOff>
                <xdr:row>114</xdr:row>
                <xdr:rowOff>0</xdr:rowOff>
              </to>
            </anchor>
          </objectPr>
        </oleObject>
      </mc:Choice>
      <mc:Fallback>
        <oleObject progId="Equation.3" shapeId="1214490" r:id="rId48"/>
      </mc:Fallback>
    </mc:AlternateContent>
    <mc:AlternateContent xmlns:mc="http://schemas.openxmlformats.org/markup-compatibility/2006">
      <mc:Choice Requires="x14">
        <oleObject progId="Equation.3" shapeId="1214491" r:id="rId49">
          <objectPr defaultSize="0" altText="" r:id="rId34">
            <anchor moveWithCells="1" sizeWithCells="1">
              <from>
                <xdr:col>10</xdr:col>
                <xdr:colOff>171450</xdr:colOff>
                <xdr:row>115</xdr:row>
                <xdr:rowOff>142875</xdr:rowOff>
              </from>
              <to>
                <xdr:col>12</xdr:col>
                <xdr:colOff>57150</xdr:colOff>
                <xdr:row>116</xdr:row>
                <xdr:rowOff>114300</xdr:rowOff>
              </to>
            </anchor>
          </objectPr>
        </oleObject>
      </mc:Choice>
      <mc:Fallback>
        <oleObject progId="Equation.3" shapeId="1214491" r:id="rId49"/>
      </mc:Fallback>
    </mc:AlternateContent>
    <mc:AlternateContent xmlns:mc="http://schemas.openxmlformats.org/markup-compatibility/2006">
      <mc:Choice Requires="x14">
        <oleObject progId="Equation.3" shapeId="1214492" r:id="rId50">
          <objectPr defaultSize="0" altText="" r:id="rId36">
            <anchor moveWithCells="1" sizeWithCells="1">
              <from>
                <xdr:col>10</xdr:col>
                <xdr:colOff>228600</xdr:colOff>
                <xdr:row>117</xdr:row>
                <xdr:rowOff>123825</xdr:rowOff>
              </from>
              <to>
                <xdr:col>12</xdr:col>
                <xdr:colOff>38100</xdr:colOff>
                <xdr:row>118</xdr:row>
                <xdr:rowOff>85725</xdr:rowOff>
              </to>
            </anchor>
          </objectPr>
        </oleObject>
      </mc:Choice>
      <mc:Fallback>
        <oleObject progId="Equation.3" shapeId="1214492" r:id="rId50"/>
      </mc:Fallback>
    </mc:AlternateContent>
    <mc:AlternateContent xmlns:mc="http://schemas.openxmlformats.org/markup-compatibility/2006">
      <mc:Choice Requires="x14">
        <oleObject progId="Equation.3" shapeId="1214493" r:id="rId51">
          <objectPr defaultSize="0" altText="" r:id="rId38">
            <anchor moveWithCells="1" sizeWithCells="1">
              <from>
                <xdr:col>10</xdr:col>
                <xdr:colOff>200025</xdr:colOff>
                <xdr:row>120</xdr:row>
                <xdr:rowOff>0</xdr:rowOff>
              </from>
              <to>
                <xdr:col>12</xdr:col>
                <xdr:colOff>19050</xdr:colOff>
                <xdr:row>121</xdr:row>
                <xdr:rowOff>0</xdr:rowOff>
              </to>
            </anchor>
          </objectPr>
        </oleObject>
      </mc:Choice>
      <mc:Fallback>
        <oleObject progId="Equation.3" shapeId="1214493" r:id="rId51"/>
      </mc:Fallback>
    </mc:AlternateContent>
    <mc:AlternateContent xmlns:mc="http://schemas.openxmlformats.org/markup-compatibility/2006">
      <mc:Choice Requires="x14">
        <oleObject progId="Equation.3" shapeId="1214494" r:id="rId52">
          <objectPr defaultSize="0" altText="" r:id="rId53">
            <anchor moveWithCells="1" sizeWithCells="1">
              <from>
                <xdr:col>10</xdr:col>
                <xdr:colOff>200025</xdr:colOff>
                <xdr:row>122</xdr:row>
                <xdr:rowOff>28575</xdr:rowOff>
              </from>
              <to>
                <xdr:col>12</xdr:col>
                <xdr:colOff>19050</xdr:colOff>
                <xdr:row>123</xdr:row>
                <xdr:rowOff>0</xdr:rowOff>
              </to>
            </anchor>
          </objectPr>
        </oleObject>
      </mc:Choice>
      <mc:Fallback>
        <oleObject progId="Equation.3" shapeId="1214494" r:id="rId52"/>
      </mc:Fallback>
    </mc:AlternateContent>
    <mc:AlternateContent xmlns:mc="http://schemas.openxmlformats.org/markup-compatibility/2006">
      <mc:Choice Requires="x14">
        <oleObject progId="Equation.3" shapeId="1214495" r:id="rId54">
          <objectPr defaultSize="0" altText="" r:id="rId55">
            <anchor moveWithCells="1" sizeWithCells="1">
              <from>
                <xdr:col>6</xdr:col>
                <xdr:colOff>104775</xdr:colOff>
                <xdr:row>111</xdr:row>
                <xdr:rowOff>0</xdr:rowOff>
              </from>
              <to>
                <xdr:col>7</xdr:col>
                <xdr:colOff>161925</xdr:colOff>
                <xdr:row>113</xdr:row>
                <xdr:rowOff>0</xdr:rowOff>
              </to>
            </anchor>
          </objectPr>
        </oleObject>
      </mc:Choice>
      <mc:Fallback>
        <oleObject progId="Equation.3" shapeId="1214495" r:id="rId54"/>
      </mc:Fallback>
    </mc:AlternateContent>
    <mc:AlternateContent xmlns:mc="http://schemas.openxmlformats.org/markup-compatibility/2006">
      <mc:Choice Requires="x14">
        <oleObject progId="Equation.3" shapeId="1214496" r:id="rId56">
          <objectPr defaultSize="0" altText="" r:id="rId57">
            <anchor moveWithCells="1" sizeWithCells="1">
              <from>
                <xdr:col>6</xdr:col>
                <xdr:colOff>76200</xdr:colOff>
                <xdr:row>115</xdr:row>
                <xdr:rowOff>66675</xdr:rowOff>
              </from>
              <to>
                <xdr:col>7</xdr:col>
                <xdr:colOff>152400</xdr:colOff>
                <xdr:row>117</xdr:row>
                <xdr:rowOff>66675</xdr:rowOff>
              </to>
            </anchor>
          </objectPr>
        </oleObject>
      </mc:Choice>
      <mc:Fallback>
        <oleObject progId="Equation.3" shapeId="1214496" r:id="rId56"/>
      </mc:Fallback>
    </mc:AlternateContent>
    <mc:AlternateContent xmlns:mc="http://schemas.openxmlformats.org/markup-compatibility/2006">
      <mc:Choice Requires="x14">
        <oleObject progId="Equation.3" shapeId="1214497" r:id="rId58">
          <objectPr defaultSize="0" altText="" r:id="rId59">
            <anchor moveWithCells="1" sizeWithCells="1">
              <from>
                <xdr:col>6</xdr:col>
                <xdr:colOff>76200</xdr:colOff>
                <xdr:row>119</xdr:row>
                <xdr:rowOff>180975</xdr:rowOff>
              </from>
              <to>
                <xdr:col>7</xdr:col>
                <xdr:colOff>152400</xdr:colOff>
                <xdr:row>121</xdr:row>
                <xdr:rowOff>161925</xdr:rowOff>
              </to>
            </anchor>
          </objectPr>
        </oleObject>
      </mc:Choice>
      <mc:Fallback>
        <oleObject progId="Equation.3" shapeId="1214497" r:id="rId58"/>
      </mc:Fallback>
    </mc:AlternateContent>
    <mc:AlternateContent xmlns:mc="http://schemas.openxmlformats.org/markup-compatibility/2006">
      <mc:Choice Requires="x14">
        <oleObject progId="Equation.3" shapeId="1214498" r:id="rId60">
          <objectPr defaultSize="0" altText="" r:id="rId61">
            <anchor moveWithCells="1" sizeWithCells="1">
              <from>
                <xdr:col>20</xdr:col>
                <xdr:colOff>76200</xdr:colOff>
                <xdr:row>123</xdr:row>
                <xdr:rowOff>152400</xdr:rowOff>
              </from>
              <to>
                <xdr:col>21</xdr:col>
                <xdr:colOff>209550</xdr:colOff>
                <xdr:row>124</xdr:row>
                <xdr:rowOff>142875</xdr:rowOff>
              </to>
            </anchor>
          </objectPr>
        </oleObject>
      </mc:Choice>
      <mc:Fallback>
        <oleObject progId="Equation.3" shapeId="1214498" r:id="rId60"/>
      </mc:Fallback>
    </mc:AlternateContent>
    <mc:AlternateContent xmlns:mc="http://schemas.openxmlformats.org/markup-compatibility/2006">
      <mc:Choice Requires="x14">
        <oleObject progId="Equation.3" shapeId="1214499" r:id="rId62">
          <objectPr defaultSize="0" altText="" r:id="rId63">
            <anchor moveWithCells="1" sizeWithCells="1">
              <from>
                <xdr:col>23</xdr:col>
                <xdr:colOff>200025</xdr:colOff>
                <xdr:row>123</xdr:row>
                <xdr:rowOff>142875</xdr:rowOff>
              </from>
              <to>
                <xdr:col>25</xdr:col>
                <xdr:colOff>95250</xdr:colOff>
                <xdr:row>124</xdr:row>
                <xdr:rowOff>133350</xdr:rowOff>
              </to>
            </anchor>
          </objectPr>
        </oleObject>
      </mc:Choice>
      <mc:Fallback>
        <oleObject progId="Equation.3" shapeId="1214499" r:id="rId62"/>
      </mc:Fallback>
    </mc:AlternateContent>
  </oleObjec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15"/>
  <dimension ref="A1:G73"/>
  <sheetViews>
    <sheetView workbookViewId="0">
      <selection sqref="A1:G1"/>
    </sheetView>
  </sheetViews>
  <sheetFormatPr defaultColWidth="8.75" defaultRowHeight="21" customHeight="1"/>
  <cols>
    <col min="1" max="3" width="14.5" style="92" customWidth="1"/>
    <col min="4" max="5" width="14.625" style="92" customWidth="1"/>
    <col min="6" max="7" width="16.125" style="92" customWidth="1"/>
    <col min="8" max="32" width="9" style="92"/>
    <col min="33" max="16384" width="8.75" style="92"/>
  </cols>
  <sheetData>
    <row r="1" spans="1:7" ht="30" customHeight="1">
      <c r="A1" s="5624" t="s">
        <v>11923</v>
      </c>
      <c r="B1" s="5625"/>
      <c r="C1" s="5625"/>
      <c r="D1" s="5625"/>
      <c r="E1" s="5625"/>
      <c r="F1" s="5625"/>
      <c r="G1" s="5626"/>
    </row>
    <row r="3" spans="1:7" ht="21" customHeight="1">
      <c r="A3" s="121" t="s">
        <v>11924</v>
      </c>
      <c r="B3" s="1775"/>
      <c r="C3" s="1775"/>
      <c r="D3" s="1775"/>
      <c r="E3" s="1775"/>
      <c r="F3" s="1775"/>
      <c r="G3" s="129"/>
    </row>
    <row r="5" spans="1:7" ht="27" customHeight="1">
      <c r="A5" s="5627" t="s">
        <v>11925</v>
      </c>
      <c r="B5" s="5627"/>
      <c r="C5" s="5627"/>
      <c r="D5" s="5627"/>
      <c r="E5" s="5627"/>
      <c r="F5" s="5627"/>
      <c r="G5" s="5627"/>
    </row>
    <row r="6" spans="1:7" ht="21" customHeight="1">
      <c r="A6" s="913" t="s">
        <v>11926</v>
      </c>
      <c r="B6" s="913" t="s">
        <v>11927</v>
      </c>
      <c r="C6" s="913" t="s">
        <v>11928</v>
      </c>
      <c r="D6" s="913" t="s">
        <v>11929</v>
      </c>
      <c r="E6" s="913" t="s">
        <v>11930</v>
      </c>
      <c r="F6" s="913" t="s">
        <v>11931</v>
      </c>
      <c r="G6" s="913" t="s">
        <v>11932</v>
      </c>
    </row>
    <row r="7" spans="1:7" ht="18.75" customHeight="1">
      <c r="A7" s="1776" t="s">
        <v>11933</v>
      </c>
      <c r="B7" s="1776" t="s">
        <v>11934</v>
      </c>
      <c r="C7" s="1776" t="s">
        <v>4291</v>
      </c>
      <c r="D7" s="1776" t="s">
        <v>11935</v>
      </c>
      <c r="E7" s="1776" t="s">
        <v>11936</v>
      </c>
      <c r="F7" s="1776" t="s">
        <v>4322</v>
      </c>
      <c r="G7" s="1776" t="s">
        <v>11937</v>
      </c>
    </row>
    <row r="8" spans="1:7" ht="21" customHeight="1">
      <c r="A8" s="1678">
        <v>70</v>
      </c>
      <c r="B8" s="1678">
        <v>0.5</v>
      </c>
      <c r="C8" s="1777">
        <f>(A8*B8*B8)/2</f>
        <v>8.75</v>
      </c>
      <c r="D8" s="1678">
        <v>343</v>
      </c>
      <c r="E8" s="1678">
        <v>8.0000000000000002E-3</v>
      </c>
      <c r="F8" s="1777">
        <f>E8*D8</f>
        <v>2.7440000000000002</v>
      </c>
      <c r="G8" s="665">
        <f>C8+F8</f>
        <v>11.494</v>
      </c>
    </row>
    <row r="11" spans="1:7" ht="21" customHeight="1">
      <c r="A11" s="5627" t="s">
        <v>11938</v>
      </c>
      <c r="B11" s="5627"/>
      <c r="C11" s="5627"/>
      <c r="D11" s="5627"/>
      <c r="E11" s="5627"/>
      <c r="F11" s="5627"/>
      <c r="G11" s="5627"/>
    </row>
    <row r="12" spans="1:7" ht="21" customHeight="1">
      <c r="A12" s="913" t="s">
        <v>11926</v>
      </c>
      <c r="B12" s="913" t="s">
        <v>11927</v>
      </c>
      <c r="C12" s="913" t="s">
        <v>11928</v>
      </c>
      <c r="D12" s="913" t="s">
        <v>11929</v>
      </c>
      <c r="E12" s="913" t="s">
        <v>11930</v>
      </c>
      <c r="F12" s="913" t="s">
        <v>11931</v>
      </c>
      <c r="G12" s="913" t="s">
        <v>11932</v>
      </c>
    </row>
    <row r="13" spans="1:7" ht="21" customHeight="1">
      <c r="A13" s="1776" t="s">
        <v>11939</v>
      </c>
      <c r="B13" s="1776" t="s">
        <v>11940</v>
      </c>
      <c r="C13" s="1776" t="s">
        <v>4291</v>
      </c>
      <c r="D13" s="1776" t="s">
        <v>11935</v>
      </c>
      <c r="E13" s="1776" t="s">
        <v>11941</v>
      </c>
      <c r="F13" s="1776" t="s">
        <v>4322</v>
      </c>
      <c r="G13" s="1776" t="s">
        <v>11937</v>
      </c>
    </row>
    <row r="14" spans="1:7" ht="21" customHeight="1">
      <c r="A14" s="1678">
        <v>15</v>
      </c>
      <c r="B14" s="1678">
        <v>0.5</v>
      </c>
      <c r="C14" s="1777">
        <f>(A14*B14*B14)/2</f>
        <v>1.875</v>
      </c>
      <c r="D14" s="1678">
        <v>1401</v>
      </c>
      <c r="E14" s="1678">
        <v>0.01</v>
      </c>
      <c r="F14" s="1777">
        <f>(A14*9.8+D14)*E14</f>
        <v>15.48</v>
      </c>
      <c r="G14" s="665">
        <f>C14+F14</f>
        <v>17.355</v>
      </c>
    </row>
    <row r="15" spans="1:7" ht="21" customHeight="1">
      <c r="A15" s="5628" t="s">
        <v>11942</v>
      </c>
      <c r="B15" s="5628"/>
      <c r="C15" s="5628"/>
      <c r="D15" s="5628"/>
      <c r="E15" s="5628"/>
      <c r="F15" s="5628"/>
      <c r="G15" s="5628"/>
    </row>
    <row r="56" spans="1:2" ht="21" customHeight="1">
      <c r="A56" s="1778" t="s">
        <v>11943</v>
      </c>
      <c r="B56"/>
    </row>
    <row r="57" spans="1:2" ht="21" customHeight="1">
      <c r="A57" s="1779" t="s">
        <v>11944</v>
      </c>
      <c r="B57" s="1779">
        <v>5</v>
      </c>
    </row>
    <row r="58" spans="1:2" ht="21" customHeight="1">
      <c r="A58" s="1779" t="s">
        <v>11945</v>
      </c>
      <c r="B58" s="1779">
        <v>10</v>
      </c>
    </row>
    <row r="59" spans="1:2" ht="21" customHeight="1">
      <c r="A59" s="1779" t="s">
        <v>11946</v>
      </c>
      <c r="B59" s="1779">
        <v>10</v>
      </c>
    </row>
    <row r="60" spans="1:2" ht="21" customHeight="1">
      <c r="A60" s="1779" t="s">
        <v>11927</v>
      </c>
      <c r="B60" s="1779">
        <v>1</v>
      </c>
    </row>
    <row r="61" spans="1:2" ht="21" customHeight="1">
      <c r="A61" s="1779" t="s">
        <v>11947</v>
      </c>
      <c r="B61" s="1779">
        <f>B59*B60*B60/2</f>
        <v>5</v>
      </c>
    </row>
    <row r="62" spans="1:2" ht="21" customHeight="1">
      <c r="A62" s="1779" t="s">
        <v>11948</v>
      </c>
      <c r="B62" s="1779">
        <f>B57*B58</f>
        <v>50</v>
      </c>
    </row>
    <row r="63" spans="1:2" ht="21" customHeight="1">
      <c r="A63" s="1779" t="s">
        <v>11949</v>
      </c>
      <c r="B63" s="1779">
        <f>B61+B62</f>
        <v>55</v>
      </c>
    </row>
    <row r="64" spans="1:2" ht="21" customHeight="1">
      <c r="A64" s="1779"/>
      <c r="B64" s="1779"/>
    </row>
    <row r="65" spans="1:2" ht="21" customHeight="1">
      <c r="A65" s="1779"/>
      <c r="B65" s="1779"/>
    </row>
    <row r="66" spans="1:2" ht="21" customHeight="1">
      <c r="A66" s="1780" t="s">
        <v>11950</v>
      </c>
      <c r="B66" s="1779"/>
    </row>
    <row r="67" spans="1:2" ht="21" customHeight="1">
      <c r="A67" s="1779" t="s">
        <v>11944</v>
      </c>
      <c r="B67" s="1779"/>
    </row>
    <row r="68" spans="1:2" ht="21" customHeight="1">
      <c r="A68" s="1779" t="s">
        <v>11945</v>
      </c>
      <c r="B68" s="1779"/>
    </row>
    <row r="69" spans="1:2" ht="21" customHeight="1">
      <c r="A69" s="1779" t="s">
        <v>11946</v>
      </c>
      <c r="B69" s="1779"/>
    </row>
    <row r="70" spans="1:2" ht="21" customHeight="1">
      <c r="A70" s="1779" t="s">
        <v>11927</v>
      </c>
      <c r="B70" s="1779"/>
    </row>
    <row r="71" spans="1:2" ht="21" customHeight="1">
      <c r="A71" s="1779" t="s">
        <v>11947</v>
      </c>
      <c r="B71" s="1779">
        <f>B69*B70*B70/2</f>
        <v>0</v>
      </c>
    </row>
    <row r="72" spans="1:2" ht="21" customHeight="1">
      <c r="A72" s="1779" t="s">
        <v>11948</v>
      </c>
      <c r="B72" s="1779">
        <f>(B69*9.8+B67)*B68</f>
        <v>0</v>
      </c>
    </row>
    <row r="73" spans="1:2" ht="21" customHeight="1">
      <c r="A73" s="1779" t="s">
        <v>11949</v>
      </c>
      <c r="B73" s="1779">
        <f>B71+B72</f>
        <v>0</v>
      </c>
    </row>
  </sheetData>
  <mergeCells count="4">
    <mergeCell ref="A1:G1"/>
    <mergeCell ref="A5:G5"/>
    <mergeCell ref="A11:G11"/>
    <mergeCell ref="A15:G15"/>
  </mergeCells>
  <phoneticPr fontId="214" type="noConversion"/>
  <pageMargins left="0.75" right="0.75" top="1" bottom="1" header="0.5" footer="0.5"/>
  <pageSetup paperSize="9" orientation="portrait"/>
  <headerFooter alignWithMargins="0"/>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6"/>
  <dimension ref="A1:H99"/>
  <sheetViews>
    <sheetView workbookViewId="0">
      <selection sqref="A1:D1"/>
    </sheetView>
  </sheetViews>
  <sheetFormatPr defaultColWidth="8.75" defaultRowHeight="14.25"/>
  <cols>
    <col min="1" max="4" width="18.625" customWidth="1"/>
  </cols>
  <sheetData>
    <row r="1" spans="1:4" ht="30.75" customHeight="1">
      <c r="A1" s="5670" t="s">
        <v>11951</v>
      </c>
      <c r="B1" s="5670"/>
      <c r="C1" s="5670"/>
      <c r="D1" s="5670"/>
    </row>
    <row r="2" spans="1:4" ht="27.75" customHeight="1">
      <c r="A2" s="1726"/>
      <c r="B2" s="1727" t="s">
        <v>1932</v>
      </c>
      <c r="C2" s="1727" t="s">
        <v>11952</v>
      </c>
      <c r="D2" s="1727" t="s">
        <v>11953</v>
      </c>
    </row>
    <row r="3" spans="1:4">
      <c r="A3" s="5671" t="s">
        <v>11954</v>
      </c>
      <c r="B3" s="5672"/>
      <c r="C3" s="5672"/>
      <c r="D3" s="5673"/>
    </row>
    <row r="4" spans="1:4">
      <c r="A4" s="5631" t="s">
        <v>11955</v>
      </c>
      <c r="B4" s="1729" t="s">
        <v>11160</v>
      </c>
      <c r="C4" s="1729" t="s">
        <v>11956</v>
      </c>
      <c r="D4" s="1730" t="s">
        <v>11956</v>
      </c>
    </row>
    <row r="5" spans="1:4">
      <c r="A5" s="5631"/>
      <c r="B5" s="1729" t="s">
        <v>11957</v>
      </c>
      <c r="C5" s="1729" t="s">
        <v>11958</v>
      </c>
      <c r="D5" s="1730" t="s">
        <v>11959</v>
      </c>
    </row>
    <row r="6" spans="1:4">
      <c r="A6" s="5631"/>
      <c r="B6" s="1729" t="s">
        <v>11960</v>
      </c>
      <c r="C6" s="1729" t="s">
        <v>11961</v>
      </c>
      <c r="D6" s="1730" t="s">
        <v>11961</v>
      </c>
    </row>
    <row r="7" spans="1:4">
      <c r="A7" s="5631"/>
      <c r="B7" s="1729" t="s">
        <v>11962</v>
      </c>
      <c r="C7" s="1729" t="s">
        <v>11963</v>
      </c>
      <c r="D7" s="1730" t="s">
        <v>11964</v>
      </c>
    </row>
    <row r="8" spans="1:4">
      <c r="A8" s="5631"/>
      <c r="B8" s="1729" t="s">
        <v>11965</v>
      </c>
      <c r="C8" s="1729" t="s">
        <v>11964</v>
      </c>
      <c r="D8" s="1730" t="s">
        <v>11964</v>
      </c>
    </row>
    <row r="9" spans="1:4">
      <c r="A9" s="5631"/>
      <c r="B9" s="1729" t="s">
        <v>487</v>
      </c>
      <c r="C9" s="1729" t="s">
        <v>11966</v>
      </c>
      <c r="D9" s="1730" t="s">
        <v>11967</v>
      </c>
    </row>
    <row r="10" spans="1:4">
      <c r="A10" s="1728" t="s">
        <v>11968</v>
      </c>
      <c r="B10" s="1729" t="s">
        <v>5247</v>
      </c>
      <c r="C10" s="1729" t="s">
        <v>11969</v>
      </c>
      <c r="D10" s="1730" t="s">
        <v>11969</v>
      </c>
    </row>
    <row r="11" spans="1:4">
      <c r="A11" s="5674" t="s">
        <v>11970</v>
      </c>
      <c r="B11" s="5675"/>
      <c r="C11" s="5675"/>
      <c r="D11" s="5676"/>
    </row>
    <row r="12" spans="1:4">
      <c r="A12" s="5677" t="s">
        <v>11971</v>
      </c>
      <c r="B12" s="5678"/>
      <c r="C12" s="5678"/>
      <c r="D12" s="5679"/>
    </row>
    <row r="13" spans="1:4">
      <c r="A13" s="1731"/>
      <c r="B13" s="1732"/>
      <c r="C13" s="1732"/>
      <c r="D13" s="1733"/>
    </row>
    <row r="14" spans="1:4">
      <c r="A14" s="5680" t="s">
        <v>11972</v>
      </c>
      <c r="B14" s="5681"/>
      <c r="C14" s="5681"/>
      <c r="D14" s="5682"/>
    </row>
    <row r="15" spans="1:4">
      <c r="A15" s="5656"/>
      <c r="B15" s="5657"/>
      <c r="C15" s="5657"/>
      <c r="D15" s="5658"/>
    </row>
    <row r="16" spans="1:4">
      <c r="A16" s="1734"/>
      <c r="B16" s="1735"/>
      <c r="C16" s="1735"/>
      <c r="D16" s="1736"/>
    </row>
    <row r="17" spans="1:4">
      <c r="A17" s="1737" t="s">
        <v>11973</v>
      </c>
      <c r="B17" s="5659" t="s">
        <v>11974</v>
      </c>
      <c r="C17" s="5659"/>
      <c r="D17" s="5660"/>
    </row>
    <row r="18" spans="1:4">
      <c r="A18" s="5632" t="s">
        <v>11975</v>
      </c>
      <c r="B18" s="1741" t="s">
        <v>11976</v>
      </c>
      <c r="C18" s="1741">
        <v>93</v>
      </c>
      <c r="D18" s="1742">
        <v>93</v>
      </c>
    </row>
    <row r="19" spans="1:4">
      <c r="A19" s="5632"/>
      <c r="B19" s="1741" t="s">
        <v>11977</v>
      </c>
      <c r="C19" s="1741">
        <v>97</v>
      </c>
      <c r="D19" s="1742">
        <v>97</v>
      </c>
    </row>
    <row r="20" spans="1:4">
      <c r="A20" s="5632"/>
      <c r="B20" s="1741" t="s">
        <v>11978</v>
      </c>
      <c r="C20" s="1741">
        <v>104</v>
      </c>
      <c r="D20" s="1742">
        <v>104</v>
      </c>
    </row>
    <row r="21" spans="1:4">
      <c r="A21" s="5633"/>
      <c r="B21" s="1743" t="s">
        <v>11979</v>
      </c>
      <c r="C21" s="1743">
        <v>107</v>
      </c>
      <c r="D21" s="1744">
        <v>107</v>
      </c>
    </row>
    <row r="22" spans="1:4">
      <c r="A22" s="5661"/>
      <c r="B22" s="5662"/>
      <c r="C22" s="5662"/>
      <c r="D22" s="5663"/>
    </row>
    <row r="23" spans="1:4">
      <c r="A23" s="5664" t="s">
        <v>11980</v>
      </c>
      <c r="B23" s="5665"/>
      <c r="C23" s="5665"/>
      <c r="D23" s="5666"/>
    </row>
    <row r="24" spans="1:4">
      <c r="A24" s="5634" t="s">
        <v>11981</v>
      </c>
      <c r="B24" s="1745" t="s">
        <v>11982</v>
      </c>
      <c r="C24" s="1745" t="s">
        <v>11961</v>
      </c>
      <c r="D24" s="1746" t="s">
        <v>11961</v>
      </c>
    </row>
    <row r="25" spans="1:4">
      <c r="A25" s="5634"/>
      <c r="B25" s="1745" t="s">
        <v>11983</v>
      </c>
      <c r="C25" s="1745" t="s">
        <v>11963</v>
      </c>
      <c r="D25" s="1746" t="s">
        <v>11963</v>
      </c>
    </row>
    <row r="26" spans="1:4">
      <c r="A26" s="5634"/>
      <c r="B26" s="1745" t="s">
        <v>11984</v>
      </c>
      <c r="C26" s="1745" t="s">
        <v>11964</v>
      </c>
      <c r="D26" s="1746" t="s">
        <v>11964</v>
      </c>
    </row>
    <row r="27" spans="1:4">
      <c r="A27" s="5635"/>
      <c r="B27" s="1747" t="s">
        <v>11985</v>
      </c>
      <c r="C27" s="1747">
        <v>170</v>
      </c>
      <c r="D27" s="1748">
        <v>170</v>
      </c>
    </row>
    <row r="28" spans="1:4">
      <c r="A28" s="5667" t="s">
        <v>11986</v>
      </c>
      <c r="B28" s="5668"/>
      <c r="C28" s="5668"/>
      <c r="D28" s="5669"/>
    </row>
    <row r="29" spans="1:4">
      <c r="A29" s="911"/>
      <c r="B29" s="1749"/>
      <c r="C29" s="1749"/>
      <c r="D29" s="1750"/>
    </row>
    <row r="30" spans="1:4">
      <c r="A30" s="1751" t="s">
        <v>461</v>
      </c>
      <c r="B30" s="1752" t="s">
        <v>11962</v>
      </c>
      <c r="C30" s="1752" t="s">
        <v>11987</v>
      </c>
      <c r="D30" s="1753" t="s">
        <v>11988</v>
      </c>
    </row>
    <row r="31" spans="1:4">
      <c r="A31" s="5631" t="s">
        <v>11989</v>
      </c>
      <c r="B31" s="1729" t="s">
        <v>11965</v>
      </c>
      <c r="C31" s="1729" t="s">
        <v>11990</v>
      </c>
      <c r="D31" s="1730" t="s">
        <v>11991</v>
      </c>
    </row>
    <row r="32" spans="1:4">
      <c r="A32" s="5631"/>
      <c r="B32" s="1729" t="s">
        <v>11992</v>
      </c>
      <c r="C32" s="1729" t="s">
        <v>11993</v>
      </c>
      <c r="D32" s="1730" t="s">
        <v>11994</v>
      </c>
    </row>
    <row r="33" spans="1:4">
      <c r="A33" s="5631"/>
      <c r="B33" s="1729" t="s">
        <v>487</v>
      </c>
      <c r="C33" s="1729" t="s">
        <v>11995</v>
      </c>
      <c r="D33" s="1730" t="s">
        <v>11996</v>
      </c>
    </row>
    <row r="34" spans="1:4">
      <c r="A34" s="5631"/>
      <c r="B34" s="1729" t="s">
        <v>11997</v>
      </c>
      <c r="C34" s="1729" t="s">
        <v>11998</v>
      </c>
      <c r="D34" s="1730" t="s">
        <v>11999</v>
      </c>
    </row>
    <row r="35" spans="1:4">
      <c r="A35" s="5631" t="s">
        <v>3926</v>
      </c>
      <c r="B35" s="1729" t="s">
        <v>11962</v>
      </c>
      <c r="C35" s="1729" t="s">
        <v>12000</v>
      </c>
      <c r="D35" s="1730" t="s">
        <v>12001</v>
      </c>
    </row>
    <row r="36" spans="1:4">
      <c r="A36" s="5631"/>
      <c r="B36" s="1729" t="s">
        <v>11965</v>
      </c>
      <c r="C36" s="1729" t="s">
        <v>12002</v>
      </c>
      <c r="D36" s="1730" t="s">
        <v>12003</v>
      </c>
    </row>
    <row r="37" spans="1:4">
      <c r="A37" s="5631"/>
      <c r="B37" s="1729" t="s">
        <v>11992</v>
      </c>
      <c r="C37" s="1729" t="s">
        <v>11990</v>
      </c>
      <c r="D37" s="1730" t="s">
        <v>12004</v>
      </c>
    </row>
    <row r="38" spans="1:4">
      <c r="A38" s="5631"/>
      <c r="B38" s="1729" t="s">
        <v>487</v>
      </c>
      <c r="C38" s="1729" t="s">
        <v>11993</v>
      </c>
      <c r="D38" s="1730" t="s">
        <v>12005</v>
      </c>
    </row>
    <row r="39" spans="1:4">
      <c r="A39" s="1754" t="s">
        <v>12006</v>
      </c>
      <c r="B39" s="1755"/>
      <c r="C39" s="1755"/>
      <c r="D39" s="1756"/>
    </row>
    <row r="40" spans="1:4" ht="28.5" customHeight="1">
      <c r="A40" s="5636" t="s">
        <v>12007</v>
      </c>
      <c r="B40" s="5640" t="s">
        <v>12008</v>
      </c>
      <c r="C40" s="1752" t="s">
        <v>12009</v>
      </c>
      <c r="D40" s="1753" t="s">
        <v>12009</v>
      </c>
    </row>
    <row r="41" spans="1:4">
      <c r="A41" s="5637"/>
      <c r="B41" s="5641"/>
      <c r="C41" s="1729" t="s">
        <v>12010</v>
      </c>
      <c r="D41" s="1730"/>
    </row>
    <row r="42" spans="1:4">
      <c r="A42" s="1754" t="s">
        <v>12006</v>
      </c>
      <c r="B42" s="1755"/>
      <c r="C42" s="1755"/>
      <c r="D42" s="1756"/>
    </row>
    <row r="43" spans="1:4">
      <c r="A43" s="1757"/>
      <c r="B43" s="1757"/>
      <c r="C43" s="1757"/>
      <c r="D43" s="1757"/>
    </row>
    <row r="44" spans="1:4">
      <c r="A44" s="1737" t="s">
        <v>12011</v>
      </c>
      <c r="B44" s="1738"/>
      <c r="C44" s="1738"/>
      <c r="D44" s="1739"/>
    </row>
    <row r="45" spans="1:4">
      <c r="A45" s="1740" t="s">
        <v>3433</v>
      </c>
      <c r="B45" s="1741">
        <v>0</v>
      </c>
      <c r="C45" s="1741" t="s">
        <v>12001</v>
      </c>
      <c r="D45" s="1742" t="s">
        <v>12001</v>
      </c>
    </row>
    <row r="46" spans="1:4">
      <c r="A46" s="1740" t="s">
        <v>3773</v>
      </c>
      <c r="B46" s="1741" t="s">
        <v>11962</v>
      </c>
      <c r="C46" s="1741" t="s">
        <v>12012</v>
      </c>
      <c r="D46" s="1742" t="s">
        <v>12012</v>
      </c>
    </row>
    <row r="47" spans="1:4">
      <c r="A47" s="1740" t="s">
        <v>12013</v>
      </c>
      <c r="B47" s="1741" t="s">
        <v>11965</v>
      </c>
      <c r="C47" s="1741" t="s">
        <v>12001</v>
      </c>
      <c r="D47" s="1742" t="s">
        <v>12001</v>
      </c>
    </row>
    <row r="48" spans="1:4" ht="48.75" customHeight="1">
      <c r="A48" s="5646" t="s">
        <v>12014</v>
      </c>
      <c r="B48" s="5647"/>
      <c r="C48" s="5647"/>
      <c r="D48" s="5648"/>
    </row>
    <row r="49" spans="1:8">
      <c r="A49" s="1758"/>
      <c r="B49" s="1759"/>
      <c r="C49" s="1759"/>
      <c r="D49" s="1760"/>
    </row>
    <row r="50" spans="1:8">
      <c r="A50" s="1761" t="s">
        <v>9979</v>
      </c>
      <c r="B50" s="1762" t="s">
        <v>12015</v>
      </c>
      <c r="C50" s="1762"/>
      <c r="D50" s="1763"/>
      <c r="H50" s="1764"/>
    </row>
    <row r="51" spans="1:8">
      <c r="A51" s="1765" t="s">
        <v>12016</v>
      </c>
      <c r="B51" s="1766" t="s">
        <v>12017</v>
      </c>
      <c r="C51" s="1766"/>
      <c r="D51" s="1767"/>
    </row>
    <row r="52" spans="1:8">
      <c r="A52" s="1765" t="s">
        <v>12018</v>
      </c>
      <c r="B52" s="1766" t="s">
        <v>12019</v>
      </c>
      <c r="C52" s="1766"/>
      <c r="D52" s="1767"/>
    </row>
    <row r="53" spans="1:8">
      <c r="A53" s="1768" t="s">
        <v>12020</v>
      </c>
      <c r="B53" s="1769" t="s">
        <v>12019</v>
      </c>
      <c r="C53" s="1769"/>
      <c r="D53" s="1770"/>
    </row>
    <row r="54" spans="1:8">
      <c r="A54" s="1736"/>
      <c r="B54" s="1757"/>
      <c r="C54" s="1757"/>
      <c r="D54" s="1734"/>
    </row>
    <row r="55" spans="1:8">
      <c r="A55" s="5649" t="s">
        <v>12021</v>
      </c>
      <c r="B55" s="5650"/>
      <c r="C55" s="5650"/>
      <c r="D55" s="5651"/>
    </row>
    <row r="56" spans="1:8">
      <c r="A56" s="588" t="s">
        <v>12022</v>
      </c>
      <c r="B56" s="3">
        <v>0</v>
      </c>
      <c r="C56" s="3">
        <v>60</v>
      </c>
      <c r="D56" s="848">
        <v>60</v>
      </c>
    </row>
    <row r="57" spans="1:8">
      <c r="A57" s="847" t="s">
        <v>12023</v>
      </c>
      <c r="B57" s="3" t="s">
        <v>11962</v>
      </c>
      <c r="C57" s="3" t="s">
        <v>12024</v>
      </c>
      <c r="D57" s="848" t="s">
        <v>12024</v>
      </c>
    </row>
    <row r="58" spans="1:8">
      <c r="A58" s="847"/>
      <c r="B58" s="3" t="s">
        <v>11965</v>
      </c>
      <c r="C58" s="3" t="s">
        <v>12025</v>
      </c>
      <c r="D58" s="848" t="s">
        <v>12025</v>
      </c>
    </row>
    <row r="59" spans="1:8">
      <c r="A59" s="847" t="s">
        <v>12026</v>
      </c>
      <c r="B59" s="3" t="s">
        <v>487</v>
      </c>
      <c r="C59" s="3" t="s">
        <v>12027</v>
      </c>
      <c r="D59" s="848"/>
    </row>
    <row r="60" spans="1:8">
      <c r="A60" s="847" t="s">
        <v>12028</v>
      </c>
      <c r="B60" s="3">
        <v>0</v>
      </c>
      <c r="C60" s="3">
        <v>60</v>
      </c>
      <c r="D60" s="848">
        <v>60</v>
      </c>
    </row>
    <row r="61" spans="1:8">
      <c r="A61" s="847"/>
      <c r="B61" s="3" t="s">
        <v>11962</v>
      </c>
      <c r="C61" s="3" t="s">
        <v>12024</v>
      </c>
      <c r="D61" s="848" t="s">
        <v>12024</v>
      </c>
    </row>
    <row r="62" spans="1:8">
      <c r="A62" s="847" t="s">
        <v>12029</v>
      </c>
      <c r="B62" s="3" t="s">
        <v>11965</v>
      </c>
      <c r="C62" s="3" t="s">
        <v>12025</v>
      </c>
      <c r="D62" s="848" t="s">
        <v>12025</v>
      </c>
    </row>
    <row r="63" spans="1:8">
      <c r="A63" s="853"/>
      <c r="B63" s="854" t="s">
        <v>487</v>
      </c>
      <c r="C63" s="854" t="s">
        <v>12027</v>
      </c>
      <c r="D63" s="855" t="s">
        <v>12027</v>
      </c>
    </row>
    <row r="64" spans="1:8">
      <c r="A64" s="1771" t="s">
        <v>12030</v>
      </c>
      <c r="B64" s="1772"/>
      <c r="C64" s="1772"/>
      <c r="D64" s="1773"/>
    </row>
    <row r="65" spans="1:4">
      <c r="A65" s="847" t="s">
        <v>12031</v>
      </c>
      <c r="B65" s="3" t="s">
        <v>11962</v>
      </c>
      <c r="C65" s="3" t="s">
        <v>12032</v>
      </c>
      <c r="D65" s="848" t="s">
        <v>12032</v>
      </c>
    </row>
    <row r="66" spans="1:4">
      <c r="A66" s="853"/>
      <c r="B66" s="854" t="s">
        <v>11997</v>
      </c>
      <c r="C66" s="854" t="s">
        <v>12033</v>
      </c>
      <c r="D66" s="855" t="s">
        <v>12033</v>
      </c>
    </row>
    <row r="67" spans="1:4">
      <c r="A67" s="1771" t="s">
        <v>12034</v>
      </c>
      <c r="B67" s="1772"/>
      <c r="C67" s="1772"/>
      <c r="D67" s="1773"/>
    </row>
    <row r="68" spans="1:4">
      <c r="A68" s="847" t="s">
        <v>12035</v>
      </c>
      <c r="B68" s="3">
        <v>0</v>
      </c>
      <c r="C68" s="3" t="s">
        <v>12036</v>
      </c>
      <c r="D68" s="848" t="s">
        <v>12036</v>
      </c>
    </row>
    <row r="69" spans="1:4">
      <c r="A69" s="853" t="s">
        <v>12037</v>
      </c>
      <c r="B69" s="854" t="s">
        <v>487</v>
      </c>
      <c r="C69" s="854" t="s">
        <v>12038</v>
      </c>
      <c r="D69" s="855" t="s">
        <v>12038</v>
      </c>
    </row>
    <row r="70" spans="1:4">
      <c r="A70" s="1771" t="s">
        <v>12039</v>
      </c>
      <c r="B70" s="1772">
        <v>0</v>
      </c>
      <c r="C70" s="1772" t="s">
        <v>12040</v>
      </c>
      <c r="D70" s="1773" t="s">
        <v>12040</v>
      </c>
    </row>
    <row r="71" spans="1:4">
      <c r="A71" s="847" t="s">
        <v>12041</v>
      </c>
      <c r="B71" s="3" t="s">
        <v>11962</v>
      </c>
      <c r="C71" s="3" t="s">
        <v>12042</v>
      </c>
      <c r="D71" s="848" t="s">
        <v>12042</v>
      </c>
    </row>
    <row r="72" spans="1:4">
      <c r="A72" s="847" t="s">
        <v>12043</v>
      </c>
      <c r="B72" s="3" t="s">
        <v>11965</v>
      </c>
      <c r="C72" s="3" t="s">
        <v>12044</v>
      </c>
      <c r="D72" s="848" t="s">
        <v>12044</v>
      </c>
    </row>
    <row r="73" spans="1:4">
      <c r="A73" s="853"/>
      <c r="B73" s="854" t="s">
        <v>487</v>
      </c>
      <c r="C73" s="854" t="s">
        <v>12045</v>
      </c>
      <c r="D73" s="855" t="s">
        <v>12045</v>
      </c>
    </row>
    <row r="74" spans="1:4">
      <c r="A74" s="1771" t="s">
        <v>5346</v>
      </c>
      <c r="B74" s="5642" t="s">
        <v>12046</v>
      </c>
      <c r="C74" s="5652" t="s">
        <v>12047</v>
      </c>
      <c r="D74" s="5653"/>
    </row>
    <row r="75" spans="1:4">
      <c r="A75" s="847" t="s">
        <v>12048</v>
      </c>
      <c r="B75" s="5643"/>
      <c r="C75" s="5654" t="s">
        <v>12049</v>
      </c>
      <c r="D75" s="5655"/>
    </row>
    <row r="76" spans="1:4">
      <c r="A76" s="5638" t="s">
        <v>12050</v>
      </c>
      <c r="B76" s="5644" t="s">
        <v>12051</v>
      </c>
      <c r="C76" s="5654" t="s">
        <v>12052</v>
      </c>
      <c r="D76" s="5655"/>
    </row>
    <row r="77" spans="1:4">
      <c r="A77" s="5639"/>
      <c r="B77" s="5645"/>
      <c r="C77" s="5629" t="s">
        <v>12053</v>
      </c>
      <c r="D77" s="5630"/>
    </row>
    <row r="78" spans="1:4">
      <c r="A78" s="1757"/>
      <c r="B78" s="1757"/>
      <c r="C78" s="1757"/>
      <c r="D78" s="1757"/>
    </row>
    <row r="79" spans="1:4">
      <c r="A79" s="1771" t="s">
        <v>12054</v>
      </c>
      <c r="B79" s="1772">
        <v>0</v>
      </c>
      <c r="C79" s="1772" t="s">
        <v>12055</v>
      </c>
      <c r="D79" s="1773" t="s">
        <v>12055</v>
      </c>
    </row>
    <row r="80" spans="1:4">
      <c r="A80" s="847" t="s">
        <v>12056</v>
      </c>
      <c r="B80" s="3" t="s">
        <v>11962</v>
      </c>
      <c r="C80" s="3" t="s">
        <v>12057</v>
      </c>
      <c r="D80" s="848" t="s">
        <v>12058</v>
      </c>
    </row>
    <row r="81" spans="1:4">
      <c r="A81" s="847" t="s">
        <v>12059</v>
      </c>
      <c r="B81" s="3" t="s">
        <v>11965</v>
      </c>
      <c r="C81" s="3" t="s">
        <v>12060</v>
      </c>
      <c r="D81" s="848" t="s">
        <v>12061</v>
      </c>
    </row>
    <row r="82" spans="1:4">
      <c r="A82" s="847"/>
      <c r="B82" s="3" t="s">
        <v>487</v>
      </c>
      <c r="C82" s="3" t="s">
        <v>12062</v>
      </c>
      <c r="D82" s="848" t="s">
        <v>12063</v>
      </c>
    </row>
    <row r="83" spans="1:4">
      <c r="A83" s="853"/>
      <c r="B83" s="854" t="s">
        <v>11997</v>
      </c>
      <c r="C83" s="854" t="s">
        <v>12064</v>
      </c>
      <c r="D83" s="855" t="s">
        <v>12065</v>
      </c>
    </row>
    <row r="84" spans="1:4">
      <c r="A84" s="1771" t="s">
        <v>12066</v>
      </c>
      <c r="B84" s="1772">
        <v>0</v>
      </c>
      <c r="C84" s="1772" t="s">
        <v>12055</v>
      </c>
      <c r="D84" s="1773" t="s">
        <v>12055</v>
      </c>
    </row>
    <row r="85" spans="1:4">
      <c r="A85" s="847"/>
      <c r="B85" s="3" t="s">
        <v>11962</v>
      </c>
      <c r="C85" s="3" t="s">
        <v>12067</v>
      </c>
      <c r="D85" s="848" t="s">
        <v>12068</v>
      </c>
    </row>
    <row r="86" spans="1:4">
      <c r="A86" s="847"/>
      <c r="B86" s="3" t="s">
        <v>11965</v>
      </c>
      <c r="C86" s="3" t="s">
        <v>12069</v>
      </c>
      <c r="D86" s="848" t="s">
        <v>12065</v>
      </c>
    </row>
    <row r="87" spans="1:4">
      <c r="A87" s="847"/>
      <c r="B87" s="3" t="s">
        <v>487</v>
      </c>
      <c r="C87" s="3" t="s">
        <v>12070</v>
      </c>
      <c r="D87" s="848" t="s">
        <v>12071</v>
      </c>
    </row>
    <row r="88" spans="1:4">
      <c r="A88" s="853"/>
      <c r="B88" s="854" t="s">
        <v>11997</v>
      </c>
      <c r="C88" s="854" t="s">
        <v>12072</v>
      </c>
      <c r="D88" s="855" t="s">
        <v>12072</v>
      </c>
    </row>
    <row r="89" spans="1:4">
      <c r="A89" s="1771" t="s">
        <v>12073</v>
      </c>
      <c r="B89" s="1772" t="s">
        <v>11965</v>
      </c>
      <c r="C89" s="1772" t="s">
        <v>12074</v>
      </c>
      <c r="D89" s="1773" t="s">
        <v>12065</v>
      </c>
    </row>
    <row r="90" spans="1:4">
      <c r="A90" s="847" t="s">
        <v>12075</v>
      </c>
      <c r="B90" s="3" t="s">
        <v>487</v>
      </c>
      <c r="C90" s="3" t="s">
        <v>12076</v>
      </c>
      <c r="D90" s="848" t="s">
        <v>12077</v>
      </c>
    </row>
    <row r="91" spans="1:4">
      <c r="A91" s="847" t="s">
        <v>12078</v>
      </c>
      <c r="B91" s="3" t="s">
        <v>11997</v>
      </c>
      <c r="C91" s="3" t="s">
        <v>12079</v>
      </c>
      <c r="D91" s="848" t="s">
        <v>12080</v>
      </c>
    </row>
    <row r="92" spans="1:4">
      <c r="A92" s="853" t="s">
        <v>12081</v>
      </c>
      <c r="B92" s="854" t="s">
        <v>12082</v>
      </c>
      <c r="C92" s="854" t="s">
        <v>12083</v>
      </c>
      <c r="D92" s="855" t="s">
        <v>12084</v>
      </c>
    </row>
    <row r="93" spans="1:4">
      <c r="A93" s="1771" t="s">
        <v>12085</v>
      </c>
      <c r="B93" s="1772">
        <v>0</v>
      </c>
      <c r="C93" s="1772" t="s">
        <v>12055</v>
      </c>
      <c r="D93" s="1773" t="s">
        <v>12055</v>
      </c>
    </row>
    <row r="94" spans="1:4">
      <c r="A94" s="847" t="s">
        <v>12086</v>
      </c>
      <c r="B94" s="3" t="s">
        <v>11965</v>
      </c>
      <c r="C94" s="3" t="s">
        <v>12067</v>
      </c>
      <c r="D94" s="848" t="s">
        <v>12068</v>
      </c>
    </row>
    <row r="95" spans="1:4">
      <c r="A95" s="853" t="s">
        <v>12087</v>
      </c>
      <c r="B95" s="854" t="s">
        <v>487</v>
      </c>
      <c r="C95" s="854" t="s">
        <v>12069</v>
      </c>
      <c r="D95" s="855" t="s">
        <v>12088</v>
      </c>
    </row>
    <row r="96" spans="1:4">
      <c r="A96" s="1771" t="s">
        <v>12089</v>
      </c>
      <c r="B96" s="1772" t="s">
        <v>11965</v>
      </c>
      <c r="C96" s="1772" t="s">
        <v>12090</v>
      </c>
      <c r="D96" s="1773" t="s">
        <v>12071</v>
      </c>
    </row>
    <row r="97" spans="1:4">
      <c r="A97" s="847" t="s">
        <v>12091</v>
      </c>
      <c r="B97" s="3" t="s">
        <v>487</v>
      </c>
      <c r="C97" s="3" t="s">
        <v>12044</v>
      </c>
      <c r="D97" s="848" t="s">
        <v>12092</v>
      </c>
    </row>
    <row r="98" spans="1:4">
      <c r="A98" s="588" t="s">
        <v>12093</v>
      </c>
      <c r="B98" s="500" t="s">
        <v>11997</v>
      </c>
      <c r="C98" s="500" t="s">
        <v>12079</v>
      </c>
      <c r="D98" s="545" t="s">
        <v>12094</v>
      </c>
    </row>
    <row r="99" spans="1:4">
      <c r="A99" s="853"/>
      <c r="B99" s="1774" t="s">
        <v>12082</v>
      </c>
      <c r="C99" s="1774" t="s">
        <v>12083</v>
      </c>
      <c r="D99" s="551" t="s">
        <v>12095</v>
      </c>
    </row>
  </sheetData>
  <mergeCells count="26">
    <mergeCell ref="A1:D1"/>
    <mergeCell ref="A3:D3"/>
    <mergeCell ref="A11:D11"/>
    <mergeCell ref="A12:D12"/>
    <mergeCell ref="A14:D14"/>
    <mergeCell ref="A15:D15"/>
    <mergeCell ref="B17:D17"/>
    <mergeCell ref="A22:D22"/>
    <mergeCell ref="A23:D23"/>
    <mergeCell ref="A28:D28"/>
    <mergeCell ref="C77:D77"/>
    <mergeCell ref="A4:A9"/>
    <mergeCell ref="A18:A21"/>
    <mergeCell ref="A24:A27"/>
    <mergeCell ref="A31:A34"/>
    <mergeCell ref="A35:A38"/>
    <mergeCell ref="A40:A41"/>
    <mergeCell ref="A76:A77"/>
    <mergeCell ref="B40:B41"/>
    <mergeCell ref="B74:B75"/>
    <mergeCell ref="B76:B77"/>
    <mergeCell ref="A48:D48"/>
    <mergeCell ref="A55:D55"/>
    <mergeCell ref="C74:D74"/>
    <mergeCell ref="C75:D75"/>
    <mergeCell ref="C76:D76"/>
  </mergeCells>
  <phoneticPr fontId="214" type="noConversion"/>
  <pageMargins left="0.75" right="0.75" top="0.2" bottom="0.2" header="0.50902777777777797" footer="0.50902777777777797"/>
  <pageSetup paperSize="9" orientation="portrait"/>
  <headerFooter scaleWithDoc="0" alignWithMargins="0"/>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17"/>
  <dimension ref="A1:M95"/>
  <sheetViews>
    <sheetView zoomScale="130" zoomScaleNormal="130" workbookViewId="0">
      <selection sqref="A1:K1"/>
    </sheetView>
  </sheetViews>
  <sheetFormatPr defaultColWidth="8.75" defaultRowHeight="14.25"/>
  <cols>
    <col min="1" max="1" width="8.625" style="105" customWidth="1"/>
    <col min="2" max="2" width="6.875" style="105" customWidth="1"/>
    <col min="3" max="3" width="7.125" style="105" customWidth="1"/>
    <col min="4" max="4" width="6.625" style="105" customWidth="1"/>
    <col min="5" max="7" width="7.25" style="105" customWidth="1"/>
    <col min="8" max="10" width="6.875" style="105" customWidth="1"/>
    <col min="11" max="11" width="8.625" style="105" customWidth="1"/>
    <col min="12" max="16384" width="8.75" style="105"/>
  </cols>
  <sheetData>
    <row r="1" spans="1:11" ht="37.5" customHeight="1">
      <c r="A1" s="5689" t="s">
        <v>139</v>
      </c>
      <c r="B1" s="5690"/>
      <c r="C1" s="5690"/>
      <c r="D1" s="5690"/>
      <c r="E1" s="5690"/>
      <c r="F1" s="5690"/>
      <c r="G1" s="5690"/>
      <c r="H1" s="5690"/>
      <c r="I1" s="5690"/>
      <c r="J1" s="5690"/>
      <c r="K1" s="5690"/>
    </row>
    <row r="2" spans="1:11">
      <c r="A2" s="5691" t="s">
        <v>12096</v>
      </c>
      <c r="B2" s="5691" t="s">
        <v>12097</v>
      </c>
      <c r="C2" s="5691"/>
      <c r="D2" s="5691"/>
      <c r="E2" s="5691"/>
      <c r="F2" s="5691" t="s">
        <v>12098</v>
      </c>
      <c r="G2" s="5691"/>
      <c r="H2" s="5691" t="s">
        <v>5901</v>
      </c>
      <c r="I2" s="5691"/>
      <c r="J2" s="5691"/>
      <c r="K2" s="5691" t="s">
        <v>12096</v>
      </c>
    </row>
    <row r="3" spans="1:11">
      <c r="A3" s="5690"/>
      <c r="B3" s="5690" t="s">
        <v>12099</v>
      </c>
      <c r="C3" s="5690" t="s">
        <v>12100</v>
      </c>
      <c r="D3" s="5690" t="s">
        <v>12101</v>
      </c>
      <c r="E3" s="5690" t="s">
        <v>12102</v>
      </c>
      <c r="F3" s="1714" t="s">
        <v>10383</v>
      </c>
      <c r="G3" s="1714" t="s">
        <v>761</v>
      </c>
      <c r="H3" s="5690" t="s">
        <v>12103</v>
      </c>
      <c r="I3" s="5690"/>
      <c r="J3" s="5690"/>
      <c r="K3" s="5690"/>
    </row>
    <row r="4" spans="1:11">
      <c r="A4" s="5692"/>
      <c r="B4" s="5692"/>
      <c r="C4" s="5692"/>
      <c r="D4" s="5692"/>
      <c r="E4" s="5692"/>
      <c r="F4" s="1715" t="s">
        <v>12104</v>
      </c>
      <c r="G4" s="1715" t="s">
        <v>12105</v>
      </c>
      <c r="H4" s="1715" t="s">
        <v>12106</v>
      </c>
      <c r="I4" s="1715" t="s">
        <v>12107</v>
      </c>
      <c r="J4" s="1713" t="s">
        <v>12108</v>
      </c>
      <c r="K4" s="5690"/>
    </row>
    <row r="5" spans="1:11">
      <c r="A5" s="1716" t="s">
        <v>12109</v>
      </c>
      <c r="B5" s="5688">
        <v>10</v>
      </c>
      <c r="C5" s="1716">
        <v>24</v>
      </c>
      <c r="D5" s="1716">
        <v>9</v>
      </c>
      <c r="E5" s="1716">
        <v>0.3</v>
      </c>
      <c r="F5" s="1716">
        <v>24</v>
      </c>
      <c r="G5" s="1716">
        <v>11</v>
      </c>
      <c r="H5" s="1717">
        <v>1.4999999999999999E-2</v>
      </c>
      <c r="I5" s="1717">
        <v>7.7999999999999996E-3</v>
      </c>
      <c r="J5" s="1718">
        <v>4.0000000000000001E-3</v>
      </c>
      <c r="K5" s="1716" t="s">
        <v>12110</v>
      </c>
    </row>
    <row r="6" spans="1:11">
      <c r="A6" s="1716" t="s">
        <v>12111</v>
      </c>
      <c r="B6" s="5688"/>
      <c r="C6" s="1716">
        <v>26</v>
      </c>
      <c r="D6" s="1716">
        <v>11</v>
      </c>
      <c r="E6" s="1716">
        <v>0.6</v>
      </c>
      <c r="F6" s="1716">
        <v>26</v>
      </c>
      <c r="G6" s="1716">
        <v>12</v>
      </c>
      <c r="H6" s="1717">
        <v>2.1999999999999999E-2</v>
      </c>
      <c r="I6" s="1717">
        <v>1.0999999999999999E-2</v>
      </c>
      <c r="J6" s="1718">
        <v>5.0000000000000001E-3</v>
      </c>
      <c r="K6" s="1716" t="s">
        <v>12112</v>
      </c>
    </row>
    <row r="7" spans="1:11">
      <c r="A7" s="1716" t="s">
        <v>12113</v>
      </c>
      <c r="B7" s="5688">
        <v>12</v>
      </c>
      <c r="C7" s="1716">
        <v>24</v>
      </c>
      <c r="D7" s="1716">
        <v>9</v>
      </c>
      <c r="E7" s="1716">
        <v>0.3</v>
      </c>
      <c r="F7" s="1716">
        <v>26</v>
      </c>
      <c r="G7" s="1716">
        <v>13</v>
      </c>
      <c r="H7" s="1717">
        <v>1.6E-2</v>
      </c>
      <c r="I7" s="1717">
        <v>8.9999999999999993E-3</v>
      </c>
      <c r="J7" s="1718">
        <v>4.0000000000000001E-3</v>
      </c>
      <c r="K7" s="1716" t="s">
        <v>12114</v>
      </c>
    </row>
    <row r="8" spans="1:11">
      <c r="A8" s="1716" t="s">
        <v>12115</v>
      </c>
      <c r="B8" s="5688"/>
      <c r="C8" s="1716">
        <v>28</v>
      </c>
      <c r="D8" s="1716">
        <v>11</v>
      </c>
      <c r="E8" s="1716">
        <v>0.6</v>
      </c>
      <c r="F8" s="1716">
        <v>28</v>
      </c>
      <c r="G8" s="1716">
        <v>14</v>
      </c>
      <c r="H8" s="1717">
        <v>2.4E-2</v>
      </c>
      <c r="I8" s="1717">
        <v>1.2999999999999999E-2</v>
      </c>
      <c r="J8" s="1718">
        <v>6.0000000000000001E-3</v>
      </c>
      <c r="K8" s="1716" t="s">
        <v>12116</v>
      </c>
    </row>
    <row r="9" spans="1:11">
      <c r="A9" s="1716" t="s">
        <v>12117</v>
      </c>
      <c r="B9" s="5688">
        <v>15</v>
      </c>
      <c r="C9" s="1716">
        <v>28</v>
      </c>
      <c r="D9" s="1716">
        <v>9</v>
      </c>
      <c r="E9" s="1716">
        <v>0.3</v>
      </c>
      <c r="F9" s="1716">
        <v>28</v>
      </c>
      <c r="G9" s="1716">
        <v>16</v>
      </c>
      <c r="H9" s="1717">
        <v>1.7999999999999999E-2</v>
      </c>
      <c r="I9" s="1717">
        <v>9.4000000000000004E-3</v>
      </c>
      <c r="J9" s="1718">
        <v>4.0000000000000001E-3</v>
      </c>
      <c r="K9" s="1716" t="s">
        <v>12118</v>
      </c>
    </row>
    <row r="10" spans="1:11">
      <c r="A10" s="1716" t="s">
        <v>12119</v>
      </c>
      <c r="B10" s="5688"/>
      <c r="C10" s="1716">
        <v>32</v>
      </c>
      <c r="D10" s="1716">
        <v>12</v>
      </c>
      <c r="E10" s="1716">
        <v>0.6</v>
      </c>
      <c r="F10" s="1716">
        <v>32</v>
      </c>
      <c r="G10" s="1716">
        <v>17</v>
      </c>
      <c r="H10" s="1717">
        <v>3.3000000000000002E-2</v>
      </c>
      <c r="I10" s="1717">
        <v>1.7999999999999999E-2</v>
      </c>
      <c r="J10" s="1718">
        <v>8.0000000000000002E-3</v>
      </c>
      <c r="K10" s="1716" t="s">
        <v>12120</v>
      </c>
    </row>
    <row r="11" spans="1:11">
      <c r="A11" s="1716" t="s">
        <v>12121</v>
      </c>
      <c r="B11" s="5688">
        <v>17</v>
      </c>
      <c r="C11" s="1716">
        <v>30</v>
      </c>
      <c r="D11" s="1716">
        <v>9</v>
      </c>
      <c r="E11" s="1716">
        <v>0.3</v>
      </c>
      <c r="F11" s="1716">
        <v>30</v>
      </c>
      <c r="G11" s="1716">
        <v>18</v>
      </c>
      <c r="H11" s="1717">
        <v>1.9E-2</v>
      </c>
      <c r="I11" s="1717">
        <v>0.01</v>
      </c>
      <c r="J11" s="1718">
        <v>4.0000000000000001E-3</v>
      </c>
      <c r="K11" s="1716" t="s">
        <v>12122</v>
      </c>
    </row>
    <row r="12" spans="1:11">
      <c r="A12" s="1716" t="s">
        <v>12123</v>
      </c>
      <c r="B12" s="5688"/>
      <c r="C12" s="1716">
        <v>35</v>
      </c>
      <c r="D12" s="1716">
        <v>12</v>
      </c>
      <c r="E12" s="1716">
        <v>0.6</v>
      </c>
      <c r="F12" s="1716">
        <v>35</v>
      </c>
      <c r="G12" s="1716">
        <v>19</v>
      </c>
      <c r="H12" s="1717">
        <v>3.7999999999999999E-2</v>
      </c>
      <c r="I12" s="1717">
        <v>2.1000000000000001E-2</v>
      </c>
      <c r="J12" s="1718">
        <v>8.9999999999999993E-3</v>
      </c>
      <c r="K12" s="1716" t="s">
        <v>12124</v>
      </c>
    </row>
    <row r="13" spans="1:11">
      <c r="A13" s="1716" t="s">
        <v>12125</v>
      </c>
      <c r="B13" s="5683">
        <v>20</v>
      </c>
      <c r="C13" s="1716">
        <v>35</v>
      </c>
      <c r="D13" s="1716">
        <v>10</v>
      </c>
      <c r="E13" s="1716">
        <v>0.3</v>
      </c>
      <c r="F13" s="1716">
        <v>35</v>
      </c>
      <c r="G13" s="1716">
        <v>21</v>
      </c>
      <c r="H13" s="1717">
        <v>2.8000000000000001E-2</v>
      </c>
      <c r="I13" s="1717">
        <v>1.4999999999999999E-2</v>
      </c>
      <c r="J13" s="1718">
        <v>7.0000000000000001E-3</v>
      </c>
      <c r="K13" s="1716" t="s">
        <v>12126</v>
      </c>
    </row>
    <row r="14" spans="1:11">
      <c r="A14" s="1716" t="s">
        <v>12127</v>
      </c>
      <c r="B14" s="5684"/>
      <c r="C14" s="1716">
        <v>40</v>
      </c>
      <c r="D14" s="1716">
        <v>14</v>
      </c>
      <c r="E14" s="1716">
        <v>0.6</v>
      </c>
      <c r="F14" s="1716">
        <v>40</v>
      </c>
      <c r="G14" s="1716">
        <v>22</v>
      </c>
      <c r="H14" s="1717">
        <v>5.8999999999999997E-2</v>
      </c>
      <c r="I14" s="1717">
        <v>3.2000000000000001E-2</v>
      </c>
      <c r="J14" s="1718">
        <v>1.4E-2</v>
      </c>
      <c r="K14" s="1716" t="s">
        <v>12128</v>
      </c>
    </row>
    <row r="15" spans="1:11">
      <c r="A15" s="1716" t="s">
        <v>12129</v>
      </c>
      <c r="B15" s="5685"/>
      <c r="C15" s="1716">
        <v>47</v>
      </c>
      <c r="D15" s="1716">
        <v>18</v>
      </c>
      <c r="E15" s="1716">
        <v>0.6</v>
      </c>
      <c r="F15" s="1716">
        <v>47</v>
      </c>
      <c r="G15" s="1716">
        <v>22</v>
      </c>
      <c r="H15" s="1717">
        <v>0.13500000000000001</v>
      </c>
      <c r="I15" s="1717">
        <v>7.9000000000000001E-2</v>
      </c>
      <c r="J15" s="1718">
        <v>3.39E-2</v>
      </c>
      <c r="K15" s="1716" t="s">
        <v>12130</v>
      </c>
    </row>
    <row r="16" spans="1:11">
      <c r="A16" s="1716" t="s">
        <v>12131</v>
      </c>
      <c r="B16" s="5683">
        <v>25</v>
      </c>
      <c r="C16" s="1716">
        <v>42</v>
      </c>
      <c r="D16" s="1716">
        <v>11</v>
      </c>
      <c r="E16" s="1716">
        <v>0.6</v>
      </c>
      <c r="F16" s="1716">
        <v>42</v>
      </c>
      <c r="G16" s="1716">
        <v>26</v>
      </c>
      <c r="H16" s="1717">
        <v>4.2999999999999997E-2</v>
      </c>
      <c r="I16" s="1717">
        <v>2.3E-2</v>
      </c>
      <c r="J16" s="1718">
        <v>0.01</v>
      </c>
      <c r="K16" s="1716" t="s">
        <v>12132</v>
      </c>
    </row>
    <row r="17" spans="1:11">
      <c r="A17" s="1716" t="s">
        <v>12133</v>
      </c>
      <c r="B17" s="5684"/>
      <c r="C17" s="1716">
        <v>47</v>
      </c>
      <c r="D17" s="1716">
        <v>15</v>
      </c>
      <c r="E17" s="1716">
        <v>0.6</v>
      </c>
      <c r="F17" s="1716">
        <v>47</v>
      </c>
      <c r="G17" s="1716">
        <v>27</v>
      </c>
      <c r="H17" s="1717">
        <v>8.5000000000000006E-2</v>
      </c>
      <c r="I17" s="1717">
        <v>4.5999999999999999E-2</v>
      </c>
      <c r="J17" s="1718">
        <v>0.02</v>
      </c>
      <c r="K17" s="1716" t="s">
        <v>12134</v>
      </c>
    </row>
    <row r="18" spans="1:11">
      <c r="A18" s="1716" t="s">
        <v>12135</v>
      </c>
      <c r="B18" s="5684"/>
      <c r="C18" s="1716">
        <v>52</v>
      </c>
      <c r="D18" s="1716">
        <v>18</v>
      </c>
      <c r="E18" s="1716">
        <v>0.6</v>
      </c>
      <c r="F18" s="1716">
        <v>52</v>
      </c>
      <c r="G18" s="1716">
        <v>27</v>
      </c>
      <c r="H18" s="1717">
        <v>0.1384</v>
      </c>
      <c r="I18" s="1717">
        <v>8.0799999999999997E-2</v>
      </c>
      <c r="J18" s="1718">
        <v>3.4700000000000002E-2</v>
      </c>
      <c r="K18" s="1716" t="s">
        <v>12136</v>
      </c>
    </row>
    <row r="19" spans="1:11">
      <c r="A19" s="1716" t="s">
        <v>12137</v>
      </c>
      <c r="B19" s="5685"/>
      <c r="C19" s="1716">
        <v>60</v>
      </c>
      <c r="D19" s="1716">
        <v>24</v>
      </c>
      <c r="E19" s="1716">
        <v>0.6</v>
      </c>
      <c r="F19" s="1716">
        <v>60</v>
      </c>
      <c r="G19" s="1716">
        <v>27</v>
      </c>
      <c r="H19" s="1717">
        <v>0.26150000000000001</v>
      </c>
      <c r="I19" s="1717">
        <v>0.1527</v>
      </c>
      <c r="J19" s="1718">
        <v>6.6000000000000003E-2</v>
      </c>
      <c r="K19" s="1716" t="s">
        <v>12138</v>
      </c>
    </row>
    <row r="20" spans="1:11">
      <c r="A20" s="1716" t="s">
        <v>12139</v>
      </c>
      <c r="B20" s="5683">
        <v>30</v>
      </c>
      <c r="C20" s="1716">
        <v>47</v>
      </c>
      <c r="D20" s="1716">
        <v>11</v>
      </c>
      <c r="E20" s="1716">
        <v>0.6</v>
      </c>
      <c r="F20" s="1716">
        <v>47</v>
      </c>
      <c r="G20" s="1716">
        <v>32</v>
      </c>
      <c r="H20" s="1717">
        <v>4.9000000000000002E-2</v>
      </c>
      <c r="I20" s="1717">
        <v>2.5999999999999999E-2</v>
      </c>
      <c r="J20" s="1718">
        <v>1.0999999999999999E-2</v>
      </c>
      <c r="K20" s="1716" t="s">
        <v>12140</v>
      </c>
    </row>
    <row r="21" spans="1:11">
      <c r="A21" s="1716" t="s">
        <v>12141</v>
      </c>
      <c r="B21" s="5684"/>
      <c r="C21" s="1716">
        <v>52</v>
      </c>
      <c r="D21" s="1716">
        <v>16</v>
      </c>
      <c r="E21" s="1716">
        <v>0.6</v>
      </c>
      <c r="F21" s="1716">
        <v>52</v>
      </c>
      <c r="G21" s="1716">
        <v>32</v>
      </c>
      <c r="H21" s="1717">
        <v>0.11</v>
      </c>
      <c r="I21" s="1717">
        <v>5.6000000000000001E-2</v>
      </c>
      <c r="J21" s="1718">
        <v>2.5999999999999999E-2</v>
      </c>
      <c r="K21" s="1716" t="s">
        <v>12142</v>
      </c>
    </row>
    <row r="22" spans="1:11">
      <c r="A22" s="1716" t="s">
        <v>12143</v>
      </c>
      <c r="B22" s="5684"/>
      <c r="C22" s="1716">
        <v>60</v>
      </c>
      <c r="D22" s="1716">
        <v>21</v>
      </c>
      <c r="E22" s="1716">
        <v>0.8</v>
      </c>
      <c r="F22" s="1716">
        <v>60</v>
      </c>
      <c r="G22" s="1716">
        <v>32</v>
      </c>
      <c r="H22" s="1717">
        <v>0.20760000000000001</v>
      </c>
      <c r="I22" s="1717">
        <v>0.1212</v>
      </c>
      <c r="J22" s="1718">
        <v>0.52</v>
      </c>
      <c r="K22" s="1716" t="s">
        <v>12144</v>
      </c>
    </row>
    <row r="23" spans="1:11">
      <c r="A23" s="1716" t="s">
        <v>12145</v>
      </c>
      <c r="B23" s="5685"/>
      <c r="C23" s="1716">
        <v>70</v>
      </c>
      <c r="D23" s="1716">
        <v>28</v>
      </c>
      <c r="E23" s="1716">
        <v>0.8</v>
      </c>
      <c r="F23" s="1716">
        <v>70</v>
      </c>
      <c r="G23" s="1716">
        <v>32</v>
      </c>
      <c r="H23" s="1717">
        <v>0.40760000000000002</v>
      </c>
      <c r="I23" s="1717">
        <v>0.23799999999999999</v>
      </c>
      <c r="J23" s="1718">
        <v>0.1023</v>
      </c>
      <c r="K23" s="1716" t="s">
        <v>12146</v>
      </c>
    </row>
    <row r="24" spans="1:11">
      <c r="A24" s="1716" t="s">
        <v>12147</v>
      </c>
      <c r="B24" s="5683">
        <v>35</v>
      </c>
      <c r="C24" s="1716">
        <v>52</v>
      </c>
      <c r="D24" s="1716">
        <v>12</v>
      </c>
      <c r="E24" s="1716">
        <v>0.6</v>
      </c>
      <c r="F24" s="1716">
        <v>52</v>
      </c>
      <c r="G24" s="1716">
        <v>37</v>
      </c>
      <c r="H24" s="1717">
        <v>6.2E-2</v>
      </c>
      <c r="I24" s="1717">
        <v>3.3000000000000002E-2</v>
      </c>
      <c r="J24" s="1718">
        <v>1.4E-2</v>
      </c>
      <c r="K24" s="1716" t="s">
        <v>12148</v>
      </c>
    </row>
    <row r="25" spans="1:11">
      <c r="A25" s="1716" t="s">
        <v>12149</v>
      </c>
      <c r="B25" s="5684"/>
      <c r="C25" s="1716">
        <v>62</v>
      </c>
      <c r="D25" s="1716">
        <v>18</v>
      </c>
      <c r="E25" s="1716">
        <v>1</v>
      </c>
      <c r="F25" s="1716">
        <v>62</v>
      </c>
      <c r="G25" s="1716">
        <v>37</v>
      </c>
      <c r="H25" s="1717">
        <v>0.16</v>
      </c>
      <c r="I25" s="1717">
        <v>8.5999999999999993E-2</v>
      </c>
      <c r="J25" s="1718">
        <v>3.6999999999999998E-2</v>
      </c>
      <c r="K25" s="1716" t="s">
        <v>12150</v>
      </c>
    </row>
    <row r="26" spans="1:11">
      <c r="A26" s="1716" t="s">
        <v>12151</v>
      </c>
      <c r="B26" s="5684"/>
      <c r="C26" s="1716">
        <v>68</v>
      </c>
      <c r="D26" s="1716">
        <v>24</v>
      </c>
      <c r="E26" s="1716">
        <v>0.8</v>
      </c>
      <c r="F26" s="1716">
        <v>68</v>
      </c>
      <c r="G26" s="1716">
        <v>38</v>
      </c>
      <c r="H26" s="1717">
        <v>0.3</v>
      </c>
      <c r="I26" s="1717">
        <v>0.17510000000000001</v>
      </c>
      <c r="J26" s="1718">
        <v>7.5249999999999997E-2</v>
      </c>
      <c r="K26" s="1716" t="s">
        <v>12152</v>
      </c>
    </row>
    <row r="27" spans="1:11">
      <c r="A27" s="1716" t="s">
        <v>12153</v>
      </c>
      <c r="B27" s="5685"/>
      <c r="C27" s="1716">
        <v>80</v>
      </c>
      <c r="D27" s="1716">
        <v>32</v>
      </c>
      <c r="E27" s="1716">
        <v>0.8</v>
      </c>
      <c r="F27" s="1716">
        <v>80</v>
      </c>
      <c r="G27" s="1716">
        <v>38</v>
      </c>
      <c r="H27" s="1717">
        <v>0.63060000000000005</v>
      </c>
      <c r="I27" s="1717">
        <v>0.36799999999999999</v>
      </c>
      <c r="J27" s="1718">
        <v>0.15820000000000001</v>
      </c>
      <c r="K27" s="1716" t="s">
        <v>12154</v>
      </c>
    </row>
    <row r="28" spans="1:11">
      <c r="A28" s="1716" t="s">
        <v>12155</v>
      </c>
      <c r="B28" s="5683">
        <v>40</v>
      </c>
      <c r="C28" s="1716">
        <v>60</v>
      </c>
      <c r="D28" s="1716">
        <v>13</v>
      </c>
      <c r="E28" s="1716">
        <v>0.6</v>
      </c>
      <c r="F28" s="1716">
        <v>60</v>
      </c>
      <c r="G28" s="1716">
        <v>42</v>
      </c>
      <c r="H28" s="1717">
        <v>9.1999999999999998E-2</v>
      </c>
      <c r="I28" s="1717">
        <v>4.9000000000000002E-2</v>
      </c>
      <c r="J28" s="1718">
        <v>2.1000000000000001E-2</v>
      </c>
      <c r="K28" s="1716" t="s">
        <v>12156</v>
      </c>
    </row>
    <row r="29" spans="1:11">
      <c r="A29" s="1716" t="s">
        <v>12157</v>
      </c>
      <c r="B29" s="5684"/>
      <c r="C29" s="1716">
        <v>68</v>
      </c>
      <c r="D29" s="1716">
        <v>19</v>
      </c>
      <c r="E29" s="1716">
        <v>1</v>
      </c>
      <c r="F29" s="1716">
        <v>68</v>
      </c>
      <c r="G29" s="1716">
        <v>42</v>
      </c>
      <c r="H29" s="1717">
        <v>0.21</v>
      </c>
      <c r="I29" s="1717">
        <v>0.11</v>
      </c>
      <c r="J29" s="1718">
        <v>4.9000000000000002E-2</v>
      </c>
      <c r="K29" s="1716" t="s">
        <v>12158</v>
      </c>
    </row>
    <row r="30" spans="1:11">
      <c r="A30" s="1716" t="s">
        <v>12159</v>
      </c>
      <c r="B30" s="5684"/>
      <c r="C30" s="1716">
        <v>78</v>
      </c>
      <c r="D30" s="1716">
        <v>26</v>
      </c>
      <c r="E30" s="1716">
        <v>1</v>
      </c>
      <c r="F30" s="1716">
        <v>78</v>
      </c>
      <c r="G30" s="1716">
        <v>43</v>
      </c>
      <c r="H30" s="1717">
        <v>0.42230000000000001</v>
      </c>
      <c r="I30" s="1717">
        <v>0.247</v>
      </c>
      <c r="J30" s="1718">
        <v>0.1062</v>
      </c>
      <c r="K30" s="1716" t="s">
        <v>12160</v>
      </c>
    </row>
    <row r="31" spans="1:11">
      <c r="A31" s="1716" t="s">
        <v>12161</v>
      </c>
      <c r="B31" s="5685"/>
      <c r="C31" s="1716">
        <v>90</v>
      </c>
      <c r="D31" s="1716">
        <v>36</v>
      </c>
      <c r="E31" s="1716">
        <v>1</v>
      </c>
      <c r="F31" s="1716">
        <v>90</v>
      </c>
      <c r="G31" s="1716">
        <v>43</v>
      </c>
      <c r="H31" s="1717">
        <v>0.90700000000000003</v>
      </c>
      <c r="I31" s="1717">
        <v>0.52980000000000005</v>
      </c>
      <c r="J31" s="1718">
        <v>0.23200000000000001</v>
      </c>
      <c r="K31" s="1716" t="s">
        <v>12162</v>
      </c>
    </row>
    <row r="32" spans="1:11">
      <c r="A32" s="1716" t="s">
        <v>12163</v>
      </c>
      <c r="B32" s="5683">
        <v>45</v>
      </c>
      <c r="C32" s="1716">
        <v>65</v>
      </c>
      <c r="D32" s="1716">
        <v>14</v>
      </c>
      <c r="E32" s="1716">
        <v>0.6</v>
      </c>
      <c r="F32" s="1716">
        <v>65</v>
      </c>
      <c r="G32" s="1716">
        <v>47</v>
      </c>
      <c r="H32" s="1717">
        <v>0.11</v>
      </c>
      <c r="I32" s="1717">
        <v>5.8999999999999997E-2</v>
      </c>
      <c r="J32" s="1718">
        <v>2.5999999999999999E-2</v>
      </c>
      <c r="K32" s="1716" t="s">
        <v>12164</v>
      </c>
    </row>
    <row r="33" spans="1:11">
      <c r="A33" s="1716" t="s">
        <v>12165</v>
      </c>
      <c r="B33" s="5684"/>
      <c r="C33" s="1716">
        <v>73</v>
      </c>
      <c r="D33" s="1716">
        <v>20</v>
      </c>
      <c r="E33" s="1716">
        <v>1</v>
      </c>
      <c r="F33" s="1716">
        <v>73</v>
      </c>
      <c r="G33" s="1716">
        <v>47</v>
      </c>
      <c r="H33" s="1717">
        <v>0.24</v>
      </c>
      <c r="I33" s="1717">
        <v>0.13</v>
      </c>
      <c r="J33" s="1718">
        <v>5.6000000000000001E-2</v>
      </c>
      <c r="K33" s="1716" t="s">
        <v>12166</v>
      </c>
    </row>
    <row r="34" spans="1:11">
      <c r="A34" s="1716" t="s">
        <v>12167</v>
      </c>
      <c r="B34" s="5684"/>
      <c r="C34" s="1716">
        <v>85</v>
      </c>
      <c r="D34" s="1716">
        <v>28</v>
      </c>
      <c r="E34" s="1716">
        <v>1</v>
      </c>
      <c r="F34" s="1716">
        <v>85</v>
      </c>
      <c r="G34" s="1716">
        <v>48</v>
      </c>
      <c r="H34" s="1717">
        <v>0.53059999999999996</v>
      </c>
      <c r="I34" s="1717">
        <v>0.30980000000000002</v>
      </c>
      <c r="J34" s="1718">
        <v>0.27600000000000002</v>
      </c>
      <c r="K34" s="1716" t="s">
        <v>12168</v>
      </c>
    </row>
    <row r="35" spans="1:11">
      <c r="A35" s="1716" t="s">
        <v>12169</v>
      </c>
      <c r="B35" s="5685"/>
      <c r="C35" s="1716">
        <v>100</v>
      </c>
      <c r="D35" s="1716">
        <v>39</v>
      </c>
      <c r="E35" s="1716">
        <v>1</v>
      </c>
      <c r="F35" s="1716">
        <v>100</v>
      </c>
      <c r="G35" s="1716">
        <v>48</v>
      </c>
      <c r="H35" s="1717">
        <v>1.2612000000000001</v>
      </c>
      <c r="I35" s="1717">
        <v>0.73640000000000005</v>
      </c>
      <c r="J35" s="1718">
        <v>0.31659999999999999</v>
      </c>
      <c r="K35" s="1716" t="s">
        <v>12170</v>
      </c>
    </row>
    <row r="36" spans="1:11">
      <c r="A36" s="1716" t="s">
        <v>12171</v>
      </c>
      <c r="B36" s="5683">
        <v>50</v>
      </c>
      <c r="C36" s="1716">
        <v>70</v>
      </c>
      <c r="D36" s="1716">
        <v>14</v>
      </c>
      <c r="E36" s="1716">
        <v>0.6</v>
      </c>
      <c r="F36" s="1716">
        <v>70</v>
      </c>
      <c r="G36" s="1716">
        <v>52</v>
      </c>
      <c r="H36" s="1717">
        <v>0.12</v>
      </c>
      <c r="I36" s="1717">
        <v>6.3E-2</v>
      </c>
      <c r="J36" s="1718">
        <v>2.8000000000000001E-2</v>
      </c>
      <c r="K36" s="1716" t="s">
        <v>12172</v>
      </c>
    </row>
    <row r="37" spans="1:11">
      <c r="A37" s="1716" t="s">
        <v>12173</v>
      </c>
      <c r="B37" s="5684"/>
      <c r="C37" s="1716">
        <v>78</v>
      </c>
      <c r="D37" s="1716">
        <v>22</v>
      </c>
      <c r="E37" s="1716">
        <v>1</v>
      </c>
      <c r="F37" s="1716">
        <v>78</v>
      </c>
      <c r="G37" s="1716">
        <v>52</v>
      </c>
      <c r="H37" s="1717">
        <v>0.28999999999999998</v>
      </c>
      <c r="I37" s="1717">
        <v>0.16</v>
      </c>
      <c r="J37" s="1718">
        <v>6.8000000000000005E-2</v>
      </c>
      <c r="K37" s="1716" t="s">
        <v>12174</v>
      </c>
    </row>
    <row r="38" spans="1:11">
      <c r="A38" s="1716" t="s">
        <v>12175</v>
      </c>
      <c r="B38" s="5684"/>
      <c r="C38" s="1716">
        <v>95</v>
      </c>
      <c r="D38" s="1716">
        <v>31</v>
      </c>
      <c r="E38" s="1716">
        <v>1</v>
      </c>
      <c r="F38" s="1716">
        <v>95</v>
      </c>
      <c r="G38" s="1716">
        <v>53</v>
      </c>
      <c r="H38" s="1717">
        <v>0.76900000000000002</v>
      </c>
      <c r="I38" s="1717">
        <v>0.44900000000000001</v>
      </c>
      <c r="J38" s="1718">
        <v>0.19309999999999999</v>
      </c>
      <c r="K38" s="1716" t="s">
        <v>12176</v>
      </c>
    </row>
    <row r="39" spans="1:11">
      <c r="A39" s="1716" t="s">
        <v>12177</v>
      </c>
      <c r="B39" s="5685"/>
      <c r="C39" s="1716">
        <v>110</v>
      </c>
      <c r="D39" s="1716">
        <v>43</v>
      </c>
      <c r="E39" s="1716">
        <v>1</v>
      </c>
      <c r="F39" s="1716">
        <v>110</v>
      </c>
      <c r="G39" s="1716">
        <v>53</v>
      </c>
      <c r="H39" s="1717">
        <v>1.5303</v>
      </c>
      <c r="I39" s="1717">
        <v>0.89349999999999996</v>
      </c>
      <c r="J39" s="1718">
        <v>0.38400000000000001</v>
      </c>
      <c r="K39" s="1716" t="s">
        <v>12178</v>
      </c>
    </row>
    <row r="40" spans="1:11">
      <c r="A40" s="1716" t="s">
        <v>12179</v>
      </c>
      <c r="B40" s="5683">
        <v>55</v>
      </c>
      <c r="C40" s="1716">
        <v>78</v>
      </c>
      <c r="D40" s="1716">
        <v>16</v>
      </c>
      <c r="E40" s="1716">
        <v>0.6</v>
      </c>
      <c r="F40" s="1716">
        <v>78</v>
      </c>
      <c r="G40" s="1716">
        <v>57</v>
      </c>
      <c r="H40" s="1717">
        <v>0.17</v>
      </c>
      <c r="I40" s="1717">
        <v>9.2999999999999999E-2</v>
      </c>
      <c r="J40" s="1718">
        <v>0.04</v>
      </c>
      <c r="K40" s="1716" t="s">
        <v>12180</v>
      </c>
    </row>
    <row r="41" spans="1:11">
      <c r="A41" s="1716" t="s">
        <v>12181</v>
      </c>
      <c r="B41" s="5684"/>
      <c r="C41" s="1716">
        <v>90</v>
      </c>
      <c r="D41" s="1716">
        <v>25</v>
      </c>
      <c r="E41" s="1716">
        <v>1</v>
      </c>
      <c r="F41" s="1716">
        <v>90</v>
      </c>
      <c r="G41" s="1716">
        <v>57</v>
      </c>
      <c r="H41" s="1717">
        <v>0.46</v>
      </c>
      <c r="I41" s="1717">
        <v>0.25</v>
      </c>
      <c r="J41" s="1718">
        <v>0.107</v>
      </c>
      <c r="K41" s="1716" t="s">
        <v>12182</v>
      </c>
    </row>
    <row r="42" spans="1:11">
      <c r="A42" s="1716" t="s">
        <v>12183</v>
      </c>
      <c r="B42" s="5684"/>
      <c r="C42" s="1716">
        <v>105</v>
      </c>
      <c r="D42" s="1716">
        <v>35</v>
      </c>
      <c r="E42" s="1716">
        <v>1</v>
      </c>
      <c r="F42" s="1716">
        <v>105</v>
      </c>
      <c r="G42" s="1716">
        <v>58</v>
      </c>
      <c r="H42" s="1717">
        <v>1.0304</v>
      </c>
      <c r="I42" s="1717">
        <v>0.60199999999999998</v>
      </c>
      <c r="J42" s="1718">
        <v>0.25885999999999998</v>
      </c>
      <c r="K42" s="1716" t="s">
        <v>12184</v>
      </c>
    </row>
    <row r="43" spans="1:11">
      <c r="A43" s="1716" t="s">
        <v>12185</v>
      </c>
      <c r="B43" s="5685"/>
      <c r="C43" s="1716">
        <v>120</v>
      </c>
      <c r="D43" s="1716">
        <v>48</v>
      </c>
      <c r="E43" s="1716">
        <v>1</v>
      </c>
      <c r="F43" s="1716">
        <v>120</v>
      </c>
      <c r="G43" s="1716">
        <v>58</v>
      </c>
      <c r="H43" s="1717">
        <v>1.9990000000000001</v>
      </c>
      <c r="I43" s="1717">
        <v>1.1674</v>
      </c>
      <c r="J43" s="1718">
        <v>0.502</v>
      </c>
      <c r="K43" s="1716" t="s">
        <v>12186</v>
      </c>
    </row>
    <row r="44" spans="1:11">
      <c r="A44" s="1716" t="s">
        <v>12187</v>
      </c>
      <c r="B44" s="5683">
        <v>60</v>
      </c>
      <c r="C44" s="1716">
        <v>85</v>
      </c>
      <c r="D44" s="1716">
        <v>17</v>
      </c>
      <c r="E44" s="1716">
        <v>1</v>
      </c>
      <c r="F44" s="1716">
        <v>85</v>
      </c>
      <c r="G44" s="1716">
        <v>62</v>
      </c>
      <c r="H44" s="1717">
        <v>0.22</v>
      </c>
      <c r="I44" s="1717">
        <v>0.12</v>
      </c>
      <c r="J44" s="1718">
        <v>5.0999999999999997E-2</v>
      </c>
      <c r="K44" s="1716" t="s">
        <v>12188</v>
      </c>
    </row>
    <row r="45" spans="1:11">
      <c r="A45" s="1716" t="s">
        <v>12189</v>
      </c>
      <c r="B45" s="5684"/>
      <c r="C45" s="1716">
        <v>95</v>
      </c>
      <c r="D45" s="1716">
        <v>26</v>
      </c>
      <c r="E45" s="1716">
        <v>1</v>
      </c>
      <c r="F45" s="1716">
        <v>95</v>
      </c>
      <c r="G45" s="1716">
        <v>62</v>
      </c>
      <c r="H45" s="1717">
        <v>0.52</v>
      </c>
      <c r="I45" s="1717">
        <v>0.28000000000000003</v>
      </c>
      <c r="J45" s="1718">
        <v>0.121</v>
      </c>
      <c r="K45" s="1716" t="s">
        <v>12190</v>
      </c>
    </row>
    <row r="46" spans="1:11">
      <c r="A46" s="1716" t="s">
        <v>12191</v>
      </c>
      <c r="B46" s="5684"/>
      <c r="C46" s="1716">
        <v>110</v>
      </c>
      <c r="D46" s="1716">
        <v>35</v>
      </c>
      <c r="E46" s="1716">
        <v>1.2</v>
      </c>
      <c r="F46" s="1716">
        <v>110</v>
      </c>
      <c r="G46" s="1716">
        <v>63</v>
      </c>
      <c r="H46" s="1717">
        <v>1.0996699999999999</v>
      </c>
      <c r="I46" s="1717">
        <v>0.64200000000000002</v>
      </c>
      <c r="J46" s="1718">
        <v>0.27600000000000002</v>
      </c>
      <c r="K46" s="1716" t="s">
        <v>12192</v>
      </c>
    </row>
    <row r="47" spans="1:11">
      <c r="A47" s="1716" t="s">
        <v>12193</v>
      </c>
      <c r="B47" s="5685"/>
      <c r="C47" s="1716">
        <v>130</v>
      </c>
      <c r="D47" s="1716">
        <v>51</v>
      </c>
      <c r="E47" s="1716">
        <v>1.2</v>
      </c>
      <c r="F47" s="1716">
        <v>130</v>
      </c>
      <c r="G47" s="1716">
        <v>63</v>
      </c>
      <c r="H47" s="1717">
        <v>2.5377000000000001</v>
      </c>
      <c r="I47" s="1717">
        <v>1.4817</v>
      </c>
      <c r="J47" s="1718">
        <v>0.63700000000000001</v>
      </c>
      <c r="K47" s="1716" t="s">
        <v>12194</v>
      </c>
    </row>
    <row r="48" spans="1:11">
      <c r="A48" s="1716" t="s">
        <v>12195</v>
      </c>
      <c r="B48" s="5683">
        <v>65</v>
      </c>
      <c r="C48" s="1716">
        <v>90</v>
      </c>
      <c r="D48" s="1716">
        <v>18</v>
      </c>
      <c r="E48" s="1716">
        <v>1</v>
      </c>
      <c r="F48" s="1716">
        <v>90</v>
      </c>
      <c r="G48" s="1716">
        <v>67</v>
      </c>
      <c r="H48" s="1717">
        <v>0.25</v>
      </c>
      <c r="I48" s="1717">
        <v>0.13</v>
      </c>
      <c r="J48" s="1718">
        <v>5.8000000000000003E-2</v>
      </c>
      <c r="K48" s="1716" t="s">
        <v>12196</v>
      </c>
    </row>
    <row r="49" spans="1:11">
      <c r="A49" s="1716" t="s">
        <v>12197</v>
      </c>
      <c r="B49" s="5684"/>
      <c r="C49" s="1716">
        <v>100</v>
      </c>
      <c r="D49" s="1716">
        <v>27</v>
      </c>
      <c r="E49" s="1716">
        <v>1</v>
      </c>
      <c r="F49" s="1716">
        <v>100</v>
      </c>
      <c r="G49" s="1716">
        <v>67</v>
      </c>
      <c r="H49" s="1717">
        <v>0.57999999999999996</v>
      </c>
      <c r="I49" s="1717">
        <v>0.31</v>
      </c>
      <c r="J49" s="1718">
        <v>0.13500000000000001</v>
      </c>
      <c r="K49" s="1716" t="s">
        <v>12198</v>
      </c>
    </row>
    <row r="50" spans="1:11">
      <c r="A50" s="1716" t="s">
        <v>12199</v>
      </c>
      <c r="B50" s="5684"/>
      <c r="C50" s="1716">
        <v>115</v>
      </c>
      <c r="D50" s="1716">
        <v>36</v>
      </c>
      <c r="E50" s="1716">
        <v>1.2</v>
      </c>
      <c r="F50" s="1716">
        <v>115</v>
      </c>
      <c r="G50" s="1716">
        <v>68</v>
      </c>
      <c r="H50" s="1717">
        <v>1.2073</v>
      </c>
      <c r="I50" s="1717">
        <v>0.70489999999999997</v>
      </c>
      <c r="J50" s="1718">
        <v>0.30299999999999999</v>
      </c>
      <c r="K50" s="1716" t="s">
        <v>12200</v>
      </c>
    </row>
    <row r="51" spans="1:11">
      <c r="A51" s="1716" t="s">
        <v>12201</v>
      </c>
      <c r="B51" s="5685"/>
      <c r="C51" s="1716">
        <v>140</v>
      </c>
      <c r="D51" s="1716">
        <v>56</v>
      </c>
      <c r="E51" s="1716">
        <v>1.2</v>
      </c>
      <c r="F51" s="1716">
        <v>140</v>
      </c>
      <c r="G51" s="1716">
        <v>68</v>
      </c>
      <c r="H51" s="1717">
        <v>3.2298</v>
      </c>
      <c r="I51" s="1717">
        <v>1.8857999999999999</v>
      </c>
      <c r="J51" s="1718">
        <v>0.81089</v>
      </c>
      <c r="K51" s="1716" t="s">
        <v>12202</v>
      </c>
    </row>
    <row r="52" spans="1:11">
      <c r="A52" s="1716" t="s">
        <v>12203</v>
      </c>
      <c r="B52" s="5683">
        <v>70</v>
      </c>
      <c r="C52" s="1716">
        <v>95</v>
      </c>
      <c r="D52" s="1716">
        <v>18</v>
      </c>
      <c r="E52" s="1716">
        <v>1</v>
      </c>
      <c r="F52" s="1716">
        <v>95</v>
      </c>
      <c r="G52" s="1716">
        <v>72</v>
      </c>
      <c r="H52" s="1717">
        <v>0.27</v>
      </c>
      <c r="I52" s="1717">
        <v>0.14000000000000001</v>
      </c>
      <c r="J52" s="1718">
        <v>6.3E-2</v>
      </c>
      <c r="K52" s="1716" t="s">
        <v>12204</v>
      </c>
    </row>
    <row r="53" spans="1:11">
      <c r="A53" s="1716" t="s">
        <v>12205</v>
      </c>
      <c r="B53" s="5684"/>
      <c r="C53" s="1716">
        <v>105</v>
      </c>
      <c r="D53" s="1716">
        <v>27</v>
      </c>
      <c r="E53" s="1716">
        <v>1</v>
      </c>
      <c r="F53" s="1716">
        <v>105</v>
      </c>
      <c r="G53" s="1716">
        <v>72</v>
      </c>
      <c r="H53" s="1717">
        <v>0.61</v>
      </c>
      <c r="I53" s="1717">
        <v>0.33</v>
      </c>
      <c r="J53" s="1718">
        <v>0.14199999999999999</v>
      </c>
      <c r="K53" s="1716" t="s">
        <v>12206</v>
      </c>
    </row>
    <row r="54" spans="1:11">
      <c r="A54" s="1716" t="s">
        <v>12207</v>
      </c>
      <c r="B54" s="5684"/>
      <c r="C54" s="1716">
        <v>125</v>
      </c>
      <c r="D54" s="1716">
        <v>40</v>
      </c>
      <c r="E54" s="1716">
        <v>1.2</v>
      </c>
      <c r="F54" s="1716">
        <v>125</v>
      </c>
      <c r="G54" s="1716">
        <v>73</v>
      </c>
      <c r="H54" s="1717">
        <v>1.6149</v>
      </c>
      <c r="I54" s="1717">
        <v>0.94289999999999996</v>
      </c>
      <c r="J54" s="1718">
        <v>0.40539999999999998</v>
      </c>
      <c r="K54" s="1716" t="s">
        <v>12208</v>
      </c>
    </row>
    <row r="55" spans="1:11">
      <c r="A55" s="1716" t="s">
        <v>12209</v>
      </c>
      <c r="B55" s="5685"/>
      <c r="C55" s="1716">
        <v>150</v>
      </c>
      <c r="D55" s="1716">
        <v>60</v>
      </c>
      <c r="E55" s="1716">
        <v>1.2</v>
      </c>
      <c r="F55" s="1716">
        <v>150</v>
      </c>
      <c r="G55" s="1716">
        <v>73</v>
      </c>
      <c r="H55" s="1717">
        <v>3.9834000000000001</v>
      </c>
      <c r="I55" s="1717">
        <v>2.3258000000000001</v>
      </c>
      <c r="J55" s="1718">
        <v>1</v>
      </c>
      <c r="K55" s="1716" t="s">
        <v>12210</v>
      </c>
    </row>
    <row r="56" spans="1:11">
      <c r="A56" s="1716" t="s">
        <v>12211</v>
      </c>
      <c r="B56" s="5683">
        <v>75</v>
      </c>
      <c r="C56" s="1716">
        <v>100</v>
      </c>
      <c r="D56" s="1716">
        <v>19</v>
      </c>
      <c r="E56" s="1716">
        <v>1</v>
      </c>
      <c r="F56" s="1716">
        <v>100</v>
      </c>
      <c r="G56" s="1716">
        <v>77</v>
      </c>
      <c r="H56" s="1717">
        <v>0.3</v>
      </c>
      <c r="I56" s="1717">
        <v>0.16</v>
      </c>
      <c r="J56" s="1718">
        <v>7.0000000000000007E-2</v>
      </c>
      <c r="K56" s="1716" t="s">
        <v>12212</v>
      </c>
    </row>
    <row r="57" spans="1:11">
      <c r="A57" s="1716" t="s">
        <v>12213</v>
      </c>
      <c r="B57" s="5684"/>
      <c r="C57" s="1716">
        <v>110</v>
      </c>
      <c r="D57" s="1716">
        <v>27</v>
      </c>
      <c r="E57" s="1716">
        <v>1</v>
      </c>
      <c r="F57" s="1716">
        <v>110</v>
      </c>
      <c r="G57" s="1716">
        <v>77</v>
      </c>
      <c r="H57" s="1717">
        <v>0.65</v>
      </c>
      <c r="I57" s="1717">
        <v>0.35</v>
      </c>
      <c r="J57" s="1718">
        <v>0.152</v>
      </c>
      <c r="K57" s="1716" t="s">
        <v>12214</v>
      </c>
    </row>
    <row r="58" spans="1:11">
      <c r="A58" s="1716" t="s">
        <v>12215</v>
      </c>
      <c r="B58" s="5684"/>
      <c r="C58" s="1716">
        <v>135</v>
      </c>
      <c r="D58" s="1716">
        <v>44</v>
      </c>
      <c r="E58" s="1716">
        <v>1.2</v>
      </c>
      <c r="F58" s="1716">
        <v>135</v>
      </c>
      <c r="G58" s="1716">
        <v>78</v>
      </c>
      <c r="H58" s="1717">
        <v>2.0762999999999998</v>
      </c>
      <c r="I58" s="1717">
        <v>1.2122999999999999</v>
      </c>
      <c r="J58" s="1718">
        <v>0.52100000000000002</v>
      </c>
      <c r="K58" s="1716" t="s">
        <v>12216</v>
      </c>
    </row>
    <row r="59" spans="1:11">
      <c r="A59" s="1716" t="s">
        <v>12217</v>
      </c>
      <c r="B59" s="5685"/>
      <c r="C59" s="1716">
        <v>160</v>
      </c>
      <c r="D59" s="1716">
        <v>65</v>
      </c>
      <c r="E59" s="1716">
        <v>1.2</v>
      </c>
      <c r="F59" s="1716">
        <v>160</v>
      </c>
      <c r="G59" s="1716">
        <v>78</v>
      </c>
      <c r="H59" s="1717">
        <v>5.36</v>
      </c>
      <c r="I59" s="1717">
        <v>3.1339999999999999</v>
      </c>
      <c r="J59" s="1718">
        <v>1.347</v>
      </c>
      <c r="K59" s="1716" t="s">
        <v>12218</v>
      </c>
    </row>
    <row r="60" spans="1:11">
      <c r="A60" s="1716" t="s">
        <v>12219</v>
      </c>
      <c r="B60" s="5683">
        <v>80</v>
      </c>
      <c r="C60" s="1716">
        <v>105</v>
      </c>
      <c r="D60" s="1716">
        <v>19</v>
      </c>
      <c r="E60" s="1716">
        <v>1</v>
      </c>
      <c r="F60" s="1716">
        <v>105</v>
      </c>
      <c r="G60" s="1716">
        <v>82</v>
      </c>
      <c r="H60" s="1717">
        <v>0.32</v>
      </c>
      <c r="I60" s="1717">
        <v>0.17</v>
      </c>
      <c r="J60" s="1718">
        <v>7.4999999999999997E-2</v>
      </c>
      <c r="K60" s="1716" t="s">
        <v>12220</v>
      </c>
    </row>
    <row r="61" spans="1:11">
      <c r="A61" s="1716" t="s">
        <v>12221</v>
      </c>
      <c r="B61" s="5684"/>
      <c r="C61" s="1716">
        <v>115</v>
      </c>
      <c r="D61" s="1716">
        <v>28</v>
      </c>
      <c r="E61" s="1716">
        <v>1</v>
      </c>
      <c r="F61" s="1716">
        <v>115</v>
      </c>
      <c r="G61" s="1716">
        <v>82</v>
      </c>
      <c r="H61" s="1717">
        <v>0.72</v>
      </c>
      <c r="I61" s="1717">
        <v>0.38</v>
      </c>
      <c r="J61" s="1718">
        <v>0.16800000000000001</v>
      </c>
      <c r="K61" s="1716" t="s">
        <v>12222</v>
      </c>
    </row>
    <row r="62" spans="1:11">
      <c r="A62" s="1716" t="s">
        <v>12223</v>
      </c>
      <c r="B62" s="5684"/>
      <c r="C62" s="1716">
        <v>140</v>
      </c>
      <c r="D62" s="1716">
        <v>44</v>
      </c>
      <c r="E62" s="1716">
        <v>1.2</v>
      </c>
      <c r="F62" s="1716">
        <v>140</v>
      </c>
      <c r="G62" s="1716">
        <v>83</v>
      </c>
      <c r="H62" s="1717">
        <v>2.1532</v>
      </c>
      <c r="I62" s="1717">
        <v>1.2572000000000001</v>
      </c>
      <c r="J62" s="1718">
        <v>0.54</v>
      </c>
      <c r="K62" s="1716" t="s">
        <v>12224</v>
      </c>
    </row>
    <row r="63" spans="1:11">
      <c r="A63" s="1716" t="s">
        <v>12225</v>
      </c>
      <c r="B63" s="5685"/>
      <c r="C63" s="1716">
        <v>170</v>
      </c>
      <c r="D63" s="1716">
        <v>68</v>
      </c>
      <c r="E63" s="1716">
        <v>1.2</v>
      </c>
      <c r="F63" s="1716">
        <v>170</v>
      </c>
      <c r="G63" s="1716">
        <v>83</v>
      </c>
      <c r="H63" s="1717">
        <v>5.4676</v>
      </c>
      <c r="I63" s="1717">
        <v>3.1923900000000001</v>
      </c>
      <c r="J63" s="1718">
        <v>1.37</v>
      </c>
      <c r="K63" s="1716" t="s">
        <v>12226</v>
      </c>
    </row>
    <row r="64" spans="1:11">
      <c r="A64" s="1716" t="s">
        <v>12227</v>
      </c>
      <c r="B64" s="5683">
        <v>85</v>
      </c>
      <c r="C64" s="1716">
        <v>110</v>
      </c>
      <c r="D64" s="1716">
        <v>19</v>
      </c>
      <c r="E64" s="1716">
        <v>1</v>
      </c>
      <c r="F64" s="1716">
        <v>110</v>
      </c>
      <c r="G64" s="1716">
        <v>87</v>
      </c>
      <c r="H64" s="1717">
        <v>0.34</v>
      </c>
      <c r="I64" s="1717">
        <v>0.18</v>
      </c>
      <c r="J64" s="1718">
        <v>7.9000000000000001E-2</v>
      </c>
      <c r="K64" s="1716" t="s">
        <v>12228</v>
      </c>
    </row>
    <row r="65" spans="1:13">
      <c r="A65" s="1716" t="s">
        <v>12229</v>
      </c>
      <c r="B65" s="5684"/>
      <c r="C65" s="1716">
        <v>125</v>
      </c>
      <c r="D65" s="1716">
        <v>31</v>
      </c>
      <c r="E65" s="1716">
        <v>1</v>
      </c>
      <c r="F65" s="1716">
        <v>125</v>
      </c>
      <c r="G65" s="1716">
        <v>88</v>
      </c>
      <c r="H65" s="1717">
        <v>0.94</v>
      </c>
      <c r="I65" s="1717">
        <v>0.5</v>
      </c>
      <c r="J65" s="1718">
        <v>0.219</v>
      </c>
      <c r="K65" s="1716" t="s">
        <v>12230</v>
      </c>
    </row>
    <row r="66" spans="1:13">
      <c r="A66" s="1716" t="s">
        <v>12231</v>
      </c>
      <c r="B66" s="5684"/>
      <c r="C66" s="1716">
        <v>150</v>
      </c>
      <c r="D66" s="1716">
        <v>49</v>
      </c>
      <c r="E66" s="1716">
        <v>1.5</v>
      </c>
      <c r="F66" s="1716">
        <v>150</v>
      </c>
      <c r="G66" s="1716">
        <v>88</v>
      </c>
      <c r="H66" s="1717">
        <v>2.8452999999999999</v>
      </c>
      <c r="I66" s="1717">
        <v>1.6613</v>
      </c>
      <c r="J66" s="1718">
        <v>0.71379999999999999</v>
      </c>
      <c r="K66" s="1716" t="s">
        <v>12232</v>
      </c>
    </row>
    <row r="67" spans="1:13">
      <c r="A67" s="1716" t="s">
        <v>12233</v>
      </c>
      <c r="B67" s="5685"/>
      <c r="C67" s="1716">
        <v>180</v>
      </c>
      <c r="D67" s="1716">
        <v>72</v>
      </c>
      <c r="E67" s="1716">
        <v>1.5</v>
      </c>
      <c r="F67" s="1716">
        <v>180</v>
      </c>
      <c r="G67" s="1716">
        <v>88</v>
      </c>
      <c r="H67" s="1717">
        <v>7.3055000000000003</v>
      </c>
      <c r="I67" s="1717">
        <v>4.2655000000000003</v>
      </c>
      <c r="J67" s="1718">
        <v>1.8340000000000001</v>
      </c>
      <c r="K67" s="1716" t="s">
        <v>12234</v>
      </c>
    </row>
    <row r="68" spans="1:13">
      <c r="A68" s="1716" t="s">
        <v>12235</v>
      </c>
      <c r="B68" s="5683">
        <v>90</v>
      </c>
      <c r="C68" s="1716">
        <v>120</v>
      </c>
      <c r="D68" s="1716">
        <v>22</v>
      </c>
      <c r="E68" s="1716">
        <v>1</v>
      </c>
      <c r="F68" s="1716">
        <v>120</v>
      </c>
      <c r="G68" s="1716">
        <v>92</v>
      </c>
      <c r="H68" s="1717">
        <v>0.5</v>
      </c>
      <c r="I68" s="1717">
        <v>0.27</v>
      </c>
      <c r="J68" s="1718">
        <v>0.11700000000000001</v>
      </c>
      <c r="K68" s="1716" t="s">
        <v>12236</v>
      </c>
    </row>
    <row r="69" spans="1:13">
      <c r="A69" s="1716" t="s">
        <v>12237</v>
      </c>
      <c r="B69" s="5684"/>
      <c r="C69" s="1716">
        <v>135</v>
      </c>
      <c r="D69" s="1716">
        <v>35</v>
      </c>
      <c r="E69" s="1716">
        <v>1</v>
      </c>
      <c r="F69" s="1716">
        <v>135</v>
      </c>
      <c r="G69" s="1716">
        <v>93</v>
      </c>
      <c r="H69" s="1717">
        <v>1.3</v>
      </c>
      <c r="I69" s="1717">
        <v>0.69</v>
      </c>
      <c r="J69" s="1718">
        <v>0.30299999999999999</v>
      </c>
      <c r="K69" s="1716" t="s">
        <v>12238</v>
      </c>
      <c r="L69" s="141"/>
    </row>
    <row r="70" spans="1:13">
      <c r="A70" s="1716" t="s">
        <v>12239</v>
      </c>
      <c r="B70" s="5684"/>
      <c r="C70" s="1716">
        <v>155</v>
      </c>
      <c r="D70" s="1716">
        <v>50</v>
      </c>
      <c r="E70" s="1716">
        <v>1.5</v>
      </c>
      <c r="F70" s="1716">
        <v>155</v>
      </c>
      <c r="G70" s="1716">
        <v>93</v>
      </c>
      <c r="H70" s="1717">
        <v>2.9990000000000001</v>
      </c>
      <c r="I70" s="1717">
        <v>1.75</v>
      </c>
      <c r="J70" s="1718">
        <v>0.752</v>
      </c>
      <c r="K70" s="1716" t="s">
        <v>12240</v>
      </c>
      <c r="L70" s="141"/>
    </row>
    <row r="71" spans="1:13">
      <c r="A71" s="1716" t="s">
        <v>12241</v>
      </c>
      <c r="B71" s="5685"/>
      <c r="C71" s="1716">
        <v>190</v>
      </c>
      <c r="D71" s="1716">
        <v>77</v>
      </c>
      <c r="E71" s="1716">
        <v>1.5</v>
      </c>
      <c r="F71" s="1716">
        <v>190</v>
      </c>
      <c r="G71" s="1716">
        <v>93</v>
      </c>
      <c r="H71" s="1717">
        <v>8.6128</v>
      </c>
      <c r="I71" s="1717">
        <v>5.0288000000000004</v>
      </c>
      <c r="J71" s="1718">
        <v>2.1623800000000002</v>
      </c>
      <c r="K71" s="1716" t="s">
        <v>12242</v>
      </c>
      <c r="L71" s="141"/>
    </row>
    <row r="72" spans="1:13">
      <c r="A72" s="1716" t="s">
        <v>12243</v>
      </c>
      <c r="B72" s="5683">
        <v>100</v>
      </c>
      <c r="C72" s="1716">
        <v>135</v>
      </c>
      <c r="D72" s="1716">
        <v>25</v>
      </c>
      <c r="E72" s="1716">
        <v>1</v>
      </c>
      <c r="F72" s="1716">
        <v>135</v>
      </c>
      <c r="G72" s="1716">
        <v>102</v>
      </c>
      <c r="H72" s="1717">
        <v>0.74</v>
      </c>
      <c r="I72" s="1717">
        <v>0.39</v>
      </c>
      <c r="J72" s="1718">
        <v>0.17299999999999999</v>
      </c>
      <c r="K72" s="1716" t="s">
        <v>12244</v>
      </c>
    </row>
    <row r="73" spans="1:13">
      <c r="A73" s="1716" t="s">
        <v>12245</v>
      </c>
      <c r="B73" s="5684"/>
      <c r="C73" s="1716">
        <v>150</v>
      </c>
      <c r="D73" s="1716">
        <v>38</v>
      </c>
      <c r="E73" s="1716">
        <v>1.1000000000000001</v>
      </c>
      <c r="F73" s="1716">
        <v>150</v>
      </c>
      <c r="G73" s="1716">
        <v>103</v>
      </c>
      <c r="H73" s="1717">
        <v>1.73</v>
      </c>
      <c r="I73" s="1717">
        <v>0.92</v>
      </c>
      <c r="J73" s="1718">
        <v>0.40400000000000003</v>
      </c>
      <c r="K73" s="1716" t="s">
        <v>12246</v>
      </c>
    </row>
    <row r="74" spans="1:13">
      <c r="A74" s="1716" t="s">
        <v>12247</v>
      </c>
      <c r="B74" s="5684"/>
      <c r="C74" s="1716">
        <v>170</v>
      </c>
      <c r="D74" s="1716">
        <v>55</v>
      </c>
      <c r="E74" s="1716">
        <v>1.5</v>
      </c>
      <c r="F74" s="1716">
        <v>170</v>
      </c>
      <c r="G74" s="1716">
        <v>103</v>
      </c>
      <c r="H74" s="1717">
        <v>3.9218999999999999</v>
      </c>
      <c r="I74" s="1717">
        <v>2.29</v>
      </c>
      <c r="J74" s="1718">
        <v>0.98470000000000002</v>
      </c>
      <c r="K74" s="1716" t="s">
        <v>12248</v>
      </c>
    </row>
    <row r="75" spans="1:13">
      <c r="A75" s="1716" t="s">
        <v>12249</v>
      </c>
      <c r="B75" s="5685"/>
      <c r="C75" s="1716">
        <v>210</v>
      </c>
      <c r="D75" s="1716">
        <v>85</v>
      </c>
      <c r="E75" s="1716">
        <v>1.5</v>
      </c>
      <c r="F75" s="1716">
        <v>210</v>
      </c>
      <c r="G75" s="1716">
        <v>103</v>
      </c>
      <c r="H75" s="1717">
        <v>11.46</v>
      </c>
      <c r="I75" s="1717">
        <v>6.69</v>
      </c>
      <c r="J75" s="1718">
        <v>2.8767</v>
      </c>
      <c r="K75" s="1716" t="s">
        <v>12250</v>
      </c>
    </row>
    <row r="76" spans="1:13">
      <c r="A76" s="1716" t="s">
        <v>12251</v>
      </c>
      <c r="B76" s="5683">
        <v>110</v>
      </c>
      <c r="C76" s="1716">
        <v>145</v>
      </c>
      <c r="D76" s="1716">
        <v>25</v>
      </c>
      <c r="E76" s="1716">
        <v>1</v>
      </c>
      <c r="F76" s="1716">
        <v>145</v>
      </c>
      <c r="G76" s="1716">
        <v>112</v>
      </c>
      <c r="H76" s="1717">
        <v>0.8</v>
      </c>
      <c r="I76" s="1717">
        <v>0.43</v>
      </c>
      <c r="J76" s="1718">
        <v>0.187</v>
      </c>
      <c r="K76" s="1716" t="s">
        <v>12252</v>
      </c>
    </row>
    <row r="77" spans="1:13">
      <c r="A77" s="1719" t="s">
        <v>12253</v>
      </c>
      <c r="B77" s="5684"/>
      <c r="C77" s="1719">
        <v>160</v>
      </c>
      <c r="D77" s="1719">
        <v>38</v>
      </c>
      <c r="E77" s="1719">
        <v>1.2</v>
      </c>
      <c r="F77" s="1719">
        <v>160</v>
      </c>
      <c r="G77" s="1719">
        <v>113</v>
      </c>
      <c r="H77" s="1720">
        <v>2</v>
      </c>
      <c r="I77" s="1720">
        <v>1.17</v>
      </c>
      <c r="J77" s="1724">
        <v>0.503</v>
      </c>
      <c r="K77" s="1719" t="s">
        <v>12254</v>
      </c>
    </row>
    <row r="78" spans="1:13">
      <c r="A78" s="1719" t="s">
        <v>12255</v>
      </c>
      <c r="B78" s="5684"/>
      <c r="C78" s="1719">
        <v>190</v>
      </c>
      <c r="D78" s="1719">
        <v>63</v>
      </c>
      <c r="E78" s="1719">
        <v>1.5</v>
      </c>
      <c r="F78" s="1719">
        <v>190</v>
      </c>
      <c r="G78" s="1719">
        <v>113</v>
      </c>
      <c r="H78" s="1720">
        <v>6.0750000000000002</v>
      </c>
      <c r="I78" s="1720">
        <v>3.5470000000000002</v>
      </c>
      <c r="J78" s="1724">
        <v>1.5249999999999999</v>
      </c>
      <c r="K78" s="1719" t="s">
        <v>12256</v>
      </c>
    </row>
    <row r="79" spans="1:13">
      <c r="A79" s="1719" t="s">
        <v>12257</v>
      </c>
      <c r="B79" s="5685"/>
      <c r="C79" s="1719">
        <v>230</v>
      </c>
      <c r="D79" s="1719">
        <v>95</v>
      </c>
      <c r="E79" s="1719">
        <v>1.5</v>
      </c>
      <c r="F79" s="1719">
        <v>230</v>
      </c>
      <c r="G79" s="1719">
        <v>113</v>
      </c>
      <c r="H79" s="1720">
        <v>14.3</v>
      </c>
      <c r="I79" s="1720">
        <v>8.35</v>
      </c>
      <c r="J79" s="1724">
        <v>3.5</v>
      </c>
      <c r="K79" s="1719" t="s">
        <v>12258</v>
      </c>
    </row>
    <row r="80" spans="1:13">
      <c r="A80" s="1721" t="s">
        <v>12259</v>
      </c>
      <c r="B80" s="5686">
        <v>120</v>
      </c>
      <c r="C80" s="1721">
        <v>155</v>
      </c>
      <c r="D80" s="1721">
        <v>25</v>
      </c>
      <c r="E80" s="1721">
        <v>1</v>
      </c>
      <c r="F80" s="1721">
        <v>155</v>
      </c>
      <c r="G80" s="1721">
        <v>122</v>
      </c>
      <c r="H80" s="1718">
        <v>0.86</v>
      </c>
      <c r="I80" s="1718">
        <v>0.46</v>
      </c>
      <c r="J80" s="1718">
        <v>0.20100000000000001</v>
      </c>
      <c r="K80" s="1721" t="s">
        <v>12260</v>
      </c>
      <c r="M80" s="1725"/>
    </row>
    <row r="81" spans="1:11">
      <c r="A81" s="1722" t="s">
        <v>12261</v>
      </c>
      <c r="B81" s="5686"/>
      <c r="C81" s="1722">
        <v>170</v>
      </c>
      <c r="D81" s="1722">
        <v>39</v>
      </c>
      <c r="E81" s="1722">
        <v>1.2</v>
      </c>
      <c r="F81" s="1722">
        <v>170</v>
      </c>
      <c r="G81" s="1722">
        <v>123</v>
      </c>
      <c r="H81" s="1723">
        <v>2.23</v>
      </c>
      <c r="I81" s="1723">
        <v>1.302</v>
      </c>
      <c r="J81" s="1723">
        <v>0.55900000000000005</v>
      </c>
      <c r="K81" s="1722" t="s">
        <v>12262</v>
      </c>
    </row>
    <row r="82" spans="1:11">
      <c r="A82" s="1722" t="s">
        <v>12263</v>
      </c>
      <c r="B82" s="5686"/>
      <c r="C82" s="1722">
        <v>210</v>
      </c>
      <c r="D82" s="1722">
        <v>70</v>
      </c>
      <c r="E82" s="1722">
        <v>1.5</v>
      </c>
      <c r="F82" s="1722">
        <v>210</v>
      </c>
      <c r="G82" s="1722">
        <v>123</v>
      </c>
      <c r="H82" s="1723">
        <v>8.3819999999999997</v>
      </c>
      <c r="I82" s="1723">
        <v>4.8940000000000001</v>
      </c>
      <c r="J82" s="1723">
        <v>2.1044</v>
      </c>
      <c r="K82" s="1722" t="s">
        <v>12264</v>
      </c>
    </row>
    <row r="83" spans="1:11">
      <c r="A83" s="1722" t="s">
        <v>12265</v>
      </c>
      <c r="B83" s="5686"/>
      <c r="C83" s="1722">
        <v>250</v>
      </c>
      <c r="D83" s="1722">
        <v>102</v>
      </c>
      <c r="E83" s="1722">
        <v>1.5</v>
      </c>
      <c r="F83" s="1722">
        <v>250</v>
      </c>
      <c r="G83" s="1722">
        <v>123</v>
      </c>
      <c r="H83" s="1723">
        <v>19.600000000000001</v>
      </c>
      <c r="I83" s="1723">
        <v>11.45</v>
      </c>
      <c r="J83" s="1723">
        <v>4.9240000000000004</v>
      </c>
      <c r="K83" s="1722" t="s">
        <v>12266</v>
      </c>
    </row>
    <row r="84" spans="1:11">
      <c r="A84" s="1722" t="s">
        <v>12267</v>
      </c>
      <c r="B84" s="5687">
        <v>130</v>
      </c>
      <c r="C84" s="1722">
        <v>170</v>
      </c>
      <c r="D84" s="1722">
        <v>30</v>
      </c>
      <c r="E84" s="1722">
        <v>1.2</v>
      </c>
      <c r="F84" s="1722">
        <v>170</v>
      </c>
      <c r="G84" s="1722">
        <v>132</v>
      </c>
      <c r="H84" s="1723">
        <v>1.4379999999999999</v>
      </c>
      <c r="I84" s="1723">
        <v>0.83960000000000001</v>
      </c>
      <c r="J84" s="1723">
        <v>0.36199999999999999</v>
      </c>
      <c r="K84" s="1722" t="s">
        <v>12268</v>
      </c>
    </row>
    <row r="85" spans="1:11">
      <c r="A85" s="1722" t="s">
        <v>12269</v>
      </c>
      <c r="B85" s="5687"/>
      <c r="C85" s="1722">
        <v>190</v>
      </c>
      <c r="D85" s="1722">
        <v>45</v>
      </c>
      <c r="E85" s="1722">
        <v>1.2</v>
      </c>
      <c r="F85" s="1722">
        <v>190</v>
      </c>
      <c r="G85" s="1722">
        <v>133</v>
      </c>
      <c r="H85" s="1723">
        <v>3.2298</v>
      </c>
      <c r="I85" s="1723">
        <v>1.869</v>
      </c>
      <c r="J85" s="1723">
        <v>0.80400000000000005</v>
      </c>
      <c r="K85" s="1722" t="s">
        <v>12270</v>
      </c>
    </row>
    <row r="86" spans="1:11">
      <c r="A86" s="1722" t="s">
        <v>12271</v>
      </c>
      <c r="B86" s="5687"/>
      <c r="C86" s="1722">
        <v>225</v>
      </c>
      <c r="D86" s="1722">
        <v>75</v>
      </c>
      <c r="E86" s="1722">
        <v>1.5</v>
      </c>
      <c r="F86" s="1722">
        <v>225</v>
      </c>
      <c r="G86" s="1722">
        <v>133</v>
      </c>
      <c r="H86" s="1723">
        <v>10.227</v>
      </c>
      <c r="I86" s="1723">
        <v>5.9717000000000002</v>
      </c>
      <c r="J86" s="1723">
        <v>2.5678000000000001</v>
      </c>
      <c r="K86" s="1722" t="s">
        <v>12272</v>
      </c>
    </row>
    <row r="87" spans="1:11">
      <c r="A87" s="1722" t="s">
        <v>12273</v>
      </c>
      <c r="B87" s="5687"/>
      <c r="C87" s="1722">
        <v>270</v>
      </c>
      <c r="D87" s="1722">
        <v>110</v>
      </c>
      <c r="E87" s="1722">
        <v>1.5</v>
      </c>
      <c r="F87" s="1722">
        <v>270</v>
      </c>
      <c r="G87" s="1722">
        <v>133</v>
      </c>
      <c r="H87" s="1723">
        <v>24.608000000000001</v>
      </c>
      <c r="I87" s="1723">
        <v>14.368</v>
      </c>
      <c r="J87" s="1723">
        <v>6.1779999999999999</v>
      </c>
      <c r="K87" s="1722" t="s">
        <v>12274</v>
      </c>
    </row>
    <row r="88" spans="1:11">
      <c r="A88" s="1722" t="s">
        <v>12275</v>
      </c>
      <c r="B88" s="5687">
        <v>140</v>
      </c>
      <c r="C88" s="1722">
        <v>180</v>
      </c>
      <c r="D88" s="1722">
        <v>31</v>
      </c>
      <c r="E88" s="1722">
        <v>1.5</v>
      </c>
      <c r="F88" s="1722">
        <v>180</v>
      </c>
      <c r="G88" s="1722">
        <v>143</v>
      </c>
      <c r="H88" s="1723">
        <v>1.62</v>
      </c>
      <c r="I88" s="1723">
        <v>0.95</v>
      </c>
      <c r="J88" s="1723">
        <v>0.4</v>
      </c>
      <c r="K88" s="1722" t="s">
        <v>12276</v>
      </c>
    </row>
    <row r="89" spans="1:11">
      <c r="A89" s="1722" t="s">
        <v>12277</v>
      </c>
      <c r="B89" s="5687"/>
      <c r="C89" s="1722">
        <v>200</v>
      </c>
      <c r="D89" s="1722">
        <v>46</v>
      </c>
      <c r="E89" s="1722">
        <v>1.5</v>
      </c>
      <c r="F89" s="1722">
        <v>200</v>
      </c>
      <c r="G89" s="1722">
        <v>143</v>
      </c>
      <c r="H89" s="1723">
        <v>3.46</v>
      </c>
      <c r="I89" s="1723">
        <v>2.0205000000000002</v>
      </c>
      <c r="J89" s="1723">
        <v>0.86880000000000002</v>
      </c>
      <c r="K89" s="1722" t="s">
        <v>12278</v>
      </c>
    </row>
    <row r="90" spans="1:11">
      <c r="A90" s="1722" t="s">
        <v>12279</v>
      </c>
      <c r="B90" s="5687"/>
      <c r="C90" s="1722">
        <v>240</v>
      </c>
      <c r="D90" s="1722">
        <v>80</v>
      </c>
      <c r="E90" s="1722">
        <v>2</v>
      </c>
      <c r="F90" s="1722">
        <v>240</v>
      </c>
      <c r="G90" s="1722">
        <v>144</v>
      </c>
      <c r="H90" s="1723">
        <v>12.227</v>
      </c>
      <c r="I90" s="1723">
        <v>7.1390000000000002</v>
      </c>
      <c r="J90" s="1723">
        <v>3.0697700000000001</v>
      </c>
      <c r="K90" s="1722" t="s">
        <v>12280</v>
      </c>
    </row>
    <row r="91" spans="1:11">
      <c r="A91" s="1722" t="s">
        <v>12281</v>
      </c>
      <c r="B91" s="5687"/>
      <c r="C91" s="1722">
        <v>280</v>
      </c>
      <c r="D91" s="1722">
        <v>112</v>
      </c>
      <c r="E91" s="1722">
        <v>2</v>
      </c>
      <c r="F91" s="1722">
        <v>280</v>
      </c>
      <c r="G91" s="1722">
        <v>144</v>
      </c>
      <c r="H91" s="1723">
        <v>24.76</v>
      </c>
      <c r="I91" s="1723">
        <v>14.46</v>
      </c>
      <c r="J91" s="1723">
        <v>6.2178000000000004</v>
      </c>
      <c r="K91" s="1722" t="s">
        <v>12282</v>
      </c>
    </row>
    <row r="92" spans="1:11">
      <c r="A92" s="1722" t="s">
        <v>12283</v>
      </c>
      <c r="B92" s="5687">
        <v>150</v>
      </c>
      <c r="C92" s="1722">
        <v>190</v>
      </c>
      <c r="D92" s="1722">
        <v>31</v>
      </c>
      <c r="E92" s="1722">
        <v>1.5</v>
      </c>
      <c r="F92" s="1722">
        <v>190</v>
      </c>
      <c r="G92" s="1722">
        <v>153</v>
      </c>
      <c r="H92" s="1723">
        <v>1.69</v>
      </c>
      <c r="I92" s="1723">
        <v>0.98780000000000001</v>
      </c>
      <c r="J92" s="1723">
        <v>0.42475000000000002</v>
      </c>
      <c r="K92" s="1722" t="s">
        <v>12284</v>
      </c>
    </row>
    <row r="93" spans="1:11">
      <c r="A93" s="1722" t="s">
        <v>12285</v>
      </c>
      <c r="B93" s="5687"/>
      <c r="C93" s="1722">
        <v>215</v>
      </c>
      <c r="D93" s="1722">
        <v>50</v>
      </c>
      <c r="E93" s="1722">
        <v>1.5</v>
      </c>
      <c r="F93" s="1722">
        <v>215</v>
      </c>
      <c r="G93" s="1722">
        <v>153</v>
      </c>
      <c r="H93" s="1723">
        <v>4.46</v>
      </c>
      <c r="I93" s="1723">
        <v>2.6</v>
      </c>
      <c r="J93" s="1723">
        <v>1.1180000000000001</v>
      </c>
      <c r="K93" s="1722" t="s">
        <v>12286</v>
      </c>
    </row>
    <row r="94" spans="1:11">
      <c r="A94" s="1722" t="s">
        <v>12287</v>
      </c>
      <c r="B94" s="5687"/>
      <c r="C94" s="1722">
        <v>250</v>
      </c>
      <c r="D94" s="1722">
        <v>80</v>
      </c>
      <c r="E94" s="1722">
        <v>2</v>
      </c>
      <c r="F94" s="1722">
        <v>250</v>
      </c>
      <c r="G94" s="1722">
        <v>154</v>
      </c>
      <c r="H94" s="1723">
        <v>12.84</v>
      </c>
      <c r="I94" s="1723">
        <v>7.4980000000000002</v>
      </c>
      <c r="J94" s="1723">
        <v>3.2240000000000002</v>
      </c>
      <c r="K94" s="1722" t="s">
        <v>12288</v>
      </c>
    </row>
    <row r="95" spans="1:11">
      <c r="A95" s="1722" t="s">
        <v>12289</v>
      </c>
      <c r="B95" s="5687"/>
      <c r="C95" s="1722">
        <v>300</v>
      </c>
      <c r="D95" s="1722">
        <v>120</v>
      </c>
      <c r="E95" s="1722">
        <v>2</v>
      </c>
      <c r="F95" s="1722">
        <v>300</v>
      </c>
      <c r="G95" s="1722">
        <v>154</v>
      </c>
      <c r="H95" s="1723">
        <v>29.375800000000002</v>
      </c>
      <c r="I95" s="1723">
        <v>17.152000000000001</v>
      </c>
      <c r="J95" s="1723">
        <v>7.3753599999999997</v>
      </c>
      <c r="K95" s="1722" t="s">
        <v>12290</v>
      </c>
    </row>
  </sheetData>
  <mergeCells count="36">
    <mergeCell ref="A1:K1"/>
    <mergeCell ref="B2:E2"/>
    <mergeCell ref="F2:G2"/>
    <mergeCell ref="H2:J2"/>
    <mergeCell ref="H3:J3"/>
    <mergeCell ref="A2:A4"/>
    <mergeCell ref="B3:B4"/>
    <mergeCell ref="C3:C4"/>
    <mergeCell ref="D3:D4"/>
    <mergeCell ref="E3:E4"/>
    <mergeCell ref="K2:K4"/>
    <mergeCell ref="B5:B6"/>
    <mergeCell ref="B7:B8"/>
    <mergeCell ref="B9:B10"/>
    <mergeCell ref="B11:B12"/>
    <mergeCell ref="B13: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B72:B75"/>
    <mergeCell ref="B76:B79"/>
    <mergeCell ref="B80:B83"/>
    <mergeCell ref="B84:B87"/>
    <mergeCell ref="B88:B91"/>
    <mergeCell ref="B92:B95"/>
  </mergeCells>
  <phoneticPr fontId="214" type="noConversion"/>
  <pageMargins left="0.58888888888888902" right="0.55000000000000004" top="2.5590277777777799" bottom="0.38888888888888901" header="0.50902777777777797" footer="0.50902777777777797"/>
  <pageSetup paperSize="9" orientation="portrait"/>
  <headerFooter scaleWithDoc="0" alignWithMargins="0"/>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18">
    <pageSetUpPr fitToPage="1"/>
  </sheetPr>
  <dimension ref="A1:J134"/>
  <sheetViews>
    <sheetView showGridLines="0" view="pageBreakPreview" zoomScale="145" zoomScaleNormal="100" workbookViewId="0">
      <selection sqref="A1:J1"/>
    </sheetView>
  </sheetViews>
  <sheetFormatPr defaultColWidth="8.75" defaultRowHeight="14.25"/>
  <cols>
    <col min="1" max="9" width="9" style="231"/>
    <col min="10" max="16384" width="8.75" style="105"/>
  </cols>
  <sheetData>
    <row r="1" spans="1:10" ht="33" customHeight="1">
      <c r="A1" s="5061" t="s">
        <v>125</v>
      </c>
      <c r="B1" s="5002"/>
      <c r="C1" s="5002"/>
      <c r="D1" s="5002"/>
      <c r="E1" s="5002"/>
      <c r="F1" s="5002"/>
      <c r="G1" s="5002"/>
      <c r="H1" s="5002"/>
      <c r="I1" s="5002"/>
      <c r="J1" s="5002"/>
    </row>
    <row r="2" spans="1:10">
      <c r="A2" s="5694" t="s">
        <v>437</v>
      </c>
      <c r="B2" s="5694" t="s">
        <v>12291</v>
      </c>
      <c r="C2" s="5694" t="s">
        <v>12292</v>
      </c>
      <c r="D2" s="5706" t="s">
        <v>12293</v>
      </c>
      <c r="E2" s="5706"/>
      <c r="F2" s="1708"/>
      <c r="G2" s="1708"/>
      <c r="H2" s="5706" t="s">
        <v>12294</v>
      </c>
      <c r="I2" s="5706"/>
    </row>
    <row r="3" spans="1:10" ht="15" customHeight="1">
      <c r="A3" s="5695"/>
      <c r="B3" s="5695"/>
      <c r="C3" s="5695"/>
      <c r="D3" s="5697" t="s">
        <v>12295</v>
      </c>
      <c r="E3" s="5694" t="s">
        <v>12296</v>
      </c>
      <c r="F3" s="5697" t="s">
        <v>12297</v>
      </c>
      <c r="G3" s="5694" t="s">
        <v>12298</v>
      </c>
      <c r="H3" s="1707" t="s">
        <v>12299</v>
      </c>
      <c r="I3" s="1707" t="s">
        <v>12300</v>
      </c>
    </row>
    <row r="4" spans="1:10">
      <c r="A4" s="5696"/>
      <c r="B4" s="5696"/>
      <c r="C4" s="5696"/>
      <c r="D4" s="5695"/>
      <c r="E4" s="5695"/>
      <c r="F4" s="5695"/>
      <c r="G4" s="5695"/>
      <c r="H4" s="5706" t="s">
        <v>12301</v>
      </c>
      <c r="I4" s="5706"/>
    </row>
    <row r="5" spans="1:10">
      <c r="A5" s="1709" t="s">
        <v>12302</v>
      </c>
      <c r="B5" s="5701">
        <v>4</v>
      </c>
      <c r="C5" s="1710">
        <v>9</v>
      </c>
      <c r="D5" s="1711">
        <v>2.5</v>
      </c>
      <c r="E5" s="1711">
        <v>4</v>
      </c>
      <c r="F5" s="1711">
        <v>641</v>
      </c>
      <c r="G5" s="1711">
        <v>227</v>
      </c>
      <c r="H5" s="1711">
        <v>53</v>
      </c>
      <c r="I5" s="1711">
        <v>63</v>
      </c>
    </row>
    <row r="6" spans="1:10">
      <c r="A6" s="1709" t="s">
        <v>12303</v>
      </c>
      <c r="B6" s="5702"/>
      <c r="C6" s="1710">
        <v>11</v>
      </c>
      <c r="D6" s="1711">
        <v>4</v>
      </c>
      <c r="E6" s="1711">
        <v>4</v>
      </c>
      <c r="F6" s="1711">
        <v>957</v>
      </c>
      <c r="G6" s="1711">
        <v>350</v>
      </c>
      <c r="H6" s="1711">
        <v>48</v>
      </c>
      <c r="I6" s="1711">
        <v>56</v>
      </c>
    </row>
    <row r="7" spans="1:10">
      <c r="A7" s="1709" t="s">
        <v>12304</v>
      </c>
      <c r="B7" s="5702"/>
      <c r="C7" s="1710">
        <v>12</v>
      </c>
      <c r="D7" s="1711">
        <v>4</v>
      </c>
      <c r="E7" s="1711">
        <v>4</v>
      </c>
      <c r="F7" s="1711">
        <v>957</v>
      </c>
      <c r="G7" s="1711">
        <v>350</v>
      </c>
      <c r="H7" s="1711">
        <v>48</v>
      </c>
      <c r="I7" s="1711">
        <v>56</v>
      </c>
    </row>
    <row r="8" spans="1:10">
      <c r="A8" s="1709" t="s">
        <v>12305</v>
      </c>
      <c r="B8" s="5702"/>
      <c r="C8" s="1710">
        <v>13</v>
      </c>
      <c r="D8" s="1711">
        <v>5</v>
      </c>
      <c r="E8" s="1711">
        <v>5</v>
      </c>
      <c r="F8" s="1711">
        <v>1301</v>
      </c>
      <c r="G8" s="1711">
        <v>488</v>
      </c>
      <c r="H8" s="1711">
        <v>40</v>
      </c>
      <c r="I8" s="1711">
        <v>48</v>
      </c>
    </row>
    <row r="9" spans="1:10">
      <c r="A9" s="1709" t="s">
        <v>12306</v>
      </c>
      <c r="B9" s="5703"/>
      <c r="C9" s="1710">
        <v>16</v>
      </c>
      <c r="D9" s="1711">
        <v>5</v>
      </c>
      <c r="E9" s="1711">
        <v>5</v>
      </c>
      <c r="F9" s="1711">
        <v>1340</v>
      </c>
      <c r="G9" s="1711">
        <v>523</v>
      </c>
      <c r="H9" s="1711">
        <v>36</v>
      </c>
      <c r="I9" s="1711">
        <v>43</v>
      </c>
    </row>
    <row r="10" spans="1:10">
      <c r="A10" s="1711" t="s">
        <v>12307</v>
      </c>
      <c r="B10" s="5704">
        <v>5</v>
      </c>
      <c r="C10" s="1711">
        <v>11</v>
      </c>
      <c r="D10" s="1711">
        <v>3</v>
      </c>
      <c r="E10" s="1711">
        <v>5</v>
      </c>
      <c r="F10" s="1711">
        <v>716</v>
      </c>
      <c r="G10" s="1711">
        <v>282</v>
      </c>
      <c r="H10" s="1711">
        <v>45</v>
      </c>
      <c r="I10" s="1711">
        <v>53</v>
      </c>
    </row>
    <row r="11" spans="1:10">
      <c r="A11" s="1711" t="s">
        <v>12308</v>
      </c>
      <c r="B11" s="5705"/>
      <c r="C11" s="1711">
        <v>13</v>
      </c>
      <c r="D11" s="1711">
        <v>4</v>
      </c>
      <c r="E11" s="1711">
        <v>4</v>
      </c>
      <c r="F11" s="1711">
        <v>1077</v>
      </c>
      <c r="G11" s="1711">
        <v>432</v>
      </c>
      <c r="H11" s="1711">
        <v>43</v>
      </c>
      <c r="I11" s="1711">
        <v>50</v>
      </c>
    </row>
    <row r="12" spans="1:10">
      <c r="A12" s="1711" t="s">
        <v>12309</v>
      </c>
      <c r="B12" s="5705"/>
      <c r="C12" s="1711">
        <v>14</v>
      </c>
      <c r="D12" s="1711">
        <v>5</v>
      </c>
      <c r="E12" s="1711">
        <v>5</v>
      </c>
      <c r="F12" s="1711">
        <v>1329</v>
      </c>
      <c r="G12" s="1711">
        <v>507</v>
      </c>
      <c r="H12" s="1711">
        <v>40</v>
      </c>
      <c r="I12" s="1711">
        <v>50</v>
      </c>
    </row>
    <row r="13" spans="1:10">
      <c r="A13" s="1711" t="s">
        <v>12310</v>
      </c>
      <c r="B13" s="5705"/>
      <c r="C13" s="1711">
        <v>16</v>
      </c>
      <c r="D13" s="1711">
        <v>5</v>
      </c>
      <c r="E13" s="1711">
        <v>5</v>
      </c>
      <c r="F13" s="1711">
        <v>1729</v>
      </c>
      <c r="G13" s="1711">
        <v>675</v>
      </c>
      <c r="H13" s="1711">
        <v>36</v>
      </c>
      <c r="I13" s="1711">
        <v>43</v>
      </c>
    </row>
    <row r="14" spans="1:10">
      <c r="A14" s="1711" t="s">
        <v>12311</v>
      </c>
      <c r="B14" s="5705"/>
      <c r="C14" s="1711">
        <v>19</v>
      </c>
      <c r="D14" s="1711">
        <v>6</v>
      </c>
      <c r="E14" s="1711">
        <v>6</v>
      </c>
      <c r="F14" s="1711">
        <v>2336</v>
      </c>
      <c r="G14" s="1711">
        <v>896</v>
      </c>
      <c r="H14" s="1711">
        <v>32</v>
      </c>
      <c r="I14" s="1711">
        <v>40</v>
      </c>
    </row>
    <row r="15" spans="1:10">
      <c r="A15" s="1711" t="s">
        <v>12312</v>
      </c>
      <c r="B15" s="5701">
        <v>6</v>
      </c>
      <c r="C15" s="1711">
        <v>13</v>
      </c>
      <c r="D15" s="1711">
        <v>3.5</v>
      </c>
      <c r="E15" s="1711">
        <v>5</v>
      </c>
      <c r="F15" s="1711">
        <v>1082</v>
      </c>
      <c r="G15" s="1711">
        <v>442</v>
      </c>
      <c r="H15" s="1711">
        <v>40</v>
      </c>
      <c r="I15" s="1711">
        <v>50</v>
      </c>
    </row>
    <row r="16" spans="1:10">
      <c r="A16" s="1711" t="s">
        <v>12313</v>
      </c>
      <c r="B16" s="5702"/>
      <c r="C16" s="1711">
        <v>15</v>
      </c>
      <c r="D16" s="1711">
        <v>5</v>
      </c>
      <c r="E16" s="1711">
        <v>5</v>
      </c>
      <c r="F16" s="1711">
        <v>1340</v>
      </c>
      <c r="G16" s="1711">
        <v>523</v>
      </c>
      <c r="H16" s="1711">
        <v>40</v>
      </c>
      <c r="I16" s="1711">
        <v>45</v>
      </c>
    </row>
    <row r="17" spans="1:9">
      <c r="A17" s="1711" t="s">
        <v>12314</v>
      </c>
      <c r="B17" s="5702"/>
      <c r="C17" s="1711">
        <v>17</v>
      </c>
      <c r="D17" s="1711">
        <v>6</v>
      </c>
      <c r="E17" s="1711">
        <v>6</v>
      </c>
      <c r="F17" s="1711">
        <v>2263</v>
      </c>
      <c r="G17" s="1711">
        <v>846</v>
      </c>
      <c r="H17" s="1711">
        <v>38</v>
      </c>
      <c r="I17" s="1711">
        <v>45</v>
      </c>
    </row>
    <row r="18" spans="1:9">
      <c r="A18" s="1711" t="s">
        <v>12315</v>
      </c>
      <c r="B18" s="5702"/>
      <c r="C18" s="1711">
        <v>19</v>
      </c>
      <c r="D18" s="1711">
        <v>6</v>
      </c>
      <c r="E18" s="1711">
        <v>6</v>
      </c>
      <c r="F18" s="1711">
        <v>2336</v>
      </c>
      <c r="G18" s="1711">
        <v>896</v>
      </c>
      <c r="H18" s="1711">
        <v>32</v>
      </c>
      <c r="I18" s="1711">
        <v>40</v>
      </c>
    </row>
    <row r="19" spans="1:9">
      <c r="A19" s="1711" t="s">
        <v>12316</v>
      </c>
      <c r="B19" s="5703"/>
      <c r="C19" s="1711">
        <v>22</v>
      </c>
      <c r="D19" s="1711">
        <v>7</v>
      </c>
      <c r="E19" s="1711">
        <v>7</v>
      </c>
      <c r="F19" s="1711">
        <v>3333</v>
      </c>
      <c r="G19" s="1711">
        <v>1423</v>
      </c>
      <c r="H19" s="1711">
        <v>30</v>
      </c>
      <c r="I19" s="1711">
        <v>36</v>
      </c>
    </row>
    <row r="20" spans="1:9">
      <c r="A20" s="1711" t="s">
        <v>12317</v>
      </c>
      <c r="B20" s="5701">
        <v>7</v>
      </c>
      <c r="C20" s="1711">
        <v>14</v>
      </c>
      <c r="D20" s="1711">
        <v>3.5</v>
      </c>
      <c r="E20" s="1711">
        <v>5</v>
      </c>
      <c r="F20" s="1711">
        <v>1173</v>
      </c>
      <c r="G20" s="1711">
        <v>513</v>
      </c>
      <c r="H20" s="1711">
        <v>40</v>
      </c>
      <c r="I20" s="1711">
        <v>50</v>
      </c>
    </row>
    <row r="21" spans="1:9">
      <c r="A21" s="1711" t="s">
        <v>12318</v>
      </c>
      <c r="B21" s="5702"/>
      <c r="C21" s="1711">
        <v>17</v>
      </c>
      <c r="D21" s="1711">
        <v>5</v>
      </c>
      <c r="E21" s="1711">
        <v>5</v>
      </c>
      <c r="F21" s="1711">
        <v>1605</v>
      </c>
      <c r="G21" s="1711">
        <v>719</v>
      </c>
      <c r="H21" s="1711">
        <v>36</v>
      </c>
      <c r="I21" s="1711">
        <v>43</v>
      </c>
    </row>
    <row r="22" spans="1:9">
      <c r="A22" s="1711" t="s">
        <v>12319</v>
      </c>
      <c r="B22" s="5702"/>
      <c r="C22" s="1711">
        <v>19</v>
      </c>
      <c r="D22" s="1711">
        <v>6</v>
      </c>
      <c r="E22" s="1711">
        <v>6</v>
      </c>
      <c r="F22" s="1711">
        <v>2336</v>
      </c>
      <c r="G22" s="1711">
        <v>896</v>
      </c>
      <c r="H22" s="1711">
        <v>36</v>
      </c>
      <c r="I22" s="1711">
        <v>43</v>
      </c>
    </row>
    <row r="23" spans="1:9">
      <c r="A23" s="1711" t="s">
        <v>12320</v>
      </c>
      <c r="B23" s="5702"/>
      <c r="C23" s="1711">
        <v>22</v>
      </c>
      <c r="D23" s="1711">
        <v>7</v>
      </c>
      <c r="E23" s="1711">
        <v>7</v>
      </c>
      <c r="F23" s="1711">
        <v>3287</v>
      </c>
      <c r="G23" s="1711">
        <v>1379</v>
      </c>
      <c r="H23" s="1711">
        <v>30</v>
      </c>
      <c r="I23" s="1711">
        <v>36</v>
      </c>
    </row>
    <row r="24" spans="1:9">
      <c r="A24" s="1711" t="s">
        <v>12321</v>
      </c>
      <c r="B24" s="5703"/>
      <c r="C24" s="1711">
        <v>26</v>
      </c>
      <c r="D24" s="1711">
        <v>9</v>
      </c>
      <c r="E24" s="1711">
        <v>6</v>
      </c>
      <c r="F24" s="1711">
        <v>4563</v>
      </c>
      <c r="G24" s="1711">
        <v>1983</v>
      </c>
      <c r="H24" s="1711">
        <v>28</v>
      </c>
      <c r="I24" s="1711">
        <v>34</v>
      </c>
    </row>
    <row r="25" spans="1:9">
      <c r="A25" s="1711" t="s">
        <v>12322</v>
      </c>
      <c r="B25" s="5701">
        <v>8</v>
      </c>
      <c r="C25" s="1711">
        <v>16</v>
      </c>
      <c r="D25" s="1711">
        <v>4</v>
      </c>
      <c r="E25" s="1711">
        <v>5</v>
      </c>
      <c r="F25" s="1711">
        <v>1252</v>
      </c>
      <c r="G25" s="1711">
        <v>592</v>
      </c>
      <c r="H25" s="1711">
        <v>36</v>
      </c>
      <c r="I25" s="1711">
        <v>43</v>
      </c>
    </row>
    <row r="26" spans="1:9">
      <c r="A26" s="1711" t="s">
        <v>12323</v>
      </c>
      <c r="B26" s="5702"/>
      <c r="C26" s="1711">
        <v>19</v>
      </c>
      <c r="D26" s="1711">
        <v>6</v>
      </c>
      <c r="E26" s="1711">
        <v>6</v>
      </c>
      <c r="F26" s="1711">
        <v>2237</v>
      </c>
      <c r="G26" s="1711">
        <v>917</v>
      </c>
      <c r="H26" s="1711">
        <v>36</v>
      </c>
      <c r="I26" s="1711">
        <v>43</v>
      </c>
    </row>
    <row r="27" spans="1:9">
      <c r="A27" s="1711" t="s">
        <v>12324</v>
      </c>
      <c r="B27" s="5702"/>
      <c r="C27" s="1711">
        <v>22</v>
      </c>
      <c r="D27" s="1711">
        <v>7</v>
      </c>
      <c r="E27" s="1711">
        <v>7</v>
      </c>
      <c r="F27" s="1711">
        <v>3293</v>
      </c>
      <c r="G27" s="1711">
        <v>1379</v>
      </c>
      <c r="H27" s="1711">
        <v>34</v>
      </c>
      <c r="I27" s="1711">
        <v>40</v>
      </c>
    </row>
    <row r="28" spans="1:9">
      <c r="A28" s="1711" t="s">
        <v>12325</v>
      </c>
      <c r="B28" s="5702"/>
      <c r="C28" s="1711">
        <v>24</v>
      </c>
      <c r="D28" s="1711">
        <v>8</v>
      </c>
      <c r="E28" s="1711">
        <v>8</v>
      </c>
      <c r="F28" s="1711">
        <v>3333</v>
      </c>
      <c r="G28" s="1711">
        <v>1423</v>
      </c>
      <c r="H28" s="1711">
        <v>28</v>
      </c>
      <c r="I28" s="1711">
        <v>34</v>
      </c>
    </row>
    <row r="29" spans="1:9">
      <c r="A29" s="1711" t="s">
        <v>12326</v>
      </c>
      <c r="B29" s="5702"/>
      <c r="C29" s="1711">
        <v>28</v>
      </c>
      <c r="D29" s="1711">
        <v>9</v>
      </c>
      <c r="E29" s="1711">
        <v>9</v>
      </c>
      <c r="F29" s="1711">
        <v>4563</v>
      </c>
      <c r="G29" s="1711">
        <v>1983</v>
      </c>
      <c r="H29" s="1711">
        <v>28</v>
      </c>
      <c r="I29" s="1711">
        <v>34</v>
      </c>
    </row>
    <row r="30" spans="1:9">
      <c r="A30" s="1711" t="s">
        <v>12327</v>
      </c>
      <c r="B30" s="5701">
        <v>9</v>
      </c>
      <c r="C30" s="1711">
        <v>14</v>
      </c>
      <c r="D30" s="1711">
        <v>3</v>
      </c>
      <c r="E30" s="1711">
        <v>4.5</v>
      </c>
      <c r="F30" s="1711">
        <v>919</v>
      </c>
      <c r="G30" s="1711">
        <v>468</v>
      </c>
      <c r="H30" s="1711">
        <v>36</v>
      </c>
      <c r="I30" s="1711">
        <v>42</v>
      </c>
    </row>
    <row r="31" spans="1:9">
      <c r="A31" s="1711" t="s">
        <v>12328</v>
      </c>
      <c r="B31" s="5702"/>
      <c r="C31" s="1711">
        <v>17</v>
      </c>
      <c r="D31" s="1711">
        <v>4</v>
      </c>
      <c r="E31" s="1711">
        <v>5</v>
      </c>
      <c r="F31" s="1711">
        <v>1327</v>
      </c>
      <c r="G31" s="1711">
        <v>668</v>
      </c>
      <c r="H31" s="1711">
        <v>36</v>
      </c>
      <c r="I31" s="1711">
        <v>43</v>
      </c>
    </row>
    <row r="32" spans="1:9">
      <c r="A32" s="1711" t="s">
        <v>12329</v>
      </c>
      <c r="B32" s="5702"/>
      <c r="C32" s="1711">
        <v>20</v>
      </c>
      <c r="D32" s="1711">
        <v>6</v>
      </c>
      <c r="E32" s="1711">
        <v>6</v>
      </c>
      <c r="F32" s="1711">
        <v>2467</v>
      </c>
      <c r="G32" s="1711">
        <v>1081</v>
      </c>
      <c r="H32" s="1711">
        <v>34</v>
      </c>
      <c r="I32" s="1711">
        <v>40</v>
      </c>
    </row>
    <row r="33" spans="1:10">
      <c r="A33" s="1711" t="s">
        <v>12330</v>
      </c>
      <c r="B33" s="5702"/>
      <c r="C33" s="1711">
        <v>24</v>
      </c>
      <c r="D33" s="1711">
        <v>7</v>
      </c>
      <c r="E33" s="1711">
        <v>7</v>
      </c>
      <c r="F33" s="1711">
        <v>3356</v>
      </c>
      <c r="G33" s="1711">
        <v>1444</v>
      </c>
      <c r="H33" s="1711">
        <v>32</v>
      </c>
      <c r="I33" s="1711">
        <v>38</v>
      </c>
    </row>
    <row r="34" spans="1:10">
      <c r="A34" s="1711" t="s">
        <v>12331</v>
      </c>
      <c r="B34" s="5702"/>
      <c r="C34" s="1711">
        <v>26</v>
      </c>
      <c r="D34" s="1711">
        <v>8</v>
      </c>
      <c r="E34" s="1711">
        <v>8</v>
      </c>
      <c r="F34" s="1711">
        <v>4575</v>
      </c>
      <c r="G34" s="1711">
        <v>1983</v>
      </c>
      <c r="H34" s="1711">
        <v>28</v>
      </c>
      <c r="I34" s="1711">
        <v>34</v>
      </c>
    </row>
    <row r="35" spans="1:10">
      <c r="A35" s="1711" t="s">
        <v>12332</v>
      </c>
      <c r="B35" s="5703"/>
      <c r="C35" s="1711">
        <v>30</v>
      </c>
      <c r="D35" s="1711">
        <v>10</v>
      </c>
      <c r="E35" s="1711">
        <v>10</v>
      </c>
      <c r="F35" s="1711">
        <v>4659</v>
      </c>
      <c r="G35" s="1711">
        <v>2080</v>
      </c>
      <c r="H35" s="1711">
        <v>24</v>
      </c>
      <c r="I35" s="1711">
        <v>30</v>
      </c>
    </row>
    <row r="36" spans="1:10">
      <c r="A36" s="1711" t="s">
        <v>12333</v>
      </c>
      <c r="B36" s="5701">
        <v>10</v>
      </c>
      <c r="C36" s="1711">
        <v>15</v>
      </c>
      <c r="D36" s="1711">
        <v>4</v>
      </c>
      <c r="E36" s="1711">
        <v>4</v>
      </c>
      <c r="F36" s="1711">
        <v>855</v>
      </c>
      <c r="G36" s="1711">
        <v>435</v>
      </c>
      <c r="H36" s="1711">
        <v>15</v>
      </c>
      <c r="I36" s="1711">
        <v>17</v>
      </c>
    </row>
    <row r="37" spans="1:10">
      <c r="A37" s="1711" t="s">
        <v>12334</v>
      </c>
      <c r="B37" s="5702"/>
      <c r="C37" s="1711">
        <v>19</v>
      </c>
      <c r="D37" s="1711">
        <v>5</v>
      </c>
      <c r="E37" s="1711">
        <v>5</v>
      </c>
      <c r="F37" s="1711">
        <v>1716</v>
      </c>
      <c r="G37" s="1711">
        <v>840</v>
      </c>
      <c r="H37" s="1711">
        <v>37</v>
      </c>
      <c r="I37" s="1711">
        <v>43</v>
      </c>
    </row>
    <row r="38" spans="1:10">
      <c r="A38" s="1711" t="s">
        <v>12335</v>
      </c>
      <c r="B38" s="5702"/>
      <c r="C38" s="1711">
        <v>22</v>
      </c>
      <c r="D38" s="1711">
        <v>6</v>
      </c>
      <c r="E38" s="1711">
        <v>6</v>
      </c>
      <c r="F38" s="1711">
        <v>2695</v>
      </c>
      <c r="G38" s="1711">
        <v>1273</v>
      </c>
      <c r="H38" s="1711">
        <v>34</v>
      </c>
      <c r="I38" s="1711">
        <v>41</v>
      </c>
    </row>
    <row r="39" spans="1:10">
      <c r="A39" s="1711" t="s">
        <v>12336</v>
      </c>
      <c r="B39" s="5702"/>
      <c r="C39" s="1711">
        <v>26</v>
      </c>
      <c r="D39" s="1711">
        <v>8</v>
      </c>
      <c r="E39" s="1711">
        <v>8</v>
      </c>
      <c r="F39" s="1711">
        <v>4550</v>
      </c>
      <c r="G39" s="1711">
        <v>1970</v>
      </c>
      <c r="H39" s="1711">
        <v>30</v>
      </c>
      <c r="I39" s="1711">
        <v>36</v>
      </c>
    </row>
    <row r="40" spans="1:10">
      <c r="A40" s="1711" t="s">
        <v>12337</v>
      </c>
      <c r="B40" s="5702"/>
      <c r="C40" s="1711">
        <v>30</v>
      </c>
      <c r="D40" s="1711">
        <v>9</v>
      </c>
      <c r="E40" s="1711">
        <v>9</v>
      </c>
      <c r="F40" s="1711">
        <v>5100</v>
      </c>
      <c r="G40" s="1711">
        <v>2390</v>
      </c>
      <c r="H40" s="1711">
        <v>24</v>
      </c>
      <c r="I40" s="1711">
        <v>30</v>
      </c>
    </row>
    <row r="41" spans="1:10">
      <c r="A41" s="1711" t="s">
        <v>12338</v>
      </c>
      <c r="B41" s="5703"/>
      <c r="C41" s="1711">
        <v>35</v>
      </c>
      <c r="D41" s="1711">
        <v>11</v>
      </c>
      <c r="E41" s="1711">
        <v>11</v>
      </c>
      <c r="F41" s="1711">
        <v>8100</v>
      </c>
      <c r="G41" s="1711">
        <v>3450</v>
      </c>
      <c r="H41" s="1711">
        <v>22</v>
      </c>
      <c r="I41" s="1711">
        <v>26</v>
      </c>
    </row>
    <row r="42" spans="1:10">
      <c r="A42" s="1711" t="s">
        <v>12339</v>
      </c>
      <c r="B42" s="5701">
        <v>12</v>
      </c>
      <c r="C42" s="1711">
        <v>18</v>
      </c>
      <c r="D42" s="1711">
        <v>4</v>
      </c>
      <c r="E42" s="1711">
        <v>4</v>
      </c>
      <c r="F42" s="1711">
        <v>926</v>
      </c>
      <c r="G42" s="1711">
        <v>530</v>
      </c>
      <c r="H42" s="1711">
        <v>13</v>
      </c>
      <c r="I42" s="1711">
        <v>15</v>
      </c>
    </row>
    <row r="43" spans="1:10">
      <c r="A43" s="1711" t="s">
        <v>12340</v>
      </c>
      <c r="B43" s="5702"/>
      <c r="C43" s="1711">
        <v>21</v>
      </c>
      <c r="D43" s="1711">
        <v>5</v>
      </c>
      <c r="E43" s="1711">
        <v>5</v>
      </c>
      <c r="F43" s="1711">
        <v>1915</v>
      </c>
      <c r="G43" s="1711">
        <v>1041</v>
      </c>
      <c r="H43" s="1711">
        <v>33</v>
      </c>
      <c r="I43" s="1711">
        <v>39</v>
      </c>
    </row>
    <row r="44" spans="1:10">
      <c r="A44" s="1711" t="s">
        <v>12341</v>
      </c>
      <c r="B44" s="5702"/>
      <c r="C44" s="1711">
        <v>24</v>
      </c>
      <c r="D44" s="1711">
        <v>6</v>
      </c>
      <c r="E44" s="1711">
        <v>6</v>
      </c>
      <c r="F44" s="1711">
        <v>2886</v>
      </c>
      <c r="G44" s="1711">
        <v>1466</v>
      </c>
      <c r="H44" s="1711">
        <v>31</v>
      </c>
      <c r="I44" s="1711">
        <v>36</v>
      </c>
    </row>
    <row r="45" spans="1:10">
      <c r="A45" s="1711" t="s">
        <v>12342</v>
      </c>
      <c r="B45" s="5702"/>
      <c r="C45" s="1711">
        <v>28</v>
      </c>
      <c r="D45" s="1711">
        <v>8</v>
      </c>
      <c r="E45" s="1711">
        <v>8</v>
      </c>
      <c r="F45" s="1711">
        <v>5100</v>
      </c>
      <c r="G45" s="1711">
        <v>2370</v>
      </c>
      <c r="H45" s="1711">
        <v>28</v>
      </c>
      <c r="I45" s="1711">
        <v>32</v>
      </c>
    </row>
    <row r="46" spans="1:10">
      <c r="A46" s="1711" t="s">
        <v>12343</v>
      </c>
      <c r="B46" s="5702"/>
      <c r="C46" s="1711">
        <v>32</v>
      </c>
      <c r="D46" s="1711">
        <v>10</v>
      </c>
      <c r="E46" s="1711">
        <v>10</v>
      </c>
      <c r="F46" s="1711">
        <v>6800</v>
      </c>
      <c r="G46" s="1711">
        <v>3050</v>
      </c>
      <c r="H46" s="1711">
        <v>22</v>
      </c>
      <c r="I46" s="1711">
        <v>28</v>
      </c>
    </row>
    <row r="47" spans="1:10">
      <c r="A47" s="1711" t="s">
        <v>12344</v>
      </c>
      <c r="B47" s="5703"/>
      <c r="C47" s="1711">
        <v>37</v>
      </c>
      <c r="D47" s="1711">
        <v>12</v>
      </c>
      <c r="E47" s="1711">
        <v>12</v>
      </c>
      <c r="F47" s="1711">
        <v>9700</v>
      </c>
      <c r="G47" s="1711">
        <v>4200</v>
      </c>
      <c r="H47" s="1711">
        <v>990</v>
      </c>
      <c r="I47" s="1711">
        <v>425</v>
      </c>
      <c r="J47" s="500" t="s">
        <v>5901</v>
      </c>
    </row>
    <row r="48" spans="1:10">
      <c r="A48" s="1712">
        <v>6702</v>
      </c>
      <c r="B48" s="5693">
        <v>15</v>
      </c>
      <c r="C48" s="1712">
        <v>21</v>
      </c>
      <c r="D48" s="1712">
        <v>4</v>
      </c>
      <c r="E48" s="1712"/>
      <c r="F48" s="1712">
        <v>0.93700000000000006</v>
      </c>
      <c r="G48" s="1712">
        <v>0.58199999999999996</v>
      </c>
      <c r="H48" s="1712">
        <v>11000</v>
      </c>
      <c r="I48" s="1712">
        <v>13000</v>
      </c>
      <c r="J48" s="1712">
        <v>3.5000000000000001E-3</v>
      </c>
    </row>
    <row r="49" spans="1:10">
      <c r="A49" s="1712">
        <v>6802</v>
      </c>
      <c r="B49" s="5693"/>
      <c r="C49" s="1712">
        <v>24</v>
      </c>
      <c r="D49" s="1712">
        <v>5</v>
      </c>
      <c r="E49" s="1712"/>
      <c r="F49" s="1712">
        <v>2.1</v>
      </c>
      <c r="G49" s="1712">
        <v>1.25</v>
      </c>
      <c r="H49" s="1712">
        <v>28000</v>
      </c>
      <c r="I49" s="1712">
        <v>33000</v>
      </c>
      <c r="J49" s="1712">
        <v>7.0000000000000001E-3</v>
      </c>
    </row>
    <row r="50" spans="1:10">
      <c r="A50" s="1712">
        <v>6902</v>
      </c>
      <c r="B50" s="5693"/>
      <c r="C50" s="1712">
        <v>28</v>
      </c>
      <c r="D50" s="1712">
        <v>7</v>
      </c>
      <c r="E50" s="1712"/>
      <c r="F50" s="1712">
        <v>4.3</v>
      </c>
      <c r="G50" s="1712">
        <v>2.25</v>
      </c>
      <c r="H50" s="1712">
        <v>26000</v>
      </c>
      <c r="I50" s="1712">
        <v>30000</v>
      </c>
      <c r="J50" s="1712">
        <v>1.7000000000000001E-2</v>
      </c>
    </row>
    <row r="51" spans="1:10">
      <c r="A51" s="1712">
        <v>16002</v>
      </c>
      <c r="B51" s="5693"/>
      <c r="C51" s="1712">
        <v>32</v>
      </c>
      <c r="D51" s="1712">
        <v>8</v>
      </c>
      <c r="E51" s="1712"/>
      <c r="F51" s="1712">
        <v>5.6</v>
      </c>
      <c r="G51" s="1712">
        <v>2.85</v>
      </c>
      <c r="H51" s="1712">
        <v>23000</v>
      </c>
      <c r="I51" s="1712">
        <v>28000</v>
      </c>
      <c r="J51" s="1712">
        <v>2.5000000000000001E-2</v>
      </c>
    </row>
    <row r="52" spans="1:10">
      <c r="A52" s="1712">
        <v>6002</v>
      </c>
      <c r="B52" s="5693"/>
      <c r="C52" s="1712">
        <v>32</v>
      </c>
      <c r="D52" s="1712">
        <v>9</v>
      </c>
      <c r="E52" s="1712"/>
      <c r="F52" s="1712">
        <v>5.6</v>
      </c>
      <c r="G52" s="1712">
        <v>2.85</v>
      </c>
      <c r="H52" s="1712">
        <v>23000</v>
      </c>
      <c r="I52" s="1712">
        <v>27000</v>
      </c>
      <c r="J52" s="1712">
        <v>0.03</v>
      </c>
    </row>
    <row r="53" spans="1:10">
      <c r="A53" s="1712">
        <v>6202</v>
      </c>
      <c r="B53" s="5693"/>
      <c r="C53" s="1712">
        <v>35</v>
      </c>
      <c r="D53" s="1712">
        <v>11</v>
      </c>
      <c r="E53" s="1712"/>
      <c r="F53" s="1712">
        <v>7.65</v>
      </c>
      <c r="G53" s="1712">
        <v>3.75</v>
      </c>
      <c r="H53" s="1712">
        <v>20000</v>
      </c>
      <c r="I53" s="1712">
        <v>24000</v>
      </c>
      <c r="J53" s="1712">
        <v>4.4999999999999998E-2</v>
      </c>
    </row>
    <row r="54" spans="1:10">
      <c r="A54" s="1712">
        <v>6302</v>
      </c>
      <c r="B54" s="5693"/>
      <c r="C54" s="1712">
        <v>42</v>
      </c>
      <c r="D54" s="1712">
        <v>13</v>
      </c>
      <c r="E54" s="1712"/>
      <c r="F54" s="1712">
        <v>11.4</v>
      </c>
      <c r="G54" s="1712">
        <v>5.45</v>
      </c>
      <c r="H54" s="1712">
        <v>17000</v>
      </c>
      <c r="I54" s="1712">
        <v>20000</v>
      </c>
      <c r="J54" s="1712">
        <v>8.2000000000000003E-2</v>
      </c>
    </row>
    <row r="55" spans="1:10">
      <c r="A55" s="1712">
        <v>6703</v>
      </c>
      <c r="B55" s="5693">
        <v>17</v>
      </c>
      <c r="C55" s="1712">
        <v>23</v>
      </c>
      <c r="D55" s="1712">
        <v>4</v>
      </c>
      <c r="E55" s="1712"/>
      <c r="F55" s="1712">
        <v>1</v>
      </c>
      <c r="G55" s="1712">
        <v>0.65800000000000003</v>
      </c>
      <c r="H55" s="1712">
        <v>9500</v>
      </c>
      <c r="I55" s="1712">
        <v>11000</v>
      </c>
      <c r="J55" s="1712">
        <v>4.0000000000000001E-3</v>
      </c>
    </row>
    <row r="56" spans="1:10">
      <c r="A56" s="1712">
        <v>6803</v>
      </c>
      <c r="B56" s="5693"/>
      <c r="C56" s="1712">
        <v>26</v>
      </c>
      <c r="D56" s="1712">
        <v>5</v>
      </c>
      <c r="E56" s="1712"/>
      <c r="F56" s="1712">
        <v>2.6</v>
      </c>
      <c r="G56" s="1712">
        <v>1.55</v>
      </c>
      <c r="H56" s="1712">
        <v>26000</v>
      </c>
      <c r="I56" s="1712">
        <v>30000</v>
      </c>
      <c r="J56" s="1712">
        <v>8.0000000000000002E-3</v>
      </c>
    </row>
    <row r="57" spans="1:10">
      <c r="A57" s="1712">
        <v>6903</v>
      </c>
      <c r="B57" s="5693"/>
      <c r="C57" s="1712">
        <v>30</v>
      </c>
      <c r="D57" s="1712">
        <v>7</v>
      </c>
      <c r="E57" s="1712"/>
      <c r="F57" s="1712">
        <v>4.5999999999999996</v>
      </c>
      <c r="G57" s="1712">
        <v>2.5499999999999998</v>
      </c>
      <c r="H57" s="1712">
        <v>23000</v>
      </c>
      <c r="I57" s="1712">
        <v>28000</v>
      </c>
      <c r="J57" s="1712">
        <v>1.7999999999999999E-2</v>
      </c>
    </row>
    <row r="58" spans="1:10">
      <c r="A58" s="1712">
        <v>16003</v>
      </c>
      <c r="B58" s="5693"/>
      <c r="C58" s="1712">
        <v>35</v>
      </c>
      <c r="D58" s="1712">
        <v>8</v>
      </c>
      <c r="E58" s="1712"/>
      <c r="F58" s="1712">
        <v>6</v>
      </c>
      <c r="G58" s="1712">
        <v>3.25</v>
      </c>
      <c r="H58" s="1712">
        <v>21000</v>
      </c>
      <c r="I58" s="1712">
        <v>25000</v>
      </c>
      <c r="J58" s="1712">
        <v>3.2000000000000001E-2</v>
      </c>
    </row>
    <row r="59" spans="1:10">
      <c r="A59" s="1712">
        <v>6003</v>
      </c>
      <c r="B59" s="5693"/>
      <c r="C59" s="1712">
        <v>35</v>
      </c>
      <c r="D59" s="1712">
        <v>10</v>
      </c>
      <c r="E59" s="1712"/>
      <c r="F59" s="1712">
        <v>6</v>
      </c>
      <c r="G59" s="1712">
        <v>3.25</v>
      </c>
      <c r="H59" s="1712">
        <v>21000</v>
      </c>
      <c r="I59" s="1712">
        <v>25000</v>
      </c>
      <c r="J59" s="1712">
        <v>3.9E-2</v>
      </c>
    </row>
    <row r="60" spans="1:10">
      <c r="A60" s="1712">
        <v>6203</v>
      </c>
      <c r="B60" s="5693"/>
      <c r="C60" s="1712">
        <v>40</v>
      </c>
      <c r="D60" s="1712">
        <v>12</v>
      </c>
      <c r="E60" s="1712"/>
      <c r="F60" s="1712">
        <v>9055</v>
      </c>
      <c r="G60" s="1712">
        <v>4.8</v>
      </c>
      <c r="H60" s="1712">
        <v>17000</v>
      </c>
      <c r="I60" s="1712">
        <v>21000</v>
      </c>
      <c r="J60" s="1712">
        <v>6.5000000000000002E-2</v>
      </c>
    </row>
    <row r="61" spans="1:10">
      <c r="A61" s="1712">
        <v>6303</v>
      </c>
      <c r="B61" s="5693"/>
      <c r="C61" s="1712">
        <v>47</v>
      </c>
      <c r="D61" s="1712">
        <v>14</v>
      </c>
      <c r="E61" s="1712"/>
      <c r="F61" s="1712">
        <v>13.6</v>
      </c>
      <c r="G61" s="1712">
        <v>6.65</v>
      </c>
      <c r="H61" s="1712">
        <v>15000</v>
      </c>
      <c r="I61" s="1712">
        <v>18000</v>
      </c>
      <c r="J61" s="1712">
        <v>0.115</v>
      </c>
    </row>
    <row r="62" spans="1:10">
      <c r="A62" s="1712">
        <v>6403</v>
      </c>
      <c r="B62" s="5693"/>
      <c r="C62" s="1712">
        <v>62</v>
      </c>
      <c r="D62" s="1712">
        <v>17</v>
      </c>
      <c r="E62" s="1712"/>
      <c r="F62" s="1712">
        <v>20.7</v>
      </c>
      <c r="G62" s="1712">
        <v>9.85</v>
      </c>
      <c r="H62" s="1712">
        <v>13000</v>
      </c>
      <c r="I62" s="1712">
        <v>15000</v>
      </c>
      <c r="J62" s="1712">
        <v>2.7</v>
      </c>
    </row>
    <row r="63" spans="1:10">
      <c r="A63" s="1712">
        <v>6704</v>
      </c>
      <c r="B63" s="5693">
        <v>20</v>
      </c>
      <c r="C63" s="1712">
        <v>27</v>
      </c>
      <c r="D63" s="1712">
        <v>4</v>
      </c>
      <c r="E63" s="1712"/>
      <c r="F63" s="1712">
        <v>1.4019999999999999</v>
      </c>
      <c r="G63" s="1712">
        <v>0.72899999999999998</v>
      </c>
      <c r="H63" s="1712">
        <v>8500</v>
      </c>
      <c r="I63" s="1712">
        <v>10500</v>
      </c>
      <c r="J63" s="1712">
        <v>6.0000000000000001E-3</v>
      </c>
    </row>
    <row r="64" spans="1:10">
      <c r="A64" s="1712">
        <v>6804</v>
      </c>
      <c r="B64" s="5693"/>
      <c r="C64" s="1712">
        <v>32</v>
      </c>
      <c r="D64" s="1712">
        <v>7</v>
      </c>
      <c r="E64" s="1712"/>
      <c r="F64" s="1712">
        <v>4</v>
      </c>
      <c r="G64" s="1712">
        <v>2.4500000000000002</v>
      </c>
      <c r="H64" s="1712">
        <v>21000</v>
      </c>
      <c r="I64" s="1712">
        <v>25000</v>
      </c>
      <c r="J64" s="1712">
        <v>1.7999999999999999E-2</v>
      </c>
    </row>
    <row r="65" spans="1:10">
      <c r="A65" s="1712">
        <v>6904</v>
      </c>
      <c r="B65" s="5693"/>
      <c r="C65" s="1712">
        <v>37</v>
      </c>
      <c r="D65" s="1712">
        <v>9</v>
      </c>
      <c r="E65" s="1712"/>
      <c r="F65" s="1712">
        <v>6.35</v>
      </c>
      <c r="G65" s="1712">
        <v>3.7</v>
      </c>
      <c r="H65" s="1712">
        <v>19000</v>
      </c>
      <c r="I65" s="1712">
        <v>23000</v>
      </c>
      <c r="J65" s="1712">
        <v>3.5999999999999997E-2</v>
      </c>
    </row>
    <row r="66" spans="1:10">
      <c r="A66" s="1712">
        <v>16004</v>
      </c>
      <c r="B66" s="5693"/>
      <c r="C66" s="1712">
        <v>42</v>
      </c>
      <c r="D66" s="1712">
        <v>8</v>
      </c>
      <c r="E66" s="1712"/>
      <c r="F66" s="1712">
        <v>7.95</v>
      </c>
      <c r="G66" s="1712">
        <v>4.5</v>
      </c>
      <c r="H66" s="1712">
        <v>17000</v>
      </c>
      <c r="I66" s="1712">
        <v>21000</v>
      </c>
      <c r="J66" s="1712">
        <v>0.05</v>
      </c>
    </row>
    <row r="67" spans="1:10">
      <c r="A67" s="1712">
        <v>6004</v>
      </c>
      <c r="B67" s="5693"/>
      <c r="C67" s="1712">
        <v>42</v>
      </c>
      <c r="D67" s="1712">
        <v>12</v>
      </c>
      <c r="E67" s="1712"/>
      <c r="F67" s="1712">
        <v>9.4</v>
      </c>
      <c r="G67" s="1712">
        <v>5.05</v>
      </c>
      <c r="H67" s="1712">
        <v>17000</v>
      </c>
      <c r="I67" s="1712">
        <v>21000</v>
      </c>
      <c r="J67" s="1712">
        <v>6.9000000000000006E-2</v>
      </c>
    </row>
    <row r="68" spans="1:10">
      <c r="A68" s="1712">
        <v>6204</v>
      </c>
      <c r="B68" s="5693"/>
      <c r="C68" s="1712">
        <v>47</v>
      </c>
      <c r="D68" s="1712">
        <v>14</v>
      </c>
      <c r="E68" s="1712"/>
      <c r="F68" s="1712">
        <v>12.8</v>
      </c>
      <c r="G68" s="1712">
        <v>6.65</v>
      </c>
      <c r="H68" s="1712">
        <v>15000</v>
      </c>
      <c r="I68" s="1712">
        <v>17000</v>
      </c>
      <c r="J68" s="1712">
        <v>0.106</v>
      </c>
    </row>
    <row r="69" spans="1:10">
      <c r="A69" s="1712">
        <v>6304</v>
      </c>
      <c r="B69" s="5693"/>
      <c r="C69" s="1712">
        <v>52</v>
      </c>
      <c r="D69" s="1712">
        <v>15</v>
      </c>
      <c r="E69" s="1712"/>
      <c r="F69" s="1712">
        <v>15.9</v>
      </c>
      <c r="G69" s="1712">
        <v>7.85</v>
      </c>
      <c r="H69" s="1712">
        <v>14000</v>
      </c>
      <c r="I69" s="1712">
        <v>17000</v>
      </c>
      <c r="J69" s="1712">
        <v>0.14399999999999999</v>
      </c>
    </row>
    <row r="70" spans="1:10">
      <c r="A70" s="1712">
        <v>6404</v>
      </c>
      <c r="B70" s="5693"/>
      <c r="C70" s="1712">
        <v>72</v>
      </c>
      <c r="D70" s="1712">
        <v>19</v>
      </c>
      <c r="E70" s="1712"/>
      <c r="F70" s="1712">
        <v>31</v>
      </c>
      <c r="G70" s="1712">
        <v>15.2</v>
      </c>
      <c r="H70" s="1712">
        <v>11000</v>
      </c>
      <c r="I70" s="1712">
        <v>13000</v>
      </c>
      <c r="J70" s="1712">
        <v>0.4</v>
      </c>
    </row>
    <row r="71" spans="1:10">
      <c r="A71" s="1712" t="s">
        <v>12345</v>
      </c>
      <c r="B71" s="5693">
        <v>22</v>
      </c>
      <c r="C71" s="1712">
        <v>44</v>
      </c>
      <c r="D71" s="1712">
        <v>12</v>
      </c>
      <c r="E71" s="1712"/>
      <c r="F71" s="1712">
        <v>9.4</v>
      </c>
      <c r="G71" s="1712">
        <v>5.15</v>
      </c>
      <c r="H71" s="1712">
        <v>17000</v>
      </c>
      <c r="I71" s="1712">
        <v>20000</v>
      </c>
      <c r="J71" s="1712">
        <v>7.2999999999999995E-2</v>
      </c>
    </row>
    <row r="72" spans="1:10">
      <c r="A72" s="1712" t="s">
        <v>12346</v>
      </c>
      <c r="B72" s="5693"/>
      <c r="C72" s="1712">
        <v>50</v>
      </c>
      <c r="D72" s="1712">
        <v>14</v>
      </c>
      <c r="E72" s="1712"/>
      <c r="F72" s="1712">
        <v>12.8</v>
      </c>
      <c r="G72" s="1712">
        <v>6.65</v>
      </c>
      <c r="H72" s="1712">
        <v>15000</v>
      </c>
      <c r="I72" s="1712">
        <v>17000</v>
      </c>
      <c r="J72" s="1712">
        <v>0.11799999999999999</v>
      </c>
    </row>
    <row r="73" spans="1:10">
      <c r="A73" s="1712" t="s">
        <v>12347</v>
      </c>
      <c r="B73" s="5693"/>
      <c r="C73" s="1712">
        <v>56</v>
      </c>
      <c r="D73" s="1712">
        <v>16</v>
      </c>
      <c r="E73" s="1712"/>
      <c r="F73" s="1712">
        <v>18.5</v>
      </c>
      <c r="G73" s="1712">
        <v>9.4</v>
      </c>
      <c r="H73" s="1712">
        <v>13000</v>
      </c>
      <c r="I73" s="1712">
        <v>15000</v>
      </c>
      <c r="J73" s="1712">
        <v>0.20100000000000001</v>
      </c>
    </row>
    <row r="74" spans="1:10">
      <c r="A74" s="1712">
        <v>6705</v>
      </c>
      <c r="B74" s="5698">
        <v>25</v>
      </c>
      <c r="C74" s="1712">
        <v>32</v>
      </c>
      <c r="D74" s="1712">
        <v>4</v>
      </c>
      <c r="E74" s="1712"/>
      <c r="F74" s="1712">
        <v>1.091</v>
      </c>
      <c r="G74" s="1712">
        <v>0.85799999999999998</v>
      </c>
      <c r="H74" s="1712">
        <v>7000</v>
      </c>
      <c r="I74" s="1712">
        <v>8000</v>
      </c>
      <c r="J74" s="1712">
        <v>7.1000000000000004E-3</v>
      </c>
    </row>
    <row r="75" spans="1:10">
      <c r="A75" s="1712">
        <v>6805</v>
      </c>
      <c r="B75" s="5699"/>
      <c r="C75" s="1712">
        <v>37</v>
      </c>
      <c r="D75" s="1712">
        <v>7</v>
      </c>
      <c r="E75" s="1712"/>
      <c r="F75" s="1712">
        <v>4.3</v>
      </c>
      <c r="G75" s="1712">
        <v>2.95</v>
      </c>
      <c r="H75" s="1712">
        <v>18000</v>
      </c>
      <c r="I75" s="1712">
        <v>21000</v>
      </c>
      <c r="J75" s="1712">
        <v>2.1999999999999999E-2</v>
      </c>
    </row>
    <row r="76" spans="1:10">
      <c r="A76" s="1712">
        <v>6905</v>
      </c>
      <c r="B76" s="5699"/>
      <c r="C76" s="1712">
        <v>42</v>
      </c>
      <c r="D76" s="1712">
        <v>9</v>
      </c>
      <c r="E76" s="1712"/>
      <c r="F76" s="1712">
        <v>7</v>
      </c>
      <c r="G76" s="1712">
        <v>4.55</v>
      </c>
      <c r="H76" s="1712">
        <v>16000</v>
      </c>
      <c r="I76" s="1712">
        <v>19000</v>
      </c>
      <c r="J76" s="1712">
        <v>4.1000000000000002E-2</v>
      </c>
    </row>
    <row r="77" spans="1:10">
      <c r="A77" s="1712">
        <v>16005</v>
      </c>
      <c r="B77" s="5699"/>
      <c r="C77" s="1712">
        <v>47</v>
      </c>
      <c r="D77" s="1712">
        <v>8</v>
      </c>
      <c r="E77" s="1712"/>
      <c r="F77" s="1712">
        <v>8.85</v>
      </c>
      <c r="G77" s="1712">
        <v>5.6</v>
      </c>
      <c r="H77" s="1712">
        <v>15000</v>
      </c>
      <c r="I77" s="1712">
        <v>18000</v>
      </c>
      <c r="J77" s="1712">
        <v>0.06</v>
      </c>
    </row>
    <row r="78" spans="1:10">
      <c r="A78" s="1712">
        <v>6005</v>
      </c>
      <c r="B78" s="5699"/>
      <c r="C78" s="1712">
        <v>47</v>
      </c>
      <c r="D78" s="1712">
        <v>12</v>
      </c>
      <c r="E78" s="1712"/>
      <c r="F78" s="1712">
        <v>10.1</v>
      </c>
      <c r="G78" s="1712">
        <v>5.85</v>
      </c>
      <c r="H78" s="1712">
        <v>15000</v>
      </c>
      <c r="I78" s="1712">
        <v>18000</v>
      </c>
      <c r="J78" s="1712">
        <v>0.08</v>
      </c>
    </row>
    <row r="79" spans="1:10">
      <c r="A79" s="1712">
        <v>6205</v>
      </c>
      <c r="B79" s="5699"/>
      <c r="C79" s="1712">
        <v>52</v>
      </c>
      <c r="D79" s="1712">
        <v>15</v>
      </c>
      <c r="E79" s="1712"/>
      <c r="F79" s="1712">
        <v>14</v>
      </c>
      <c r="G79" s="1712">
        <v>7.85</v>
      </c>
      <c r="H79" s="1712">
        <v>13000</v>
      </c>
      <c r="I79" s="1712">
        <v>15000</v>
      </c>
      <c r="J79" s="1712">
        <v>0.128</v>
      </c>
    </row>
    <row r="80" spans="1:10">
      <c r="A80" s="1712">
        <v>6305</v>
      </c>
      <c r="B80" s="5699"/>
      <c r="C80" s="1712">
        <v>62</v>
      </c>
      <c r="D80" s="1712">
        <v>17</v>
      </c>
      <c r="E80" s="1712"/>
      <c r="F80" s="1712">
        <v>20.6</v>
      </c>
      <c r="G80" s="1712">
        <v>11.3</v>
      </c>
      <c r="H80" s="1712">
        <v>11000</v>
      </c>
      <c r="I80" s="1712">
        <v>13000</v>
      </c>
      <c r="J80" s="1712">
        <v>0.23200000000000001</v>
      </c>
    </row>
    <row r="81" spans="1:10">
      <c r="A81" s="1712">
        <v>6405</v>
      </c>
      <c r="B81" s="5700"/>
      <c r="C81" s="1712">
        <v>80</v>
      </c>
      <c r="D81" s="1712">
        <v>21</v>
      </c>
      <c r="E81" s="1712"/>
      <c r="F81" s="1712">
        <v>36.1</v>
      </c>
      <c r="G81" s="1712">
        <v>19.399999999999999</v>
      </c>
      <c r="H81" s="1712">
        <v>9100</v>
      </c>
      <c r="I81" s="1712">
        <v>11000</v>
      </c>
      <c r="J81" s="1712">
        <v>0.53</v>
      </c>
    </row>
    <row r="82" spans="1:10">
      <c r="A82" s="1712" t="s">
        <v>12348</v>
      </c>
      <c r="B82" s="5693">
        <v>28</v>
      </c>
      <c r="C82" s="1712">
        <v>52</v>
      </c>
      <c r="D82" s="1712">
        <v>12</v>
      </c>
      <c r="E82" s="1712"/>
      <c r="F82" s="1712">
        <v>12.4</v>
      </c>
      <c r="G82" s="1712">
        <v>7.4</v>
      </c>
      <c r="H82" s="1712">
        <v>14000</v>
      </c>
      <c r="I82" s="1712">
        <v>16000</v>
      </c>
      <c r="J82" s="1712">
        <v>9.7000000000000003E-2</v>
      </c>
    </row>
    <row r="83" spans="1:10">
      <c r="A83" s="1712" t="s">
        <v>12349</v>
      </c>
      <c r="B83" s="5693"/>
      <c r="C83" s="1712">
        <v>58</v>
      </c>
      <c r="D83" s="1712">
        <v>16</v>
      </c>
      <c r="E83" s="1712"/>
      <c r="F83" s="1712">
        <v>17.899999999999999</v>
      </c>
      <c r="G83" s="1712">
        <v>9.75</v>
      </c>
      <c r="H83" s="1712">
        <v>12000</v>
      </c>
      <c r="I83" s="1712">
        <v>14000</v>
      </c>
      <c r="J83" s="1712">
        <v>0.17299999999999999</v>
      </c>
    </row>
    <row r="84" spans="1:10">
      <c r="A84" s="1712" t="s">
        <v>12350</v>
      </c>
      <c r="B84" s="5693"/>
      <c r="C84" s="1712">
        <v>68</v>
      </c>
      <c r="D84" s="1712">
        <v>18</v>
      </c>
      <c r="E84" s="1712"/>
      <c r="F84" s="1712">
        <v>23.5</v>
      </c>
      <c r="G84" s="1712">
        <v>13.1</v>
      </c>
      <c r="H84" s="1712">
        <v>10000</v>
      </c>
      <c r="I84" s="1712">
        <v>12000</v>
      </c>
      <c r="J84" s="1712">
        <v>0.32800000000000001</v>
      </c>
    </row>
    <row r="85" spans="1:10">
      <c r="A85" s="1712">
        <v>6706</v>
      </c>
      <c r="B85" s="5698">
        <v>30</v>
      </c>
      <c r="C85" s="1712">
        <v>37</v>
      </c>
      <c r="D85" s="1712">
        <v>4</v>
      </c>
      <c r="E85" s="1712"/>
      <c r="F85" s="1712">
        <v>1.143</v>
      </c>
      <c r="G85" s="1712">
        <v>0.94699999999999995</v>
      </c>
      <c r="H85" s="1712">
        <v>5500</v>
      </c>
      <c r="I85" s="1712">
        <v>7000</v>
      </c>
      <c r="J85" s="1712">
        <v>8.5000000000000006E-3</v>
      </c>
    </row>
    <row r="86" spans="1:10">
      <c r="A86" s="1712">
        <v>6806</v>
      </c>
      <c r="B86" s="5699"/>
      <c r="C86" s="1712">
        <v>42</v>
      </c>
      <c r="D86" s="1712">
        <v>7</v>
      </c>
      <c r="E86" s="1712"/>
      <c r="F86" s="1712">
        <v>4.55</v>
      </c>
      <c r="G86" s="1712">
        <v>3.4</v>
      </c>
      <c r="H86" s="1712">
        <v>15000</v>
      </c>
      <c r="I86" s="1712">
        <v>18000</v>
      </c>
      <c r="J86" s="1712">
        <v>2.5999999999999999E-2</v>
      </c>
    </row>
    <row r="87" spans="1:10">
      <c r="A87" s="1712">
        <v>6906</v>
      </c>
      <c r="B87" s="5699"/>
      <c r="C87" s="1712">
        <v>47</v>
      </c>
      <c r="D87" s="1712">
        <v>9</v>
      </c>
      <c r="E87" s="1712"/>
      <c r="F87" s="1712">
        <v>7.25</v>
      </c>
      <c r="G87" s="1712">
        <v>5</v>
      </c>
      <c r="H87" s="1712">
        <v>14000</v>
      </c>
      <c r="I87" s="1712">
        <v>17000</v>
      </c>
      <c r="J87" s="1712">
        <v>4.4999999999999998E-2</v>
      </c>
    </row>
    <row r="88" spans="1:10">
      <c r="A88" s="1712">
        <v>16006</v>
      </c>
      <c r="B88" s="5699"/>
      <c r="C88" s="1712">
        <v>55</v>
      </c>
      <c r="D88" s="1712">
        <v>9</v>
      </c>
      <c r="E88" s="1712"/>
      <c r="F88" s="1712">
        <v>11.2</v>
      </c>
      <c r="G88" s="1712">
        <v>7.35</v>
      </c>
      <c r="H88" s="1712">
        <v>13000</v>
      </c>
      <c r="I88" s="1712">
        <v>15000</v>
      </c>
      <c r="J88" s="1712">
        <v>8.5000000000000006E-2</v>
      </c>
    </row>
    <row r="89" spans="1:10">
      <c r="A89" s="1712">
        <v>6006</v>
      </c>
      <c r="B89" s="5699"/>
      <c r="C89" s="1712">
        <v>55</v>
      </c>
      <c r="D89" s="1712">
        <v>13</v>
      </c>
      <c r="E89" s="1712"/>
      <c r="F89" s="1712">
        <v>13.2</v>
      </c>
      <c r="G89" s="1712">
        <v>8.25</v>
      </c>
      <c r="H89" s="1712">
        <v>13000</v>
      </c>
      <c r="I89" s="1712">
        <v>15000</v>
      </c>
      <c r="J89" s="1712">
        <v>0.11600000000000001</v>
      </c>
    </row>
    <row r="90" spans="1:10">
      <c r="A90" s="1712">
        <v>6206</v>
      </c>
      <c r="B90" s="5699"/>
      <c r="C90" s="1712">
        <v>62</v>
      </c>
      <c r="D90" s="1712">
        <v>16</v>
      </c>
      <c r="E90" s="1712"/>
      <c r="F90" s="1712">
        <v>19.5</v>
      </c>
      <c r="G90" s="1712">
        <v>11.3</v>
      </c>
      <c r="H90" s="1712">
        <v>11000</v>
      </c>
      <c r="I90" s="1712">
        <v>13000</v>
      </c>
      <c r="J90" s="1712">
        <v>0.19900000000000001</v>
      </c>
    </row>
    <row r="91" spans="1:10">
      <c r="A91" s="1712">
        <v>6306</v>
      </c>
      <c r="B91" s="5699"/>
      <c r="C91" s="1712">
        <v>72</v>
      </c>
      <c r="D91" s="1712">
        <v>19</v>
      </c>
      <c r="E91" s="1712"/>
      <c r="F91" s="1712">
        <v>26.7</v>
      </c>
      <c r="G91" s="1712">
        <v>15</v>
      </c>
      <c r="H91" s="1712">
        <v>9600</v>
      </c>
      <c r="I91" s="1712">
        <v>12000</v>
      </c>
      <c r="J91" s="1712">
        <v>0.34599999999999997</v>
      </c>
    </row>
    <row r="92" spans="1:10">
      <c r="A92" s="1712">
        <v>6406</v>
      </c>
      <c r="B92" s="5700"/>
      <c r="C92" s="1712">
        <v>90</v>
      </c>
      <c r="D92" s="1712">
        <v>23</v>
      </c>
      <c r="E92" s="1712"/>
      <c r="F92" s="1712">
        <v>43.4</v>
      </c>
      <c r="G92" s="1712">
        <v>23.9</v>
      </c>
      <c r="H92" s="1712">
        <v>8100</v>
      </c>
      <c r="I92" s="1712">
        <v>9700</v>
      </c>
      <c r="J92" s="1712">
        <v>0.73499999999999999</v>
      </c>
    </row>
    <row r="93" spans="1:10">
      <c r="A93" s="1712" t="s">
        <v>12351</v>
      </c>
      <c r="B93" s="5693">
        <v>32</v>
      </c>
      <c r="C93" s="1712">
        <v>58</v>
      </c>
      <c r="D93" s="1712">
        <v>13</v>
      </c>
      <c r="E93" s="1712"/>
      <c r="F93" s="1712">
        <v>15</v>
      </c>
      <c r="G93" s="1712">
        <v>9.15</v>
      </c>
      <c r="H93" s="1712">
        <v>12000</v>
      </c>
      <c r="I93" s="1712">
        <v>14000</v>
      </c>
      <c r="J93" s="1712">
        <v>0.127</v>
      </c>
    </row>
    <row r="94" spans="1:10">
      <c r="A94" s="1712" t="s">
        <v>12352</v>
      </c>
      <c r="B94" s="5693"/>
      <c r="C94" s="1712">
        <v>65</v>
      </c>
      <c r="D94" s="1712">
        <v>17</v>
      </c>
      <c r="E94" s="1712"/>
      <c r="F94" s="1712">
        <v>23.5</v>
      </c>
      <c r="G94" s="1712">
        <v>13.1</v>
      </c>
      <c r="H94" s="1712">
        <v>10000</v>
      </c>
      <c r="I94" s="1712">
        <v>12000</v>
      </c>
      <c r="J94" s="1712">
        <v>0.22800000000000001</v>
      </c>
    </row>
    <row r="95" spans="1:10">
      <c r="A95" s="1712" t="s">
        <v>12353</v>
      </c>
      <c r="B95" s="5693"/>
      <c r="C95" s="1712">
        <v>75</v>
      </c>
      <c r="D95" s="1712">
        <v>20</v>
      </c>
      <c r="E95" s="1712"/>
      <c r="F95" s="1712">
        <v>30.1</v>
      </c>
      <c r="G95" s="1712">
        <v>16.2</v>
      </c>
      <c r="H95" s="1712">
        <v>9300</v>
      </c>
      <c r="I95" s="1712">
        <v>11000</v>
      </c>
      <c r="J95" s="1712">
        <v>0.437</v>
      </c>
    </row>
    <row r="96" spans="1:10">
      <c r="A96" s="1712">
        <v>6707</v>
      </c>
      <c r="B96" s="5698">
        <v>35</v>
      </c>
      <c r="C96" s="1712">
        <v>44</v>
      </c>
      <c r="D96" s="1712">
        <v>5</v>
      </c>
      <c r="E96" s="1712"/>
      <c r="F96" s="1712">
        <v>1.8660000000000001</v>
      </c>
      <c r="G96" s="1712">
        <v>1.635</v>
      </c>
      <c r="H96" s="1712">
        <v>4900</v>
      </c>
      <c r="I96" s="1712">
        <v>6000</v>
      </c>
      <c r="J96" s="1712">
        <v>1.4999999999999999E-2</v>
      </c>
    </row>
    <row r="97" spans="1:10">
      <c r="A97" s="1712">
        <v>6807</v>
      </c>
      <c r="B97" s="5699"/>
      <c r="C97" s="1712">
        <v>47</v>
      </c>
      <c r="D97" s="1712">
        <v>7</v>
      </c>
      <c r="E97" s="1712"/>
      <c r="F97" s="1712">
        <v>4.75</v>
      </c>
      <c r="G97" s="1712">
        <v>3.85</v>
      </c>
      <c r="H97" s="1712">
        <v>13000</v>
      </c>
      <c r="I97" s="1712">
        <v>16000</v>
      </c>
      <c r="J97" s="1712">
        <v>0.03</v>
      </c>
    </row>
    <row r="98" spans="1:10">
      <c r="A98" s="1712">
        <v>6907</v>
      </c>
      <c r="B98" s="5699"/>
      <c r="C98" s="1712">
        <v>55</v>
      </c>
      <c r="D98" s="1712">
        <v>10</v>
      </c>
      <c r="E98" s="1712"/>
      <c r="F98" s="1712">
        <v>10.9</v>
      </c>
      <c r="G98" s="1712">
        <v>7.75</v>
      </c>
      <c r="H98" s="1712">
        <v>12000</v>
      </c>
      <c r="I98" s="1712">
        <v>14000</v>
      </c>
      <c r="J98" s="1712">
        <v>7.2999999999999995E-2</v>
      </c>
    </row>
    <row r="99" spans="1:10">
      <c r="A99" s="1712">
        <v>16007</v>
      </c>
      <c r="B99" s="5699"/>
      <c r="C99" s="1712">
        <v>62</v>
      </c>
      <c r="D99" s="1712">
        <v>9</v>
      </c>
      <c r="E99" s="1712"/>
      <c r="F99" s="1712">
        <v>12.2</v>
      </c>
      <c r="G99" s="1712">
        <v>8.85</v>
      </c>
      <c r="H99" s="1712">
        <v>11000</v>
      </c>
      <c r="I99" s="1712">
        <v>13000</v>
      </c>
      <c r="J99" s="1712">
        <v>0.11</v>
      </c>
    </row>
    <row r="100" spans="1:10">
      <c r="A100" s="1712">
        <v>6007</v>
      </c>
      <c r="B100" s="5699"/>
      <c r="C100" s="1712">
        <v>62</v>
      </c>
      <c r="D100" s="1712">
        <v>14</v>
      </c>
      <c r="E100" s="1712"/>
      <c r="F100" s="1712">
        <v>15.9</v>
      </c>
      <c r="G100" s="1712">
        <v>10.3</v>
      </c>
      <c r="H100" s="1712">
        <v>11000</v>
      </c>
      <c r="I100" s="1712">
        <v>13000</v>
      </c>
      <c r="J100" s="1712">
        <v>0.155</v>
      </c>
    </row>
    <row r="101" spans="1:10">
      <c r="A101" s="1712">
        <v>6207</v>
      </c>
      <c r="B101" s="5699"/>
      <c r="C101" s="1712">
        <v>72</v>
      </c>
      <c r="D101" s="1712">
        <v>17</v>
      </c>
      <c r="E101" s="1712"/>
      <c r="F101" s="1712">
        <v>25.7</v>
      </c>
      <c r="G101" s="1712">
        <v>15.4</v>
      </c>
      <c r="H101" s="1712">
        <v>9200</v>
      </c>
      <c r="I101" s="1712">
        <v>11000</v>
      </c>
      <c r="J101" s="1712">
        <v>0.28799999999999998</v>
      </c>
    </row>
    <row r="102" spans="1:10">
      <c r="A102" s="1712">
        <v>6307</v>
      </c>
      <c r="B102" s="5699"/>
      <c r="C102" s="1712">
        <v>80</v>
      </c>
      <c r="D102" s="1712">
        <v>21</v>
      </c>
      <c r="E102" s="1712"/>
      <c r="F102" s="1712">
        <v>33.4</v>
      </c>
      <c r="G102" s="1712">
        <v>19.3</v>
      </c>
      <c r="H102" s="1712">
        <v>8500</v>
      </c>
      <c r="I102" s="1712">
        <v>10000</v>
      </c>
      <c r="J102" s="1712">
        <v>0.45700000000000002</v>
      </c>
    </row>
    <row r="103" spans="1:10">
      <c r="A103" s="1712">
        <v>6407</v>
      </c>
      <c r="B103" s="5700"/>
      <c r="C103" s="1712">
        <v>100</v>
      </c>
      <c r="D103" s="1712">
        <v>25</v>
      </c>
      <c r="E103" s="1712"/>
      <c r="F103" s="1712">
        <v>55</v>
      </c>
      <c r="G103" s="1712">
        <v>31</v>
      </c>
      <c r="H103" s="1712">
        <v>7200</v>
      </c>
      <c r="I103" s="1712">
        <v>8600</v>
      </c>
      <c r="J103" s="1712">
        <v>0.95199999999999996</v>
      </c>
    </row>
    <row r="104" spans="1:10">
      <c r="A104" s="1712">
        <v>6708</v>
      </c>
      <c r="B104" s="5698">
        <v>40</v>
      </c>
      <c r="C104" s="1712">
        <v>50</v>
      </c>
      <c r="D104" s="1712">
        <v>6</v>
      </c>
      <c r="E104" s="1712"/>
      <c r="F104" s="1712">
        <v>2.516</v>
      </c>
      <c r="G104" s="1712">
        <v>2.2330000000000001</v>
      </c>
      <c r="H104" s="1712">
        <v>4300</v>
      </c>
      <c r="I104" s="1712">
        <v>5000</v>
      </c>
      <c r="J104" s="1712">
        <v>2.3E-2</v>
      </c>
    </row>
    <row r="105" spans="1:10">
      <c r="A105" s="1712">
        <v>6808</v>
      </c>
      <c r="B105" s="5699"/>
      <c r="C105" s="1712">
        <v>52</v>
      </c>
      <c r="D105" s="1712">
        <v>7</v>
      </c>
      <c r="E105" s="1712"/>
      <c r="F105" s="1712">
        <v>4.95</v>
      </c>
      <c r="G105" s="1712">
        <v>4.2</v>
      </c>
      <c r="H105" s="1712">
        <v>12000</v>
      </c>
      <c r="I105" s="1712">
        <v>14000</v>
      </c>
      <c r="J105" s="1712">
        <v>3.3000000000000002E-2</v>
      </c>
    </row>
    <row r="106" spans="1:10">
      <c r="A106" s="1712">
        <v>6908</v>
      </c>
      <c r="B106" s="5699"/>
      <c r="C106" s="1712">
        <v>62</v>
      </c>
      <c r="D106" s="1712">
        <v>12</v>
      </c>
      <c r="E106" s="1712"/>
      <c r="F106" s="1712">
        <v>13.7</v>
      </c>
      <c r="G106" s="1712">
        <v>9.9499999999999993</v>
      </c>
      <c r="H106" s="1712">
        <v>11000</v>
      </c>
      <c r="I106" s="1712">
        <v>13000</v>
      </c>
      <c r="J106" s="1712">
        <v>0.112</v>
      </c>
    </row>
    <row r="107" spans="1:10">
      <c r="A107" s="1712">
        <v>16008</v>
      </c>
      <c r="B107" s="5699"/>
      <c r="C107" s="1712">
        <v>68</v>
      </c>
      <c r="D107" s="1712">
        <v>9</v>
      </c>
      <c r="E107" s="1712"/>
      <c r="F107" s="1712">
        <v>12.6</v>
      </c>
      <c r="G107" s="1712">
        <v>9.65</v>
      </c>
      <c r="H107" s="1712">
        <v>9800</v>
      </c>
      <c r="I107" s="1712">
        <v>12000</v>
      </c>
      <c r="J107" s="1712">
        <v>0.125</v>
      </c>
    </row>
    <row r="108" spans="1:10">
      <c r="A108" s="1712">
        <v>6008</v>
      </c>
      <c r="B108" s="5699"/>
      <c r="C108" s="1712">
        <v>68</v>
      </c>
      <c r="D108" s="1712">
        <v>15</v>
      </c>
      <c r="E108" s="1712"/>
      <c r="F108" s="1712">
        <v>16.7</v>
      </c>
      <c r="G108" s="1712">
        <v>11.5</v>
      </c>
      <c r="H108" s="1712">
        <v>10000</v>
      </c>
      <c r="I108" s="1712">
        <v>12000</v>
      </c>
      <c r="J108" s="1712">
        <v>0.192</v>
      </c>
    </row>
    <row r="109" spans="1:10">
      <c r="A109" s="1712">
        <v>6208</v>
      </c>
      <c r="B109" s="5699"/>
      <c r="C109" s="1712">
        <v>80</v>
      </c>
      <c r="D109" s="1712">
        <v>18</v>
      </c>
      <c r="E109" s="1712"/>
      <c r="F109" s="1712">
        <v>29.1</v>
      </c>
      <c r="G109" s="1712">
        <v>17.8</v>
      </c>
      <c r="H109" s="1712">
        <v>8300</v>
      </c>
      <c r="I109" s="1712">
        <v>10000</v>
      </c>
      <c r="J109" s="1712">
        <v>0.36599999999999999</v>
      </c>
    </row>
    <row r="110" spans="1:10">
      <c r="A110" s="1712">
        <v>6308</v>
      </c>
      <c r="B110" s="5699"/>
      <c r="C110" s="1712">
        <v>90</v>
      </c>
      <c r="D110" s="1712">
        <v>23</v>
      </c>
      <c r="E110" s="1712"/>
      <c r="F110" s="1712">
        <v>40.700000000000003</v>
      </c>
      <c r="G110" s="1712">
        <v>24</v>
      </c>
      <c r="H110" s="1712">
        <v>7700</v>
      </c>
      <c r="I110" s="1712">
        <v>9200</v>
      </c>
      <c r="J110" s="1712">
        <v>0.63300000000000001</v>
      </c>
    </row>
    <row r="111" spans="1:10">
      <c r="A111" s="1712">
        <v>6408</v>
      </c>
      <c r="B111" s="5700"/>
      <c r="C111" s="1712">
        <v>110</v>
      </c>
      <c r="D111" s="1712">
        <v>27</v>
      </c>
      <c r="E111" s="1712"/>
      <c r="F111" s="1712">
        <v>63.7</v>
      </c>
      <c r="G111" s="1712">
        <v>36.6</v>
      </c>
      <c r="H111" s="1712">
        <v>6600</v>
      </c>
      <c r="I111" s="1712">
        <v>7900</v>
      </c>
      <c r="J111" s="1712">
        <v>1.23</v>
      </c>
    </row>
    <row r="112" spans="1:10">
      <c r="A112" s="1712">
        <v>6709</v>
      </c>
      <c r="B112" s="5698">
        <v>45</v>
      </c>
      <c r="C112" s="1712">
        <v>55</v>
      </c>
      <c r="D112" s="1712">
        <v>6</v>
      </c>
      <c r="E112" s="1712"/>
      <c r="F112" s="1712">
        <v>2.58</v>
      </c>
      <c r="G112" s="1712">
        <v>2.3969999999999998</v>
      </c>
      <c r="H112" s="1712">
        <v>3900</v>
      </c>
      <c r="I112" s="1712">
        <v>4600</v>
      </c>
      <c r="J112" s="1712">
        <v>2.5000000000000001E-2</v>
      </c>
    </row>
    <row r="113" spans="1:10">
      <c r="A113" s="1712">
        <v>6809</v>
      </c>
      <c r="B113" s="5699"/>
      <c r="C113" s="1712">
        <v>58</v>
      </c>
      <c r="D113" s="1712">
        <v>7</v>
      </c>
      <c r="E113" s="1712"/>
      <c r="F113" s="1712">
        <v>6.2</v>
      </c>
      <c r="G113" s="1712">
        <v>5.4</v>
      </c>
      <c r="H113" s="1712">
        <v>11000</v>
      </c>
      <c r="I113" s="1712">
        <v>13000</v>
      </c>
      <c r="J113" s="1712">
        <v>0.04</v>
      </c>
    </row>
    <row r="114" spans="1:10">
      <c r="A114" s="1712">
        <v>6909</v>
      </c>
      <c r="B114" s="5699"/>
      <c r="C114" s="1712">
        <v>68</v>
      </c>
      <c r="D114" s="1712">
        <v>12</v>
      </c>
      <c r="E114" s="1712"/>
      <c r="F114" s="1712">
        <v>14.1</v>
      </c>
      <c r="G114" s="1712">
        <v>10.9</v>
      </c>
      <c r="H114" s="1712">
        <v>9700</v>
      </c>
      <c r="I114" s="1712">
        <v>11000</v>
      </c>
      <c r="J114" s="1712">
        <v>0.13200000000000001</v>
      </c>
    </row>
    <row r="115" spans="1:10">
      <c r="A115" s="1712">
        <v>16009</v>
      </c>
      <c r="B115" s="5699"/>
      <c r="C115" s="1712">
        <v>75</v>
      </c>
      <c r="D115" s="1712">
        <v>10</v>
      </c>
      <c r="E115" s="1712"/>
      <c r="F115" s="1712">
        <v>15.5</v>
      </c>
      <c r="G115" s="1712">
        <v>12.3</v>
      </c>
      <c r="H115" s="1712">
        <v>8900</v>
      </c>
      <c r="I115" s="1712">
        <v>10000</v>
      </c>
      <c r="J115" s="1712">
        <v>0.17</v>
      </c>
    </row>
    <row r="116" spans="1:10">
      <c r="A116" s="1712">
        <v>6009</v>
      </c>
      <c r="B116" s="5699"/>
      <c r="C116" s="1712">
        <v>75</v>
      </c>
      <c r="D116" s="1712">
        <v>16</v>
      </c>
      <c r="E116" s="1712"/>
      <c r="F116" s="1712">
        <v>21</v>
      </c>
      <c r="G116" s="1712">
        <v>15.1</v>
      </c>
      <c r="H116" s="1712">
        <v>9200</v>
      </c>
      <c r="I116" s="1712">
        <v>11000</v>
      </c>
      <c r="J116" s="1712">
        <v>0.245</v>
      </c>
    </row>
    <row r="117" spans="1:10">
      <c r="A117" s="1712">
        <v>6209</v>
      </c>
      <c r="B117" s="5699"/>
      <c r="C117" s="1712">
        <v>85</v>
      </c>
      <c r="D117" s="1712">
        <v>19</v>
      </c>
      <c r="E117" s="1712"/>
      <c r="F117" s="1712">
        <v>32.700000000000003</v>
      </c>
      <c r="G117" s="1712">
        <v>20.3</v>
      </c>
      <c r="H117" s="1712">
        <v>7700</v>
      </c>
      <c r="I117" s="1712">
        <v>9200</v>
      </c>
      <c r="J117" s="1712">
        <v>0.40699999999999997</v>
      </c>
    </row>
    <row r="118" spans="1:10">
      <c r="A118" s="1712">
        <v>6309</v>
      </c>
      <c r="B118" s="5699"/>
      <c r="C118" s="1712">
        <v>100</v>
      </c>
      <c r="D118" s="1712">
        <v>25</v>
      </c>
      <c r="E118" s="1712"/>
      <c r="F118" s="1712">
        <v>48.9</v>
      </c>
      <c r="G118" s="1712">
        <v>29.5</v>
      </c>
      <c r="H118" s="1712">
        <v>6800</v>
      </c>
      <c r="I118" s="1712">
        <v>8100</v>
      </c>
      <c r="J118" s="1712">
        <v>0.83299999999999996</v>
      </c>
    </row>
    <row r="119" spans="1:10">
      <c r="A119" s="1712">
        <v>6409</v>
      </c>
      <c r="B119" s="5700"/>
      <c r="C119" s="1712">
        <v>120</v>
      </c>
      <c r="D119" s="1712">
        <v>29</v>
      </c>
      <c r="E119" s="1712"/>
      <c r="F119" s="1712">
        <v>77.2</v>
      </c>
      <c r="G119" s="1712">
        <v>45.1</v>
      </c>
      <c r="H119" s="1712">
        <v>6000</v>
      </c>
      <c r="I119" s="1712">
        <v>7200</v>
      </c>
      <c r="J119" s="1712">
        <v>1.53</v>
      </c>
    </row>
    <row r="120" spans="1:10">
      <c r="A120" s="1712">
        <v>6710</v>
      </c>
      <c r="B120" s="5698">
        <v>50</v>
      </c>
      <c r="C120" s="1712">
        <v>62</v>
      </c>
      <c r="D120" s="1712">
        <v>6</v>
      </c>
      <c r="E120" s="1712"/>
      <c r="F120" s="1712">
        <v>2.67</v>
      </c>
      <c r="G120" s="1712">
        <v>2.64</v>
      </c>
      <c r="H120" s="1712">
        <v>3500</v>
      </c>
      <c r="I120" s="1712">
        <v>4100</v>
      </c>
      <c r="J120" s="1712">
        <v>6.4000000000000001E-2</v>
      </c>
    </row>
    <row r="121" spans="1:10">
      <c r="A121" s="1712">
        <v>6810</v>
      </c>
      <c r="B121" s="5699"/>
      <c r="C121" s="1712">
        <v>65</v>
      </c>
      <c r="D121" s="1712">
        <v>7</v>
      </c>
      <c r="E121" s="1712"/>
      <c r="F121" s="1712">
        <v>6.6</v>
      </c>
      <c r="G121" s="1712">
        <v>6.1</v>
      </c>
      <c r="H121" s="1712">
        <v>9600</v>
      </c>
      <c r="I121" s="1712">
        <v>11000</v>
      </c>
      <c r="J121" s="1712">
        <v>5.1999999999999998E-2</v>
      </c>
    </row>
    <row r="122" spans="1:10">
      <c r="A122" s="1712">
        <v>6910</v>
      </c>
      <c r="B122" s="5699"/>
      <c r="C122" s="1712">
        <v>72</v>
      </c>
      <c r="D122" s="1712">
        <v>12</v>
      </c>
      <c r="E122" s="1712"/>
      <c r="F122" s="1712">
        <v>14.5</v>
      </c>
      <c r="G122" s="1712">
        <v>11.7</v>
      </c>
      <c r="H122" s="1712">
        <v>9000</v>
      </c>
      <c r="I122" s="1712">
        <v>11000</v>
      </c>
      <c r="J122" s="1712">
        <v>0.13300000000000001</v>
      </c>
    </row>
    <row r="123" spans="1:10">
      <c r="A123" s="1712">
        <v>16010</v>
      </c>
      <c r="B123" s="5699"/>
      <c r="C123" s="1712">
        <v>80</v>
      </c>
      <c r="D123" s="1712">
        <v>10</v>
      </c>
      <c r="E123" s="1712"/>
      <c r="F123" s="1712">
        <v>16</v>
      </c>
      <c r="G123" s="1712">
        <v>13.3</v>
      </c>
      <c r="H123" s="1712">
        <v>8200</v>
      </c>
      <c r="I123" s="1712">
        <v>9700</v>
      </c>
      <c r="J123" s="1712">
        <v>0.18</v>
      </c>
    </row>
    <row r="124" spans="1:10">
      <c r="A124" s="1712">
        <v>6010</v>
      </c>
      <c r="B124" s="5699"/>
      <c r="C124" s="1712">
        <v>80</v>
      </c>
      <c r="D124" s="1712">
        <v>16</v>
      </c>
      <c r="E124" s="1712"/>
      <c r="F124" s="1712">
        <v>21.8</v>
      </c>
      <c r="G124" s="1712">
        <v>16.600000000000001</v>
      </c>
      <c r="H124" s="1712">
        <v>8400</v>
      </c>
      <c r="I124" s="1712">
        <v>9900</v>
      </c>
      <c r="J124" s="1712">
        <v>0.26100000000000001</v>
      </c>
    </row>
    <row r="125" spans="1:10">
      <c r="A125" s="1712">
        <v>6210</v>
      </c>
      <c r="B125" s="5699"/>
      <c r="C125" s="1712">
        <v>90</v>
      </c>
      <c r="D125" s="1712">
        <v>20</v>
      </c>
      <c r="E125" s="1712"/>
      <c r="F125" s="1712">
        <v>35.1</v>
      </c>
      <c r="G125" s="1712">
        <v>23.3</v>
      </c>
      <c r="H125" s="1712">
        <v>7100</v>
      </c>
      <c r="I125" s="1712">
        <v>8500</v>
      </c>
      <c r="J125" s="1712">
        <v>0.46300000000000002</v>
      </c>
    </row>
    <row r="126" spans="1:10">
      <c r="A126" s="1712">
        <v>6301</v>
      </c>
      <c r="B126" s="5699"/>
      <c r="C126" s="1712">
        <v>110</v>
      </c>
      <c r="D126" s="1712">
        <v>27</v>
      </c>
      <c r="E126" s="1712"/>
      <c r="F126" s="1712">
        <v>62</v>
      </c>
      <c r="G126" s="1712">
        <v>38.299999999999997</v>
      </c>
      <c r="H126" s="1712">
        <v>6100</v>
      </c>
      <c r="I126" s="1712">
        <v>7300</v>
      </c>
      <c r="J126" s="1712">
        <v>1.07</v>
      </c>
    </row>
    <row r="127" spans="1:10">
      <c r="A127" s="1712">
        <v>6410</v>
      </c>
      <c r="B127" s="5700"/>
      <c r="C127" s="1712">
        <v>130</v>
      </c>
      <c r="D127" s="1712">
        <v>31</v>
      </c>
      <c r="E127" s="1712"/>
      <c r="F127" s="1712">
        <v>83</v>
      </c>
      <c r="G127" s="1712">
        <v>49.5</v>
      </c>
      <c r="H127" s="1712">
        <v>5500</v>
      </c>
      <c r="I127" s="1712">
        <v>6600</v>
      </c>
      <c r="J127" s="1712">
        <v>1.88</v>
      </c>
    </row>
    <row r="128" spans="1:10">
      <c r="A128" s="1712">
        <v>6811</v>
      </c>
      <c r="B128" s="5693">
        <v>55</v>
      </c>
      <c r="C128" s="1712">
        <v>72</v>
      </c>
      <c r="D128" s="1712">
        <v>9</v>
      </c>
      <c r="E128" s="1712"/>
      <c r="F128" s="1712">
        <v>8.8000000000000007</v>
      </c>
      <c r="G128" s="1712">
        <v>8.1</v>
      </c>
      <c r="H128" s="1712">
        <v>8700</v>
      </c>
      <c r="I128" s="1712">
        <v>10000</v>
      </c>
      <c r="J128" s="1712">
        <v>8.3000000000000004E-2</v>
      </c>
    </row>
    <row r="129" spans="1:10">
      <c r="A129" s="1712">
        <v>6911</v>
      </c>
      <c r="B129" s="5693"/>
      <c r="C129" s="1712">
        <v>80</v>
      </c>
      <c r="D129" s="1712">
        <v>13</v>
      </c>
      <c r="E129" s="1712"/>
      <c r="F129" s="1712">
        <v>16.600000000000001</v>
      </c>
      <c r="G129" s="1712">
        <v>14.1</v>
      </c>
      <c r="H129" s="1712">
        <v>8100</v>
      </c>
      <c r="I129" s="1712">
        <v>9600</v>
      </c>
      <c r="J129" s="1712">
        <v>0.185</v>
      </c>
    </row>
    <row r="130" spans="1:10">
      <c r="A130" s="1712">
        <v>16011</v>
      </c>
      <c r="B130" s="5693"/>
      <c r="C130" s="1712">
        <v>90</v>
      </c>
      <c r="D130" s="1712">
        <v>11</v>
      </c>
      <c r="E130" s="1712"/>
      <c r="F130" s="1712">
        <v>19.3</v>
      </c>
      <c r="G130" s="1712">
        <v>16.3</v>
      </c>
      <c r="H130" s="1712">
        <v>7400</v>
      </c>
      <c r="I130" s="1712">
        <v>8800</v>
      </c>
      <c r="J130" s="1712">
        <v>0.26</v>
      </c>
    </row>
    <row r="131" spans="1:10">
      <c r="A131" s="1712">
        <v>6011</v>
      </c>
      <c r="B131" s="5693"/>
      <c r="C131" s="1712">
        <v>90</v>
      </c>
      <c r="D131" s="1712">
        <v>18</v>
      </c>
      <c r="E131" s="1712"/>
      <c r="F131" s="1712">
        <v>28.3</v>
      </c>
      <c r="G131" s="1712">
        <v>21.2</v>
      </c>
      <c r="H131" s="1712">
        <v>7600</v>
      </c>
      <c r="I131" s="1712">
        <v>8900</v>
      </c>
      <c r="J131" s="1712">
        <v>0.38500000000000001</v>
      </c>
    </row>
    <row r="132" spans="1:10">
      <c r="A132" s="1712">
        <v>6211</v>
      </c>
      <c r="B132" s="5693"/>
      <c r="C132" s="1712">
        <v>100</v>
      </c>
      <c r="D132" s="1712">
        <v>21</v>
      </c>
      <c r="E132" s="1712"/>
      <c r="F132" s="1712">
        <v>43.4</v>
      </c>
      <c r="G132" s="1712">
        <v>29.4</v>
      </c>
      <c r="H132" s="1712">
        <v>6300</v>
      </c>
      <c r="I132" s="1712">
        <v>7600</v>
      </c>
      <c r="J132" s="1712">
        <v>0.60699999999999998</v>
      </c>
    </row>
    <row r="133" spans="1:10">
      <c r="A133" s="1712">
        <v>6311</v>
      </c>
      <c r="B133" s="5693"/>
      <c r="C133" s="1712">
        <v>120</v>
      </c>
      <c r="D133" s="1712">
        <v>29</v>
      </c>
      <c r="E133" s="1712"/>
      <c r="F133" s="1712">
        <v>71.599999999999994</v>
      </c>
      <c r="G133" s="1712">
        <v>45</v>
      </c>
      <c r="H133" s="1712">
        <v>5600</v>
      </c>
      <c r="I133" s="1712">
        <v>6700</v>
      </c>
      <c r="J133" s="1712">
        <v>1.37</v>
      </c>
    </row>
    <row r="134" spans="1:10">
      <c r="A134" s="1712">
        <v>6411</v>
      </c>
      <c r="B134" s="5693"/>
      <c r="C134" s="1712">
        <v>140</v>
      </c>
      <c r="D134" s="1712">
        <v>33</v>
      </c>
      <c r="E134" s="1712"/>
      <c r="F134" s="1712">
        <v>100</v>
      </c>
      <c r="G134" s="1712">
        <v>62.3</v>
      </c>
      <c r="H134" s="1712">
        <v>5000</v>
      </c>
      <c r="I134" s="1712">
        <v>6000</v>
      </c>
      <c r="J134" s="1712">
        <v>2.29</v>
      </c>
    </row>
  </sheetData>
  <mergeCells count="32">
    <mergeCell ref="A1:J1"/>
    <mergeCell ref="D2:E2"/>
    <mergeCell ref="H2:I2"/>
    <mergeCell ref="H4:I4"/>
    <mergeCell ref="A2:A4"/>
    <mergeCell ref="B2:B4"/>
    <mergeCell ref="G3:G4"/>
    <mergeCell ref="B36:B41"/>
    <mergeCell ref="B42:B47"/>
    <mergeCell ref="B48:B54"/>
    <mergeCell ref="B55:B62"/>
    <mergeCell ref="B5:B9"/>
    <mergeCell ref="B10:B14"/>
    <mergeCell ref="B15:B19"/>
    <mergeCell ref="B20:B24"/>
    <mergeCell ref="B25:B29"/>
    <mergeCell ref="B128:B134"/>
    <mergeCell ref="C2:C4"/>
    <mergeCell ref="D3:D4"/>
    <mergeCell ref="E3:E4"/>
    <mergeCell ref="F3:F4"/>
    <mergeCell ref="B93:B95"/>
    <mergeCell ref="B96:B103"/>
    <mergeCell ref="B104:B111"/>
    <mergeCell ref="B112:B119"/>
    <mergeCell ref="B120:B127"/>
    <mergeCell ref="B63:B70"/>
    <mergeCell ref="B71:B73"/>
    <mergeCell ref="B74:B81"/>
    <mergeCell ref="B82:B84"/>
    <mergeCell ref="B85:B92"/>
    <mergeCell ref="B30:B35"/>
  </mergeCells>
  <phoneticPr fontId="214" type="noConversion"/>
  <pageMargins left="0.75" right="0.75" top="0" bottom="0" header="0" footer="0"/>
  <pageSetup paperSize="9" scale="90" fitToHeight="0" orientation="portrait" r:id="rId1"/>
  <headerFooter scaleWithDoc="0" alignWithMargins="0"/>
  <rowBreaks count="2" manualBreakCount="2">
    <brk id="62" max="9" man="1"/>
    <brk id="134" max="16383" man="1"/>
  </rowBreaks>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19">
    <pageSetUpPr fitToPage="1"/>
  </sheetPr>
  <dimension ref="A1:AC45"/>
  <sheetViews>
    <sheetView zoomScale="70" zoomScaleNormal="70" workbookViewId="0">
      <selection activeCell="O15" sqref="O15:P15"/>
    </sheetView>
  </sheetViews>
  <sheetFormatPr defaultColWidth="9" defaultRowHeight="14.25"/>
  <cols>
    <col min="15" max="15" width="10.875" customWidth="1"/>
    <col min="16" max="16" width="7.25" customWidth="1"/>
    <col min="17" max="17" width="4.25" customWidth="1"/>
    <col min="18" max="18" width="6.125" customWidth="1"/>
    <col min="19" max="19" width="6.5" customWidth="1"/>
    <col min="20" max="20" width="7.625" customWidth="1"/>
    <col min="21" max="21" width="7" customWidth="1"/>
    <col min="22" max="22" width="8" customWidth="1"/>
    <col min="23" max="23" width="5.375" customWidth="1"/>
    <col min="24" max="24" width="5.125" customWidth="1"/>
    <col min="25" max="25" width="5" customWidth="1"/>
    <col min="26" max="26" width="4.625" customWidth="1"/>
    <col min="27" max="27" width="6.375" customWidth="1"/>
    <col min="28" max="28" width="6.125" customWidth="1"/>
  </cols>
  <sheetData>
    <row r="1" spans="1:29">
      <c r="AB1" s="684"/>
      <c r="AC1" s="684"/>
    </row>
    <row r="2" spans="1:29">
      <c r="AB2" s="684"/>
      <c r="AC2" s="684"/>
    </row>
    <row r="3" spans="1:29">
      <c r="AB3" s="684"/>
      <c r="AC3" s="684"/>
    </row>
    <row r="4" spans="1:29" ht="18" customHeight="1">
      <c r="AB4" s="684"/>
      <c r="AC4" s="684"/>
    </row>
    <row r="5" spans="1:29" ht="18" customHeight="1">
      <c r="AB5" s="684"/>
      <c r="AC5" s="684"/>
    </row>
    <row r="6" spans="1:29" ht="18" customHeight="1">
      <c r="AB6" s="684"/>
      <c r="AC6" s="684"/>
    </row>
    <row r="7" spans="1:29" ht="18" customHeight="1">
      <c r="AB7" s="684"/>
      <c r="AC7" s="684"/>
    </row>
    <row r="8" spans="1:29" ht="18" customHeight="1"/>
    <row r="9" spans="1:29" ht="18" customHeight="1"/>
    <row r="10" spans="1:29" ht="18" customHeight="1"/>
    <row r="11" spans="1:29" ht="18" customHeight="1"/>
    <row r="12" spans="1:29" ht="18" customHeight="1"/>
    <row r="13" spans="1:29" ht="18" customHeight="1">
      <c r="A13" s="5710" t="s">
        <v>12354</v>
      </c>
      <c r="B13" s="5710"/>
      <c r="C13" s="5710"/>
      <c r="D13" s="5710"/>
      <c r="E13" s="5710"/>
      <c r="F13" s="5710"/>
      <c r="G13" s="5710"/>
      <c r="H13" s="5710"/>
      <c r="I13" s="5710"/>
      <c r="J13" s="5710"/>
      <c r="K13" s="5710"/>
      <c r="L13" s="5710"/>
      <c r="M13" s="5710"/>
      <c r="N13" s="5710"/>
    </row>
    <row r="14" spans="1:29" ht="18" customHeight="1">
      <c r="A14" s="5711"/>
      <c r="B14" s="5711"/>
      <c r="C14" s="5710"/>
      <c r="D14" s="5710"/>
      <c r="E14" s="5710"/>
      <c r="F14" s="5710"/>
      <c r="G14" s="5710"/>
      <c r="H14" s="5710"/>
      <c r="I14" s="5710"/>
      <c r="J14" s="5710"/>
      <c r="K14" s="5710"/>
      <c r="L14" s="5710"/>
      <c r="M14" s="5710"/>
      <c r="N14" s="5710"/>
    </row>
    <row r="15" spans="1:29" ht="18" customHeight="1">
      <c r="A15" s="1693" t="s">
        <v>12355</v>
      </c>
      <c r="B15" s="1694" t="s">
        <v>12356</v>
      </c>
      <c r="C15" s="5727" t="s">
        <v>12357</v>
      </c>
      <c r="D15" s="5727"/>
      <c r="E15" s="5727"/>
      <c r="F15" s="5727"/>
      <c r="G15" s="5727"/>
      <c r="H15" s="5727"/>
      <c r="I15" s="5727"/>
      <c r="J15" s="5727"/>
      <c r="K15" s="5727"/>
      <c r="L15" s="5727"/>
      <c r="M15" s="5727"/>
      <c r="N15" s="5727"/>
    </row>
    <row r="16" spans="1:29" ht="18" customHeight="1">
      <c r="A16" s="5720" t="s">
        <v>12358</v>
      </c>
      <c r="B16" s="5723" t="s">
        <v>12359</v>
      </c>
      <c r="C16" s="5728" t="s">
        <v>12360</v>
      </c>
      <c r="D16" s="5729"/>
      <c r="E16" s="5729"/>
      <c r="F16" s="5729"/>
      <c r="G16" s="5729"/>
      <c r="H16" s="5730"/>
      <c r="I16" s="5728" t="s">
        <v>12361</v>
      </c>
      <c r="J16" s="5729"/>
      <c r="K16" s="5729"/>
      <c r="L16" s="5729"/>
      <c r="M16" s="5712" t="s">
        <v>12362</v>
      </c>
      <c r="N16" s="5712"/>
    </row>
    <row r="17" spans="1:14" ht="18" customHeight="1">
      <c r="A17" s="5721"/>
      <c r="B17" s="5724"/>
      <c r="C17" s="5726" t="s">
        <v>2534</v>
      </c>
      <c r="D17" s="5731" t="s">
        <v>12363</v>
      </c>
      <c r="E17" s="5732"/>
      <c r="F17" s="5732"/>
      <c r="G17" s="5732"/>
      <c r="H17" s="5733"/>
      <c r="I17" s="5714" t="s">
        <v>12364</v>
      </c>
      <c r="J17" s="5715"/>
      <c r="K17" s="5714" t="s">
        <v>12365</v>
      </c>
      <c r="L17" s="5718"/>
      <c r="M17" s="5713"/>
      <c r="N17" s="5713"/>
    </row>
    <row r="18" spans="1:14" ht="18" customHeight="1">
      <c r="A18" s="5721"/>
      <c r="B18" s="5724"/>
      <c r="C18" s="5724"/>
      <c r="D18" s="5731" t="s">
        <v>12366</v>
      </c>
      <c r="E18" s="5733"/>
      <c r="F18" s="5731" t="s">
        <v>12367</v>
      </c>
      <c r="G18" s="5733"/>
      <c r="H18" s="1693" t="s">
        <v>12368</v>
      </c>
      <c r="I18" s="5716"/>
      <c r="J18" s="5717"/>
      <c r="K18" s="5716"/>
      <c r="L18" s="5719"/>
      <c r="M18" s="5713"/>
      <c r="N18" s="5713"/>
    </row>
    <row r="19" spans="1:14" ht="18" customHeight="1">
      <c r="A19" s="5722"/>
      <c r="B19" s="5725"/>
      <c r="C19" s="5725"/>
      <c r="D19" s="1693" t="s">
        <v>12369</v>
      </c>
      <c r="E19" s="1693" t="s">
        <v>12370</v>
      </c>
      <c r="F19" s="1693" t="s">
        <v>12371</v>
      </c>
      <c r="G19" s="1693" t="s">
        <v>12372</v>
      </c>
      <c r="H19" s="1693" t="s">
        <v>12373</v>
      </c>
      <c r="I19" s="1693" t="s">
        <v>12374</v>
      </c>
      <c r="J19" s="1693" t="s">
        <v>12375</v>
      </c>
      <c r="K19" s="1693" t="s">
        <v>12374</v>
      </c>
      <c r="L19" s="1693" t="s">
        <v>12375</v>
      </c>
      <c r="M19" s="1705" t="s">
        <v>12376</v>
      </c>
      <c r="N19" s="1705" t="s">
        <v>12377</v>
      </c>
    </row>
    <row r="20" spans="1:14" ht="18" customHeight="1">
      <c r="A20" s="1695" t="s">
        <v>12378</v>
      </c>
      <c r="B20" s="1695" t="s">
        <v>12379</v>
      </c>
      <c r="C20" s="1696">
        <v>2</v>
      </c>
      <c r="D20" s="1697">
        <v>2.5000000000000001E-2</v>
      </c>
      <c r="E20" s="1697">
        <v>0.06</v>
      </c>
      <c r="F20" s="1697">
        <v>-4.0000000000000001E-3</v>
      </c>
      <c r="G20" s="5707" t="s">
        <v>12380</v>
      </c>
      <c r="H20" s="1697">
        <v>-6.0000000000000001E-3</v>
      </c>
      <c r="I20" s="1706">
        <v>1.2</v>
      </c>
      <c r="J20" s="1697">
        <v>0.1</v>
      </c>
      <c r="K20" s="1706">
        <v>1</v>
      </c>
      <c r="L20" s="1697">
        <v>0.1</v>
      </c>
      <c r="M20" s="5707">
        <v>0.08</v>
      </c>
      <c r="N20" s="5707">
        <v>0.16</v>
      </c>
    </row>
    <row r="21" spans="1:14" ht="18" customHeight="1">
      <c r="A21" s="1698" t="s">
        <v>12381</v>
      </c>
      <c r="B21" s="1695" t="s">
        <v>12382</v>
      </c>
      <c r="C21" s="1696">
        <v>3</v>
      </c>
      <c r="D21" s="1699">
        <v>0</v>
      </c>
      <c r="E21" s="1699">
        <v>0.02</v>
      </c>
      <c r="F21" s="1699">
        <v>-2.9000000000000001E-2</v>
      </c>
      <c r="G21" s="5709"/>
      <c r="H21" s="1699">
        <v>-3.1E-2</v>
      </c>
      <c r="I21" s="1706">
        <v>1.8</v>
      </c>
      <c r="J21" s="1700">
        <v>0</v>
      </c>
      <c r="K21" s="1706">
        <v>1.4</v>
      </c>
      <c r="L21" s="1700">
        <v>0</v>
      </c>
      <c r="M21" s="5708"/>
      <c r="N21" s="5708"/>
    </row>
    <row r="22" spans="1:14" ht="18" customHeight="1">
      <c r="A22" s="1698" t="s">
        <v>12383</v>
      </c>
      <c r="B22" s="1695" t="s">
        <v>12384</v>
      </c>
      <c r="C22" s="1696">
        <v>4</v>
      </c>
      <c r="D22" s="1697">
        <v>0.03</v>
      </c>
      <c r="E22" s="1697">
        <v>7.8E-2</v>
      </c>
      <c r="F22" s="1697">
        <v>0</v>
      </c>
      <c r="G22" s="5707" t="s">
        <v>12385</v>
      </c>
      <c r="H22" s="1697">
        <v>-1.2E-2</v>
      </c>
      <c r="I22" s="1706">
        <v>2.5</v>
      </c>
      <c r="J22" s="1702"/>
      <c r="K22" s="1706">
        <v>1.8</v>
      </c>
      <c r="L22" s="1702"/>
      <c r="M22" s="5709"/>
      <c r="N22" s="5709"/>
    </row>
    <row r="23" spans="1:14" ht="18" customHeight="1">
      <c r="A23" s="1698" t="s">
        <v>12386</v>
      </c>
      <c r="B23" s="1695" t="s">
        <v>12387</v>
      </c>
      <c r="C23" s="1696">
        <v>5</v>
      </c>
      <c r="D23" s="1700">
        <v>0</v>
      </c>
      <c r="E23" s="1700">
        <v>0.03</v>
      </c>
      <c r="F23" s="1700">
        <v>-0.03</v>
      </c>
      <c r="G23" s="5708"/>
      <c r="H23" s="1700">
        <v>-4.2000000000000003E-2</v>
      </c>
      <c r="I23" s="1706">
        <v>3</v>
      </c>
      <c r="J23" s="1702"/>
      <c r="K23" s="1706">
        <v>2.2999999999999998</v>
      </c>
      <c r="L23" s="1702"/>
      <c r="M23" s="5707">
        <v>0.16</v>
      </c>
      <c r="N23" s="5707">
        <v>0.25</v>
      </c>
    </row>
    <row r="24" spans="1:14" ht="18" customHeight="1">
      <c r="A24" s="1698" t="s">
        <v>12388</v>
      </c>
      <c r="B24" s="1695" t="s">
        <v>12389</v>
      </c>
      <c r="C24" s="1696">
        <v>6</v>
      </c>
      <c r="D24" s="1701"/>
      <c r="E24" s="1701"/>
      <c r="F24" s="1701"/>
      <c r="G24" s="5709"/>
      <c r="H24" s="1701"/>
      <c r="I24" s="1706">
        <v>3.5</v>
      </c>
      <c r="J24" s="1701"/>
      <c r="K24" s="1706">
        <v>2.8</v>
      </c>
      <c r="L24" s="1701"/>
      <c r="M24" s="5708"/>
      <c r="N24" s="5708"/>
    </row>
    <row r="25" spans="1:14" ht="18" customHeight="1">
      <c r="A25" s="1698" t="s">
        <v>12390</v>
      </c>
      <c r="B25" s="1695" t="s">
        <v>12391</v>
      </c>
      <c r="C25" s="1696">
        <v>8</v>
      </c>
      <c r="D25" s="1697">
        <v>3.5999999999999997E-2</v>
      </c>
      <c r="E25" s="1697">
        <v>9.8000000000000004E-2</v>
      </c>
      <c r="F25" s="1697">
        <v>0</v>
      </c>
      <c r="G25" s="5707" t="s">
        <v>12392</v>
      </c>
      <c r="H25" s="1697">
        <v>-1.4999999999999999E-2</v>
      </c>
      <c r="I25" s="1706">
        <v>4</v>
      </c>
      <c r="J25" s="1697">
        <v>0.2</v>
      </c>
      <c r="K25" s="1706">
        <v>3.3</v>
      </c>
      <c r="L25" s="1697">
        <v>0.2</v>
      </c>
      <c r="M25" s="5709"/>
      <c r="N25" s="5709"/>
    </row>
    <row r="26" spans="1:14" ht="18" customHeight="1">
      <c r="A26" s="1698" t="s">
        <v>12393</v>
      </c>
      <c r="B26" s="1695" t="s">
        <v>12394</v>
      </c>
      <c r="C26" s="1696">
        <v>10</v>
      </c>
      <c r="D26" s="1699">
        <v>0</v>
      </c>
      <c r="E26" s="1699">
        <v>0.04</v>
      </c>
      <c r="F26" s="1699">
        <v>-3.5999999999999997E-2</v>
      </c>
      <c r="G26" s="5709"/>
      <c r="H26" s="1699">
        <v>-5.0999999999999997E-2</v>
      </c>
      <c r="I26" s="1706">
        <v>5</v>
      </c>
      <c r="J26" s="1700">
        <v>0</v>
      </c>
      <c r="K26" s="1706">
        <v>3.3</v>
      </c>
      <c r="L26" s="1700">
        <v>0</v>
      </c>
      <c r="M26" s="5707">
        <v>0.25</v>
      </c>
      <c r="N26" s="5707">
        <v>0.4</v>
      </c>
    </row>
    <row r="27" spans="1:14" ht="18" customHeight="1">
      <c r="A27" s="1698" t="s">
        <v>12395</v>
      </c>
      <c r="B27" s="1695" t="s">
        <v>12396</v>
      </c>
      <c r="C27" s="1696">
        <v>12</v>
      </c>
      <c r="D27" s="1697">
        <v>4.2999999999999997E-2</v>
      </c>
      <c r="E27" s="1697">
        <v>0.12</v>
      </c>
      <c r="F27" s="1697">
        <v>0</v>
      </c>
      <c r="G27" s="5707" t="s">
        <v>12397</v>
      </c>
      <c r="H27" s="1697">
        <v>-1.7999999999999999E-2</v>
      </c>
      <c r="I27" s="1706">
        <v>5</v>
      </c>
      <c r="J27" s="1702"/>
      <c r="K27" s="1706">
        <v>3.3</v>
      </c>
      <c r="L27" s="1702"/>
      <c r="M27" s="5708"/>
      <c r="N27" s="5708"/>
    </row>
    <row r="28" spans="1:14" ht="18" customHeight="1">
      <c r="A28" s="1698" t="s">
        <v>12398</v>
      </c>
      <c r="B28" s="1695" t="s">
        <v>12399</v>
      </c>
      <c r="C28" s="1696">
        <v>14</v>
      </c>
      <c r="D28" s="1700">
        <v>0</v>
      </c>
      <c r="E28" s="1700">
        <v>0.05</v>
      </c>
      <c r="F28" s="1700">
        <v>-4.2999999999999997E-2</v>
      </c>
      <c r="G28" s="5708"/>
      <c r="H28" s="1700">
        <v>-6.0999999999999999E-2</v>
      </c>
      <c r="I28" s="1706">
        <v>5.5</v>
      </c>
      <c r="J28" s="1702"/>
      <c r="K28" s="1706">
        <v>3.8</v>
      </c>
      <c r="L28" s="1702"/>
      <c r="M28" s="5708"/>
      <c r="N28" s="5708"/>
    </row>
    <row r="29" spans="1:14" ht="18" customHeight="1">
      <c r="A29" s="1698" t="s">
        <v>12400</v>
      </c>
      <c r="B29" s="1695" t="s">
        <v>12401</v>
      </c>
      <c r="C29" s="1696">
        <v>16</v>
      </c>
      <c r="D29" s="1702"/>
      <c r="E29" s="1702"/>
      <c r="F29" s="1702"/>
      <c r="G29" s="5708"/>
      <c r="H29" s="1702"/>
      <c r="I29" s="1706">
        <v>6</v>
      </c>
      <c r="J29" s="1702"/>
      <c r="K29" s="1706">
        <v>4.3</v>
      </c>
      <c r="L29" s="1702"/>
      <c r="M29" s="5708"/>
      <c r="N29" s="5708"/>
    </row>
    <row r="30" spans="1:14" ht="18" customHeight="1">
      <c r="A30" s="1698" t="s">
        <v>12402</v>
      </c>
      <c r="B30" s="1695" t="s">
        <v>12403</v>
      </c>
      <c r="C30" s="1696">
        <v>18</v>
      </c>
      <c r="D30" s="1701"/>
      <c r="E30" s="1701"/>
      <c r="F30" s="1701"/>
      <c r="G30" s="5709"/>
      <c r="H30" s="1701"/>
      <c r="I30" s="1706">
        <v>7</v>
      </c>
      <c r="J30" s="1702"/>
      <c r="K30" s="1706">
        <v>4.4000000000000004</v>
      </c>
      <c r="L30" s="1702"/>
      <c r="M30" s="5709"/>
      <c r="N30" s="5709"/>
    </row>
    <row r="31" spans="1:14" ht="18" customHeight="1">
      <c r="A31" s="1698" t="s">
        <v>12404</v>
      </c>
      <c r="B31" s="1695" t="s">
        <v>12405</v>
      </c>
      <c r="C31" s="1696">
        <v>20</v>
      </c>
      <c r="D31" s="1697">
        <v>5.1999999999999998E-2</v>
      </c>
      <c r="E31" s="1697">
        <v>0.14899999999999999</v>
      </c>
      <c r="F31" s="1697">
        <v>0</v>
      </c>
      <c r="G31" s="5707" t="s">
        <v>12406</v>
      </c>
      <c r="H31" s="1697">
        <v>-2.1999999999999999E-2</v>
      </c>
      <c r="I31" s="1706">
        <v>7.5</v>
      </c>
      <c r="J31" s="1702"/>
      <c r="K31" s="1706">
        <v>4.9000000000000004</v>
      </c>
      <c r="L31" s="1702"/>
      <c r="M31" s="5707">
        <v>0.4</v>
      </c>
      <c r="N31" s="5707">
        <v>0.6</v>
      </c>
    </row>
    <row r="32" spans="1:14" ht="18" customHeight="1">
      <c r="A32" s="1698" t="s">
        <v>12407</v>
      </c>
      <c r="B32" s="1695" t="s">
        <v>12408</v>
      </c>
      <c r="C32" s="1696">
        <v>22</v>
      </c>
      <c r="D32" s="1700">
        <v>0</v>
      </c>
      <c r="E32" s="1700">
        <v>6.5000000000000002E-2</v>
      </c>
      <c r="F32" s="1700">
        <v>-5.1999999999999998E-2</v>
      </c>
      <c r="G32" s="5708"/>
      <c r="H32" s="1700">
        <v>-7.3999999999999996E-2</v>
      </c>
      <c r="I32" s="1706">
        <v>9</v>
      </c>
      <c r="J32" s="1702"/>
      <c r="K32" s="1706">
        <v>5.4</v>
      </c>
      <c r="L32" s="1702"/>
      <c r="M32" s="5708"/>
      <c r="N32" s="5708"/>
    </row>
    <row r="33" spans="1:14" ht="18" customHeight="1">
      <c r="A33" s="1698" t="s">
        <v>12409</v>
      </c>
      <c r="B33" s="1695" t="s">
        <v>12410</v>
      </c>
      <c r="C33" s="1696">
        <v>25</v>
      </c>
      <c r="D33" s="1702"/>
      <c r="E33" s="1702"/>
      <c r="F33" s="1702"/>
      <c r="G33" s="5708"/>
      <c r="H33" s="1702"/>
      <c r="I33" s="1706">
        <v>9</v>
      </c>
      <c r="J33" s="1702"/>
      <c r="K33" s="1706">
        <v>5.4</v>
      </c>
      <c r="L33" s="1702"/>
      <c r="M33" s="5708"/>
      <c r="N33" s="5708"/>
    </row>
    <row r="34" spans="1:14" ht="18" customHeight="1">
      <c r="A34" s="1698" t="s">
        <v>12411</v>
      </c>
      <c r="B34" s="1695" t="s">
        <v>12412</v>
      </c>
      <c r="C34" s="1696">
        <v>28</v>
      </c>
      <c r="D34" s="1701"/>
      <c r="E34" s="1701"/>
      <c r="F34" s="1701"/>
      <c r="G34" s="5709"/>
      <c r="H34" s="1701"/>
      <c r="I34" s="1706">
        <v>10</v>
      </c>
      <c r="J34" s="1702"/>
      <c r="K34" s="1706">
        <v>6.4</v>
      </c>
      <c r="L34" s="1702"/>
      <c r="M34" s="5708"/>
      <c r="N34" s="5708"/>
    </row>
    <row r="35" spans="1:14" ht="29.25">
      <c r="A35" s="1698" t="s">
        <v>12413</v>
      </c>
      <c r="B35" s="1695" t="s">
        <v>12414</v>
      </c>
      <c r="C35" s="1696">
        <v>32</v>
      </c>
      <c r="D35" s="1697">
        <v>6.2E-2</v>
      </c>
      <c r="E35" s="1697">
        <v>0.18</v>
      </c>
      <c r="F35" s="1697">
        <v>0</v>
      </c>
      <c r="G35" s="5707" t="s">
        <v>12415</v>
      </c>
      <c r="H35" s="1697">
        <v>-2.5999999999999999E-2</v>
      </c>
      <c r="I35" s="1706">
        <v>11</v>
      </c>
      <c r="J35" s="1701"/>
      <c r="K35" s="1706">
        <v>7.4</v>
      </c>
      <c r="L35" s="1701"/>
      <c r="M35" s="5709"/>
      <c r="N35" s="5709"/>
    </row>
    <row r="36" spans="1:14" ht="29.25">
      <c r="A36" s="1698" t="s">
        <v>12416</v>
      </c>
      <c r="B36" s="1695" t="s">
        <v>12417</v>
      </c>
      <c r="C36" s="1696">
        <v>36</v>
      </c>
      <c r="D36" s="1700">
        <v>0</v>
      </c>
      <c r="E36" s="1700">
        <v>0.08</v>
      </c>
      <c r="F36" s="1700">
        <v>-6.2E-2</v>
      </c>
      <c r="G36" s="5708"/>
      <c r="H36" s="1700">
        <v>-8.7999999999999995E-2</v>
      </c>
      <c r="I36" s="1706">
        <v>12</v>
      </c>
      <c r="J36" s="1697">
        <v>0.3</v>
      </c>
      <c r="K36" s="1706">
        <v>8.4</v>
      </c>
      <c r="L36" s="1697">
        <v>0.3</v>
      </c>
      <c r="M36" s="5707">
        <v>0.7</v>
      </c>
      <c r="N36" s="5707">
        <v>1</v>
      </c>
    </row>
    <row r="37" spans="1:14" ht="29.25">
      <c r="A37" s="1698" t="s">
        <v>12418</v>
      </c>
      <c r="B37" s="1695" t="s">
        <v>12419</v>
      </c>
      <c r="C37" s="1696">
        <v>40</v>
      </c>
      <c r="D37" s="1702"/>
      <c r="E37" s="1702"/>
      <c r="F37" s="1702"/>
      <c r="G37" s="5708"/>
      <c r="H37" s="1702"/>
      <c r="I37" s="1706">
        <v>13</v>
      </c>
      <c r="J37" s="1700">
        <v>0</v>
      </c>
      <c r="K37" s="1706">
        <v>9.4</v>
      </c>
      <c r="L37" s="1700">
        <v>0</v>
      </c>
      <c r="M37" s="5708"/>
      <c r="N37" s="5708"/>
    </row>
    <row r="38" spans="1:14" ht="29.25">
      <c r="A38" s="1698" t="s">
        <v>12420</v>
      </c>
      <c r="B38" s="1695" t="s">
        <v>12421</v>
      </c>
      <c r="C38" s="1696">
        <v>45</v>
      </c>
      <c r="D38" s="1702"/>
      <c r="E38" s="1702"/>
      <c r="F38" s="1702"/>
      <c r="G38" s="5708"/>
      <c r="H38" s="1702"/>
      <c r="I38" s="1706">
        <v>15</v>
      </c>
      <c r="J38" s="1702"/>
      <c r="K38" s="1706">
        <v>10.4</v>
      </c>
      <c r="L38" s="1702"/>
      <c r="M38" s="5708"/>
      <c r="N38" s="5708"/>
    </row>
    <row r="39" spans="1:14" ht="29.25">
      <c r="A39" s="1698" t="s">
        <v>12422</v>
      </c>
      <c r="B39" s="1695" t="s">
        <v>12423</v>
      </c>
      <c r="C39" s="1696">
        <v>50</v>
      </c>
      <c r="D39" s="1701"/>
      <c r="E39" s="1701"/>
      <c r="F39" s="1701"/>
      <c r="G39" s="5709"/>
      <c r="H39" s="1701"/>
      <c r="I39" s="1706">
        <v>17</v>
      </c>
      <c r="J39" s="1702"/>
      <c r="K39" s="1706">
        <v>11.4</v>
      </c>
      <c r="L39" s="1702"/>
      <c r="M39" s="5709"/>
      <c r="N39" s="5709"/>
    </row>
    <row r="40" spans="1:14" ht="29.25">
      <c r="A40" s="1698" t="s">
        <v>12424</v>
      </c>
      <c r="B40" s="1695" t="s">
        <v>12425</v>
      </c>
      <c r="C40" s="1696">
        <v>56</v>
      </c>
      <c r="D40" s="1697">
        <v>7.3999999999999996E-2</v>
      </c>
      <c r="E40" s="1697">
        <v>0.22</v>
      </c>
      <c r="F40" s="1697">
        <v>0</v>
      </c>
      <c r="G40" s="5707" t="s">
        <v>12426</v>
      </c>
      <c r="H40" s="1697">
        <v>3.2000000000000001E-2</v>
      </c>
      <c r="I40" s="1706">
        <v>20</v>
      </c>
      <c r="J40" s="1702"/>
      <c r="K40" s="1706">
        <v>12.4</v>
      </c>
      <c r="L40" s="1702"/>
      <c r="M40" s="5707">
        <v>1.2</v>
      </c>
      <c r="N40" s="5707">
        <v>1.6</v>
      </c>
    </row>
    <row r="41" spans="1:14" ht="29.25">
      <c r="A41" s="1698" t="s">
        <v>12427</v>
      </c>
      <c r="B41" s="1695" t="s">
        <v>12428</v>
      </c>
      <c r="C41" s="1696">
        <v>63</v>
      </c>
      <c r="D41" s="1700">
        <v>0</v>
      </c>
      <c r="E41" s="1700">
        <v>0.1</v>
      </c>
      <c r="F41" s="1700">
        <v>-7.3999999999999996E-2</v>
      </c>
      <c r="G41" s="5708"/>
      <c r="H41" s="1700">
        <v>-0.106</v>
      </c>
      <c r="I41" s="1706">
        <v>20</v>
      </c>
      <c r="J41" s="1702"/>
      <c r="K41" s="1706">
        <v>12.4</v>
      </c>
      <c r="L41" s="1702"/>
      <c r="M41" s="5708"/>
      <c r="N41" s="5708"/>
    </row>
    <row r="42" spans="1:14" ht="29.25">
      <c r="A42" s="1698" t="s">
        <v>12429</v>
      </c>
      <c r="B42" s="1695" t="s">
        <v>12430</v>
      </c>
      <c r="C42" s="1696">
        <v>70</v>
      </c>
      <c r="D42" s="1702"/>
      <c r="E42" s="1702"/>
      <c r="F42" s="1702"/>
      <c r="G42" s="5708"/>
      <c r="H42" s="1702"/>
      <c r="I42" s="1706">
        <v>22</v>
      </c>
      <c r="J42" s="1702"/>
      <c r="K42" s="1706">
        <v>14.4</v>
      </c>
      <c r="L42" s="1702"/>
      <c r="M42" s="5709"/>
      <c r="N42" s="5709"/>
    </row>
    <row r="43" spans="1:14" ht="29.25">
      <c r="A43" s="1698" t="s">
        <v>12431</v>
      </c>
      <c r="B43" s="1695" t="s">
        <v>12432</v>
      </c>
      <c r="C43" s="1696">
        <v>80</v>
      </c>
      <c r="D43" s="1701"/>
      <c r="E43" s="1701"/>
      <c r="F43" s="1701"/>
      <c r="G43" s="5709"/>
      <c r="H43" s="1701"/>
      <c r="I43" s="1706">
        <v>25</v>
      </c>
      <c r="J43" s="1702"/>
      <c r="K43" s="1706">
        <v>15.4</v>
      </c>
      <c r="L43" s="1702"/>
      <c r="M43" s="5707">
        <v>2</v>
      </c>
      <c r="N43" s="5707">
        <v>2.5</v>
      </c>
    </row>
    <row r="44" spans="1:14" ht="29.25">
      <c r="A44" s="1698" t="s">
        <v>12433</v>
      </c>
      <c r="B44" s="1695" t="s">
        <v>12434</v>
      </c>
      <c r="C44" s="1696">
        <v>90</v>
      </c>
      <c r="D44" s="1697">
        <v>8.6999999999999994E-2</v>
      </c>
      <c r="E44" s="1697">
        <v>0.26</v>
      </c>
      <c r="F44" s="1697">
        <v>0</v>
      </c>
      <c r="G44" s="5707" t="s">
        <v>12435</v>
      </c>
      <c r="H44" s="1697">
        <v>-3.6999999999999998E-2</v>
      </c>
      <c r="I44" s="1706">
        <v>28</v>
      </c>
      <c r="J44" s="1702"/>
      <c r="K44" s="1706">
        <v>17.399999999999999</v>
      </c>
      <c r="L44" s="1702"/>
      <c r="M44" s="5708"/>
      <c r="N44" s="5708"/>
    </row>
    <row r="45" spans="1:14" ht="29.25">
      <c r="A45" s="1698" t="s">
        <v>12436</v>
      </c>
      <c r="B45" s="1703" t="s">
        <v>12437</v>
      </c>
      <c r="C45" s="1704">
        <v>100</v>
      </c>
      <c r="D45" s="1699">
        <v>0</v>
      </c>
      <c r="E45" s="1699">
        <v>0.12</v>
      </c>
      <c r="F45" s="1699">
        <v>-8.6999999999999994E-2</v>
      </c>
      <c r="G45" s="5709"/>
      <c r="H45" s="1699">
        <v>-0.124</v>
      </c>
      <c r="I45" s="1706">
        <v>31</v>
      </c>
      <c r="J45" s="1701"/>
      <c r="K45" s="1706">
        <v>19.5</v>
      </c>
      <c r="L45" s="1701"/>
      <c r="M45" s="5709"/>
      <c r="N45" s="5709"/>
    </row>
  </sheetData>
  <mergeCells count="35">
    <mergeCell ref="C15:N15"/>
    <mergeCell ref="C16:H16"/>
    <mergeCell ref="I16:L16"/>
    <mergeCell ref="D17:H17"/>
    <mergeCell ref="D18:E18"/>
    <mergeCell ref="F18:G18"/>
    <mergeCell ref="A16:A19"/>
    <mergeCell ref="B16:B19"/>
    <mergeCell ref="C17:C19"/>
    <mergeCell ref="G20:G21"/>
    <mergeCell ref="G22:G24"/>
    <mergeCell ref="M36:M39"/>
    <mergeCell ref="M40:M42"/>
    <mergeCell ref="M43:M45"/>
    <mergeCell ref="G25:G26"/>
    <mergeCell ref="G27:G30"/>
    <mergeCell ref="G31:G34"/>
    <mergeCell ref="G35:G39"/>
    <mergeCell ref="G40:G43"/>
    <mergeCell ref="N40:N42"/>
    <mergeCell ref="N43:N45"/>
    <mergeCell ref="A13:N14"/>
    <mergeCell ref="M16:N18"/>
    <mergeCell ref="I17:J18"/>
    <mergeCell ref="K17:L18"/>
    <mergeCell ref="N20:N22"/>
    <mergeCell ref="N23:N25"/>
    <mergeCell ref="N26:N30"/>
    <mergeCell ref="N31:N35"/>
    <mergeCell ref="N36:N39"/>
    <mergeCell ref="G44:G45"/>
    <mergeCell ref="M20:M22"/>
    <mergeCell ref="M23:M25"/>
    <mergeCell ref="M26:M30"/>
    <mergeCell ref="M31:M35"/>
  </mergeCells>
  <phoneticPr fontId="214" type="noConversion"/>
  <pageMargins left="0.66944444444444495" right="0.42916666666666697" top="0.66944444444444495" bottom="0.62916666666666698" header="0.50902777777777797" footer="0.50902777777777797"/>
  <pageSetup paperSize="9" scale="68" orientation="portrait"/>
  <headerFooter scaleWithDoc="0" alignWithMargins="0"/>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20"/>
  <dimension ref="A1:Q21"/>
  <sheetViews>
    <sheetView workbookViewId="0">
      <pane ySplit="4" topLeftCell="A5" activePane="bottomLeft" state="frozen"/>
      <selection pane="bottomLeft" sqref="A1:Q1"/>
    </sheetView>
  </sheetViews>
  <sheetFormatPr defaultColWidth="8.75" defaultRowHeight="14.25"/>
  <cols>
    <col min="1" max="1" width="5.125" style="858" customWidth="1"/>
    <col min="2" max="2" width="5.5" style="858" customWidth="1"/>
    <col min="3" max="3" width="8" style="858"/>
    <col min="4" max="4" width="6.5" style="858" customWidth="1"/>
    <col min="5" max="5" width="8" style="858"/>
    <col min="6" max="6" width="6.375" style="858" customWidth="1"/>
    <col min="7" max="7" width="8" style="858" customWidth="1"/>
    <col min="8" max="8" width="6.5" style="858" customWidth="1"/>
    <col min="9" max="9" width="8" style="858" customWidth="1"/>
    <col min="10" max="11" width="5.375" style="858" customWidth="1"/>
    <col min="12" max="12" width="5" style="858"/>
    <col min="13" max="13" width="6.125" style="858" customWidth="1"/>
    <col min="14" max="14" width="8" style="858"/>
    <col min="15" max="15" width="6.125" style="858" customWidth="1"/>
    <col min="16" max="16" width="8" style="858"/>
    <col min="17" max="17" width="6" style="858"/>
    <col min="18" max="32" width="9" style="858"/>
    <col min="33" max="16384" width="8.75" style="858"/>
  </cols>
  <sheetData>
    <row r="1" spans="1:17" ht="25.5">
      <c r="A1" s="5746" t="s">
        <v>12438</v>
      </c>
      <c r="B1" s="5746"/>
      <c r="C1" s="5746"/>
      <c r="D1" s="5746"/>
      <c r="E1" s="5746"/>
      <c r="F1" s="5746"/>
      <c r="G1" s="5746"/>
      <c r="H1" s="5746"/>
      <c r="I1" s="5746"/>
      <c r="J1" s="5746"/>
      <c r="K1" s="5746"/>
      <c r="L1" s="5746"/>
      <c r="M1" s="5746"/>
      <c r="N1" s="5746"/>
      <c r="O1" s="5746"/>
      <c r="P1" s="5746"/>
      <c r="Q1" s="5746"/>
    </row>
    <row r="2" spans="1:17">
      <c r="A2" s="5755" t="s">
        <v>12439</v>
      </c>
      <c r="B2" s="5747" t="s">
        <v>12440</v>
      </c>
      <c r="C2" s="5747"/>
      <c r="D2" s="5747"/>
      <c r="E2" s="5747"/>
      <c r="F2" s="5747"/>
      <c r="G2" s="5747"/>
      <c r="H2" s="5747"/>
      <c r="I2" s="5747"/>
      <c r="J2" s="5747"/>
      <c r="K2" s="5748" t="s">
        <v>12441</v>
      </c>
      <c r="L2" s="5749"/>
      <c r="M2" s="5749"/>
      <c r="N2" s="5749"/>
      <c r="O2" s="5749"/>
      <c r="P2" s="5749"/>
      <c r="Q2" s="5750"/>
    </row>
    <row r="3" spans="1:17" ht="18.75" customHeight="1">
      <c r="A3" s="5755"/>
      <c r="B3" s="5751" t="s">
        <v>411</v>
      </c>
      <c r="C3" s="5751"/>
      <c r="D3" s="5752" t="s">
        <v>2524</v>
      </c>
      <c r="E3" s="5753"/>
      <c r="F3" s="5752" t="s">
        <v>487</v>
      </c>
      <c r="G3" s="5753"/>
      <c r="H3" s="5752" t="s">
        <v>428</v>
      </c>
      <c r="I3" s="5753"/>
      <c r="J3" s="1688" t="s">
        <v>2534</v>
      </c>
      <c r="K3" s="5754" t="s">
        <v>12442</v>
      </c>
      <c r="L3" s="5754"/>
      <c r="M3" s="5752" t="s">
        <v>1976</v>
      </c>
      <c r="N3" s="5753"/>
      <c r="O3" s="5751" t="s">
        <v>408</v>
      </c>
      <c r="P3" s="5751"/>
      <c r="Q3" s="1680" t="s">
        <v>2487</v>
      </c>
    </row>
    <row r="4" spans="1:17" ht="28.5">
      <c r="A4" s="1681"/>
      <c r="B4" s="1682" t="s">
        <v>12443</v>
      </c>
      <c r="C4" s="1682" t="s">
        <v>12444</v>
      </c>
      <c r="D4" s="1682" t="s">
        <v>12443</v>
      </c>
      <c r="E4" s="1682" t="s">
        <v>12444</v>
      </c>
      <c r="F4" s="1682" t="s">
        <v>12443</v>
      </c>
      <c r="G4" s="1682" t="s">
        <v>12444</v>
      </c>
      <c r="H4" s="1682" t="s">
        <v>12443</v>
      </c>
      <c r="I4" s="1682" t="s">
        <v>12444</v>
      </c>
      <c r="J4" s="1689" t="s">
        <v>12445</v>
      </c>
      <c r="K4" s="1682" t="s">
        <v>5517</v>
      </c>
      <c r="L4" s="1690" t="s">
        <v>12446</v>
      </c>
      <c r="M4" s="1682" t="s">
        <v>12443</v>
      </c>
      <c r="N4" s="1682" t="s">
        <v>12444</v>
      </c>
      <c r="O4" s="1682" t="s">
        <v>12443</v>
      </c>
      <c r="P4" s="1682" t="s">
        <v>12444</v>
      </c>
      <c r="Q4" s="1682" t="s">
        <v>11886</v>
      </c>
    </row>
    <row r="5" spans="1:17" ht="28.5">
      <c r="A5" s="1683">
        <v>0.8</v>
      </c>
      <c r="B5" s="860">
        <v>0.8</v>
      </c>
      <c r="C5" s="1684" t="s">
        <v>12447</v>
      </c>
      <c r="D5" s="860">
        <v>2</v>
      </c>
      <c r="E5" s="5745" t="s">
        <v>12448</v>
      </c>
      <c r="F5" s="860">
        <v>0.7</v>
      </c>
      <c r="G5" s="5735" t="s">
        <v>12449</v>
      </c>
      <c r="H5" s="860">
        <v>0.2</v>
      </c>
      <c r="I5" s="860" t="s">
        <v>12450</v>
      </c>
      <c r="J5" s="860">
        <v>0.3</v>
      </c>
      <c r="K5" s="1691">
        <v>1</v>
      </c>
      <c r="L5" s="1691">
        <v>1.4</v>
      </c>
      <c r="M5" s="1692">
        <v>0.8</v>
      </c>
      <c r="N5" s="1684" t="s">
        <v>12451</v>
      </c>
      <c r="O5" s="1692">
        <v>0.3</v>
      </c>
      <c r="P5" s="5734" t="s">
        <v>12452</v>
      </c>
      <c r="Q5" s="860">
        <v>0.4</v>
      </c>
    </row>
    <row r="6" spans="1:17" ht="18.75" customHeight="1">
      <c r="A6" s="1683">
        <v>1.2</v>
      </c>
      <c r="B6" s="860">
        <v>1.2</v>
      </c>
      <c r="C6" s="5735" t="s">
        <v>12453</v>
      </c>
      <c r="D6" s="860">
        <v>3</v>
      </c>
      <c r="E6" s="5745"/>
      <c r="F6" s="860">
        <v>1</v>
      </c>
      <c r="G6" s="5736"/>
      <c r="H6" s="860">
        <v>0.3</v>
      </c>
      <c r="I6" s="860" t="s">
        <v>12454</v>
      </c>
      <c r="J6" s="860">
        <v>0.4</v>
      </c>
      <c r="K6" s="1691">
        <v>1.4</v>
      </c>
      <c r="L6" s="1691">
        <v>2</v>
      </c>
      <c r="M6" s="1692">
        <v>1.2</v>
      </c>
      <c r="N6" s="5735" t="s">
        <v>12455</v>
      </c>
      <c r="O6" s="1692">
        <v>0.4</v>
      </c>
      <c r="P6" s="5734"/>
      <c r="Q6" s="860">
        <v>0.6</v>
      </c>
    </row>
    <row r="7" spans="1:17">
      <c r="A7" s="1683">
        <v>1.5</v>
      </c>
      <c r="B7" s="860">
        <v>1.5</v>
      </c>
      <c r="C7" s="5736"/>
      <c r="D7" s="860">
        <v>4</v>
      </c>
      <c r="E7" s="5745" t="s">
        <v>12456</v>
      </c>
      <c r="F7" s="860">
        <v>1.3</v>
      </c>
      <c r="G7" s="5736"/>
      <c r="H7" s="860">
        <v>0.4</v>
      </c>
      <c r="I7" s="5738" t="s">
        <v>12457</v>
      </c>
      <c r="J7" s="860">
        <v>0.6</v>
      </c>
      <c r="K7" s="1691">
        <v>2</v>
      </c>
      <c r="L7" s="1691">
        <v>2.5</v>
      </c>
      <c r="M7" s="1692">
        <v>1.5</v>
      </c>
      <c r="N7" s="5736"/>
      <c r="O7" s="5741">
        <v>0.5</v>
      </c>
      <c r="P7" s="5734"/>
      <c r="Q7" s="860">
        <v>0.8</v>
      </c>
    </row>
    <row r="8" spans="1:17">
      <c r="A8" s="1683">
        <v>2</v>
      </c>
      <c r="B8" s="860">
        <v>2</v>
      </c>
      <c r="C8" s="5736"/>
      <c r="D8" s="860">
        <v>5</v>
      </c>
      <c r="E8" s="5745"/>
      <c r="F8" s="860">
        <v>1.7</v>
      </c>
      <c r="G8" s="5736"/>
      <c r="H8" s="860">
        <v>0.4</v>
      </c>
      <c r="I8" s="5739"/>
      <c r="J8" s="860">
        <v>0.7</v>
      </c>
      <c r="K8" s="1691">
        <v>2.5</v>
      </c>
      <c r="L8" s="1691">
        <v>3.2</v>
      </c>
      <c r="M8" s="1692">
        <v>2</v>
      </c>
      <c r="N8" s="5736"/>
      <c r="O8" s="5741"/>
      <c r="P8" s="5734"/>
      <c r="Q8" s="5738">
        <v>1</v>
      </c>
    </row>
    <row r="9" spans="1:17">
      <c r="A9" s="1683">
        <v>2.5</v>
      </c>
      <c r="B9" s="860">
        <v>2.5</v>
      </c>
      <c r="C9" s="5736"/>
      <c r="D9" s="860">
        <v>6</v>
      </c>
      <c r="E9" s="5745"/>
      <c r="F9" s="860">
        <v>2.1</v>
      </c>
      <c r="G9" s="5736"/>
      <c r="H9" s="860">
        <v>0.4</v>
      </c>
      <c r="I9" s="5740"/>
      <c r="J9" s="860">
        <v>0.8</v>
      </c>
      <c r="K9" s="1691">
        <v>3.2</v>
      </c>
      <c r="L9" s="1691">
        <v>4</v>
      </c>
      <c r="M9" s="1692">
        <v>2.5</v>
      </c>
      <c r="N9" s="5736"/>
      <c r="O9" s="5741"/>
      <c r="P9" s="5734"/>
      <c r="Q9" s="5739"/>
    </row>
    <row r="10" spans="1:17">
      <c r="A10" s="1683">
        <v>3</v>
      </c>
      <c r="B10" s="860">
        <v>3</v>
      </c>
      <c r="C10" s="5737"/>
      <c r="D10" s="860">
        <v>7</v>
      </c>
      <c r="E10" s="5745"/>
      <c r="F10" s="860">
        <v>2.6</v>
      </c>
      <c r="G10" s="5737"/>
      <c r="H10" s="860">
        <v>0.6</v>
      </c>
      <c r="I10" s="5738" t="s">
        <v>12458</v>
      </c>
      <c r="J10" s="860">
        <v>0.9</v>
      </c>
      <c r="K10" s="1691">
        <v>4</v>
      </c>
      <c r="L10" s="1691">
        <v>5</v>
      </c>
      <c r="M10" s="1692">
        <v>3</v>
      </c>
      <c r="N10" s="5737"/>
      <c r="O10" s="5742">
        <v>0.7</v>
      </c>
      <c r="P10" s="5734" t="s">
        <v>12459</v>
      </c>
      <c r="Q10" s="5740"/>
    </row>
    <row r="11" spans="1:17">
      <c r="A11" s="1683">
        <v>4</v>
      </c>
      <c r="B11" s="860">
        <v>4</v>
      </c>
      <c r="C11" s="5735" t="s">
        <v>12460</v>
      </c>
      <c r="D11" s="860">
        <v>9</v>
      </c>
      <c r="E11" s="5745"/>
      <c r="F11" s="860">
        <v>3.5</v>
      </c>
      <c r="G11" s="5735" t="s">
        <v>12461</v>
      </c>
      <c r="H11" s="860">
        <v>0.6</v>
      </c>
      <c r="I11" s="5739"/>
      <c r="J11" s="860">
        <v>1.1000000000000001</v>
      </c>
      <c r="K11" s="1691">
        <v>5</v>
      </c>
      <c r="L11" s="1691">
        <v>7</v>
      </c>
      <c r="M11" s="1692">
        <v>4</v>
      </c>
      <c r="N11" s="5735" t="s">
        <v>12462</v>
      </c>
      <c r="O11" s="5743"/>
      <c r="P11" s="5734"/>
      <c r="Q11" s="5738">
        <v>1.2</v>
      </c>
    </row>
    <row r="12" spans="1:17">
      <c r="A12" s="1683">
        <v>5</v>
      </c>
      <c r="B12" s="860">
        <v>5</v>
      </c>
      <c r="C12" s="5736"/>
      <c r="D12" s="860">
        <v>11</v>
      </c>
      <c r="E12" s="5745"/>
      <c r="F12" s="860">
        <v>4.3</v>
      </c>
      <c r="G12" s="5736"/>
      <c r="H12" s="860">
        <v>0.6</v>
      </c>
      <c r="I12" s="5739"/>
      <c r="J12" s="860">
        <v>1.2</v>
      </c>
      <c r="K12" s="1691">
        <v>6</v>
      </c>
      <c r="L12" s="1691">
        <v>8</v>
      </c>
      <c r="M12" s="1692">
        <v>5</v>
      </c>
      <c r="N12" s="5736"/>
      <c r="O12" s="5744"/>
      <c r="P12" s="5734"/>
      <c r="Q12" s="5739"/>
    </row>
    <row r="13" spans="1:17">
      <c r="A13" s="1683">
        <v>6</v>
      </c>
      <c r="B13" s="860">
        <v>6</v>
      </c>
      <c r="C13" s="5737"/>
      <c r="D13" s="860">
        <v>12</v>
      </c>
      <c r="E13" s="5745"/>
      <c r="F13" s="860">
        <v>5.2</v>
      </c>
      <c r="G13" s="5737"/>
      <c r="H13" s="860">
        <v>0.8</v>
      </c>
      <c r="I13" s="5739"/>
      <c r="J13" s="860">
        <v>1.4</v>
      </c>
      <c r="K13" s="1691">
        <v>7</v>
      </c>
      <c r="L13" s="1691">
        <v>9</v>
      </c>
      <c r="M13" s="1692">
        <v>6</v>
      </c>
      <c r="N13" s="5737"/>
      <c r="O13" s="5741">
        <v>0.9</v>
      </c>
      <c r="P13" s="5734"/>
      <c r="Q13" s="5740"/>
    </row>
    <row r="14" spans="1:17">
      <c r="A14" s="1683">
        <v>7</v>
      </c>
      <c r="B14" s="860">
        <v>7</v>
      </c>
      <c r="C14" s="5735" t="s">
        <v>12463</v>
      </c>
      <c r="D14" s="860">
        <v>14</v>
      </c>
      <c r="E14" s="5745"/>
      <c r="F14" s="860">
        <v>6.1</v>
      </c>
      <c r="G14" s="5734" t="s">
        <v>12464</v>
      </c>
      <c r="H14" s="860">
        <v>0.8</v>
      </c>
      <c r="I14" s="5739"/>
      <c r="J14" s="860">
        <v>1.6</v>
      </c>
      <c r="K14" s="1691">
        <v>8</v>
      </c>
      <c r="L14" s="1691">
        <v>11</v>
      </c>
      <c r="M14" s="1692">
        <v>7</v>
      </c>
      <c r="N14" s="5735" t="s">
        <v>12465</v>
      </c>
      <c r="O14" s="5741"/>
      <c r="P14" s="5734"/>
      <c r="Q14" s="860">
        <v>1.5</v>
      </c>
    </row>
    <row r="15" spans="1:17" ht="14.25" customHeight="1">
      <c r="A15" s="1683">
        <v>8</v>
      </c>
      <c r="B15" s="860">
        <v>8</v>
      </c>
      <c r="C15" s="5736"/>
      <c r="D15" s="860">
        <v>16</v>
      </c>
      <c r="E15" s="5745"/>
      <c r="F15" s="860">
        <v>6.9</v>
      </c>
      <c r="G15" s="5734"/>
      <c r="H15" s="860">
        <v>0.8</v>
      </c>
      <c r="I15" s="5739"/>
      <c r="J15" s="860">
        <v>1.8</v>
      </c>
      <c r="K15" s="1691">
        <v>9</v>
      </c>
      <c r="L15" s="1691">
        <v>12</v>
      </c>
      <c r="M15" s="1692">
        <v>8</v>
      </c>
      <c r="N15" s="5736"/>
      <c r="O15" s="5741"/>
      <c r="P15" s="5734"/>
      <c r="Q15" s="860">
        <v>1.8</v>
      </c>
    </row>
    <row r="16" spans="1:17">
      <c r="A16" s="1683">
        <v>9</v>
      </c>
      <c r="B16" s="860">
        <v>9</v>
      </c>
      <c r="C16" s="5736"/>
      <c r="D16" s="860">
        <v>18</v>
      </c>
      <c r="E16" s="5745"/>
      <c r="F16" s="860">
        <v>7.8</v>
      </c>
      <c r="G16" s="5734"/>
      <c r="H16" s="860">
        <v>0.8</v>
      </c>
      <c r="I16" s="5739"/>
      <c r="J16" s="860">
        <v>2</v>
      </c>
      <c r="K16" s="1691">
        <v>10</v>
      </c>
      <c r="L16" s="1691">
        <v>14</v>
      </c>
      <c r="M16" s="1692">
        <v>9</v>
      </c>
      <c r="N16" s="5736"/>
      <c r="O16" s="5741"/>
      <c r="P16" s="5734"/>
      <c r="Q16" s="5738">
        <v>2</v>
      </c>
    </row>
    <row r="17" spans="1:17">
      <c r="A17" s="1683">
        <v>10</v>
      </c>
      <c r="B17" s="860">
        <v>10</v>
      </c>
      <c r="C17" s="5737"/>
      <c r="D17" s="860">
        <v>20</v>
      </c>
      <c r="E17" s="5738" t="s">
        <v>12466</v>
      </c>
      <c r="F17" s="1685">
        <v>8.6999999999999993</v>
      </c>
      <c r="G17" s="5734"/>
      <c r="H17" s="860">
        <v>1</v>
      </c>
      <c r="I17" s="5739"/>
      <c r="J17" s="860">
        <v>2.2000000000000002</v>
      </c>
      <c r="K17" s="1691">
        <v>11</v>
      </c>
      <c r="L17" s="1691">
        <v>15</v>
      </c>
      <c r="M17" s="1692">
        <v>10</v>
      </c>
      <c r="N17" s="5737"/>
      <c r="O17" s="5741">
        <v>1.1499999999999999</v>
      </c>
      <c r="P17" s="5735" t="s">
        <v>12467</v>
      </c>
      <c r="Q17" s="5740"/>
    </row>
    <row r="18" spans="1:17">
      <c r="A18" s="1683">
        <v>12</v>
      </c>
      <c r="B18" s="860">
        <v>12</v>
      </c>
      <c r="C18" s="5735" t="s">
        <v>12468</v>
      </c>
      <c r="D18" s="860">
        <v>23</v>
      </c>
      <c r="E18" s="5739"/>
      <c r="F18" s="1686">
        <v>10.4</v>
      </c>
      <c r="G18" s="5734" t="s">
        <v>12469</v>
      </c>
      <c r="H18" s="860">
        <v>1</v>
      </c>
      <c r="I18" s="5740"/>
      <c r="J18" s="860">
        <v>2.4</v>
      </c>
      <c r="K18" s="1691">
        <v>13</v>
      </c>
      <c r="L18" s="1691">
        <v>18</v>
      </c>
      <c r="M18" s="1692">
        <v>12</v>
      </c>
      <c r="N18" s="5735" t="s">
        <v>12470</v>
      </c>
      <c r="O18" s="5741"/>
      <c r="P18" s="5736"/>
      <c r="Q18" s="860">
        <v>2.5</v>
      </c>
    </row>
    <row r="19" spans="1:17">
      <c r="A19" s="1683">
        <v>15</v>
      </c>
      <c r="B19" s="860">
        <v>15</v>
      </c>
      <c r="C19" s="5737"/>
      <c r="D19" s="860">
        <v>29</v>
      </c>
      <c r="E19" s="5739"/>
      <c r="F19" s="1686">
        <v>13</v>
      </c>
      <c r="G19" s="5734"/>
      <c r="H19" s="860">
        <v>1.6</v>
      </c>
      <c r="I19" s="5738" t="s">
        <v>12471</v>
      </c>
      <c r="J19" s="860">
        <v>2.8</v>
      </c>
      <c r="K19" s="1691">
        <v>16</v>
      </c>
      <c r="L19" s="1691">
        <v>24</v>
      </c>
      <c r="M19" s="1692">
        <v>15</v>
      </c>
      <c r="N19" s="5737"/>
      <c r="O19" s="5741">
        <v>1.75</v>
      </c>
      <c r="P19" s="5736"/>
      <c r="Q19" s="860">
        <v>3</v>
      </c>
    </row>
    <row r="20" spans="1:17">
      <c r="A20" s="1683">
        <v>19</v>
      </c>
      <c r="B20" s="860">
        <v>19</v>
      </c>
      <c r="C20" s="5735" t="s">
        <v>12472</v>
      </c>
      <c r="D20" s="860">
        <v>37</v>
      </c>
      <c r="E20" s="5739"/>
      <c r="F20" s="1686">
        <v>16.5</v>
      </c>
      <c r="G20" s="5734"/>
      <c r="H20" s="860">
        <v>1.6</v>
      </c>
      <c r="I20" s="5740"/>
      <c r="J20" s="860">
        <v>4</v>
      </c>
      <c r="K20" s="1691">
        <v>20</v>
      </c>
      <c r="L20" s="1691">
        <v>31</v>
      </c>
      <c r="M20" s="1692">
        <v>19</v>
      </c>
      <c r="N20" s="5735" t="s">
        <v>12473</v>
      </c>
      <c r="O20" s="5741"/>
      <c r="P20" s="5736"/>
      <c r="Q20" s="860">
        <v>3.5</v>
      </c>
    </row>
    <row r="21" spans="1:17" ht="28.5">
      <c r="A21" s="1683">
        <v>24</v>
      </c>
      <c r="B21" s="860">
        <v>24</v>
      </c>
      <c r="C21" s="5737"/>
      <c r="D21" s="860">
        <v>44</v>
      </c>
      <c r="E21" s="5740"/>
      <c r="F21" s="1687">
        <v>20.8</v>
      </c>
      <c r="G21" s="1684" t="s">
        <v>12474</v>
      </c>
      <c r="H21" s="860">
        <v>2</v>
      </c>
      <c r="I21" s="860" t="s">
        <v>12475</v>
      </c>
      <c r="J21" s="860">
        <v>5</v>
      </c>
      <c r="K21" s="1691">
        <v>25</v>
      </c>
      <c r="L21" s="1691">
        <v>38</v>
      </c>
      <c r="M21" s="1692">
        <v>24</v>
      </c>
      <c r="N21" s="5737"/>
      <c r="O21" s="1692">
        <v>2.2000000000000002</v>
      </c>
      <c r="P21" s="5737"/>
      <c r="Q21" s="860">
        <v>4</v>
      </c>
    </row>
  </sheetData>
  <mergeCells count="42">
    <mergeCell ref="A1:Q1"/>
    <mergeCell ref="B2:J2"/>
    <mergeCell ref="K2:Q2"/>
    <mergeCell ref="B3:C3"/>
    <mergeCell ref="D3:E3"/>
    <mergeCell ref="F3:G3"/>
    <mergeCell ref="H3:I3"/>
    <mergeCell ref="K3:L3"/>
    <mergeCell ref="M3:N3"/>
    <mergeCell ref="O3:P3"/>
    <mergeCell ref="A2:A3"/>
    <mergeCell ref="C6:C10"/>
    <mergeCell ref="C11:C13"/>
    <mergeCell ref="C14:C17"/>
    <mergeCell ref="C18:C19"/>
    <mergeCell ref="C20:C21"/>
    <mergeCell ref="E5:E6"/>
    <mergeCell ref="E7:E16"/>
    <mergeCell ref="E17:E21"/>
    <mergeCell ref="G5:G10"/>
    <mergeCell ref="G11:G13"/>
    <mergeCell ref="G14:G17"/>
    <mergeCell ref="G18:G20"/>
    <mergeCell ref="I7:I9"/>
    <mergeCell ref="I10:I18"/>
    <mergeCell ref="I19:I20"/>
    <mergeCell ref="N6:N10"/>
    <mergeCell ref="N11:N13"/>
    <mergeCell ref="N14:N17"/>
    <mergeCell ref="N18:N19"/>
    <mergeCell ref="N20:N21"/>
    <mergeCell ref="O7:O9"/>
    <mergeCell ref="O10:O12"/>
    <mergeCell ref="O13:O16"/>
    <mergeCell ref="O17:O18"/>
    <mergeCell ref="O19:O20"/>
    <mergeCell ref="P5:P9"/>
    <mergeCell ref="P10:P16"/>
    <mergeCell ref="P17:P21"/>
    <mergeCell ref="Q8:Q10"/>
    <mergeCell ref="Q11:Q13"/>
    <mergeCell ref="Q16:Q17"/>
  </mergeCells>
  <phoneticPr fontId="214" type="noConversion"/>
  <printOptions horizontalCentered="1"/>
  <pageMargins left="0.34930555555555598" right="0.34930555555555598" top="0.78888888888888897" bottom="0.78888888888888897" header="0.50902777777777797" footer="0.50902777777777797"/>
  <pageSetup paperSize="9" orientation="landscape"/>
  <headerFooter scaleWithDoc="0" alignWithMargins="0"/>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21"/>
  <dimension ref="A1:Q58"/>
  <sheetViews>
    <sheetView workbookViewId="0">
      <pane ySplit="4" topLeftCell="A5" activePane="bottomLeft" state="frozen"/>
      <selection pane="bottomLeft" sqref="A1:Q1"/>
    </sheetView>
  </sheetViews>
  <sheetFormatPr defaultColWidth="8.75" defaultRowHeight="14.25"/>
  <cols>
    <col min="1" max="3" width="5" style="858"/>
    <col min="4" max="4" width="10" style="858"/>
    <col min="5" max="5" width="8" style="858"/>
    <col min="6" max="6" width="10" style="858"/>
    <col min="7" max="7" width="8" style="858"/>
    <col min="8" max="10" width="6" style="858"/>
    <col min="11" max="12" width="5" style="858"/>
    <col min="13" max="13" width="10" style="858"/>
    <col min="14" max="14" width="8" style="858"/>
    <col min="15" max="15" width="10" style="858"/>
    <col min="16" max="16" width="8" style="858"/>
    <col min="17" max="17" width="6" style="858"/>
    <col min="18" max="32" width="9" style="858"/>
    <col min="33" max="16384" width="8.75" style="858"/>
  </cols>
  <sheetData>
    <row r="1" spans="1:17" ht="25.5">
      <c r="A1" s="5769" t="s">
        <v>12476</v>
      </c>
      <c r="B1" s="5769"/>
      <c r="C1" s="5769"/>
      <c r="D1" s="5769"/>
      <c r="E1" s="5769"/>
      <c r="F1" s="5769"/>
      <c r="G1" s="5769"/>
      <c r="H1" s="5769"/>
      <c r="I1" s="5769"/>
      <c r="J1" s="5769"/>
      <c r="K1" s="5769"/>
      <c r="L1" s="5769"/>
      <c r="M1" s="5769"/>
      <c r="N1" s="5769"/>
      <c r="O1" s="5769"/>
      <c r="P1" s="5769"/>
      <c r="Q1" s="5769"/>
    </row>
    <row r="2" spans="1:17">
      <c r="A2" s="5770" t="s">
        <v>12477</v>
      </c>
      <c r="B2" s="5770"/>
      <c r="C2" s="5770"/>
      <c r="D2" s="5770" t="s">
        <v>12478</v>
      </c>
      <c r="E2" s="5770"/>
      <c r="F2" s="5770"/>
      <c r="G2" s="5770"/>
      <c r="H2" s="5770"/>
      <c r="I2" s="5770"/>
      <c r="J2" s="5771"/>
      <c r="K2" s="5770" t="s">
        <v>12479</v>
      </c>
      <c r="L2" s="5770"/>
      <c r="M2" s="5770"/>
      <c r="N2" s="5770"/>
      <c r="O2" s="5770"/>
      <c r="P2" s="5770"/>
      <c r="Q2" s="5770"/>
    </row>
    <row r="3" spans="1:17">
      <c r="A3" s="5770"/>
      <c r="B3" s="5770"/>
      <c r="C3" s="5770"/>
      <c r="D3" s="5770" t="s">
        <v>12480</v>
      </c>
      <c r="E3" s="5770"/>
      <c r="F3" s="5770" t="s">
        <v>12481</v>
      </c>
      <c r="G3" s="5770"/>
      <c r="H3" s="5772" t="s">
        <v>12482</v>
      </c>
      <c r="I3" s="5772" t="s">
        <v>12483</v>
      </c>
      <c r="J3" s="5772" t="s">
        <v>12484</v>
      </c>
      <c r="K3" s="5767" t="s">
        <v>12485</v>
      </c>
      <c r="L3" s="5767" t="s">
        <v>10383</v>
      </c>
      <c r="M3" s="5770" t="s">
        <v>12486</v>
      </c>
      <c r="N3" s="5770"/>
      <c r="O3" s="5770" t="s">
        <v>12487</v>
      </c>
      <c r="P3" s="5770"/>
      <c r="Q3" s="1670" t="s">
        <v>2487</v>
      </c>
    </row>
    <row r="4" spans="1:17">
      <c r="A4" s="1671">
        <v>1</v>
      </c>
      <c r="B4" s="1671">
        <v>2</v>
      </c>
      <c r="C4" s="1671">
        <v>3</v>
      </c>
      <c r="D4" s="1671" t="s">
        <v>12443</v>
      </c>
      <c r="E4" s="1671" t="s">
        <v>12444</v>
      </c>
      <c r="F4" s="1671" t="s">
        <v>12443</v>
      </c>
      <c r="G4" s="1671" t="s">
        <v>12444</v>
      </c>
      <c r="H4" s="5773"/>
      <c r="I4" s="5773"/>
      <c r="J4" s="5773"/>
      <c r="K4" s="5768"/>
      <c r="L4" s="5768"/>
      <c r="M4" s="1671" t="s">
        <v>12443</v>
      </c>
      <c r="N4" s="1671" t="s">
        <v>12444</v>
      </c>
      <c r="O4" s="1671" t="s">
        <v>12443</v>
      </c>
      <c r="P4" s="1671" t="s">
        <v>12444</v>
      </c>
      <c r="Q4" s="1671" t="s">
        <v>11886</v>
      </c>
    </row>
    <row r="5" spans="1:17" ht="31.5">
      <c r="A5" s="1672">
        <v>10</v>
      </c>
      <c r="B5" s="1672"/>
      <c r="C5" s="1672"/>
      <c r="D5" s="1673">
        <v>9.3000000000000007</v>
      </c>
      <c r="E5" s="5756" t="s">
        <v>11774</v>
      </c>
      <c r="F5" s="5756">
        <v>1</v>
      </c>
      <c r="G5" s="5756" t="s">
        <v>11772</v>
      </c>
      <c r="H5" s="1673">
        <v>1.6</v>
      </c>
      <c r="I5" s="1673">
        <v>3</v>
      </c>
      <c r="J5" s="5756">
        <v>1.2</v>
      </c>
      <c r="K5" s="1673">
        <v>17</v>
      </c>
      <c r="L5" s="1674">
        <v>10</v>
      </c>
      <c r="M5" s="1672">
        <v>9.6</v>
      </c>
      <c r="N5" s="1679" t="s">
        <v>12488</v>
      </c>
      <c r="O5" s="5757">
        <v>1.1499999999999999</v>
      </c>
      <c r="P5" s="5760" t="s">
        <v>12467</v>
      </c>
      <c r="Q5" s="5756">
        <v>1.5</v>
      </c>
    </row>
    <row r="6" spans="1:17">
      <c r="A6" s="1672"/>
      <c r="B6" s="1672">
        <v>11</v>
      </c>
      <c r="C6" s="1672"/>
      <c r="D6" s="1673">
        <v>10.199999999999999</v>
      </c>
      <c r="E6" s="5756"/>
      <c r="F6" s="5756"/>
      <c r="G6" s="5756"/>
      <c r="H6" s="1673">
        <v>1.8</v>
      </c>
      <c r="I6" s="1673">
        <v>3.1</v>
      </c>
      <c r="J6" s="5756"/>
      <c r="K6" s="1673">
        <v>18</v>
      </c>
      <c r="L6" s="1674">
        <v>11</v>
      </c>
      <c r="M6" s="1672">
        <v>10.5</v>
      </c>
      <c r="N6" s="5763" t="s">
        <v>12489</v>
      </c>
      <c r="O6" s="5758"/>
      <c r="P6" s="5761"/>
      <c r="Q6" s="5756"/>
    </row>
    <row r="7" spans="1:17">
      <c r="A7" s="1672">
        <v>12</v>
      </c>
      <c r="B7" s="1672"/>
      <c r="C7" s="1672"/>
      <c r="D7" s="1673">
        <v>11.1</v>
      </c>
      <c r="E7" s="5756" t="s">
        <v>12490</v>
      </c>
      <c r="F7" s="5756"/>
      <c r="G7" s="5756"/>
      <c r="H7" s="1673">
        <v>1.8</v>
      </c>
      <c r="I7" s="1673">
        <v>3.2</v>
      </c>
      <c r="J7" s="5756">
        <v>1.5</v>
      </c>
      <c r="K7" s="1673">
        <v>19</v>
      </c>
      <c r="L7" s="1674">
        <v>12</v>
      </c>
      <c r="M7" s="1672">
        <v>11.5</v>
      </c>
      <c r="N7" s="5761"/>
      <c r="O7" s="5758"/>
      <c r="P7" s="5761"/>
      <c r="Q7" s="5756"/>
    </row>
    <row r="8" spans="1:17">
      <c r="A8" s="1672"/>
      <c r="B8" s="1672"/>
      <c r="C8" s="1672">
        <v>13</v>
      </c>
      <c r="D8" s="1673">
        <v>12</v>
      </c>
      <c r="E8" s="5756"/>
      <c r="F8" s="5756"/>
      <c r="G8" s="5756"/>
      <c r="H8" s="1673">
        <v>1.8</v>
      </c>
      <c r="I8" s="1673">
        <v>3.3</v>
      </c>
      <c r="J8" s="5756"/>
      <c r="K8" s="1673">
        <v>20</v>
      </c>
      <c r="L8" s="1674">
        <v>13</v>
      </c>
      <c r="M8" s="1672">
        <v>12.4</v>
      </c>
      <c r="N8" s="5761"/>
      <c r="O8" s="5758"/>
      <c r="P8" s="5761"/>
      <c r="Q8" s="5756"/>
    </row>
    <row r="9" spans="1:17">
      <c r="A9" s="1672">
        <v>14</v>
      </c>
      <c r="B9" s="1672"/>
      <c r="C9" s="1672"/>
      <c r="D9" s="1673">
        <v>12.9</v>
      </c>
      <c r="E9" s="5756"/>
      <c r="F9" s="5756"/>
      <c r="G9" s="5756"/>
      <c r="H9" s="1673">
        <v>2</v>
      </c>
      <c r="I9" s="1673">
        <v>3.4</v>
      </c>
      <c r="J9" s="5764">
        <v>1.7</v>
      </c>
      <c r="K9" s="1673">
        <v>22</v>
      </c>
      <c r="L9" s="1674">
        <v>14</v>
      </c>
      <c r="M9" s="1672">
        <v>13.4</v>
      </c>
      <c r="N9" s="5761"/>
      <c r="O9" s="5758"/>
      <c r="P9" s="5761"/>
      <c r="Q9" s="5756"/>
    </row>
    <row r="10" spans="1:17">
      <c r="A10" s="1672">
        <v>15</v>
      </c>
      <c r="B10" s="1672"/>
      <c r="C10" s="1672"/>
      <c r="D10" s="1673">
        <v>13.8</v>
      </c>
      <c r="E10" s="5756"/>
      <c r="F10" s="5756"/>
      <c r="G10" s="5756"/>
      <c r="H10" s="1673">
        <v>2.1</v>
      </c>
      <c r="I10" s="1673">
        <v>3.5</v>
      </c>
      <c r="J10" s="5765"/>
      <c r="K10" s="1673">
        <v>23</v>
      </c>
      <c r="L10" s="1674">
        <v>15</v>
      </c>
      <c r="M10" s="1672">
        <v>14.3</v>
      </c>
      <c r="N10" s="5761"/>
      <c r="O10" s="5758"/>
      <c r="P10" s="5761"/>
      <c r="Q10" s="5756"/>
    </row>
    <row r="11" spans="1:17">
      <c r="A11" s="1672">
        <v>16</v>
      </c>
      <c r="B11" s="1672"/>
      <c r="C11" s="1672"/>
      <c r="D11" s="1673">
        <v>14.7</v>
      </c>
      <c r="E11" s="5756"/>
      <c r="F11" s="5756"/>
      <c r="G11" s="5756"/>
      <c r="H11" s="1673">
        <v>2.2000000000000002</v>
      </c>
      <c r="I11" s="1673">
        <v>3.6</v>
      </c>
      <c r="J11" s="5765"/>
      <c r="K11" s="1673">
        <v>24</v>
      </c>
      <c r="L11" s="1674">
        <v>16</v>
      </c>
      <c r="M11" s="1672">
        <v>15.2</v>
      </c>
      <c r="N11" s="5761"/>
      <c r="O11" s="5758"/>
      <c r="P11" s="5761"/>
      <c r="Q11" s="5756"/>
    </row>
    <row r="12" spans="1:17">
      <c r="A12" s="1672">
        <v>17</v>
      </c>
      <c r="B12" s="1672"/>
      <c r="C12" s="1672"/>
      <c r="D12" s="1673">
        <v>15.7</v>
      </c>
      <c r="E12" s="5756"/>
      <c r="F12" s="5756"/>
      <c r="G12" s="5756"/>
      <c r="H12" s="1673">
        <v>2.2000000000000002</v>
      </c>
      <c r="I12" s="1673">
        <v>3.7</v>
      </c>
      <c r="J12" s="5765"/>
      <c r="K12" s="1673">
        <v>25</v>
      </c>
      <c r="L12" s="1674">
        <v>17</v>
      </c>
      <c r="M12" s="1672">
        <v>16.2</v>
      </c>
      <c r="N12" s="5761"/>
      <c r="O12" s="5759"/>
      <c r="P12" s="5761"/>
      <c r="Q12" s="5756"/>
    </row>
    <row r="13" spans="1:17">
      <c r="A13" s="1672">
        <v>18</v>
      </c>
      <c r="B13" s="1672"/>
      <c r="C13" s="1672"/>
      <c r="D13" s="1673">
        <v>16.5</v>
      </c>
      <c r="E13" s="5756"/>
      <c r="F13" s="5756">
        <v>1.2</v>
      </c>
      <c r="G13" s="5756" t="s">
        <v>12491</v>
      </c>
      <c r="H13" s="1673">
        <v>2.6</v>
      </c>
      <c r="I13" s="1673">
        <v>3.8</v>
      </c>
      <c r="J13" s="5766"/>
      <c r="K13" s="1673">
        <v>26</v>
      </c>
      <c r="L13" s="1674">
        <v>18</v>
      </c>
      <c r="M13" s="1672">
        <v>17</v>
      </c>
      <c r="N13" s="5761"/>
      <c r="O13" s="5757">
        <v>1.35</v>
      </c>
      <c r="P13" s="5761"/>
      <c r="Q13" s="5756"/>
    </row>
    <row r="14" spans="1:17">
      <c r="A14" s="1672"/>
      <c r="B14" s="1672">
        <v>19</v>
      </c>
      <c r="C14" s="1672"/>
      <c r="D14" s="1673">
        <v>17.5</v>
      </c>
      <c r="E14" s="5756"/>
      <c r="F14" s="5756"/>
      <c r="G14" s="5756"/>
      <c r="H14" s="1673">
        <v>2.7</v>
      </c>
      <c r="I14" s="1673">
        <v>3.8</v>
      </c>
      <c r="J14" s="5764">
        <v>2</v>
      </c>
      <c r="K14" s="1673">
        <v>27</v>
      </c>
      <c r="L14" s="1674">
        <v>19</v>
      </c>
      <c r="M14" s="1672">
        <v>18</v>
      </c>
      <c r="N14" s="5762"/>
      <c r="O14" s="5758"/>
      <c r="P14" s="5761"/>
      <c r="Q14" s="5756"/>
    </row>
    <row r="15" spans="1:17">
      <c r="A15" s="1672">
        <v>20</v>
      </c>
      <c r="B15" s="1672"/>
      <c r="C15" s="1672"/>
      <c r="D15" s="1673">
        <v>18.5</v>
      </c>
      <c r="E15" s="5756" t="s">
        <v>12492</v>
      </c>
      <c r="F15" s="5756"/>
      <c r="G15" s="5756"/>
      <c r="H15" s="1673">
        <v>2.7</v>
      </c>
      <c r="I15" s="1673">
        <v>3.9</v>
      </c>
      <c r="J15" s="5765"/>
      <c r="K15" s="1673">
        <v>28</v>
      </c>
      <c r="L15" s="1674">
        <v>20</v>
      </c>
      <c r="M15" s="1672">
        <v>19</v>
      </c>
      <c r="N15" s="5763" t="s">
        <v>12493</v>
      </c>
      <c r="O15" s="5758"/>
      <c r="P15" s="5761"/>
      <c r="Q15" s="5756"/>
    </row>
    <row r="16" spans="1:17">
      <c r="A16" s="1672"/>
      <c r="B16" s="1672"/>
      <c r="C16" s="1672">
        <v>21</v>
      </c>
      <c r="D16" s="1673">
        <v>19.5</v>
      </c>
      <c r="E16" s="5756"/>
      <c r="F16" s="5756"/>
      <c r="G16" s="5756"/>
      <c r="H16" s="1673">
        <v>2.7</v>
      </c>
      <c r="I16" s="1673">
        <v>4</v>
      </c>
      <c r="J16" s="5765"/>
      <c r="K16" s="1673">
        <v>30</v>
      </c>
      <c r="L16" s="1674">
        <v>21</v>
      </c>
      <c r="M16" s="1672">
        <v>20</v>
      </c>
      <c r="N16" s="5761"/>
      <c r="O16" s="5758"/>
      <c r="P16" s="5761"/>
      <c r="Q16" s="5756"/>
    </row>
    <row r="17" spans="1:17">
      <c r="A17" s="1672">
        <v>22</v>
      </c>
      <c r="B17" s="1672"/>
      <c r="C17" s="1672"/>
      <c r="D17" s="1673">
        <v>20.5</v>
      </c>
      <c r="E17" s="5756"/>
      <c r="F17" s="5756"/>
      <c r="G17" s="5756"/>
      <c r="H17" s="1673">
        <v>2.7</v>
      </c>
      <c r="I17" s="1673">
        <v>4.0999999999999996</v>
      </c>
      <c r="J17" s="5765"/>
      <c r="K17" s="1673">
        <v>31</v>
      </c>
      <c r="L17" s="1674">
        <v>22</v>
      </c>
      <c r="M17" s="1672">
        <v>21</v>
      </c>
      <c r="N17" s="5761"/>
      <c r="O17" s="5758"/>
      <c r="P17" s="5761"/>
      <c r="Q17" s="5756"/>
    </row>
    <row r="18" spans="1:17">
      <c r="A18" s="1672"/>
      <c r="B18" s="1672">
        <v>24</v>
      </c>
      <c r="C18" s="1672"/>
      <c r="D18" s="1673">
        <v>22.2</v>
      </c>
      <c r="E18" s="5756"/>
      <c r="F18" s="5756"/>
      <c r="G18" s="5756"/>
      <c r="H18" s="1673">
        <v>3.1</v>
      </c>
      <c r="I18" s="1673">
        <v>4.2</v>
      </c>
      <c r="J18" s="5765"/>
      <c r="K18" s="1673">
        <v>33</v>
      </c>
      <c r="L18" s="1674">
        <v>24</v>
      </c>
      <c r="M18" s="1672">
        <v>22.9</v>
      </c>
      <c r="N18" s="5761"/>
      <c r="O18" s="5758"/>
      <c r="P18" s="5761"/>
      <c r="Q18" s="5756"/>
    </row>
    <row r="19" spans="1:17">
      <c r="A19" s="1672">
        <v>25</v>
      </c>
      <c r="B19" s="1672"/>
      <c r="C19" s="1672"/>
      <c r="D19" s="1673">
        <v>23.2</v>
      </c>
      <c r="E19" s="5756"/>
      <c r="F19" s="5756"/>
      <c r="G19" s="5756"/>
      <c r="H19" s="1673">
        <v>3.1</v>
      </c>
      <c r="I19" s="1673">
        <v>4.3</v>
      </c>
      <c r="J19" s="5765"/>
      <c r="K19" s="1673">
        <v>34</v>
      </c>
      <c r="L19" s="1674">
        <v>25</v>
      </c>
      <c r="M19" s="1672">
        <v>23.9</v>
      </c>
      <c r="N19" s="5761"/>
      <c r="O19" s="5758"/>
      <c r="P19" s="5761"/>
      <c r="Q19" s="5756"/>
    </row>
    <row r="20" spans="1:17">
      <c r="A20" s="1672"/>
      <c r="B20" s="1672">
        <v>26</v>
      </c>
      <c r="C20" s="1672"/>
      <c r="D20" s="1673">
        <v>24.2</v>
      </c>
      <c r="E20" s="5756"/>
      <c r="F20" s="5756"/>
      <c r="G20" s="5756"/>
      <c r="H20" s="1673">
        <v>3.1</v>
      </c>
      <c r="I20" s="1673">
        <v>4.4000000000000004</v>
      </c>
      <c r="J20" s="5765"/>
      <c r="K20" s="1673">
        <v>35</v>
      </c>
      <c r="L20" s="1674">
        <v>26</v>
      </c>
      <c r="M20" s="1672">
        <v>24.9</v>
      </c>
      <c r="N20" s="5761"/>
      <c r="O20" s="5759"/>
      <c r="P20" s="5761"/>
      <c r="Q20" s="5756"/>
    </row>
    <row r="21" spans="1:17">
      <c r="A21" s="1672">
        <v>28</v>
      </c>
      <c r="B21" s="1672"/>
      <c r="C21" s="1672"/>
      <c r="D21" s="1673">
        <v>25.9</v>
      </c>
      <c r="E21" s="5756"/>
      <c r="F21" s="5756" t="s">
        <v>12494</v>
      </c>
      <c r="G21" s="5756"/>
      <c r="H21" s="1673">
        <v>3.1</v>
      </c>
      <c r="I21" s="1673">
        <v>4.5999999999999996</v>
      </c>
      <c r="J21" s="5765"/>
      <c r="K21" s="1673">
        <v>38</v>
      </c>
      <c r="L21" s="1674">
        <v>28</v>
      </c>
      <c r="M21" s="1672">
        <v>26.6</v>
      </c>
      <c r="N21" s="5761"/>
      <c r="O21" s="5757">
        <v>1.75</v>
      </c>
      <c r="P21" s="5761"/>
      <c r="Q21" s="5756"/>
    </row>
    <row r="22" spans="1:17">
      <c r="A22" s="1672"/>
      <c r="B22" s="1672"/>
      <c r="C22" s="1672">
        <v>29</v>
      </c>
      <c r="D22" s="1673">
        <v>26.9</v>
      </c>
      <c r="E22" s="5756"/>
      <c r="F22" s="5756"/>
      <c r="G22" s="5756"/>
      <c r="H22" s="1673">
        <v>3.5</v>
      </c>
      <c r="I22" s="1673">
        <v>4.7</v>
      </c>
      <c r="J22" s="5765"/>
      <c r="K22" s="1673">
        <v>39</v>
      </c>
      <c r="L22" s="1674">
        <v>29</v>
      </c>
      <c r="M22" s="1672">
        <v>27.6</v>
      </c>
      <c r="N22" s="5761"/>
      <c r="O22" s="5758"/>
      <c r="P22" s="5761"/>
      <c r="Q22" s="5756"/>
    </row>
    <row r="23" spans="1:17">
      <c r="A23" s="1672">
        <v>30</v>
      </c>
      <c r="B23" s="1672"/>
      <c r="C23" s="1672"/>
      <c r="D23" s="1673">
        <v>27.9</v>
      </c>
      <c r="E23" s="5756"/>
      <c r="F23" s="5756"/>
      <c r="G23" s="5756"/>
      <c r="H23" s="1673">
        <v>3.5</v>
      </c>
      <c r="I23" s="1673">
        <v>4.8</v>
      </c>
      <c r="J23" s="5766"/>
      <c r="K23" s="1673">
        <v>40</v>
      </c>
      <c r="L23" s="1674">
        <v>30</v>
      </c>
      <c r="M23" s="1672">
        <v>28.6</v>
      </c>
      <c r="N23" s="5762"/>
      <c r="O23" s="5758"/>
      <c r="P23" s="5761"/>
      <c r="Q23" s="5756"/>
    </row>
    <row r="24" spans="1:17">
      <c r="A24" s="1672">
        <v>32</v>
      </c>
      <c r="B24" s="1672"/>
      <c r="C24" s="1672"/>
      <c r="D24" s="1673">
        <v>29.6</v>
      </c>
      <c r="E24" s="5756"/>
      <c r="F24" s="5756"/>
      <c r="G24" s="5756"/>
      <c r="H24" s="1673">
        <v>3.5</v>
      </c>
      <c r="I24" s="1673">
        <v>5</v>
      </c>
      <c r="J24" s="5764">
        <v>2.5</v>
      </c>
      <c r="K24" s="1673">
        <v>43</v>
      </c>
      <c r="L24" s="1674">
        <v>32</v>
      </c>
      <c r="M24" s="1672">
        <v>30.3</v>
      </c>
      <c r="N24" s="5763" t="s">
        <v>12495</v>
      </c>
      <c r="O24" s="5758"/>
      <c r="P24" s="5761"/>
      <c r="Q24" s="5756"/>
    </row>
    <row r="25" spans="1:17">
      <c r="A25" s="1672"/>
      <c r="B25" s="1672"/>
      <c r="C25" s="1672">
        <v>34</v>
      </c>
      <c r="D25" s="1673">
        <v>31.5</v>
      </c>
      <c r="E25" s="5756" t="s">
        <v>12496</v>
      </c>
      <c r="F25" s="5756"/>
      <c r="G25" s="5756"/>
      <c r="H25" s="1673">
        <v>4</v>
      </c>
      <c r="I25" s="1673">
        <v>5.3</v>
      </c>
      <c r="J25" s="5765"/>
      <c r="K25" s="1673">
        <v>45</v>
      </c>
      <c r="L25" s="1674">
        <v>34</v>
      </c>
      <c r="M25" s="1672">
        <v>32.299999999999997</v>
      </c>
      <c r="N25" s="5761"/>
      <c r="O25" s="5758"/>
      <c r="P25" s="5761"/>
      <c r="Q25" s="5756"/>
    </row>
    <row r="26" spans="1:17">
      <c r="A26" s="1672">
        <v>35</v>
      </c>
      <c r="B26" s="1672"/>
      <c r="C26" s="1672"/>
      <c r="D26" s="1673">
        <v>32.200000000000003</v>
      </c>
      <c r="E26" s="5756"/>
      <c r="F26" s="5756"/>
      <c r="G26" s="5756"/>
      <c r="H26" s="1673">
        <v>4</v>
      </c>
      <c r="I26" s="1673">
        <v>5.4</v>
      </c>
      <c r="J26" s="5765"/>
      <c r="K26" s="1673">
        <v>46</v>
      </c>
      <c r="L26" s="1674">
        <v>35</v>
      </c>
      <c r="M26" s="1672">
        <v>33.299999999999997</v>
      </c>
      <c r="N26" s="5761"/>
      <c r="O26" s="5759"/>
      <c r="P26" s="5761"/>
      <c r="Q26" s="5756"/>
    </row>
    <row r="27" spans="1:17">
      <c r="A27" s="1672"/>
      <c r="B27" s="1672">
        <v>36</v>
      </c>
      <c r="C27" s="1672"/>
      <c r="D27" s="1673">
        <v>33.200000000000003</v>
      </c>
      <c r="E27" s="5756"/>
      <c r="F27" s="5756"/>
      <c r="G27" s="5756" t="s">
        <v>12497</v>
      </c>
      <c r="H27" s="1673">
        <v>4</v>
      </c>
      <c r="I27" s="1673">
        <v>5.4</v>
      </c>
      <c r="J27" s="5765"/>
      <c r="K27" s="1673">
        <v>47</v>
      </c>
      <c r="L27" s="1674">
        <v>36</v>
      </c>
      <c r="M27" s="1672">
        <v>34</v>
      </c>
      <c r="N27" s="5761"/>
      <c r="O27" s="5757">
        <v>1.95</v>
      </c>
      <c r="P27" s="5761"/>
      <c r="Q27" s="5756">
        <v>2</v>
      </c>
    </row>
    <row r="28" spans="1:17">
      <c r="A28" s="1672"/>
      <c r="B28" s="1672">
        <v>38</v>
      </c>
      <c r="C28" s="1672"/>
      <c r="D28" s="1673">
        <v>35.200000000000003</v>
      </c>
      <c r="E28" s="5756"/>
      <c r="F28" s="5756">
        <v>1.8</v>
      </c>
      <c r="G28" s="5756"/>
      <c r="H28" s="1673">
        <v>4.5</v>
      </c>
      <c r="I28" s="1673">
        <v>5.6</v>
      </c>
      <c r="J28" s="5765"/>
      <c r="K28" s="1673">
        <v>50</v>
      </c>
      <c r="L28" s="1674">
        <v>38</v>
      </c>
      <c r="M28" s="1672">
        <v>36</v>
      </c>
      <c r="N28" s="5761"/>
      <c r="O28" s="5758"/>
      <c r="P28" s="5761"/>
      <c r="Q28" s="5756"/>
    </row>
    <row r="29" spans="1:17">
      <c r="A29" s="1672">
        <v>40</v>
      </c>
      <c r="B29" s="1672"/>
      <c r="C29" s="1672"/>
      <c r="D29" s="1673">
        <v>37</v>
      </c>
      <c r="E29" s="5756" t="s">
        <v>12498</v>
      </c>
      <c r="F29" s="5756"/>
      <c r="G29" s="5756"/>
      <c r="H29" s="1673">
        <v>4.5</v>
      </c>
      <c r="I29" s="1673">
        <v>5.8</v>
      </c>
      <c r="J29" s="5765"/>
      <c r="K29" s="1673">
        <v>53</v>
      </c>
      <c r="L29" s="1674">
        <v>40</v>
      </c>
      <c r="M29" s="1672">
        <v>38</v>
      </c>
      <c r="N29" s="5761"/>
      <c r="O29" s="5758"/>
      <c r="P29" s="5761"/>
      <c r="Q29" s="5756"/>
    </row>
    <row r="30" spans="1:17">
      <c r="A30" s="1672"/>
      <c r="B30" s="1672">
        <v>42</v>
      </c>
      <c r="C30" s="1672"/>
      <c r="D30" s="1673">
        <v>38.5</v>
      </c>
      <c r="E30" s="5756"/>
      <c r="F30" s="5756"/>
      <c r="G30" s="5756"/>
      <c r="H30" s="1673">
        <v>4.5</v>
      </c>
      <c r="I30" s="1673">
        <v>6.2</v>
      </c>
      <c r="J30" s="5765"/>
      <c r="K30" s="1673">
        <v>55</v>
      </c>
      <c r="L30" s="1674">
        <v>42</v>
      </c>
      <c r="M30" s="1672">
        <v>39.5</v>
      </c>
      <c r="N30" s="5761"/>
      <c r="O30" s="5758"/>
      <c r="P30" s="5761"/>
      <c r="Q30" s="5756"/>
    </row>
    <row r="31" spans="1:17">
      <c r="A31" s="1672">
        <v>45</v>
      </c>
      <c r="B31" s="1672"/>
      <c r="C31" s="1672"/>
      <c r="D31" s="1673">
        <v>41.5</v>
      </c>
      <c r="E31" s="5756"/>
      <c r="F31" s="5756"/>
      <c r="G31" s="5756"/>
      <c r="H31" s="1673">
        <v>4.8</v>
      </c>
      <c r="I31" s="1673">
        <v>6.3</v>
      </c>
      <c r="J31" s="5765"/>
      <c r="K31" s="1673">
        <v>58</v>
      </c>
      <c r="L31" s="1674">
        <v>45</v>
      </c>
      <c r="M31" s="1672">
        <v>42.5</v>
      </c>
      <c r="N31" s="5761"/>
      <c r="O31" s="5758"/>
      <c r="P31" s="5761"/>
      <c r="Q31" s="5756"/>
    </row>
    <row r="32" spans="1:17">
      <c r="A32" s="1672"/>
      <c r="B32" s="1672">
        <v>48</v>
      </c>
      <c r="C32" s="1672"/>
      <c r="D32" s="1673">
        <v>44.5</v>
      </c>
      <c r="E32" s="5756"/>
      <c r="F32" s="5756"/>
      <c r="G32" s="5756"/>
      <c r="H32" s="1673">
        <v>4.8</v>
      </c>
      <c r="I32" s="1673">
        <v>6.5</v>
      </c>
      <c r="J32" s="5765"/>
      <c r="K32" s="1673">
        <v>62</v>
      </c>
      <c r="L32" s="1674">
        <v>48</v>
      </c>
      <c r="M32" s="1672">
        <v>45.5</v>
      </c>
      <c r="N32" s="5761"/>
      <c r="O32" s="5759"/>
      <c r="P32" s="5761"/>
      <c r="Q32" s="5756"/>
    </row>
    <row r="33" spans="1:17">
      <c r="A33" s="1672">
        <v>50</v>
      </c>
      <c r="B33" s="1672"/>
      <c r="C33" s="1672"/>
      <c r="D33" s="1673">
        <v>45.8</v>
      </c>
      <c r="E33" s="5756"/>
      <c r="F33" s="5756">
        <v>2</v>
      </c>
      <c r="G33" s="5756"/>
      <c r="H33" s="1673">
        <v>5</v>
      </c>
      <c r="I33" s="1673">
        <v>6.7</v>
      </c>
      <c r="J33" s="5765"/>
      <c r="K33" s="1673">
        <v>64</v>
      </c>
      <c r="L33" s="1674">
        <v>50</v>
      </c>
      <c r="M33" s="1672">
        <v>47</v>
      </c>
      <c r="N33" s="5761"/>
      <c r="O33" s="5757">
        <v>2.2000000000000002</v>
      </c>
      <c r="P33" s="5761"/>
      <c r="Q33" s="5756"/>
    </row>
    <row r="34" spans="1:17">
      <c r="A34" s="1672"/>
      <c r="B34" s="1672"/>
      <c r="C34" s="1672">
        <v>52</v>
      </c>
      <c r="D34" s="1673">
        <v>47.8</v>
      </c>
      <c r="E34" s="5756"/>
      <c r="F34" s="5756"/>
      <c r="G34" s="5756"/>
      <c r="H34" s="1673">
        <v>5</v>
      </c>
      <c r="I34" s="1673">
        <v>6.8</v>
      </c>
      <c r="J34" s="5765"/>
      <c r="K34" s="1673">
        <v>66</v>
      </c>
      <c r="L34" s="1674">
        <v>52</v>
      </c>
      <c r="M34" s="1672">
        <v>49</v>
      </c>
      <c r="N34" s="5762"/>
      <c r="O34" s="5758"/>
      <c r="P34" s="5761"/>
      <c r="Q34" s="5756"/>
    </row>
    <row r="35" spans="1:17">
      <c r="A35" s="1672">
        <v>55</v>
      </c>
      <c r="B35" s="1672"/>
      <c r="C35" s="1672"/>
      <c r="D35" s="1673">
        <v>50.8</v>
      </c>
      <c r="E35" s="5756" t="s">
        <v>12499</v>
      </c>
      <c r="F35" s="5756"/>
      <c r="G35" s="5756"/>
      <c r="H35" s="1673">
        <v>5</v>
      </c>
      <c r="I35" s="1673">
        <v>7</v>
      </c>
      <c r="J35" s="5765"/>
      <c r="K35" s="1673">
        <v>70</v>
      </c>
      <c r="L35" s="1674">
        <v>55</v>
      </c>
      <c r="M35" s="1672">
        <v>52</v>
      </c>
      <c r="N35" s="5763" t="s">
        <v>12500</v>
      </c>
      <c r="O35" s="5758"/>
      <c r="P35" s="5761"/>
      <c r="Q35" s="5756"/>
    </row>
    <row r="36" spans="1:17">
      <c r="A36" s="1672"/>
      <c r="B36" s="1672">
        <v>56</v>
      </c>
      <c r="C36" s="1672"/>
      <c r="D36" s="1673">
        <v>51.8</v>
      </c>
      <c r="E36" s="5756"/>
      <c r="F36" s="5756"/>
      <c r="G36" s="5756"/>
      <c r="H36" s="1673">
        <v>5</v>
      </c>
      <c r="I36" s="1673">
        <v>7</v>
      </c>
      <c r="J36" s="5765"/>
      <c r="K36" s="1673">
        <v>71</v>
      </c>
      <c r="L36" s="1674">
        <v>56</v>
      </c>
      <c r="M36" s="1672">
        <v>53</v>
      </c>
      <c r="N36" s="5761"/>
      <c r="O36" s="5758"/>
      <c r="P36" s="5761"/>
      <c r="Q36" s="5756"/>
    </row>
    <row r="37" spans="1:17">
      <c r="A37" s="1672"/>
      <c r="B37" s="1672"/>
      <c r="C37" s="1672">
        <v>58</v>
      </c>
      <c r="D37" s="1673">
        <v>53.8</v>
      </c>
      <c r="E37" s="5756"/>
      <c r="F37" s="5756"/>
      <c r="G37" s="5756"/>
      <c r="H37" s="1673">
        <v>5.5</v>
      </c>
      <c r="I37" s="1673">
        <v>7.1</v>
      </c>
      <c r="J37" s="5765"/>
      <c r="K37" s="1673">
        <v>73</v>
      </c>
      <c r="L37" s="1674">
        <v>58</v>
      </c>
      <c r="M37" s="1672">
        <v>55</v>
      </c>
      <c r="N37" s="5761"/>
      <c r="O37" s="5758"/>
      <c r="P37" s="5761"/>
      <c r="Q37" s="5756"/>
    </row>
    <row r="38" spans="1:17">
      <c r="A38" s="1672">
        <v>60</v>
      </c>
      <c r="B38" s="1672"/>
      <c r="C38" s="1672"/>
      <c r="D38" s="1673">
        <v>55.8</v>
      </c>
      <c r="E38" s="5756"/>
      <c r="F38" s="5756"/>
      <c r="G38" s="5756"/>
      <c r="H38" s="1673">
        <v>5.5</v>
      </c>
      <c r="I38" s="1673">
        <v>7.2</v>
      </c>
      <c r="J38" s="5765"/>
      <c r="K38" s="1673">
        <v>75</v>
      </c>
      <c r="L38" s="1674">
        <v>60</v>
      </c>
      <c r="M38" s="1672">
        <v>57</v>
      </c>
      <c r="N38" s="5761"/>
      <c r="O38" s="5758"/>
      <c r="P38" s="5761"/>
      <c r="Q38" s="5756"/>
    </row>
    <row r="39" spans="1:17">
      <c r="A39" s="1672"/>
      <c r="B39" s="1672"/>
      <c r="C39" s="1672">
        <v>62</v>
      </c>
      <c r="D39" s="1673">
        <v>57.8</v>
      </c>
      <c r="E39" s="5756"/>
      <c r="F39" s="5756"/>
      <c r="G39" s="5756"/>
      <c r="H39" s="1673">
        <v>5.5</v>
      </c>
      <c r="I39" s="1673">
        <v>7.2</v>
      </c>
      <c r="J39" s="5765"/>
      <c r="K39" s="1673">
        <v>77</v>
      </c>
      <c r="L39" s="1674">
        <v>62</v>
      </c>
      <c r="M39" s="1672">
        <v>59</v>
      </c>
      <c r="N39" s="5761"/>
      <c r="O39" s="5758"/>
      <c r="P39" s="5761"/>
      <c r="Q39" s="5756"/>
    </row>
    <row r="40" spans="1:17">
      <c r="A40" s="1672"/>
      <c r="B40" s="1672"/>
      <c r="C40" s="1672">
        <v>63</v>
      </c>
      <c r="D40" s="1673">
        <v>58.8</v>
      </c>
      <c r="E40" s="5756"/>
      <c r="F40" s="5756"/>
      <c r="G40" s="5756"/>
      <c r="H40" s="1673">
        <v>5.5</v>
      </c>
      <c r="I40" s="1673">
        <v>7.3</v>
      </c>
      <c r="J40" s="5765"/>
      <c r="K40" s="1673">
        <v>78</v>
      </c>
      <c r="L40" s="1674">
        <v>63</v>
      </c>
      <c r="M40" s="1672">
        <v>60</v>
      </c>
      <c r="N40" s="5761"/>
      <c r="O40" s="5759"/>
      <c r="P40" s="5761"/>
      <c r="Q40" s="5756"/>
    </row>
    <row r="41" spans="1:17">
      <c r="A41" s="1672">
        <v>65</v>
      </c>
      <c r="B41" s="1672"/>
      <c r="C41" s="1672"/>
      <c r="D41" s="1673">
        <v>60.8</v>
      </c>
      <c r="E41" s="5756"/>
      <c r="F41" s="5756">
        <v>2.5</v>
      </c>
      <c r="G41" s="5756" t="s">
        <v>12501</v>
      </c>
      <c r="H41" s="1673">
        <v>6.4</v>
      </c>
      <c r="I41" s="1673">
        <v>7.4</v>
      </c>
      <c r="J41" s="5765"/>
      <c r="K41" s="1673">
        <v>81</v>
      </c>
      <c r="L41" s="1674">
        <v>65</v>
      </c>
      <c r="M41" s="1672">
        <v>62</v>
      </c>
      <c r="N41" s="5761"/>
      <c r="O41" s="5757">
        <v>2.7</v>
      </c>
      <c r="P41" s="5761"/>
      <c r="Q41" s="5756">
        <v>2.5</v>
      </c>
    </row>
    <row r="42" spans="1:17">
      <c r="A42" s="1672"/>
      <c r="B42" s="1672"/>
      <c r="C42" s="1672">
        <v>68</v>
      </c>
      <c r="D42" s="1673">
        <v>63.5</v>
      </c>
      <c r="E42" s="5756"/>
      <c r="F42" s="5756"/>
      <c r="G42" s="5756"/>
      <c r="H42" s="1673">
        <v>6.4</v>
      </c>
      <c r="I42" s="1673">
        <v>7.8</v>
      </c>
      <c r="J42" s="5765"/>
      <c r="K42" s="1673">
        <v>84</v>
      </c>
      <c r="L42" s="1674">
        <v>68</v>
      </c>
      <c r="M42" s="1672">
        <v>65</v>
      </c>
      <c r="N42" s="5761"/>
      <c r="O42" s="5758"/>
      <c r="P42" s="5761"/>
      <c r="Q42" s="5756"/>
    </row>
    <row r="43" spans="1:17">
      <c r="A43" s="1672">
        <v>70</v>
      </c>
      <c r="B43" s="1672"/>
      <c r="C43" s="1672"/>
      <c r="D43" s="1673">
        <v>65.5</v>
      </c>
      <c r="E43" s="5756"/>
      <c r="F43" s="5756"/>
      <c r="G43" s="5756"/>
      <c r="H43" s="1673">
        <v>6.4</v>
      </c>
      <c r="I43" s="1673">
        <v>7.8</v>
      </c>
      <c r="J43" s="5765"/>
      <c r="K43" s="1673">
        <v>86</v>
      </c>
      <c r="L43" s="1674">
        <v>70</v>
      </c>
      <c r="M43" s="1672">
        <v>67</v>
      </c>
      <c r="N43" s="5761"/>
      <c r="O43" s="5758"/>
      <c r="P43" s="5761"/>
      <c r="Q43" s="5756"/>
    </row>
    <row r="44" spans="1:17">
      <c r="A44" s="1672"/>
      <c r="B44" s="1672"/>
      <c r="C44" s="1672">
        <v>72</v>
      </c>
      <c r="D44" s="1673">
        <v>67.5</v>
      </c>
      <c r="E44" s="5756"/>
      <c r="F44" s="5756"/>
      <c r="G44" s="5756"/>
      <c r="H44" s="1673">
        <v>7</v>
      </c>
      <c r="I44" s="1673">
        <v>7.9</v>
      </c>
      <c r="J44" s="5765"/>
      <c r="K44" s="1673">
        <v>88</v>
      </c>
      <c r="L44" s="1674">
        <v>72</v>
      </c>
      <c r="M44" s="1672">
        <v>69</v>
      </c>
      <c r="N44" s="5761"/>
      <c r="O44" s="5758"/>
      <c r="P44" s="5761"/>
      <c r="Q44" s="5756"/>
    </row>
    <row r="45" spans="1:17">
      <c r="A45" s="1672">
        <v>75</v>
      </c>
      <c r="B45" s="1672"/>
      <c r="C45" s="1672"/>
      <c r="D45" s="1673">
        <v>70.5</v>
      </c>
      <c r="E45" s="5756"/>
      <c r="F45" s="5756"/>
      <c r="G45" s="5756"/>
      <c r="H45" s="1673">
        <v>7</v>
      </c>
      <c r="I45" s="1673">
        <v>7.9</v>
      </c>
      <c r="J45" s="5765"/>
      <c r="K45" s="1673">
        <v>92</v>
      </c>
      <c r="L45" s="1674">
        <v>75</v>
      </c>
      <c r="M45" s="1672">
        <v>72</v>
      </c>
      <c r="N45" s="5761"/>
      <c r="O45" s="5758"/>
      <c r="P45" s="5761"/>
      <c r="Q45" s="5756"/>
    </row>
    <row r="46" spans="1:17">
      <c r="A46" s="1672"/>
      <c r="B46" s="1672"/>
      <c r="C46" s="1672">
        <v>78</v>
      </c>
      <c r="D46" s="1673">
        <v>73.5</v>
      </c>
      <c r="E46" s="5756"/>
      <c r="F46" s="5756"/>
      <c r="G46" s="5756"/>
      <c r="H46" s="1673">
        <v>7.4</v>
      </c>
      <c r="I46" s="1673">
        <v>8.1</v>
      </c>
      <c r="J46" s="5765"/>
      <c r="K46" s="1673">
        <v>95</v>
      </c>
      <c r="L46" s="1674">
        <v>78</v>
      </c>
      <c r="M46" s="1672">
        <v>75</v>
      </c>
      <c r="N46" s="5761"/>
      <c r="O46" s="5758"/>
      <c r="P46" s="5761"/>
      <c r="Q46" s="5756"/>
    </row>
    <row r="47" spans="1:17">
      <c r="A47" s="1672">
        <v>80</v>
      </c>
      <c r="B47" s="1672"/>
      <c r="C47" s="1672"/>
      <c r="D47" s="1673">
        <v>74.5</v>
      </c>
      <c r="E47" s="5756"/>
      <c r="F47" s="5756"/>
      <c r="G47" s="5756"/>
      <c r="H47" s="1673">
        <v>7.4</v>
      </c>
      <c r="I47" s="1673">
        <v>8.1999999999999993</v>
      </c>
      <c r="J47" s="5766"/>
      <c r="K47" s="1673">
        <v>97</v>
      </c>
      <c r="L47" s="1674">
        <v>80</v>
      </c>
      <c r="M47" s="1672">
        <v>76.5</v>
      </c>
      <c r="N47" s="5761"/>
      <c r="O47" s="5758"/>
      <c r="P47" s="5761"/>
      <c r="Q47" s="5756"/>
    </row>
    <row r="48" spans="1:17">
      <c r="A48" s="1672"/>
      <c r="B48" s="1672"/>
      <c r="C48" s="1672">
        <v>82</v>
      </c>
      <c r="D48" s="1673">
        <v>76.5</v>
      </c>
      <c r="E48" s="5756"/>
      <c r="F48" s="5756"/>
      <c r="G48" s="5756"/>
      <c r="H48" s="1673">
        <v>7.4</v>
      </c>
      <c r="I48" s="1673">
        <v>8.3000000000000007</v>
      </c>
      <c r="J48" s="5764">
        <v>3</v>
      </c>
      <c r="K48" s="1673">
        <v>99</v>
      </c>
      <c r="L48" s="1674">
        <v>82</v>
      </c>
      <c r="M48" s="1672">
        <v>78.5</v>
      </c>
      <c r="N48" s="5762"/>
      <c r="O48" s="5759"/>
      <c r="P48" s="5762"/>
      <c r="Q48" s="5756"/>
    </row>
    <row r="49" spans="1:17">
      <c r="A49" s="1672">
        <v>85</v>
      </c>
      <c r="B49" s="1672"/>
      <c r="C49" s="1672"/>
      <c r="D49" s="1673">
        <v>79.5</v>
      </c>
      <c r="E49" s="5756"/>
      <c r="F49" s="5756">
        <v>3</v>
      </c>
      <c r="G49" s="5756" t="s">
        <v>12502</v>
      </c>
      <c r="H49" s="1673">
        <v>8</v>
      </c>
      <c r="I49" s="1673">
        <v>8.4</v>
      </c>
      <c r="J49" s="5765"/>
      <c r="K49" s="1673">
        <v>103</v>
      </c>
      <c r="L49" s="1674">
        <v>85</v>
      </c>
      <c r="M49" s="1672">
        <v>81.5</v>
      </c>
      <c r="N49" s="5763" t="s">
        <v>12503</v>
      </c>
      <c r="O49" s="5757">
        <v>3.2</v>
      </c>
      <c r="P49" s="5763" t="s">
        <v>12504</v>
      </c>
      <c r="Q49" s="5756">
        <v>3</v>
      </c>
    </row>
    <row r="50" spans="1:17">
      <c r="A50" s="1672"/>
      <c r="B50" s="1672"/>
      <c r="C50" s="1672">
        <v>88</v>
      </c>
      <c r="D50" s="1673">
        <v>82.5</v>
      </c>
      <c r="E50" s="5756" t="s">
        <v>12505</v>
      </c>
      <c r="F50" s="5756"/>
      <c r="G50" s="5756"/>
      <c r="H50" s="1673">
        <v>8</v>
      </c>
      <c r="I50" s="1673">
        <v>8.6</v>
      </c>
      <c r="J50" s="5765"/>
      <c r="K50" s="1673">
        <v>106</v>
      </c>
      <c r="L50" s="1674">
        <v>88</v>
      </c>
      <c r="M50" s="1672">
        <v>84.5</v>
      </c>
      <c r="N50" s="5761"/>
      <c r="O50" s="5758"/>
      <c r="P50" s="5761"/>
      <c r="Q50" s="5756"/>
    </row>
    <row r="51" spans="1:17">
      <c r="A51" s="1672">
        <v>90</v>
      </c>
      <c r="B51" s="1672"/>
      <c r="C51" s="1672"/>
      <c r="D51" s="1673">
        <v>84.5</v>
      </c>
      <c r="E51" s="5756"/>
      <c r="F51" s="5756"/>
      <c r="G51" s="5756"/>
      <c r="H51" s="1673">
        <v>8</v>
      </c>
      <c r="I51" s="1673">
        <v>8.6999999999999993</v>
      </c>
      <c r="J51" s="5765"/>
      <c r="K51" s="1673">
        <v>108</v>
      </c>
      <c r="L51" s="1674">
        <v>90</v>
      </c>
      <c r="M51" s="1672">
        <v>86.5</v>
      </c>
      <c r="N51" s="5761"/>
      <c r="O51" s="5758"/>
      <c r="P51" s="5761"/>
      <c r="Q51" s="5756"/>
    </row>
    <row r="52" spans="1:17">
      <c r="A52" s="1672">
        <v>95</v>
      </c>
      <c r="B52" s="1672"/>
      <c r="C52" s="1672"/>
      <c r="D52" s="1673">
        <v>89.5</v>
      </c>
      <c r="E52" s="5756"/>
      <c r="F52" s="5756"/>
      <c r="G52" s="5756"/>
      <c r="H52" s="1673">
        <v>8.6</v>
      </c>
      <c r="I52" s="1673">
        <v>9.1</v>
      </c>
      <c r="J52" s="5765"/>
      <c r="K52" s="1673">
        <v>114</v>
      </c>
      <c r="L52" s="1674">
        <v>95</v>
      </c>
      <c r="M52" s="1672">
        <v>91.5</v>
      </c>
      <c r="N52" s="5761"/>
      <c r="O52" s="5758"/>
      <c r="P52" s="5761"/>
      <c r="Q52" s="5756"/>
    </row>
    <row r="53" spans="1:17">
      <c r="A53" s="1672">
        <v>100</v>
      </c>
      <c r="B53" s="1672"/>
      <c r="C53" s="1672"/>
      <c r="D53" s="1673">
        <v>94.5</v>
      </c>
      <c r="E53" s="5756"/>
      <c r="F53" s="5756"/>
      <c r="G53" s="5756"/>
      <c r="H53" s="1673">
        <v>9</v>
      </c>
      <c r="I53" s="1673">
        <v>9.5</v>
      </c>
      <c r="J53" s="5765"/>
      <c r="K53" s="1673">
        <v>119</v>
      </c>
      <c r="L53" s="1674">
        <v>100</v>
      </c>
      <c r="M53" s="1672">
        <v>96.5</v>
      </c>
      <c r="N53" s="5762"/>
      <c r="O53" s="5759"/>
      <c r="P53" s="5761"/>
      <c r="Q53" s="5756"/>
    </row>
    <row r="54" spans="1:17">
      <c r="A54" s="1672"/>
      <c r="B54" s="1672">
        <v>105</v>
      </c>
      <c r="C54" s="1672"/>
      <c r="D54" s="1673">
        <v>98</v>
      </c>
      <c r="E54" s="5756"/>
      <c r="F54" s="5756">
        <v>4</v>
      </c>
      <c r="G54" s="5756"/>
      <c r="H54" s="1673">
        <v>9.5</v>
      </c>
      <c r="I54" s="1673">
        <v>9.8000000000000007</v>
      </c>
      <c r="J54" s="5765"/>
      <c r="K54" s="1673">
        <v>125</v>
      </c>
      <c r="L54" s="1674">
        <v>105</v>
      </c>
      <c r="M54" s="1672">
        <v>101</v>
      </c>
      <c r="N54" s="5763" t="s">
        <v>12506</v>
      </c>
      <c r="O54" s="5757">
        <v>4.2</v>
      </c>
      <c r="P54" s="5761"/>
      <c r="Q54" s="5756">
        <v>4</v>
      </c>
    </row>
    <row r="55" spans="1:17">
      <c r="A55" s="1672">
        <v>110</v>
      </c>
      <c r="B55" s="1672"/>
      <c r="C55" s="1672"/>
      <c r="D55" s="1673">
        <v>103</v>
      </c>
      <c r="E55" s="5756"/>
      <c r="F55" s="5756"/>
      <c r="G55" s="5756"/>
      <c r="H55" s="1673">
        <v>9.5</v>
      </c>
      <c r="I55" s="1673">
        <v>10</v>
      </c>
      <c r="J55" s="5765"/>
      <c r="K55" s="1673">
        <v>131</v>
      </c>
      <c r="L55" s="1674">
        <v>110</v>
      </c>
      <c r="M55" s="1672">
        <v>106</v>
      </c>
      <c r="N55" s="5761"/>
      <c r="O55" s="5758"/>
      <c r="P55" s="5761"/>
      <c r="Q55" s="5756"/>
    </row>
    <row r="56" spans="1:17">
      <c r="A56" s="1672"/>
      <c r="B56" s="1672"/>
      <c r="C56" s="1672">
        <v>115</v>
      </c>
      <c r="D56" s="1673">
        <v>108</v>
      </c>
      <c r="E56" s="5756"/>
      <c r="F56" s="5756"/>
      <c r="G56" s="5756"/>
      <c r="H56" s="1673">
        <v>9.5</v>
      </c>
      <c r="I56" s="1673">
        <v>10.5</v>
      </c>
      <c r="J56" s="5765"/>
      <c r="K56" s="1673">
        <v>137</v>
      </c>
      <c r="L56" s="1674">
        <v>115</v>
      </c>
      <c r="M56" s="1672">
        <v>111</v>
      </c>
      <c r="N56" s="5761"/>
      <c r="O56" s="5758"/>
      <c r="P56" s="5761"/>
      <c r="Q56" s="5756"/>
    </row>
    <row r="57" spans="1:17">
      <c r="A57" s="1672">
        <v>120</v>
      </c>
      <c r="B57" s="1672"/>
      <c r="C57" s="1672"/>
      <c r="D57" s="1673">
        <v>113</v>
      </c>
      <c r="E57" s="5756"/>
      <c r="F57" s="5756"/>
      <c r="G57" s="5756"/>
      <c r="H57" s="1673">
        <v>10.3</v>
      </c>
      <c r="I57" s="1673">
        <v>10.9</v>
      </c>
      <c r="J57" s="5766"/>
      <c r="K57" s="1673">
        <v>143</v>
      </c>
      <c r="L57" s="1674">
        <v>120</v>
      </c>
      <c r="M57" s="1672">
        <v>116</v>
      </c>
      <c r="N57" s="5762"/>
      <c r="O57" s="5758"/>
      <c r="P57" s="5761"/>
      <c r="Q57" s="5756"/>
    </row>
    <row r="58" spans="1:17" ht="31.5">
      <c r="A58" s="1672"/>
      <c r="B58" s="1672"/>
      <c r="C58" s="1672">
        <v>125</v>
      </c>
      <c r="D58" s="1673">
        <v>118</v>
      </c>
      <c r="E58" s="5756"/>
      <c r="F58" s="5756"/>
      <c r="G58" s="5756"/>
      <c r="H58" s="1673">
        <v>10.3</v>
      </c>
      <c r="I58" s="1673">
        <v>11.3</v>
      </c>
      <c r="J58" s="1673">
        <v>3.5</v>
      </c>
      <c r="K58" s="1673">
        <v>148</v>
      </c>
      <c r="L58" s="1674">
        <v>125</v>
      </c>
      <c r="M58" s="1672">
        <v>121</v>
      </c>
      <c r="N58" s="1677" t="s">
        <v>12507</v>
      </c>
      <c r="O58" s="5759"/>
      <c r="P58" s="5762"/>
      <c r="Q58" s="5756"/>
    </row>
  </sheetData>
  <mergeCells count="60">
    <mergeCell ref="A1:Q1"/>
    <mergeCell ref="D2:J2"/>
    <mergeCell ref="K2:Q2"/>
    <mergeCell ref="D3:E3"/>
    <mergeCell ref="F3:G3"/>
    <mergeCell ref="M3:N3"/>
    <mergeCell ref="O3:P3"/>
    <mergeCell ref="H3:H4"/>
    <mergeCell ref="I3:I4"/>
    <mergeCell ref="J3:J4"/>
    <mergeCell ref="A2:C3"/>
    <mergeCell ref="E35:E49"/>
    <mergeCell ref="E50:E58"/>
    <mergeCell ref="F5:F12"/>
    <mergeCell ref="F13:F20"/>
    <mergeCell ref="F21:F27"/>
    <mergeCell ref="F28:F32"/>
    <mergeCell ref="F33:F40"/>
    <mergeCell ref="F41:F48"/>
    <mergeCell ref="F49:F53"/>
    <mergeCell ref="F54:F58"/>
    <mergeCell ref="E5:E6"/>
    <mergeCell ref="E7:E14"/>
    <mergeCell ref="E15:E24"/>
    <mergeCell ref="E25:E28"/>
    <mergeCell ref="E29:E34"/>
    <mergeCell ref="G5:G12"/>
    <mergeCell ref="G13:G26"/>
    <mergeCell ref="G27:G40"/>
    <mergeCell ref="G41:G48"/>
    <mergeCell ref="G49:G58"/>
    <mergeCell ref="J48:J57"/>
    <mergeCell ref="K3:K4"/>
    <mergeCell ref="L3:L4"/>
    <mergeCell ref="N6:N14"/>
    <mergeCell ref="N15:N23"/>
    <mergeCell ref="N24:N34"/>
    <mergeCell ref="N35:N48"/>
    <mergeCell ref="N49:N53"/>
    <mergeCell ref="N54:N57"/>
    <mergeCell ref="J5:J6"/>
    <mergeCell ref="J7:J8"/>
    <mergeCell ref="J9:J13"/>
    <mergeCell ref="J14:J23"/>
    <mergeCell ref="J24:J47"/>
    <mergeCell ref="O41:O48"/>
    <mergeCell ref="O49:O53"/>
    <mergeCell ref="O54:O58"/>
    <mergeCell ref="P5:P48"/>
    <mergeCell ref="P49:P58"/>
    <mergeCell ref="O5:O12"/>
    <mergeCell ref="O13:O20"/>
    <mergeCell ref="O21:O26"/>
    <mergeCell ref="O27:O32"/>
    <mergeCell ref="O33:O40"/>
    <mergeCell ref="Q5:Q26"/>
    <mergeCell ref="Q27:Q40"/>
    <mergeCell ref="Q41:Q48"/>
    <mergeCell ref="Q49:Q53"/>
    <mergeCell ref="Q54:Q58"/>
  </mergeCells>
  <phoneticPr fontId="214" type="noConversion"/>
  <printOptions horizontalCentered="1"/>
  <pageMargins left="0.34930555555555598" right="0.12916666666666701" top="0.82986111111111105" bottom="0.38888888888888901" header="1.3" footer="0.50902777777777797"/>
  <pageSetup paperSize="9" scale="75" orientation="portrait"/>
  <headerFooter scaleWithDoc="0" alignWithMargins="0"/>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22">
    <pageSetUpPr fitToPage="1"/>
  </sheetPr>
  <dimension ref="A1:Q64"/>
  <sheetViews>
    <sheetView zoomScale="85" zoomScaleNormal="85" workbookViewId="0">
      <pane ySplit="4" topLeftCell="A5" activePane="bottomLeft" state="frozen"/>
      <selection pane="bottomLeft" activeCell="U16" sqref="U16"/>
    </sheetView>
  </sheetViews>
  <sheetFormatPr defaultColWidth="8.75" defaultRowHeight="14.25"/>
  <cols>
    <col min="1" max="3" width="5" style="1669"/>
    <col min="4" max="4" width="10" style="1669"/>
    <col min="5" max="5" width="8" style="1669"/>
    <col min="6" max="6" width="10" style="1669"/>
    <col min="7" max="7" width="8" style="1669"/>
    <col min="8" max="10" width="6" style="1669"/>
    <col min="11" max="12" width="5" style="1669"/>
    <col min="13" max="13" width="10" style="1669"/>
    <col min="14" max="14" width="8" style="1669"/>
    <col min="15" max="15" width="10" style="1669"/>
    <col min="16" max="16" width="8" style="1669"/>
    <col min="17" max="17" width="6" style="1669"/>
    <col min="18" max="32" width="9" style="1669"/>
    <col min="33" max="16384" width="8.75" style="1669"/>
  </cols>
  <sheetData>
    <row r="1" spans="1:17" ht="25.5">
      <c r="A1" s="5769" t="s">
        <v>12508</v>
      </c>
      <c r="B1" s="5769"/>
      <c r="C1" s="5769"/>
      <c r="D1" s="5769"/>
      <c r="E1" s="5769"/>
      <c r="F1" s="5769"/>
      <c r="G1" s="5769"/>
      <c r="H1" s="5769"/>
      <c r="I1" s="5769"/>
      <c r="J1" s="5769"/>
      <c r="K1" s="5769"/>
      <c r="L1" s="5769"/>
      <c r="M1" s="5769"/>
      <c r="N1" s="5769"/>
      <c r="O1" s="5769"/>
      <c r="P1" s="5769"/>
      <c r="Q1" s="5769"/>
    </row>
    <row r="2" spans="1:17">
      <c r="A2" s="5770" t="s">
        <v>12477</v>
      </c>
      <c r="B2" s="5770"/>
      <c r="C2" s="5770"/>
      <c r="D2" s="5770" t="s">
        <v>12478</v>
      </c>
      <c r="E2" s="5770"/>
      <c r="F2" s="5770"/>
      <c r="G2" s="5770"/>
      <c r="H2" s="5770"/>
      <c r="I2" s="5770"/>
      <c r="J2" s="5771"/>
      <c r="K2" s="5770" t="s">
        <v>12509</v>
      </c>
      <c r="L2" s="5770"/>
      <c r="M2" s="5770"/>
      <c r="N2" s="5770"/>
      <c r="O2" s="5770"/>
      <c r="P2" s="5770"/>
      <c r="Q2" s="5770"/>
    </row>
    <row r="3" spans="1:17">
      <c r="A3" s="5770"/>
      <c r="B3" s="5770"/>
      <c r="C3" s="5770"/>
      <c r="D3" s="5770" t="s">
        <v>12480</v>
      </c>
      <c r="E3" s="5770"/>
      <c r="F3" s="5770" t="s">
        <v>12481</v>
      </c>
      <c r="G3" s="5770"/>
      <c r="H3" s="5772" t="s">
        <v>12482</v>
      </c>
      <c r="I3" s="5772" t="s">
        <v>12483</v>
      </c>
      <c r="J3" s="5772" t="s">
        <v>12484</v>
      </c>
      <c r="K3" s="5767" t="s">
        <v>12485</v>
      </c>
      <c r="L3" s="5767" t="s">
        <v>10383</v>
      </c>
      <c r="M3" s="5770" t="s">
        <v>12510</v>
      </c>
      <c r="N3" s="5770"/>
      <c r="O3" s="5770" t="s">
        <v>12511</v>
      </c>
      <c r="P3" s="5770"/>
      <c r="Q3" s="1670" t="s">
        <v>2487</v>
      </c>
    </row>
    <row r="4" spans="1:17">
      <c r="A4" s="1671">
        <v>1</v>
      </c>
      <c r="B4" s="1671">
        <v>2</v>
      </c>
      <c r="C4" s="1671">
        <v>3</v>
      </c>
      <c r="D4" s="1671" t="s">
        <v>12443</v>
      </c>
      <c r="E4" s="1671" t="s">
        <v>12444</v>
      </c>
      <c r="F4" s="1671" t="s">
        <v>12443</v>
      </c>
      <c r="G4" s="1671" t="s">
        <v>12444</v>
      </c>
      <c r="H4" s="5773"/>
      <c r="I4" s="5773"/>
      <c r="J4" s="5773"/>
      <c r="K4" s="5768"/>
      <c r="L4" s="5768"/>
      <c r="M4" s="1671" t="s">
        <v>12443</v>
      </c>
      <c r="N4" s="1671" t="s">
        <v>12444</v>
      </c>
      <c r="O4" s="1671" t="s">
        <v>12443</v>
      </c>
      <c r="P4" s="1671" t="s">
        <v>12444</v>
      </c>
      <c r="Q4" s="1671" t="s">
        <v>11886</v>
      </c>
    </row>
    <row r="5" spans="1:17" ht="28.5" customHeight="1">
      <c r="A5" s="1672">
        <v>10</v>
      </c>
      <c r="B5" s="1672"/>
      <c r="C5" s="1672"/>
      <c r="D5" s="1673">
        <v>10.7</v>
      </c>
      <c r="E5" s="5764" t="s">
        <v>12490</v>
      </c>
      <c r="F5" s="5764">
        <v>1</v>
      </c>
      <c r="G5" s="5764" t="s">
        <v>11772</v>
      </c>
      <c r="H5" s="1673">
        <v>1.8</v>
      </c>
      <c r="I5" s="1673">
        <v>3.1</v>
      </c>
      <c r="J5" s="5756">
        <v>1.2</v>
      </c>
      <c r="K5" s="1673">
        <v>3</v>
      </c>
      <c r="L5" s="1674">
        <v>10</v>
      </c>
      <c r="M5" s="1672">
        <v>10.4</v>
      </c>
      <c r="N5" s="5760" t="s">
        <v>12512</v>
      </c>
      <c r="O5" s="5774">
        <v>1.1499999999999999</v>
      </c>
      <c r="P5" s="5775" t="s">
        <v>12467</v>
      </c>
      <c r="Q5" s="5764">
        <v>1.5</v>
      </c>
    </row>
    <row r="6" spans="1:17" ht="18.75" customHeight="1">
      <c r="A6" s="1672">
        <v>11</v>
      </c>
      <c r="B6" s="1672"/>
      <c r="C6" s="1672"/>
      <c r="D6" s="1673"/>
      <c r="E6" s="5765"/>
      <c r="F6" s="5765"/>
      <c r="G6" s="5765"/>
      <c r="H6" s="1673">
        <v>1.8</v>
      </c>
      <c r="I6" s="1673">
        <v>3.2</v>
      </c>
      <c r="J6" s="5756"/>
      <c r="K6" s="1673">
        <v>4</v>
      </c>
      <c r="L6" s="1674">
        <v>11</v>
      </c>
      <c r="M6" s="1672">
        <v>11.4</v>
      </c>
      <c r="N6" s="5761"/>
      <c r="O6" s="5774"/>
      <c r="P6" s="5775"/>
      <c r="Q6" s="5765"/>
    </row>
    <row r="7" spans="1:17">
      <c r="A7" s="1672">
        <v>12</v>
      </c>
      <c r="B7" s="1672"/>
      <c r="C7" s="1672"/>
      <c r="D7" s="1673"/>
      <c r="E7" s="5765"/>
      <c r="F7" s="5765"/>
      <c r="G7" s="5765"/>
      <c r="H7" s="1673">
        <v>1.8</v>
      </c>
      <c r="I7" s="1673">
        <v>3.3</v>
      </c>
      <c r="J7" s="5756">
        <v>1.5</v>
      </c>
      <c r="K7" s="1673">
        <v>5</v>
      </c>
      <c r="L7" s="1674">
        <v>12</v>
      </c>
      <c r="M7" s="1672">
        <v>12.5</v>
      </c>
      <c r="N7" s="5761"/>
      <c r="O7" s="5774"/>
      <c r="P7" s="5775"/>
      <c r="Q7" s="5765"/>
    </row>
    <row r="8" spans="1:17">
      <c r="A8" s="1672"/>
      <c r="B8" s="1672">
        <v>13</v>
      </c>
      <c r="C8" s="1672"/>
      <c r="D8" s="1673"/>
      <c r="E8" s="5765"/>
      <c r="F8" s="5765"/>
      <c r="G8" s="5765"/>
      <c r="H8" s="1673">
        <v>1.8</v>
      </c>
      <c r="I8" s="1673">
        <v>3.5</v>
      </c>
      <c r="J8" s="5756"/>
      <c r="K8" s="1673">
        <v>6</v>
      </c>
      <c r="L8" s="1674">
        <v>13</v>
      </c>
      <c r="M8" s="1672">
        <v>13.6</v>
      </c>
      <c r="N8" s="5761"/>
      <c r="O8" s="5774"/>
      <c r="P8" s="5775"/>
      <c r="Q8" s="5765"/>
    </row>
    <row r="9" spans="1:17">
      <c r="A9" s="1672">
        <v>14</v>
      </c>
      <c r="B9" s="1672"/>
      <c r="C9" s="1672"/>
      <c r="D9" s="1673"/>
      <c r="E9" s="5765"/>
      <c r="F9" s="5765"/>
      <c r="G9" s="5765"/>
      <c r="H9" s="1673">
        <v>2</v>
      </c>
      <c r="I9" s="1673">
        <v>3.6</v>
      </c>
      <c r="J9" s="5764">
        <v>1.7</v>
      </c>
      <c r="K9" s="1673">
        <v>7</v>
      </c>
      <c r="L9" s="1674">
        <v>14</v>
      </c>
      <c r="M9" s="1672">
        <v>14.6</v>
      </c>
      <c r="N9" s="5761"/>
      <c r="O9" s="5774"/>
      <c r="P9" s="5775"/>
      <c r="Q9" s="5765"/>
    </row>
    <row r="10" spans="1:17">
      <c r="A10" s="1672"/>
      <c r="B10" s="1672">
        <v>15</v>
      </c>
      <c r="C10" s="1672"/>
      <c r="D10" s="1673"/>
      <c r="E10" s="5765"/>
      <c r="F10" s="5765"/>
      <c r="G10" s="5765"/>
      <c r="H10" s="1673">
        <v>2</v>
      </c>
      <c r="I10" s="1673">
        <v>3.6</v>
      </c>
      <c r="J10" s="5765"/>
      <c r="K10" s="1673">
        <v>8</v>
      </c>
      <c r="L10" s="1674">
        <v>15</v>
      </c>
      <c r="M10" s="1672">
        <v>15.7</v>
      </c>
      <c r="N10" s="5761"/>
      <c r="O10" s="5774"/>
      <c r="P10" s="5775"/>
      <c r="Q10" s="5765"/>
    </row>
    <row r="11" spans="1:17">
      <c r="A11" s="1672">
        <v>16</v>
      </c>
      <c r="B11" s="1672"/>
      <c r="C11" s="1672"/>
      <c r="D11" s="1673"/>
      <c r="E11" s="5765"/>
      <c r="F11" s="5765"/>
      <c r="G11" s="5765"/>
      <c r="H11" s="1673">
        <v>2</v>
      </c>
      <c r="I11" s="1673">
        <v>3.7</v>
      </c>
      <c r="J11" s="5765"/>
      <c r="K11" s="1673">
        <v>8</v>
      </c>
      <c r="L11" s="1674">
        <v>16</v>
      </c>
      <c r="M11" s="1672">
        <v>16.8</v>
      </c>
      <c r="N11" s="5761"/>
      <c r="O11" s="5774"/>
      <c r="P11" s="5775"/>
      <c r="Q11" s="5765"/>
    </row>
    <row r="12" spans="1:17">
      <c r="A12" s="1672"/>
      <c r="B12" s="1672">
        <v>17</v>
      </c>
      <c r="C12" s="1672"/>
      <c r="D12" s="1673"/>
      <c r="E12" s="5765" t="s">
        <v>12492</v>
      </c>
      <c r="F12" s="5765"/>
      <c r="G12" s="5765"/>
      <c r="H12" s="1673">
        <v>2</v>
      </c>
      <c r="I12" s="1673">
        <v>3.8</v>
      </c>
      <c r="J12" s="5765"/>
      <c r="K12" s="1673">
        <v>9</v>
      </c>
      <c r="L12" s="1674">
        <v>17</v>
      </c>
      <c r="M12" s="1672">
        <v>17.8</v>
      </c>
      <c r="N12" s="5761"/>
      <c r="O12" s="5774"/>
      <c r="P12" s="5775"/>
      <c r="Q12" s="5765"/>
    </row>
    <row r="13" spans="1:17">
      <c r="A13" s="1672">
        <v>18</v>
      </c>
      <c r="B13" s="1672"/>
      <c r="C13" s="1672"/>
      <c r="D13" s="1673"/>
      <c r="E13" s="5765"/>
      <c r="F13" s="5765"/>
      <c r="G13" s="5765"/>
      <c r="H13" s="1673">
        <v>2.5</v>
      </c>
      <c r="I13" s="1673">
        <v>4</v>
      </c>
      <c r="J13" s="5766"/>
      <c r="K13" s="1673">
        <v>10</v>
      </c>
      <c r="L13" s="1674">
        <v>18</v>
      </c>
      <c r="M13" s="1672">
        <v>19</v>
      </c>
      <c r="N13" s="1675"/>
      <c r="O13" s="5774"/>
      <c r="P13" s="5775"/>
      <c r="Q13" s="5765"/>
    </row>
    <row r="14" spans="1:17">
      <c r="A14" s="1672">
        <v>19</v>
      </c>
      <c r="B14" s="1672"/>
      <c r="C14" s="1672"/>
      <c r="D14" s="1673"/>
      <c r="E14" s="5765"/>
      <c r="F14" s="5765"/>
      <c r="G14" s="5765"/>
      <c r="H14" s="1673">
        <v>2.5</v>
      </c>
      <c r="I14" s="1673">
        <v>4</v>
      </c>
      <c r="J14" s="5764">
        <v>2</v>
      </c>
      <c r="K14" s="1673">
        <v>11</v>
      </c>
      <c r="L14" s="1674">
        <v>19</v>
      </c>
      <c r="M14" s="1672">
        <v>20</v>
      </c>
      <c r="N14" s="1676"/>
      <c r="O14" s="5774"/>
      <c r="P14" s="5775"/>
      <c r="Q14" s="5765"/>
    </row>
    <row r="15" spans="1:17" ht="28.5" customHeight="1">
      <c r="A15" s="1672">
        <v>20</v>
      </c>
      <c r="B15" s="1672"/>
      <c r="C15" s="1672"/>
      <c r="D15" s="1673"/>
      <c r="E15" s="5765"/>
      <c r="F15" s="5765"/>
      <c r="G15" s="5765"/>
      <c r="H15" s="1673">
        <v>2.5</v>
      </c>
      <c r="I15" s="1673">
        <v>4</v>
      </c>
      <c r="J15" s="5765"/>
      <c r="K15" s="1673">
        <v>12</v>
      </c>
      <c r="L15" s="1674">
        <v>20</v>
      </c>
      <c r="M15" s="1672">
        <v>21</v>
      </c>
      <c r="N15" s="5760" t="s">
        <v>12513</v>
      </c>
      <c r="O15" s="5774"/>
      <c r="P15" s="5775"/>
      <c r="Q15" s="5765"/>
    </row>
    <row r="16" spans="1:17">
      <c r="A16" s="1672"/>
      <c r="B16" s="1672"/>
      <c r="C16" s="1672">
        <v>21</v>
      </c>
      <c r="D16" s="1673"/>
      <c r="E16" s="5765"/>
      <c r="F16" s="5765"/>
      <c r="G16" s="5765"/>
      <c r="H16" s="1673">
        <v>2.5</v>
      </c>
      <c r="I16" s="1673">
        <v>4.0999999999999996</v>
      </c>
      <c r="J16" s="5765"/>
      <c r="K16" s="1673">
        <v>12</v>
      </c>
      <c r="L16" s="1674">
        <v>21</v>
      </c>
      <c r="M16" s="1672">
        <v>22</v>
      </c>
      <c r="N16" s="5761"/>
      <c r="O16" s="5774"/>
      <c r="P16" s="5775"/>
      <c r="Q16" s="5765"/>
    </row>
    <row r="17" spans="1:17">
      <c r="A17" s="1672">
        <v>22</v>
      </c>
      <c r="B17" s="1672"/>
      <c r="C17" s="1672"/>
      <c r="D17" s="1673"/>
      <c r="E17" s="5765"/>
      <c r="F17" s="5766"/>
      <c r="G17" s="5766"/>
      <c r="H17" s="1673">
        <v>2.5</v>
      </c>
      <c r="I17" s="1673">
        <v>4.0999999999999996</v>
      </c>
      <c r="J17" s="5765"/>
      <c r="K17" s="1673">
        <v>13</v>
      </c>
      <c r="L17" s="1674">
        <v>22</v>
      </c>
      <c r="M17" s="1672">
        <v>23</v>
      </c>
      <c r="N17" s="5761"/>
      <c r="O17" s="5774"/>
      <c r="P17" s="5775"/>
      <c r="Q17" s="5765"/>
    </row>
    <row r="18" spans="1:17">
      <c r="A18" s="1672"/>
      <c r="B18" s="1672">
        <v>24</v>
      </c>
      <c r="C18" s="1672"/>
      <c r="D18" s="1673"/>
      <c r="E18" s="5765"/>
      <c r="F18" s="5764">
        <v>1.2</v>
      </c>
      <c r="G18" s="5764" t="s">
        <v>12491</v>
      </c>
      <c r="H18" s="1673">
        <v>2.5</v>
      </c>
      <c r="I18" s="1673">
        <v>4.3</v>
      </c>
      <c r="J18" s="5765"/>
      <c r="K18" s="1673">
        <v>15</v>
      </c>
      <c r="L18" s="1674">
        <v>24</v>
      </c>
      <c r="M18" s="1672">
        <v>25.2</v>
      </c>
      <c r="N18" s="5761"/>
      <c r="O18" s="5774">
        <v>1.35</v>
      </c>
      <c r="P18" s="5775"/>
      <c r="Q18" s="5765"/>
    </row>
    <row r="19" spans="1:17">
      <c r="A19" s="1672">
        <v>25</v>
      </c>
      <c r="B19" s="1672"/>
      <c r="C19" s="1672"/>
      <c r="D19" s="1673"/>
      <c r="E19" s="5765"/>
      <c r="F19" s="5765"/>
      <c r="G19" s="5765"/>
      <c r="H19" s="1673">
        <v>3</v>
      </c>
      <c r="I19" s="1673">
        <v>4.4000000000000004</v>
      </c>
      <c r="J19" s="5765"/>
      <c r="K19" s="494">
        <v>16</v>
      </c>
      <c r="L19" s="1674">
        <v>25</v>
      </c>
      <c r="M19" s="1672">
        <v>26.2</v>
      </c>
      <c r="N19" s="5761"/>
      <c r="O19" s="5774"/>
      <c r="P19" s="5775"/>
      <c r="Q19" s="5765"/>
    </row>
    <row r="20" spans="1:17">
      <c r="A20" s="1672"/>
      <c r="B20" s="1672">
        <v>26</v>
      </c>
      <c r="C20" s="1672"/>
      <c r="D20" s="1673"/>
      <c r="E20" s="5766"/>
      <c r="F20" s="5765"/>
      <c r="G20" s="5765"/>
      <c r="H20" s="1673">
        <v>3</v>
      </c>
      <c r="I20" s="1673">
        <v>4.5999999999999996</v>
      </c>
      <c r="J20" s="5765"/>
      <c r="K20" s="1673">
        <v>16</v>
      </c>
      <c r="L20" s="1674">
        <v>26</v>
      </c>
      <c r="M20" s="1672">
        <v>27.2</v>
      </c>
      <c r="N20" s="5761"/>
      <c r="O20" s="5774"/>
      <c r="P20" s="5775"/>
      <c r="Q20" s="5765"/>
    </row>
    <row r="21" spans="1:17">
      <c r="A21" s="1672">
        <v>28</v>
      </c>
      <c r="B21" s="1672"/>
      <c r="C21" s="1672"/>
      <c r="D21" s="1673"/>
      <c r="E21" s="5764" t="s">
        <v>12496</v>
      </c>
      <c r="F21" s="5765"/>
      <c r="G21" s="5765"/>
      <c r="H21" s="1673">
        <v>3</v>
      </c>
      <c r="I21" s="1673">
        <v>4.5999999999999996</v>
      </c>
      <c r="J21" s="5765"/>
      <c r="K21" s="1673">
        <v>18</v>
      </c>
      <c r="L21" s="1674">
        <v>28</v>
      </c>
      <c r="M21" s="1672">
        <v>29.4</v>
      </c>
      <c r="N21" s="5761"/>
      <c r="O21" s="5774"/>
      <c r="P21" s="5775"/>
      <c r="Q21" s="5765"/>
    </row>
    <row r="22" spans="1:17">
      <c r="A22" s="1672">
        <v>30</v>
      </c>
      <c r="B22" s="1672"/>
      <c r="C22" s="1672"/>
      <c r="D22" s="1673"/>
      <c r="E22" s="5765"/>
      <c r="F22" s="5765"/>
      <c r="G22" s="5765"/>
      <c r="H22" s="1673">
        <v>3</v>
      </c>
      <c r="I22" s="1673">
        <v>4.7</v>
      </c>
      <c r="J22" s="5765"/>
      <c r="K22" s="1673">
        <v>20</v>
      </c>
      <c r="L22" s="1674">
        <v>30</v>
      </c>
      <c r="M22" s="1672">
        <v>31.4</v>
      </c>
      <c r="N22" s="5761" t="s">
        <v>12514</v>
      </c>
      <c r="O22" s="5774"/>
      <c r="P22" s="5775"/>
      <c r="Q22" s="5765"/>
    </row>
    <row r="23" spans="1:17">
      <c r="A23" s="1672">
        <v>32</v>
      </c>
      <c r="B23" s="1672"/>
      <c r="C23" s="1672"/>
      <c r="D23" s="1673"/>
      <c r="E23" s="5765"/>
      <c r="F23" s="5766"/>
      <c r="G23" s="5765"/>
      <c r="H23" s="1673">
        <v>3.5</v>
      </c>
      <c r="I23" s="1673">
        <v>5.2</v>
      </c>
      <c r="J23" s="5766"/>
      <c r="K23" s="1673">
        <v>21</v>
      </c>
      <c r="L23" s="1674">
        <v>32</v>
      </c>
      <c r="M23" s="1672">
        <v>33.700000000000003</v>
      </c>
      <c r="N23" s="5761"/>
      <c r="O23" s="5774"/>
      <c r="P23" s="5775"/>
      <c r="Q23" s="5766"/>
    </row>
    <row r="24" spans="1:17">
      <c r="A24" s="1672"/>
      <c r="B24" s="1672"/>
      <c r="C24" s="1672">
        <v>34</v>
      </c>
      <c r="D24" s="1673"/>
      <c r="E24" s="5765"/>
      <c r="F24" s="5764" t="s">
        <v>12494</v>
      </c>
      <c r="G24" s="5765"/>
      <c r="H24" s="1673">
        <v>3.5</v>
      </c>
      <c r="I24" s="1673">
        <v>5.2</v>
      </c>
      <c r="J24" s="5764">
        <v>2.5</v>
      </c>
      <c r="K24" s="1673">
        <v>23</v>
      </c>
      <c r="L24" s="1674">
        <v>34</v>
      </c>
      <c r="M24" s="1672">
        <v>35.700000000000003</v>
      </c>
      <c r="N24" s="5761"/>
      <c r="O24" s="5777" t="s">
        <v>12515</v>
      </c>
      <c r="P24" s="5775"/>
      <c r="Q24" s="5764">
        <v>2</v>
      </c>
    </row>
    <row r="25" spans="1:17">
      <c r="A25" s="1672">
        <v>35</v>
      </c>
      <c r="B25" s="1672"/>
      <c r="C25" s="1672"/>
      <c r="D25" s="1673"/>
      <c r="E25" s="5765"/>
      <c r="F25" s="5765"/>
      <c r="G25" s="5765"/>
      <c r="H25" s="1673">
        <v>3.5</v>
      </c>
      <c r="I25" s="1673">
        <v>5.2</v>
      </c>
      <c r="J25" s="5765"/>
      <c r="K25" s="1673">
        <v>24</v>
      </c>
      <c r="L25" s="1674">
        <v>35</v>
      </c>
      <c r="M25" s="1672">
        <v>37</v>
      </c>
      <c r="N25" s="5761"/>
      <c r="O25" s="5774"/>
      <c r="P25" s="5775"/>
      <c r="Q25" s="5765"/>
    </row>
    <row r="26" spans="1:17">
      <c r="A26" s="1672"/>
      <c r="B26" s="1672">
        <v>36</v>
      </c>
      <c r="C26" s="1672"/>
      <c r="D26" s="1673"/>
      <c r="E26" s="5765"/>
      <c r="F26" s="5765"/>
      <c r="G26" s="5765"/>
      <c r="H26" s="1673">
        <v>3.5</v>
      </c>
      <c r="I26" s="1673">
        <v>5.2</v>
      </c>
      <c r="J26" s="5765"/>
      <c r="K26" s="1673">
        <v>25</v>
      </c>
      <c r="L26" s="1674">
        <v>36</v>
      </c>
      <c r="M26" s="1672">
        <v>38</v>
      </c>
      <c r="N26" s="5761"/>
      <c r="O26" s="5774"/>
      <c r="P26" s="5775"/>
      <c r="Q26" s="5765"/>
    </row>
    <row r="27" spans="1:17">
      <c r="A27" s="1672">
        <v>37</v>
      </c>
      <c r="B27" s="1672"/>
      <c r="C27" s="1672"/>
      <c r="D27" s="1673"/>
      <c r="E27" s="5765"/>
      <c r="F27" s="5765"/>
      <c r="G27" s="5765"/>
      <c r="H27" s="1673">
        <v>3.5</v>
      </c>
      <c r="I27" s="1673">
        <v>5.2</v>
      </c>
      <c r="J27" s="5765"/>
      <c r="K27" s="1673">
        <v>26</v>
      </c>
      <c r="L27" s="1674">
        <v>37</v>
      </c>
      <c r="M27" s="1672">
        <v>39</v>
      </c>
      <c r="N27" s="5761"/>
      <c r="O27" s="5774"/>
      <c r="P27" s="5775"/>
      <c r="Q27" s="5765"/>
    </row>
    <row r="28" spans="1:17">
      <c r="A28" s="1672"/>
      <c r="B28" s="1672">
        <v>38</v>
      </c>
      <c r="C28" s="1672"/>
      <c r="D28" s="1673"/>
      <c r="E28" s="5766"/>
      <c r="F28" s="5766"/>
      <c r="G28" s="5766"/>
      <c r="H28" s="1673">
        <v>4</v>
      </c>
      <c r="I28" s="1673">
        <v>5.3</v>
      </c>
      <c r="J28" s="5765"/>
      <c r="K28" s="1673">
        <v>27</v>
      </c>
      <c r="L28" s="1674">
        <v>38</v>
      </c>
      <c r="M28" s="1672">
        <v>40</v>
      </c>
      <c r="N28" s="5761"/>
      <c r="O28" s="5774"/>
      <c r="P28" s="5775"/>
      <c r="Q28" s="5765"/>
    </row>
    <row r="29" spans="1:17">
      <c r="A29" s="1672">
        <v>40</v>
      </c>
      <c r="B29" s="1672"/>
      <c r="C29" s="1672"/>
      <c r="D29" s="1673"/>
      <c r="E29" s="5764" t="s">
        <v>11785</v>
      </c>
      <c r="F29" s="5764">
        <v>1.8</v>
      </c>
      <c r="G29" s="5764" t="s">
        <v>12497</v>
      </c>
      <c r="H29" s="1673">
        <v>4</v>
      </c>
      <c r="I29" s="1673">
        <v>5.7</v>
      </c>
      <c r="J29" s="5765"/>
      <c r="K29" s="1673">
        <v>28</v>
      </c>
      <c r="L29" s="1674">
        <v>40</v>
      </c>
      <c r="M29" s="1672">
        <v>42.5</v>
      </c>
      <c r="N29" s="5761"/>
      <c r="O29" s="5774">
        <v>1.95</v>
      </c>
      <c r="P29" s="5775"/>
      <c r="Q29" s="5765"/>
    </row>
    <row r="30" spans="1:17">
      <c r="A30" s="1672">
        <v>42</v>
      </c>
      <c r="B30" s="1672"/>
      <c r="C30" s="1672"/>
      <c r="D30" s="1673"/>
      <c r="E30" s="5765"/>
      <c r="F30" s="5765"/>
      <c r="G30" s="5765"/>
      <c r="H30" s="1673">
        <v>4</v>
      </c>
      <c r="I30" s="1673">
        <v>5.8</v>
      </c>
      <c r="J30" s="5765"/>
      <c r="K30" s="1673">
        <v>30</v>
      </c>
      <c r="L30" s="1674">
        <v>42</v>
      </c>
      <c r="M30" s="1672">
        <v>44.5</v>
      </c>
      <c r="N30" s="5761"/>
      <c r="O30" s="5774"/>
      <c r="P30" s="5775"/>
      <c r="Q30" s="5765"/>
    </row>
    <row r="31" spans="1:17">
      <c r="A31" s="1672">
        <v>45</v>
      </c>
      <c r="B31" s="1672"/>
      <c r="C31" s="1672"/>
      <c r="D31" s="1673"/>
      <c r="E31" s="5766"/>
      <c r="F31" s="5765"/>
      <c r="G31" s="5765"/>
      <c r="H31" s="1673">
        <v>4.5</v>
      </c>
      <c r="I31" s="1673">
        <v>5.9</v>
      </c>
      <c r="J31" s="5765"/>
      <c r="K31" s="1673">
        <v>33</v>
      </c>
      <c r="L31" s="1674">
        <v>45</v>
      </c>
      <c r="M31" s="1672">
        <v>47.5</v>
      </c>
      <c r="N31" s="5761"/>
      <c r="O31" s="5774"/>
      <c r="P31" s="5775"/>
      <c r="Q31" s="5765"/>
    </row>
    <row r="32" spans="1:17">
      <c r="A32" s="1672">
        <v>47</v>
      </c>
      <c r="B32" s="1672"/>
      <c r="C32" s="1672"/>
      <c r="D32" s="1673"/>
      <c r="E32" s="5764" t="s">
        <v>12499</v>
      </c>
      <c r="F32" s="5765"/>
      <c r="G32" s="5765"/>
      <c r="H32" s="1673">
        <v>4.5</v>
      </c>
      <c r="I32" s="1673">
        <v>6.1</v>
      </c>
      <c r="J32" s="5765"/>
      <c r="K32" s="1673">
        <v>34</v>
      </c>
      <c r="L32" s="1674">
        <v>47</v>
      </c>
      <c r="M32" s="1672">
        <v>49.5</v>
      </c>
      <c r="N32" s="5761"/>
      <c r="O32" s="5774"/>
      <c r="P32" s="5775"/>
      <c r="Q32" s="5765"/>
    </row>
    <row r="33" spans="1:17">
      <c r="A33" s="1672"/>
      <c r="B33" s="1672">
        <v>48</v>
      </c>
      <c r="C33" s="1672"/>
      <c r="D33" s="1673"/>
      <c r="E33" s="5765"/>
      <c r="F33" s="5766"/>
      <c r="G33" s="5765"/>
      <c r="H33" s="1673">
        <v>4.5</v>
      </c>
      <c r="I33" s="1673">
        <v>6.2</v>
      </c>
      <c r="J33" s="5765"/>
      <c r="K33" s="1673">
        <v>35</v>
      </c>
      <c r="L33" s="1674">
        <v>48</v>
      </c>
      <c r="M33" s="1672">
        <v>50.5</v>
      </c>
      <c r="N33" s="5761" t="s">
        <v>12516</v>
      </c>
      <c r="O33" s="5774"/>
      <c r="P33" s="5775"/>
      <c r="Q33" s="5765"/>
    </row>
    <row r="34" spans="1:17">
      <c r="A34" s="1672">
        <v>50</v>
      </c>
      <c r="B34" s="1672"/>
      <c r="C34" s="1672"/>
      <c r="D34" s="1673"/>
      <c r="E34" s="5765"/>
      <c r="F34" s="5764">
        <v>2</v>
      </c>
      <c r="G34" s="5765"/>
      <c r="H34" s="1673">
        <v>4.5</v>
      </c>
      <c r="I34" s="1673">
        <v>6.5</v>
      </c>
      <c r="J34" s="5765"/>
      <c r="K34" s="1673">
        <v>37</v>
      </c>
      <c r="L34" s="1674">
        <v>50</v>
      </c>
      <c r="M34" s="1672">
        <v>53</v>
      </c>
      <c r="N34" s="5761"/>
      <c r="O34" s="5774">
        <v>2.2000000000000002</v>
      </c>
      <c r="P34" s="5775"/>
      <c r="Q34" s="5765"/>
    </row>
    <row r="35" spans="1:17">
      <c r="A35" s="1672">
        <v>52</v>
      </c>
      <c r="B35" s="1672"/>
      <c r="C35" s="1672"/>
      <c r="D35" s="1673"/>
      <c r="E35" s="5765"/>
      <c r="F35" s="5765"/>
      <c r="G35" s="5765"/>
      <c r="H35" s="1673">
        <v>5.0999999999999996</v>
      </c>
      <c r="I35" s="1673">
        <v>6.5</v>
      </c>
      <c r="J35" s="5765"/>
      <c r="K35" s="1673">
        <v>39</v>
      </c>
      <c r="L35" s="1674">
        <v>52</v>
      </c>
      <c r="M35" s="1672">
        <v>55</v>
      </c>
      <c r="N35" s="5761"/>
      <c r="O35" s="5774"/>
      <c r="P35" s="5775"/>
      <c r="Q35" s="5765"/>
    </row>
    <row r="36" spans="1:17">
      <c r="A36" s="1672">
        <v>55</v>
      </c>
      <c r="B36" s="1672"/>
      <c r="C36" s="1672"/>
      <c r="D36" s="1673"/>
      <c r="E36" s="5765"/>
      <c r="F36" s="5765"/>
      <c r="G36" s="5765"/>
      <c r="H36" s="1673">
        <v>5.0999999999999996</v>
      </c>
      <c r="I36" s="1673">
        <v>6.5</v>
      </c>
      <c r="J36" s="5765"/>
      <c r="K36" s="1673">
        <v>41</v>
      </c>
      <c r="L36" s="1674">
        <v>55</v>
      </c>
      <c r="M36" s="1672">
        <v>58</v>
      </c>
      <c r="N36" s="5761"/>
      <c r="O36" s="5774"/>
      <c r="P36" s="5775"/>
      <c r="Q36" s="5765"/>
    </row>
    <row r="37" spans="1:17">
      <c r="A37" s="1672"/>
      <c r="B37" s="1672">
        <v>56</v>
      </c>
      <c r="C37" s="1672"/>
      <c r="D37" s="1673"/>
      <c r="E37" s="5765"/>
      <c r="F37" s="5765"/>
      <c r="G37" s="5765"/>
      <c r="H37" s="1673">
        <v>5.0999999999999996</v>
      </c>
      <c r="I37" s="1673">
        <v>6.5</v>
      </c>
      <c r="J37" s="5765"/>
      <c r="K37" s="1673">
        <v>42</v>
      </c>
      <c r="L37" s="1674">
        <v>56</v>
      </c>
      <c r="M37" s="1672">
        <v>59</v>
      </c>
      <c r="N37" s="5761"/>
      <c r="O37" s="5774"/>
      <c r="P37" s="5775"/>
      <c r="Q37" s="5765"/>
    </row>
    <row r="38" spans="1:17">
      <c r="A38" s="1672"/>
      <c r="B38" s="1672"/>
      <c r="C38" s="1672">
        <v>58</v>
      </c>
      <c r="D38" s="1673"/>
      <c r="E38" s="5765"/>
      <c r="F38" s="5765"/>
      <c r="G38" s="5765"/>
      <c r="H38" s="1673">
        <v>5.0999999999999996</v>
      </c>
      <c r="I38" s="1673">
        <v>6.8</v>
      </c>
      <c r="J38" s="5765"/>
      <c r="K38" s="1673">
        <v>44</v>
      </c>
      <c r="L38" s="1674">
        <v>58</v>
      </c>
      <c r="M38" s="1672">
        <v>61</v>
      </c>
      <c r="N38" s="5761"/>
      <c r="O38" s="5774"/>
      <c r="P38" s="5775"/>
      <c r="Q38" s="5765"/>
    </row>
    <row r="39" spans="1:17">
      <c r="A39" s="1672">
        <v>60</v>
      </c>
      <c r="B39" s="1672"/>
      <c r="C39" s="1672"/>
      <c r="D39" s="1673"/>
      <c r="E39" s="5765"/>
      <c r="F39" s="5765"/>
      <c r="G39" s="5765"/>
      <c r="H39" s="1673">
        <v>5.5</v>
      </c>
      <c r="I39" s="1673">
        <v>6.8</v>
      </c>
      <c r="J39" s="5765"/>
      <c r="K39" s="1673">
        <v>46</v>
      </c>
      <c r="L39" s="1674">
        <v>60</v>
      </c>
      <c r="M39" s="1672">
        <v>63</v>
      </c>
      <c r="N39" s="5761"/>
      <c r="O39" s="5774"/>
      <c r="P39" s="5775"/>
      <c r="Q39" s="5765"/>
    </row>
    <row r="40" spans="1:17">
      <c r="A40" s="1672">
        <v>62</v>
      </c>
      <c r="B40" s="1672"/>
      <c r="C40" s="1672"/>
      <c r="D40" s="1673"/>
      <c r="E40" s="5765"/>
      <c r="F40" s="5765"/>
      <c r="G40" s="5765"/>
      <c r="H40" s="1673">
        <v>5.5</v>
      </c>
      <c r="I40" s="1673">
        <v>6.9</v>
      </c>
      <c r="J40" s="5765"/>
      <c r="K40" s="1673">
        <v>48</v>
      </c>
      <c r="L40" s="1674">
        <v>62</v>
      </c>
      <c r="M40" s="1672">
        <v>65</v>
      </c>
      <c r="N40" s="5761"/>
      <c r="O40" s="5774"/>
      <c r="P40" s="5775"/>
      <c r="Q40" s="5765"/>
    </row>
    <row r="41" spans="1:17">
      <c r="A41" s="1672"/>
      <c r="B41" s="1672">
        <v>63</v>
      </c>
      <c r="C41" s="1672"/>
      <c r="D41" s="1673"/>
      <c r="E41" s="5765"/>
      <c r="F41" s="5766"/>
      <c r="G41" s="5766"/>
      <c r="H41" s="1673">
        <v>5.5</v>
      </c>
      <c r="I41" s="1673">
        <v>6.9</v>
      </c>
      <c r="J41" s="5765"/>
      <c r="K41" s="1673">
        <v>49</v>
      </c>
      <c r="L41" s="1674">
        <v>63</v>
      </c>
      <c r="M41" s="1672">
        <v>66</v>
      </c>
      <c r="N41" s="5761"/>
      <c r="O41" s="5774"/>
      <c r="P41" s="5775"/>
      <c r="Q41" s="5766"/>
    </row>
    <row r="42" spans="1:17">
      <c r="A42" s="1672"/>
      <c r="B42" s="1672">
        <v>65</v>
      </c>
      <c r="C42" s="1672"/>
      <c r="D42" s="1673"/>
      <c r="E42" s="5765"/>
      <c r="F42" s="5764">
        <v>2.5</v>
      </c>
      <c r="G42" s="5764" t="s">
        <v>12501</v>
      </c>
      <c r="H42" s="1673">
        <v>5.5</v>
      </c>
      <c r="I42" s="1673">
        <v>7</v>
      </c>
      <c r="J42" s="5765"/>
      <c r="K42" s="1673">
        <v>50</v>
      </c>
      <c r="L42" s="1674">
        <v>65</v>
      </c>
      <c r="M42" s="1672">
        <v>68</v>
      </c>
      <c r="N42" s="5761"/>
      <c r="O42" s="5774">
        <v>2.7</v>
      </c>
      <c r="P42" s="5775"/>
      <c r="Q42" s="5764">
        <v>2.5</v>
      </c>
    </row>
    <row r="43" spans="1:17">
      <c r="A43" s="1672">
        <v>68</v>
      </c>
      <c r="B43" s="1672"/>
      <c r="C43" s="1672"/>
      <c r="D43" s="1673"/>
      <c r="E43" s="5765"/>
      <c r="F43" s="5765"/>
      <c r="G43" s="5765"/>
      <c r="H43" s="1673">
        <v>6</v>
      </c>
      <c r="I43" s="1673">
        <v>7.4</v>
      </c>
      <c r="J43" s="5765"/>
      <c r="K43" s="1673">
        <v>53</v>
      </c>
      <c r="L43" s="1674">
        <v>68</v>
      </c>
      <c r="M43" s="1672">
        <v>71</v>
      </c>
      <c r="N43" s="5761"/>
      <c r="O43" s="5774"/>
      <c r="P43" s="5775"/>
      <c r="Q43" s="5765"/>
    </row>
    <row r="44" spans="1:17">
      <c r="A44" s="1672"/>
      <c r="B44" s="1672">
        <v>70</v>
      </c>
      <c r="C44" s="1672"/>
      <c r="D44" s="1673"/>
      <c r="E44" s="5765"/>
      <c r="F44" s="5765"/>
      <c r="G44" s="5765"/>
      <c r="H44" s="1673">
        <v>6</v>
      </c>
      <c r="I44" s="1673">
        <v>7.4</v>
      </c>
      <c r="J44" s="5765"/>
      <c r="K44" s="1673">
        <v>55</v>
      </c>
      <c r="L44" s="1674">
        <v>70</v>
      </c>
      <c r="M44" s="1672">
        <v>73</v>
      </c>
      <c r="N44" s="5761"/>
      <c r="O44" s="5774"/>
      <c r="P44" s="5775"/>
      <c r="Q44" s="5765"/>
    </row>
    <row r="45" spans="1:17">
      <c r="A45" s="1672">
        <v>72</v>
      </c>
      <c r="B45" s="1672"/>
      <c r="C45" s="1672"/>
      <c r="D45" s="1673"/>
      <c r="E45" s="5765"/>
      <c r="F45" s="5765"/>
      <c r="G45" s="5765"/>
      <c r="H45" s="1673">
        <v>6.6</v>
      </c>
      <c r="I45" s="1673">
        <v>7.4</v>
      </c>
      <c r="J45" s="5765"/>
      <c r="K45" s="1673">
        <v>57</v>
      </c>
      <c r="L45" s="1674">
        <v>72</v>
      </c>
      <c r="M45" s="1672">
        <v>75</v>
      </c>
      <c r="N45" s="5761"/>
      <c r="O45" s="5774"/>
      <c r="P45" s="5775"/>
      <c r="Q45" s="5765"/>
    </row>
    <row r="46" spans="1:17">
      <c r="A46" s="1672">
        <v>75</v>
      </c>
      <c r="B46" s="1672"/>
      <c r="C46" s="1672"/>
      <c r="D46" s="1673"/>
      <c r="E46" s="5766"/>
      <c r="F46" s="5765"/>
      <c r="G46" s="5765"/>
      <c r="H46" s="1673">
        <v>6.6</v>
      </c>
      <c r="I46" s="1673">
        <v>7.8</v>
      </c>
      <c r="J46" s="5765"/>
      <c r="K46" s="1673">
        <v>60</v>
      </c>
      <c r="L46" s="1674">
        <v>75</v>
      </c>
      <c r="M46" s="1672">
        <v>78</v>
      </c>
      <c r="N46" s="5761"/>
      <c r="O46" s="5774"/>
      <c r="P46" s="5775"/>
      <c r="Q46" s="5765"/>
    </row>
    <row r="47" spans="1:17">
      <c r="A47" s="1672"/>
      <c r="B47" s="1672"/>
      <c r="C47" s="1672">
        <v>78</v>
      </c>
      <c r="D47" s="1673"/>
      <c r="E47" s="5764" t="s">
        <v>12505</v>
      </c>
      <c r="F47" s="5765"/>
      <c r="G47" s="5765"/>
      <c r="H47" s="1673">
        <v>6.6</v>
      </c>
      <c r="I47" s="1673">
        <v>8</v>
      </c>
      <c r="J47" s="5765"/>
      <c r="K47" s="1673">
        <v>62</v>
      </c>
      <c r="L47" s="1674">
        <v>78</v>
      </c>
      <c r="M47" s="1672">
        <v>81</v>
      </c>
      <c r="N47" s="5761" t="s">
        <v>12517</v>
      </c>
      <c r="O47" s="5774"/>
      <c r="P47" s="5775"/>
      <c r="Q47" s="5765"/>
    </row>
    <row r="48" spans="1:17" ht="14.25" customHeight="1">
      <c r="A48" s="1672">
        <v>80</v>
      </c>
      <c r="B48" s="1672"/>
      <c r="C48" s="1672"/>
      <c r="D48" s="1673"/>
      <c r="E48" s="5765"/>
      <c r="F48" s="5765"/>
      <c r="G48" s="5765"/>
      <c r="H48" s="1673">
        <v>7</v>
      </c>
      <c r="I48" s="1673">
        <v>8</v>
      </c>
      <c r="J48" s="5765"/>
      <c r="K48" s="1673">
        <v>64</v>
      </c>
      <c r="L48" s="1674">
        <v>80</v>
      </c>
      <c r="M48" s="1672">
        <v>83.5</v>
      </c>
      <c r="N48" s="5761"/>
      <c r="O48" s="5774"/>
      <c r="P48" s="5775"/>
      <c r="Q48" s="5765"/>
    </row>
    <row r="49" spans="1:17">
      <c r="A49" s="1672"/>
      <c r="B49" s="1672"/>
      <c r="C49" s="1672">
        <v>82</v>
      </c>
      <c r="D49" s="1673"/>
      <c r="E49" s="5765"/>
      <c r="F49" s="5766"/>
      <c r="G49" s="5766"/>
      <c r="H49" s="1673">
        <v>7</v>
      </c>
      <c r="I49" s="1673">
        <v>8</v>
      </c>
      <c r="J49" s="5765">
        <v>3</v>
      </c>
      <c r="K49" s="1673">
        <v>66</v>
      </c>
      <c r="L49" s="1674">
        <v>82</v>
      </c>
      <c r="M49" s="1672">
        <v>85.5</v>
      </c>
      <c r="N49" s="5761"/>
      <c r="O49" s="5774"/>
      <c r="P49" s="5775"/>
      <c r="Q49" s="5766"/>
    </row>
    <row r="50" spans="1:17">
      <c r="A50" s="1672">
        <v>85</v>
      </c>
      <c r="B50" s="1672"/>
      <c r="C50" s="1672"/>
      <c r="D50" s="1673"/>
      <c r="E50" s="5765"/>
      <c r="F50" s="5764">
        <v>3</v>
      </c>
      <c r="G50" s="5764" t="s">
        <v>12502</v>
      </c>
      <c r="H50" s="1673">
        <v>7</v>
      </c>
      <c r="I50" s="1673">
        <v>8</v>
      </c>
      <c r="J50" s="5765"/>
      <c r="K50" s="1673">
        <v>69</v>
      </c>
      <c r="L50" s="1674">
        <v>85</v>
      </c>
      <c r="M50" s="1672">
        <v>88.5</v>
      </c>
      <c r="N50" s="5761"/>
      <c r="O50" s="5774">
        <v>3.2</v>
      </c>
      <c r="P50" s="5776" t="s">
        <v>12518</v>
      </c>
      <c r="Q50" s="5764">
        <v>3</v>
      </c>
    </row>
    <row r="51" spans="1:17">
      <c r="A51" s="1672"/>
      <c r="B51" s="1672"/>
      <c r="C51" s="1672">
        <v>88</v>
      </c>
      <c r="D51" s="1673"/>
      <c r="E51" s="5765"/>
      <c r="F51" s="5765"/>
      <c r="G51" s="5765"/>
      <c r="H51" s="1673">
        <v>7.6</v>
      </c>
      <c r="I51" s="1673">
        <v>8.1999999999999993</v>
      </c>
      <c r="J51" s="5765"/>
      <c r="K51" s="1673">
        <v>71</v>
      </c>
      <c r="L51" s="1674">
        <v>88</v>
      </c>
      <c r="M51" s="1672">
        <v>91.5</v>
      </c>
      <c r="N51" s="5761"/>
      <c r="O51" s="5774"/>
      <c r="P51" s="5775"/>
      <c r="Q51" s="5765"/>
    </row>
    <row r="52" spans="1:17">
      <c r="A52" s="1672">
        <v>90</v>
      </c>
      <c r="B52" s="1672"/>
      <c r="C52" s="1672"/>
      <c r="D52" s="1673"/>
      <c r="E52" s="5765"/>
      <c r="F52" s="5765"/>
      <c r="G52" s="5765"/>
      <c r="H52" s="1673">
        <v>7.6</v>
      </c>
      <c r="I52" s="1673">
        <v>8.3000000000000007</v>
      </c>
      <c r="J52" s="5765"/>
      <c r="K52" s="1673">
        <v>73</v>
      </c>
      <c r="L52" s="1674">
        <v>90</v>
      </c>
      <c r="M52" s="1672">
        <v>93.5</v>
      </c>
      <c r="N52" s="5761"/>
      <c r="O52" s="5774"/>
      <c r="P52" s="5775"/>
      <c r="Q52" s="5765"/>
    </row>
    <row r="53" spans="1:17" ht="14.25" customHeight="1">
      <c r="A53" s="1672"/>
      <c r="B53" s="1672"/>
      <c r="C53" s="1672">
        <v>92</v>
      </c>
      <c r="D53" s="1673"/>
      <c r="E53" s="5765"/>
      <c r="F53" s="5765"/>
      <c r="G53" s="5765"/>
      <c r="H53" s="1673">
        <v>8</v>
      </c>
      <c r="I53" s="1673">
        <v>8.3000000000000007</v>
      </c>
      <c r="J53" s="5765"/>
      <c r="K53" s="1673">
        <v>74</v>
      </c>
      <c r="L53" s="1674">
        <v>92</v>
      </c>
      <c r="M53" s="1672">
        <v>95.5</v>
      </c>
      <c r="N53" s="5761"/>
      <c r="O53" s="5774"/>
      <c r="P53" s="5775"/>
      <c r="Q53" s="5765"/>
    </row>
    <row r="54" spans="1:17">
      <c r="A54" s="1672">
        <v>95</v>
      </c>
      <c r="B54" s="1672"/>
      <c r="C54" s="1672"/>
      <c r="D54" s="1673"/>
      <c r="E54" s="5765"/>
      <c r="F54" s="5765"/>
      <c r="G54" s="5765"/>
      <c r="H54" s="494">
        <v>8</v>
      </c>
      <c r="I54" s="1673">
        <v>8.5</v>
      </c>
      <c r="J54" s="5765"/>
      <c r="K54" s="1673">
        <v>77</v>
      </c>
      <c r="L54" s="1674">
        <v>95</v>
      </c>
      <c r="M54" s="1672">
        <v>98.5</v>
      </c>
      <c r="N54" s="5761"/>
      <c r="O54" s="5774"/>
      <c r="P54" s="5775"/>
      <c r="Q54" s="5765"/>
    </row>
    <row r="55" spans="1:17">
      <c r="A55" s="1672"/>
      <c r="B55" s="1672"/>
      <c r="C55" s="1672">
        <v>98</v>
      </c>
      <c r="D55" s="1673"/>
      <c r="E55" s="5765"/>
      <c r="F55" s="5765"/>
      <c r="G55" s="5765"/>
      <c r="H55" s="1673">
        <v>8.3000000000000007</v>
      </c>
      <c r="I55" s="1673">
        <v>8.6999999999999993</v>
      </c>
      <c r="J55" s="5765"/>
      <c r="K55" s="1673">
        <v>80</v>
      </c>
      <c r="L55" s="1674">
        <v>98</v>
      </c>
      <c r="M55" s="1672">
        <v>101.5</v>
      </c>
      <c r="N55" s="5761"/>
      <c r="O55" s="5774"/>
      <c r="P55" s="5775"/>
      <c r="Q55" s="5765"/>
    </row>
    <row r="56" spans="1:17">
      <c r="A56" s="1672">
        <v>100</v>
      </c>
      <c r="B56" s="1672"/>
      <c r="C56" s="1672"/>
      <c r="D56" s="1673"/>
      <c r="E56" s="5765"/>
      <c r="F56" s="5766"/>
      <c r="G56" s="5765"/>
      <c r="H56" s="1673">
        <v>8.3000000000000007</v>
      </c>
      <c r="I56" s="1673">
        <v>8.8000000000000007</v>
      </c>
      <c r="J56" s="5765"/>
      <c r="K56" s="1673">
        <v>82</v>
      </c>
      <c r="L56" s="1674">
        <v>100</v>
      </c>
      <c r="M56" s="1672">
        <v>103.5</v>
      </c>
      <c r="N56" s="5762"/>
      <c r="O56" s="5774"/>
      <c r="P56" s="5775"/>
      <c r="Q56" s="5766"/>
    </row>
    <row r="57" spans="1:17" ht="28.5" customHeight="1">
      <c r="A57" s="1672"/>
      <c r="B57" s="1672"/>
      <c r="C57" s="1672">
        <v>102</v>
      </c>
      <c r="D57" s="1673"/>
      <c r="E57" s="5765"/>
      <c r="F57" s="5764">
        <v>4</v>
      </c>
      <c r="G57" s="5765"/>
      <c r="H57" s="1673">
        <v>8.9</v>
      </c>
      <c r="I57" s="1673">
        <v>9</v>
      </c>
      <c r="J57" s="5765"/>
      <c r="K57" s="1673">
        <v>83</v>
      </c>
      <c r="L57" s="1674">
        <v>102</v>
      </c>
      <c r="M57" s="1672">
        <v>106</v>
      </c>
      <c r="N57" s="5760" t="s">
        <v>12519</v>
      </c>
      <c r="O57" s="5774">
        <v>4.2</v>
      </c>
      <c r="P57" s="5775"/>
      <c r="Q57" s="5764">
        <v>4</v>
      </c>
    </row>
    <row r="58" spans="1:17">
      <c r="A58" s="1672"/>
      <c r="B58" s="1672">
        <v>105</v>
      </c>
      <c r="C58" s="1672"/>
      <c r="D58" s="1673"/>
      <c r="E58" s="5765"/>
      <c r="F58" s="5765"/>
      <c r="G58" s="5765"/>
      <c r="H58" s="1673">
        <v>8.9</v>
      </c>
      <c r="I58" s="1673">
        <v>9.1</v>
      </c>
      <c r="J58" s="5765"/>
      <c r="K58" s="1673">
        <v>86</v>
      </c>
      <c r="L58" s="1678">
        <v>105</v>
      </c>
      <c r="M58" s="1672">
        <v>109</v>
      </c>
      <c r="N58" s="5761"/>
      <c r="O58" s="5774"/>
      <c r="P58" s="5775"/>
      <c r="Q58" s="5765"/>
    </row>
    <row r="59" spans="1:17">
      <c r="A59" s="1672"/>
      <c r="B59" s="1672"/>
      <c r="C59" s="1672">
        <v>108</v>
      </c>
      <c r="D59" s="1673"/>
      <c r="E59" s="5765"/>
      <c r="F59" s="5765"/>
      <c r="G59" s="5765"/>
      <c r="H59" s="1673">
        <v>8.9</v>
      </c>
      <c r="I59" s="1673">
        <v>9.5</v>
      </c>
      <c r="J59" s="5765"/>
      <c r="K59" s="1673">
        <v>87</v>
      </c>
      <c r="L59" s="1678">
        <v>108</v>
      </c>
      <c r="M59" s="1672">
        <v>112</v>
      </c>
      <c r="N59" s="5761"/>
      <c r="O59" s="5774"/>
      <c r="P59" s="5775"/>
      <c r="Q59" s="5765"/>
    </row>
    <row r="60" spans="1:17">
      <c r="A60" s="1672">
        <v>110</v>
      </c>
      <c r="B60" s="1672"/>
      <c r="C60" s="1672"/>
      <c r="D60" s="1673"/>
      <c r="E60" s="5765"/>
      <c r="F60" s="5765"/>
      <c r="G60" s="5765"/>
      <c r="H60" s="1673">
        <v>8.9</v>
      </c>
      <c r="I60" s="1673">
        <v>10.199999999999999</v>
      </c>
      <c r="J60" s="5765"/>
      <c r="K60" s="1673">
        <v>89</v>
      </c>
      <c r="L60" s="1678">
        <v>110</v>
      </c>
      <c r="M60" s="1672">
        <v>114</v>
      </c>
      <c r="N60" s="5761"/>
      <c r="O60" s="5774"/>
      <c r="P60" s="5775"/>
      <c r="Q60" s="5765"/>
    </row>
    <row r="61" spans="1:17">
      <c r="A61" s="1672"/>
      <c r="B61" s="1672">
        <v>112</v>
      </c>
      <c r="C61" s="1672"/>
      <c r="D61" s="1673"/>
      <c r="E61" s="5766"/>
      <c r="F61" s="5765"/>
      <c r="G61" s="5765"/>
      <c r="H61" s="1673">
        <v>8.9</v>
      </c>
      <c r="I61" s="1673">
        <v>10.199999999999999</v>
      </c>
      <c r="J61" s="5765"/>
      <c r="K61" s="1673">
        <v>90</v>
      </c>
      <c r="L61" s="1678">
        <v>112</v>
      </c>
      <c r="M61" s="1672">
        <v>116</v>
      </c>
      <c r="N61" s="5761"/>
      <c r="O61" s="5774"/>
      <c r="P61" s="5775"/>
      <c r="Q61" s="5765"/>
    </row>
    <row r="62" spans="1:17">
      <c r="A62" s="1672"/>
      <c r="B62" s="1672">
        <v>115</v>
      </c>
      <c r="C62" s="1672"/>
      <c r="D62" s="1673"/>
      <c r="E62" s="5764" t="s">
        <v>12520</v>
      </c>
      <c r="F62" s="5765"/>
      <c r="G62" s="5765"/>
      <c r="H62" s="1673">
        <v>9.5</v>
      </c>
      <c r="I62" s="1673">
        <v>10.199999999999999</v>
      </c>
      <c r="J62" s="5765"/>
      <c r="K62" s="1673">
        <v>94</v>
      </c>
      <c r="L62" s="1678">
        <v>115</v>
      </c>
      <c r="M62" s="1672">
        <v>119</v>
      </c>
      <c r="N62" s="5762"/>
      <c r="O62" s="5774"/>
      <c r="P62" s="5775"/>
      <c r="Q62" s="5765"/>
    </row>
    <row r="63" spans="1:17">
      <c r="A63" s="1672">
        <v>120</v>
      </c>
      <c r="B63" s="1672"/>
      <c r="C63" s="1672"/>
      <c r="D63" s="1673"/>
      <c r="E63" s="5765"/>
      <c r="F63" s="5765"/>
      <c r="G63" s="5765"/>
      <c r="H63" s="1673">
        <v>9.5</v>
      </c>
      <c r="I63" s="1673">
        <v>10.7</v>
      </c>
      <c r="J63" s="5766"/>
      <c r="K63" s="1673">
        <v>98</v>
      </c>
      <c r="L63" s="1678">
        <v>120</v>
      </c>
      <c r="M63" s="1672">
        <v>124</v>
      </c>
      <c r="N63" s="5763" t="s">
        <v>12521</v>
      </c>
      <c r="O63" s="5774"/>
      <c r="P63" s="5775"/>
      <c r="Q63" s="5765"/>
    </row>
    <row r="64" spans="1:17">
      <c r="A64" s="1672">
        <v>125</v>
      </c>
      <c r="B64" s="1672"/>
      <c r="C64" s="1672"/>
      <c r="D64" s="1673"/>
      <c r="E64" s="5766"/>
      <c r="F64" s="5766"/>
      <c r="G64" s="5766"/>
      <c r="H64" s="1673">
        <v>10</v>
      </c>
      <c r="I64" s="1673">
        <v>10.7</v>
      </c>
      <c r="J64" s="1673">
        <v>3.5</v>
      </c>
      <c r="K64" s="1673">
        <v>103</v>
      </c>
      <c r="L64" s="1678">
        <v>125</v>
      </c>
      <c r="M64" s="1672">
        <v>129</v>
      </c>
      <c r="N64" s="5762"/>
      <c r="O64" s="5774"/>
      <c r="P64" s="5775"/>
      <c r="Q64" s="5766"/>
    </row>
  </sheetData>
  <mergeCells count="61">
    <mergeCell ref="A1:Q1"/>
    <mergeCell ref="D2:J2"/>
    <mergeCell ref="K2:Q2"/>
    <mergeCell ref="D3:E3"/>
    <mergeCell ref="F3:G3"/>
    <mergeCell ref="M3:N3"/>
    <mergeCell ref="O3:P3"/>
    <mergeCell ref="H3:H4"/>
    <mergeCell ref="I3:I4"/>
    <mergeCell ref="J3:J4"/>
    <mergeCell ref="A2:C3"/>
    <mergeCell ref="E47:E61"/>
    <mergeCell ref="E62:E64"/>
    <mergeCell ref="F5:F17"/>
    <mergeCell ref="F18:F23"/>
    <mergeCell ref="F24:F28"/>
    <mergeCell ref="F29:F33"/>
    <mergeCell ref="F34:F41"/>
    <mergeCell ref="F42:F49"/>
    <mergeCell ref="F50:F56"/>
    <mergeCell ref="F57:F64"/>
    <mergeCell ref="E5:E11"/>
    <mergeCell ref="E12:E20"/>
    <mergeCell ref="E21:E28"/>
    <mergeCell ref="E29:E31"/>
    <mergeCell ref="E32:E46"/>
    <mergeCell ref="G5:G17"/>
    <mergeCell ref="G18:G28"/>
    <mergeCell ref="G29:G41"/>
    <mergeCell ref="G42:G49"/>
    <mergeCell ref="G50:G64"/>
    <mergeCell ref="J49:J63"/>
    <mergeCell ref="K3:K4"/>
    <mergeCell ref="L3:L4"/>
    <mergeCell ref="N5:N12"/>
    <mergeCell ref="N15:N21"/>
    <mergeCell ref="N22:N32"/>
    <mergeCell ref="N33:N46"/>
    <mergeCell ref="N47:N56"/>
    <mergeCell ref="N57:N62"/>
    <mergeCell ref="N63:N64"/>
    <mergeCell ref="J5:J6"/>
    <mergeCell ref="J7:J8"/>
    <mergeCell ref="J9:J13"/>
    <mergeCell ref="J14:J23"/>
    <mergeCell ref="J24:J48"/>
    <mergeCell ref="O42:O49"/>
    <mergeCell ref="O50:O56"/>
    <mergeCell ref="O57:O64"/>
    <mergeCell ref="P5:P49"/>
    <mergeCell ref="P50:P64"/>
    <mergeCell ref="O5:O17"/>
    <mergeCell ref="O18:O23"/>
    <mergeCell ref="O24:O28"/>
    <mergeCell ref="O29:O33"/>
    <mergeCell ref="O34:O41"/>
    <mergeCell ref="Q5:Q23"/>
    <mergeCell ref="Q24:Q41"/>
    <mergeCell ref="Q42:Q49"/>
    <mergeCell ref="Q50:Q56"/>
    <mergeCell ref="Q57:Q64"/>
  </mergeCells>
  <phoneticPr fontId="214" type="noConversion"/>
  <printOptions horizontalCentered="1"/>
  <pageMargins left="0.34930555555555598" right="0.34930555555555598" top="0.38888888888888901" bottom="0.38888888888888901" header="0.50902777777777797" footer="0.50902777777777797"/>
  <pageSetup paperSize="9" scale="74" orientation="portrait"/>
  <headerFooter alignWithMargins="0"/>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23"/>
  <dimension ref="A1:O351"/>
  <sheetViews>
    <sheetView zoomScale="115" zoomScaleNormal="115" workbookViewId="0">
      <selection activeCell="J33" sqref="J33"/>
    </sheetView>
  </sheetViews>
  <sheetFormatPr defaultColWidth="8.75" defaultRowHeight="14.25"/>
  <cols>
    <col min="1" max="1" width="19.5" style="252" customWidth="1"/>
    <col min="2" max="2" width="6.25" style="252" customWidth="1"/>
    <col min="3" max="3" width="12.625" style="252" customWidth="1"/>
    <col min="4" max="4" width="6.25" style="252" customWidth="1"/>
    <col min="5" max="5" width="12.625" style="252" customWidth="1"/>
    <col min="6" max="6" width="6.75" style="252" customWidth="1"/>
    <col min="7" max="7" width="12.625" style="252" customWidth="1"/>
    <col min="8" max="8" width="6.25" style="252" customWidth="1"/>
    <col min="9" max="13" width="9.625" style="252" customWidth="1"/>
    <col min="14" max="15" width="8.75" style="252" customWidth="1"/>
  </cols>
  <sheetData>
    <row r="1" spans="1:11" ht="23.25" customHeight="1">
      <c r="A1" s="685"/>
      <c r="B1" s="686" t="s">
        <v>12522</v>
      </c>
      <c r="C1" s="687"/>
      <c r="D1" s="254"/>
      <c r="E1" s="254"/>
      <c r="F1" s="254"/>
      <c r="G1" s="254"/>
      <c r="H1" s="264" t="s">
        <v>2794</v>
      </c>
      <c r="I1" s="393"/>
      <c r="J1" s="394"/>
    </row>
    <row r="2" spans="1:11" ht="14.25" customHeight="1">
      <c r="A2" s="256" t="s">
        <v>12523</v>
      </c>
      <c r="B2" s="254"/>
      <c r="C2" s="254"/>
      <c r="D2" s="254"/>
      <c r="E2" s="254"/>
      <c r="F2" s="254"/>
      <c r="G2" s="254"/>
      <c r="H2" s="254"/>
    </row>
    <row r="3" spans="1:11" ht="14.25" customHeight="1">
      <c r="A3" s="257" t="s">
        <v>12524</v>
      </c>
      <c r="B3" s="254"/>
      <c r="C3" s="254"/>
      <c r="D3" s="254"/>
      <c r="E3" s="254"/>
      <c r="F3" s="254"/>
      <c r="G3" s="254"/>
      <c r="H3" s="254"/>
    </row>
    <row r="4" spans="1:11" ht="14.25" customHeight="1">
      <c r="A4" s="257" t="s">
        <v>12525</v>
      </c>
      <c r="B4" s="254"/>
      <c r="C4" s="254"/>
      <c r="D4" s="254"/>
      <c r="E4" s="254"/>
      <c r="F4" s="254"/>
      <c r="G4" s="254"/>
      <c r="H4" s="254"/>
    </row>
    <row r="5" spans="1:11" ht="14.25" customHeight="1">
      <c r="A5" s="256" t="s">
        <v>12526</v>
      </c>
      <c r="B5" s="254"/>
      <c r="C5" s="254"/>
      <c r="D5" s="254"/>
      <c r="E5" s="254"/>
      <c r="F5" s="254"/>
      <c r="G5" s="254"/>
      <c r="H5" s="254"/>
    </row>
    <row r="6" spans="1:11" ht="14.25" customHeight="1">
      <c r="A6" s="256" t="s">
        <v>4632</v>
      </c>
      <c r="B6" s="254"/>
      <c r="C6" s="254"/>
      <c r="D6" s="254"/>
      <c r="E6" s="254"/>
      <c r="F6" s="254"/>
      <c r="G6" s="254"/>
      <c r="H6" s="254"/>
    </row>
    <row r="7" spans="1:11" ht="14.25" customHeight="1">
      <c r="A7" s="688"/>
      <c r="B7" s="689"/>
      <c r="C7" s="689"/>
      <c r="D7" s="689"/>
      <c r="E7" s="689"/>
      <c r="F7" s="690"/>
      <c r="G7" s="691" t="s">
        <v>12527</v>
      </c>
      <c r="H7" s="689"/>
      <c r="I7" s="300"/>
      <c r="J7" s="300"/>
      <c r="K7" s="300"/>
    </row>
    <row r="8" spans="1:11" ht="14.25" customHeight="1">
      <c r="A8" s="260" t="s">
        <v>2802</v>
      </c>
      <c r="B8" s="254"/>
      <c r="C8" s="254"/>
      <c r="D8" s="254"/>
      <c r="E8" s="254"/>
      <c r="F8" s="261"/>
      <c r="G8" s="254"/>
      <c r="H8" s="254"/>
      <c r="I8" s="300"/>
      <c r="J8" s="300"/>
      <c r="K8" s="300"/>
    </row>
    <row r="9" spans="1:11" ht="15.75" customHeight="1">
      <c r="A9" s="692" t="s">
        <v>2803</v>
      </c>
      <c r="B9" s="689"/>
      <c r="C9" s="693"/>
      <c r="D9" s="689"/>
      <c r="E9" s="689"/>
      <c r="F9" s="691"/>
      <c r="G9" s="690"/>
      <c r="H9" s="689"/>
      <c r="I9" s="300"/>
      <c r="J9" s="300"/>
      <c r="K9" s="300"/>
    </row>
    <row r="10" spans="1:11" ht="15.75">
      <c r="A10" s="264" t="s">
        <v>2804</v>
      </c>
      <c r="B10" s="265"/>
      <c r="C10" s="281"/>
      <c r="D10" s="267"/>
      <c r="E10" s="264" t="s">
        <v>4634</v>
      </c>
      <c r="F10" s="268"/>
      <c r="G10" s="281">
        <v>10026</v>
      </c>
      <c r="H10" s="269"/>
      <c r="I10" s="300"/>
      <c r="J10" s="300"/>
      <c r="K10" s="300"/>
    </row>
    <row r="11" spans="1:11" ht="15.75" customHeight="1">
      <c r="A11" s="264" t="s">
        <v>2806</v>
      </c>
      <c r="B11" s="270" t="s">
        <v>2677</v>
      </c>
      <c r="C11" s="271">
        <v>30201</v>
      </c>
      <c r="D11" s="267"/>
      <c r="E11" s="272"/>
      <c r="F11" s="273" t="s">
        <v>2680</v>
      </c>
      <c r="G11" s="271">
        <v>30202</v>
      </c>
      <c r="H11" s="269"/>
      <c r="I11" s="300"/>
      <c r="J11" s="300"/>
      <c r="K11" s="300"/>
    </row>
    <row r="12" spans="1:11" ht="15.75" customHeight="1">
      <c r="A12" s="274" t="s">
        <v>2809</v>
      </c>
      <c r="B12" s="275"/>
      <c r="C12" s="694"/>
      <c r="D12" s="277"/>
      <c r="E12" s="274" t="s">
        <v>2810</v>
      </c>
      <c r="F12" s="278"/>
      <c r="G12" s="276"/>
      <c r="H12" s="277"/>
      <c r="I12" s="733"/>
      <c r="J12" s="398"/>
      <c r="K12" s="300"/>
    </row>
    <row r="13" spans="1:11" ht="15.75" customHeight="1">
      <c r="A13" s="291" t="s">
        <v>12528</v>
      </c>
      <c r="B13" s="280" t="str">
        <f>IF(C13="L","左旋",IF(C13="R","右旋","直齿"))</f>
        <v>直齿</v>
      </c>
      <c r="C13" s="287"/>
      <c r="D13" s="288" t="str">
        <f>IF(OR(C13="",C13="L",C13="R"),"","错误！")</f>
        <v/>
      </c>
      <c r="E13" s="283" t="s">
        <v>12529</v>
      </c>
      <c r="F13" s="284"/>
      <c r="G13" s="298"/>
      <c r="H13" s="269"/>
      <c r="I13" s="300"/>
      <c r="J13" s="398"/>
      <c r="K13" s="300"/>
    </row>
    <row r="14" spans="1:11" ht="15.75" customHeight="1">
      <c r="A14" s="291" t="s">
        <v>12530</v>
      </c>
      <c r="B14" s="280" t="str">
        <f>IF(C14="L","左旋",IF(C14="R","右旋","直齿"))</f>
        <v>直齿</v>
      </c>
      <c r="C14" s="285" t="str">
        <f>IF(C13="L","R",IF(C13="R","L",""))</f>
        <v/>
      </c>
      <c r="D14" s="288"/>
      <c r="E14" s="283"/>
      <c r="F14" s="284"/>
      <c r="G14" s="298"/>
      <c r="H14" s="269"/>
      <c r="I14" s="300"/>
      <c r="J14" s="398"/>
      <c r="K14" s="300"/>
    </row>
    <row r="15" spans="1:11" ht="15" customHeight="1">
      <c r="A15" s="291" t="s">
        <v>12531</v>
      </c>
      <c r="B15" s="292" t="s">
        <v>2815</v>
      </c>
      <c r="C15" s="266">
        <v>17</v>
      </c>
      <c r="D15" s="370"/>
      <c r="E15" s="283"/>
      <c r="F15" s="284"/>
      <c r="G15" s="298"/>
      <c r="H15" s="269"/>
      <c r="I15" s="300"/>
      <c r="J15" s="398"/>
      <c r="K15" s="300"/>
    </row>
    <row r="16" spans="1:11" ht="15" customHeight="1">
      <c r="A16" s="291" t="s">
        <v>12532</v>
      </c>
      <c r="B16" s="292" t="s">
        <v>2819</v>
      </c>
      <c r="C16" s="281">
        <v>5</v>
      </c>
      <c r="D16" s="311" t="s">
        <v>2820</v>
      </c>
      <c r="E16" s="283" t="str">
        <f>IF(C16&gt;10,"超出本程序设置范畴！","")</f>
        <v/>
      </c>
      <c r="F16" s="284"/>
      <c r="G16" s="433">
        <f t="shared" ref="G16:G22" si="0">C16</f>
        <v>5</v>
      </c>
      <c r="H16" s="269"/>
      <c r="I16" s="300"/>
      <c r="J16" s="398"/>
      <c r="K16" s="300">
        <f>8*3.14</f>
        <v>25.12</v>
      </c>
    </row>
    <row r="17" spans="1:12" ht="15.75">
      <c r="A17" s="291" t="s">
        <v>12533</v>
      </c>
      <c r="B17" s="291" t="s">
        <v>4640</v>
      </c>
      <c r="C17" s="271"/>
      <c r="D17" s="318" t="str">
        <f>IF(C17="","注：如不输入，则默认 αn = 20 度","度")</f>
        <v>注：如不输入，则默认 αn = 20 度</v>
      </c>
      <c r="E17" s="283"/>
      <c r="F17" s="284"/>
      <c r="G17" s="298"/>
      <c r="H17" s="269"/>
      <c r="I17" s="300"/>
      <c r="J17" s="398"/>
      <c r="K17" s="300"/>
    </row>
    <row r="18" spans="1:12" ht="15.75">
      <c r="A18" s="309" t="s">
        <v>12534</v>
      </c>
      <c r="B18" s="291" t="s">
        <v>2824</v>
      </c>
      <c r="C18" s="271"/>
      <c r="D18" s="294" t="str">
        <f>IF(AND(C18=0,OR(C13="R",C13="L")),"错误！",IF(AND(C13="",C18&lt;&gt;0),"错误,βf 应等于零!","度"))</f>
        <v>度</v>
      </c>
      <c r="E18" s="283"/>
      <c r="F18" s="312"/>
      <c r="G18" s="312"/>
      <c r="H18" s="311"/>
      <c r="I18" s="300"/>
      <c r="J18" s="398"/>
      <c r="K18" s="300"/>
    </row>
    <row r="19" spans="1:12" ht="15.75">
      <c r="A19" s="309" t="s">
        <v>12535</v>
      </c>
      <c r="B19" s="292" t="s">
        <v>2534</v>
      </c>
      <c r="C19" s="271">
        <v>40</v>
      </c>
      <c r="D19" s="311" t="s">
        <v>2820</v>
      </c>
      <c r="E19" s="283"/>
      <c r="F19" s="284"/>
      <c r="G19" s="433">
        <f t="shared" si="0"/>
        <v>40</v>
      </c>
      <c r="H19" s="269"/>
      <c r="I19" s="300"/>
      <c r="J19" s="398"/>
      <c r="K19" s="300"/>
    </row>
    <row r="20" spans="1:12" ht="15.75">
      <c r="A20" s="309" t="s">
        <v>12536</v>
      </c>
      <c r="B20" s="292" t="s">
        <v>2831</v>
      </c>
      <c r="C20" s="271"/>
      <c r="D20" s="695" t="s">
        <v>4411</v>
      </c>
      <c r="E20" s="283"/>
      <c r="F20" s="284"/>
      <c r="G20" s="433"/>
      <c r="H20" s="269"/>
      <c r="I20" s="300"/>
      <c r="J20" s="398"/>
      <c r="K20" s="300"/>
    </row>
    <row r="21" spans="1:12" ht="15.75" hidden="1">
      <c r="A21" s="309"/>
      <c r="B21" s="292"/>
      <c r="C21" s="696">
        <f>IF(C20="",1,C20)</f>
        <v>1</v>
      </c>
      <c r="D21" s="695"/>
      <c r="E21" s="293"/>
      <c r="F21" s="284"/>
      <c r="G21" s="367">
        <f t="shared" si="0"/>
        <v>1</v>
      </c>
      <c r="H21" s="269"/>
      <c r="I21" s="300"/>
      <c r="J21" s="405"/>
      <c r="K21" s="300"/>
    </row>
    <row r="22" spans="1:12" ht="15.75">
      <c r="A22" s="309" t="s">
        <v>2833</v>
      </c>
      <c r="B22" s="292" t="s">
        <v>2834</v>
      </c>
      <c r="C22" s="271"/>
      <c r="D22" s="695"/>
      <c r="E22" s="293"/>
      <c r="F22" s="284"/>
      <c r="G22" s="367">
        <f t="shared" si="0"/>
        <v>0</v>
      </c>
      <c r="H22" s="269"/>
      <c r="I22" s="300"/>
      <c r="J22" s="300"/>
      <c r="K22" s="300"/>
    </row>
    <row r="23" spans="1:12" ht="15.75">
      <c r="A23" s="309" t="s">
        <v>12537</v>
      </c>
      <c r="B23" s="292" t="s">
        <v>2836</v>
      </c>
      <c r="C23" s="697"/>
      <c r="D23" s="695" t="s">
        <v>4652</v>
      </c>
      <c r="E23" s="293"/>
      <c r="F23" s="284"/>
      <c r="G23" s="289"/>
      <c r="H23" s="269"/>
      <c r="I23" s="300"/>
      <c r="J23" s="300"/>
      <c r="K23" s="300"/>
    </row>
    <row r="24" spans="1:12" ht="15.75" hidden="1">
      <c r="A24" s="309"/>
      <c r="B24" s="292"/>
      <c r="C24" s="698">
        <f>IF(C23="",0.25,C23)</f>
        <v>0.25</v>
      </c>
      <c r="D24" s="318"/>
      <c r="E24" s="293"/>
      <c r="F24" s="284"/>
      <c r="G24" s="367">
        <f>C24</f>
        <v>0.25</v>
      </c>
      <c r="H24" s="269"/>
      <c r="I24" s="300"/>
      <c r="J24" s="300"/>
      <c r="K24" s="300"/>
    </row>
    <row r="25" spans="1:12" ht="15.75">
      <c r="A25" s="279" t="s">
        <v>2840</v>
      </c>
      <c r="B25" s="292" t="s">
        <v>2852</v>
      </c>
      <c r="C25" s="271">
        <v>0</v>
      </c>
      <c r="D25" s="699"/>
      <c r="E25" s="700" t="str">
        <f>IF(C25="","",IF(C25&lt;C122,"根切！x1不能小于",""))</f>
        <v/>
      </c>
      <c r="F25" s="288" t="str">
        <f>IF(E25="","",C122)</f>
        <v/>
      </c>
      <c r="G25" s="255"/>
      <c r="H25" s="291"/>
    </row>
    <row r="26" spans="1:12" ht="15.75">
      <c r="A26" s="279" t="str">
        <f>IF(C25&lt;&gt;"","","法向变位系数")</f>
        <v/>
      </c>
      <c r="B26" s="323" t="str">
        <f>IF(C25&lt;&gt;"","","xn1")</f>
        <v/>
      </c>
      <c r="C26" s="697"/>
      <c r="D26" s="294" t="str">
        <f>IF(C26="","",IF(AND(C25&lt;&gt;"",C26&lt;&gt;""),"取消！",IF(C26&lt;C122/COS(C66),"    根切！xn1不能小于","")))</f>
        <v/>
      </c>
      <c r="E26" s="701"/>
      <c r="F26" s="288" t="str">
        <f>IF(OR(D26="",C25&lt;&gt;""),"",C122/COS(C66))</f>
        <v/>
      </c>
      <c r="G26" s="405"/>
      <c r="H26" s="297"/>
    </row>
    <row r="27" spans="1:12" s="62" customFormat="1" ht="15.75">
      <c r="A27" s="318" t="s">
        <v>12538</v>
      </c>
      <c r="B27" s="298"/>
      <c r="C27" s="435"/>
      <c r="D27" s="294"/>
      <c r="E27" s="702"/>
      <c r="F27" s="294"/>
      <c r="G27" s="311"/>
      <c r="H27" s="289"/>
      <c r="I27" s="734"/>
      <c r="J27" s="734"/>
      <c r="K27" s="734"/>
      <c r="L27" s="734"/>
    </row>
    <row r="28" spans="1:12" ht="15.75">
      <c r="A28" s="279" t="str">
        <f>IF(AND(C28="",C29&lt;&gt;""),"","安   装   距")</f>
        <v/>
      </c>
      <c r="B28" s="298" t="str">
        <f>IF(AND(C28="",C29&lt;&gt;""),"","a")</f>
        <v/>
      </c>
      <c r="C28" s="313"/>
      <c r="D28" s="311" t="str">
        <f>IF(AND(C28="",C29&lt;&gt;""),"","毫米")</f>
        <v/>
      </c>
      <c r="E28" s="283" t="str">
        <f>IF(AND(C28="",C29&lt;&gt;""),"","说明：安装距即齿轮轴线至齿条基准面的距离")</f>
        <v/>
      </c>
      <c r="F28" s="703"/>
      <c r="G28" s="312"/>
      <c r="H28" s="294"/>
      <c r="I28" s="283"/>
    </row>
    <row r="29" spans="1:12" ht="15.75">
      <c r="A29" s="704" t="str">
        <f>IF(C28&lt;&gt;"","","齿条分度线至基准面距离")</f>
        <v>齿条分度线至基准面距离</v>
      </c>
      <c r="B29" s="298"/>
      <c r="C29" s="705">
        <v>38</v>
      </c>
      <c r="D29" s="294" t="str">
        <f>IF(C29="","",IF(AND(C28&lt;&gt;"",C29&lt;&gt;""),"取消！","毫米"))</f>
        <v>毫米</v>
      </c>
      <c r="E29" s="283"/>
      <c r="F29" s="703"/>
      <c r="G29" s="312"/>
      <c r="H29" s="294"/>
      <c r="I29" s="283"/>
    </row>
    <row r="30" spans="1:12" ht="15.75">
      <c r="A30" s="352" t="str">
        <f>IF(AND(C28="",C29=""),"",IF(C28&lt;&gt;"","齿条节线至基准面距离","安    装    距"))</f>
        <v>安    装    距</v>
      </c>
      <c r="B30" s="298" t="str">
        <f>IF(A30="安    装    距","a","")</f>
        <v>a</v>
      </c>
      <c r="C30" s="351">
        <f>IF(AND(C28="",C29=""),"",IF(C28&lt;&gt;"",ROUND(C28-C72/2,3),ROUND(C29+C81*C16+C72/2,3)))</f>
        <v>80.5</v>
      </c>
      <c r="D30" s="328" t="str">
        <f>IF(A30="","","毫米")</f>
        <v>毫米</v>
      </c>
      <c r="E30" s="283" t="str">
        <f>IF(A30="","",IF(B30="a","说明：安装距即齿轮轴线至齿条基准面的距离","说明：齿条节线是与齿轮分度圆相切的线"))</f>
        <v>说明：安装距即齿轮轴线至齿条基准面的距离</v>
      </c>
      <c r="F30" s="703"/>
      <c r="G30" s="312"/>
      <c r="H30" s="294"/>
      <c r="I30" s="283"/>
    </row>
    <row r="31" spans="1:12" ht="15.75">
      <c r="A31" s="432" t="str">
        <f>IF(AND(C28="",C29=""),"",IF(AND(C28="",C29&lt;&gt;""),"齿条节线至基准面距离","齿条分度线至基准面距离"))</f>
        <v>齿条节线至基准面距离</v>
      </c>
      <c r="B31" s="298"/>
      <c r="C31" s="351">
        <f>IF(AND(C28="",C29=""),"",IF(AND(C28="",C29&lt;&gt;""),ROUND(C30-C72/2,3),ROUND(C30-C81*C16,3)))</f>
        <v>38</v>
      </c>
      <c r="D31" s="328" t="str">
        <f>IF(A31="","","毫米")</f>
        <v>毫米</v>
      </c>
      <c r="E31" s="283" t="str">
        <f>IF(AND(C28="",C29&lt;&gt;""),"说明：齿条节线是与齿轮分度圆相切的线","")</f>
        <v>说明：齿条节线是与齿轮分度圆相切的线</v>
      </c>
      <c r="F31" s="703"/>
      <c r="G31" s="312"/>
      <c r="H31" s="294"/>
      <c r="I31" s="283"/>
    </row>
    <row r="32" spans="1:12" ht="15.75">
      <c r="A32" s="401" t="s">
        <v>12539</v>
      </c>
      <c r="B32" s="333" t="s">
        <v>12540</v>
      </c>
      <c r="C32" s="313">
        <v>3000</v>
      </c>
      <c r="D32" s="335" t="s">
        <v>2820</v>
      </c>
      <c r="E32" s="706"/>
      <c r="F32" s="707"/>
      <c r="G32" s="275"/>
      <c r="H32" s="356"/>
    </row>
    <row r="33" spans="1:12" ht="15">
      <c r="A33" s="272" t="s">
        <v>2857</v>
      </c>
      <c r="B33" s="320"/>
      <c r="C33" s="313">
        <v>8</v>
      </c>
      <c r="D33" s="294" t="str">
        <f>IF(OR(C33=0,C33=3,C33=4,C33=5,C33=6,C33=7,C33=8),"","错误！")</f>
        <v/>
      </c>
      <c r="E33" s="701"/>
      <c r="F33" s="288"/>
      <c r="G33" s="321">
        <f t="shared" ref="G33:G35" si="1">C33</f>
        <v>8</v>
      </c>
      <c r="H33" s="291"/>
    </row>
    <row r="34" spans="1:12" ht="15">
      <c r="A34" s="272" t="s">
        <v>2858</v>
      </c>
      <c r="B34" s="320"/>
      <c r="C34" s="271">
        <v>7</v>
      </c>
      <c r="D34" s="294" t="str">
        <f>IF(AND(C33&lt;&gt;"",C34=0),"输入！",IF(OR(C34=0,C34=3,C34=4,C34=5,C34=6,C34=7,C34=8),"","错误！"))</f>
        <v/>
      </c>
      <c r="E34" s="701"/>
      <c r="F34" s="288"/>
      <c r="G34" s="321">
        <f t="shared" si="1"/>
        <v>7</v>
      </c>
      <c r="H34" s="291"/>
    </row>
    <row r="35" spans="1:12" ht="15">
      <c r="A35" s="386" t="s">
        <v>2859</v>
      </c>
      <c r="B35" s="708"/>
      <c r="C35" s="313">
        <v>7</v>
      </c>
      <c r="D35" s="356" t="str">
        <f>IF(AND(C33&lt;&gt;"",C35=0),"输入！",IF(OR(C35=0,C35=3,C35=4,C35=5,C35=6,C35=7,C35=8),"","错误！"))</f>
        <v/>
      </c>
      <c r="E35" s="709"/>
      <c r="F35" s="710"/>
      <c r="G35" s="711">
        <f t="shared" si="1"/>
        <v>7</v>
      </c>
      <c r="H35" s="332"/>
    </row>
    <row r="36" spans="1:12" s="62" customFormat="1" ht="15">
      <c r="A36" s="318" t="s">
        <v>12541</v>
      </c>
      <c r="B36" s="712"/>
      <c r="C36" s="435"/>
      <c r="D36" s="294"/>
      <c r="E36" s="702"/>
      <c r="F36" s="294"/>
      <c r="G36" s="367"/>
      <c r="H36" s="289"/>
      <c r="I36" s="734"/>
      <c r="J36" s="734"/>
      <c r="K36" s="734"/>
      <c r="L36" s="734"/>
    </row>
    <row r="37" spans="1:12" ht="15.75">
      <c r="A37" s="382" t="s">
        <v>12542</v>
      </c>
      <c r="B37" s="298"/>
      <c r="C37" s="266"/>
      <c r="D37" s="294" t="str">
        <f>IF(AND(C37&lt;&gt;"",OR(C33="",C34="",C35="",C45&lt;&gt;"")),"取消！",IF(OR(C37="",C37="C",C37="D",C37="E",C37="F",C37="G",C37="H",C37="J",C37="K",C37="L",C37="M",C37="N",C37="P",C37="R",C37="S"),"","错误！"))</f>
        <v/>
      </c>
      <c r="E37" s="318" t="s">
        <v>4664</v>
      </c>
      <c r="F37" s="292"/>
      <c r="G37" s="270"/>
      <c r="H37" s="318"/>
      <c r="I37" s="291"/>
      <c r="J37" s="735"/>
      <c r="K37" s="255"/>
      <c r="L37" s="291"/>
    </row>
    <row r="38" spans="1:12" ht="15.75">
      <c r="A38" s="382" t="s">
        <v>12543</v>
      </c>
      <c r="B38" s="298"/>
      <c r="C38" s="266"/>
      <c r="D38" s="294" t="str">
        <f>IF(AND(C38&lt;&gt;"",OR(C33="",C34="",C35="",C46&lt;&gt;"",)),"取消！",IF(OR(C38="",C38="C",C38="D",C38="E",C38="F",C38="G",C38="H",C38="J",C38="K",C38="L",C38="M",C38="N",C38="P",C38="R",C38="S"),"","错误！"))</f>
        <v/>
      </c>
      <c r="E38" s="713" t="s">
        <v>4665</v>
      </c>
      <c r="F38" s="292"/>
      <c r="G38" s="270"/>
      <c r="H38" s="318"/>
      <c r="I38" s="291"/>
      <c r="J38" s="735"/>
      <c r="K38" s="255"/>
      <c r="L38" s="291"/>
    </row>
    <row r="39" spans="1:12" ht="15.75">
      <c r="A39" s="382" t="s">
        <v>12544</v>
      </c>
      <c r="B39" s="298"/>
      <c r="C39" s="281"/>
      <c r="D39" s="294" t="str">
        <f>IF(AND(C39&lt;&gt;"",OR(C33="",C34="",C35="",C47&lt;&gt;"")),"取消！",IF(OR(C39="",C39="C",C39="D",C39="E",C39="F",C39="G",C39="H",C39="J",C39="K",C39="L",C39="M",C39="N",C39="P",C39="R",C39="S"),"","错误！"))</f>
        <v/>
      </c>
      <c r="E39" s="318"/>
      <c r="F39" s="292"/>
      <c r="G39" s="270"/>
      <c r="H39" s="318"/>
      <c r="I39" s="291"/>
      <c r="J39" s="735"/>
      <c r="K39" s="255"/>
      <c r="L39" s="291"/>
    </row>
    <row r="40" spans="1:12" ht="15.75">
      <c r="A40" s="386" t="s">
        <v>12545</v>
      </c>
      <c r="B40" s="333"/>
      <c r="C40" s="281"/>
      <c r="D40" s="356" t="str">
        <f>IF(AND(C40&lt;&gt;"",OR(C33="",C34="",C35="",C48&lt;&gt;"")),"取消！",IF(OR(C40="",C40="C",C40="D",C40="E",C40="F",C40="G",C40="H",C40="J",C40="K",C40="L",C40="M",C40="N",C40="P",C40="R",C40="S"),"","错误！"))</f>
        <v/>
      </c>
      <c r="E40" s="714"/>
      <c r="F40" s="292"/>
      <c r="G40" s="270"/>
      <c r="H40" s="318"/>
      <c r="I40" s="291"/>
      <c r="J40" s="735"/>
      <c r="K40" s="255"/>
      <c r="L40" s="291"/>
    </row>
    <row r="41" spans="1:12" ht="15.75">
      <c r="A41" s="279" t="s">
        <v>12546</v>
      </c>
      <c r="B41" s="298" t="s">
        <v>2885</v>
      </c>
      <c r="C41" s="351" t="str">
        <f>IF(OR(C37="",C38="",C39="",C40="",C33="",C34="",C35=""),"",C203/1000)</f>
        <v/>
      </c>
      <c r="D41" s="311" t="s">
        <v>2820</v>
      </c>
      <c r="E41" s="312"/>
      <c r="F41" s="298"/>
      <c r="G41" s="270"/>
      <c r="H41" s="311"/>
      <c r="I41" s="297"/>
      <c r="J41" s="279"/>
      <c r="K41" s="255"/>
      <c r="L41" s="291"/>
    </row>
    <row r="42" spans="1:12" ht="15.75">
      <c r="A42" s="401" t="s">
        <v>12547</v>
      </c>
      <c r="B42" s="333" t="s">
        <v>2886</v>
      </c>
      <c r="C42" s="715" t="str">
        <f>IF(OR(C37="",C38="",C39="",C40="",C33="",C34="",C35=""),"",C204/1000)</f>
        <v/>
      </c>
      <c r="D42" s="335" t="s">
        <v>2820</v>
      </c>
      <c r="E42" s="390" t="s">
        <v>2879</v>
      </c>
      <c r="F42" s="337"/>
      <c r="G42" s="338"/>
      <c r="H42" s="335"/>
      <c r="I42" s="297"/>
      <c r="J42" s="279"/>
      <c r="K42" s="255"/>
      <c r="L42" s="291"/>
    </row>
    <row r="43" spans="1:12" s="62" customFormat="1" ht="15.75">
      <c r="A43" s="318" t="s">
        <v>12548</v>
      </c>
      <c r="B43" s="298"/>
      <c r="C43" s="312"/>
      <c r="D43" s="311"/>
      <c r="E43" s="318"/>
      <c r="F43" s="328"/>
      <c r="G43" s="289"/>
      <c r="H43" s="311"/>
      <c r="I43" s="289"/>
      <c r="J43" s="312"/>
      <c r="K43" s="484"/>
      <c r="L43" s="302"/>
    </row>
    <row r="44" spans="1:12" s="62" customFormat="1" ht="15">
      <c r="A44" s="318" t="s">
        <v>12549</v>
      </c>
      <c r="B44" s="312"/>
      <c r="C44" s="312"/>
      <c r="D44" s="311"/>
      <c r="E44" s="318"/>
      <c r="F44" s="328"/>
      <c r="G44" s="289"/>
      <c r="H44" s="311"/>
      <c r="I44" s="289"/>
      <c r="J44" s="312"/>
      <c r="K44" s="484"/>
      <c r="L44" s="302"/>
    </row>
    <row r="45" spans="1:12" s="62" customFormat="1" ht="15">
      <c r="A45" s="352" t="s">
        <v>12550</v>
      </c>
      <c r="B45" s="312" t="s">
        <v>4666</v>
      </c>
      <c r="C45" s="313">
        <v>-0.1</v>
      </c>
      <c r="D45" s="311" t="s">
        <v>2820</v>
      </c>
      <c r="E45" s="318"/>
      <c r="F45" s="328"/>
      <c r="G45" s="289"/>
      <c r="H45" s="311"/>
      <c r="I45" s="289"/>
      <c r="J45" s="312"/>
      <c r="K45" s="484"/>
      <c r="L45" s="302"/>
    </row>
    <row r="46" spans="1:12" s="62" customFormat="1" ht="15">
      <c r="A46" s="352" t="s">
        <v>12551</v>
      </c>
      <c r="B46" s="312" t="s">
        <v>4667</v>
      </c>
      <c r="C46" s="271">
        <v>-0.2</v>
      </c>
      <c r="D46" s="311" t="s">
        <v>2820</v>
      </c>
      <c r="E46" s="318"/>
      <c r="F46" s="328"/>
      <c r="G46" s="289"/>
      <c r="H46" s="311"/>
      <c r="I46" s="289"/>
      <c r="J46" s="312"/>
      <c r="K46" s="484"/>
      <c r="L46" s="302"/>
    </row>
    <row r="47" spans="1:12" s="62" customFormat="1" ht="15">
      <c r="A47" s="352" t="s">
        <v>12552</v>
      </c>
      <c r="B47" s="312" t="s">
        <v>4668</v>
      </c>
      <c r="C47" s="271">
        <v>-0.15</v>
      </c>
      <c r="D47" s="311" t="s">
        <v>2820</v>
      </c>
      <c r="E47" s="318"/>
      <c r="F47" s="328"/>
      <c r="G47" s="289"/>
      <c r="H47" s="311"/>
      <c r="I47" s="289"/>
      <c r="J47" s="312"/>
      <c r="K47" s="484"/>
      <c r="L47" s="302"/>
    </row>
    <row r="48" spans="1:12" s="62" customFormat="1" ht="16.149999999999999" customHeight="1">
      <c r="A48" s="354" t="s">
        <v>12553</v>
      </c>
      <c r="B48" s="275" t="s">
        <v>4669</v>
      </c>
      <c r="C48" s="313">
        <v>-0.25</v>
      </c>
      <c r="D48" s="335" t="s">
        <v>2820</v>
      </c>
      <c r="E48" s="318"/>
      <c r="F48" s="328"/>
      <c r="G48" s="289"/>
      <c r="H48" s="311"/>
      <c r="I48" s="289"/>
      <c r="J48" s="312"/>
      <c r="K48" s="484"/>
      <c r="L48" s="302"/>
    </row>
    <row r="49" spans="1:12" s="62" customFormat="1" ht="16.149999999999999" customHeight="1">
      <c r="A49" s="279" t="s">
        <v>12546</v>
      </c>
      <c r="B49" s="298" t="s">
        <v>2885</v>
      </c>
      <c r="C49" s="351">
        <f>IF(OR(C45="",C46="",C47="",C48=""),"",ABS(C45+C47))</f>
        <v>0.25</v>
      </c>
      <c r="D49" s="311" t="s">
        <v>2820</v>
      </c>
      <c r="E49" s="318"/>
      <c r="F49" s="328"/>
      <c r="G49" s="289"/>
      <c r="H49" s="311"/>
      <c r="I49" s="289"/>
      <c r="J49" s="312"/>
      <c r="K49" s="484"/>
      <c r="L49" s="302"/>
    </row>
    <row r="50" spans="1:12" s="62" customFormat="1" ht="16.149999999999999" customHeight="1">
      <c r="A50" s="401" t="s">
        <v>12547</v>
      </c>
      <c r="B50" s="333" t="s">
        <v>2886</v>
      </c>
      <c r="C50" s="715">
        <f>IF(OR(C45="",C46="",C47="",C48=""),"",ABS(C46+C48))</f>
        <v>0.45</v>
      </c>
      <c r="D50" s="335" t="s">
        <v>2820</v>
      </c>
      <c r="E50" s="390"/>
      <c r="F50" s="337"/>
      <c r="G50" s="338"/>
      <c r="H50" s="335"/>
      <c r="I50" s="289"/>
      <c r="J50" s="312"/>
      <c r="K50" s="484"/>
      <c r="L50" s="302"/>
    </row>
    <row r="51" spans="1:12" ht="15.75">
      <c r="A51" s="716" t="s">
        <v>2887</v>
      </c>
      <c r="B51" s="298"/>
      <c r="C51" s="330" t="s">
        <v>12554</v>
      </c>
      <c r="D51" s="343"/>
      <c r="E51" s="717"/>
      <c r="F51" s="349"/>
      <c r="G51" s="330" t="s">
        <v>12555</v>
      </c>
      <c r="H51" s="311"/>
      <c r="I51" s="297"/>
      <c r="J51" s="279"/>
      <c r="K51" s="255"/>
      <c r="L51" s="291"/>
    </row>
    <row r="52" spans="1:12" ht="15.75">
      <c r="A52" s="484" t="s">
        <v>2890</v>
      </c>
      <c r="B52" s="718"/>
      <c r="C52" s="348" t="s">
        <v>2891</v>
      </c>
      <c r="D52" s="343"/>
      <c r="E52" s="719"/>
      <c r="F52" s="349"/>
      <c r="G52" s="717"/>
      <c r="H52" s="305"/>
      <c r="I52" s="297"/>
      <c r="J52" s="279"/>
      <c r="K52" s="255"/>
      <c r="L52" s="291"/>
    </row>
    <row r="53" spans="1:12">
      <c r="A53" s="382" t="s">
        <v>2892</v>
      </c>
      <c r="B53" s="279" t="s">
        <v>4672</v>
      </c>
      <c r="C53" s="720">
        <f>ROUND(C103,2)</f>
        <v>8.67</v>
      </c>
      <c r="D53" s="311" t="s">
        <v>2820</v>
      </c>
      <c r="E53" s="299"/>
      <c r="F53" s="279" t="s">
        <v>2894</v>
      </c>
      <c r="G53" s="720">
        <f>ROUND(G103,2)</f>
        <v>8.36</v>
      </c>
      <c r="H53" s="311" t="s">
        <v>2820</v>
      </c>
      <c r="I53" s="297"/>
      <c r="J53" s="279"/>
      <c r="K53" s="255"/>
      <c r="L53" s="291"/>
    </row>
    <row r="54" spans="1:12">
      <c r="A54" s="382" t="s">
        <v>2895</v>
      </c>
      <c r="B54" s="401" t="s">
        <v>4673</v>
      </c>
      <c r="C54" s="313">
        <v>8</v>
      </c>
      <c r="D54" s="311" t="s">
        <v>2820</v>
      </c>
      <c r="E54" s="299"/>
      <c r="F54" s="279" t="s">
        <v>2897</v>
      </c>
      <c r="G54" s="705">
        <v>8</v>
      </c>
      <c r="H54" s="311" t="s">
        <v>2820</v>
      </c>
      <c r="I54" s="297"/>
      <c r="J54" s="279"/>
      <c r="K54" s="255"/>
      <c r="L54" s="291"/>
    </row>
    <row r="55" spans="1:12" ht="15">
      <c r="A55" s="434"/>
      <c r="B55" s="721" t="str">
        <f>IF(C54=0,"",IF(ROUND(C58,4)&lt;&gt;ROUND(C57,4),"单变量求解计算：",""))</f>
        <v>单变量求解计算：</v>
      </c>
      <c r="C55" s="374"/>
      <c r="D55" s="311"/>
      <c r="E55" s="299"/>
      <c r="F55" s="294"/>
      <c r="G55" s="435"/>
      <c r="H55" s="311"/>
      <c r="I55" s="297"/>
      <c r="J55" s="279"/>
      <c r="K55" s="255"/>
      <c r="L55" s="291"/>
    </row>
    <row r="56" spans="1:12" ht="15">
      <c r="A56" s="434"/>
      <c r="B56" s="722" t="str">
        <f>IF(C54=0,"",IF(ROUND(C58,4)&lt;&gt;ROUND(C57,4),"可变格",""))</f>
        <v>可变格</v>
      </c>
      <c r="C56" s="377">
        <v>0.52819922458463897</v>
      </c>
      <c r="D56" s="311"/>
      <c r="E56" s="299"/>
      <c r="F56" s="339"/>
      <c r="G56" s="367"/>
      <c r="H56" s="311"/>
      <c r="I56" s="297"/>
      <c r="J56" s="279"/>
      <c r="K56" s="255"/>
      <c r="L56" s="291"/>
    </row>
    <row r="57" spans="1:12">
      <c r="A57" s="434"/>
      <c r="B57" s="723" t="str">
        <f>IF(C54=0,"",IF(ROUND(C58,4)&lt;&gt;ROUND(C57,4),"目标格",""))</f>
        <v>目标格</v>
      </c>
      <c r="C57" s="379">
        <f>TAN(C56)-C56-C105</f>
        <v>3.2638847698990101E-2</v>
      </c>
      <c r="D57" s="311"/>
      <c r="E57" s="299"/>
      <c r="F57" s="339"/>
      <c r="G57" s="367"/>
      <c r="H57" s="311"/>
      <c r="I57" s="297"/>
      <c r="J57" s="279"/>
      <c r="K57" s="255"/>
      <c r="L57" s="291"/>
    </row>
    <row r="58" spans="1:12">
      <c r="A58" s="437"/>
      <c r="B58" s="724" t="str">
        <f>IF(C54=0,"",IF(ROUND(C58,4)&lt;&gt;ROUND(C57,4),"目标值",""))</f>
        <v>目标值</v>
      </c>
      <c r="C58" s="381">
        <f>IF(C54=0,"",0)</f>
        <v>0</v>
      </c>
      <c r="D58" s="335"/>
      <c r="E58" s="357"/>
      <c r="F58" s="473"/>
      <c r="G58" s="725"/>
      <c r="H58" s="335"/>
      <c r="I58" s="297"/>
      <c r="J58" s="279"/>
      <c r="K58" s="255"/>
      <c r="L58" s="291"/>
    </row>
    <row r="59" spans="1:12" ht="15.75">
      <c r="A59" s="726" t="s">
        <v>2898</v>
      </c>
      <c r="B59" s="323"/>
      <c r="C59" s="330" t="s">
        <v>12554</v>
      </c>
      <c r="D59" s="343"/>
      <c r="E59" s="717"/>
      <c r="F59" s="349"/>
      <c r="G59" s="330" t="s">
        <v>12555</v>
      </c>
      <c r="H59" s="311"/>
      <c r="I59" s="297"/>
      <c r="J59" s="279"/>
      <c r="K59" s="255"/>
      <c r="L59" s="291"/>
    </row>
    <row r="60" spans="1:12" ht="15.75">
      <c r="A60" s="312" t="s">
        <v>12556</v>
      </c>
      <c r="B60" s="718"/>
      <c r="C60" s="727" t="str">
        <f>D120</f>
        <v>齿顶未变尖</v>
      </c>
      <c r="D60" s="699" t="s">
        <v>12557</v>
      </c>
      <c r="E60" s="318">
        <f>ROUND(0.4*C16,2)</f>
        <v>2</v>
      </c>
      <c r="F60" s="728"/>
      <c r="G60" s="727" t="str">
        <f>H120</f>
        <v>齿顶未变尖</v>
      </c>
      <c r="H60" s="699" t="s">
        <v>12558</v>
      </c>
      <c r="I60" s="318">
        <f>ROUND(0.4*G16,2)</f>
        <v>2</v>
      </c>
      <c r="J60" s="279"/>
      <c r="K60" s="255"/>
      <c r="L60" s="291"/>
    </row>
    <row r="61" spans="1:12" ht="15.75">
      <c r="A61" s="401" t="s">
        <v>12559</v>
      </c>
      <c r="B61" s="729" t="s">
        <v>4162</v>
      </c>
      <c r="C61" s="715">
        <f>C119</f>
        <v>1.748</v>
      </c>
      <c r="D61" s="730" t="s">
        <v>4163</v>
      </c>
      <c r="E61" s="275">
        <f>C117</f>
        <v>1.748</v>
      </c>
      <c r="F61" s="731" t="s">
        <v>4164</v>
      </c>
      <c r="G61" s="275">
        <f>C118</f>
        <v>0</v>
      </c>
      <c r="H61" s="732"/>
      <c r="I61" s="318"/>
      <c r="J61" s="279"/>
      <c r="K61" s="255"/>
      <c r="L61" s="291"/>
    </row>
    <row r="62" spans="1:12" ht="15.75" hidden="1">
      <c r="A62" s="391" t="s">
        <v>2935</v>
      </c>
      <c r="B62" s="292"/>
      <c r="C62" s="330" t="s">
        <v>12554</v>
      </c>
      <c r="D62" s="343"/>
      <c r="E62" s="717"/>
      <c r="F62" s="349"/>
      <c r="G62" s="330" t="s">
        <v>12555</v>
      </c>
      <c r="H62" s="311"/>
      <c r="I62" s="294"/>
      <c r="J62" s="279"/>
      <c r="K62" s="255"/>
      <c r="L62" s="291"/>
    </row>
    <row r="63" spans="1:12" ht="15.75" hidden="1">
      <c r="A63" s="291" t="s">
        <v>12533</v>
      </c>
      <c r="B63" s="291" t="s">
        <v>4640</v>
      </c>
      <c r="C63" s="303">
        <f>IF(C17="",RADIANS(20),RADIANS(C17))</f>
        <v>0.34906585039886601</v>
      </c>
      <c r="D63" s="255" t="s">
        <v>2048</v>
      </c>
      <c r="E63" s="312">
        <f>TAN(C63)-C63</f>
        <v>1.4904383867336401E-2</v>
      </c>
      <c r="F63" s="255" t="s">
        <v>12560</v>
      </c>
      <c r="G63" s="299"/>
      <c r="H63" s="312"/>
      <c r="I63" s="311"/>
      <c r="J63" s="289"/>
      <c r="K63" s="410"/>
      <c r="L63" s="291"/>
    </row>
    <row r="64" spans="1:12" ht="15.75" hidden="1">
      <c r="A64" s="291"/>
      <c r="B64" s="291"/>
      <c r="C64" s="303">
        <f>IF(C17="",20,C17)</f>
        <v>20</v>
      </c>
      <c r="D64" s="311" t="s">
        <v>257</v>
      </c>
      <c r="E64" s="289">
        <f>ROUND(INT(C64)+INT((C64-INT(C64))*60)/100+((C64-INT(C64))*60-INT((C64-INT(C64))*60))*60/10000,4)</f>
        <v>20</v>
      </c>
      <c r="F64" s="311" t="s">
        <v>2938</v>
      </c>
      <c r="G64" s="299"/>
      <c r="H64" s="312"/>
      <c r="I64" s="311"/>
      <c r="J64" s="289"/>
      <c r="K64" s="410"/>
      <c r="L64" s="291"/>
    </row>
    <row r="65" spans="1:12" ht="15.75" hidden="1">
      <c r="A65" s="309" t="s">
        <v>12561</v>
      </c>
      <c r="B65" s="291" t="s">
        <v>12562</v>
      </c>
      <c r="C65" s="303">
        <f>ATAN(TAN(C63)/COS(C66))</f>
        <v>0.34906585039886601</v>
      </c>
      <c r="D65" s="255" t="s">
        <v>2048</v>
      </c>
      <c r="E65" s="312">
        <f>TAN(C65)-C65</f>
        <v>1.4904383867336401E-2</v>
      </c>
      <c r="F65" s="255" t="s">
        <v>12563</v>
      </c>
      <c r="G65" s="303"/>
      <c r="H65" s="255"/>
      <c r="I65" s="312"/>
      <c r="J65" s="255"/>
      <c r="K65" s="255"/>
      <c r="L65" s="291"/>
    </row>
    <row r="66" spans="1:12" ht="15.75" hidden="1">
      <c r="A66" s="314" t="s">
        <v>2823</v>
      </c>
      <c r="B66" s="291" t="s">
        <v>2824</v>
      </c>
      <c r="C66" s="303">
        <f>RADIANS(C18)</f>
        <v>0</v>
      </c>
      <c r="D66" s="255" t="s">
        <v>2048</v>
      </c>
      <c r="E66" s="312"/>
      <c r="F66" s="291"/>
      <c r="G66" s="303"/>
      <c r="H66" s="410"/>
      <c r="I66" s="294"/>
      <c r="J66" s="279"/>
      <c r="K66" s="255"/>
      <c r="L66" s="291"/>
    </row>
    <row r="67" spans="1:12" ht="15.75" hidden="1">
      <c r="A67" s="314"/>
      <c r="B67" s="291"/>
      <c r="C67" s="303">
        <f>C18</f>
        <v>0</v>
      </c>
      <c r="D67" s="311" t="s">
        <v>257</v>
      </c>
      <c r="E67" s="302">
        <f>ROUND(INT(C67)+INT((C67-INT(C67))*60)/100+((C67-INT(C67))*60-INT((C67-INT(C67))*60))*60/10000,4)</f>
        <v>0</v>
      </c>
      <c r="F67" s="311" t="s">
        <v>2938</v>
      </c>
      <c r="G67" s="303"/>
      <c r="H67" s="311"/>
      <c r="I67" s="302"/>
      <c r="J67" s="311"/>
      <c r="K67" s="255"/>
      <c r="L67" s="291"/>
    </row>
    <row r="68" spans="1:12" ht="15.75" hidden="1">
      <c r="A68" s="309" t="s">
        <v>2942</v>
      </c>
      <c r="B68" s="291" t="s">
        <v>2943</v>
      </c>
      <c r="C68" s="303">
        <f>ATAN(C73*TAN(C66)/C72)</f>
        <v>0</v>
      </c>
      <c r="D68" s="255" t="s">
        <v>2048</v>
      </c>
      <c r="E68" s="294"/>
      <c r="F68" s="294"/>
      <c r="G68" s="299"/>
      <c r="H68" s="311"/>
      <c r="I68" s="294"/>
      <c r="J68" s="279"/>
      <c r="K68" s="255"/>
      <c r="L68" s="291"/>
    </row>
    <row r="69" spans="1:12" ht="15.75" hidden="1">
      <c r="A69" s="309" t="s">
        <v>2944</v>
      </c>
      <c r="B69" s="291" t="s">
        <v>12564</v>
      </c>
      <c r="C69" s="303">
        <f>ATAN(C74*TAN(C66)/C72)</f>
        <v>0</v>
      </c>
      <c r="D69" s="255" t="s">
        <v>2048</v>
      </c>
      <c r="E69" s="294"/>
      <c r="F69" s="294"/>
      <c r="G69" s="303"/>
      <c r="H69" s="311"/>
      <c r="I69" s="294"/>
      <c r="J69" s="279"/>
      <c r="K69" s="255"/>
      <c r="L69" s="291"/>
    </row>
    <row r="70" spans="1:12" ht="15.75" hidden="1">
      <c r="A70" s="309" t="s">
        <v>2946</v>
      </c>
      <c r="B70" s="291" t="s">
        <v>12565</v>
      </c>
      <c r="C70" s="303">
        <f>ATAN(C86*TAN(C66)/C72)</f>
        <v>0</v>
      </c>
      <c r="D70" s="255" t="s">
        <v>2048</v>
      </c>
      <c r="E70" s="294"/>
      <c r="F70" s="294"/>
      <c r="G70" s="299"/>
      <c r="H70" s="311"/>
      <c r="I70" s="294"/>
      <c r="J70" s="279"/>
      <c r="K70" s="255"/>
      <c r="L70" s="291"/>
    </row>
    <row r="71" spans="1:12" ht="15.75" hidden="1">
      <c r="A71" s="309" t="s">
        <v>12566</v>
      </c>
      <c r="B71" s="292" t="s">
        <v>2951</v>
      </c>
      <c r="C71" s="303">
        <f>C16/COS(C66)</f>
        <v>5</v>
      </c>
      <c r="D71" s="311" t="s">
        <v>2820</v>
      </c>
      <c r="E71" s="294"/>
      <c r="F71" s="294"/>
      <c r="G71" s="346">
        <f>C71</f>
        <v>5</v>
      </c>
      <c r="H71" s="311"/>
      <c r="I71" s="744"/>
      <c r="J71" s="279"/>
      <c r="K71" s="255"/>
      <c r="L71" s="291"/>
    </row>
    <row r="72" spans="1:12" ht="15.75" hidden="1">
      <c r="A72" s="291" t="s">
        <v>12567</v>
      </c>
      <c r="B72" s="303" t="s">
        <v>2953</v>
      </c>
      <c r="C72" s="302">
        <f>C15*C71</f>
        <v>85</v>
      </c>
      <c r="D72" s="311" t="s">
        <v>2820</v>
      </c>
      <c r="E72" s="405"/>
      <c r="F72" s="292"/>
      <c r="G72" s="302"/>
      <c r="H72" s="311"/>
      <c r="I72" s="744"/>
      <c r="J72" s="279"/>
      <c r="K72" s="405"/>
      <c r="L72" s="291"/>
    </row>
    <row r="73" spans="1:12" ht="15.75" hidden="1">
      <c r="A73" s="291" t="s">
        <v>12568</v>
      </c>
      <c r="B73" s="303" t="s">
        <v>2956</v>
      </c>
      <c r="C73" s="302">
        <f>C72</f>
        <v>85</v>
      </c>
      <c r="D73" s="311" t="s">
        <v>2820</v>
      </c>
      <c r="E73" s="302"/>
      <c r="F73" s="385" t="s">
        <v>12569</v>
      </c>
      <c r="G73" s="302">
        <f>IF(C28&lt;&gt;"",C31,C29)</f>
        <v>38</v>
      </c>
      <c r="H73" s="311" t="s">
        <v>2820</v>
      </c>
      <c r="I73" s="736"/>
      <c r="J73" s="279"/>
      <c r="K73" s="405"/>
      <c r="L73" s="291"/>
    </row>
    <row r="74" spans="1:12" ht="15.75" hidden="1">
      <c r="A74" s="291" t="s">
        <v>12570</v>
      </c>
      <c r="B74" s="303" t="s">
        <v>2959</v>
      </c>
      <c r="C74" s="302">
        <f>C72*COS(C65)</f>
        <v>79.873872766802194</v>
      </c>
      <c r="D74" s="311" t="s">
        <v>2820</v>
      </c>
      <c r="E74" s="302"/>
      <c r="F74" s="453" t="s">
        <v>12571</v>
      </c>
      <c r="G74" s="302">
        <f>IF(C28&lt;&gt;"",C30,C31)</f>
        <v>38</v>
      </c>
      <c r="H74" s="311" t="s">
        <v>2820</v>
      </c>
      <c r="I74" s="736"/>
      <c r="J74" s="279"/>
      <c r="K74" s="405"/>
      <c r="L74" s="291"/>
    </row>
    <row r="75" spans="1:12" ht="15.75" hidden="1">
      <c r="A75" s="291" t="s">
        <v>12572</v>
      </c>
      <c r="B75" s="291" t="s">
        <v>12573</v>
      </c>
      <c r="C75" s="302">
        <f>C65</f>
        <v>0.34906585039886601</v>
      </c>
      <c r="D75" s="255" t="s">
        <v>2048</v>
      </c>
      <c r="E75" s="302">
        <f>DEGREES(C75)</f>
        <v>20</v>
      </c>
      <c r="F75" s="311" t="s">
        <v>257</v>
      </c>
      <c r="G75" s="302">
        <f>ROUND(INT(E75)+INT((E75-INT(E75))*60)/100+((E75-INT(E75))*60-INT((E75-INT(E75))*60))*60/10000,4)</f>
        <v>20</v>
      </c>
      <c r="H75" s="311" t="s">
        <v>2938</v>
      </c>
      <c r="I75" s="736"/>
      <c r="J75" s="279"/>
      <c r="K75" s="405"/>
      <c r="L75" s="291"/>
    </row>
    <row r="76" spans="1:12" ht="15.75" hidden="1">
      <c r="A76" s="291" t="s">
        <v>12574</v>
      </c>
      <c r="B76" s="291" t="s">
        <v>12575</v>
      </c>
      <c r="C76" s="302">
        <f>ATAN(TAN(C75)*COS(C66))</f>
        <v>0.34906585039886601</v>
      </c>
      <c r="D76" s="255" t="s">
        <v>2048</v>
      </c>
      <c r="E76" s="302">
        <f>DEGREES(C76)</f>
        <v>20</v>
      </c>
      <c r="F76" s="311" t="s">
        <v>257</v>
      </c>
      <c r="G76" s="302">
        <f>ROUND(INT(E76)+INT((E76-INT(E76))*60)/100+((E76-INT(E76))*60-INT((E76-INT(E76))*60))*60/10000,4)</f>
        <v>20</v>
      </c>
      <c r="H76" s="311" t="s">
        <v>2938</v>
      </c>
      <c r="I76" s="736"/>
      <c r="J76" s="279"/>
      <c r="K76" s="405"/>
      <c r="L76" s="291"/>
    </row>
    <row r="77" spans="1:12" ht="15.75" hidden="1">
      <c r="A77" s="292" t="s">
        <v>12576</v>
      </c>
      <c r="B77" s="303" t="s">
        <v>2967</v>
      </c>
      <c r="C77" s="302">
        <f>PI()*C16</f>
        <v>15.707963267948999</v>
      </c>
      <c r="D77" s="311" t="s">
        <v>2820</v>
      </c>
      <c r="E77" s="302"/>
      <c r="F77" s="291"/>
      <c r="G77" s="302"/>
      <c r="H77" s="291"/>
      <c r="I77" s="736"/>
      <c r="J77" s="745"/>
      <c r="K77" s="405"/>
      <c r="L77" s="291"/>
    </row>
    <row r="78" spans="1:12" ht="15.75" hidden="1">
      <c r="A78" s="292" t="s">
        <v>12577</v>
      </c>
      <c r="B78" s="303" t="s">
        <v>2969</v>
      </c>
      <c r="C78" s="302">
        <f>PI()*C71</f>
        <v>15.707963267948999</v>
      </c>
      <c r="D78" s="311" t="s">
        <v>2820</v>
      </c>
      <c r="E78" s="302"/>
      <c r="F78" s="291"/>
      <c r="G78" s="302"/>
      <c r="H78" s="291"/>
      <c r="I78" s="736"/>
      <c r="J78" s="745"/>
      <c r="K78" s="405"/>
      <c r="L78" s="291"/>
    </row>
    <row r="79" spans="1:12" ht="15.75" hidden="1">
      <c r="A79" s="292" t="s">
        <v>12578</v>
      </c>
      <c r="B79" s="303" t="s">
        <v>2971</v>
      </c>
      <c r="C79" s="302">
        <f>C74*PI()/C15</f>
        <v>14.760657170467701</v>
      </c>
      <c r="D79" s="311" t="s">
        <v>2820</v>
      </c>
      <c r="E79" s="316">
        <f>C78*COS(C65)</f>
        <v>14.760657170467701</v>
      </c>
      <c r="F79" s="347" t="s">
        <v>2820</v>
      </c>
      <c r="G79" s="302"/>
      <c r="H79" s="291"/>
      <c r="I79" s="736"/>
      <c r="J79" s="745"/>
      <c r="K79" s="405"/>
      <c r="L79" s="291"/>
    </row>
    <row r="80" spans="1:12" ht="15.75" hidden="1">
      <c r="A80" s="309" t="s">
        <v>2840</v>
      </c>
      <c r="B80" s="303" t="s">
        <v>2972</v>
      </c>
      <c r="C80" s="302">
        <f>IF(C25="",C26*COS(C66),C25)</f>
        <v>0</v>
      </c>
      <c r="D80" s="311"/>
      <c r="E80" s="302"/>
      <c r="F80" s="303"/>
      <c r="G80" s="302"/>
      <c r="H80" s="291"/>
      <c r="I80" s="736"/>
      <c r="J80" s="745"/>
      <c r="K80" s="746"/>
      <c r="L80" s="291"/>
    </row>
    <row r="81" spans="1:12" ht="15.75" hidden="1">
      <c r="A81" s="309" t="s">
        <v>2974</v>
      </c>
      <c r="B81" s="303" t="s">
        <v>2975</v>
      </c>
      <c r="C81" s="302">
        <f>IF(C26="",ROUND(C80/COS(C66),5),C26)</f>
        <v>0</v>
      </c>
      <c r="D81" s="311"/>
      <c r="E81" s="302"/>
      <c r="F81" s="303"/>
      <c r="G81" s="302"/>
      <c r="H81" s="291"/>
      <c r="I81" s="736"/>
      <c r="J81" s="745"/>
      <c r="K81" s="746"/>
      <c r="L81" s="291"/>
    </row>
    <row r="82" spans="1:12" ht="15.75" hidden="1">
      <c r="A82" s="279" t="s">
        <v>12579</v>
      </c>
      <c r="B82" s="298" t="s">
        <v>1874</v>
      </c>
      <c r="C82" s="302">
        <f>IF(C28&lt;&gt;"",C28,C30)</f>
        <v>80.5</v>
      </c>
      <c r="D82" s="311" t="s">
        <v>2820</v>
      </c>
      <c r="E82" s="405" t="s">
        <v>12580</v>
      </c>
      <c r="F82" s="303"/>
      <c r="G82" s="736"/>
      <c r="H82" s="291"/>
      <c r="I82" s="736"/>
      <c r="J82" s="745"/>
      <c r="K82" s="746"/>
      <c r="L82" s="291"/>
    </row>
    <row r="83" spans="1:12" ht="15.75" hidden="1">
      <c r="A83" s="291" t="s">
        <v>12581</v>
      </c>
      <c r="B83" s="292" t="s">
        <v>2982</v>
      </c>
      <c r="C83" s="291">
        <f>C16*(C21+C81)</f>
        <v>5</v>
      </c>
      <c r="D83" s="311" t="s">
        <v>2820</v>
      </c>
      <c r="E83" s="302"/>
      <c r="F83" s="292" t="s">
        <v>2983</v>
      </c>
      <c r="G83" s="291">
        <f>C16*C21</f>
        <v>5</v>
      </c>
      <c r="H83" s="311" t="s">
        <v>2820</v>
      </c>
      <c r="I83" s="736"/>
      <c r="J83" s="745"/>
      <c r="K83" s="746"/>
      <c r="L83" s="291"/>
    </row>
    <row r="84" spans="1:12" ht="15.75" hidden="1">
      <c r="A84" s="291" t="s">
        <v>12582</v>
      </c>
      <c r="B84" s="292" t="s">
        <v>2985</v>
      </c>
      <c r="C84" s="292">
        <f>C16*(C21+C24-C81)</f>
        <v>6.25</v>
      </c>
      <c r="D84" s="311" t="s">
        <v>2820</v>
      </c>
      <c r="E84" s="302"/>
      <c r="F84" s="292" t="s">
        <v>2986</v>
      </c>
      <c r="G84" s="291">
        <f>C16*(C21+C24)</f>
        <v>6.25</v>
      </c>
      <c r="H84" s="311" t="s">
        <v>2820</v>
      </c>
      <c r="I84" s="736"/>
      <c r="J84" s="745"/>
      <c r="K84" s="746"/>
      <c r="L84" s="291"/>
    </row>
    <row r="85" spans="1:12" ht="15.75" hidden="1">
      <c r="A85" s="291" t="s">
        <v>12583</v>
      </c>
      <c r="B85" s="292" t="s">
        <v>1866</v>
      </c>
      <c r="C85" s="291">
        <f>C83+C84</f>
        <v>11.25</v>
      </c>
      <c r="D85" s="311" t="s">
        <v>2820</v>
      </c>
      <c r="E85" s="302"/>
      <c r="F85" s="292"/>
      <c r="G85" s="321">
        <f>G83+G84</f>
        <v>11.25</v>
      </c>
      <c r="H85" s="311"/>
      <c r="I85" s="736"/>
      <c r="J85" s="745"/>
      <c r="K85" s="746"/>
      <c r="L85" s="291"/>
    </row>
    <row r="86" spans="1:12" ht="15.75" hidden="1">
      <c r="A86" s="291" t="s">
        <v>12584</v>
      </c>
      <c r="B86" s="303" t="s">
        <v>2989</v>
      </c>
      <c r="C86" s="291">
        <f>C72+2*C83</f>
        <v>95</v>
      </c>
      <c r="D86" s="311" t="s">
        <v>2820</v>
      </c>
      <c r="E86" s="302"/>
      <c r="F86" s="385" t="s">
        <v>12585</v>
      </c>
      <c r="G86" s="291">
        <f>G73+G83</f>
        <v>43</v>
      </c>
      <c r="H86" s="311" t="s">
        <v>2820</v>
      </c>
      <c r="I86" s="438"/>
      <c r="J86" s="745"/>
      <c r="K86" s="746"/>
      <c r="L86" s="291"/>
    </row>
    <row r="87" spans="1:12" ht="15.75" hidden="1">
      <c r="A87" s="272" t="s">
        <v>2991</v>
      </c>
      <c r="B87" s="303" t="s">
        <v>2992</v>
      </c>
      <c r="C87" s="291">
        <f>C86-2*C22*C16</f>
        <v>95</v>
      </c>
      <c r="D87" s="311" t="s">
        <v>2820</v>
      </c>
      <c r="E87" s="302"/>
      <c r="F87" s="303"/>
      <c r="G87" s="291"/>
      <c r="H87" s="311"/>
      <c r="I87" s="438"/>
      <c r="J87" s="745"/>
      <c r="K87" s="746"/>
      <c r="L87" s="291"/>
    </row>
    <row r="88" spans="1:12" ht="15.75" hidden="1">
      <c r="A88" s="291" t="s">
        <v>12586</v>
      </c>
      <c r="B88" s="303" t="s">
        <v>2995</v>
      </c>
      <c r="C88" s="291">
        <f>C72-2*C84</f>
        <v>72.5</v>
      </c>
      <c r="D88" s="311" t="s">
        <v>2820</v>
      </c>
      <c r="E88" s="302"/>
      <c r="F88" s="385" t="s">
        <v>12587</v>
      </c>
      <c r="G88" s="291">
        <f>G73-G84</f>
        <v>31.75</v>
      </c>
      <c r="H88" s="311" t="s">
        <v>2820</v>
      </c>
      <c r="I88" s="438"/>
      <c r="J88" s="745"/>
      <c r="K88" s="746"/>
      <c r="L88" s="291"/>
    </row>
    <row r="89" spans="1:12" ht="15.75" hidden="1">
      <c r="A89" s="309" t="s">
        <v>12588</v>
      </c>
      <c r="B89" s="292" t="s">
        <v>2998</v>
      </c>
      <c r="C89" s="291">
        <f>C71*(PI()/2+2*C80*TAN(C65))</f>
        <v>7.8539816339744801</v>
      </c>
      <c r="D89" s="311" t="s">
        <v>2820</v>
      </c>
      <c r="E89" s="302"/>
      <c r="F89" s="292" t="s">
        <v>2999</v>
      </c>
      <c r="G89" s="291">
        <f>G71*PI()-C89</f>
        <v>7.8539816339744801</v>
      </c>
      <c r="H89" s="311" t="s">
        <v>2820</v>
      </c>
      <c r="I89" s="438"/>
      <c r="J89" s="745"/>
      <c r="K89" s="746"/>
      <c r="L89" s="291"/>
    </row>
    <row r="90" spans="1:12" ht="15.75" hidden="1">
      <c r="A90" s="309" t="s">
        <v>12589</v>
      </c>
      <c r="B90" s="292" t="s">
        <v>3001</v>
      </c>
      <c r="C90" s="291">
        <f>ROUND(0.5*(SQRT(C87^2-C74^2)-SQRT(C72^2-C74^2))+(C20-C81)*C16/SIN(C65),3)</f>
        <v>11.18</v>
      </c>
      <c r="D90" s="311"/>
      <c r="E90" s="302"/>
      <c r="F90" s="292"/>
      <c r="G90" s="291"/>
      <c r="H90" s="311"/>
      <c r="I90" s="438"/>
      <c r="J90" s="745"/>
      <c r="K90" s="746"/>
      <c r="L90" s="291"/>
    </row>
    <row r="91" spans="1:12" hidden="1">
      <c r="A91" s="272" t="s">
        <v>3005</v>
      </c>
      <c r="B91" s="291" t="s">
        <v>4698</v>
      </c>
      <c r="C91" s="291">
        <f>ACOS(C74/C87)</f>
        <v>0.57207835982363997</v>
      </c>
      <c r="D91" s="367">
        <f>TAN(C91)-C91</f>
        <v>7.1826342142504301E-2</v>
      </c>
      <c r="E91" s="302"/>
      <c r="F91" s="291"/>
      <c r="G91" s="291"/>
      <c r="H91" s="367"/>
      <c r="I91" s="404"/>
      <c r="J91" s="745"/>
      <c r="K91" s="746"/>
      <c r="L91" s="291"/>
    </row>
    <row r="92" spans="1:12" ht="15.75" hidden="1">
      <c r="A92" s="309" t="s">
        <v>12590</v>
      </c>
      <c r="B92" s="292" t="s">
        <v>3009</v>
      </c>
      <c r="C92" s="302">
        <f>C89*C86/C72-C86*(D91-E65)</f>
        <v>3.37039343712466</v>
      </c>
      <c r="D92" s="311" t="s">
        <v>2820</v>
      </c>
      <c r="E92" s="737"/>
      <c r="F92" s="292" t="s">
        <v>4182</v>
      </c>
      <c r="G92" s="302">
        <f>G89-2*G83*TAN(C65)</f>
        <v>4.2142792913124598</v>
      </c>
      <c r="H92" s="311" t="s">
        <v>2820</v>
      </c>
      <c r="I92" s="747"/>
      <c r="J92" s="745"/>
      <c r="K92" s="746"/>
      <c r="L92" s="291"/>
    </row>
    <row r="93" spans="1:12" ht="15.75" hidden="1">
      <c r="A93" s="291" t="s">
        <v>12591</v>
      </c>
      <c r="B93" s="292" t="s">
        <v>3012</v>
      </c>
      <c r="C93" s="302">
        <f>C16*(COS(C63)*(PI()*(C94-0.5)+D94*E63)+2*C81*SIN(C63))</f>
        <v>23.331456616388799</v>
      </c>
      <c r="D93" s="311" t="s">
        <v>2820</v>
      </c>
      <c r="E93" s="270">
        <f>C15/COS(C66)^3</f>
        <v>17</v>
      </c>
      <c r="F93" s="292"/>
      <c r="G93" s="302"/>
      <c r="H93" s="311"/>
      <c r="I93" s="404"/>
      <c r="J93" s="745"/>
      <c r="K93" s="748"/>
      <c r="L93" s="291"/>
    </row>
    <row r="94" spans="1:12" ht="15.75" hidden="1" customHeight="1">
      <c r="A94" s="291" t="s">
        <v>12592</v>
      </c>
      <c r="B94" s="292" t="s">
        <v>3015</v>
      </c>
      <c r="C94" s="302">
        <f>ROUND(D94/PI()*ACOS(D94*COS(C63)/(D94+2*C81))+0.5,0)</f>
        <v>2</v>
      </c>
      <c r="D94" s="367">
        <f>C15*E65/E63</f>
        <v>17</v>
      </c>
      <c r="E94" s="270"/>
      <c r="F94" s="292"/>
      <c r="G94" s="302"/>
      <c r="H94" s="367"/>
      <c r="I94" s="404"/>
      <c r="J94" s="745"/>
      <c r="K94" s="748"/>
      <c r="L94" s="291"/>
    </row>
    <row r="95" spans="1:12" ht="15.75" hidden="1" customHeight="1">
      <c r="A95" s="292" t="s">
        <v>12593</v>
      </c>
      <c r="B95" s="292"/>
      <c r="C95" s="302" t="str">
        <f>IF(C19&gt;C93*SIN(C69)+5*COS(C69),"可以测量","不能测量！")</f>
        <v>可以测量</v>
      </c>
      <c r="D95" s="367"/>
      <c r="E95" s="270"/>
      <c r="F95" s="292"/>
      <c r="G95" s="302"/>
      <c r="H95" s="367"/>
      <c r="I95" s="404"/>
      <c r="J95" s="745"/>
      <c r="K95" s="748"/>
      <c r="L95" s="291"/>
    </row>
    <row r="96" spans="1:12" ht="15.75" hidden="1" customHeight="1">
      <c r="A96" s="291" t="s">
        <v>12591</v>
      </c>
      <c r="B96" s="292" t="s">
        <v>3018</v>
      </c>
      <c r="C96" s="302">
        <f>C16*(COS(C63)*(PI()*(C97-0.5)+D94*E63)+2*C81*SIN(C63))</f>
        <v>38.092113786856601</v>
      </c>
      <c r="D96" s="311" t="s">
        <v>2820</v>
      </c>
      <c r="E96" s="270"/>
      <c r="F96" s="292"/>
      <c r="G96" s="302"/>
      <c r="H96" s="367"/>
      <c r="I96" s="404"/>
      <c r="J96" s="745"/>
      <c r="K96" s="748"/>
      <c r="L96" s="291"/>
    </row>
    <row r="97" spans="1:12" ht="15.75" hidden="1" customHeight="1">
      <c r="A97" s="291" t="s">
        <v>12592</v>
      </c>
      <c r="B97" s="292" t="s">
        <v>3020</v>
      </c>
      <c r="C97" s="302">
        <f>C94+1</f>
        <v>3</v>
      </c>
      <c r="D97" s="367"/>
      <c r="E97" s="270"/>
      <c r="F97" s="292"/>
      <c r="G97" s="302"/>
      <c r="H97" s="367"/>
      <c r="I97" s="404"/>
      <c r="J97" s="745"/>
      <c r="K97" s="748"/>
      <c r="L97" s="291"/>
    </row>
    <row r="98" spans="1:12" ht="15.75" hidden="1" customHeight="1">
      <c r="A98" s="292" t="s">
        <v>12594</v>
      </c>
      <c r="B98" s="292"/>
      <c r="C98" s="302" t="str">
        <f>IF(C19&gt;C96*SIN(C69)+5*COS(C69),"可以测量","不能测量！")</f>
        <v>可以测量</v>
      </c>
      <c r="D98" s="367"/>
      <c r="E98" s="270"/>
      <c r="F98" s="292"/>
      <c r="G98" s="302"/>
      <c r="H98" s="367"/>
      <c r="I98" s="404"/>
      <c r="J98" s="745"/>
      <c r="K98" s="748"/>
      <c r="L98" s="291"/>
    </row>
    <row r="99" spans="1:12" ht="15.75" hidden="1">
      <c r="A99" s="279" t="s">
        <v>12595</v>
      </c>
      <c r="B99" s="323" t="s">
        <v>3026</v>
      </c>
      <c r="C99" s="289">
        <f>C16*COS(C63)^2*(PI()/2+2*C81*TAN(C63))</f>
        <v>6.9352403105195704</v>
      </c>
      <c r="D99" s="311" t="s">
        <v>2820</v>
      </c>
      <c r="E99" s="738"/>
      <c r="F99" s="323"/>
      <c r="G99" s="289"/>
      <c r="H99" s="311"/>
      <c r="I99" s="738"/>
      <c r="J99" s="749"/>
      <c r="K99" s="750"/>
      <c r="L99" s="291"/>
    </row>
    <row r="100" spans="1:12" ht="15.75" hidden="1">
      <c r="A100" s="279" t="s">
        <v>12596</v>
      </c>
      <c r="B100" s="323" t="s">
        <v>3029</v>
      </c>
      <c r="C100" s="289">
        <f>C83-C99/2*TAN(C63)</f>
        <v>3.73788947974389</v>
      </c>
      <c r="D100" s="311" t="s">
        <v>2820</v>
      </c>
      <c r="E100" s="367"/>
      <c r="F100" s="323"/>
      <c r="G100" s="289"/>
      <c r="H100" s="311"/>
      <c r="I100" s="367"/>
      <c r="J100" s="751"/>
      <c r="K100" s="750"/>
      <c r="L100" s="367"/>
    </row>
    <row r="101" spans="1:12" ht="15.75" hidden="1">
      <c r="A101" s="279" t="s">
        <v>12597</v>
      </c>
      <c r="B101" s="323" t="s">
        <v>3032</v>
      </c>
      <c r="C101" s="289">
        <f>C16*E93*SIN(PI()/(2*E93)+2*C81*TAN(C63)/E93)</f>
        <v>7.8428105543806703</v>
      </c>
      <c r="D101" s="311" t="s">
        <v>2820</v>
      </c>
      <c r="E101" s="367"/>
      <c r="F101" s="323" t="s">
        <v>3033</v>
      </c>
      <c r="G101" s="312">
        <f>PI()/2*C16+2*G81*C16*TAN(C63)</f>
        <v>7.8539816339744801</v>
      </c>
      <c r="H101" s="311" t="s">
        <v>2820</v>
      </c>
      <c r="I101" s="367"/>
      <c r="J101" s="751"/>
      <c r="K101" s="750"/>
      <c r="L101" s="367"/>
    </row>
    <row r="102" spans="1:12" ht="15.75" hidden="1">
      <c r="A102" s="279" t="s">
        <v>12598</v>
      </c>
      <c r="B102" s="323" t="s">
        <v>3036</v>
      </c>
      <c r="C102" s="289">
        <f>C83+0.5*C16*E93*(1-COS(PI()/(2*E93)+2*C81*TAN(C63)/E93))</f>
        <v>5.1812975074610303</v>
      </c>
      <c r="D102" s="311" t="s">
        <v>2820</v>
      </c>
      <c r="E102" s="367"/>
      <c r="F102" s="323" t="s">
        <v>3037</v>
      </c>
      <c r="G102" s="289">
        <f>G83</f>
        <v>5</v>
      </c>
      <c r="H102" s="311" t="s">
        <v>2820</v>
      </c>
      <c r="I102" s="367"/>
      <c r="J102" s="751"/>
      <c r="K102" s="750"/>
      <c r="L102" s="367"/>
    </row>
    <row r="103" spans="1:12" ht="15.75" hidden="1">
      <c r="A103" s="279"/>
      <c r="B103" s="323" t="s">
        <v>2893</v>
      </c>
      <c r="C103" s="289">
        <f>C112*SIN(C115)/COS(C113+C115)*COS(C69)</f>
        <v>8.6744623087549595</v>
      </c>
      <c r="D103" s="311"/>
      <c r="E103" s="367"/>
      <c r="F103" s="323" t="s">
        <v>3046</v>
      </c>
      <c r="G103" s="289">
        <f>(PI()*C16-G101)/COS(C63)</f>
        <v>8.3580326803096892</v>
      </c>
      <c r="H103" s="311"/>
      <c r="I103" s="367"/>
      <c r="J103" s="751"/>
      <c r="K103" s="750"/>
      <c r="L103" s="367"/>
    </row>
    <row r="104" spans="1:12" ht="15.75" hidden="1">
      <c r="A104" s="352" t="s">
        <v>3047</v>
      </c>
      <c r="B104" s="323" t="s">
        <v>2896</v>
      </c>
      <c r="C104" s="289">
        <f>C54</f>
        <v>8</v>
      </c>
      <c r="D104" s="311" t="s">
        <v>2820</v>
      </c>
      <c r="E104" s="367"/>
      <c r="F104" s="323" t="s">
        <v>3048</v>
      </c>
      <c r="G104" s="289">
        <f>G54</f>
        <v>8</v>
      </c>
      <c r="H104" s="311" t="s">
        <v>2820</v>
      </c>
      <c r="I104" s="367"/>
      <c r="J104" s="751"/>
      <c r="K104" s="750"/>
      <c r="L104" s="321"/>
    </row>
    <row r="105" spans="1:12" ht="15.75" hidden="1">
      <c r="A105" s="352"/>
      <c r="B105" s="739" t="s">
        <v>12599</v>
      </c>
      <c r="C105" s="289">
        <f>E65+C104/(C16*C15*COS(C63))+2*C81*TAN(C63)/C15-PI()/(2*C15)</f>
        <v>2.2662507935957799E-2</v>
      </c>
      <c r="D105" s="311"/>
      <c r="E105" s="367"/>
      <c r="F105" s="739"/>
      <c r="G105" s="289"/>
      <c r="H105" s="311"/>
      <c r="I105" s="367"/>
      <c r="J105" s="751"/>
      <c r="K105" s="750"/>
      <c r="L105" s="321"/>
    </row>
    <row r="106" spans="1:12" ht="15.75" hidden="1">
      <c r="A106" s="352"/>
      <c r="B106" s="740" t="s">
        <v>4703</v>
      </c>
      <c r="C106" s="298">
        <f>C56</f>
        <v>0.52819922458463897</v>
      </c>
      <c r="D106" s="255" t="s">
        <v>2048</v>
      </c>
      <c r="E106" s="367"/>
      <c r="F106" s="740"/>
      <c r="G106" s="298"/>
      <c r="H106" s="255"/>
      <c r="I106" s="367"/>
      <c r="J106" s="751"/>
      <c r="K106" s="750"/>
      <c r="L106" s="321"/>
    </row>
    <row r="107" spans="1:12" ht="15.75" hidden="1">
      <c r="A107" s="352"/>
      <c r="B107" s="323" t="s">
        <v>3056</v>
      </c>
      <c r="C107" s="289">
        <f>C72/2*COS(C65)/COS(C106)</f>
        <v>46.238503531309199</v>
      </c>
      <c r="D107" s="311"/>
      <c r="E107" s="367"/>
      <c r="F107" s="323"/>
      <c r="G107" s="289"/>
      <c r="H107" s="311"/>
      <c r="I107" s="367"/>
      <c r="J107" s="751"/>
      <c r="K107" s="750"/>
      <c r="L107" s="321"/>
    </row>
    <row r="108" spans="1:12" ht="15.75" hidden="1">
      <c r="A108" s="352"/>
      <c r="B108" s="323"/>
      <c r="C108" s="289">
        <f>2*C107*COS(PI()/(2*C15))+C104</f>
        <v>100.082516453726</v>
      </c>
      <c r="D108" s="311"/>
      <c r="E108" s="312">
        <f>2*C107+C104</f>
        <v>100.477007062618</v>
      </c>
      <c r="F108" s="323"/>
      <c r="G108" s="289"/>
      <c r="H108" s="311"/>
      <c r="I108" s="312"/>
      <c r="J108" s="751"/>
      <c r="K108" s="750"/>
      <c r="L108" s="321"/>
    </row>
    <row r="109" spans="1:12" ht="15.75" hidden="1">
      <c r="A109" s="352" t="s">
        <v>3060</v>
      </c>
      <c r="B109" s="323" t="s">
        <v>3061</v>
      </c>
      <c r="C109" s="289">
        <f>IF(ODD(C15)-C15=0,C108,E108)</f>
        <v>100.082516453726</v>
      </c>
      <c r="D109" s="311" t="s">
        <v>2820</v>
      </c>
      <c r="E109" s="367"/>
      <c r="F109" s="385" t="s">
        <v>12600</v>
      </c>
      <c r="G109" s="289">
        <f>G54/2+G54/2*SIN(C63)+(G54*COS(C63)-(PI()*C16-G101))/(2*TAN(C63))+G73</f>
        <v>42.905899004574202</v>
      </c>
      <c r="H109" s="311" t="s">
        <v>2820</v>
      </c>
      <c r="I109" s="349"/>
      <c r="J109" s="751"/>
      <c r="K109" s="750"/>
      <c r="L109" s="367"/>
    </row>
    <row r="110" spans="1:12" ht="15.75" hidden="1">
      <c r="A110" s="279"/>
      <c r="B110" s="289" t="s">
        <v>3064</v>
      </c>
      <c r="C110" s="312">
        <f>ATAN(TAN(C56)-C104/C74*COS(C69))</f>
        <v>0.45023316659975099</v>
      </c>
      <c r="D110" s="323"/>
      <c r="E110" s="289"/>
      <c r="F110" s="289"/>
      <c r="G110" s="289"/>
      <c r="H110" s="311"/>
      <c r="I110" s="349"/>
      <c r="J110" s="751"/>
      <c r="K110" s="750"/>
      <c r="L110" s="302"/>
    </row>
    <row r="111" spans="1:12" ht="15.75" hidden="1">
      <c r="A111" s="279" t="s">
        <v>12601</v>
      </c>
      <c r="B111" s="298" t="s">
        <v>4196</v>
      </c>
      <c r="C111" s="312">
        <f>C74/COS(C110)</f>
        <v>88.714675322623705</v>
      </c>
      <c r="D111" s="311" t="s">
        <v>2820</v>
      </c>
      <c r="E111" s="385"/>
      <c r="F111" s="385" t="s">
        <v>12602</v>
      </c>
      <c r="G111" s="289">
        <f>(G54*COS(C63)-(PI()*C16-G101))/(2*TAN(C63))+G73</f>
        <v>37.537818431271603</v>
      </c>
      <c r="H111" s="311" t="s">
        <v>2820</v>
      </c>
      <c r="I111" s="744"/>
      <c r="J111" s="751"/>
      <c r="K111" s="750"/>
      <c r="L111" s="302"/>
    </row>
    <row r="112" spans="1:12" ht="15.75" hidden="1">
      <c r="A112" s="279"/>
      <c r="B112" s="298" t="s">
        <v>4198</v>
      </c>
      <c r="C112" s="312">
        <f>C72+2*C81*C16</f>
        <v>85</v>
      </c>
      <c r="D112" s="323"/>
      <c r="E112" s="289"/>
      <c r="F112" s="323"/>
      <c r="G112" s="289"/>
      <c r="H112" s="311"/>
      <c r="I112" s="752"/>
      <c r="J112" s="751"/>
      <c r="K112" s="750"/>
      <c r="L112" s="302"/>
    </row>
    <row r="113" spans="1:12" ht="15.75" hidden="1">
      <c r="A113" s="279"/>
      <c r="B113" s="291" t="s">
        <v>4200</v>
      </c>
      <c r="C113" s="289">
        <f>ACOS(C74/C112)</f>
        <v>0.34906585039886501</v>
      </c>
      <c r="D113" s="350">
        <f>TAN(C113)-C113</f>
        <v>1.4904383867336401E-2</v>
      </c>
      <c r="E113" s="289"/>
      <c r="F113" s="291"/>
      <c r="G113" s="289"/>
      <c r="H113" s="350"/>
      <c r="I113" s="752"/>
      <c r="J113" s="751"/>
      <c r="K113" s="750"/>
      <c r="L113" s="302"/>
    </row>
    <row r="114" spans="1:12" ht="15.75" hidden="1">
      <c r="A114" s="382"/>
      <c r="B114" s="323" t="s">
        <v>4202</v>
      </c>
      <c r="C114" s="289">
        <f>C89*C112/C72-C112*(D113-E65)</f>
        <v>7.8539816339744899</v>
      </c>
      <c r="D114" s="289"/>
      <c r="E114" s="367"/>
      <c r="F114" s="298"/>
      <c r="G114" s="289"/>
      <c r="H114" s="289"/>
      <c r="I114" s="752"/>
      <c r="J114" s="751"/>
      <c r="K114" s="750"/>
      <c r="L114" s="302"/>
    </row>
    <row r="115" spans="1:12" ht="15.75" hidden="1">
      <c r="A115" s="741"/>
      <c r="B115" s="332" t="s">
        <v>4204</v>
      </c>
      <c r="C115" s="338">
        <f>(PI()*C112/C15-C114)/C112</f>
        <v>9.2399783929111495E-2</v>
      </c>
      <c r="D115" s="338"/>
      <c r="E115" s="742"/>
      <c r="F115" s="332"/>
      <c r="G115" s="338"/>
      <c r="H115" s="338"/>
      <c r="I115" s="753"/>
      <c r="J115" s="751"/>
      <c r="K115" s="750"/>
      <c r="L115" s="291"/>
    </row>
    <row r="116" spans="1:12" ht="15.75" hidden="1">
      <c r="A116" s="743" t="s">
        <v>2898</v>
      </c>
      <c r="B116" s="292"/>
      <c r="C116" s="289"/>
      <c r="D116" s="289"/>
      <c r="E116" s="289"/>
      <c r="F116" s="292"/>
      <c r="G116" s="289"/>
      <c r="H116" s="289"/>
      <c r="I116" s="753"/>
      <c r="J116" s="751"/>
      <c r="K116" s="750"/>
      <c r="L116" s="291"/>
    </row>
    <row r="117" spans="1:12" ht="15" hidden="1">
      <c r="A117" s="312" t="s">
        <v>3067</v>
      </c>
      <c r="B117" s="291" t="s">
        <v>3068</v>
      </c>
      <c r="C117" s="289">
        <f>ROUND(1/(2*PI())*(C15*(TAN(C91)-TAN(C65))+2*C21/(SIN(C65)*COS(C65))),3)</f>
        <v>1.748</v>
      </c>
      <c r="D117" s="289"/>
      <c r="E117" s="289"/>
      <c r="F117" s="291"/>
      <c r="G117" s="289"/>
      <c r="H117" s="289"/>
      <c r="I117" s="753"/>
      <c r="J117" s="751"/>
      <c r="K117" s="750"/>
      <c r="L117" s="291"/>
    </row>
    <row r="118" spans="1:12" ht="15" hidden="1">
      <c r="A118" s="312" t="s">
        <v>3070</v>
      </c>
      <c r="B118" s="291" t="s">
        <v>3071</v>
      </c>
      <c r="C118" s="289">
        <f>ROUND(C19*SIN(C66)/(PI()*C16),3)</f>
        <v>0</v>
      </c>
      <c r="D118" s="289"/>
      <c r="E118" s="289"/>
      <c r="F118" s="291"/>
      <c r="G118" s="289"/>
      <c r="H118" s="289"/>
      <c r="I118" s="753"/>
      <c r="J118" s="751"/>
      <c r="K118" s="750"/>
      <c r="L118" s="291"/>
    </row>
    <row r="119" spans="1:12" ht="15" hidden="1">
      <c r="A119" s="275" t="s">
        <v>3073</v>
      </c>
      <c r="B119" s="332" t="s">
        <v>2449</v>
      </c>
      <c r="C119" s="338">
        <f>ROUND(C117+C118,3)</f>
        <v>1.748</v>
      </c>
      <c r="D119" s="475"/>
      <c r="E119" s="338"/>
      <c r="F119" s="332"/>
      <c r="G119" s="338"/>
      <c r="H119" s="338"/>
      <c r="I119" s="753"/>
      <c r="J119" s="751"/>
      <c r="K119" s="750"/>
      <c r="L119" s="291"/>
    </row>
    <row r="120" spans="1:12" ht="15" hidden="1">
      <c r="A120" s="312" t="s">
        <v>4208</v>
      </c>
      <c r="B120" s="297"/>
      <c r="C120" s="289">
        <f>ROUND(C92*COS(C70)/C16,2)</f>
        <v>0.67</v>
      </c>
      <c r="D120" s="294" t="str">
        <f>IF(C120&lt;0.4,"齿顶变尖 ！","齿顶未变尖")</f>
        <v>齿顶未变尖</v>
      </c>
      <c r="E120" s="289"/>
      <c r="F120" s="297"/>
      <c r="G120" s="289">
        <f>ROUND(G92*COS(C70)/C16,2)</f>
        <v>0.84</v>
      </c>
      <c r="H120" s="294" t="str">
        <f>IF(G120&lt;0.4,"齿顶变尖 ！","齿顶未变尖")</f>
        <v>齿顶未变尖</v>
      </c>
      <c r="I120" s="753"/>
      <c r="J120" s="751"/>
      <c r="K120" s="750"/>
      <c r="L120" s="291"/>
    </row>
    <row r="121" spans="1:12" ht="15" hidden="1">
      <c r="A121" s="339" t="s">
        <v>3083</v>
      </c>
      <c r="B121" s="382" t="s">
        <v>3084</v>
      </c>
      <c r="C121" s="289">
        <f>INT(2*C21/SIN(C65)^2)</f>
        <v>17</v>
      </c>
      <c r="D121" s="305"/>
      <c r="E121" s="289"/>
      <c r="F121" s="297"/>
      <c r="G121" s="289"/>
      <c r="H121" s="305"/>
      <c r="I121" s="753"/>
      <c r="J121" s="751"/>
      <c r="K121" s="750"/>
      <c r="L121" s="291"/>
    </row>
    <row r="122" spans="1:12" ht="15" hidden="1">
      <c r="A122" s="473" t="s">
        <v>3086</v>
      </c>
      <c r="B122" s="386" t="s">
        <v>3087</v>
      </c>
      <c r="C122" s="338">
        <f>ROUND(C21*(C121-C15)/C121,3)</f>
        <v>0</v>
      </c>
      <c r="D122" s="356" t="str">
        <f>IF(C25&gt;=C122,"不根切","根切 ！")</f>
        <v>不根切</v>
      </c>
      <c r="E122" s="338"/>
      <c r="F122" s="386"/>
      <c r="G122" s="338"/>
      <c r="H122" s="356"/>
      <c r="I122" s="753"/>
      <c r="J122" s="751"/>
      <c r="K122" s="750"/>
      <c r="L122" s="291"/>
    </row>
    <row r="123" spans="1:12" ht="15.75" hidden="1">
      <c r="A123" s="743" t="s">
        <v>3088</v>
      </c>
      <c r="B123" s="298"/>
      <c r="C123" s="289"/>
      <c r="D123" s="350"/>
      <c r="E123" s="289"/>
      <c r="F123" s="323"/>
      <c r="G123" s="289"/>
      <c r="H123" s="350"/>
      <c r="I123" s="754"/>
      <c r="J123" s="751"/>
      <c r="K123" s="750"/>
      <c r="L123" s="291"/>
    </row>
    <row r="124" spans="1:12" ht="15.75" hidden="1">
      <c r="A124" s="339" t="s">
        <v>4710</v>
      </c>
      <c r="B124" s="292" t="s">
        <v>4711</v>
      </c>
      <c r="C124" s="289">
        <f>ROUND(0.5*SQRT(C72^2-C74^2)+(C20-C81)*C16/SIN(C65),3)</f>
        <v>14.536</v>
      </c>
      <c r="D124" s="311" t="s">
        <v>2820</v>
      </c>
      <c r="E124" s="289"/>
      <c r="F124" s="292"/>
      <c r="G124" s="289"/>
      <c r="H124" s="311"/>
      <c r="I124" s="753"/>
      <c r="J124" s="751"/>
      <c r="K124" s="750"/>
      <c r="L124" s="291"/>
    </row>
    <row r="125" spans="1:12" ht="15.75" hidden="1">
      <c r="A125" s="339" t="s">
        <v>4712</v>
      </c>
      <c r="B125" s="292" t="s">
        <v>4713</v>
      </c>
      <c r="C125" s="289">
        <f>SQRT((C87/2)^2-(C74/2)^2)</f>
        <v>25.715581119394798</v>
      </c>
      <c r="D125" s="311" t="s">
        <v>2820</v>
      </c>
      <c r="E125" s="289"/>
      <c r="F125" s="292"/>
      <c r="G125" s="289"/>
      <c r="H125" s="311"/>
      <c r="I125" s="753"/>
      <c r="J125" s="751"/>
      <c r="K125" s="750"/>
      <c r="L125" s="291"/>
    </row>
    <row r="126" spans="1:12" ht="15.75" hidden="1">
      <c r="A126" s="279" t="s">
        <v>12603</v>
      </c>
      <c r="B126" s="291" t="s">
        <v>4715</v>
      </c>
      <c r="C126" s="289">
        <f>DEGREES(C124/(C74/2))</f>
        <v>20.854164751313299</v>
      </c>
      <c r="D126" s="311" t="s">
        <v>257</v>
      </c>
      <c r="E126" s="289">
        <f t="shared" ref="E126:E129" si="2">ROUND(INT(C126)+INT((C126-INT(C126))*60)/100+((C126-INT(C126))*60-INT((C126-INT(C126))*60))*60/10000,4)</f>
        <v>20.511500000000002</v>
      </c>
      <c r="F126" s="311" t="s">
        <v>2938</v>
      </c>
      <c r="G126" s="289"/>
      <c r="H126" s="311"/>
      <c r="I126" s="289"/>
      <c r="J126" s="410"/>
      <c r="K126" s="750"/>
      <c r="L126" s="291"/>
    </row>
    <row r="127" spans="1:12" ht="15.75" hidden="1">
      <c r="A127" s="279" t="s">
        <v>12604</v>
      </c>
      <c r="B127" s="291" t="s">
        <v>4717</v>
      </c>
      <c r="C127" s="289">
        <f>DEGREES(C125/(C74/2))</f>
        <v>36.893021831289197</v>
      </c>
      <c r="D127" s="311" t="s">
        <v>257</v>
      </c>
      <c r="E127" s="289">
        <f t="shared" si="2"/>
        <v>36.533499999999997</v>
      </c>
      <c r="F127" s="311" t="s">
        <v>2938</v>
      </c>
      <c r="G127" s="289"/>
      <c r="H127" s="311"/>
      <c r="I127" s="289"/>
      <c r="J127" s="410"/>
      <c r="K127" s="750"/>
      <c r="L127" s="291"/>
    </row>
    <row r="128" spans="1:12" s="684" customFormat="1" ht="15" hidden="1">
      <c r="A128" s="279" t="s">
        <v>4222</v>
      </c>
      <c r="B128" s="291" t="s">
        <v>4718</v>
      </c>
      <c r="C128" s="289">
        <f>C126+1/3*(C127-C126)</f>
        <v>26.200450444638602</v>
      </c>
      <c r="D128" s="311" t="s">
        <v>257</v>
      </c>
      <c r="E128" s="289">
        <f t="shared" si="2"/>
        <v>26.120200000000001</v>
      </c>
      <c r="F128" s="311" t="s">
        <v>2938</v>
      </c>
      <c r="G128" s="289"/>
      <c r="H128" s="311"/>
      <c r="I128" s="289"/>
      <c r="J128" s="410"/>
      <c r="K128" s="750"/>
      <c r="L128" s="291"/>
    </row>
    <row r="129" spans="1:12" ht="15" hidden="1">
      <c r="A129" s="401"/>
      <c r="B129" s="332" t="s">
        <v>4719</v>
      </c>
      <c r="C129" s="338">
        <f>C126+2/3*(C127-C126)</f>
        <v>31.546736137963901</v>
      </c>
      <c r="D129" s="335" t="s">
        <v>257</v>
      </c>
      <c r="E129" s="338">
        <f t="shared" si="2"/>
        <v>31.3248</v>
      </c>
      <c r="F129" s="335" t="s">
        <v>2938</v>
      </c>
      <c r="G129" s="338"/>
      <c r="H129" s="335"/>
      <c r="I129" s="289"/>
      <c r="J129" s="410"/>
      <c r="K129" s="750"/>
      <c r="L129" s="297"/>
    </row>
    <row r="130" spans="1:12" ht="15.75" hidden="1" customHeight="1">
      <c r="A130" s="743" t="s">
        <v>3187</v>
      </c>
      <c r="B130" s="291"/>
      <c r="C130" s="289"/>
      <c r="D130" s="289"/>
      <c r="E130" s="289"/>
      <c r="F130" s="291"/>
      <c r="G130" s="289"/>
      <c r="H130" s="750"/>
      <c r="I130" s="753"/>
      <c r="J130" s="757"/>
      <c r="K130" s="339"/>
      <c r="L130" s="291"/>
    </row>
    <row r="131" spans="1:12" ht="15.75" hidden="1">
      <c r="A131" s="279" t="s">
        <v>3188</v>
      </c>
      <c r="B131" s="298"/>
      <c r="C131" s="312">
        <f>PI()*C72/2</f>
        <v>133.51768777756601</v>
      </c>
      <c r="D131" s="350"/>
      <c r="E131" s="279" t="s">
        <v>12605</v>
      </c>
      <c r="F131" s="298" t="s">
        <v>1167</v>
      </c>
      <c r="G131" s="289">
        <f>C32</f>
        <v>3000</v>
      </c>
      <c r="H131" s="289"/>
      <c r="I131" s="753"/>
      <c r="J131" s="757"/>
      <c r="K131" s="339"/>
      <c r="L131" s="291"/>
    </row>
    <row r="132" spans="1:12" ht="15.75" hidden="1">
      <c r="A132" s="279" t="s">
        <v>3190</v>
      </c>
      <c r="B132" s="298" t="s">
        <v>3191</v>
      </c>
      <c r="C132" s="312">
        <f>IF(AND(C131&gt;20,C131&lt;=32,C33=3),5,IF(AND(C131&gt;32,C131&lt;=50,C33=3),5.5,IF(AND(C131&gt;50,C131&lt;=80,C33=3),6,IF(AND(C131&gt;80,C131&lt;=160,C33=3),8,IF(AND(C131&gt;160,C131&lt;=315,C33=3),11,IF(AND(C131&gt;315,C131&lt;=630,C33=3),16,IF(AND(C131&gt;630,C131&lt;=1000,C33=3),20,C133)))))))</f>
        <v>63</v>
      </c>
      <c r="D132" s="350"/>
      <c r="E132" s="299"/>
      <c r="F132" s="323" t="s">
        <v>3192</v>
      </c>
      <c r="G132" s="312" t="str">
        <f>IF(AND(G131&lt;=32,C33=3),6,IF(AND(G131&gt;32,G131&lt;=50,C33=3),6.5,IF(AND(G131&gt;50,G131&lt;=80,C33=3),7,IF(AND(G131&gt;80,G131&lt;=160,C33=3),10,IF(AND(G131&gt;160,G131&lt;=315,C33=3),13,IF(AND(G131&gt;315,G131&lt;=630,C33=3),18,IF(AND(G131&gt;630,G131&lt;=1000,C33=3),24,G133)))))))</f>
        <v>*</v>
      </c>
      <c r="H132" s="289"/>
      <c r="I132" s="753"/>
      <c r="J132" s="757"/>
      <c r="K132" s="339"/>
      <c r="L132" s="291"/>
    </row>
    <row r="133" spans="1:12" ht="15.75" hidden="1">
      <c r="A133" s="279"/>
      <c r="B133" s="298"/>
      <c r="C133" s="367">
        <f>IF(AND(C131&gt;20,C131&lt;=32,C33=4),8,IF(AND(C131&gt;32,C131&lt;=50,C33=4),9,IF(AND(C131&gt;50,C131&lt;=80,C33=4),10,IF(AND(C131&gt;80,C131&lt;=160,C33=4),12,IF(AND(C131&gt;160,C131&lt;=315,C33=4),18,IF(AND(C131&gt;315,C131&lt;=630,C33=4),25,IF(AND(C131&gt;630,C131&lt;=1000,C33=4),32,C134)))))))</f>
        <v>63</v>
      </c>
      <c r="D133" s="350"/>
      <c r="E133" s="299"/>
      <c r="F133" s="323"/>
      <c r="G133" s="367" t="str">
        <f>IF(AND(G131&lt;=32,C33=4),10,IF(AND(G131&gt;32,G131&lt;=50,C33=4),11,IF(AND(G131&gt;50,G131&lt;=80,C33=4),12,IF(AND(G131&gt;80,G131&lt;=160,C33=4),15,IF(AND(G131&gt;160,G131&lt;=315,C33=4),20,IF(AND(G131&gt;315,G131&lt;=630,C33=4),30,IF(AND(G131&gt;630,G131&lt;=1000,C33=4),40,G134)))))))</f>
        <v>*</v>
      </c>
      <c r="H133" s="289"/>
      <c r="I133" s="753"/>
      <c r="J133" s="757"/>
      <c r="K133" s="339"/>
      <c r="L133" s="291"/>
    </row>
    <row r="134" spans="1:12" ht="15.75" hidden="1">
      <c r="A134" s="411"/>
      <c r="B134" s="298"/>
      <c r="C134" s="367">
        <f>IF(AND(C131&gt;20,C131&lt;=32,C33=5),12,IF(AND(C131&gt;32,C131&lt;=50,C33=5),14,IF(AND(C131&gt;50,C131&lt;=80,C33=5),16,IF(AND(C131&gt;80,C131&lt;=160,C33=5),20,IF(AND(C131&gt;160,C131&lt;=315,C33=5),28,IF(AND(C131&gt;315,C131&lt;=630,C33=5),40,IF(AND(C131&gt;630,C131&lt;=1000,C33=5),50,C135)))))))</f>
        <v>63</v>
      </c>
      <c r="D134" s="350"/>
      <c r="E134" s="299"/>
      <c r="F134" s="323"/>
      <c r="G134" s="367" t="str">
        <f>IF(AND(G131&lt;=32,C33=5),15,IF(AND(G131&gt;32,G131&lt;=50,C33=5),17,IF(AND(G131&gt;50,G131&lt;=80,C33=5),20,IF(AND(G131&gt;80,G131&lt;=160,C33=5),24,IF(AND(G131&gt;160,G131&lt;=315,C33=5),35,IF(AND(G131&gt;315,G131&lt;=630,C33=5),50,IF(AND(G131&gt;630,G131&lt;=1000,C33=5),60,G135)))))))</f>
        <v>*</v>
      </c>
      <c r="H134" s="289"/>
      <c r="I134" s="753"/>
      <c r="J134" s="757"/>
      <c r="K134" s="339"/>
      <c r="L134" s="291"/>
    </row>
    <row r="135" spans="1:12" ht="15" hidden="1">
      <c r="A135" s="411"/>
      <c r="B135" s="312"/>
      <c r="C135" s="367">
        <f>IF(AND(C131&gt;20,C131&lt;=32,C33=6),20,IF(AND(C131&gt;32,C131&lt;=50,C33=6),22,IF(AND(C131&gt;50,C131&lt;=80,C33=6),25,IF(AND(C131&gt;80,C131&lt;=160,C33=6),32,IF(AND(C131&gt;160,C131&lt;=315,C33=6),45,IF(AND(C131&gt;315,C131&lt;=630,C33=6),63,IF(AND(C131&gt;630,C131&lt;=1000,C33=6),80,C136)))))))</f>
        <v>63</v>
      </c>
      <c r="D135" s="350"/>
      <c r="E135" s="299"/>
      <c r="F135" s="297"/>
      <c r="G135" s="367" t="str">
        <f>IF(AND(G131&lt;=32,C33=6),24,IF(AND(G131&gt;32,G131&lt;=50,C33=6),27,IF(AND(G131&gt;50,G131&lt;=80,C33=6),30,IF(AND(G131&gt;80,G131&lt;=160,C33=6),40,IF(AND(G131&gt;160,G131&lt;=315,C33=6),55,IF(AND(G131&gt;315,G131&lt;=630,C33=6),75,IF(AND(G131&gt;630,G131&lt;=1000,C33=6),95,G136)))))))</f>
        <v>*</v>
      </c>
      <c r="H135" s="289"/>
      <c r="I135" s="753"/>
      <c r="J135" s="757"/>
      <c r="K135" s="339"/>
      <c r="L135" s="291"/>
    </row>
    <row r="136" spans="1:12" ht="15" hidden="1">
      <c r="A136" s="411"/>
      <c r="B136" s="312"/>
      <c r="C136" s="367">
        <f>IF(AND(C131&gt;20,C131&lt;=32,C33=7),28,IF(AND(C131&gt;32,C131&lt;=50,C33=7),32,IF(AND(C131&gt;50,C131&lt;=80,C33=7),36,IF(AND(C131&gt;80,C131&lt;=160,C33=7),45,IF(AND(C131&gt;160,C131&lt;=315,C33=7),63,IF(AND(C131&gt;315,C131&lt;=630,C33=7),90,IF(AND(C131&gt;630,C131&lt;=1000,C33=7),112,C137)))))))</f>
        <v>63</v>
      </c>
      <c r="D136" s="350"/>
      <c r="E136" s="299"/>
      <c r="F136" s="297"/>
      <c r="G136" s="367" t="str">
        <f>IF(AND(G131&lt;=32,C33=7),35,IF(AND(G131&gt;32,G131&lt;=50,C33=7),40,IF(AND(G131&gt;50,G131&lt;=80,C33=7),45,IF(AND(G131&gt;80,G131&lt;=160,C33=7),55,IF(AND(G131&gt;160,G131&lt;=315,C33=7),75,IF(AND(G131&gt;315,G131&lt;=630,C33=7),110,IF(AND(G131&gt;630,G131&lt;=1000,C33=7),135,G137)))))))</f>
        <v>*</v>
      </c>
      <c r="H136" s="289"/>
      <c r="I136" s="753"/>
      <c r="J136" s="757"/>
      <c r="K136" s="339"/>
      <c r="L136" s="291"/>
    </row>
    <row r="137" spans="1:12" ht="15" hidden="1">
      <c r="A137" s="279"/>
      <c r="B137" s="312"/>
      <c r="C137" s="367">
        <f>IF(AND(C131&gt;20,C131&lt;=32,C33=8),40,IF(AND(C131&gt;32,C131&lt;=50,C33=8),45,IF(AND(C131&gt;50,C131&lt;=80,C33=8),50,IF(AND(C131&gt;80,C131&lt;=160,C33=8),63,IF(AND(C131&gt;160,C131&lt;=315,C33=8),90,IF(AND(C131&gt;315,C131&lt;=630,C33=8),125,IF(AND(C131&gt;630,C131&lt;=1000,C33=8),160,"*")))))))</f>
        <v>63</v>
      </c>
      <c r="D137" s="350"/>
      <c r="E137" s="299"/>
      <c r="F137" s="297"/>
      <c r="G137" s="367" t="str">
        <f>IF(AND(G131&lt;=32,C33=8),50,IF(AND(G131&gt;32,G131&lt;=50,C33=8),56,IF(AND(G131&gt;50,G131&lt;=80,C33=8),63,IF(AND(G131&gt;80,G131&lt;=160,C33=8),75,IF(AND(G131&gt;160,G131&lt;=315,C33=8),105,IF(AND(G131&gt;315,G131&lt;=630,C33=8),150,IF(AND(G131&gt;630,G131&lt;=1000,C33=8),190,"*")))))))</f>
        <v>*</v>
      </c>
      <c r="H137" s="289"/>
      <c r="I137" s="753"/>
      <c r="J137" s="757"/>
      <c r="K137" s="339"/>
      <c r="L137" s="291"/>
    </row>
    <row r="138" spans="1:12" ht="15.75" hidden="1">
      <c r="A138" s="352" t="s">
        <v>3193</v>
      </c>
      <c r="B138" s="298" t="s">
        <v>3194</v>
      </c>
      <c r="C138" s="312">
        <f>IF(AND(C72&lt;=125,C16&gt;=1,C16&lt;=3.5,C33=3),6,IF(AND(C72&lt;=125,C16&gt;3.5,C16&lt;=6.3,C33=3),7,IF(AND(C72&lt;=125,C16&gt;6.3,C16&lt;=10,C33=3),8,IF(AND(C72&gt;125,C72&lt;=400,C16&gt;=1,C16&lt;=3.5,C33=3),9,IF(AND(C72&gt;125,C72&lt;=400,C16&gt;3.5,C16&lt;=6.3,C33=3),10,IF(AND(C72&gt;125,C72&lt;=400,C16&gt;6.3,C16&lt;=10,C33=3),11,C139))))))</f>
        <v>50</v>
      </c>
      <c r="D138" s="350"/>
      <c r="E138" s="352" t="s">
        <v>12606</v>
      </c>
      <c r="F138" s="298" t="s">
        <v>3195</v>
      </c>
      <c r="G138" s="312">
        <f>IF(AND(G16&gt;=1,G16&lt;=3.5,G33=3),6,IF(AND(G16&gt;3.5,G16&lt;=6.3,G33=3),8,IF(AND(G16&gt;6.3,G16&lt;=10,G33=3),9,G140)))</f>
        <v>65</v>
      </c>
      <c r="H138" s="289"/>
      <c r="I138" s="753"/>
      <c r="J138" s="757"/>
      <c r="K138" s="339"/>
      <c r="L138" s="291"/>
    </row>
    <row r="139" spans="1:12" ht="15" hidden="1">
      <c r="A139" s="279"/>
      <c r="B139" s="312"/>
      <c r="C139" s="367">
        <f>IF(AND(C72&gt;400,C72&lt;=800,C16&gt;=1,C16&lt;=3.5,C33=3),11,IF(AND(C72&gt;400,C72&lt;=800,C16&gt;3.5,C16&lt;=6.3,C33=3),13,IF(AND(C72&gt;400,C72&lt;=800,C16&gt;6.3,C16&lt;=10,C33=3),14,IF(AND(C72&gt;800,C72&lt;=1600,C16&gt;=1,C16&lt;=3.5,C33=3),13,IF(AND(C72&gt;800,C72&lt;=1600,C16&gt;3.5,C16&lt;=6.3,C33=3),14,IF(AND(C72&gt;800,C72&lt;=1600,C16&gt;6.3,C16&lt;=10,C33=3),16,C140))))))</f>
        <v>50</v>
      </c>
      <c r="D139" s="350"/>
      <c r="E139" s="299"/>
      <c r="F139" s="297"/>
      <c r="G139" s="367"/>
      <c r="H139" s="289"/>
      <c r="I139" s="753"/>
      <c r="J139" s="757"/>
      <c r="K139" s="339"/>
      <c r="L139" s="291"/>
    </row>
    <row r="140" spans="1:12" ht="15" hidden="1">
      <c r="A140" s="279"/>
      <c r="B140" s="312"/>
      <c r="C140" s="367">
        <f>IF(AND(C72&lt;=125,C16&gt;=1,C16&lt;=3.5,C33=4),10,IF(AND(C72&lt;=125,C16&gt;3.5,C16&lt;=6.3,C33=4),11,IF(AND(C72&lt;=125,C16&gt;6.3,C16&lt;=10,C33=4),13,IF(AND(C72&gt;125,C72&lt;=400,C16&gt;=1,C16&lt;=3.5,C33=4),15,IF(AND(C72&gt;125,C72&lt;=400,C16&gt;3.5,C16&lt;=6.3,C33=4),16,IF(AND(C72&gt;125,C72&lt;=400,C16&gt;6.3,C16&lt;=10,C33=4),18,C141))))))</f>
        <v>50</v>
      </c>
      <c r="D140" s="350"/>
      <c r="E140" s="299"/>
      <c r="F140" s="297"/>
      <c r="G140" s="367">
        <f>IF(AND(G16&gt;=1,G16&lt;=3.5,G33=4),7,IF(AND(G16&gt;3.5,G16&lt;=6.3,G33=4),13,IF(AND(G16&gt;6.3,G16&lt;=10,G33=4),15,G142)))</f>
        <v>65</v>
      </c>
      <c r="H140" s="289"/>
      <c r="I140" s="753"/>
      <c r="J140" s="757"/>
      <c r="K140" s="339"/>
      <c r="L140" s="291"/>
    </row>
    <row r="141" spans="1:12" ht="15" hidden="1">
      <c r="A141" s="279"/>
      <c r="B141" s="312"/>
      <c r="C141" s="367">
        <f>IF(AND(C72&gt;400,C72&lt;=800,C16&gt;=1,C16&lt;=3.5,C33=4),18,IF(AND(C72&gt;400,C72&lt;=800,C16&gt;3.5,C16&lt;=6.3,C33=4),20,IF(AND(C72&gt;400,C72&lt;=800,C16&gt;6.3,C16&lt;=10,C33=4),22,IF(AND(C72&gt;800,C72&lt;=1600,C16&gt;=1,C16&lt;=3.5,C33=4),20,IF(AND(C72&gt;800,C72&lt;=1600,C16&gt;3.5,C16&lt;=6.3,C33=4),22,IF(AND(C72&gt;800,C72&lt;=1600,C16&gt;6.3,C16&lt;=10,C33=4),25,C142))))))</f>
        <v>50</v>
      </c>
      <c r="D141" s="350"/>
      <c r="E141" s="299"/>
      <c r="F141" s="297"/>
      <c r="G141" s="367"/>
      <c r="H141" s="289"/>
      <c r="I141" s="753"/>
      <c r="J141" s="757"/>
      <c r="K141" s="339"/>
      <c r="L141" s="291"/>
    </row>
    <row r="142" spans="1:12" ht="15" hidden="1">
      <c r="A142" s="279"/>
      <c r="B142" s="312"/>
      <c r="C142" s="367">
        <f>IF(AND(C72&lt;=125,C16&gt;=1,C16&lt;=3.5,C33=5),16,IF(AND(C72&lt;=125,C16&gt;3.5,C16&lt;=6.3,C33=5),18,IF(AND(C72&lt;=125,C16&gt;6.3,C16&lt;=10,C33=5),20,IF(AND(C72&gt;125,C72&lt;=400,C16&gt;=1,C16&lt;=3.5,C33=5),22,IF(AND(C72&gt;125,C72&lt;=400,C16&gt;3.5,C16&lt;=6.3,C33=5),25,IF(AND(C72&gt;125,C72&lt;=400,C16&gt;6.3,C16&lt;=10,C33=5),28,C143))))))</f>
        <v>50</v>
      </c>
      <c r="D142" s="350"/>
      <c r="E142" s="299"/>
      <c r="F142" s="297"/>
      <c r="G142" s="367">
        <f>IF(AND(G16&gt;=1,G16&lt;=3.5,G33=5),14,IF(AND(G16&gt;3.5,G16&lt;=6.3,G33=5),21,IF(AND(G16&gt;6.3,G16&lt;=10,G33=5),24,G144)))</f>
        <v>65</v>
      </c>
      <c r="H142" s="289"/>
      <c r="I142" s="753"/>
      <c r="J142" s="757"/>
      <c r="K142" s="339"/>
      <c r="L142" s="291"/>
    </row>
    <row r="143" spans="1:12" ht="15" hidden="1">
      <c r="A143" s="279"/>
      <c r="B143" s="312"/>
      <c r="C143" s="367">
        <f>IF(AND(C72&gt;400,C72&lt;=800,C16&gt;=1,C16&lt;=3.5,C33=5),28,IF(AND(C72&gt;400,C72&lt;=800,C16&gt;3.5,C16&lt;=6.3,C33=5),32,IF(AND(C72&gt;400,C72&lt;=800,C16&gt;6.3,C16&lt;=10,C33=5),36,IF(AND(C72&gt;800,C72&lt;=1600,C16&gt;=1,C16&lt;=3.5,C33=5),32,IF(AND(C72&gt;800,C72&lt;=1600,C16&gt;3.5,C16&lt;=6.3,C33=5),36,IF(AND(C72&gt;800,C72&lt;=1600,C16&gt;6.5,C16&lt;=10,C33=5),40,C144))))))</f>
        <v>50</v>
      </c>
      <c r="D143" s="350"/>
      <c r="E143" s="299"/>
      <c r="F143" s="297"/>
      <c r="G143" s="367"/>
      <c r="H143" s="289"/>
      <c r="I143" s="753"/>
      <c r="J143" s="757"/>
      <c r="K143" s="339"/>
      <c r="L143" s="291"/>
    </row>
    <row r="144" spans="1:12" ht="15" hidden="1">
      <c r="A144" s="279"/>
      <c r="B144" s="312"/>
      <c r="C144" s="367">
        <f>IF(AND(C72&lt;=125,C16&gt;=1,C16&lt;=3.5,C33=6),25,IF(AND(C72&lt;=125,C16&gt;3.5,C16&lt;=6.3,C33=6),28,IF(AND(C72&lt;=125,C16&gt;6.3,C16&lt;=10,C33=6),32,IF(AND(C72&gt;125,C72&lt;=400,C16&gt;=1,C16&lt;=3.5,C33=6),36,IF(AND(C72&gt;125,C72&lt;=400,C16&gt;3.5,C16&lt;=6.3,C33=6),40,IF(AND(C72&gt;125,C72&lt;=400,C16&gt;6.3,C16&lt;=10,C33=6),45,C145))))))</f>
        <v>50</v>
      </c>
      <c r="D144" s="350"/>
      <c r="E144" s="299"/>
      <c r="F144" s="297"/>
      <c r="G144" s="367">
        <f>IF(AND(G16&gt;=1,G16&lt;=3.5,G33=6),24,IF(AND(G16&gt;3.5,G16&lt;=6.3,G33=6),34,IF(AND(G16&gt;6.3,G16&lt;=10,G33=6),38,G146)))</f>
        <v>65</v>
      </c>
      <c r="H144" s="289"/>
      <c r="I144" s="753"/>
      <c r="J144" s="757"/>
      <c r="K144" s="339"/>
      <c r="L144" s="291"/>
    </row>
    <row r="145" spans="1:12" ht="15" hidden="1">
      <c r="A145" s="279"/>
      <c r="B145" s="312"/>
      <c r="C145" s="367">
        <f>IF(AND(C72&gt;400,C72&lt;=800,C16&gt;=1,C16&lt;=3.5,C33=6),45,IF(AND(C72&gt;400,C72&lt;=800,C16&gt;3.5,C16&lt;=6.3,C33=6),50,IF(AND(C72&gt;400,C72&lt;=800,C16&gt;6.3,C16&lt;=10,C33=6),56,IF(AND(C72&gt;800,C72&lt;=1600,C16&gt;=1,C16&lt;=3.5,C33=6),50,IF(AND(C72&gt;800,C72&lt;=1600,C16&gt;3.5,C16&lt;=6.3,C33=6),56,IF(AND(C72&gt;800,C72&lt;=1600,C16&gt;6.3,C16&lt;=10,C33=6),63,C146))))))</f>
        <v>50</v>
      </c>
      <c r="D145" s="350"/>
      <c r="E145" s="299"/>
      <c r="F145" s="297"/>
      <c r="G145" s="367"/>
      <c r="H145" s="289"/>
      <c r="I145" s="753"/>
      <c r="J145" s="757"/>
      <c r="K145" s="339"/>
      <c r="L145" s="291"/>
    </row>
    <row r="146" spans="1:12" ht="15" hidden="1">
      <c r="A146" s="279"/>
      <c r="B146" s="312"/>
      <c r="C146" s="367">
        <f>IF(AND(C72&lt;=125,C16&gt;=1,C16&lt;=3.5,C33=7),36,IF(AND(C72&lt;=125,C16&gt;3.5,C16&lt;=6.3,C33=7),40,IF(AND(C72&lt;=125,C16&gt;6.3,C16&lt;=10,C33=7),45,IF(AND(C72&gt;125,C72&lt;=400,C16&gt;=1,C16&lt;=3.5,C33=7),50,IF(AND(C72&gt;125,C72&lt;=400,C16&gt;3.5,C16&lt;=6.3,C33=7),56,IF(AND(C72&gt;125,C72&lt;=400,C16&gt;6.3,C16&lt;=10,C33=7),63,C147))))))</f>
        <v>50</v>
      </c>
      <c r="D146" s="350"/>
      <c r="E146" s="299"/>
      <c r="F146" s="297"/>
      <c r="G146" s="367">
        <f>IF(AND(G16&gt;=1,G16&lt;=3.5,G33=7),32,IF(AND(G16&gt;3.5,G16&lt;=6.3,G33=7),45,IF(AND(G16&gt;6.3,G16&lt;=10,G33=7),55,G148)))</f>
        <v>65</v>
      </c>
      <c r="H146" s="289"/>
      <c r="I146" s="753"/>
      <c r="J146" s="757"/>
      <c r="K146" s="339"/>
      <c r="L146" s="291"/>
    </row>
    <row r="147" spans="1:12" ht="15" hidden="1">
      <c r="A147" s="279"/>
      <c r="B147" s="312"/>
      <c r="C147" s="367">
        <f>IF(AND(C72&gt;400,C72&lt;=800,C16&gt;=1,C16&lt;=3.5,C33=7),63,IF(AND(C72&gt;400,C72&lt;=800,C16&gt;3.5,C16&lt;=6.3,C33=7),71,IF(AND(C72&gt;400,C72&lt;=800,C16&gt;6.3,C16&lt;=10,C33=7),80,IF(AND(C72&gt;800,C72&lt;=1600,C16&gt;=1,C16&lt;=3.5,C33=7),71,IF(AND(C72&gt;800,C72&lt;=1600,C16&gt;3.5,C16&lt;=6.3,C33=7),80,IF(AND(C72&gt;800,C72&lt;=1600,C16&gt;6.3,C16&lt;=10,C33=7),90,C148))))))</f>
        <v>50</v>
      </c>
      <c r="D147" s="350"/>
      <c r="E147" s="299"/>
      <c r="F147" s="297"/>
      <c r="G147" s="367"/>
      <c r="H147" s="289"/>
      <c r="I147" s="753"/>
      <c r="J147" s="757"/>
      <c r="K147" s="339"/>
      <c r="L147" s="291"/>
    </row>
    <row r="148" spans="1:12" ht="15" hidden="1">
      <c r="A148" s="279"/>
      <c r="B148" s="312"/>
      <c r="C148" s="367">
        <f>IF(AND(C72&lt;=125,C16&gt;=1,C16&lt;=3.5,C33=8),45,IF(AND(C72&lt;=125,C16&gt;3.5,C16&lt;=6.3,C33=8),50,IF(AND(C72&lt;=125,C16&gt;6.3,C16&lt;=10,C33=8),56,IF(AND(C72&gt;125,C72&lt;=400,C16&gt;=1,C16&lt;=3.5,C33=8),63,IF(AND(C72&gt;125,C72&lt;=400,C16&gt;3.5,C16&lt;=6.3,C33=8),71,IF(AND(C72&gt;125,C72&lt;=400,C16&gt;6.3,C16&lt;=10,C33=8),80,C149))))))</f>
        <v>50</v>
      </c>
      <c r="D148" s="350"/>
      <c r="E148" s="299"/>
      <c r="F148" s="297"/>
      <c r="G148" s="367">
        <f>IF(AND(G16&gt;=1,G16&lt;=3.5,G33=8),45,IF(AND(G16&gt;3.5,G16&lt;=6.3,G33=8),65,IF(AND(G16&gt;6.3,G16&lt;=10,G33=8),75,"*")))</f>
        <v>65</v>
      </c>
      <c r="H148" s="289"/>
      <c r="I148" s="753"/>
      <c r="J148" s="757"/>
      <c r="K148" s="339"/>
      <c r="L148" s="291"/>
    </row>
    <row r="149" spans="1:12" ht="15" hidden="1">
      <c r="A149" s="279"/>
      <c r="B149" s="312"/>
      <c r="C149" s="367" t="str">
        <f>IF(AND(C72&gt;400,C72&lt;=800,C16&gt;=1,C16&lt;=3.5,C33=8),80,IF(AND(C72&gt;400,C72&lt;=800,C16&gt;3.5,C16&lt;=6.3,C33=8),90,IF(AND(C72&gt;400,C72&lt;=800,C16&gt;6.3,C16&lt;=10,C33=8),100,IF(AND(C72&gt;800,C72&lt;=1600,C16&gt;=1,C16&lt;=3.5,C33=8),90,IF(AND(C72&gt;800,C72&lt;=1600,C16&gt;3.5,C16&lt;=6.3,C33=8),100,IF(AND(C72&gt;800,C72&lt;=1600,C16&gt;6.3,C16&lt;=10,C33=8),112,"*"))))))</f>
        <v>*</v>
      </c>
      <c r="D149" s="350"/>
      <c r="E149" s="299"/>
      <c r="F149" s="297"/>
      <c r="G149" s="367"/>
      <c r="H149" s="289"/>
      <c r="I149" s="753"/>
      <c r="J149" s="757"/>
      <c r="K149" s="339"/>
      <c r="L149" s="291"/>
    </row>
    <row r="150" spans="1:12" ht="15.75" hidden="1">
      <c r="A150" s="382" t="s">
        <v>3196</v>
      </c>
      <c r="B150" s="298" t="s">
        <v>3197</v>
      </c>
      <c r="C150" s="312">
        <f>IF(AND(C72&lt;=125,C33=3),5,IF(AND(C72&lt;=125,C33=4),8,IF(AND(C72&lt;=125,C33=5),12,IF(AND(C72&lt;=125,C33=6),20,IF(AND(C72&lt;=125,C33=7),28,IF(AND(C72&lt;=125,C33=8),40,C151))))))</f>
        <v>40</v>
      </c>
      <c r="D150" s="350"/>
      <c r="E150" s="299"/>
      <c r="F150" s="323"/>
      <c r="G150" s="312"/>
      <c r="H150" s="289"/>
      <c r="I150" s="753"/>
      <c r="J150" s="757"/>
      <c r="K150" s="339"/>
      <c r="L150" s="291"/>
    </row>
    <row r="151" spans="1:12" ht="15" hidden="1">
      <c r="A151" s="279"/>
      <c r="B151" s="312"/>
      <c r="C151" s="367" t="str">
        <f>IF(AND(C72&gt;125,C72&lt;=400,C33=3),6.5,IF(AND(C72&gt;125,C72&lt;=400,C33=4),10,IF(AND(C72&gt;125,C72&lt;=400,C33=5),16,IF(AND(C72&gt;125,C72&lt;=400,C33=6),25,IF(AND(C72&gt;125,C72&lt;=400,C33=7),36,IF(AND(C72&gt;125,C72&lt;=400,C33=8),50,C152))))))</f>
        <v>*</v>
      </c>
      <c r="D151" s="350"/>
      <c r="E151" s="299"/>
      <c r="F151" s="297"/>
      <c r="G151" s="367"/>
      <c r="H151" s="289"/>
      <c r="I151" s="753"/>
      <c r="J151" s="757"/>
      <c r="K151" s="339"/>
      <c r="L151" s="291"/>
    </row>
    <row r="152" spans="1:12" ht="15" hidden="1">
      <c r="A152" s="279"/>
      <c r="B152" s="312"/>
      <c r="C152" s="367" t="str">
        <f>IF(AND(C72&gt;400,C72&lt;=800,C33=3),8,IF(AND(C72&gt;400,C72&lt;=800,C33=4),12,IF(AND(C72&gt;400,C72&lt;=800,C33=5),20,IF(AND(C72&gt;400,C72&lt;=800,C33=6),32,IF(AND(C72&gt;400,C72&lt;=800,C33=7),45,IF(AND(C72&gt;400,C72&lt;=800,C33=8),63,C153))))))</f>
        <v>*</v>
      </c>
      <c r="D152" s="350"/>
      <c r="E152" s="299"/>
      <c r="F152" s="297"/>
      <c r="G152" s="367"/>
      <c r="H152" s="289"/>
      <c r="I152" s="753"/>
      <c r="J152" s="757"/>
      <c r="K152" s="339"/>
      <c r="L152" s="291"/>
    </row>
    <row r="153" spans="1:12" ht="15" hidden="1">
      <c r="A153" s="279"/>
      <c r="B153" s="312"/>
      <c r="C153" s="367" t="str">
        <f>IF(AND(C72&gt;800,C72&lt;=1600,C33=3),10,IF(AND(C72&gt;800,C72&lt;=1600,C33=4),16,IF(AND(C72&gt;800,C72&lt;=1600,C33=5),25,IF(AND(C72&gt;800,C72&lt;=1600,C33=6),40,IF(AND(C72&gt;800,C72&lt;=1600,C33=7),56,IF(AND(C72&gt;800,C72&lt;=1600,C33=8),80,"*"))))))</f>
        <v>*</v>
      </c>
      <c r="D153" s="350"/>
      <c r="E153" s="299"/>
      <c r="F153" s="297"/>
      <c r="G153" s="367"/>
      <c r="H153" s="289"/>
      <c r="I153" s="753"/>
      <c r="J153" s="757"/>
      <c r="K153" s="339"/>
      <c r="L153" s="291"/>
    </row>
    <row r="154" spans="1:12" ht="15.75" hidden="1">
      <c r="A154" s="279" t="s">
        <v>3199</v>
      </c>
      <c r="B154" s="323" t="s">
        <v>12607</v>
      </c>
      <c r="C154" s="312">
        <f>IF(AND(C72&lt;=125,C16&gt;=1,C16&lt;=3.5,C34=3),2.5,IF(AND(C72&lt;=125,C16&gt;3.5,C16&lt;=6.3,C34=3),3.2,IF(AND(C72&lt;=125,C16&gt;6.3,C16&lt;=10,C34=3),3.6,IF(AND(C72&gt;125,C72&lt;=400,C16&gt;=1,C16&lt;=3.5,C34=3),2.8,IF(AND(C72&gt;125,C72&lt;=400,C16&gt;3.5,C16&lt;=6.3,C34=3),3.6,IF(AND(C72&gt;125,C72&lt;=400,C16&gt;6.3,C16&lt;=10,C34=3),4,C155))))))</f>
        <v>18</v>
      </c>
      <c r="D154" s="350"/>
      <c r="E154" s="312"/>
      <c r="F154" s="323" t="s">
        <v>3201</v>
      </c>
      <c r="G154" s="312">
        <f>IF(AND(G16&gt;=1,G16&lt;=3.5,G33=3),2.5,IF(AND(G16&gt;3.5,G16&lt;=6.3,G33=3),3.6,IF(AND(G16&gt;6.3,G16&lt;=10,G33=3),4,G156)))</f>
        <v>28</v>
      </c>
      <c r="H154" s="289"/>
      <c r="I154" s="753"/>
      <c r="J154" s="757"/>
      <c r="K154" s="339"/>
      <c r="L154" s="291"/>
    </row>
    <row r="155" spans="1:12" ht="15.75" hidden="1">
      <c r="A155" s="279"/>
      <c r="B155" s="323"/>
      <c r="C155" s="367">
        <f>IF(AND(C72&gt;400,C72&lt;=800,C16&gt;=1,C16&lt;=3.5,C34=3),3.2,IF(AND(C72&gt;400,C72&lt;=800,C16&gt;3.5,C16&lt;=6.3,C34=3),3.6,IF(AND(C72&gt;400,C72&lt;=800,C16&gt;6.3,C16&lt;=10,C34=3),4.5,IF(AND(C72&gt;800,C72&lt;=1600,C16&gt;=1,C16&lt;=3.5,C34=3),3.6,IF(AND(C72&gt;800,C72&lt;=1600,C16&gt;3.5,C16&lt;=6.3,C34=3),4,IF(AND(C72&gt;800,C72&lt;=1600,C16&gt;6.3,C16&lt;=10,C34=3),4.5,C156))))))</f>
        <v>18</v>
      </c>
      <c r="D155" s="755"/>
      <c r="E155" s="367"/>
      <c r="F155" s="756"/>
      <c r="G155" s="367"/>
      <c r="H155" s="289"/>
      <c r="I155" s="753"/>
      <c r="J155" s="757"/>
      <c r="K155" s="339"/>
      <c r="L155" s="291"/>
    </row>
    <row r="156" spans="1:12" ht="15.75" hidden="1">
      <c r="A156" s="279"/>
      <c r="B156" s="323"/>
      <c r="C156" s="367">
        <f>IF(AND(C72&lt;=125,C16&gt;=1,C16&lt;=3.5,C34=4),4,IF(AND(C72&lt;=125,C16&gt;3.5,C16&lt;=6.3,C34=4),5,IF(AND(C72&lt;=125,C16&gt;6.3,C16&lt;=10,C34=4),5.5,IF(AND(C72&gt;125,C72&lt;=400,C16&gt;=1,C16&lt;=3.5,C34=4),4.5,IF(AND(C72&gt;125,C72&lt;=400,C16&gt;3.5,C16&lt;=6.3,C34=4),5.5,IF(AND(C72&gt;125,C72&lt;=400,C16&gt;6.3,C16&lt;=10,C34=4),6,C157))))))</f>
        <v>18</v>
      </c>
      <c r="D156" s="755"/>
      <c r="E156" s="367"/>
      <c r="F156" s="756"/>
      <c r="G156" s="367">
        <f>IF(AND(G16&gt;=1,G16&lt;=3.5,G33=4),4,IF(AND(G16&gt;3.5,G16&lt;=6.3,G33=4),5.5,IF(AND(G16&gt;6.3,G16&lt;=10,G33=4),6,G158)))</f>
        <v>28</v>
      </c>
      <c r="H156" s="289"/>
      <c r="I156" s="753"/>
      <c r="J156" s="757"/>
      <c r="K156" s="339"/>
      <c r="L156" s="291"/>
    </row>
    <row r="157" spans="1:12" ht="15.75" hidden="1">
      <c r="A157" s="279"/>
      <c r="B157" s="323"/>
      <c r="C157" s="367">
        <f>IF(AND(C72&gt;400,C72&lt;=800,C16&gt;=1,C16&lt;=3.5,C34=4),5,IF(AND(C72&gt;400,C72&lt;=800,C16&gt;3.5,C16&lt;=6.3,C34=4),5.5,IF(AND(C72&gt;400,C72&lt;=800,C16&gt;6.3,C16&lt;=10,C34=4),7,IF(AND(C72&gt;800,C72&lt;=1600,C16&gt;=1,C16&lt;=3.5,C34=4),5.5,IF(AND(C72&gt;800,C72&lt;=1600,C16&gt;3.5,C16&lt;=6.3,C34=4),6,IF(AND(C72&gt;800,C72&lt;=1600,C16&gt;6.3,C16&lt;=10,C34=4),7,C158))))))</f>
        <v>18</v>
      </c>
      <c r="D157" s="755"/>
      <c r="E157" s="367"/>
      <c r="F157" s="756"/>
      <c r="G157" s="367"/>
      <c r="H157" s="289"/>
      <c r="I157" s="753"/>
      <c r="J157" s="757"/>
      <c r="K157" s="339"/>
      <c r="L157" s="291"/>
    </row>
    <row r="158" spans="1:12" ht="15" hidden="1">
      <c r="A158" s="279"/>
      <c r="B158" s="312"/>
      <c r="C158" s="367">
        <f>IF(AND(C72&lt;=125,C16&gt;=1,C16&lt;=3.5,C34=5),6,IF(AND(C72&lt;=125,C16&gt;3.5,C16&lt;=6.3,C34=5),8,IF(AND(C72&lt;=125,C16&gt;6.3,C16&lt;=10,C34=5),9,IF(AND(C72&gt;125,C72&lt;=400,C16&gt;=1,C16&lt;=3.5,C34=5),7,IF(AND(C72&gt;125,C72&lt;=400,C16&gt;3.5,C16&lt;=6.3,C34=5),9,IF(AND(C72&gt;125,C72&lt;=400,C16&gt;6.3,C16&lt;=10,C34=5),10,C159))))))</f>
        <v>18</v>
      </c>
      <c r="D158" s="350"/>
      <c r="E158" s="299"/>
      <c r="F158" s="297"/>
      <c r="G158" s="367">
        <f>IF(AND(G16&gt;=1,G16&lt;=3.5,G33=5),6,IF(AND(G16&gt;3.5,G16&lt;=6.3,G33=5),9,IF(AND(G16&gt;6.3,G16&lt;=10,G33=5),10,G160)))</f>
        <v>28</v>
      </c>
      <c r="H158" s="289"/>
      <c r="I158" s="753"/>
      <c r="J158" s="757"/>
      <c r="K158" s="339"/>
      <c r="L158" s="291"/>
    </row>
    <row r="159" spans="1:12" ht="15.75" hidden="1">
      <c r="A159" s="279"/>
      <c r="B159" s="323"/>
      <c r="C159" s="367">
        <f>IF(AND(C72&gt;400,C72&lt;=800,C16&gt;=1,C16&lt;=3.5,C34=5),8,IF(AND(C72&gt;400,C72&lt;=800,C16&gt;3.5,C16&lt;=6.3,C34=5),9,IF(AND(C72&gt;400,C72&lt;=800,C16&gt;6.3,C16&lt;=10,C34=5),11,IF(AND(C72&gt;800,C72&lt;=1600,C16&gt;=1,C16&lt;=3.5,C34=5),9,IF(AND(C72&gt;800,C72&lt;=1600,C16&gt;3.5,C16&lt;=6.3,C34=5),10,IF(AND(C72&gt;800,C72&lt;=1600,C16&gt;6.3,C16&lt;=10,C34=5),11,C160))))))</f>
        <v>18</v>
      </c>
      <c r="D159" s="350"/>
      <c r="E159" s="299"/>
      <c r="F159" s="323"/>
      <c r="G159" s="367"/>
      <c r="H159" s="289"/>
      <c r="I159" s="753"/>
      <c r="J159" s="757"/>
      <c r="K159" s="339"/>
      <c r="L159" s="291"/>
    </row>
    <row r="160" spans="1:12" ht="15.75" hidden="1">
      <c r="A160" s="279"/>
      <c r="B160" s="323"/>
      <c r="C160" s="367">
        <f>IF(AND(C72&lt;=125,C16&gt;=1,C16&lt;=3.5,C34=6),10,IF(AND(C72&lt;=125,C16&gt;3.5,C16&lt;=6.3,C34=6),13,IF(AND(C72&lt;=125,C16&gt;6.3,C16&lt;=10,C34=6),14,IF(AND(C72&gt;125,C72&lt;=400,C16&gt;=1,C16&lt;=3.5,C34=6),11,IF(AND(C72&gt;125,C72&lt;=400,C16&gt;3.5,C16&lt;=6.3,C34=6),14,IF(AND(C72&gt;125,C72&lt;=400,C16&gt;6.3,C16&lt;=10,C34=6),16,C161))))))</f>
        <v>18</v>
      </c>
      <c r="D160" s="350"/>
      <c r="E160" s="299"/>
      <c r="F160" s="323"/>
      <c r="G160" s="367">
        <f>IF(AND(G16&gt;=1,G16&lt;=3.5,G33=6),10,IF(AND(G16&gt;3.5,G16&lt;=6.3,G33=6),14,IF(AND(G16&gt;6.3,G16&lt;=10,G33=6),16,G162)))</f>
        <v>28</v>
      </c>
      <c r="H160" s="289"/>
      <c r="I160" s="753"/>
      <c r="J160" s="757"/>
      <c r="K160" s="339"/>
      <c r="L160" s="291"/>
    </row>
    <row r="161" spans="1:12" ht="15.75" hidden="1">
      <c r="A161" s="279"/>
      <c r="B161" s="323"/>
      <c r="C161" s="367">
        <f>IF(AND(C72&gt;400,C72&lt;=800,C16&gt;=1,C16&lt;=3.5,C34=6),13,IF(AND(C72&gt;400,C72&lt;=800,C16&gt;3.5,C16&lt;=6.3,C34=6),14,IF(AND(C72&gt;400,C72&lt;=800,C16&gt;6.3,C16&lt;=10,C34=6),18,IF(AND(C72&gt;800,C72&lt;=1600,C16&gt;=1,C16&lt;=3.5,C34=6),14,IF(AND(C72&gt;800,C72&lt;=1600,C16&gt;3.5,C16&lt;=6.3,C34=6),16,IF(AND(C72&gt;800,C72&lt;=1600,C16&gt;6.3,C16&lt;=10,C34=6),18,C162))))))</f>
        <v>18</v>
      </c>
      <c r="D161" s="350"/>
      <c r="E161" s="299"/>
      <c r="F161" s="323"/>
      <c r="G161" s="367"/>
      <c r="H161" s="289"/>
      <c r="I161" s="753"/>
      <c r="J161" s="757"/>
      <c r="K161" s="339"/>
      <c r="L161" s="291"/>
    </row>
    <row r="162" spans="1:12" ht="15.75" hidden="1">
      <c r="A162" s="279"/>
      <c r="B162" s="323"/>
      <c r="C162" s="367">
        <f>IF(AND(C72&lt;=125,C16&gt;=1,C16&lt;=3.5,C34=7),14,IF(AND(C72&lt;=125,C16&gt;3.5,C16&lt;=6.3,C34=7),18,IF(AND(C72&lt;=125,C16&gt;6.3,C16&lt;=10,C34=7),20,IF(AND(C72&gt;125,C72&lt;=400,C16&gt;=1,C16&lt;=3.5,C34=7),16,IF(AND(C72&gt;125,C72&lt;=400,C16&gt;3.5,C16&lt;=6.3,C34=7),20,IF(AND(C72&gt;125,C72&lt;=400,C16&gt;6.3,C16&lt;=10,C34=7),22,C163))))))</f>
        <v>18</v>
      </c>
      <c r="D162" s="350"/>
      <c r="E162" s="299"/>
      <c r="F162" s="323"/>
      <c r="G162" s="367">
        <f>IF(AND(G16&gt;=1,G16&lt;=3.5,G33=7),14,IF(AND(G16&gt;3.5,G16&lt;=6.3,G33=7),20,IF(AND(G16&gt;6.3,G16&lt;=10,G33=7),22,G164)))</f>
        <v>28</v>
      </c>
      <c r="H162" s="289"/>
      <c r="I162" s="753"/>
      <c r="J162" s="757"/>
      <c r="K162" s="339"/>
      <c r="L162" s="291"/>
    </row>
    <row r="163" spans="1:12" ht="15.75" hidden="1">
      <c r="A163" s="279"/>
      <c r="B163" s="323"/>
      <c r="C163" s="367" t="str">
        <f>IF(AND(C72&gt;400,C72&lt;=800,C16&gt;=1,C16&lt;=3.5,C34=7),18,IF(AND(C72&gt;400,C72&lt;=800,C16&gt;3.5,C16&lt;=6.3,C34=7),20,IF(AND(C72&gt;400,C72&lt;=800,C16&gt;6.3,C16&lt;=10,C34=7),25,IF(AND(C72&gt;800,C72&lt;=1600,C16&gt;=1,C16&lt;=3.5,C34=7),20,IF(AND(C72&gt;800,C72&lt;=1600,C16&gt;3.5,C16&lt;=6.3,C34=7),22,IF(AND(C72&gt;800,C72&lt;=1600,C16&gt;6.3,C16&lt;=10,C34=7),25,C164))))))</f>
        <v>*</v>
      </c>
      <c r="D163" s="350"/>
      <c r="E163" s="299"/>
      <c r="F163" s="323"/>
      <c r="G163" s="367"/>
      <c r="H163" s="289"/>
      <c r="I163" s="753"/>
      <c r="J163" s="757"/>
      <c r="K163" s="339"/>
      <c r="L163" s="291"/>
    </row>
    <row r="164" spans="1:12" ht="15.75" hidden="1">
      <c r="A164" s="279"/>
      <c r="B164" s="323"/>
      <c r="C164" s="367" t="str">
        <f>IF(AND(C72&lt;=125,C16&gt;=1,C16&lt;=3.5,C34=8),20,IF(AND(C72&lt;=125,C16&gt;3.5,C16&lt;=6.3,C34=8),25,IF(AND(C72&lt;=125,C16&gt;6.3,C16&lt;=10,C34=8),28,IF(AND(C72&gt;125,C72&lt;=400,C16&gt;=1,C16&lt;=3.5,C34=8),22,IF(AND(C72&gt;125,C72&lt;=400,C16&gt;3.5,C16&lt;=6.3,C34=8),28,IF(AND(C72&gt;125,C72&lt;=400,C16&gt;6.3,C16&lt;=10,C34=8),32,C165))))))</f>
        <v>*</v>
      </c>
      <c r="D164" s="350"/>
      <c r="E164" s="299"/>
      <c r="F164" s="323"/>
      <c r="G164" s="367">
        <f>IF(AND(G16&gt;=1,G16&lt;=3.5,G33=8),20,IF(AND(G16&gt;3.5,G16&lt;=6.3,G33=8),28,IF(AND(G16&gt;6.3,G16&lt;=10,G33=8),32,"*")))</f>
        <v>28</v>
      </c>
      <c r="H164" s="289"/>
      <c r="I164" s="753"/>
      <c r="J164" s="757"/>
      <c r="K164" s="339"/>
      <c r="L164" s="291"/>
    </row>
    <row r="165" spans="1:12" ht="15.75" hidden="1">
      <c r="A165" s="279"/>
      <c r="B165" s="323"/>
      <c r="C165" s="367" t="str">
        <f>IF(AND(C72&gt;400,C72&lt;=800,C16&gt;=1,C16&lt;=3.5,C34=8),25,IF(AND(C72&gt;400,C72&lt;=800,C16&gt;3.5,C16&lt;=6.3,C34=8),28,IF(AND(C72&gt;400,C72&lt;=800,C16&gt;6.3,C16&lt;=10,C34=8),36,IF(AND(C72&gt;800,C72&lt;=1600,C16&gt;=1,C16&lt;=3.5,C34=8),28,IF(AND(C72&gt;800,C72&lt;=1600,C16&gt;3.5,C16&lt;=6.3,C34=8),32,IF(AND(C72&gt;800,C72&lt;=1600,C16&gt;6.3,C16&lt;=10,C34=8),36,"*"))))))</f>
        <v>*</v>
      </c>
      <c r="D165" s="350"/>
      <c r="E165" s="299"/>
      <c r="F165" s="323"/>
      <c r="G165" s="367"/>
      <c r="H165" s="289"/>
      <c r="I165" s="753"/>
      <c r="J165" s="757"/>
      <c r="K165" s="339"/>
      <c r="L165" s="291"/>
    </row>
    <row r="166" spans="1:12" ht="15.75" hidden="1">
      <c r="A166" s="279" t="s">
        <v>3202</v>
      </c>
      <c r="B166" s="323" t="s">
        <v>12608</v>
      </c>
      <c r="C166" s="312">
        <f>IF(AND(C72&lt;=125,C16&gt;=1,C16&lt;=3.5,C34=3),2.4,IF(AND(C72&lt;=125,C16&gt;3.5,C16&lt;=6.3,C34=3),3,IF(AND(C72&lt;=125,C16&gt;6.3,C16&lt;=10,C34=3),3.2,IF(AND(C72&gt;125,C72&lt;=400,C16&gt;=1,C16&lt;=3.5,C34=3),2.4,IF(AND(C72&gt;125,C72&lt;=400,C16&gt;3.5,C16&lt;=6.3,C34=3),3.2,IF(AND(C72&gt;125,C72&lt;=400,C16&gt;6.3,C16&lt;=10,C34=3),3.6,C167))))))</f>
        <v>16</v>
      </c>
      <c r="D166" s="312"/>
      <c r="E166" s="299"/>
      <c r="F166" s="323"/>
      <c r="G166" s="312"/>
      <c r="H166" s="289"/>
      <c r="I166" s="753"/>
      <c r="J166" s="757"/>
      <c r="K166" s="339"/>
      <c r="L166" s="291"/>
    </row>
    <row r="167" spans="1:12" ht="15.75" hidden="1">
      <c r="A167" s="279"/>
      <c r="B167" s="323"/>
      <c r="C167" s="367">
        <f>IF(AND(C72&gt;400,C72&lt;=800,C16&gt;=1,C16&lt;=3.5,C34=3),3,IF(AND(C72&gt;400,C72&lt;=800,C16&gt;3.5,C16&lt;=6.3,C34=3),3.2,IF(AND(C72&gt;400,C72&lt;=800,C16&gt;6.3,C16&lt;=10,C34=3),4.2,IF(AND(C72&gt;800,C72&lt;=1600,C16&gt;=1,C16&lt;=3.5,C34=3),3.2,IF(AND(C72&gt;800,C72&lt;=1600,C16&gt;3.5,C16&lt;=6.3,C34=3),3.6,IF(AND(C72&gt;800,C72&lt;=1600,C16&gt;6.3,C16&lt;=10,C34=3),4.2,C168))))))</f>
        <v>16</v>
      </c>
      <c r="D167" s="312"/>
      <c r="E167" s="299"/>
      <c r="F167" s="323"/>
      <c r="G167" s="367"/>
      <c r="H167" s="289"/>
      <c r="I167" s="753"/>
      <c r="J167" s="757"/>
      <c r="K167" s="339"/>
      <c r="L167" s="291"/>
    </row>
    <row r="168" spans="1:12" ht="15.75" hidden="1">
      <c r="A168" s="279"/>
      <c r="B168" s="323"/>
      <c r="C168" s="367">
        <f>IF(AND(C72&lt;=125,C16&gt;=1,C16&lt;=3.5,C34=4),3.6,IF(AND(C72&lt;=125,C16&gt;3.5,C16&lt;=6.3,C34=4),4.5,IF(AND(C72&lt;=125,C16&gt;6.3,C16&lt;=10,C34=4),5,IF(AND(C72&gt;125,C72&lt;=400,C16&gt;=1,C16&lt;=3.5,C34=4),4.2,IF(AND(C72&gt;125,C72&lt;=400,C16&gt;3.5,C16&lt;=6.3,C34=4),5,IF(AND(C72&gt;125,C72&lt;=400,C16&gt;6.3,C16&lt;=10,C34=4),5.5,C169))))))</f>
        <v>16</v>
      </c>
      <c r="D168" s="350"/>
      <c r="E168" s="299"/>
      <c r="F168" s="323"/>
      <c r="G168" s="367"/>
      <c r="H168" s="289"/>
      <c r="I168" s="753"/>
      <c r="J168" s="757"/>
      <c r="K168" s="339"/>
      <c r="L168" s="291"/>
    </row>
    <row r="169" spans="1:12" ht="15.75" hidden="1">
      <c r="A169" s="323" t="s">
        <v>3205</v>
      </c>
      <c r="B169" s="323"/>
      <c r="C169" s="367">
        <f>IF(AND(C72&gt;400,C72&lt;=800,C16&gt;=1,C16&lt;=3.5,C34=4),4.5,IF(AND(C72&gt;400,C72&lt;=800,C16&gt;3.5,C16&lt;=6.3,C34=4),5,IF(AND(C72&gt;400,C72&lt;=800,C16&gt;6.3,C16&lt;=10,C34=4),6.5,IF(AND(C72&gt;800,C72&lt;=1600,C16&gt;=1,C16&lt;=3.5,C34=4),5,IF(AND(C72&gt;800,C72&lt;=1600,C16&gt;3.5,C16&lt;=6.3,C34=4),5.5,IF(AND(C72&gt;800,C72&lt;=1600,C16&gt;6.3,C16&lt;=10,C34=4),6.5,C170))))))</f>
        <v>16</v>
      </c>
      <c r="D169" s="350"/>
      <c r="E169" s="299"/>
      <c r="F169" s="323"/>
      <c r="G169" s="367"/>
      <c r="H169" s="289"/>
      <c r="I169" s="753"/>
      <c r="J169" s="757"/>
      <c r="K169" s="339"/>
      <c r="L169" s="291"/>
    </row>
    <row r="170" spans="1:12" ht="15.75" hidden="1">
      <c r="A170" s="279"/>
      <c r="B170" s="323"/>
      <c r="C170" s="367">
        <f>IF(AND(C72&lt;=125,C16&gt;=1,C16&lt;=3.5,C34=5),5,IF(AND(C72&lt;=125,C16&gt;3.5,C16&lt;=6.3,C34=5),7,IF(AND(C72&lt;=125,C16&gt;6.3,C16&lt;=10,C34=5),8,IF(AND(C72&gt;125,C72&lt;=400,C16&gt;=1,C16&lt;=3.5,C34=5),6,IF(AND(C72&gt;125,C72&lt;=400,C16&gt;3.5,C16&lt;=6.3,C34=5),8,IF(AND(C72&gt;125,C72&lt;=400,C16&gt;6.3,C16&lt;=10,C34=5),9,C171))))))</f>
        <v>16</v>
      </c>
      <c r="D170" s="350"/>
      <c r="E170" s="299"/>
      <c r="F170" s="323"/>
      <c r="G170" s="367"/>
      <c r="H170" s="289"/>
      <c r="I170" s="753"/>
      <c r="J170" s="757"/>
      <c r="K170" s="339"/>
      <c r="L170" s="291"/>
    </row>
    <row r="171" spans="1:12" ht="15.75" hidden="1">
      <c r="A171" s="279"/>
      <c r="B171" s="323"/>
      <c r="C171" s="367">
        <f>IF(AND(C72&gt;400,C72&lt;=800,C16&gt;=1,C16&lt;=3.5,C34=5),7,IF(AND(C72&gt;400,C72&lt;=800,C16&gt;3.5,C16&lt;=6.3,C34=5),8,IF(AND(C72&gt;400,C72&lt;=800,C16&gt;6.3,C16&lt;=10,C34=5),10,IF(AND(C72&gt;800,C72&lt;=1600,C16&gt;=1,C16&lt;=3.5,C34=5),8,IF(AND(C72&gt;800,C72&lt;=1600,C16&gt;3.5,C16&lt;=6.3,C34=5),9,IF(AND(C72&gt;800,C72&lt;=1600,C16&gt;6.3,C16&lt;=10,C34=5),10,C172))))))</f>
        <v>16</v>
      </c>
      <c r="D171" s="350"/>
      <c r="E171" s="299"/>
      <c r="F171" s="323"/>
      <c r="G171" s="367"/>
      <c r="H171" s="289"/>
      <c r="I171" s="753"/>
      <c r="J171" s="757"/>
      <c r="K171" s="339"/>
      <c r="L171" s="291"/>
    </row>
    <row r="172" spans="1:12" ht="15.75" hidden="1">
      <c r="A172" s="411"/>
      <c r="B172" s="754"/>
      <c r="C172" s="367">
        <f>IF(AND(C72&lt;=125,C16&gt;=1,C16&lt;=3.5,C34=6),9,IF(AND(C72&lt;=125,C16&gt;3.5,C16&lt;=6.3,C34=6),11,IF(AND(C72&lt;=125,C16&gt;6.3,C16&lt;=10,C34=6),13,IF(AND(C72&gt;125,C72&lt;=400,C16&gt;=1,C16&lt;=3.5,C34=6),10,IF(AND(C72&gt;125,C72&lt;=400,C16&gt;3.5,C16&lt;=6.3,C34=6),13,IF(AND(C72&gt;125,C72&lt;=400,C16&gt;6.3,C16&lt;=10,C34=6),14,C173))))))</f>
        <v>16</v>
      </c>
      <c r="D172" s="350"/>
      <c r="E172" s="299"/>
      <c r="F172" s="323"/>
      <c r="G172" s="367"/>
      <c r="H172" s="289"/>
      <c r="I172" s="753"/>
      <c r="J172" s="757"/>
      <c r="K172" s="339"/>
      <c r="L172" s="291"/>
    </row>
    <row r="173" spans="1:12" ht="15.75" hidden="1">
      <c r="A173" s="411"/>
      <c r="B173" s="754"/>
      <c r="C173" s="367">
        <f>IF(AND(C72&gt;400,C72&lt;=800,C16&gt;=1,C16&lt;=3.5,C34=6),11,IF(AND(C72&gt;400,C72&lt;=800,C16&gt;3.5,C16&lt;=6.3,C34=6),13,IF(AND(C72&gt;400,C72&lt;=800,C16&gt;6.3,C16&lt;=10,C34=6),16,IF(AND(C72&gt;800,C72&lt;=1600,C16&gt;=1,C16&lt;=3.5,C34=6),13,IF(AND(C72&gt;800,C72&lt;=1600,C16&gt;3.5,C16&lt;=6.3,C34=6),14,IF(AND(C72&gt;800,C72&lt;=1600,C16&gt;6.3,C16&lt;=10,C34=6),16,C174))))))</f>
        <v>16</v>
      </c>
      <c r="D173" s="350"/>
      <c r="E173" s="299"/>
      <c r="F173" s="323"/>
      <c r="G173" s="367"/>
      <c r="H173" s="289"/>
      <c r="I173" s="753"/>
      <c r="J173" s="757"/>
      <c r="K173" s="339"/>
      <c r="L173" s="291"/>
    </row>
    <row r="174" spans="1:12" ht="15.75" hidden="1">
      <c r="A174" s="411"/>
      <c r="B174" s="754"/>
      <c r="C174" s="367">
        <f>IF(AND(C72&lt;=125,C16&gt;=1,C16&lt;=3.5,C34=7),13,IF(AND(C72&lt;=125,C16&gt;3.5,C16&lt;=6.3,C34=7),16,IF(AND(C72&lt;=125,C16&gt;6.3,C16&lt;=10,C34=7),18,IF(AND(C72&gt;125,C72&lt;=400,C16&gt;=1,C16&lt;=3.5,C34=7),14,IF(AND(C72&gt;125,C72&lt;=400,C16&gt;3.5,C16&lt;=6.3,C34=7),18,IF(AND(C72&gt;125,C72&lt;=400,C16&gt;6.3,C16&lt;=10,C34=7),20,C175))))))</f>
        <v>16</v>
      </c>
      <c r="D174" s="350"/>
      <c r="E174" s="299"/>
      <c r="F174" s="323"/>
      <c r="G174" s="367"/>
      <c r="H174" s="289"/>
      <c r="I174" s="753"/>
      <c r="J174" s="757"/>
      <c r="K174" s="339"/>
      <c r="L174" s="291"/>
    </row>
    <row r="175" spans="1:12" ht="15.75" hidden="1">
      <c r="A175" s="411"/>
      <c r="B175" s="754"/>
      <c r="C175" s="367" t="str">
        <f>IF(AND(C72&gt;400,C72&lt;=800,C16&gt;=1,C16&lt;=3.5,C34=7),16,IF(AND(C72&gt;400,C72&lt;=800,C16&gt;3.5,C16&lt;=6.3,C34=7),18,IF(AND(C72&gt;400,C72&lt;=800,C16&gt;6.3,C16&lt;=10,C34=7),22,IF(AND(C72&gt;800,C72&lt;=1600,C16&gt;=1,C16&lt;=3.5,C34=7),18,IF(AND(C72&gt;800,C72&lt;=1600,C16&gt;3.5,C16&lt;=6.3,C34=7),20,IF(AND(C72&gt;800,C72&lt;=1600,C16&gt;6.3,C16&lt;=10,C34=7),22,C176))))))</f>
        <v>*</v>
      </c>
      <c r="D175" s="350"/>
      <c r="E175" s="299"/>
      <c r="F175" s="323"/>
      <c r="G175" s="367"/>
      <c r="H175" s="289"/>
      <c r="I175" s="753"/>
      <c r="J175" s="757"/>
      <c r="K175" s="339"/>
      <c r="L175" s="291"/>
    </row>
    <row r="176" spans="1:12" ht="15.75" hidden="1">
      <c r="A176" s="411"/>
      <c r="B176" s="754"/>
      <c r="C176" s="367" t="str">
        <f>IF(AND(C72&lt;=125,C16&gt;=1,C16&lt;=3.5,C34=8),18,IF(AND(C72&lt;=125,C16&gt;3.5,C16&lt;=6.3,C34=8),22,IF(AND(C72&lt;=125,C16&gt;6.3,C16&lt;=10,C34=8),25,IF(AND(C72&gt;125,C72&lt;=400,C16&gt;=1,C16&lt;=3.5,C34=8),20,IF(AND(C72&gt;125,C72&lt;=400,C16&gt;3.5,C16&lt;=6.3,C34=8),25,IF(AND(C72&gt;125,C72&lt;=400,C16&gt;6.3,C16&lt;=10,C34=8),30,C177))))))</f>
        <v>*</v>
      </c>
      <c r="D176" s="350"/>
      <c r="E176" s="299"/>
      <c r="F176" s="323"/>
      <c r="G176" s="367"/>
      <c r="H176" s="289"/>
      <c r="I176" s="753"/>
      <c r="J176" s="757"/>
      <c r="K176" s="339"/>
      <c r="L176" s="291"/>
    </row>
    <row r="177" spans="1:12" ht="15.75" hidden="1">
      <c r="A177" s="411"/>
      <c r="B177" s="754"/>
      <c r="C177" s="367" t="str">
        <f>IF(AND(C72&gt;400,C72&lt;=800,C16&gt;=1,C16&lt;=3.5,C34=8),22,IF(AND(C72&gt;400,C72&lt;=800,C16&gt;3.5,C16&lt;=6.3,C34=8),25,IF(AND(C72&gt;400,C72&lt;=800,C16&gt;6.3,C16&lt;=10,C34=8),32,IF(AND(C72&gt;800,C72&lt;=1600,C16&gt;=1,C16&lt;=3.5,C34=8),25,IF(AND(C72&gt;800,C72&lt;=1600,C16&gt;3.5,C16&lt;=6.3,C34=8),30,IF(AND(C72&gt;800,C72&lt;=1600,C16&gt;6.3,C16&lt;=10,C34=8),32,"*"))))))</f>
        <v>*</v>
      </c>
      <c r="D177" s="350"/>
      <c r="E177" s="299"/>
      <c r="F177" s="323"/>
      <c r="G177" s="367"/>
      <c r="H177" s="289"/>
      <c r="I177" s="753"/>
      <c r="J177" s="757"/>
      <c r="K177" s="339"/>
      <c r="L177" s="291"/>
    </row>
    <row r="178" spans="1:12" ht="15.75" hidden="1">
      <c r="A178" s="279" t="s">
        <v>12609</v>
      </c>
      <c r="B178" s="298" t="s">
        <v>3207</v>
      </c>
      <c r="C178" s="312">
        <f>IF(AND(C72&lt;=125,C16&gt;=1,C16&lt;=3.5,C34=3),3.6,IF(AND(C72&lt;=125,C16&gt;3.5,C16&lt;=6.3,C34=3),4,IF(AND(C72&lt;=125,C16&gt;6.3,C16&lt;=10,C34=3),4.5,IF(AND(C72&gt;125,C72&lt;=400,C16&gt;=1,C16&lt;=3.5,C34=3),4,IF(AND(C72&gt;125,C72&lt;=400,C16&gt;3.5,C16&lt;=6.3,C34=3),4.5,IF(AND(C72&gt;125,C72&lt;=400,C16&gt;6.3,C16&lt;=10,C34=3),5,C179))))))</f>
        <v>14</v>
      </c>
      <c r="D178" s="350"/>
      <c r="E178" s="299"/>
      <c r="F178" s="298" t="s">
        <v>3208</v>
      </c>
      <c r="G178" s="312">
        <f>IF(AND(G16&gt;=1,G16&lt;=3.5,G33=3),3,IF(AND(G16&gt;3.5,G16&lt;=6.3,G33=3),4.5,IF(AND(G16&gt;6.3,G16&lt;=10,G33=3),5,G180)))</f>
        <v>34</v>
      </c>
      <c r="H178" s="289"/>
      <c r="I178" s="753"/>
      <c r="J178" s="757"/>
      <c r="K178" s="339"/>
      <c r="L178" s="291"/>
    </row>
    <row r="179" spans="1:12" ht="15" hidden="1">
      <c r="A179" s="411"/>
      <c r="B179" s="350"/>
      <c r="C179" s="367">
        <f>IF(AND(C72&gt;400,C72&lt;=800,C16&gt;=1,C16&lt;=3.5,C34=3),4.5,IF(AND(C72&gt;400,C72&lt;=800,C16&gt;3.5,C16&lt;=6.3,C34=3),5,IF(AND(C72&gt;400,C72&lt;=800,C16&gt;6.3,C16&lt;=10,C34=3),5.5,IF(AND(C72&gt;800,C72&lt;=1600,C16&gt;=1,C16&lt;=3.5,C34=3),5.5,IF(AND(C72&gt;800,C72&lt;=1600,C16&gt;3.5,C16&lt;=6.3,C34=3),6,IF(AND(C72&gt;800,C72&lt;=1600,C16&gt;6.3,C16&lt;=10,C34=3),6.5,C180))))))</f>
        <v>14</v>
      </c>
      <c r="D179" s="350"/>
      <c r="E179" s="299"/>
      <c r="F179" s="349"/>
      <c r="G179" s="367"/>
      <c r="H179" s="289"/>
      <c r="I179" s="753"/>
      <c r="J179" s="757"/>
      <c r="K179" s="339"/>
      <c r="L179" s="291"/>
    </row>
    <row r="180" spans="1:12" ht="15" hidden="1">
      <c r="A180" s="411"/>
      <c r="B180" s="350"/>
      <c r="C180" s="367">
        <f>IF(AND(C72&lt;=125,C16&gt;=1,C16&lt;=3.5,C34=4),4.8,IF(AND(C72&lt;=125,C16&gt;3.5,C16&lt;=6.3,C34=4),5.3,IF(AND(C72&lt;=125,C16&gt;6.3,C16&lt;=10,C34=4),6,IF(AND(C72&gt;125,C72&lt;=400,C16&gt;=1,C16&lt;=3.5,C34=4),5.3,IF(AND(C72&gt;125,C72&lt;=400,C16&gt;3.5,C16&lt;=6.3,C34=4),6,IF(AND(C72&gt;125,C72&lt;=400,C16&gt;6.3,C16&lt;=10,C34=4),6.5,C181))))))</f>
        <v>14</v>
      </c>
      <c r="D180" s="350"/>
      <c r="E180" s="299"/>
      <c r="F180" s="349"/>
      <c r="G180" s="367">
        <f>IF(AND(G16&gt;=1,G16&lt;=3.5,G33=4),5,IF(AND(G16&gt;3.5,G16&lt;=6.3,G33=4),7,IF(AND(G16&gt;6.3,G16&lt;=10,G33=4),8,G182)))</f>
        <v>34</v>
      </c>
      <c r="H180" s="289"/>
      <c r="I180" s="753"/>
      <c r="J180" s="757"/>
      <c r="K180" s="339"/>
      <c r="L180" s="291"/>
    </row>
    <row r="181" spans="1:12" ht="15" hidden="1">
      <c r="A181" s="350"/>
      <c r="B181" s="350"/>
      <c r="C181" s="367">
        <f>IF(AND(C72&gt;400,C72&lt;=800,C16&gt;=1,C16&lt;=3.5,C34=4),6.5,IF(AND(C72&gt;400,C72&lt;=800,C16&gt;3.5,C16&lt;=6.3,C34=4),7,IF(AND(C72&gt;400,C72&lt;=800,C16&gt;6.3,C16&lt;=10,C34=4),7.5,IF(AND(C72&gt;800,C72&lt;=1600,C16&gt;=1,C16&lt;=3.5,C34=4),8,IF(AND(C72&gt;800,C72&lt;=1600,C16&gt;3.5,C16&lt;=6.3,C34=4),9,IF(AND(C72&gt;800,C72&lt;=1600,C16&gt;6.3,C16&lt;=10,C34=4),9.5,C182))))))</f>
        <v>14</v>
      </c>
      <c r="D181" s="350"/>
      <c r="E181" s="299"/>
      <c r="F181" s="349"/>
      <c r="G181" s="367"/>
      <c r="H181" s="289"/>
      <c r="I181" s="753"/>
      <c r="J181" s="757"/>
      <c r="K181" s="339"/>
      <c r="L181" s="291"/>
    </row>
    <row r="182" spans="1:12" ht="15" hidden="1">
      <c r="A182" s="350"/>
      <c r="B182" s="350"/>
      <c r="C182" s="367">
        <f>IF(AND(C72&lt;=125,C16&gt;=1,C16&lt;=3.5,C34=5),6,IF(AND(C72&lt;=125,C16&gt;3.5,C16&lt;=6.3,C34=5),7,IF(AND(C72&lt;=125,C16&gt;6.3,C16&lt;=10,C34=5),8,IF(AND(C72&gt;125,C72&lt;=400,C16&gt;=1,C16&lt;=3.5,C34=5),7,IF(AND(C72&gt;125,C72&lt;=400,C16&gt;3.5,C16&lt;=6.3,C34=5),8,IF(AND(C72&gt;125,C72&lt;=400,C16&gt;6.3,C16&lt;=10,C34=5),9,C183))))))</f>
        <v>14</v>
      </c>
      <c r="D182" s="350"/>
      <c r="E182" s="299"/>
      <c r="F182" s="349"/>
      <c r="G182" s="367">
        <f>IF(AND(G16&gt;=1,G16&lt;=3.5,G33=5),7.5,IF(AND(G16&gt;3.5,G16&lt;=6.3,G33=5),10,IF(AND(G16&gt;6.3,G16&lt;=10,G33=5),12,G184)))</f>
        <v>34</v>
      </c>
      <c r="H182" s="289"/>
      <c r="I182" s="753"/>
      <c r="J182" s="757"/>
      <c r="K182" s="339"/>
      <c r="L182" s="291"/>
    </row>
    <row r="183" spans="1:12" ht="15" hidden="1">
      <c r="A183" s="350"/>
      <c r="B183" s="350"/>
      <c r="C183" s="367">
        <f>IF(AND(C72&gt;400,C72&lt;=800,C16&gt;=1,C16&lt;=3.5,C34=5),9,IF(AND(C72&gt;400,C72&lt;=800,C16&gt;3.5,C16&lt;=6.3,C34=5),10,IF(AND(C72&gt;400,C72&lt;=800,C16&gt;6.3,C16&lt;=11,C34=5),11,IF(AND(C72&gt;800,C72&lt;=1600,C16&gt;=1,C16&lt;=3.5,C34=5),11,IF(AND(C72&gt;800,C72&lt;=1600,C16&gt;3.5,C16&lt;=6.3,C34=5),13,IF(AND(C72&gt;800,C72&lt;=1600,C16&gt;6.3,C16&lt;=10,C34=5),14,C184))))))</f>
        <v>14</v>
      </c>
      <c r="D183" s="350"/>
      <c r="E183" s="299"/>
      <c r="F183" s="349"/>
      <c r="G183" s="367"/>
      <c r="H183" s="289"/>
      <c r="I183" s="753"/>
      <c r="J183" s="757"/>
      <c r="K183" s="339"/>
      <c r="L183" s="291"/>
    </row>
    <row r="184" spans="1:12" ht="15" hidden="1">
      <c r="A184" s="350"/>
      <c r="B184" s="350"/>
      <c r="C184" s="367">
        <f>IF(AND(C72&lt;=125,C16&gt;=1,C16&lt;=3.5,C34=6),8,IF(AND(C72&lt;=125,C16&gt;3.5,C16&lt;=6.3,C34=6),10,IF(AND(C72&lt;=125,C16&gt;6.3,C16&lt;=10,C34=6),12,IF(AND(C72&gt;125,C72&lt;=400,C16&gt;=1,C16&lt;=3.5,C34=6),9,IF(AND(C72&gt;125,C72&lt;=400,C16&gt;3.5,C16&lt;=6.3,C34=6),10,IF(AND(C72&gt;125,C72&lt;=400,C16&gt;6.3,C16&lt;=10,C34=6),13,C185))))))</f>
        <v>14</v>
      </c>
      <c r="D184" s="350"/>
      <c r="E184" s="299"/>
      <c r="F184" s="349"/>
      <c r="G184" s="367">
        <f>IF(AND(G16&gt;=1,G16&lt;=3.5,G33=6),12,IF(AND(G16&gt;3.5,G16&lt;=6.3,G33=6),17,IF(AND(G16&gt;6.3,G16&lt;=10,G33=6),20,G186)))</f>
        <v>34</v>
      </c>
      <c r="H184" s="289"/>
      <c r="I184" s="753"/>
      <c r="J184" s="757"/>
      <c r="K184" s="339"/>
      <c r="L184" s="291"/>
    </row>
    <row r="185" spans="1:12" ht="15" hidden="1">
      <c r="A185" s="350"/>
      <c r="B185" s="350"/>
      <c r="C185" s="367">
        <f>IF(AND(C72&gt;400,C72&lt;=800,C16&gt;=1,C16&lt;=3.5,C34=6),12,IF(AND(C72&gt;400,C72&lt;=800,C16&gt;3.5,C16&lt;=6.3,C34=6),14,IF(AND(C72&gt;400,C72&lt;=800,C16&gt;6.3,C16&lt;=10,C34=6),16,IF(AND(C72&gt;800,C72&lt;=1600,C16&gt;=1,C16&lt;=3.5,C34=6),17,IF(AND(C72&gt;800,C72&lt;=1600,C16&gt;3.5,C16&lt;=6.3,C34=6),18,IF(AND(C72&gt;800,C72&lt;=1600,C16&gt;6.3,C16&lt;=10,C34=6),20,C186))))))</f>
        <v>14</v>
      </c>
      <c r="D185" s="350"/>
      <c r="E185" s="299"/>
      <c r="F185" s="349"/>
      <c r="G185" s="367"/>
      <c r="H185" s="289"/>
      <c r="I185" s="753"/>
      <c r="J185" s="757"/>
      <c r="K185" s="339"/>
      <c r="L185" s="291"/>
    </row>
    <row r="186" spans="1:12" ht="15" hidden="1">
      <c r="A186" s="350"/>
      <c r="B186" s="350"/>
      <c r="C186" s="367">
        <f>IF(AND(C72&lt;=125,C16&gt;=1,C16&lt;=3.5,C34=7),11,IF(AND(C72&lt;=125,C16&gt;3.5,C16&lt;=6.3,C34=7),14,IF(AND(C72&lt;=125,C16&gt;6.3,C16&lt;=10,C34=7),17,IF(AND(C72&gt;125,C72&lt;=400,C16&gt;=1,C16&lt;=3.5,C34=7),13,IF(AND(C72&gt;125,C72&lt;=400,C16&gt;3.5,C16&lt;=6.3,C34=7),16,IF(AND(C72&gt;125,C72&lt;=400,C16&gt;6.3,C16&lt;=10,C34=7),19,C187))))))</f>
        <v>14</v>
      </c>
      <c r="D186" s="350"/>
      <c r="E186" s="299"/>
      <c r="F186" s="349"/>
      <c r="G186" s="367">
        <f>IF(AND(G16&gt;=1,G16&lt;=3.5,G33=7),18,IF(AND(G16&gt;3.5,G16&lt;=6.3,G33=7),24,IF(AND(G16&gt;6.3,G16&lt;=10,G33=7),28,G188)))</f>
        <v>34</v>
      </c>
      <c r="H186" s="289"/>
      <c r="I186" s="753"/>
      <c r="J186" s="757"/>
      <c r="K186" s="339"/>
      <c r="L186" s="291"/>
    </row>
    <row r="187" spans="1:12" ht="15" hidden="1">
      <c r="A187" s="350"/>
      <c r="B187" s="350"/>
      <c r="C187" s="367" t="str">
        <f>IF(AND(C72&gt;400,C72&lt;=800,C16&gt;=1,C16&lt;=3.5,C34=7),17,IF(AND(C72&gt;400,C72&lt;=800,C16&gt;3.5,C16&lt;=6.3,C34=7),20,IF(AND(C72&gt;400,C72&lt;=800,C16&gt;6.3,C16&lt;=10,C34=7),24,IF(AND(C72&gt;800,C72&lt;=1600,C16&gt;=1,C16&lt;=3.5,C34=7),24,IF(AND(C72&gt;800,C72&lt;=1600,C16&gt;3.5,C16&lt;=6.3,C34=7),28,IF(AND(C72&gt;800,C72&lt;=1600,C16&gt;6.3,C16&lt;=10,C34=7),30,C188))))))</f>
        <v>*</v>
      </c>
      <c r="D187" s="350"/>
      <c r="E187" s="299"/>
      <c r="F187" s="349"/>
      <c r="G187" s="367"/>
      <c r="H187" s="289"/>
      <c r="I187" s="753"/>
      <c r="J187" s="757"/>
      <c r="K187" s="339"/>
      <c r="L187" s="291"/>
    </row>
    <row r="188" spans="1:12" ht="15" hidden="1">
      <c r="A188" s="350"/>
      <c r="B188" s="350"/>
      <c r="C188" s="367" t="str">
        <f>IF(AND(C72&lt;=125,C16&gt;=1,C16&lt;=3.5,C34=8),14,IF(AND(C72&lt;=125,C16&gt;3.5,C16&lt;=6.3,C34=8),20,IF(AND(C72&lt;=125,C16&gt;6.3,C16&lt;=10,C34=8),22,IF(AND(C72&gt;125,C72&lt;=400,C16&gt;=1,C16&lt;=3.5,C34=8),18,IF(AND(C72&gt;125,C72&lt;=400,C16&gt;3.5,C16&lt;=6.3,C34=8),22,IF(AND(C72&gt;125,C72&lt;=400,C16&gt;6.3,C16&lt;=10,C34=8),28,C189))))))</f>
        <v>*</v>
      </c>
      <c r="D188" s="350"/>
      <c r="E188" s="299"/>
      <c r="F188" s="349"/>
      <c r="G188" s="367">
        <f>IF(AND(G16&gt;=1,G16&lt;=3.5,G33=8),25,IF(AND(G16&gt;3.5,G16&lt;=6.3,G33=8),34,IF(AND(G16&gt;6.3,G16&lt;=10,G33=8),40,"*")))</f>
        <v>34</v>
      </c>
      <c r="H188" s="289"/>
      <c r="I188" s="753"/>
      <c r="J188" s="757"/>
      <c r="K188" s="339"/>
      <c r="L188" s="291"/>
    </row>
    <row r="189" spans="1:12" ht="15" hidden="1">
      <c r="A189" s="350"/>
      <c r="B189" s="350"/>
      <c r="C189" s="367" t="str">
        <f>IF(AND(C72&gt;400,C72&lt;=800,C16&gt;=1,C16&lt;=3.5,C34=8),25,IF(AND(C72&gt;400,C72&lt;=800,C16&gt;3.5,C16&lt;=6.3,C34=8),28,IF(AND(C72&gt;400,C72&lt;=800,C16&gt;6.3,C16&lt;=10,C34=8),36,IF(AND(C72&gt;800,C72&lt;=1600,C16&gt;=1,C16&lt;=3.5,C34=8),36,IF(AND(C72&gt;800,C72&lt;=1600,C16&gt;3.5,C16&lt;=6.3,C34=8),40,IF(AND(C72&gt;800,C72&lt;=1600,C16&gt;6.3,C16&lt;=10,C34=8),45,"*"))))))</f>
        <v>*</v>
      </c>
      <c r="D189" s="350"/>
      <c r="E189" s="299"/>
      <c r="F189" s="349"/>
      <c r="G189" s="367"/>
      <c r="H189" s="289"/>
      <c r="I189" s="753"/>
      <c r="J189" s="757"/>
      <c r="K189" s="339"/>
      <c r="L189" s="291"/>
    </row>
    <row r="190" spans="1:12" ht="15.75" hidden="1">
      <c r="A190" s="279" t="s">
        <v>12610</v>
      </c>
      <c r="B190" s="309" t="s">
        <v>4722</v>
      </c>
      <c r="C190" s="312">
        <f>IF(AND(C19&lt;=40,C35=3),4.5,IF(AND(C19&gt;40,C19&lt;=100,C35=3),6,IF(AND(C19&gt;100,C19&lt;=160,C35=3),8,IF(AND(C19&gt;160,C19&lt;=250,C35=3),10,C191))))</f>
        <v>11</v>
      </c>
      <c r="D190" s="350"/>
      <c r="E190" s="299"/>
      <c r="F190" s="309"/>
      <c r="G190" s="367"/>
      <c r="H190" s="289"/>
      <c r="I190" s="753"/>
      <c r="J190" s="757"/>
      <c r="K190" s="339"/>
      <c r="L190" s="291"/>
    </row>
    <row r="191" spans="1:12" ht="15" hidden="1">
      <c r="A191" s="350"/>
      <c r="B191" s="350"/>
      <c r="C191" s="367">
        <f>IF(AND(C19&lt;=40,C35=4),5.5,IF(AND(C19&gt;40,C19&lt;=100,C35=4),8,IF(AND(C19&gt;100,C19&lt;=160,C35=4),10,IF(AND(C19&gt;160,C19&lt;=250,C35=4),12,C192))))</f>
        <v>11</v>
      </c>
      <c r="D191" s="350"/>
      <c r="E191" s="299"/>
      <c r="F191" s="349"/>
      <c r="G191" s="367"/>
      <c r="H191" s="289"/>
      <c r="I191" s="753"/>
      <c r="J191" s="757"/>
      <c r="K191" s="339"/>
      <c r="L191" s="291"/>
    </row>
    <row r="192" spans="1:12" ht="15" hidden="1">
      <c r="A192" s="350"/>
      <c r="B192" s="350"/>
      <c r="C192" s="367">
        <f>IF(AND(C19&lt;=40,C35=5),7,IF(AND(C19&gt;40,C19&lt;=100,C35=5),10,IF(AND(C19&gt;100,C19&lt;=160,C35=5),12,IF(AND(C19&gt;160,C19&lt;=250,C35=5),16,C193))))</f>
        <v>11</v>
      </c>
      <c r="D192" s="350"/>
      <c r="E192" s="299"/>
      <c r="F192" s="349"/>
      <c r="G192" s="367"/>
      <c r="H192" s="289"/>
      <c r="I192" s="753"/>
      <c r="J192" s="757"/>
      <c r="K192" s="339"/>
      <c r="L192" s="291"/>
    </row>
    <row r="193" spans="1:12" ht="15" hidden="1">
      <c r="A193" s="350"/>
      <c r="B193" s="350"/>
      <c r="C193" s="367">
        <f>IF(AND(C19&lt;=40,C35=6),9,IF(AND(C19&gt;40,C19&lt;=100,C35=6),12,IF(AND(C19&gt;100,C19&lt;=160,C35=6),16,IF(AND(C19&gt;160,C19&lt;=250,C35=6),19,C194))))</f>
        <v>11</v>
      </c>
      <c r="D193" s="350"/>
      <c r="E193" s="299"/>
      <c r="F193" s="349"/>
      <c r="G193" s="367"/>
      <c r="H193" s="289"/>
      <c r="I193" s="753"/>
      <c r="J193" s="757"/>
      <c r="K193" s="339"/>
      <c r="L193" s="291"/>
    </row>
    <row r="194" spans="1:12" ht="15" hidden="1">
      <c r="A194" s="350"/>
      <c r="B194" s="350"/>
      <c r="C194" s="367">
        <f>IF(AND(C19&lt;=40,C35=7),11,IF(AND(C19&gt;40,C19&lt;=100,C35=7),16,IF(AND(C19&gt;100,C19&lt;=160,C35=7),20,IF(AND(C19&gt;160,C19&lt;=250,C35=7),24,C195))))</f>
        <v>11</v>
      </c>
      <c r="D194" s="350"/>
      <c r="E194" s="299"/>
      <c r="F194" s="349"/>
      <c r="G194" s="367"/>
      <c r="H194" s="289"/>
      <c r="I194" s="753"/>
      <c r="J194" s="757"/>
      <c r="K194" s="339"/>
      <c r="L194" s="291"/>
    </row>
    <row r="195" spans="1:12" ht="15" hidden="1">
      <c r="A195" s="350"/>
      <c r="B195" s="350"/>
      <c r="C195" s="367" t="str">
        <f>IF(AND(C19&lt;=40,C35=8),18,IF(AND(C19&gt;40,C19&lt;=100,C35=8),25,IF(AND(C19&gt;100,C19&lt;=160,C35=8),32,IF(AND(C19&gt;160,C19&lt;=250,C35=8),38,"*"))))</f>
        <v>*</v>
      </c>
      <c r="D195" s="350"/>
      <c r="E195" s="299"/>
      <c r="F195" s="349"/>
      <c r="G195" s="367"/>
      <c r="H195" s="289"/>
      <c r="I195" s="753"/>
      <c r="J195" s="757"/>
      <c r="K195" s="339"/>
      <c r="L195" s="291"/>
    </row>
    <row r="196" spans="1:12" ht="15.75" hidden="1">
      <c r="A196" s="312" t="s">
        <v>12611</v>
      </c>
      <c r="B196" s="311" t="s">
        <v>3212</v>
      </c>
      <c r="C196" s="312">
        <f>IF(C35=3,65,IF(C35=4,60,IF(C35=5,55,IF(C35=6,50,IF(C35=7,45,IF(C35=8,30,"*"))))))</f>
        <v>45</v>
      </c>
      <c r="D196" s="367"/>
      <c r="E196" s="299"/>
      <c r="F196" s="349"/>
      <c r="G196" s="367"/>
      <c r="H196" s="289"/>
      <c r="I196" s="753"/>
      <c r="J196" s="757"/>
      <c r="K196" s="339"/>
      <c r="L196" s="291"/>
    </row>
    <row r="197" spans="1:12" ht="15" hidden="1">
      <c r="A197" s="312"/>
      <c r="B197" s="311" t="s">
        <v>3213</v>
      </c>
      <c r="C197" s="312">
        <f>IF(C35=3,95,IF(C35=4,90,IF(C35=5,80,IF(C35=6,70,IF(C35=7,60,IF(C35=8,40,"*"))))))</f>
        <v>60</v>
      </c>
      <c r="D197" s="350"/>
      <c r="E197" s="299"/>
      <c r="F197" s="349"/>
      <c r="G197" s="367"/>
      <c r="H197" s="289"/>
      <c r="I197" s="753"/>
      <c r="J197" s="757"/>
      <c r="K197" s="339"/>
      <c r="L197" s="291"/>
    </row>
    <row r="198" spans="1:12" ht="15.75" hidden="1">
      <c r="A198" s="289" t="s">
        <v>12612</v>
      </c>
      <c r="B198" s="298" t="s">
        <v>3221</v>
      </c>
      <c r="C198" s="312">
        <f>ROUND(C132+C178,0)</f>
        <v>77</v>
      </c>
      <c r="D198" s="350"/>
      <c r="E198" s="299"/>
      <c r="F198" s="298" t="s">
        <v>3222</v>
      </c>
      <c r="G198" s="312" t="e">
        <f>ROUND(G132+G178,0)</f>
        <v>#VALUE!</v>
      </c>
      <c r="H198" s="289"/>
      <c r="I198" s="753"/>
      <c r="J198" s="750"/>
      <c r="K198" s="289"/>
      <c r="L198" s="291"/>
    </row>
    <row r="199" spans="1:12" ht="15.75" hidden="1">
      <c r="A199" s="462" t="s">
        <v>3223</v>
      </c>
      <c r="B199" s="298" t="s">
        <v>3224</v>
      </c>
      <c r="C199" s="312">
        <f>ROUND(0.6*(C154+C178),0)</f>
        <v>19</v>
      </c>
      <c r="D199" s="350"/>
      <c r="E199" s="299"/>
      <c r="F199" s="298" t="s">
        <v>3225</v>
      </c>
      <c r="G199" s="312">
        <f>IF(AND(G16&gt;=1,G16&lt;=3.5,G33=3),5.5,IF(AND(G16&gt;3.5,G16&lt;=6.3,G33=3),8,IF(AND(G16&gt;6.3,G16&lt;=10,G33=3),9,H199)))</f>
        <v>63</v>
      </c>
      <c r="H199" s="367">
        <f>IF(AND(G16&gt;=1,G16&lt;=3.5,G33=4),9,IF(AND(G16&gt;3.5,G16&lt;=6.3,G33=4),12,IF(AND(G16&gt;6.3,G16&lt;=10,G33=4),14,I199)))</f>
        <v>63</v>
      </c>
      <c r="I199" s="756">
        <f>IF(AND(G16&gt;=1,G16&lt;=3.5,G33=5),14,IF(AND(G16&gt;3.5,G16&lt;=6.3,G33=5),19,IF(AND(G16&gt;6.3,G16&lt;=10,G33=5),22,J199)))</f>
        <v>63</v>
      </c>
      <c r="J199" s="367">
        <f>IF(AND(G16&gt;=1,G16&lt;=3.5,G33=6),22,IF(AND(G16&gt;3.5,G16&lt;=6.3,G33=6),30,IF(AND(G16&gt;6.3,G16&lt;=10,G33=6),36,K199)))</f>
        <v>63</v>
      </c>
      <c r="K199" s="367">
        <f>IF(AND(G16&gt;=1,G16&lt;=3.5,G33=7),32,IF(AND(G16&gt;3.5,G16&lt;=6.3,G33=7),45,IF(AND(G16&gt;6.3,G16&lt;=10,G33=7),50,L199)))</f>
        <v>63</v>
      </c>
      <c r="L199" s="321">
        <f>IF(AND(G16&gt;=1,G16&lt;=3.5,G33=8),45,IF(AND(G16&gt;3.5,G16&lt;=6.3,G33=8),63,IF(AND(G16&gt;6.3,G16&lt;=10,G33=8),70,"*")))</f>
        <v>63</v>
      </c>
    </row>
    <row r="200" spans="1:12" ht="15.75" hidden="1">
      <c r="A200" s="289" t="s">
        <v>12613</v>
      </c>
      <c r="B200" s="298" t="s">
        <v>3227</v>
      </c>
      <c r="C200" s="312">
        <f>IF(C45&lt;&gt;"",C45,D203/1000)</f>
        <v>-0.1</v>
      </c>
      <c r="D200" s="350"/>
      <c r="E200" s="299"/>
      <c r="F200" s="298" t="s">
        <v>3228</v>
      </c>
      <c r="G200" s="312">
        <f>IF(C47&lt;&gt;"",C47,D205/1000)</f>
        <v>-0.15</v>
      </c>
      <c r="H200" s="289"/>
      <c r="I200" s="323"/>
      <c r="J200" s="750"/>
      <c r="K200" s="289"/>
      <c r="L200" s="291"/>
    </row>
    <row r="201" spans="1:12" ht="15.75" hidden="1">
      <c r="A201" s="289" t="s">
        <v>12614</v>
      </c>
      <c r="B201" s="298" t="s">
        <v>3230</v>
      </c>
      <c r="C201" s="312">
        <f>IF(C46&lt;&gt;"",C46,D204/1000)</f>
        <v>-0.2</v>
      </c>
      <c r="D201" s="350"/>
      <c r="E201" s="299"/>
      <c r="F201" s="298" t="s">
        <v>3231</v>
      </c>
      <c r="G201" s="312">
        <f>IF(C48&lt;&gt;"",C48,D206/1000)</f>
        <v>-0.25</v>
      </c>
      <c r="H201" s="289"/>
      <c r="I201" s="323"/>
      <c r="J201" s="750"/>
      <c r="K201" s="289"/>
      <c r="L201" s="291"/>
    </row>
    <row r="202" spans="1:12" ht="15.75" hidden="1">
      <c r="A202" s="309" t="s">
        <v>12615</v>
      </c>
      <c r="B202" s="298" t="s">
        <v>3233</v>
      </c>
      <c r="C202" s="312">
        <f>ABS(C200-C201)</f>
        <v>0.1</v>
      </c>
      <c r="D202" s="350"/>
      <c r="E202" s="299"/>
      <c r="F202" s="298" t="s">
        <v>3234</v>
      </c>
      <c r="G202" s="312">
        <f>ABS(G200-G201)</f>
        <v>0.1</v>
      </c>
      <c r="H202" s="289"/>
      <c r="I202" s="323"/>
      <c r="J202" s="750"/>
      <c r="K202" s="289"/>
      <c r="L202" s="291"/>
    </row>
    <row r="203" spans="1:12" ht="15.75" hidden="1">
      <c r="A203" s="294"/>
      <c r="B203" s="298" t="s">
        <v>2885</v>
      </c>
      <c r="C203" s="312" t="e">
        <f>ABS(D203+D205)</f>
        <v>#VALUE!</v>
      </c>
      <c r="D203" s="367" t="str">
        <f>IF(F203="C",C154,IF(F203="D",0,IF(F203="E",-2*C154,IF(F203="F",-4*C154,IF(F203="G",-6*C154,IF(F203="H",-8*C154,IF(F203="J",-10*C154,E203)))))))</f>
        <v>*</v>
      </c>
      <c r="E203" s="367" t="str">
        <f>IF(F203="K",-12*C154,IF(F203="L",-16*C154,IF(F203="M",-20*C154,IF(F203="N",-25*C154,IF(F203="P",-32*C154,IF(F203="R",-40*C154,IF(F203="S",-50*C154,"*")))))))</f>
        <v>*</v>
      </c>
      <c r="F203" s="433">
        <f t="shared" ref="F203:F206" si="3">C37</f>
        <v>0</v>
      </c>
      <c r="G203" s="294"/>
      <c r="H203" s="289"/>
      <c r="I203" s="323"/>
      <c r="J203" s="750"/>
      <c r="K203" s="289"/>
      <c r="L203" s="291"/>
    </row>
    <row r="204" spans="1:12" ht="15.75" hidden="1">
      <c r="A204" s="294"/>
      <c r="B204" s="298" t="s">
        <v>2886</v>
      </c>
      <c r="C204" s="312" t="e">
        <f>ABS(D204+D206)</f>
        <v>#VALUE!</v>
      </c>
      <c r="D204" s="367" t="str">
        <f>IF(F204="C",C154,IF(F204="D",0,IF(F204="E",-2*C154,IF(F204="F",-4*C154,IF(F204="G",-6*C154,IF(F204="H",-8*C154,IF(F204="J",-10*C154,E204)))))))</f>
        <v>*</v>
      </c>
      <c r="E204" s="367" t="str">
        <f>IF(F204="K",-12*C154,IF(F204="L",-16*C154,IF(F204="M",-20*C154,IF(F204="N",-25*C154,IF(F204="P",-32*C154,IF(F204="R",-40*C154,IF(F204="S",-50*C154,"*")))))))</f>
        <v>*</v>
      </c>
      <c r="F204" s="433">
        <f t="shared" si="3"/>
        <v>0</v>
      </c>
      <c r="G204" s="294"/>
      <c r="H204" s="289"/>
      <c r="I204" s="323"/>
      <c r="J204" s="750"/>
      <c r="K204" s="289"/>
      <c r="L204" s="291"/>
    </row>
    <row r="205" spans="1:12" ht="15.75" hidden="1">
      <c r="A205" s="294"/>
      <c r="B205" s="298"/>
      <c r="C205" s="312"/>
      <c r="D205" s="367" t="str">
        <f>IF(F205="C",G154,IF(F205="D",0,IF(F205="E",-2*G154,IF(F205="F",-4*G154,IF(F205="G",-6*G154,IF(F205="H",-8*G154,IF(F205="J",-10*G154,E205)))))))</f>
        <v>*</v>
      </c>
      <c r="E205" s="367" t="str">
        <f>IF(F205="K",-12*G154,IF(F205="L",-16*G154,IF(F205="M",-20*G154,IF(F205="N",-25*G154,IF(F205="P",-32*G154,IF(F205="R",-40*G154,IF(F205="S",-50*G154,"*")))))))</f>
        <v>*</v>
      </c>
      <c r="F205" s="433">
        <f t="shared" si="3"/>
        <v>0</v>
      </c>
      <c r="G205" s="294"/>
      <c r="H205" s="289"/>
      <c r="I205" s="323"/>
      <c r="J205" s="750"/>
      <c r="K205" s="289"/>
      <c r="L205" s="291"/>
    </row>
    <row r="206" spans="1:12" ht="15.75" hidden="1">
      <c r="A206" s="758"/>
      <c r="B206" s="298"/>
      <c r="C206" s="312"/>
      <c r="D206" s="367" t="str">
        <f>IF(F206="C",G154,IF(F206="D",0,IF(F206="E",-2*G154,IF(F206="F",-4*G154,IF(F206="G",-6*G154,IF(F206="H",-8*G154,IF(F206="J",-10*G154,E206)))))))</f>
        <v>*</v>
      </c>
      <c r="E206" s="367" t="str">
        <f>IF(F206="K",-12*G154,IF(F206="L",-16*G154,IF(F206="M",-20*G154,IF(F206="N",-25*G154,IF(F206="P",-32*G154,IF(F206="R",-40*G154,IF(F206="S",-50*G154,"*")))))))</f>
        <v>*</v>
      </c>
      <c r="F206" s="433">
        <f t="shared" si="3"/>
        <v>0</v>
      </c>
      <c r="G206" s="294"/>
      <c r="H206" s="289"/>
      <c r="I206" s="323"/>
      <c r="J206" s="750"/>
      <c r="K206" s="289"/>
      <c r="L206" s="291"/>
    </row>
    <row r="207" spans="1:12" ht="15.75" hidden="1">
      <c r="A207" s="405" t="s">
        <v>4233</v>
      </c>
      <c r="B207" s="298"/>
      <c r="C207" s="312"/>
      <c r="D207" s="367"/>
      <c r="E207" s="367"/>
      <c r="F207" s="433"/>
      <c r="G207" s="294"/>
      <c r="H207" s="289"/>
      <c r="I207" s="323"/>
      <c r="J207" s="750"/>
      <c r="K207" s="289"/>
      <c r="L207" s="291"/>
    </row>
    <row r="208" spans="1:12" ht="15.75" hidden="1">
      <c r="A208" s="372"/>
      <c r="B208" s="298" t="s">
        <v>3257</v>
      </c>
      <c r="C208" s="312">
        <f>ROUND(C200*COS(C63)-0.72*C138/1000*SIN(C63),3)</f>
        <v>-0.106</v>
      </c>
      <c r="D208" s="367"/>
      <c r="E208" s="367"/>
      <c r="F208" s="433"/>
      <c r="G208" s="312"/>
      <c r="H208" s="289"/>
      <c r="I208" s="323"/>
      <c r="J208" s="750"/>
      <c r="K208" s="289"/>
      <c r="L208" s="291"/>
    </row>
    <row r="209" spans="1:12" ht="15.75" hidden="1">
      <c r="A209" s="382"/>
      <c r="B209" s="298" t="s">
        <v>3259</v>
      </c>
      <c r="C209" s="312">
        <f>ROUND(C201*COS(C63)+0.72*C138/1000*SIN(C63),3)</f>
        <v>-0.17599999999999999</v>
      </c>
      <c r="D209" s="367"/>
      <c r="E209" s="367"/>
      <c r="F209" s="433"/>
      <c r="G209" s="312"/>
      <c r="H209" s="289"/>
      <c r="I209" s="323"/>
      <c r="J209" s="750"/>
      <c r="K209" s="289"/>
      <c r="L209" s="291"/>
    </row>
    <row r="210" spans="1:12" ht="15.75" hidden="1">
      <c r="A210" s="382"/>
      <c r="B210" s="298" t="s">
        <v>3261</v>
      </c>
      <c r="C210" s="312">
        <f>C208-C209</f>
        <v>7.0000000000000007E-2</v>
      </c>
      <c r="D210" s="367"/>
      <c r="E210" s="367"/>
      <c r="F210" s="433"/>
      <c r="G210" s="312"/>
      <c r="H210" s="289"/>
      <c r="I210" s="323"/>
      <c r="J210" s="750"/>
      <c r="K210" s="289"/>
      <c r="L210" s="291"/>
    </row>
    <row r="211" spans="1:12" ht="15.75" hidden="1">
      <c r="A211" s="405" t="s">
        <v>4236</v>
      </c>
      <c r="B211" s="298"/>
      <c r="C211" s="312"/>
      <c r="D211" s="367"/>
      <c r="E211" s="367"/>
      <c r="F211" s="433"/>
      <c r="G211" s="312"/>
      <c r="H211" s="289"/>
      <c r="I211" s="323"/>
      <c r="J211" s="750"/>
      <c r="K211" s="289"/>
      <c r="L211" s="291"/>
    </row>
    <row r="212" spans="1:12" ht="15.75" hidden="1">
      <c r="A212" s="372"/>
      <c r="B212" s="298" t="s">
        <v>3263</v>
      </c>
      <c r="C212" s="312">
        <f>IF(ODD((C15)-C15)=0,D212,E212)</f>
        <v>-0.20899999999999999</v>
      </c>
      <c r="D212" s="367">
        <f>ROUND(C208/(SIN(C106)*COS(C69)),3)</f>
        <v>-0.21</v>
      </c>
      <c r="E212" s="367">
        <f>ROUND(C208/(SIN(C106)*COS(C69))*COS(PI()/(2*C15)),3)</f>
        <v>-0.20899999999999999</v>
      </c>
      <c r="F212" s="433"/>
      <c r="G212" s="312">
        <f>ROUND(G54/2+G54/2*SIN(C63)+(G54*COS(C63)-(PI()*C16-(G101+G200)))/(2*TAN(C63))+G73-G109,3)</f>
        <v>-0.20599999999999999</v>
      </c>
      <c r="H212" s="367"/>
      <c r="I212" s="370"/>
      <c r="J212" s="770"/>
      <c r="K212" s="289"/>
      <c r="L212" s="291"/>
    </row>
    <row r="213" spans="1:12" ht="15.75" hidden="1">
      <c r="A213" s="382"/>
      <c r="B213" s="298" t="s">
        <v>3265</v>
      </c>
      <c r="C213" s="312">
        <f>IF(ODD((C15)-C15)=0,D213,E213)</f>
        <v>-0.34799999999999998</v>
      </c>
      <c r="D213" s="367">
        <f>ROUND(C209/(SIN(C106)*COS(C69)),3)</f>
        <v>-0.34899999999999998</v>
      </c>
      <c r="E213" s="367">
        <f>ROUND(C209/(SIN(C106)*COS(C69))*COS(PI()/(2*C15)),3)</f>
        <v>-0.34799999999999998</v>
      </c>
      <c r="F213" s="433"/>
      <c r="G213" s="312">
        <f>ROUND(G54/2+G54/2*SIN(C63)+(G54*COS(C63)-(PI()*C16-(G101+G201)))/(2*TAN(C63))+G73-G109,3)</f>
        <v>-0.34300000000000003</v>
      </c>
      <c r="H213" s="367"/>
      <c r="I213" s="370"/>
      <c r="J213" s="750"/>
      <c r="K213" s="289"/>
      <c r="L213" s="291"/>
    </row>
    <row r="214" spans="1:12" ht="15.75" hidden="1">
      <c r="A214" s="382"/>
      <c r="B214" s="298" t="s">
        <v>3267</v>
      </c>
      <c r="C214" s="312">
        <f>C212-C213</f>
        <v>0.13900000000000001</v>
      </c>
      <c r="D214" s="367"/>
      <c r="E214" s="367"/>
      <c r="F214" s="433"/>
      <c r="G214" s="312"/>
      <c r="H214" s="289"/>
      <c r="I214" s="323"/>
      <c r="J214" s="750"/>
      <c r="K214" s="289"/>
      <c r="L214" s="291"/>
    </row>
    <row r="215" spans="1:12" ht="15.75" hidden="1">
      <c r="A215" s="759" t="s">
        <v>12616</v>
      </c>
      <c r="B215" s="298" t="s">
        <v>3269</v>
      </c>
      <c r="C215" s="312">
        <f>C190</f>
        <v>11</v>
      </c>
      <c r="D215" s="367"/>
      <c r="E215" s="367"/>
      <c r="F215" s="298"/>
      <c r="G215" s="294"/>
      <c r="H215" s="289"/>
      <c r="I215" s="323"/>
      <c r="J215" s="750"/>
      <c r="K215" s="289"/>
      <c r="L215" s="291"/>
    </row>
    <row r="216" spans="1:12" ht="15.75" hidden="1">
      <c r="A216" s="760" t="s">
        <v>3270</v>
      </c>
      <c r="B216" s="298" t="s">
        <v>3271</v>
      </c>
      <c r="C216" s="312">
        <f>C190/2</f>
        <v>5.5</v>
      </c>
      <c r="D216" s="367"/>
      <c r="E216" s="367"/>
      <c r="F216" s="298"/>
      <c r="G216" s="294"/>
      <c r="H216" s="289"/>
      <c r="I216" s="323"/>
      <c r="J216" s="750"/>
      <c r="K216" s="289"/>
      <c r="L216" s="291"/>
    </row>
    <row r="217" spans="1:12" ht="15.75" hidden="1">
      <c r="A217" s="279" t="s">
        <v>12617</v>
      </c>
      <c r="B217" s="323" t="s">
        <v>12618</v>
      </c>
      <c r="C217" s="312">
        <f>IF(AND(C82&gt;18,C82&lt;=30,C34&lt;=4),6.5,IF(AND(C82&gt;18,C82&lt;=30,C34&lt;=6),10.5,IF(AND(C82&gt;18,C82&lt;=30,C34&lt;=8),16.5,IF(AND(C82&gt;30,C82&lt;=50,C34&lt;=4),8,IF(AND(C82&gt;30,C82&lt;=50,C34&lt;=6),12.5,IF(AND(C82&gt;30,C82&lt;=50,C34&lt;=8),19.5,D217))))))</f>
        <v>27</v>
      </c>
      <c r="D217" s="367">
        <f>IF(AND(C82&gt;50,C82&lt;=80,C34&lt;=4),9.5,IF(AND(C82&gt;50,C82&lt;=80,C34&lt;=6),15,IF(AND(C82&gt;50,C82&lt;=80,C34&lt;=8),23,IF(AND(C82&gt;80,C82&lt;=120,C34&lt;=4),11,IF(AND(C82&gt;80,C82&lt;=120,C34&lt;=6),17.5,IF(AND(C82&gt;80,C82&lt;=120,C34&lt;=8),27,E217))))))</f>
        <v>27</v>
      </c>
      <c r="E217" s="367" t="str">
        <f>IF(AND(C82&gt;120,C82&lt;=180,C34&lt;=4),12.5,IF(AND(C82&gt;120,C82&lt;=180,C34&lt;=6),20,IF(AND(C82&gt;120,C82&lt;=180,C34&lt;=8),31.5,IF(AND(C82&gt;180,C82&lt;=250,C34&lt;=4),14.5,IF(AND(C82&gt;180,C82&lt;=250,C34&lt;=6),23,IF(AND(C82&gt;180,C82&lt;=250,C34&lt;=8),36,F217))))))</f>
        <v>*</v>
      </c>
      <c r="F217" s="367" t="str">
        <f>IF(AND(C82&gt;250,C82&lt;=315,C34&lt;=4),16,IF(AND(C82&gt;250,C82&lt;=315,C34&lt;=6),26,IF(AND(C82&gt;250,C82&lt;=315,C34&lt;=8),40.5,IF(AND(C82&gt;315,C82&lt;=400,C34&lt;=4),18,IF(AND(C82&gt;315,C82&lt;=400,C34&lt;=6),28.5,IF(AND(C82&gt;315,C82&lt;=400,C34&lt;=8),44.5,"*"))))))</f>
        <v>*</v>
      </c>
      <c r="G217" s="367"/>
      <c r="H217" s="367"/>
      <c r="I217" s="323"/>
      <c r="J217" s="750"/>
      <c r="K217" s="289"/>
      <c r="L217" s="291"/>
    </row>
    <row r="218" spans="1:12" ht="15.75" hidden="1">
      <c r="A218" s="761" t="s">
        <v>12619</v>
      </c>
      <c r="B218" s="298"/>
      <c r="C218" s="312">
        <f>IF(AND(C33&lt;=C34,C33&lt;=C35),C33,IF(C34&lt;=C35,C34,C35))</f>
        <v>7</v>
      </c>
      <c r="D218" s="367"/>
      <c r="E218" s="367"/>
      <c r="F218" s="433"/>
      <c r="G218" s="367">
        <f>C218</f>
        <v>7</v>
      </c>
      <c r="H218" s="367"/>
      <c r="I218" s="323"/>
      <c r="J218" s="750"/>
      <c r="K218" s="289"/>
      <c r="L218" s="291"/>
    </row>
    <row r="219" spans="1:12" ht="15.75" hidden="1">
      <c r="A219" s="350" t="s">
        <v>3275</v>
      </c>
      <c r="B219" s="298"/>
      <c r="C219" s="312"/>
      <c r="D219" s="367"/>
      <c r="E219" s="367"/>
      <c r="F219" s="298"/>
      <c r="G219" s="294"/>
      <c r="H219" s="289"/>
      <c r="I219" s="323"/>
      <c r="J219" s="750"/>
      <c r="K219" s="289"/>
      <c r="L219" s="291"/>
    </row>
    <row r="220" spans="1:12" ht="15.75" hidden="1">
      <c r="A220" s="312" t="s">
        <v>3276</v>
      </c>
      <c r="B220" s="322"/>
      <c r="C220" s="312" t="str">
        <f>IF(C218=3,"IT4",IF(C218=4,"IT4",IF(C218=5,"IT5",IF(C218=6,"IT6",IF(C218=7,"IT7",IF(C218=8,"IT7",))))))</f>
        <v>IT7</v>
      </c>
      <c r="D220" s="367"/>
      <c r="E220" s="367"/>
      <c r="F220" s="298"/>
      <c r="G220" s="294"/>
      <c r="H220" s="289"/>
      <c r="I220" s="323"/>
      <c r="J220" s="750"/>
      <c r="K220" s="289"/>
      <c r="L220" s="291"/>
    </row>
    <row r="221" spans="1:12" ht="15.75" hidden="1">
      <c r="A221" s="312" t="s">
        <v>3277</v>
      </c>
      <c r="B221" s="463"/>
      <c r="C221" s="312" t="str">
        <f>IF(C218=3,"IT4",IF(C218=4,"IT4",IF(C218=5,"IT5",IF(C218=6,"IT5",IF(C218=7,"IT6",IF(C218=8,"IT7"))))))</f>
        <v>IT6</v>
      </c>
      <c r="D221" s="367"/>
      <c r="E221" s="367"/>
      <c r="F221" s="298"/>
      <c r="G221" s="294"/>
      <c r="H221" s="289"/>
      <c r="I221" s="323"/>
      <c r="J221" s="750"/>
      <c r="K221" s="289"/>
      <c r="L221" s="291"/>
    </row>
    <row r="222" spans="1:12" ht="15.75" hidden="1">
      <c r="A222" s="312" t="s">
        <v>3278</v>
      </c>
      <c r="B222" s="463"/>
      <c r="C222" s="312" t="str">
        <f>IF(C218&lt;=5,"IT7",IF(C218&gt;5,"IT8"))</f>
        <v>IT8</v>
      </c>
      <c r="D222" s="367"/>
      <c r="E222" s="463" t="s">
        <v>12620</v>
      </c>
      <c r="F222" s="298">
        <f>0.1*C16</f>
        <v>0.5</v>
      </c>
      <c r="G222" s="294"/>
      <c r="H222" s="289"/>
      <c r="I222" s="323"/>
      <c r="J222" s="750"/>
      <c r="K222" s="289"/>
      <c r="L222" s="291"/>
    </row>
    <row r="223" spans="1:12" ht="15.75" hidden="1">
      <c r="A223" s="760" t="s">
        <v>3280</v>
      </c>
      <c r="B223" s="298"/>
      <c r="C223" s="312">
        <f>IF(AND(C72&lt;=125,OR(C218=3,C218=4)),7,IF(AND(C72&lt;=125,OR(C218=5,C218=6)),11,IF(AND(C72&lt;=125,OR(C218=7,C218=8)),18,IF(AND(C72&gt;125,C72&lt;=400,OR(C218=3,C218=4)),9,IF(AND(C72&gt;125,C72&lt;=400,OR(C218=5,C218=6)),14,IF(AND(C72&gt;125,C72&lt;=400,OR(C218=7,C218=8)),22,D223))))))</f>
        <v>18</v>
      </c>
      <c r="D223" s="367" t="str">
        <f>IF(AND(C72&gt;400,C72&lt;=800,OR(C218=3,C218=4)),12,IF(AND(C72&gt;400,C72&lt;=800,OR(C218=5,C218=6)),20,IF(AND(C72&gt;400,C72&lt;=800,OR(C218=7,C218=8)),32,IF(AND(C72&gt;800,C72&lt;=1600,OR(C218=3,C218=4)),18,IF(AND(C72&gt;800,C72&lt;=1600,OR(C218=5,C218=6)),28,IF(AND(C72&gt;800,C72&lt;=1600,OR(C218=7,C218=8)),45,"*"))))))</f>
        <v>*</v>
      </c>
      <c r="E223" s="367"/>
      <c r="F223" s="298"/>
      <c r="G223" s="312">
        <f>IF(AND(G72&lt;=125,OR(G218=3,G218=4)),7,IF(AND(G72&lt;=125,OR(G218=5,G218=6)),11,IF(AND(G72&lt;=125,OR(G218=7,G218=8)),18,IF(AND(G72&gt;125,G72&lt;=400,OR(G218=3,G218=4)),9,IF(AND(G72&gt;125,G72&lt;=400,OR(G218=5,G218=6)),14,IF(AND(G72&gt;125,G72&lt;=400,OR(G218=7,G218=8)),22,H223))))))</f>
        <v>18</v>
      </c>
      <c r="H223" s="367" t="str">
        <f>IF(AND(G72&gt;400,G72&lt;=800,OR(G218=3,G218=4)),12,IF(AND(G72&gt;400,G72&lt;=800,OR(G218=5,G218=6)),20,IF(AND(G72&gt;400,G72&lt;=800,OR(G218=7,G218=8)),32,IF(AND(G72&gt;800,G72&lt;=1600,OR(G218=3,G218=4)),18,IF(AND(G72&gt;800,G72&lt;=1600,OR(G218=5,G218=6)),28,IF(AND(G72&gt;800,G72&lt;=1600,OR(G218=7,G218=8)),45,"*"))))))</f>
        <v>*</v>
      </c>
      <c r="I223" s="323"/>
      <c r="J223" s="750"/>
      <c r="K223" s="289"/>
      <c r="L223" s="291"/>
    </row>
    <row r="224" spans="1:12" ht="15.75" hidden="1">
      <c r="A224" s="382"/>
      <c r="B224" s="350"/>
      <c r="C224" s="312"/>
      <c r="D224" s="350"/>
      <c r="E224" s="312"/>
      <c r="F224" s="430"/>
      <c r="G224" s="312"/>
      <c r="H224" s="289"/>
      <c r="I224" s="323"/>
      <c r="J224" s="750"/>
      <c r="K224" s="289"/>
      <c r="L224" s="291"/>
    </row>
    <row r="225" spans="1:12" ht="15">
      <c r="A225" s="439"/>
      <c r="B225" s="440"/>
      <c r="C225" s="441"/>
      <c r="D225" s="442"/>
      <c r="E225" s="441"/>
      <c r="F225" s="443"/>
      <c r="G225" s="441"/>
      <c r="H225" s="443"/>
      <c r="I225" s="312"/>
      <c r="J225" s="367"/>
      <c r="K225" s="289"/>
      <c r="L225" s="291"/>
    </row>
    <row r="226" spans="1:12" ht="15.75">
      <c r="A226" s="444" t="s">
        <v>12621</v>
      </c>
      <c r="B226" s="445"/>
      <c r="C226" s="446"/>
      <c r="D226" s="447"/>
      <c r="E226" s="447"/>
      <c r="F226" s="447"/>
      <c r="G226" s="446"/>
      <c r="H226" s="448"/>
      <c r="I226" s="312"/>
      <c r="J226" s="367"/>
      <c r="K226" s="367"/>
      <c r="L226" s="291"/>
    </row>
    <row r="227" spans="1:12" ht="22.15" customHeight="1">
      <c r="A227" s="762"/>
      <c r="B227" s="686" t="s">
        <v>12622</v>
      </c>
      <c r="C227" s="763"/>
      <c r="D227" s="291"/>
      <c r="E227" s="291"/>
      <c r="F227" s="291"/>
      <c r="G227" s="264" t="str">
        <f>H1</f>
        <v>编号：</v>
      </c>
      <c r="H227" s="449" t="str">
        <f>IF(I1=0,"",I1)</f>
        <v/>
      </c>
      <c r="I227" s="289"/>
      <c r="J227" s="289"/>
      <c r="K227" s="289"/>
      <c r="L227" s="291"/>
    </row>
    <row r="228" spans="1:12" ht="15.75">
      <c r="A228" s="453" t="s">
        <v>2804</v>
      </c>
      <c r="B228" s="265"/>
      <c r="C228" s="361" t="str">
        <f t="shared" ref="C228:C230" si="4">IF(C10=0,"",C10)</f>
        <v/>
      </c>
      <c r="D228" s="265"/>
      <c r="E228" s="453" t="s">
        <v>4634</v>
      </c>
      <c r="F228" s="268"/>
      <c r="G228" s="330">
        <f t="shared" ref="G228:G230" si="5">IF(G10=0,"",G10)</f>
        <v>10026</v>
      </c>
      <c r="H228" s="267"/>
      <c r="I228" s="289"/>
      <c r="J228" s="289"/>
      <c r="K228" s="289"/>
      <c r="L228" s="291"/>
    </row>
    <row r="229" spans="1:12">
      <c r="A229" s="453" t="s">
        <v>2806</v>
      </c>
      <c r="B229" s="273"/>
      <c r="C229" s="330">
        <f t="shared" si="4"/>
        <v>30201</v>
      </c>
      <c r="D229" s="265"/>
      <c r="E229" s="454"/>
      <c r="F229" s="273"/>
      <c r="G229" s="330">
        <f t="shared" si="5"/>
        <v>30202</v>
      </c>
      <c r="H229" s="267"/>
      <c r="I229" s="289"/>
      <c r="J229" s="289"/>
      <c r="K229" s="289"/>
      <c r="L229" s="291"/>
    </row>
    <row r="230" spans="1:12" ht="15.75">
      <c r="A230" s="453" t="s">
        <v>3282</v>
      </c>
      <c r="B230" s="312"/>
      <c r="C230" s="298" t="str">
        <f t="shared" si="4"/>
        <v/>
      </c>
      <c r="D230" s="455"/>
      <c r="E230" s="453" t="s">
        <v>2810</v>
      </c>
      <c r="F230" s="284"/>
      <c r="G230" s="298" t="str">
        <f t="shared" si="5"/>
        <v/>
      </c>
      <c r="H230" s="267"/>
      <c r="I230" s="289"/>
      <c r="J230" s="289"/>
      <c r="K230" s="289"/>
      <c r="L230" s="291"/>
    </row>
    <row r="231" spans="1:12" ht="15.75">
      <c r="A231" s="456" t="s">
        <v>3283</v>
      </c>
      <c r="B231" s="312"/>
      <c r="C231" s="333"/>
      <c r="D231" s="764"/>
      <c r="E231" s="765"/>
      <c r="F231" s="278"/>
      <c r="G231" s="333"/>
      <c r="H231" s="267"/>
      <c r="I231" s="289"/>
      <c r="J231" s="289"/>
      <c r="K231" s="289"/>
      <c r="L231" s="291"/>
    </row>
    <row r="232" spans="1:12" ht="15.75">
      <c r="A232" s="457" t="s">
        <v>3284</v>
      </c>
      <c r="B232" s="458"/>
      <c r="C232" s="457" t="s">
        <v>12554</v>
      </c>
      <c r="D232" s="766"/>
      <c r="E232" s="767"/>
      <c r="F232" s="768"/>
      <c r="G232" s="457" t="s">
        <v>12555</v>
      </c>
      <c r="H232" s="459"/>
      <c r="I232" s="289"/>
      <c r="J232" s="289"/>
      <c r="K232" s="289"/>
      <c r="L232" s="291"/>
    </row>
    <row r="233" spans="1:12">
      <c r="A233" s="461" t="s">
        <v>3285</v>
      </c>
      <c r="B233" s="339"/>
      <c r="C233" s="435"/>
      <c r="D233" s="339"/>
      <c r="E233" s="289"/>
      <c r="F233" s="339"/>
      <c r="G233" s="435"/>
      <c r="H233" s="339"/>
      <c r="I233" s="289"/>
      <c r="J233" s="289"/>
      <c r="K233" s="289"/>
      <c r="L233" s="291"/>
    </row>
    <row r="234" spans="1:12" ht="15.75" customHeight="1">
      <c r="A234" s="297" t="s">
        <v>12623</v>
      </c>
      <c r="B234" s="298" t="s">
        <v>1139</v>
      </c>
      <c r="C234" s="312">
        <v>17</v>
      </c>
      <c r="D234" s="298"/>
      <c r="E234" s="289"/>
      <c r="F234" s="298"/>
      <c r="G234" s="312"/>
      <c r="H234" s="289"/>
      <c r="I234" s="289"/>
      <c r="J234" s="289"/>
      <c r="K234" s="289"/>
      <c r="L234" s="291"/>
    </row>
    <row r="235" spans="1:12" ht="15.75" customHeight="1">
      <c r="A235" s="297" t="s">
        <v>12624</v>
      </c>
      <c r="B235" s="298" t="s">
        <v>2819</v>
      </c>
      <c r="C235" s="289"/>
      <c r="D235" s="311"/>
      <c r="E235" s="312">
        <f>C16</f>
        <v>5</v>
      </c>
      <c r="F235" s="311" t="s">
        <v>2820</v>
      </c>
      <c r="G235" s="312"/>
      <c r="H235" s="289"/>
      <c r="I235" s="289"/>
      <c r="J235" s="289"/>
      <c r="K235" s="289"/>
      <c r="L235" s="291"/>
    </row>
    <row r="236" spans="1:12" ht="15.75" customHeight="1">
      <c r="A236" s="297" t="s">
        <v>12625</v>
      </c>
      <c r="B236" s="289" t="s">
        <v>4640</v>
      </c>
      <c r="C236" s="289"/>
      <c r="D236" s="311"/>
      <c r="E236" s="312">
        <f>E64</f>
        <v>20</v>
      </c>
      <c r="F236" s="311" t="s">
        <v>2938</v>
      </c>
      <c r="G236" s="312"/>
      <c r="H236" s="289"/>
      <c r="I236" s="289"/>
      <c r="J236" s="302"/>
      <c r="K236" s="289"/>
      <c r="L236" s="291"/>
    </row>
    <row r="237" spans="1:12" ht="15.75" customHeight="1">
      <c r="A237" s="309" t="s">
        <v>12626</v>
      </c>
      <c r="B237" s="289" t="str">
        <f>B18</f>
        <v>βf</v>
      </c>
      <c r="C237" s="289"/>
      <c r="D237" s="311"/>
      <c r="E237" s="312">
        <f>E67</f>
        <v>0</v>
      </c>
      <c r="F237" s="311" t="s">
        <v>2938</v>
      </c>
      <c r="G237" s="312"/>
      <c r="H237" s="289"/>
      <c r="I237" s="289"/>
      <c r="J237" s="302"/>
      <c r="K237" s="289"/>
      <c r="L237" s="291"/>
    </row>
    <row r="238" spans="1:12" ht="15.75" customHeight="1">
      <c r="A238" s="297" t="s">
        <v>12627</v>
      </c>
      <c r="B238" s="298" t="s">
        <v>2534</v>
      </c>
      <c r="C238" s="289"/>
      <c r="D238" s="311"/>
      <c r="E238" s="312">
        <f>C19</f>
        <v>40</v>
      </c>
      <c r="F238" s="311" t="s">
        <v>2820</v>
      </c>
      <c r="G238" s="312"/>
      <c r="H238" s="289"/>
      <c r="I238" s="289"/>
      <c r="J238" s="302"/>
      <c r="K238" s="289"/>
      <c r="L238" s="291"/>
    </row>
    <row r="239" spans="1:12" ht="15.75" customHeight="1">
      <c r="A239" s="309" t="s">
        <v>12628</v>
      </c>
      <c r="B239" s="292" t="s">
        <v>2831</v>
      </c>
      <c r="C239" s="289"/>
      <c r="D239" s="311"/>
      <c r="E239" s="312">
        <f>C21</f>
        <v>1</v>
      </c>
      <c r="F239" s="311"/>
      <c r="G239" s="312"/>
      <c r="H239" s="289"/>
      <c r="I239" s="289"/>
      <c r="J239" s="302"/>
      <c r="K239" s="289"/>
      <c r="L239" s="291"/>
    </row>
    <row r="240" spans="1:12" ht="15.75" customHeight="1">
      <c r="A240" s="309" t="s">
        <v>12629</v>
      </c>
      <c r="B240" s="292" t="s">
        <v>2834</v>
      </c>
      <c r="C240" s="289"/>
      <c r="D240" s="311"/>
      <c r="E240" s="312">
        <f>C22</f>
        <v>0</v>
      </c>
      <c r="F240" s="311"/>
      <c r="G240" s="312"/>
      <c r="H240" s="289"/>
      <c r="I240" s="289"/>
      <c r="J240" s="302"/>
      <c r="K240" s="289"/>
      <c r="L240" s="291"/>
    </row>
    <row r="241" spans="1:12" ht="15.75" customHeight="1">
      <c r="A241" s="309" t="s">
        <v>12537</v>
      </c>
      <c r="B241" s="292" t="s">
        <v>2836</v>
      </c>
      <c r="C241" s="289"/>
      <c r="D241" s="311"/>
      <c r="E241" s="312">
        <f>C24</f>
        <v>0.25</v>
      </c>
      <c r="F241" s="311"/>
      <c r="G241" s="312"/>
      <c r="H241" s="289"/>
      <c r="I241" s="289"/>
      <c r="J241" s="302"/>
      <c r="K241" s="289"/>
      <c r="L241" s="291"/>
    </row>
    <row r="242" spans="1:12" ht="15.75" customHeight="1">
      <c r="A242" s="297" t="s">
        <v>12630</v>
      </c>
      <c r="B242" s="298" t="s">
        <v>3294</v>
      </c>
      <c r="C242" s="289"/>
      <c r="D242" s="311"/>
      <c r="E242" s="289">
        <f>2*C21+C24</f>
        <v>2.25</v>
      </c>
      <c r="F242" s="298"/>
      <c r="G242" s="312"/>
      <c r="H242" s="289"/>
      <c r="I242" s="289"/>
      <c r="J242" s="302"/>
      <c r="K242" s="289"/>
      <c r="L242" s="291"/>
    </row>
    <row r="243" spans="1:12" ht="15.75" customHeight="1">
      <c r="A243" s="279" t="s">
        <v>12631</v>
      </c>
      <c r="B243" s="312" t="s">
        <v>1874</v>
      </c>
      <c r="C243" s="311"/>
      <c r="D243" s="311"/>
      <c r="E243" s="289">
        <f>C82</f>
        <v>80.5</v>
      </c>
      <c r="F243" s="311" t="s">
        <v>12632</v>
      </c>
      <c r="G243" s="312"/>
      <c r="H243" s="289"/>
      <c r="I243" s="289"/>
      <c r="J243" s="302"/>
      <c r="K243" s="289"/>
      <c r="L243" s="291"/>
    </row>
    <row r="244" spans="1:12" ht="15.75" customHeight="1">
      <c r="A244" s="297" t="s">
        <v>12633</v>
      </c>
      <c r="B244" s="298" t="s">
        <v>407</v>
      </c>
      <c r="C244" s="289">
        <f>C80</f>
        <v>0</v>
      </c>
      <c r="D244" s="311"/>
      <c r="E244" s="289"/>
      <c r="F244" s="298"/>
      <c r="G244" s="289"/>
      <c r="H244" s="289"/>
      <c r="I244" s="289"/>
      <c r="J244" s="302"/>
      <c r="K244" s="289"/>
      <c r="L244" s="291"/>
    </row>
    <row r="245" spans="1:12" ht="15.75" customHeight="1">
      <c r="A245" s="297" t="s">
        <v>12634</v>
      </c>
      <c r="B245" s="298" t="s">
        <v>3299</v>
      </c>
      <c r="C245" s="312">
        <f>C81</f>
        <v>0</v>
      </c>
      <c r="D245" s="311"/>
      <c r="E245" s="289"/>
      <c r="F245" s="298"/>
      <c r="G245" s="312"/>
      <c r="H245" s="289"/>
      <c r="I245" s="289"/>
      <c r="J245" s="302"/>
      <c r="K245" s="255"/>
      <c r="L245" s="291"/>
    </row>
    <row r="246" spans="1:12" ht="15.75" customHeight="1">
      <c r="A246" s="297" t="s">
        <v>12635</v>
      </c>
      <c r="B246" s="298" t="s">
        <v>411</v>
      </c>
      <c r="C246" s="289">
        <f>ROUND(C72,3)</f>
        <v>85</v>
      </c>
      <c r="D246" s="311" t="s">
        <v>2820</v>
      </c>
      <c r="E246" s="289"/>
      <c r="F246" s="385" t="s">
        <v>12569</v>
      </c>
      <c r="G246" s="289">
        <f>G73</f>
        <v>38</v>
      </c>
      <c r="H246" s="311" t="s">
        <v>2820</v>
      </c>
      <c r="I246" s="378"/>
      <c r="J246" s="302"/>
      <c r="K246" s="255"/>
      <c r="L246" s="291"/>
    </row>
    <row r="247" spans="1:12" ht="15.75" customHeight="1">
      <c r="A247" s="297" t="s">
        <v>12636</v>
      </c>
      <c r="B247" s="298" t="s">
        <v>3302</v>
      </c>
      <c r="C247" s="289">
        <f>ROUND(C74,3)</f>
        <v>79.873999999999995</v>
      </c>
      <c r="D247" s="311" t="s">
        <v>2820</v>
      </c>
      <c r="E247" s="289"/>
      <c r="F247" s="385" t="s">
        <v>12571</v>
      </c>
      <c r="G247" s="289">
        <f>G74</f>
        <v>38</v>
      </c>
      <c r="H247" s="311" t="s">
        <v>2820</v>
      </c>
      <c r="I247" s="378"/>
      <c r="J247" s="302"/>
      <c r="K247" s="255"/>
      <c r="L247" s="291"/>
    </row>
    <row r="248" spans="1:12" ht="15.75" customHeight="1">
      <c r="A248" s="297" t="s">
        <v>12637</v>
      </c>
      <c r="B248" s="298" t="s">
        <v>3304</v>
      </c>
      <c r="C248" s="289">
        <f>ROUND(C86,3)</f>
        <v>95</v>
      </c>
      <c r="D248" s="311" t="s">
        <v>2820</v>
      </c>
      <c r="E248" s="289"/>
      <c r="F248" s="385" t="s">
        <v>12585</v>
      </c>
      <c r="G248" s="289">
        <f>ROUND(G86,3)</f>
        <v>43</v>
      </c>
      <c r="H248" s="311" t="s">
        <v>2820</v>
      </c>
      <c r="I248" s="378"/>
      <c r="J248" s="302"/>
      <c r="K248" s="255"/>
      <c r="L248" s="291"/>
    </row>
    <row r="249" spans="1:12" ht="15.75" customHeight="1">
      <c r="A249" s="297" t="s">
        <v>12638</v>
      </c>
      <c r="B249" s="298" t="s">
        <v>3306</v>
      </c>
      <c r="C249" s="289">
        <f>ROUND(C88,3)</f>
        <v>72.5</v>
      </c>
      <c r="D249" s="311" t="s">
        <v>2820</v>
      </c>
      <c r="E249" s="289"/>
      <c r="F249" s="385" t="s">
        <v>12587</v>
      </c>
      <c r="G249" s="289">
        <f>ROUND(G88,3)</f>
        <v>31.75</v>
      </c>
      <c r="H249" s="311" t="s">
        <v>2820</v>
      </c>
      <c r="I249" s="378"/>
      <c r="J249" s="302"/>
      <c r="K249" s="255"/>
      <c r="L249" s="291"/>
    </row>
    <row r="250" spans="1:12" ht="15.75" customHeight="1">
      <c r="A250" s="297" t="s">
        <v>12639</v>
      </c>
      <c r="B250" s="298" t="s">
        <v>3308</v>
      </c>
      <c r="C250" s="289">
        <f t="shared" ref="C250:C252" si="6">ROUND(C83,3)</f>
        <v>5</v>
      </c>
      <c r="D250" s="311" t="s">
        <v>2820</v>
      </c>
      <c r="E250" s="289"/>
      <c r="F250" s="298"/>
      <c r="G250" s="289">
        <f>ROUND(G83,3)</f>
        <v>5</v>
      </c>
      <c r="H250" s="311" t="s">
        <v>2820</v>
      </c>
      <c r="I250" s="378"/>
      <c r="J250" s="302"/>
      <c r="K250" s="255"/>
      <c r="L250" s="291"/>
    </row>
    <row r="251" spans="1:12" ht="15.75" customHeight="1">
      <c r="A251" s="297" t="s">
        <v>12640</v>
      </c>
      <c r="B251" s="298" t="s">
        <v>3310</v>
      </c>
      <c r="C251" s="289">
        <f t="shared" si="6"/>
        <v>6.25</v>
      </c>
      <c r="D251" s="311" t="s">
        <v>2820</v>
      </c>
      <c r="E251" s="289"/>
      <c r="F251" s="298"/>
      <c r="G251" s="289">
        <f>ROUND(G84,3)</f>
        <v>6.25</v>
      </c>
      <c r="H251" s="311" t="s">
        <v>2820</v>
      </c>
      <c r="I251" s="378"/>
      <c r="J251" s="302"/>
      <c r="K251" s="255"/>
      <c r="L251" s="291"/>
    </row>
    <row r="252" spans="1:12" ht="15.75" customHeight="1">
      <c r="A252" s="297" t="s">
        <v>12641</v>
      </c>
      <c r="B252" s="298" t="s">
        <v>3312</v>
      </c>
      <c r="C252" s="289">
        <f t="shared" si="6"/>
        <v>11.25</v>
      </c>
      <c r="D252" s="311" t="s">
        <v>2820</v>
      </c>
      <c r="E252" s="289"/>
      <c r="F252" s="311"/>
      <c r="G252" s="289">
        <f>ROUND(C85,3)</f>
        <v>11.25</v>
      </c>
      <c r="H252" s="311" t="s">
        <v>2820</v>
      </c>
      <c r="I252" s="378"/>
      <c r="J252" s="302"/>
      <c r="K252" s="255"/>
      <c r="L252" s="291"/>
    </row>
    <row r="253" spans="1:12" ht="15.75" customHeight="1">
      <c r="A253" s="309" t="s">
        <v>12642</v>
      </c>
      <c r="B253" s="292" t="s">
        <v>3314</v>
      </c>
      <c r="C253" s="289">
        <f>ROUND(C89,3)</f>
        <v>7.8540000000000001</v>
      </c>
      <c r="D253" s="311" t="s">
        <v>2820</v>
      </c>
      <c r="E253" s="289"/>
      <c r="F253" s="311"/>
      <c r="G253" s="289">
        <f>ROUND(G89,3)</f>
        <v>7.8540000000000001</v>
      </c>
      <c r="H253" s="311" t="s">
        <v>2820</v>
      </c>
      <c r="I253" s="378"/>
      <c r="J253" s="302"/>
      <c r="K253" s="255"/>
      <c r="L253" s="291"/>
    </row>
    <row r="254" spans="1:12" ht="15.75" customHeight="1">
      <c r="A254" s="401"/>
      <c r="B254" s="387"/>
      <c r="C254" s="338"/>
      <c r="D254" s="335"/>
      <c r="E254" s="338"/>
      <c r="F254" s="335"/>
      <c r="G254" s="338"/>
      <c r="H254" s="335"/>
      <c r="I254" s="378"/>
      <c r="J254" s="302"/>
      <c r="K254" s="255"/>
      <c r="L254" s="291"/>
    </row>
    <row r="255" spans="1:12" ht="15.75" customHeight="1">
      <c r="A255" s="769" t="s">
        <v>3315</v>
      </c>
      <c r="B255" s="292"/>
      <c r="C255" s="289"/>
      <c r="D255" s="311"/>
      <c r="E255" s="289"/>
      <c r="F255" s="311"/>
      <c r="G255" s="289"/>
      <c r="H255" s="311"/>
      <c r="I255" s="378"/>
      <c r="J255" s="302"/>
      <c r="K255" s="255"/>
      <c r="L255" s="291"/>
    </row>
    <row r="256" spans="1:12" ht="15.75" customHeight="1">
      <c r="A256" s="291" t="s">
        <v>12643</v>
      </c>
      <c r="B256" s="292" t="s">
        <v>3317</v>
      </c>
      <c r="C256" s="289">
        <f>ROUND(C93,3)</f>
        <v>23.331</v>
      </c>
      <c r="D256" s="311" t="s">
        <v>2820</v>
      </c>
      <c r="E256" s="289"/>
      <c r="F256" s="311"/>
      <c r="G256" s="289"/>
      <c r="H256" s="311"/>
      <c r="I256" s="378"/>
      <c r="J256" s="302"/>
      <c r="K256" s="255"/>
      <c r="L256" s="291"/>
    </row>
    <row r="257" spans="1:12" ht="15.75" customHeight="1">
      <c r="A257" s="291" t="s">
        <v>12644</v>
      </c>
      <c r="B257" s="292" t="s">
        <v>3319</v>
      </c>
      <c r="C257" s="289">
        <f>C94</f>
        <v>2</v>
      </c>
      <c r="D257" s="311"/>
      <c r="E257" s="289"/>
      <c r="F257" s="311"/>
      <c r="G257" s="289"/>
      <c r="H257" s="311"/>
      <c r="I257" s="378"/>
      <c r="J257" s="302"/>
      <c r="K257" s="255"/>
      <c r="L257" s="291"/>
    </row>
    <row r="258" spans="1:12" ht="15.75" customHeight="1">
      <c r="A258" s="292" t="s">
        <v>12645</v>
      </c>
      <c r="B258" s="292"/>
      <c r="C258" s="289" t="str">
        <f>C95</f>
        <v>可以测量</v>
      </c>
      <c r="D258" s="311"/>
      <c r="E258" s="289"/>
      <c r="F258" s="311"/>
      <c r="G258" s="289"/>
      <c r="H258" s="311"/>
      <c r="I258" s="378"/>
      <c r="J258" s="302"/>
      <c r="K258" s="297"/>
      <c r="L258" s="298"/>
    </row>
    <row r="259" spans="1:12" ht="15.75" customHeight="1">
      <c r="A259" s="279" t="s">
        <v>12646</v>
      </c>
      <c r="B259" s="323" t="s">
        <v>3326</v>
      </c>
      <c r="C259" s="289">
        <f t="shared" ref="C259:C262" si="7">ROUND(C99,3)</f>
        <v>6.9349999999999996</v>
      </c>
      <c r="D259" s="311" t="s">
        <v>2820</v>
      </c>
      <c r="E259" s="311"/>
      <c r="F259" s="298"/>
      <c r="G259" s="289"/>
      <c r="H259" s="311"/>
      <c r="I259" s="378"/>
      <c r="J259" s="302"/>
      <c r="K259" s="297"/>
      <c r="L259" s="298"/>
    </row>
    <row r="260" spans="1:12" ht="15.75" customHeight="1">
      <c r="A260" s="279" t="s">
        <v>12647</v>
      </c>
      <c r="B260" s="323" t="s">
        <v>3328</v>
      </c>
      <c r="C260" s="289">
        <f t="shared" si="7"/>
        <v>3.738</v>
      </c>
      <c r="D260" s="311" t="s">
        <v>2820</v>
      </c>
      <c r="E260" s="289"/>
      <c r="F260" s="298"/>
      <c r="G260" s="289"/>
      <c r="H260" s="311"/>
      <c r="I260" s="302"/>
      <c r="J260" s="302"/>
      <c r="K260" s="291"/>
      <c r="L260" s="291"/>
    </row>
    <row r="261" spans="1:12" ht="15.75" customHeight="1">
      <c r="A261" s="297" t="s">
        <v>12648</v>
      </c>
      <c r="B261" s="298" t="s">
        <v>3322</v>
      </c>
      <c r="C261" s="289">
        <f t="shared" si="7"/>
        <v>7.843</v>
      </c>
      <c r="D261" s="311" t="s">
        <v>2820</v>
      </c>
      <c r="E261" s="289"/>
      <c r="F261" s="298"/>
      <c r="G261" s="289">
        <f>ROUND(G101,3)</f>
        <v>7.8540000000000001</v>
      </c>
      <c r="H261" s="311" t="s">
        <v>2820</v>
      </c>
      <c r="I261" s="302"/>
      <c r="J261" s="302"/>
      <c r="K261" s="291"/>
      <c r="L261" s="291"/>
    </row>
    <row r="262" spans="1:12" ht="15.75" customHeight="1">
      <c r="A262" s="297" t="s">
        <v>12649</v>
      </c>
      <c r="B262" s="298" t="s">
        <v>3324</v>
      </c>
      <c r="C262" s="289">
        <f t="shared" si="7"/>
        <v>5.181</v>
      </c>
      <c r="D262" s="311" t="s">
        <v>2820</v>
      </c>
      <c r="E262" s="289"/>
      <c r="F262" s="298"/>
      <c r="G262" s="289">
        <f>ROUND(G102,3)</f>
        <v>5</v>
      </c>
      <c r="H262" s="311" t="s">
        <v>2820</v>
      </c>
      <c r="I262" s="302"/>
      <c r="J262" s="302"/>
      <c r="K262" s="291"/>
      <c r="L262" s="291"/>
    </row>
    <row r="263" spans="1:12" ht="15.75" customHeight="1">
      <c r="A263" s="279" t="s">
        <v>3047</v>
      </c>
      <c r="B263" s="323" t="s">
        <v>3329</v>
      </c>
      <c r="C263" s="289" t="str">
        <f>IF(OR(C54=0,B55&lt;&gt;""),"",C104)</f>
        <v/>
      </c>
      <c r="D263" s="311" t="s">
        <v>2820</v>
      </c>
      <c r="E263" s="289"/>
      <c r="F263" s="298"/>
      <c r="G263" s="289">
        <f>IF(OR(G54=0,F55&lt;&gt;""),"",G104)</f>
        <v>8</v>
      </c>
      <c r="H263" s="311" t="s">
        <v>2820</v>
      </c>
      <c r="I263" s="302"/>
      <c r="J263" s="302"/>
      <c r="K263" s="291"/>
      <c r="L263" s="291"/>
    </row>
    <row r="264" spans="1:12" ht="15.75" customHeight="1">
      <c r="A264" s="279" t="s">
        <v>3060</v>
      </c>
      <c r="B264" s="323" t="s">
        <v>235</v>
      </c>
      <c r="C264" s="289" t="str">
        <f>IF(OR(C54=0,B55&lt;&gt;""),"",ROUND(C109,3))</f>
        <v/>
      </c>
      <c r="D264" s="311" t="s">
        <v>2820</v>
      </c>
      <c r="E264" s="289"/>
      <c r="F264" s="385" t="s">
        <v>12600</v>
      </c>
      <c r="G264" s="289">
        <f>IF(OR(G54=0,F55&lt;&gt;""),"",ROUND(G109,3))</f>
        <v>42.905999999999999</v>
      </c>
      <c r="H264" s="311" t="s">
        <v>2820</v>
      </c>
      <c r="I264" s="302"/>
      <c r="J264" s="302"/>
      <c r="K264" s="291"/>
      <c r="L264" s="291"/>
    </row>
    <row r="265" spans="1:12" ht="15.75" customHeight="1">
      <c r="A265" s="279" t="s">
        <v>12650</v>
      </c>
      <c r="B265" s="298" t="s">
        <v>3331</v>
      </c>
      <c r="C265" s="289" t="str">
        <f>IF(OR(C54=0,B55&lt;&gt;""),"",ROUND(C111,2))</f>
        <v/>
      </c>
      <c r="D265" s="311" t="s">
        <v>2820</v>
      </c>
      <c r="E265" s="385"/>
      <c r="F265" s="385" t="s">
        <v>12602</v>
      </c>
      <c r="G265" s="289">
        <f>IF(OR(G54=0,F55&lt;&gt;""),"",ROUND(G111,2))</f>
        <v>37.54</v>
      </c>
      <c r="H265" s="311" t="s">
        <v>2820</v>
      </c>
      <c r="I265" s="302"/>
      <c r="J265" s="302"/>
      <c r="K265" s="291"/>
      <c r="L265" s="291"/>
    </row>
    <row r="266" spans="1:12" ht="15.75" customHeight="1">
      <c r="A266" s="354"/>
      <c r="B266" s="387"/>
      <c r="C266" s="338"/>
      <c r="D266" s="335"/>
      <c r="E266" s="338"/>
      <c r="F266" s="333"/>
      <c r="G266" s="275"/>
      <c r="H266" s="335"/>
      <c r="I266" s="302"/>
      <c r="J266" s="302"/>
      <c r="K266" s="291"/>
      <c r="L266" s="291"/>
    </row>
    <row r="267" spans="1:12" ht="15.75" customHeight="1">
      <c r="A267" s="461" t="s">
        <v>3332</v>
      </c>
      <c r="B267" s="298"/>
      <c r="C267" s="289"/>
      <c r="D267" s="311"/>
      <c r="E267" s="289"/>
      <c r="F267" s="298"/>
      <c r="G267" s="312"/>
      <c r="H267" s="311"/>
      <c r="I267" s="302"/>
      <c r="J267" s="302"/>
      <c r="K267" s="291"/>
      <c r="L267" s="291"/>
    </row>
    <row r="268" spans="1:12" ht="15.75" customHeight="1">
      <c r="A268" s="462" t="s">
        <v>4710</v>
      </c>
      <c r="B268" s="292" t="s">
        <v>4731</v>
      </c>
      <c r="C268" s="289">
        <f>ROUND(C124,3)</f>
        <v>14.536</v>
      </c>
      <c r="D268" s="311" t="s">
        <v>2820</v>
      </c>
      <c r="E268" s="289"/>
      <c r="F268" s="298"/>
      <c r="G268" s="289"/>
      <c r="H268" s="311"/>
      <c r="I268" s="302"/>
      <c r="J268" s="302"/>
      <c r="K268" s="291"/>
      <c r="L268" s="291"/>
    </row>
    <row r="269" spans="1:12" ht="15.75" customHeight="1">
      <c r="A269" s="462" t="s">
        <v>4712</v>
      </c>
      <c r="B269" s="292" t="s">
        <v>4732</v>
      </c>
      <c r="C269" s="289">
        <f>ROUND(C125,3)</f>
        <v>25.716000000000001</v>
      </c>
      <c r="D269" s="311" t="s">
        <v>2820</v>
      </c>
      <c r="E269" s="289"/>
      <c r="F269" s="298"/>
      <c r="G269" s="289"/>
      <c r="H269" s="311"/>
      <c r="I269" s="302"/>
      <c r="J269" s="302"/>
      <c r="K269" s="291"/>
      <c r="L269" s="291"/>
    </row>
    <row r="270" spans="1:12" ht="15.75" customHeight="1">
      <c r="A270" s="279" t="s">
        <v>12651</v>
      </c>
      <c r="B270" s="291" t="s">
        <v>4734</v>
      </c>
      <c r="C270" s="289">
        <f t="shared" ref="C270:C273" si="8">E126</f>
        <v>20.511500000000002</v>
      </c>
      <c r="D270" s="311" t="s">
        <v>2938</v>
      </c>
      <c r="E270" s="289"/>
      <c r="F270" s="298"/>
      <c r="G270" s="289"/>
      <c r="H270" s="311"/>
      <c r="I270" s="302"/>
      <c r="J270" s="302"/>
      <c r="K270" s="291"/>
      <c r="L270" s="291"/>
    </row>
    <row r="271" spans="1:12" ht="15.75" customHeight="1">
      <c r="A271" s="279" t="s">
        <v>12652</v>
      </c>
      <c r="B271" s="291" t="s">
        <v>4736</v>
      </c>
      <c r="C271" s="289">
        <f t="shared" si="8"/>
        <v>36.533499999999997</v>
      </c>
      <c r="D271" s="311" t="s">
        <v>2938</v>
      </c>
      <c r="E271" s="289"/>
      <c r="F271" s="298"/>
      <c r="G271" s="289"/>
      <c r="H271" s="311"/>
      <c r="I271" s="302"/>
      <c r="J271" s="302"/>
      <c r="K271" s="291"/>
      <c r="L271" s="291"/>
    </row>
    <row r="272" spans="1:12" ht="15.75" customHeight="1">
      <c r="A272" s="279" t="s">
        <v>12653</v>
      </c>
      <c r="B272" s="291" t="s">
        <v>12654</v>
      </c>
      <c r="C272" s="289">
        <f t="shared" si="8"/>
        <v>26.120200000000001</v>
      </c>
      <c r="D272" s="311" t="s">
        <v>2938</v>
      </c>
      <c r="E272" s="289"/>
      <c r="F272" s="298"/>
      <c r="G272" s="289"/>
      <c r="H272" s="311"/>
      <c r="I272" s="302"/>
      <c r="J272" s="302"/>
      <c r="K272" s="291"/>
      <c r="L272" s="291"/>
    </row>
    <row r="273" spans="1:12" ht="15.75" customHeight="1">
      <c r="A273" s="401"/>
      <c r="B273" s="332" t="s">
        <v>12655</v>
      </c>
      <c r="C273" s="338">
        <f t="shared" si="8"/>
        <v>31.3248</v>
      </c>
      <c r="D273" s="335" t="s">
        <v>2938</v>
      </c>
      <c r="E273" s="338"/>
      <c r="F273" s="333"/>
      <c r="G273" s="338"/>
      <c r="H273" s="335"/>
      <c r="I273" s="302"/>
      <c r="J273" s="302"/>
      <c r="K273" s="291"/>
      <c r="L273" s="291"/>
    </row>
    <row r="274" spans="1:12" ht="15.75" customHeight="1">
      <c r="A274" s="461" t="s">
        <v>4370</v>
      </c>
      <c r="B274" s="311"/>
      <c r="C274" s="435"/>
      <c r="D274" s="343"/>
      <c r="E274" s="717"/>
      <c r="F274" s="349"/>
      <c r="G274" s="435"/>
      <c r="H274" s="311"/>
      <c r="I274" s="302"/>
      <c r="J274" s="302"/>
      <c r="K274" s="291"/>
      <c r="L274" s="291"/>
    </row>
    <row r="275" spans="1:12" ht="15.75" customHeight="1">
      <c r="A275" s="297" t="s">
        <v>12656</v>
      </c>
      <c r="B275" s="472" t="s">
        <v>4372</v>
      </c>
      <c r="C275" s="289"/>
      <c r="D275" s="350"/>
      <c r="E275" s="289">
        <f>C119</f>
        <v>1.748</v>
      </c>
      <c r="F275" s="472"/>
      <c r="G275" s="312"/>
      <c r="H275" s="305"/>
      <c r="I275" s="302"/>
      <c r="J275" s="302"/>
      <c r="K275" s="291"/>
      <c r="L275" s="291"/>
    </row>
    <row r="276" spans="1:12" ht="15.75" customHeight="1">
      <c r="A276" s="289" t="s">
        <v>12657</v>
      </c>
      <c r="B276" s="297"/>
      <c r="C276" s="462" t="str">
        <f>D122</f>
        <v>不根切</v>
      </c>
      <c r="D276" s="760"/>
      <c r="E276" s="462"/>
      <c r="F276" s="771"/>
      <c r="G276" s="462"/>
      <c r="H276" s="305"/>
      <c r="I276" s="302"/>
      <c r="J276" s="302"/>
      <c r="K276" s="291"/>
      <c r="L276" s="291"/>
    </row>
    <row r="277" spans="1:12" ht="15.75" customHeight="1">
      <c r="A277" s="312" t="s">
        <v>12658</v>
      </c>
      <c r="B277" s="297"/>
      <c r="C277" s="462" t="str">
        <f>D120</f>
        <v>齿顶未变尖</v>
      </c>
      <c r="D277" s="760"/>
      <c r="E277" s="462"/>
      <c r="F277" s="771"/>
      <c r="G277" s="462" t="str">
        <f>H120</f>
        <v>齿顶未变尖</v>
      </c>
      <c r="H277" s="305"/>
      <c r="I277" s="302"/>
      <c r="J277" s="302"/>
      <c r="K277" s="291"/>
      <c r="L277" s="291"/>
    </row>
    <row r="278" spans="1:12" ht="15.75" customHeight="1">
      <c r="A278" s="473"/>
      <c r="B278" s="338"/>
      <c r="C278" s="474"/>
      <c r="D278" s="335"/>
      <c r="E278" s="474"/>
      <c r="F278" s="772"/>
      <c r="G278" s="475"/>
      <c r="H278" s="335"/>
      <c r="I278" s="302"/>
      <c r="J278" s="302"/>
      <c r="K278" s="291"/>
      <c r="L278" s="291"/>
    </row>
    <row r="279" spans="1:12" ht="15.75" customHeight="1">
      <c r="A279" s="461" t="s">
        <v>3333</v>
      </c>
      <c r="B279" s="311"/>
      <c r="C279" s="760" t="str">
        <f>IF(OR(C33="",C34="",C35=""),"             （未输入精度等级）","（按 GB10095—88 渐开线圆柱齿轮 精度，GB10096—88 齿条精度）")</f>
        <v>（按 GB10095—88 渐开线圆柱齿轮 精度，GB10096—88 齿条精度）</v>
      </c>
      <c r="D279" s="343"/>
      <c r="E279" s="717"/>
      <c r="F279" s="349"/>
      <c r="G279" s="435"/>
      <c r="H279" s="311"/>
      <c r="I279" s="302"/>
      <c r="J279" s="302"/>
      <c r="K279" s="291"/>
      <c r="L279" s="291"/>
    </row>
    <row r="280" spans="1:12" ht="15.75" customHeight="1">
      <c r="A280" s="289" t="s">
        <v>12659</v>
      </c>
      <c r="B280" s="435" t="s">
        <v>3335</v>
      </c>
      <c r="C280" s="435"/>
      <c r="D280" s="312"/>
      <c r="E280" s="312">
        <f>IF(OR(C33=0,C34=0,C35=0),"",C33)</f>
        <v>8</v>
      </c>
      <c r="F280" s="312"/>
      <c r="G280" s="435"/>
      <c r="H280" s="311"/>
      <c r="I280" s="289"/>
      <c r="J280" s="302"/>
      <c r="K280" s="291"/>
      <c r="L280" s="291"/>
    </row>
    <row r="281" spans="1:12" ht="15.75" customHeight="1">
      <c r="A281" s="434"/>
      <c r="B281" s="435" t="s">
        <v>3336</v>
      </c>
      <c r="C281" s="435"/>
      <c r="D281" s="312"/>
      <c r="E281" s="312">
        <f>IF(OR(C33=0,C34=0,C35=0),"",C34)</f>
        <v>7</v>
      </c>
      <c r="F281" s="350"/>
      <c r="G281" s="435"/>
      <c r="H281" s="311"/>
      <c r="I281" s="302"/>
      <c r="J281" s="302"/>
      <c r="K281" s="291"/>
      <c r="L281" s="291"/>
    </row>
    <row r="282" spans="1:12" ht="15.75" customHeight="1">
      <c r="A282" s="434"/>
      <c r="B282" s="435" t="s">
        <v>3337</v>
      </c>
      <c r="C282" s="435"/>
      <c r="D282" s="312"/>
      <c r="E282" s="312">
        <f>IF(OR(C33=0,C34=0,C35=0),"",C35)</f>
        <v>7</v>
      </c>
      <c r="F282" s="312"/>
      <c r="G282" s="435"/>
      <c r="H282" s="311"/>
      <c r="I282" s="302"/>
      <c r="J282" s="302"/>
      <c r="K282" s="291"/>
      <c r="L282" s="291"/>
    </row>
    <row r="283" spans="1:12" ht="15.75" customHeight="1">
      <c r="A283" s="352" t="s">
        <v>3338</v>
      </c>
      <c r="B283" s="339" t="s">
        <v>937</v>
      </c>
      <c r="C283" s="298" t="str">
        <f>IF(OR(C33=0,C34=0,C35=0,C45&lt;&gt;""),"",F203)</f>
        <v/>
      </c>
      <c r="D283" s="328"/>
      <c r="E283" s="285"/>
      <c r="F283" s="328"/>
      <c r="G283" s="298" t="str">
        <f>IF(OR(C33=0,C34=0,C35=0,C47&lt;&gt;""),"",F205)</f>
        <v/>
      </c>
      <c r="H283" s="311"/>
      <c r="I283" s="302"/>
      <c r="J283" s="302"/>
      <c r="K283" s="291"/>
      <c r="L283" s="291"/>
    </row>
    <row r="284" spans="1:12" ht="15.75" customHeight="1">
      <c r="A284" s="352"/>
      <c r="B284" s="339" t="s">
        <v>938</v>
      </c>
      <c r="C284" s="298" t="str">
        <f>IF(OR(C33=0,C34=0,C35=0,C46&lt;&gt;""),"",F204)</f>
        <v/>
      </c>
      <c r="D284" s="328"/>
      <c r="E284" s="285"/>
      <c r="F284" s="328"/>
      <c r="G284" s="298" t="str">
        <f>IF(OR(C33=0,C34=0,C35=0,C48&lt;&gt;""),"",F206)</f>
        <v/>
      </c>
      <c r="H284" s="311"/>
      <c r="I284" s="302"/>
      <c r="J284" s="302"/>
      <c r="K284" s="291"/>
      <c r="L284" s="291"/>
    </row>
    <row r="285" spans="1:12" ht="15.75" customHeight="1">
      <c r="A285" s="289" t="s">
        <v>12613</v>
      </c>
      <c r="B285" s="298" t="s">
        <v>3339</v>
      </c>
      <c r="C285" s="289">
        <f>IF(OR(C33=0,C34=0,C35=0),"",C200)</f>
        <v>-0.1</v>
      </c>
      <c r="D285" s="311" t="s">
        <v>2820</v>
      </c>
      <c r="E285" s="289"/>
      <c r="F285" s="298"/>
      <c r="G285" s="289">
        <f>IF(OR(C33=0,C34=0,C35=0),"",G200)</f>
        <v>-0.15</v>
      </c>
      <c r="H285" s="311" t="s">
        <v>2820</v>
      </c>
      <c r="I285" s="302"/>
      <c r="J285" s="302"/>
      <c r="K285" s="291"/>
      <c r="L285" s="291"/>
    </row>
    <row r="286" spans="1:12" ht="15.75" customHeight="1">
      <c r="A286" s="289" t="s">
        <v>12614</v>
      </c>
      <c r="B286" s="298" t="s">
        <v>3340</v>
      </c>
      <c r="C286" s="289">
        <f>IF(OR(C33=0,C34=0,C35=0),"",C201)</f>
        <v>-0.2</v>
      </c>
      <c r="D286" s="311" t="s">
        <v>2820</v>
      </c>
      <c r="E286" s="289"/>
      <c r="F286" s="298"/>
      <c r="G286" s="289">
        <f>IF(OR(C33=0,C34=0,C35=0),"",G201)</f>
        <v>-0.25</v>
      </c>
      <c r="H286" s="311" t="s">
        <v>2820</v>
      </c>
      <c r="I286" s="302"/>
      <c r="J286" s="302"/>
      <c r="K286" s="291"/>
      <c r="L286" s="291"/>
    </row>
    <row r="287" spans="1:12" ht="15.75" customHeight="1">
      <c r="A287" s="289" t="s">
        <v>12660</v>
      </c>
      <c r="B287" s="298" t="s">
        <v>3342</v>
      </c>
      <c r="C287" s="289">
        <f>IF(OR(C33=0,C34=0,C35=0),"",C202)</f>
        <v>0.1</v>
      </c>
      <c r="D287" s="311" t="s">
        <v>2820</v>
      </c>
      <c r="E287" s="289"/>
      <c r="F287" s="298"/>
      <c r="G287" s="289">
        <f>IF(OR(C33=0,C34=0,C35=0),"",G202)</f>
        <v>0.1</v>
      </c>
      <c r="H287" s="311" t="s">
        <v>2820</v>
      </c>
      <c r="I287" s="302"/>
      <c r="J287" s="302"/>
      <c r="K287" s="291"/>
      <c r="L287" s="291"/>
    </row>
    <row r="288" spans="1:12" ht="15.75" customHeight="1">
      <c r="A288" s="279" t="s">
        <v>12661</v>
      </c>
      <c r="B288" s="298" t="s">
        <v>3344</v>
      </c>
      <c r="C288" s="289"/>
      <c r="D288" s="311"/>
      <c r="E288" s="289">
        <f>IF(OR(C33=0,C34=0,C35=0),"",ABS(C285+G285))</f>
        <v>0.25</v>
      </c>
      <c r="F288" s="311" t="s">
        <v>2820</v>
      </c>
      <c r="G288" s="289"/>
      <c r="H288" s="311"/>
      <c r="I288" s="302"/>
      <c r="J288" s="302"/>
      <c r="K288" s="291"/>
      <c r="L288" s="291"/>
    </row>
    <row r="289" spans="1:12" ht="15.75" customHeight="1">
      <c r="A289" s="279" t="s">
        <v>12662</v>
      </c>
      <c r="B289" s="298" t="s">
        <v>3346</v>
      </c>
      <c r="C289" s="289"/>
      <c r="D289" s="311"/>
      <c r="E289" s="289">
        <f>IF(OR(C33=0,C34=0,C35=0),"",ABS(C286+G286))</f>
        <v>0.45</v>
      </c>
      <c r="F289" s="311" t="s">
        <v>2820</v>
      </c>
      <c r="G289" s="289"/>
      <c r="H289" s="311"/>
      <c r="I289" s="302"/>
      <c r="J289" s="302"/>
      <c r="K289" s="291"/>
      <c r="L289" s="291"/>
    </row>
    <row r="290" spans="1:12" ht="15.75" customHeight="1">
      <c r="A290" s="405" t="s">
        <v>4233</v>
      </c>
      <c r="B290" s="298"/>
      <c r="C290" s="289"/>
      <c r="D290" s="311"/>
      <c r="E290" s="289"/>
      <c r="F290" s="311"/>
      <c r="G290" s="289"/>
      <c r="H290" s="311"/>
      <c r="I290" s="302"/>
      <c r="J290" s="302"/>
      <c r="K290" s="291"/>
      <c r="L290" s="291"/>
    </row>
    <row r="291" spans="1:12" ht="15.75" customHeight="1">
      <c r="A291" s="323" t="s">
        <v>4234</v>
      </c>
      <c r="B291" s="298" t="s">
        <v>3257</v>
      </c>
      <c r="C291" s="289">
        <f>IF(OR(C33=0,C34=0,C35=0),"",C208)</f>
        <v>-0.106</v>
      </c>
      <c r="D291" s="311" t="s">
        <v>2820</v>
      </c>
      <c r="E291" s="289"/>
      <c r="F291" s="311"/>
      <c r="G291" s="289"/>
      <c r="H291" s="311"/>
      <c r="I291" s="302"/>
      <c r="J291" s="302"/>
      <c r="K291" s="291"/>
      <c r="L291" s="291"/>
    </row>
    <row r="292" spans="1:12" ht="15.75" customHeight="1">
      <c r="A292" s="382"/>
      <c r="B292" s="298" t="s">
        <v>3259</v>
      </c>
      <c r="C292" s="289">
        <f>IF(OR(C33=0,C34=0,C35=0),"",C209)</f>
        <v>-0.17599999999999999</v>
      </c>
      <c r="D292" s="311" t="s">
        <v>2820</v>
      </c>
      <c r="E292" s="289"/>
      <c r="F292" s="311"/>
      <c r="G292" s="289"/>
      <c r="H292" s="311"/>
      <c r="I292" s="302"/>
      <c r="J292" s="302"/>
      <c r="K292" s="291"/>
      <c r="L292" s="291"/>
    </row>
    <row r="293" spans="1:12" ht="15.75" customHeight="1">
      <c r="A293" s="382"/>
      <c r="B293" s="298" t="s">
        <v>3261</v>
      </c>
      <c r="C293" s="289">
        <f>IF(OR(C33=0,C34=0,C35=0),"",C210)</f>
        <v>7.0000000000000007E-2</v>
      </c>
      <c r="D293" s="311" t="s">
        <v>2820</v>
      </c>
      <c r="E293" s="289"/>
      <c r="F293" s="311"/>
      <c r="G293" s="289"/>
      <c r="H293" s="311"/>
      <c r="I293" s="302"/>
      <c r="J293" s="302"/>
      <c r="K293" s="291"/>
      <c r="L293" s="291"/>
    </row>
    <row r="294" spans="1:12" ht="15.75" customHeight="1">
      <c r="A294" s="405" t="s">
        <v>4236</v>
      </c>
      <c r="B294" s="773"/>
      <c r="C294" s="299"/>
      <c r="D294" s="294"/>
      <c r="E294" s="289"/>
      <c r="F294" s="311"/>
      <c r="G294" s="299"/>
      <c r="H294" s="294"/>
      <c r="I294" s="302"/>
      <c r="J294" s="302"/>
      <c r="K294" s="291"/>
      <c r="L294" s="291"/>
    </row>
    <row r="295" spans="1:12" ht="15.75" customHeight="1">
      <c r="A295" s="323" t="s">
        <v>4234</v>
      </c>
      <c r="B295" s="298" t="s">
        <v>3263</v>
      </c>
      <c r="C295" s="289">
        <f>IF(OR(C33=0,C34=0,C35=0),"",C212)</f>
        <v>-0.20899999999999999</v>
      </c>
      <c r="D295" s="311" t="s">
        <v>2820</v>
      </c>
      <c r="E295" s="289"/>
      <c r="F295" s="311"/>
      <c r="G295" s="289">
        <f>IF(OR(C33=0,C34=0,C35=0),"",G212)</f>
        <v>-0.20599999999999999</v>
      </c>
      <c r="H295" s="311" t="s">
        <v>2820</v>
      </c>
      <c r="I295" s="302"/>
      <c r="J295" s="302"/>
      <c r="K295" s="291"/>
      <c r="L295" s="291"/>
    </row>
    <row r="296" spans="1:12" ht="15.75" customHeight="1">
      <c r="A296" s="382"/>
      <c r="B296" s="298" t="s">
        <v>3265</v>
      </c>
      <c r="C296" s="289">
        <f>IF(OR(C33=0,C34=0,C35=0),"",C213)</f>
        <v>-0.34799999999999998</v>
      </c>
      <c r="D296" s="311" t="s">
        <v>2820</v>
      </c>
      <c r="E296" s="289"/>
      <c r="F296" s="311"/>
      <c r="G296" s="289">
        <f>IF(OR(C33=0,C34=0,C35=0),"",G213)</f>
        <v>-0.34300000000000003</v>
      </c>
      <c r="H296" s="311" t="s">
        <v>2820</v>
      </c>
      <c r="I296" s="302"/>
      <c r="J296" s="302"/>
      <c r="K296" s="291"/>
      <c r="L296" s="291"/>
    </row>
    <row r="297" spans="1:12" ht="15.75" customHeight="1">
      <c r="A297" s="382"/>
      <c r="B297" s="298" t="s">
        <v>3267</v>
      </c>
      <c r="C297" s="289">
        <f>IF(OR(C33=0,C34=0,C35=0),"",C214)</f>
        <v>0.13900000000000001</v>
      </c>
      <c r="D297" s="311" t="s">
        <v>2820</v>
      </c>
      <c r="E297" s="289"/>
      <c r="F297" s="311"/>
      <c r="G297" s="289">
        <f>IF(OR(C33=0,C34=0,C35=0),"",G214)</f>
        <v>0</v>
      </c>
      <c r="H297" s="311" t="s">
        <v>2820</v>
      </c>
      <c r="I297" s="302"/>
      <c r="J297" s="302"/>
      <c r="K297" s="291"/>
      <c r="L297" s="291"/>
    </row>
    <row r="298" spans="1:12" ht="15.75" customHeight="1">
      <c r="A298" s="289" t="s">
        <v>12612</v>
      </c>
      <c r="B298" s="298" t="s">
        <v>3347</v>
      </c>
      <c r="C298" s="289">
        <f>IF(OR(C33=0,C34=0,C35=0),"",C198/1000)</f>
        <v>7.6999999999999999E-2</v>
      </c>
      <c r="D298" s="311" t="s">
        <v>2820</v>
      </c>
      <c r="E298" s="289"/>
      <c r="F298" s="298"/>
      <c r="G298" s="289" t="e">
        <f>IF(OR(C33=0,C34=0,C35=0),"",G198/1000)</f>
        <v>#VALUE!</v>
      </c>
      <c r="H298" s="311" t="s">
        <v>2820</v>
      </c>
      <c r="I298" s="302"/>
      <c r="J298" s="302"/>
      <c r="K298" s="291"/>
      <c r="L298" s="291"/>
    </row>
    <row r="299" spans="1:12" ht="15.75" customHeight="1">
      <c r="A299" s="462" t="s">
        <v>3223</v>
      </c>
      <c r="B299" s="298" t="s">
        <v>3348</v>
      </c>
      <c r="C299" s="289">
        <f>IF(OR(C33=0,C34=0,C35=0),"",C199/1000)</f>
        <v>1.9E-2</v>
      </c>
      <c r="D299" s="311" t="s">
        <v>2820</v>
      </c>
      <c r="E299" s="289"/>
      <c r="F299" s="298"/>
      <c r="G299" s="289">
        <f>IF(OR(C33=0,C34=0,C35=0),"",G199/1000)</f>
        <v>6.3E-2</v>
      </c>
      <c r="H299" s="311" t="s">
        <v>2820</v>
      </c>
      <c r="I299" s="302"/>
      <c r="J299" s="302"/>
      <c r="K299" s="291"/>
      <c r="L299" s="291"/>
    </row>
    <row r="300" spans="1:12" ht="15.75" customHeight="1">
      <c r="A300" s="297" t="s">
        <v>12663</v>
      </c>
      <c r="B300" s="298" t="s">
        <v>3352</v>
      </c>
      <c r="C300" s="289">
        <f>IF(OR(C33=0,C34=0,C35=0),"",C132/1000)</f>
        <v>6.3E-2</v>
      </c>
      <c r="D300" s="311" t="s">
        <v>2820</v>
      </c>
      <c r="E300" s="478"/>
      <c r="F300" s="298"/>
      <c r="G300" s="289" t="e">
        <f>IF(OR(C33=0,C34=0,C35=0),"",G132/1000)</f>
        <v>#VALUE!</v>
      </c>
      <c r="H300" s="311" t="s">
        <v>2820</v>
      </c>
      <c r="I300" s="302"/>
      <c r="J300" s="302"/>
      <c r="K300" s="291"/>
      <c r="L300" s="291"/>
    </row>
    <row r="301" spans="1:12" ht="15.75" customHeight="1">
      <c r="A301" s="297" t="s">
        <v>12664</v>
      </c>
      <c r="B301" s="298" t="s">
        <v>3354</v>
      </c>
      <c r="C301" s="289">
        <f>IF(OR(C33=0,C34=0,C35=0),"",C154/1000)</f>
        <v>1.7999999999999999E-2</v>
      </c>
      <c r="D301" s="311" t="s">
        <v>2820</v>
      </c>
      <c r="E301" s="478"/>
      <c r="F301" s="298"/>
      <c r="G301" s="289">
        <f>IF(OR(C33=0,C34=0,C35=0),"",G154/1000)</f>
        <v>2.8000000000000001E-2</v>
      </c>
      <c r="H301" s="311" t="s">
        <v>2820</v>
      </c>
      <c r="I301" s="302"/>
      <c r="J301" s="302"/>
      <c r="K301" s="291"/>
      <c r="L301" s="291"/>
    </row>
    <row r="302" spans="1:12" ht="15.75" customHeight="1">
      <c r="A302" s="279" t="s">
        <v>12665</v>
      </c>
      <c r="B302" s="323" t="s">
        <v>12666</v>
      </c>
      <c r="C302" s="289">
        <f>IF(OR(C33=0,C34=0,C35=0),"",C166/1000)</f>
        <v>1.6E-2</v>
      </c>
      <c r="D302" s="311" t="s">
        <v>2820</v>
      </c>
      <c r="E302" s="478"/>
      <c r="F302" s="298"/>
      <c r="G302" s="289"/>
      <c r="H302" s="311"/>
      <c r="I302" s="302"/>
      <c r="J302" s="302"/>
      <c r="K302" s="291"/>
      <c r="L302" s="291"/>
    </row>
    <row r="303" spans="1:12" ht="15.75" customHeight="1">
      <c r="A303" s="279" t="s">
        <v>12667</v>
      </c>
      <c r="B303" s="298" t="s">
        <v>3356</v>
      </c>
      <c r="C303" s="289">
        <f>IF(OR(C33=0,C34=0,C35=0),"",C178/1000)</f>
        <v>1.4E-2</v>
      </c>
      <c r="D303" s="311" t="s">
        <v>2820</v>
      </c>
      <c r="E303" s="478"/>
      <c r="F303" s="298"/>
      <c r="G303" s="289">
        <f>IF(OR(C33=0,C34=0,C35=0),"",G178/1000)</f>
        <v>3.4000000000000002E-2</v>
      </c>
      <c r="H303" s="311" t="s">
        <v>2820</v>
      </c>
      <c r="I303" s="302"/>
      <c r="J303" s="302"/>
      <c r="K303" s="291"/>
      <c r="L303" s="291"/>
    </row>
    <row r="304" spans="1:12" ht="15.75" customHeight="1">
      <c r="A304" s="279" t="s">
        <v>12668</v>
      </c>
      <c r="B304" s="309" t="s">
        <v>4722</v>
      </c>
      <c r="C304" s="289"/>
      <c r="D304" s="311"/>
      <c r="E304" s="289">
        <f>IF(OR(C33=0,C34=0,C35=0),"",C190/1000)</f>
        <v>1.0999999999999999E-2</v>
      </c>
      <c r="F304" s="311" t="s">
        <v>2820</v>
      </c>
      <c r="G304" s="289"/>
      <c r="H304" s="311"/>
      <c r="I304" s="302"/>
      <c r="J304" s="302"/>
      <c r="K304" s="291"/>
      <c r="L304" s="291"/>
    </row>
    <row r="305" spans="1:12" ht="15.75">
      <c r="A305" s="312" t="s">
        <v>12611</v>
      </c>
      <c r="B305" s="311" t="s">
        <v>3212</v>
      </c>
      <c r="C305" s="289"/>
      <c r="D305" s="322"/>
      <c r="E305" s="774">
        <f>IF(OR(C33=0,C34=0,C35=0),"",C196/100)</f>
        <v>0.45</v>
      </c>
      <c r="F305" s="322"/>
      <c r="G305" s="477"/>
      <c r="H305" s="478"/>
      <c r="I305" s="302"/>
      <c r="J305" s="302"/>
      <c r="K305" s="291"/>
      <c r="L305" s="291"/>
    </row>
    <row r="306" spans="1:12" ht="15.75" customHeight="1">
      <c r="A306" s="312"/>
      <c r="B306" s="311" t="s">
        <v>3213</v>
      </c>
      <c r="C306" s="289"/>
      <c r="D306" s="322"/>
      <c r="E306" s="774">
        <f>IF(OR(C33=0,C34=0,C35=0),"",C197/100)</f>
        <v>0.6</v>
      </c>
      <c r="F306" s="322"/>
      <c r="G306" s="477"/>
      <c r="H306" s="478"/>
      <c r="I306" s="302"/>
      <c r="J306" s="302"/>
      <c r="K306" s="291"/>
      <c r="L306" s="291"/>
    </row>
    <row r="307" spans="1:12" ht="15.75" customHeight="1">
      <c r="A307" s="326" t="s">
        <v>3268</v>
      </c>
      <c r="B307" s="298" t="s">
        <v>3269</v>
      </c>
      <c r="C307" s="289"/>
      <c r="D307" s="322"/>
      <c r="E307" s="312">
        <f>IF(OR(C33=0,C34=0,C35=0),"",C215/1000)</f>
        <v>1.0999999999999999E-2</v>
      </c>
      <c r="F307" s="311" t="s">
        <v>2820</v>
      </c>
      <c r="G307" s="477"/>
      <c r="H307" s="478"/>
      <c r="I307" s="781"/>
      <c r="J307" s="302"/>
      <c r="K307" s="291"/>
      <c r="L307" s="291"/>
    </row>
    <row r="308" spans="1:12" ht="15.75" customHeight="1">
      <c r="A308" s="339" t="s">
        <v>3270</v>
      </c>
      <c r="B308" s="298" t="s">
        <v>3271</v>
      </c>
      <c r="C308" s="289"/>
      <c r="D308" s="322"/>
      <c r="E308" s="312">
        <f>IF(OR(C33=0,C34=0,C35=0),"",C216/1000)</f>
        <v>5.4999999999999997E-3</v>
      </c>
      <c r="F308" s="311" t="s">
        <v>2820</v>
      </c>
      <c r="G308" s="477"/>
      <c r="H308" s="478"/>
      <c r="I308" s="302"/>
      <c r="J308" s="302"/>
      <c r="K308" s="291"/>
      <c r="L308" s="291"/>
    </row>
    <row r="309" spans="1:12" ht="15.75" customHeight="1">
      <c r="A309" s="279" t="s">
        <v>12617</v>
      </c>
      <c r="B309" s="323" t="s">
        <v>12618</v>
      </c>
      <c r="C309" s="289"/>
      <c r="D309" s="322"/>
      <c r="E309" s="312">
        <f>IF(OR(C33=0,C34=0,C35=0),"",C217/1000)</f>
        <v>2.7E-2</v>
      </c>
      <c r="F309" s="311" t="s">
        <v>2820</v>
      </c>
      <c r="G309" s="477"/>
      <c r="H309" s="478"/>
      <c r="I309" s="302"/>
      <c r="J309" s="302"/>
      <c r="K309" s="291"/>
      <c r="L309" s="291"/>
    </row>
    <row r="310" spans="1:12">
      <c r="A310" s="350" t="s">
        <v>3275</v>
      </c>
      <c r="B310" s="289"/>
      <c r="C310" s="289"/>
      <c r="D310" s="311"/>
      <c r="E310" s="478"/>
      <c r="F310" s="478"/>
      <c r="G310" s="289"/>
      <c r="H310" s="311"/>
      <c r="I310" s="302"/>
      <c r="J310" s="302"/>
      <c r="K310" s="291"/>
      <c r="L310" s="291"/>
    </row>
    <row r="311" spans="1:12" ht="15.75" customHeight="1">
      <c r="A311" s="312" t="s">
        <v>3276</v>
      </c>
      <c r="B311" s="339"/>
      <c r="C311" s="289" t="str">
        <f>IF(OR(C33=0,C34=0,C35=0),"",C220)</f>
        <v>IT7</v>
      </c>
      <c r="D311" s="350" t="str">
        <f>IF(OR(C33=0,C34=0,C35=0),"","GB 1800—79")</f>
        <v>GB 1800—79</v>
      </c>
      <c r="E311" s="289"/>
      <c r="F311" s="350"/>
      <c r="G311" s="289"/>
      <c r="H311" s="311"/>
      <c r="I311" s="302"/>
      <c r="J311" s="302"/>
      <c r="K311" s="291"/>
      <c r="L311" s="291"/>
    </row>
    <row r="312" spans="1:12" ht="15.75" customHeight="1">
      <c r="A312" s="312" t="s">
        <v>3277</v>
      </c>
      <c r="B312" s="339"/>
      <c r="C312" s="289" t="str">
        <f>IF(OR(C33=0,C34=0,C35=0),"",C221)</f>
        <v>IT6</v>
      </c>
      <c r="D312" s="350" t="str">
        <f>IF(OR(C33=0,C34=0,C35=0),"","GB 1800—79")</f>
        <v>GB 1800—79</v>
      </c>
      <c r="E312" s="289"/>
      <c r="F312" s="350"/>
      <c r="G312" s="289"/>
      <c r="H312" s="311"/>
      <c r="I312" s="302"/>
      <c r="J312" s="302"/>
      <c r="K312" s="291"/>
      <c r="L312" s="291"/>
    </row>
    <row r="313" spans="1:12" ht="15.75" customHeight="1">
      <c r="A313" s="350" t="s">
        <v>12669</v>
      </c>
      <c r="B313" s="311"/>
      <c r="C313" s="289" t="str">
        <f>IF(OR(C33=0,C34=0,C35=0),"",C222)</f>
        <v>IT8</v>
      </c>
      <c r="D313" s="350" t="str">
        <f>IF(OR(C33=0,C34=0,C35=0),"","GB 1800—79")</f>
        <v>GB 1800—79</v>
      </c>
      <c r="E313" s="289"/>
      <c r="F313" s="350"/>
      <c r="G313" s="289"/>
      <c r="H313" s="311"/>
      <c r="I313" s="302"/>
      <c r="J313" s="302"/>
      <c r="K313" s="291"/>
      <c r="L313" s="291"/>
    </row>
    <row r="314" spans="1:12" ht="15.75" customHeight="1">
      <c r="A314" s="337" t="s">
        <v>12670</v>
      </c>
      <c r="B314" s="311"/>
      <c r="C314" s="775" t="str">
        <f>IF(OR(C33=0,C34=0,C35=0),"",E222)</f>
        <v>IT11， 但不大于</v>
      </c>
      <c r="D314" s="730">
        <f>IF(OR(C33=0,C34=0,C35=0),"",F222)</f>
        <v>0.5</v>
      </c>
      <c r="E314" s="335" t="str">
        <f>IF(OR(C33=0,C34=0,C35=0),"","毫米")</f>
        <v>毫米</v>
      </c>
      <c r="F314" s="275"/>
      <c r="G314" s="337"/>
      <c r="H314" s="335"/>
      <c r="I314" s="302"/>
      <c r="J314" s="302"/>
      <c r="K314" s="291"/>
      <c r="L314" s="291"/>
    </row>
    <row r="315" spans="1:12" ht="15.75" customHeight="1">
      <c r="A315" s="399" t="s">
        <v>12671</v>
      </c>
      <c r="B315" s="776">
        <f>IF(OR(C33=0,C34=0,C35=0),"",IF(OR(E280&lt;&gt;E281,E280&lt;&gt;E282),E280,""))</f>
        <v>8</v>
      </c>
      <c r="C315" s="777">
        <f>IF(OR(C33=0,C34=0,C35=0),"",IF(OR(E280&lt;&gt;E281,E280&lt;&gt;E282),-E281,""))</f>
        <v>-7</v>
      </c>
      <c r="D315" s="778">
        <f>IF(OR(C33=0,C34=0,C35=0),"",IF(OR(E280&lt;&gt;E281,E280&lt;&gt;E282),-E282,E282))</f>
        <v>-7</v>
      </c>
      <c r="E315" s="777">
        <f>IF(OR(C33=0,C34=0,C35=0),"",IF(C45&lt;&gt;"",C45,F203))</f>
        <v>-0.1</v>
      </c>
      <c r="F315" s="778" t="str">
        <f>IF(OR(C33=0,C34=0,C35=0,C46&lt;&gt;""),"",F204)</f>
        <v/>
      </c>
      <c r="G315" s="461" t="str">
        <f>IF(OR(C33=0,C34=0,C35=0),"","GB 10096—88")</f>
        <v>GB 10096—88</v>
      </c>
      <c r="H315" s="779"/>
      <c r="I315" s="782"/>
      <c r="J315" s="302"/>
      <c r="K315" s="291"/>
      <c r="L315" s="291"/>
    </row>
    <row r="316" spans="1:12" ht="15.75" customHeight="1">
      <c r="A316" s="399"/>
      <c r="B316" s="780"/>
      <c r="C316" s="435"/>
      <c r="D316" s="461"/>
      <c r="E316" s="435">
        <f>IF(OR(C33=0,C34=0,C35=0),"",IF(C46&lt;&gt;"",C46,""))</f>
        <v>-0.2</v>
      </c>
      <c r="F316" s="461"/>
      <c r="G316" s="461"/>
      <c r="H316" s="350"/>
      <c r="I316" s="782"/>
      <c r="J316" s="302"/>
      <c r="K316" s="291"/>
      <c r="L316" s="291"/>
    </row>
    <row r="317" spans="1:12" ht="15.75" customHeight="1">
      <c r="A317" s="279" t="s">
        <v>12672</v>
      </c>
      <c r="B317" s="780">
        <f>IF(OR(C33=0,C34=0,C35=0),"",IF(OR(E280&lt;&gt;E281,E280&lt;&gt;E282),E280,""))</f>
        <v>8</v>
      </c>
      <c r="C317" s="435">
        <f>IF(OR(C33=0,C34=0,C35=0),"",IF(OR(E280&lt;&gt;E281,E280&lt;&gt;E282),-E281,""))</f>
        <v>-7</v>
      </c>
      <c r="D317" s="461">
        <f>IF(OR(C33=0,C34=0,C35=0),"",IF(OR(E280&lt;&gt;E281,E280&lt;&gt;E282),-E282,E282))</f>
        <v>-7</v>
      </c>
      <c r="E317" s="435">
        <f>IF(OR(C33=0,C34=0,C35=0),"",IF(C47&lt;&gt;"",C47,F205))</f>
        <v>-0.15</v>
      </c>
      <c r="F317" s="461" t="str">
        <f>IF(OR(C33=0,C34=0,C35=0,C48&lt;&gt;""),"",F206)</f>
        <v/>
      </c>
      <c r="G317" s="461" t="str">
        <f>IF(OR(C33=0,C34=0,C35=0),"","GB 10096—88")</f>
        <v>GB 10096—88</v>
      </c>
      <c r="H317" s="350"/>
      <c r="I317" s="782"/>
      <c r="J317" s="302"/>
      <c r="K317" s="291"/>
      <c r="L317" s="291"/>
    </row>
    <row r="318" spans="1:12" ht="15.75" customHeight="1">
      <c r="A318" s="279"/>
      <c r="B318" s="780"/>
      <c r="C318" s="435"/>
      <c r="D318" s="461"/>
      <c r="E318" s="435">
        <f>IF(OR(C33=0,C34=0,C35=0),"",IF(C48&lt;&gt;"",C48,""))</f>
        <v>-0.25</v>
      </c>
      <c r="F318" s="461"/>
      <c r="G318" s="461"/>
      <c r="H318" s="350"/>
      <c r="I318" s="782"/>
      <c r="J318" s="302"/>
      <c r="K318" s="291"/>
      <c r="L318" s="291"/>
    </row>
    <row r="319" spans="1:12" ht="15.75" customHeight="1">
      <c r="A319" s="401"/>
      <c r="B319" s="278"/>
      <c r="C319" s="275"/>
      <c r="D319" s="730"/>
      <c r="E319" s="275" t="str">
        <f>IF(OR(C33=0,C34=0,C35=0),"",IF(C45&lt;&gt;"","注：齿厚上、下偏差两边加括号",""))</f>
        <v>注：齿厚上、下偏差两边加括号</v>
      </c>
      <c r="F319" s="730"/>
      <c r="G319" s="275"/>
      <c r="H319" s="335"/>
      <c r="I319" s="302"/>
      <c r="J319" s="302"/>
      <c r="K319" s="485"/>
      <c r="L319" s="291"/>
    </row>
    <row r="320" spans="1:12" ht="15.75" customHeight="1">
      <c r="A320" s="288" t="s">
        <v>12673</v>
      </c>
      <c r="B320" s="311"/>
      <c r="C320" s="289"/>
      <c r="D320" s="311"/>
      <c r="E320" s="493"/>
      <c r="F320" s="478"/>
      <c r="G320" s="289"/>
      <c r="H320" s="311"/>
      <c r="I320" s="302"/>
      <c r="J320" s="302"/>
      <c r="K320" s="291"/>
      <c r="L320" s="291"/>
    </row>
    <row r="321" ht="15.75" customHeight="1"/>
    <row r="322" ht="15.75" customHeight="1"/>
    <row r="323" ht="15.75" customHeight="1"/>
    <row r="324" ht="15.75" customHeight="1"/>
    <row r="327" ht="15" customHeight="1"/>
    <row r="332" ht="15.75" customHeight="1"/>
    <row r="333" ht="15.75" customHeight="1"/>
    <row r="334" ht="15.75" customHeight="1"/>
    <row r="342" ht="15" customHeight="1"/>
    <row r="345" ht="15.75" customHeight="1"/>
    <row r="346" ht="15.75" customHeight="1"/>
    <row r="347" ht="15.75" customHeight="1"/>
    <row r="348" ht="15.75" customHeight="1"/>
    <row r="349" ht="15.75" customHeight="1"/>
    <row r="350" ht="15.75" customHeight="1"/>
    <row r="351" ht="15.75" customHeight="1"/>
  </sheetData>
  <phoneticPr fontId="214" type="noConversion"/>
  <pageMargins left="0.75" right="0.75" top="1" bottom="1" header="0.5" footer="0.5"/>
  <headerFooter alignWithMargins="0"/>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24"/>
  <dimension ref="A1:L62"/>
  <sheetViews>
    <sheetView workbookViewId="0">
      <selection sqref="A1:L1"/>
    </sheetView>
  </sheetViews>
  <sheetFormatPr defaultColWidth="8" defaultRowHeight="14.25"/>
  <cols>
    <col min="1" max="1" width="8" style="1495"/>
    <col min="2" max="2" width="4.75" style="1495" customWidth="1"/>
    <col min="3" max="3" width="28.5" style="1495" customWidth="1"/>
    <col min="4" max="4" width="4" style="1495" customWidth="1"/>
    <col min="5" max="5" width="9" style="1495" customWidth="1"/>
    <col min="6" max="6" width="10.75" style="1495" customWidth="1"/>
    <col min="7" max="7" width="2.75" style="1495" hidden="1" customWidth="1"/>
    <col min="8" max="16384" width="8" style="1495"/>
  </cols>
  <sheetData>
    <row r="1" spans="1:12" ht="45" customHeight="1">
      <c r="A1" s="5778" t="s">
        <v>12674</v>
      </c>
      <c r="B1" s="5778"/>
      <c r="C1" s="5778"/>
      <c r="D1" s="5778"/>
      <c r="E1" s="5778"/>
      <c r="F1" s="5778"/>
      <c r="G1" s="5778"/>
      <c r="H1" s="5778"/>
      <c r="I1" s="5778"/>
      <c r="J1" s="5778"/>
      <c r="K1" s="5778"/>
      <c r="L1" s="5778"/>
    </row>
    <row r="2" spans="1:12" ht="25.15" customHeight="1">
      <c r="A2" s="1638"/>
      <c r="B2" s="1638"/>
      <c r="C2" s="1638"/>
      <c r="D2" s="1638"/>
      <c r="E2" s="1638"/>
      <c r="F2" s="1638"/>
      <c r="G2" s="1638"/>
      <c r="H2" s="1638"/>
      <c r="I2" s="1638"/>
      <c r="J2" s="1638"/>
      <c r="K2" s="1638"/>
      <c r="L2" s="1638"/>
    </row>
    <row r="3" spans="1:12">
      <c r="A3" s="5779" t="s">
        <v>12675</v>
      </c>
      <c r="C3" s="1639" t="s">
        <v>12676</v>
      </c>
      <c r="D3" s="4263" t="s">
        <v>1968</v>
      </c>
      <c r="E3" s="1641">
        <v>60</v>
      </c>
      <c r="F3" s="1495" t="s">
        <v>257</v>
      </c>
    </row>
    <row r="4" spans="1:12">
      <c r="A4" s="5779"/>
      <c r="C4" s="1639" t="s">
        <v>12677</v>
      </c>
      <c r="D4" s="1642"/>
      <c r="E4" s="1641">
        <v>90</v>
      </c>
      <c r="F4" s="1495" t="s">
        <v>257</v>
      </c>
      <c r="H4" s="1643" t="s">
        <v>12678</v>
      </c>
    </row>
    <row r="5" spans="1:12">
      <c r="A5" s="5779"/>
      <c r="C5" s="1639" t="s">
        <v>12679</v>
      </c>
      <c r="D5" s="4264" t="s">
        <v>1968</v>
      </c>
      <c r="E5" s="1644">
        <v>0.3</v>
      </c>
      <c r="F5" s="1495" t="s">
        <v>408</v>
      </c>
      <c r="H5" s="1643" t="s">
        <v>12680</v>
      </c>
    </row>
    <row r="6" spans="1:12">
      <c r="A6" s="5779"/>
      <c r="C6" s="1639" t="s">
        <v>12681</v>
      </c>
      <c r="D6" s="4264" t="s">
        <v>1968</v>
      </c>
      <c r="E6" s="1644">
        <v>0.3</v>
      </c>
      <c r="F6" s="1495" t="s">
        <v>408</v>
      </c>
    </row>
    <row r="7" spans="1:12">
      <c r="A7" s="5779"/>
      <c r="C7" s="1639" t="s">
        <v>12682</v>
      </c>
      <c r="D7" s="4263" t="s">
        <v>1968</v>
      </c>
      <c r="E7" s="1641">
        <v>0.25</v>
      </c>
      <c r="F7" s="1558" t="s">
        <v>12683</v>
      </c>
      <c r="H7" s="1643" t="s">
        <v>12684</v>
      </c>
    </row>
    <row r="8" spans="1:12">
      <c r="A8" s="5779"/>
      <c r="C8" s="1645" t="s">
        <v>12685</v>
      </c>
      <c r="D8" s="4263" t="s">
        <v>1968</v>
      </c>
      <c r="E8" s="1641">
        <v>1</v>
      </c>
      <c r="F8" s="1495" t="s">
        <v>12683</v>
      </c>
      <c r="H8" s="1643" t="s">
        <v>12684</v>
      </c>
      <c r="L8" s="1517"/>
    </row>
    <row r="9" spans="1:12">
      <c r="A9" s="5779"/>
      <c r="C9" s="1639" t="s">
        <v>12686</v>
      </c>
      <c r="D9" s="1640"/>
      <c r="E9" s="1641">
        <v>0.25</v>
      </c>
      <c r="F9" s="1558" t="s">
        <v>12683</v>
      </c>
      <c r="H9" s="1643" t="s">
        <v>12684</v>
      </c>
    </row>
    <row r="10" spans="1:12">
      <c r="A10" s="5779"/>
      <c r="C10" s="1645" t="s">
        <v>12687</v>
      </c>
      <c r="D10" s="4263" t="s">
        <v>1968</v>
      </c>
      <c r="E10" s="1641">
        <v>1</v>
      </c>
      <c r="F10" s="1495" t="s">
        <v>12683</v>
      </c>
      <c r="H10" s="1643" t="s">
        <v>12684</v>
      </c>
      <c r="L10" s="1517"/>
    </row>
    <row r="11" spans="1:12">
      <c r="A11" s="5779"/>
      <c r="C11" s="1645" t="s">
        <v>12688</v>
      </c>
      <c r="D11" s="4263" t="s">
        <v>1968</v>
      </c>
      <c r="E11" s="1641">
        <v>60</v>
      </c>
      <c r="F11" s="1495" t="s">
        <v>227</v>
      </c>
    </row>
    <row r="12" spans="1:12">
      <c r="A12" s="5779"/>
      <c r="C12" s="1639" t="s">
        <v>12689</v>
      </c>
      <c r="D12" s="4263" t="s">
        <v>1968</v>
      </c>
      <c r="E12" s="1641">
        <v>0.5</v>
      </c>
      <c r="F12" s="1495" t="s">
        <v>12690</v>
      </c>
      <c r="I12" s="1494"/>
    </row>
    <row r="13" spans="1:12">
      <c r="A13" s="5779"/>
      <c r="B13" s="5780" t="s">
        <v>12691</v>
      </c>
      <c r="C13" s="1639" t="s">
        <v>12692</v>
      </c>
      <c r="D13" s="1642"/>
      <c r="E13" s="1641">
        <v>0.04</v>
      </c>
      <c r="F13" s="1495" t="s">
        <v>408</v>
      </c>
    </row>
    <row r="14" spans="1:12">
      <c r="A14" s="5779"/>
      <c r="B14" s="5780"/>
      <c r="C14" s="1639" t="s">
        <v>12693</v>
      </c>
      <c r="D14" s="1642"/>
      <c r="E14" s="1641">
        <v>0.02</v>
      </c>
      <c r="F14" s="1495" t="s">
        <v>408</v>
      </c>
    </row>
    <row r="15" spans="1:12">
      <c r="A15" s="5779"/>
      <c r="B15" s="5780"/>
      <c r="C15" s="1639" t="s">
        <v>12694</v>
      </c>
      <c r="D15" s="1642"/>
      <c r="E15" s="1641">
        <v>0.3</v>
      </c>
      <c r="F15" s="1495" t="s">
        <v>408</v>
      </c>
    </row>
    <row r="16" spans="1:12">
      <c r="A16" s="5779"/>
      <c r="B16" s="5780"/>
      <c r="C16" s="1639" t="s">
        <v>12695</v>
      </c>
      <c r="D16" s="4264" t="s">
        <v>1968</v>
      </c>
      <c r="E16" s="1646">
        <f>SUM($E$13*$E$14*$E$15)*7.8*1000</f>
        <v>1.8720000000000001</v>
      </c>
      <c r="F16" s="1495" t="s">
        <v>12690</v>
      </c>
    </row>
    <row r="17" spans="1:10">
      <c r="A17" s="5779"/>
      <c r="C17" s="1536" t="s">
        <v>12696</v>
      </c>
      <c r="D17" s="1547"/>
      <c r="E17" s="1647">
        <f>360/$E$3</f>
        <v>6</v>
      </c>
      <c r="F17" s="1517" t="s">
        <v>253</v>
      </c>
      <c r="G17" s="1507"/>
      <c r="H17" s="1648" t="s">
        <v>12697</v>
      </c>
    </row>
    <row r="18" spans="1:10">
      <c r="A18" s="5779"/>
      <c r="C18" s="1649" t="s">
        <v>12698</v>
      </c>
      <c r="H18" s="1495" t="s">
        <v>3205</v>
      </c>
    </row>
    <row r="19" spans="1:10">
      <c r="A19" s="5779"/>
      <c r="C19" s="1650" t="s">
        <v>12699</v>
      </c>
      <c r="H19" s="1507"/>
    </row>
    <row r="20" spans="1:10">
      <c r="A20" s="5779"/>
      <c r="C20" s="1586" t="s">
        <v>12700</v>
      </c>
      <c r="D20" s="4265" t="s">
        <v>1968</v>
      </c>
      <c r="E20" s="1651">
        <v>1.76</v>
      </c>
      <c r="G20" s="1494"/>
    </row>
    <row r="21" spans="1:10">
      <c r="A21" s="5779"/>
      <c r="C21" s="1586" t="s">
        <v>12701</v>
      </c>
      <c r="D21" s="4265" t="s">
        <v>1968</v>
      </c>
      <c r="E21" s="1641">
        <v>5.53</v>
      </c>
      <c r="J21" s="1495" t="s">
        <v>3205</v>
      </c>
    </row>
    <row r="22" spans="1:10">
      <c r="A22" s="5779"/>
      <c r="C22" s="1586" t="s">
        <v>12702</v>
      </c>
      <c r="D22" s="4265" t="s">
        <v>1968</v>
      </c>
      <c r="E22" s="1652">
        <v>0.99</v>
      </c>
    </row>
    <row r="23" spans="1:10">
      <c r="C23" s="1495" t="s">
        <v>3205</v>
      </c>
      <c r="E23" s="1495" t="s">
        <v>3205</v>
      </c>
    </row>
    <row r="24" spans="1:10">
      <c r="C24" s="1653" t="s">
        <v>12703</v>
      </c>
      <c r="E24" s="1495" t="s">
        <v>3205</v>
      </c>
    </row>
    <row r="25" spans="1:10">
      <c r="C25" s="1564" t="s">
        <v>12704</v>
      </c>
      <c r="D25" s="1520" t="s">
        <v>1968</v>
      </c>
      <c r="E25" s="1654" t="s">
        <v>12705</v>
      </c>
      <c r="F25" s="1494"/>
      <c r="G25" s="1495" t="s">
        <v>3205</v>
      </c>
    </row>
    <row r="26" spans="1:10">
      <c r="D26" s="4265" t="s">
        <v>1968</v>
      </c>
      <c r="E26" s="1655">
        <f>((4*($E$12))*(((($E$17)*($E$5))/(2*3.14159))^2))</f>
        <v>0.16414059478772799</v>
      </c>
      <c r="F26" s="1495" t="s">
        <v>12706</v>
      </c>
    </row>
    <row r="27" spans="1:10">
      <c r="D27" s="1520" t="s">
        <v>3205</v>
      </c>
      <c r="E27" s="1564" t="s">
        <v>3205</v>
      </c>
    </row>
    <row r="28" spans="1:10">
      <c r="C28" s="1564" t="s">
        <v>12707</v>
      </c>
      <c r="D28" s="4265" t="s">
        <v>1968</v>
      </c>
      <c r="E28" s="1564" t="s">
        <v>12708</v>
      </c>
    </row>
    <row r="29" spans="1:10">
      <c r="D29" s="4265" t="s">
        <v>1968</v>
      </c>
      <c r="E29" s="1656">
        <f>(2*(((($E$6^2)+($E$14^2))/3)+($E$5^2)))</f>
        <v>0.24026666666666699</v>
      </c>
      <c r="F29" s="1495" t="s">
        <v>1075</v>
      </c>
    </row>
    <row r="31" spans="1:10">
      <c r="C31" s="1657" t="s">
        <v>12709</v>
      </c>
      <c r="D31" s="1520" t="s">
        <v>3205</v>
      </c>
      <c r="E31" s="1564" t="s">
        <v>3205</v>
      </c>
    </row>
    <row r="32" spans="1:10">
      <c r="C32" s="1564" t="s">
        <v>12710</v>
      </c>
      <c r="D32" s="1520" t="s">
        <v>1968</v>
      </c>
      <c r="E32" s="1564" t="s">
        <v>12711</v>
      </c>
    </row>
    <row r="33" spans="3:6">
      <c r="E33" s="1656">
        <f>(0.585*$E$21*(($E$12*$E$17*$E$5^2*$E$11^2)/$E$4^2))</f>
        <v>0.388206</v>
      </c>
      <c r="F33" s="1495" t="s">
        <v>12712</v>
      </c>
    </row>
    <row r="35" spans="3:6">
      <c r="C35" s="1658" t="s">
        <v>12713</v>
      </c>
      <c r="D35" s="4265" t="s">
        <v>1968</v>
      </c>
      <c r="E35" s="1564" t="s">
        <v>12714</v>
      </c>
    </row>
    <row r="36" spans="3:6">
      <c r="D36" s="4265" t="s">
        <v>1968</v>
      </c>
      <c r="E36" s="1656">
        <f>(5.77*$E$21*(($E$29*$E$11^2)/($E$17*$E$4^2)))</f>
        <v>0.56788539456790099</v>
      </c>
      <c r="F36" s="1495" t="s">
        <v>12712</v>
      </c>
    </row>
    <row r="38" spans="3:6">
      <c r="C38" s="1659" t="s">
        <v>12715</v>
      </c>
      <c r="D38" s="1520" t="s">
        <v>1968</v>
      </c>
      <c r="E38" s="1564" t="s">
        <v>12716</v>
      </c>
    </row>
    <row r="39" spans="3:6">
      <c r="D39" s="1520" t="s">
        <v>1968</v>
      </c>
      <c r="E39" s="1656">
        <f>($E$33+$E$36)</f>
        <v>0.95609139456790104</v>
      </c>
      <c r="F39" s="1495" t="s">
        <v>12712</v>
      </c>
    </row>
    <row r="41" spans="3:6">
      <c r="C41" s="1657" t="s">
        <v>12717</v>
      </c>
    </row>
    <row r="42" spans="3:6">
      <c r="C42" s="1566" t="s">
        <v>12718</v>
      </c>
      <c r="D42" s="1520" t="s">
        <v>3205</v>
      </c>
      <c r="E42" s="1495" t="s">
        <v>3205</v>
      </c>
    </row>
    <row r="43" spans="3:6">
      <c r="C43" s="1660" t="s">
        <v>10211</v>
      </c>
      <c r="D43" s="1520" t="s">
        <v>1968</v>
      </c>
      <c r="E43" s="1564" t="s">
        <v>12719</v>
      </c>
    </row>
    <row r="44" spans="3:6">
      <c r="C44" s="1660"/>
      <c r="D44" s="1520" t="s">
        <v>1968</v>
      </c>
      <c r="E44" s="1656">
        <f>($E$12*0.05*$E$17*$E$5)/(2*3.14159)</f>
        <v>7.16197848859972E-3</v>
      </c>
    </row>
    <row r="45" spans="3:6">
      <c r="C45" s="1660"/>
      <c r="D45" s="1520"/>
      <c r="E45" s="1564"/>
    </row>
    <row r="46" spans="3:6">
      <c r="C46" s="1657" t="s">
        <v>12720</v>
      </c>
      <c r="D46" s="4265" t="s">
        <v>1968</v>
      </c>
      <c r="E46" s="1564" t="s">
        <v>12721</v>
      </c>
    </row>
    <row r="47" spans="3:6">
      <c r="D47" s="4265" t="s">
        <v>1968</v>
      </c>
      <c r="E47" s="1661">
        <f>$E$39+$E$44</f>
        <v>0.96325337305650105</v>
      </c>
      <c r="F47" s="1495" t="s">
        <v>12722</v>
      </c>
    </row>
    <row r="49" spans="3:8">
      <c r="C49" s="1653" t="s">
        <v>12723</v>
      </c>
      <c r="D49" s="4265" t="s">
        <v>1968</v>
      </c>
      <c r="E49" s="1564" t="s">
        <v>12724</v>
      </c>
    </row>
    <row r="50" spans="3:8">
      <c r="C50" s="1566" t="s">
        <v>12725</v>
      </c>
      <c r="D50" s="4265" t="s">
        <v>1968</v>
      </c>
      <c r="E50" s="1662">
        <f>$E$47*1.5</f>
        <v>1.44488005958475</v>
      </c>
      <c r="F50" s="1495" t="s">
        <v>12726</v>
      </c>
    </row>
    <row r="52" spans="3:8">
      <c r="C52" s="1663" t="s">
        <v>12727</v>
      </c>
      <c r="D52" s="1664"/>
      <c r="E52" s="1664"/>
      <c r="F52" s="1664"/>
      <c r="G52" s="1664"/>
      <c r="H52" s="1665"/>
    </row>
    <row r="53" spans="3:8">
      <c r="C53" s="1666" t="s">
        <v>12728</v>
      </c>
      <c r="D53" s="4265" t="s">
        <v>1968</v>
      </c>
      <c r="E53" s="1564" t="s">
        <v>12729</v>
      </c>
    </row>
    <row r="54" spans="3:8">
      <c r="D54" s="4265" t="s">
        <v>1968</v>
      </c>
      <c r="E54" s="1667">
        <f>(360/($E$4*$E$17))*$E$22*($E$50+0)</f>
        <v>0.953620839325936</v>
      </c>
      <c r="F54" s="1495" t="s">
        <v>12730</v>
      </c>
    </row>
    <row r="56" spans="3:8">
      <c r="C56" s="1653" t="s">
        <v>12731</v>
      </c>
      <c r="D56" s="4265" t="s">
        <v>1968</v>
      </c>
      <c r="E56" s="1564" t="s">
        <v>12732</v>
      </c>
    </row>
    <row r="57" spans="3:8">
      <c r="C57" s="1566" t="s">
        <v>12733</v>
      </c>
      <c r="D57" s="4265" t="s">
        <v>1968</v>
      </c>
      <c r="E57" s="1656">
        <f>($E$54*$E$11)/(716*0.6)</f>
        <v>0.13318726806228201</v>
      </c>
      <c r="F57" s="1495" t="s">
        <v>12734</v>
      </c>
    </row>
    <row r="59" spans="3:8">
      <c r="C59" s="1495" t="s">
        <v>12735</v>
      </c>
      <c r="D59" s="4265" t="s">
        <v>1968</v>
      </c>
      <c r="E59" s="1564" t="s">
        <v>12736</v>
      </c>
    </row>
    <row r="60" spans="3:8">
      <c r="D60" s="4265" t="s">
        <v>1968</v>
      </c>
      <c r="E60" s="1656">
        <f>($E$54*$E$11)/(975*0.6)</f>
        <v>9.7807265571890803E-2</v>
      </c>
      <c r="F60" s="1495" t="s">
        <v>12737</v>
      </c>
    </row>
    <row r="62" spans="3:8" ht="20.25">
      <c r="C62" s="1668" t="s">
        <v>12738</v>
      </c>
    </row>
  </sheetData>
  <mergeCells count="3">
    <mergeCell ref="A1:L1"/>
    <mergeCell ref="A3:A22"/>
    <mergeCell ref="B13:B16"/>
  </mergeCells>
  <phoneticPr fontId="214" type="noConversion"/>
  <dataValidations count="1">
    <dataValidation type="whole" errorStyle="warning" allowBlank="1" showInputMessage="1" showErrorMessage="1" errorTitle="輸入分割等份" error="請輸入0到999之間的整數" sqref="E5:E6" xr:uid="{00000000-0002-0000-7B00-000000000000}">
      <formula1>1</formula1>
      <formula2>999</formula2>
    </dataValidation>
  </dataValidations>
  <pageMargins left="0.75" right="0.75" top="1" bottom="1" header="0.5" footer="0.5"/>
  <pageSetup paperSize="9" scale="75" orientation="portrait"/>
  <headerFooter scaleWithDoc="0" alignWithMargins="0"/>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25"/>
  <dimension ref="A1:Q79"/>
  <sheetViews>
    <sheetView zoomScale="85" zoomScaleNormal="85" workbookViewId="0">
      <selection sqref="A1:N1"/>
    </sheetView>
  </sheetViews>
  <sheetFormatPr defaultColWidth="8" defaultRowHeight="14.25"/>
  <cols>
    <col min="1" max="1" width="8" style="1495"/>
    <col min="2" max="2" width="26" style="1495" customWidth="1"/>
    <col min="3" max="3" width="4.75" style="1495" customWidth="1"/>
    <col min="4" max="4" width="7.75" style="1495" customWidth="1"/>
    <col min="5" max="5" width="9.75" style="1495" customWidth="1"/>
    <col min="6" max="6" width="12.75" style="1495"/>
    <col min="7" max="7" width="10.25" style="1495" customWidth="1"/>
    <col min="8" max="8" width="12.75" style="1495"/>
    <col min="9" max="9" width="8.25" style="1495" customWidth="1"/>
    <col min="10" max="10" width="9.625" style="1495" customWidth="1"/>
    <col min="11" max="13" width="8" style="1495"/>
    <col min="14" max="14" width="5.25" style="1495" customWidth="1"/>
    <col min="15" max="15" width="23.125" style="1495" customWidth="1"/>
    <col min="16" max="16" width="11.625" style="1495" customWidth="1"/>
    <col min="17" max="16384" width="8" style="1495"/>
  </cols>
  <sheetData>
    <row r="1" spans="1:17" ht="63" customHeight="1">
      <c r="A1" s="5781" t="s">
        <v>12739</v>
      </c>
      <c r="B1" s="5781"/>
      <c r="C1" s="5781"/>
      <c r="D1" s="5781"/>
      <c r="E1" s="5781"/>
      <c r="F1" s="5781"/>
      <c r="G1" s="5781"/>
      <c r="H1" s="5781"/>
      <c r="I1" s="5781"/>
      <c r="J1" s="5781"/>
      <c r="K1" s="5781"/>
      <c r="L1" s="5781"/>
      <c r="M1" s="5781"/>
      <c r="N1" s="5781"/>
    </row>
    <row r="2" spans="1:17" s="1567" customFormat="1" ht="28.15" customHeight="1">
      <c r="A2" s="5782" t="s">
        <v>12740</v>
      </c>
      <c r="B2" s="5783"/>
      <c r="C2" s="5783"/>
      <c r="D2" s="5783"/>
      <c r="E2" s="5783"/>
      <c r="F2" s="5783"/>
      <c r="G2" s="5783"/>
      <c r="H2" s="5783"/>
      <c r="I2" s="5783"/>
      <c r="J2" s="5783"/>
      <c r="K2" s="5783"/>
      <c r="L2" s="5783"/>
      <c r="M2" s="5783"/>
      <c r="N2" s="5784"/>
    </row>
    <row r="3" spans="1:17" s="1568" customFormat="1" ht="23.45" customHeight="1">
      <c r="A3" s="1572"/>
      <c r="B3" s="1572" t="s">
        <v>12741</v>
      </c>
      <c r="C3" s="1573" t="s">
        <v>1932</v>
      </c>
      <c r="D3" s="1572"/>
      <c r="E3" s="1572" t="s">
        <v>212</v>
      </c>
      <c r="F3" s="1572" t="s">
        <v>213</v>
      </c>
      <c r="G3" s="1574"/>
      <c r="H3" s="1574"/>
      <c r="I3" s="1574"/>
      <c r="J3" s="1574"/>
      <c r="K3" s="1574"/>
    </row>
    <row r="4" spans="1:17" s="1568" customFormat="1" ht="18.600000000000001" customHeight="1">
      <c r="A4" s="5785" t="s">
        <v>12675</v>
      </c>
      <c r="B4" s="1575" t="s">
        <v>12742</v>
      </c>
      <c r="C4" s="1576" t="s">
        <v>464</v>
      </c>
      <c r="D4" s="4266" t="s">
        <v>1968</v>
      </c>
      <c r="E4" s="1577">
        <v>6</v>
      </c>
      <c r="F4" s="1578"/>
      <c r="G4" s="1574"/>
      <c r="H4" s="1574"/>
      <c r="I4" s="1574"/>
      <c r="J4" s="1574"/>
      <c r="K4" s="1574"/>
      <c r="N4" s="5787" t="s">
        <v>12743</v>
      </c>
      <c r="O4" s="1298" t="s">
        <v>12744</v>
      </c>
      <c r="P4" s="1299">
        <f>G71</f>
        <v>12.013620581758801</v>
      </c>
      <c r="Q4" s="1277" t="s">
        <v>12745</v>
      </c>
    </row>
    <row r="5" spans="1:17" ht="15.6" customHeight="1">
      <c r="A5" s="5786"/>
      <c r="B5" s="1579" t="s">
        <v>12746</v>
      </c>
      <c r="C5" s="1580" t="s">
        <v>761</v>
      </c>
      <c r="D5" s="4267" t="s">
        <v>1968</v>
      </c>
      <c r="E5" s="1581">
        <v>20</v>
      </c>
      <c r="F5" s="1582" t="s">
        <v>309</v>
      </c>
      <c r="G5" s="1583" t="s">
        <v>12747</v>
      </c>
      <c r="N5" s="5787"/>
      <c r="O5" s="1286"/>
      <c r="P5" s="1278"/>
      <c r="Q5" s="1278"/>
    </row>
    <row r="6" spans="1:17">
      <c r="A6" s="5786"/>
      <c r="B6" s="1584" t="s">
        <v>12748</v>
      </c>
      <c r="C6" s="1585" t="s">
        <v>12749</v>
      </c>
      <c r="D6" s="4268" t="s">
        <v>1968</v>
      </c>
      <c r="E6" s="1581">
        <v>5</v>
      </c>
      <c r="F6" s="1582" t="s">
        <v>1075</v>
      </c>
      <c r="G6" s="1583" t="s">
        <v>12747</v>
      </c>
      <c r="N6" s="5787"/>
      <c r="O6" s="1254" t="s">
        <v>12750</v>
      </c>
      <c r="P6" s="1300">
        <f>H77</f>
        <v>0.33884570871627501</v>
      </c>
      <c r="Q6" s="1277" t="s">
        <v>5779</v>
      </c>
    </row>
    <row r="7" spans="1:17">
      <c r="A7" s="5786"/>
      <c r="B7" s="1579" t="s">
        <v>12751</v>
      </c>
      <c r="C7" s="1580" t="s">
        <v>756</v>
      </c>
      <c r="D7" s="4267" t="s">
        <v>1968</v>
      </c>
      <c r="E7" s="1581">
        <v>20</v>
      </c>
      <c r="F7" s="1582" t="s">
        <v>309</v>
      </c>
      <c r="G7" s="1583" t="s">
        <v>12747</v>
      </c>
      <c r="N7" s="5787"/>
      <c r="O7" s="1252"/>
      <c r="P7" s="1252"/>
      <c r="Q7" s="1252"/>
    </row>
    <row r="8" spans="1:17">
      <c r="A8" s="5786"/>
      <c r="B8" s="1584" t="s">
        <v>12752</v>
      </c>
      <c r="C8" s="1585" t="s">
        <v>12753</v>
      </c>
      <c r="D8" s="4268" t="s">
        <v>1968</v>
      </c>
      <c r="E8" s="1581">
        <v>5</v>
      </c>
      <c r="F8" s="1582" t="s">
        <v>1075</v>
      </c>
      <c r="G8" s="1583" t="s">
        <v>12747</v>
      </c>
      <c r="N8" s="5787"/>
      <c r="O8" s="1254" t="s">
        <v>12754</v>
      </c>
      <c r="P8" s="1299">
        <f>G62</f>
        <v>271.78480000000002</v>
      </c>
      <c r="Q8" s="1277" t="s">
        <v>298</v>
      </c>
    </row>
    <row r="9" spans="1:17">
      <c r="A9" s="5786"/>
      <c r="B9" s="1579" t="s">
        <v>322</v>
      </c>
      <c r="C9" s="1580" t="s">
        <v>754</v>
      </c>
      <c r="D9" s="4267" t="s">
        <v>1968</v>
      </c>
      <c r="E9" s="1581">
        <v>6</v>
      </c>
      <c r="F9" s="1582" t="s">
        <v>309</v>
      </c>
      <c r="G9" s="1583" t="s">
        <v>12747</v>
      </c>
      <c r="N9" s="5787"/>
      <c r="O9" s="1252"/>
      <c r="P9" s="1252"/>
      <c r="Q9" s="1252"/>
    </row>
    <row r="10" spans="1:17">
      <c r="A10" s="5786"/>
      <c r="B10" s="1584" t="s">
        <v>12755</v>
      </c>
      <c r="C10" s="1585" t="s">
        <v>12756</v>
      </c>
      <c r="D10" s="4268" t="s">
        <v>1968</v>
      </c>
      <c r="E10" s="1581">
        <v>5</v>
      </c>
      <c r="F10" s="1582" t="s">
        <v>1075</v>
      </c>
      <c r="G10" s="1583" t="s">
        <v>12747</v>
      </c>
      <c r="N10" s="5787"/>
      <c r="O10" s="1254" t="s">
        <v>12757</v>
      </c>
      <c r="P10" s="1299">
        <f>F59</f>
        <v>328.896229087942</v>
      </c>
      <c r="Q10" s="1277" t="s">
        <v>285</v>
      </c>
    </row>
    <row r="11" spans="1:17">
      <c r="A11" s="5786"/>
      <c r="B11" s="1579" t="s">
        <v>12758</v>
      </c>
      <c r="C11" s="1580" t="s">
        <v>12759</v>
      </c>
      <c r="D11" s="4267" t="s">
        <v>1968</v>
      </c>
      <c r="E11" s="1581">
        <v>2</v>
      </c>
      <c r="F11" s="1582" t="s">
        <v>321</v>
      </c>
      <c r="G11" s="1583" t="s">
        <v>12747</v>
      </c>
    </row>
    <row r="12" spans="1:17">
      <c r="A12" s="5786"/>
      <c r="B12" s="1584" t="s">
        <v>12760</v>
      </c>
      <c r="C12" s="1585" t="s">
        <v>752</v>
      </c>
      <c r="D12" s="4268" t="s">
        <v>1968</v>
      </c>
      <c r="E12" s="1581">
        <v>48.533000000000001</v>
      </c>
      <c r="F12" s="1582" t="s">
        <v>309</v>
      </c>
      <c r="G12" s="1583" t="s">
        <v>12747</v>
      </c>
    </row>
    <row r="13" spans="1:17">
      <c r="A13" s="5786"/>
      <c r="B13" s="1579" t="s">
        <v>12761</v>
      </c>
      <c r="C13" s="1580" t="s">
        <v>12762</v>
      </c>
      <c r="D13" s="4267" t="s">
        <v>1968</v>
      </c>
      <c r="E13" s="1581">
        <v>15</v>
      </c>
      <c r="F13" s="1582" t="s">
        <v>12763</v>
      </c>
      <c r="G13" s="1583" t="s">
        <v>12747</v>
      </c>
    </row>
    <row r="14" spans="1:17">
      <c r="A14" s="5786"/>
      <c r="B14" s="1584" t="s">
        <v>12764</v>
      </c>
      <c r="C14" s="1585" t="s">
        <v>12765</v>
      </c>
      <c r="D14" s="4268" t="s">
        <v>1968</v>
      </c>
      <c r="E14" s="1581">
        <v>4</v>
      </c>
      <c r="F14" s="1582" t="s">
        <v>325</v>
      </c>
      <c r="G14" s="1583" t="s">
        <v>12747</v>
      </c>
    </row>
    <row r="15" spans="1:17">
      <c r="A15" s="5786"/>
      <c r="B15" s="1579" t="s">
        <v>10102</v>
      </c>
      <c r="C15" s="1580" t="s">
        <v>3805</v>
      </c>
      <c r="D15" s="4267" t="s">
        <v>1968</v>
      </c>
      <c r="E15" s="1581">
        <v>10</v>
      </c>
      <c r="F15" s="1582" t="s">
        <v>12766</v>
      </c>
      <c r="G15" s="1583" t="s">
        <v>12747</v>
      </c>
    </row>
    <row r="16" spans="1:17">
      <c r="A16" s="5786"/>
      <c r="B16" s="1584" t="s">
        <v>12767</v>
      </c>
      <c r="C16" s="1585" t="s">
        <v>2578</v>
      </c>
      <c r="D16" s="4268" t="s">
        <v>1968</v>
      </c>
      <c r="E16" s="1581">
        <v>2</v>
      </c>
      <c r="F16" s="1582" t="s">
        <v>12768</v>
      </c>
      <c r="G16" s="1583" t="s">
        <v>12747</v>
      </c>
    </row>
    <row r="17" spans="1:11">
      <c r="A17" s="5786"/>
      <c r="B17" s="1579" t="s">
        <v>12769</v>
      </c>
      <c r="C17" s="1580" t="s">
        <v>12770</v>
      </c>
      <c r="D17" s="4267" t="s">
        <v>1968</v>
      </c>
      <c r="E17" s="1581">
        <v>2</v>
      </c>
      <c r="F17" s="1582" t="s">
        <v>12763</v>
      </c>
      <c r="G17" s="1583" t="s">
        <v>12747</v>
      </c>
    </row>
    <row r="18" spans="1:11">
      <c r="A18" s="5786"/>
      <c r="B18" s="1584" t="s">
        <v>12771</v>
      </c>
      <c r="C18" s="1585" t="s">
        <v>12772</v>
      </c>
      <c r="D18" s="4268" t="s">
        <v>1968</v>
      </c>
      <c r="E18" s="1581">
        <v>16</v>
      </c>
      <c r="F18" s="1582" t="s">
        <v>325</v>
      </c>
      <c r="G18" s="1583" t="s">
        <v>12747</v>
      </c>
    </row>
    <row r="19" spans="1:11">
      <c r="A19" s="5786"/>
      <c r="B19" s="1579" t="s">
        <v>12773</v>
      </c>
      <c r="C19" s="1580" t="s">
        <v>12774</v>
      </c>
      <c r="D19" s="4267" t="s">
        <v>1968</v>
      </c>
      <c r="E19" s="1581">
        <v>6</v>
      </c>
      <c r="F19" s="1582" t="s">
        <v>12763</v>
      </c>
      <c r="G19" s="1583" t="s">
        <v>12747</v>
      </c>
    </row>
    <row r="20" spans="1:11">
      <c r="A20" s="5786"/>
      <c r="B20" s="1584" t="s">
        <v>332</v>
      </c>
      <c r="C20" s="1585" t="s">
        <v>12775</v>
      </c>
      <c r="D20" s="4268" t="s">
        <v>1968</v>
      </c>
      <c r="E20" s="1581">
        <v>5</v>
      </c>
      <c r="F20" s="1582" t="s">
        <v>325</v>
      </c>
      <c r="G20" s="1583" t="s">
        <v>12747</v>
      </c>
    </row>
    <row r="21" spans="1:11">
      <c r="A21" s="5786"/>
      <c r="B21" s="1579" t="s">
        <v>12776</v>
      </c>
      <c r="C21" s="1580" t="s">
        <v>12777</v>
      </c>
      <c r="D21" s="4267" t="s">
        <v>1968</v>
      </c>
      <c r="E21" s="1581">
        <v>25.4</v>
      </c>
      <c r="F21" s="1582" t="s">
        <v>309</v>
      </c>
      <c r="G21" s="1583" t="s">
        <v>12747</v>
      </c>
    </row>
    <row r="22" spans="1:11">
      <c r="A22" s="5786"/>
      <c r="B22" s="1584" t="s">
        <v>12778</v>
      </c>
      <c r="C22" s="1585" t="s">
        <v>12779</v>
      </c>
      <c r="D22" s="4268" t="s">
        <v>1968</v>
      </c>
      <c r="E22" s="1581">
        <v>180</v>
      </c>
      <c r="F22" s="1582" t="s">
        <v>257</v>
      </c>
      <c r="G22" s="1583" t="s">
        <v>12747</v>
      </c>
    </row>
    <row r="23" spans="1:11">
      <c r="A23" s="5786"/>
      <c r="B23" s="1586" t="s">
        <v>12780</v>
      </c>
      <c r="C23" s="1526" t="s">
        <v>12781</v>
      </c>
      <c r="D23" s="4269" t="s">
        <v>1968</v>
      </c>
      <c r="E23" s="1581">
        <v>50</v>
      </c>
      <c r="F23" s="1582" t="s">
        <v>227</v>
      </c>
      <c r="G23" s="1583" t="s">
        <v>12747</v>
      </c>
    </row>
    <row r="24" spans="1:11">
      <c r="A24" s="5786"/>
      <c r="B24" s="1584" t="s">
        <v>12782</v>
      </c>
      <c r="C24" s="1585" t="s">
        <v>412</v>
      </c>
      <c r="D24" s="4266" t="s">
        <v>1968</v>
      </c>
      <c r="E24" s="1587">
        <f>$E$5/$E$7</f>
        <v>1</v>
      </c>
      <c r="F24" s="1582" t="s">
        <v>3205</v>
      </c>
      <c r="G24" s="1583" t="s">
        <v>12747</v>
      </c>
    </row>
    <row r="25" spans="1:11">
      <c r="A25" s="5786"/>
      <c r="B25" s="1580" t="s">
        <v>12783</v>
      </c>
      <c r="C25" s="1580"/>
      <c r="D25" s="1526"/>
      <c r="E25" s="1526"/>
      <c r="F25" s="1588"/>
      <c r="G25" s="1583" t="s">
        <v>12747</v>
      </c>
    </row>
    <row r="26" spans="1:11">
      <c r="A26" s="5786"/>
      <c r="B26" s="1575" t="s">
        <v>12784</v>
      </c>
      <c r="C26" s="1589" t="s">
        <v>261</v>
      </c>
      <c r="D26" s="4266" t="s">
        <v>1968</v>
      </c>
      <c r="E26" s="1590">
        <v>1.76</v>
      </c>
      <c r="F26" s="1588"/>
      <c r="G26" s="1583" t="s">
        <v>12747</v>
      </c>
    </row>
    <row r="27" spans="1:11">
      <c r="A27" s="5786"/>
      <c r="B27" s="1586" t="s">
        <v>12785</v>
      </c>
      <c r="C27" s="1526" t="s">
        <v>262</v>
      </c>
      <c r="D27" s="4269" t="s">
        <v>1968</v>
      </c>
      <c r="E27" s="1590">
        <v>5.53</v>
      </c>
      <c r="F27" s="1588"/>
      <c r="G27" s="1583" t="s">
        <v>12747</v>
      </c>
      <c r="J27" s="1495" t="s">
        <v>3205</v>
      </c>
    </row>
    <row r="28" spans="1:11">
      <c r="A28" s="5786"/>
      <c r="B28" s="1575" t="s">
        <v>12786</v>
      </c>
      <c r="C28" s="1589" t="s">
        <v>263</v>
      </c>
      <c r="D28" s="4266" t="s">
        <v>1968</v>
      </c>
      <c r="E28" s="1590">
        <v>0.99</v>
      </c>
      <c r="F28" s="1588"/>
      <c r="G28" s="1583" t="s">
        <v>12747</v>
      </c>
    </row>
    <row r="29" spans="1:11">
      <c r="A29" s="5786"/>
      <c r="B29" s="1586" t="s">
        <v>5242</v>
      </c>
      <c r="C29" s="1526" t="s">
        <v>4657</v>
      </c>
      <c r="D29" s="4269" t="s">
        <v>1968</v>
      </c>
      <c r="E29" s="1590">
        <v>0.2</v>
      </c>
      <c r="F29" s="1588"/>
      <c r="G29" s="1583"/>
    </row>
    <row r="30" spans="1:11">
      <c r="A30" s="5786"/>
      <c r="B30" s="1575" t="s">
        <v>5888</v>
      </c>
      <c r="C30" s="1589" t="s">
        <v>12787</v>
      </c>
      <c r="D30" s="4266" t="s">
        <v>1968</v>
      </c>
      <c r="E30" s="1590">
        <v>2</v>
      </c>
      <c r="F30" s="1588"/>
      <c r="G30" s="1583"/>
    </row>
    <row r="31" spans="1:11">
      <c r="A31" s="5786"/>
      <c r="B31" s="1591" t="s">
        <v>12788</v>
      </c>
      <c r="C31" s="1592" t="s">
        <v>1139</v>
      </c>
      <c r="D31" s="4270" t="s">
        <v>1968</v>
      </c>
      <c r="E31" s="1593">
        <v>0.7</v>
      </c>
      <c r="F31" s="1594"/>
      <c r="G31" s="1583"/>
    </row>
    <row r="32" spans="1:11" s="1569" customFormat="1" ht="36" customHeight="1">
      <c r="A32" s="1595" t="s">
        <v>12789</v>
      </c>
      <c r="B32" s="1596"/>
      <c r="C32" s="1596"/>
      <c r="D32" s="1597"/>
      <c r="E32" s="1596"/>
      <c r="F32" s="1596"/>
      <c r="G32" s="1596"/>
      <c r="H32" s="1596"/>
      <c r="I32" s="1596"/>
      <c r="J32" s="1596"/>
      <c r="K32" s="1596"/>
    </row>
    <row r="33" spans="1:16">
      <c r="A33" s="1598" t="s">
        <v>12790</v>
      </c>
      <c r="B33" s="1599"/>
      <c r="D33" s="1495" t="s">
        <v>3205</v>
      </c>
    </row>
    <row r="34" spans="1:16">
      <c r="A34" s="1564" t="s">
        <v>12791</v>
      </c>
      <c r="B34" s="1564"/>
      <c r="F34" s="1495" t="s">
        <v>3205</v>
      </c>
    </row>
    <row r="35" spans="1:16" ht="15" customHeight="1">
      <c r="A35" s="1600" t="s">
        <v>12792</v>
      </c>
      <c r="B35" s="1601"/>
      <c r="C35" s="1601" t="s">
        <v>1968</v>
      </c>
      <c r="D35" s="1601" t="s">
        <v>12793</v>
      </c>
      <c r="E35" s="1601"/>
      <c r="F35" s="1601" t="s">
        <v>1968</v>
      </c>
      <c r="G35" s="1602">
        <f>($E$6*(($E$5/100)/2)^2)/(2*9.8)</f>
        <v>2.5510204081632699E-3</v>
      </c>
      <c r="H35" s="1601" t="s">
        <v>12794</v>
      </c>
      <c r="I35" s="1601"/>
      <c r="J35" s="1621"/>
      <c r="K35" s="1621"/>
      <c r="L35" s="1621"/>
      <c r="M35" s="1621"/>
      <c r="N35" s="1621"/>
      <c r="O35" s="1621"/>
      <c r="P35" s="1622"/>
    </row>
    <row r="36" spans="1:16" s="62" customFormat="1" ht="1.9" customHeight="1">
      <c r="A36" s="1603"/>
      <c r="B36" s="1604"/>
      <c r="C36" s="1604"/>
      <c r="D36" s="1604"/>
      <c r="E36" s="1604"/>
      <c r="F36" s="1604"/>
      <c r="G36" s="1604"/>
      <c r="H36" s="1604"/>
      <c r="I36" s="1604"/>
      <c r="J36" s="1604"/>
      <c r="K36" s="1604"/>
      <c r="L36" s="1604"/>
      <c r="M36" s="1604"/>
      <c r="N36" s="1604"/>
      <c r="O36" s="1604"/>
      <c r="P36" s="1623"/>
    </row>
    <row r="37" spans="1:16" s="1570" customFormat="1" ht="15" customHeight="1">
      <c r="A37" s="1605" t="s">
        <v>12795</v>
      </c>
      <c r="B37" s="1606"/>
      <c r="C37" s="1607"/>
      <c r="D37" s="1608"/>
      <c r="E37" s="1609"/>
      <c r="F37" s="1609"/>
      <c r="G37" s="1607"/>
      <c r="H37" s="1610"/>
      <c r="I37" s="1609"/>
      <c r="J37" s="1609"/>
      <c r="K37" s="1609"/>
      <c r="L37" s="1609"/>
      <c r="M37" s="1609"/>
      <c r="N37" s="1609"/>
      <c r="O37" s="1609"/>
      <c r="P37" s="1624"/>
    </row>
    <row r="38" spans="1:16" s="62" customFormat="1" ht="1.9" customHeight="1">
      <c r="A38" s="1603"/>
      <c r="B38" s="1604"/>
      <c r="C38" s="1604"/>
      <c r="D38" s="1604"/>
      <c r="E38" s="1604"/>
      <c r="F38" s="1604"/>
      <c r="G38" s="1604"/>
      <c r="H38" s="1604"/>
      <c r="I38" s="1604"/>
      <c r="J38" s="1604"/>
      <c r="K38" s="1604"/>
      <c r="L38" s="1604"/>
      <c r="M38" s="1604"/>
      <c r="N38" s="1604"/>
      <c r="O38" s="1604"/>
      <c r="P38" s="1623"/>
    </row>
    <row r="39" spans="1:16" ht="15" customHeight="1">
      <c r="A39" s="1605" t="s">
        <v>12796</v>
      </c>
      <c r="B39" s="1606"/>
      <c r="C39" s="1606" t="s">
        <v>1968</v>
      </c>
      <c r="D39" s="1606" t="s">
        <v>12797</v>
      </c>
      <c r="E39" s="1606"/>
      <c r="F39" s="1606"/>
      <c r="G39" s="1606"/>
      <c r="H39" s="1606" t="s">
        <v>1968</v>
      </c>
      <c r="I39" s="1611">
        <f>(($E$8*(((($E$7/100)/2)^2)+((($E$9/100)/2)^2)))/(2*9.8))</f>
        <v>2.78061224489796E-3</v>
      </c>
      <c r="J39" s="1606" t="s">
        <v>12794</v>
      </c>
      <c r="K39" s="1612"/>
      <c r="L39" s="1612"/>
      <c r="M39" s="1612"/>
      <c r="N39" s="1612"/>
      <c r="O39" s="1612"/>
      <c r="P39" s="1625"/>
    </row>
    <row r="40" spans="1:16" s="62" customFormat="1" ht="1.9" customHeight="1">
      <c r="A40" s="1603"/>
      <c r="B40" s="1604"/>
      <c r="C40" s="1604"/>
      <c r="D40" s="1604"/>
      <c r="E40" s="1604"/>
      <c r="F40" s="1604"/>
      <c r="G40" s="1604"/>
      <c r="H40" s="1604"/>
      <c r="I40" s="1604"/>
      <c r="J40" s="1604"/>
      <c r="K40" s="1604"/>
      <c r="L40" s="1604"/>
      <c r="M40" s="1604"/>
      <c r="N40" s="1604"/>
      <c r="O40" s="1604"/>
      <c r="P40" s="1623"/>
    </row>
    <row r="41" spans="1:16" ht="15" customHeight="1">
      <c r="A41" s="1605" t="s">
        <v>12798</v>
      </c>
      <c r="B41" s="1606"/>
      <c r="C41" s="1606" t="s">
        <v>1968</v>
      </c>
      <c r="D41" s="1606" t="s">
        <v>12799</v>
      </c>
      <c r="E41" s="1606"/>
      <c r="F41" s="1606"/>
      <c r="G41" s="1606" t="s">
        <v>1968</v>
      </c>
      <c r="H41" s="1611">
        <f>(($E$10*((($E$9/100)/2)^2))/(2*9.8))*$E$11</f>
        <v>4.59183673469388E-4</v>
      </c>
      <c r="I41" s="1606" t="s">
        <v>12794</v>
      </c>
      <c r="J41" s="1606"/>
      <c r="K41" s="1612"/>
      <c r="L41" s="1612"/>
      <c r="M41" s="1612"/>
      <c r="N41" s="1612"/>
      <c r="O41" s="1612"/>
      <c r="P41" s="1625"/>
    </row>
    <row r="42" spans="1:16" s="62" customFormat="1" ht="1.9" customHeight="1">
      <c r="A42" s="1603"/>
      <c r="B42" s="1604"/>
      <c r="C42" s="1604"/>
      <c r="D42" s="1604"/>
      <c r="E42" s="1604"/>
      <c r="F42" s="1604"/>
      <c r="G42" s="1604"/>
      <c r="H42" s="1604"/>
      <c r="I42" s="1604"/>
      <c r="J42" s="1604"/>
      <c r="K42" s="1604"/>
      <c r="L42" s="1604"/>
      <c r="M42" s="1604"/>
      <c r="N42" s="1604"/>
      <c r="O42" s="1604"/>
      <c r="P42" s="1623"/>
    </row>
    <row r="43" spans="1:16" ht="15" customHeight="1">
      <c r="A43" s="1605" t="s">
        <v>12800</v>
      </c>
      <c r="B43" s="1606"/>
      <c r="C43" s="1606" t="s">
        <v>1968</v>
      </c>
      <c r="D43" s="1606" t="s">
        <v>12801</v>
      </c>
      <c r="E43" s="1606"/>
      <c r="F43" s="1606"/>
      <c r="G43" s="1606"/>
      <c r="H43" s="1606" t="s">
        <v>1968</v>
      </c>
      <c r="I43" s="1611">
        <f>(($E$13*(((($E$12/100)/2)^2)+((($E$9/100)/2)^2)))/(2*9.8))*$E$14</f>
        <v>0.18301929252551</v>
      </c>
      <c r="J43" s="1606" t="s">
        <v>12794</v>
      </c>
      <c r="K43" s="1612"/>
      <c r="L43" s="1612"/>
      <c r="M43" s="1612"/>
      <c r="N43" s="1612"/>
      <c r="O43" s="1612"/>
      <c r="P43" s="1625"/>
    </row>
    <row r="44" spans="1:16" s="62" customFormat="1" ht="1.9" customHeight="1">
      <c r="A44" s="1603"/>
      <c r="B44" s="1604"/>
      <c r="C44" s="1604"/>
      <c r="D44" s="1604"/>
      <c r="E44" s="1604"/>
      <c r="F44" s="1604"/>
      <c r="G44" s="1604"/>
      <c r="H44" s="1604"/>
      <c r="I44" s="1604"/>
      <c r="J44" s="1604"/>
      <c r="K44" s="1604"/>
      <c r="L44" s="1604"/>
      <c r="M44" s="1604"/>
      <c r="N44" s="1604"/>
      <c r="O44" s="1604"/>
      <c r="P44" s="1623"/>
    </row>
    <row r="45" spans="1:16" ht="15" customHeight="1">
      <c r="A45" s="1605" t="s">
        <v>12802</v>
      </c>
      <c r="B45" s="1606"/>
      <c r="C45" s="1606" t="s">
        <v>1968</v>
      </c>
      <c r="D45" s="1606" t="s">
        <v>12803</v>
      </c>
      <c r="E45" s="1606"/>
      <c r="F45" s="1606"/>
      <c r="G45" s="1606" t="s">
        <v>1968</v>
      </c>
      <c r="H45" s="1611">
        <f>(($E$15*((($E$12/100)/2)^2))/9.8)*E16</f>
        <v>0.120176126989796</v>
      </c>
      <c r="I45" s="1606" t="s">
        <v>12794</v>
      </c>
      <c r="J45" s="1606"/>
      <c r="K45" s="1612"/>
      <c r="L45" s="1612"/>
      <c r="M45" s="1612"/>
      <c r="N45" s="1612"/>
      <c r="O45" s="1612"/>
      <c r="P45" s="1625"/>
    </row>
    <row r="46" spans="1:16" s="62" customFormat="1" ht="1.9" customHeight="1">
      <c r="A46" s="1603"/>
      <c r="B46" s="1604"/>
      <c r="C46" s="1604"/>
      <c r="D46" s="1604"/>
      <c r="E46" s="1604"/>
      <c r="F46" s="1604"/>
      <c r="G46" s="1604"/>
      <c r="H46" s="1604"/>
      <c r="I46" s="1604"/>
      <c r="J46" s="1604"/>
      <c r="K46" s="1604"/>
      <c r="L46" s="1604"/>
      <c r="M46" s="1604"/>
      <c r="N46" s="1604"/>
      <c r="O46" s="1604"/>
      <c r="P46" s="1623"/>
    </row>
    <row r="47" spans="1:16" ht="15" customHeight="1">
      <c r="A47" s="1605" t="s">
        <v>12804</v>
      </c>
      <c r="B47" s="1606"/>
      <c r="C47" s="1606" t="s">
        <v>1968</v>
      </c>
      <c r="D47" s="1606" t="s">
        <v>12805</v>
      </c>
      <c r="E47" s="1606"/>
      <c r="F47" s="1606"/>
      <c r="G47" s="1606" t="s">
        <v>1968</v>
      </c>
      <c r="H47" s="1611">
        <f>(($E$17*((($E$12/100)/2)^2))/9.8)*$E$18</f>
        <v>0.19228180318367299</v>
      </c>
      <c r="I47" s="1606" t="s">
        <v>12794</v>
      </c>
      <c r="J47" s="1606"/>
      <c r="K47" s="1612"/>
      <c r="L47" s="1612"/>
      <c r="M47" s="1612"/>
      <c r="N47" s="1612"/>
      <c r="O47" s="1612"/>
      <c r="P47" s="1625"/>
    </row>
    <row r="48" spans="1:16" s="62" customFormat="1" ht="1.9" customHeight="1">
      <c r="A48" s="1603"/>
      <c r="B48" s="1604"/>
      <c r="C48" s="1604"/>
      <c r="D48" s="1604"/>
      <c r="E48" s="1604"/>
      <c r="F48" s="1604"/>
      <c r="G48" s="1604"/>
      <c r="H48" s="1604"/>
      <c r="I48" s="1604"/>
      <c r="J48" s="1604"/>
      <c r="K48" s="1604"/>
      <c r="L48" s="1604"/>
      <c r="M48" s="1604"/>
      <c r="N48" s="1604"/>
      <c r="O48" s="1604"/>
      <c r="P48" s="1623"/>
    </row>
    <row r="49" spans="1:16" ht="15" customHeight="1">
      <c r="A49" s="1605" t="s">
        <v>12806</v>
      </c>
      <c r="B49" s="1606"/>
      <c r="C49" s="1606" t="s">
        <v>1968</v>
      </c>
      <c r="D49" s="1606" t="s">
        <v>12807</v>
      </c>
      <c r="E49" s="1606"/>
      <c r="F49" s="1606"/>
      <c r="G49" s="1606" t="s">
        <v>1968</v>
      </c>
      <c r="H49" s="1611">
        <f>(($E$19*((($E$12/100)/2)^2))/9.8)*$E$20</f>
        <v>0.180264190484694</v>
      </c>
      <c r="I49" s="1606" t="s">
        <v>12794</v>
      </c>
      <c r="J49" s="1606"/>
      <c r="K49" s="1612"/>
      <c r="L49" s="1612"/>
      <c r="M49" s="1612"/>
      <c r="N49" s="1612"/>
      <c r="O49" s="1612"/>
      <c r="P49" s="1625"/>
    </row>
    <row r="50" spans="1:16" s="62" customFormat="1" ht="1.9" customHeight="1">
      <c r="A50" s="1603"/>
      <c r="B50" s="1604"/>
      <c r="C50" s="1604"/>
      <c r="D50" s="1604"/>
      <c r="E50" s="1604"/>
      <c r="F50" s="1604"/>
      <c r="G50" s="1604"/>
      <c r="H50" s="1604"/>
      <c r="I50" s="1604"/>
      <c r="J50" s="1604"/>
      <c r="K50" s="1604"/>
      <c r="L50" s="1604"/>
      <c r="M50" s="1604"/>
      <c r="N50" s="1604"/>
      <c r="O50" s="1604"/>
      <c r="P50" s="1623"/>
    </row>
    <row r="51" spans="1:16" ht="15" customHeight="1">
      <c r="A51" s="1605" t="s">
        <v>12808</v>
      </c>
      <c r="B51" s="1606"/>
      <c r="C51" s="1606" t="s">
        <v>1968</v>
      </c>
      <c r="D51" s="1606" t="s">
        <v>12809</v>
      </c>
      <c r="E51" s="1606"/>
      <c r="F51" s="1606"/>
      <c r="G51" s="1606" t="s">
        <v>1968</v>
      </c>
      <c r="H51" s="1611">
        <f>$I$39+$H$41+$I$43+$H$45+$H$47+$H$49</f>
        <v>0.67898120910204096</v>
      </c>
      <c r="I51" s="1606" t="s">
        <v>12794</v>
      </c>
      <c r="J51" s="1606"/>
      <c r="K51" s="1612"/>
      <c r="L51" s="1612"/>
      <c r="M51" s="1612"/>
      <c r="N51" s="1612"/>
      <c r="O51" s="1612"/>
      <c r="P51" s="1625"/>
    </row>
    <row r="52" spans="1:16" s="62" customFormat="1" ht="1.9" customHeight="1">
      <c r="A52" s="1603"/>
      <c r="B52" s="1604"/>
      <c r="C52" s="1604"/>
      <c r="D52" s="1604"/>
      <c r="E52" s="1604"/>
      <c r="F52" s="1604"/>
      <c r="G52" s="1604"/>
      <c r="H52" s="1604"/>
      <c r="I52" s="1604"/>
      <c r="J52" s="1604"/>
      <c r="K52" s="1604"/>
      <c r="L52" s="1604"/>
      <c r="M52" s="1604"/>
      <c r="N52" s="1604"/>
      <c r="O52" s="1604"/>
      <c r="P52" s="1623"/>
    </row>
    <row r="53" spans="1:16" ht="15" customHeight="1">
      <c r="A53" s="1605" t="s">
        <v>12810</v>
      </c>
      <c r="B53" s="1606"/>
      <c r="C53" s="1606" t="s">
        <v>1968</v>
      </c>
      <c r="D53" s="1606" t="s">
        <v>12811</v>
      </c>
      <c r="E53" s="1606"/>
      <c r="F53" s="1606"/>
      <c r="G53" s="1606" t="s">
        <v>1968</v>
      </c>
      <c r="H53" s="1611">
        <f>$H$51*(($E$5/$E$7)^2)</f>
        <v>0.67898120910204096</v>
      </c>
      <c r="I53" s="1606" t="s">
        <v>12794</v>
      </c>
      <c r="J53" s="1606"/>
      <c r="K53" s="1612"/>
      <c r="L53" s="1612"/>
      <c r="M53" s="1612"/>
      <c r="N53" s="1612"/>
      <c r="O53" s="1612"/>
      <c r="P53" s="1625"/>
    </row>
    <row r="54" spans="1:16" s="62" customFormat="1" ht="1.9" customHeight="1">
      <c r="A54" s="1603"/>
      <c r="B54" s="1604"/>
      <c r="C54" s="1604"/>
      <c r="D54" s="1604"/>
      <c r="E54" s="1604"/>
      <c r="F54" s="1604"/>
      <c r="G54" s="1604"/>
      <c r="H54" s="1604"/>
      <c r="I54" s="1604"/>
      <c r="J54" s="1604"/>
      <c r="K54" s="1604"/>
      <c r="L54" s="1604"/>
      <c r="M54" s="1604"/>
      <c r="N54" s="1604"/>
      <c r="O54" s="1604"/>
      <c r="P54" s="1623"/>
    </row>
    <row r="55" spans="1:16" ht="15" customHeight="1">
      <c r="A55" s="1605" t="s">
        <v>12812</v>
      </c>
      <c r="B55" s="1606"/>
      <c r="C55" s="1606" t="s">
        <v>1968</v>
      </c>
      <c r="D55" s="1606" t="s">
        <v>12813</v>
      </c>
      <c r="E55" s="1606" t="s">
        <v>1968</v>
      </c>
      <c r="F55" s="1611">
        <f>$G$35+$H$53</f>
        <v>0.68153222951020398</v>
      </c>
      <c r="G55" s="1606" t="s">
        <v>12794</v>
      </c>
      <c r="H55" s="1612"/>
      <c r="I55" s="1612"/>
      <c r="J55" s="1612"/>
      <c r="K55" s="1612"/>
      <c r="L55" s="1612"/>
      <c r="M55" s="1612"/>
      <c r="N55" s="1612"/>
      <c r="O55" s="1612"/>
      <c r="P55" s="1625"/>
    </row>
    <row r="56" spans="1:16" s="62" customFormat="1" ht="1.9" customHeight="1">
      <c r="A56" s="1603"/>
      <c r="B56" s="1604"/>
      <c r="C56" s="1604"/>
      <c r="D56" s="1604"/>
      <c r="E56" s="1604"/>
      <c r="F56" s="1604"/>
      <c r="G56" s="1604"/>
      <c r="H56" s="1604"/>
      <c r="I56" s="1604"/>
      <c r="J56" s="1604"/>
      <c r="K56" s="1604"/>
      <c r="L56" s="1604"/>
      <c r="M56" s="1604"/>
      <c r="N56" s="1604"/>
      <c r="O56" s="1604"/>
      <c r="P56" s="1623"/>
    </row>
    <row r="57" spans="1:16" ht="15" customHeight="1">
      <c r="A57" s="1605" t="s">
        <v>12814</v>
      </c>
      <c r="B57" s="1606"/>
      <c r="C57" s="1606" t="s">
        <v>1968</v>
      </c>
      <c r="D57" s="1606" t="s">
        <v>12815</v>
      </c>
      <c r="E57" s="1606"/>
      <c r="F57" s="1606"/>
      <c r="G57" s="1606"/>
      <c r="H57" s="1606"/>
      <c r="I57" s="1606" t="s">
        <v>1968</v>
      </c>
      <c r="J57" s="1611">
        <f>$E$27*((2*3.1415926/$E$4)*(((360/$E$22)*(30/60))*(360/$E$22)*(E23/2/60)))</f>
        <v>4.8258352994444502</v>
      </c>
      <c r="K57" s="1606" t="s">
        <v>12816</v>
      </c>
      <c r="L57" s="1606"/>
      <c r="M57" s="1612"/>
      <c r="N57" s="1612"/>
      <c r="O57" s="1612"/>
      <c r="P57" s="1625"/>
    </row>
    <row r="58" spans="1:16" s="62" customFormat="1" ht="1.9" customHeight="1">
      <c r="A58" s="1603"/>
      <c r="B58" s="1604"/>
      <c r="C58" s="1604"/>
      <c r="D58" s="1604"/>
      <c r="E58" s="1604"/>
      <c r="F58" s="1604"/>
      <c r="G58" s="1604"/>
      <c r="H58" s="1604"/>
      <c r="I58" s="1604"/>
      <c r="J58" s="1604"/>
      <c r="K58" s="1604"/>
      <c r="L58" s="1604"/>
      <c r="M58" s="1604"/>
      <c r="N58" s="1604"/>
      <c r="O58" s="1604"/>
      <c r="P58" s="1623"/>
    </row>
    <row r="59" spans="1:16" ht="15" customHeight="1">
      <c r="A59" s="1605" t="s">
        <v>12817</v>
      </c>
      <c r="B59" s="1606"/>
      <c r="C59" s="1606" t="s">
        <v>1968</v>
      </c>
      <c r="D59" s="1606" t="s">
        <v>12818</v>
      </c>
      <c r="E59" s="1606" t="s">
        <v>1968</v>
      </c>
      <c r="F59" s="1611">
        <f>$F$55*100*$J$57</f>
        <v>328.896229087942</v>
      </c>
      <c r="G59" s="1606" t="s">
        <v>12819</v>
      </c>
      <c r="H59" s="1612"/>
      <c r="I59" s="1612"/>
      <c r="J59" s="1612"/>
      <c r="K59" s="1612"/>
      <c r="L59" s="1612"/>
      <c r="M59" s="1612"/>
      <c r="N59" s="1612"/>
      <c r="O59" s="1612"/>
      <c r="P59" s="1625"/>
    </row>
    <row r="60" spans="1:16" s="62" customFormat="1" ht="1.9" customHeight="1">
      <c r="A60" s="1603"/>
      <c r="B60" s="1604"/>
      <c r="C60" s="1604"/>
      <c r="D60" s="1604"/>
      <c r="E60" s="1604"/>
      <c r="F60" s="1604"/>
      <c r="G60" s="1604"/>
      <c r="H60" s="1604"/>
      <c r="I60" s="1604"/>
      <c r="J60" s="1604"/>
      <c r="K60" s="1604"/>
      <c r="L60" s="1604"/>
      <c r="M60" s="1604"/>
      <c r="N60" s="1604"/>
      <c r="O60" s="1604"/>
      <c r="P60" s="1623"/>
    </row>
    <row r="61" spans="1:16" ht="15" customHeight="1">
      <c r="A61" s="1613" t="s">
        <v>12820</v>
      </c>
      <c r="B61" s="1614"/>
      <c r="C61" s="1615" t="s">
        <v>3205</v>
      </c>
      <c r="D61" s="1616" t="s">
        <v>3205</v>
      </c>
      <c r="E61" s="1612"/>
      <c r="F61" s="1612"/>
      <c r="G61" s="1612"/>
      <c r="H61" s="1612"/>
      <c r="I61" s="1612"/>
      <c r="J61" s="1612"/>
      <c r="K61" s="1612"/>
      <c r="L61" s="1612"/>
      <c r="M61" s="1612"/>
      <c r="N61" s="1612"/>
      <c r="O61" s="1612"/>
      <c r="P61" s="1625"/>
    </row>
    <row r="62" spans="1:16" ht="15" customHeight="1">
      <c r="A62" s="1605" t="s">
        <v>12821</v>
      </c>
      <c r="B62" s="1606"/>
      <c r="C62" s="1606" t="s">
        <v>1968</v>
      </c>
      <c r="D62" s="1606" t="s">
        <v>12822</v>
      </c>
      <c r="E62" s="1606"/>
      <c r="F62" s="1606" t="s">
        <v>1968</v>
      </c>
      <c r="G62" s="1611">
        <f>E29*((E15*E16/2)+($E$17*$E$18)/2+($E$19*$E$20))*E12/2</f>
        <v>271.78480000000002</v>
      </c>
      <c r="H62" s="1606" t="s">
        <v>12819</v>
      </c>
      <c r="I62" s="1612"/>
      <c r="J62" s="1612"/>
      <c r="K62" s="1612"/>
      <c r="L62" s="1626"/>
      <c r="M62" s="1612"/>
      <c r="N62" s="1612"/>
      <c r="O62" s="1612"/>
      <c r="P62" s="1625"/>
    </row>
    <row r="63" spans="1:16" ht="15" customHeight="1">
      <c r="A63" s="1617" t="s">
        <v>12823</v>
      </c>
      <c r="B63" s="1618"/>
      <c r="C63" s="1619"/>
      <c r="D63" s="1620"/>
      <c r="E63" s="1618"/>
      <c r="F63" s="1618"/>
      <c r="G63" s="1618"/>
      <c r="H63" s="1612"/>
      <c r="I63" s="1612"/>
      <c r="J63" s="1612"/>
      <c r="K63" s="1612"/>
      <c r="L63" s="1612"/>
      <c r="M63" s="1612"/>
      <c r="N63" s="1612"/>
      <c r="O63" s="1612"/>
      <c r="P63" s="1625"/>
    </row>
    <row r="64" spans="1:16" s="62" customFormat="1" ht="1.9" customHeight="1">
      <c r="A64" s="1603"/>
      <c r="B64" s="1604"/>
      <c r="C64" s="1604"/>
      <c r="D64" s="1604"/>
      <c r="E64" s="1604"/>
      <c r="F64" s="1604"/>
      <c r="G64" s="1604"/>
      <c r="H64" s="1604"/>
      <c r="I64" s="1604"/>
      <c r="J64" s="1604"/>
      <c r="K64" s="1604"/>
      <c r="L64" s="1604"/>
      <c r="M64" s="1604"/>
      <c r="N64" s="1604"/>
      <c r="O64" s="1604"/>
      <c r="P64" s="1623"/>
    </row>
    <row r="65" spans="1:16" ht="15" customHeight="1">
      <c r="A65" s="1605" t="s">
        <v>12824</v>
      </c>
      <c r="B65" s="1606"/>
      <c r="C65" s="1606" t="s">
        <v>1968</v>
      </c>
      <c r="D65" s="1606" t="s">
        <v>12825</v>
      </c>
      <c r="E65" s="1606"/>
      <c r="F65" s="1606" t="s">
        <v>1968</v>
      </c>
      <c r="G65" s="1611">
        <f>$G$62*($E$5/$E$7)</f>
        <v>271.78480000000002</v>
      </c>
      <c r="H65" s="1606" t="s">
        <v>12819</v>
      </c>
      <c r="I65" s="1612"/>
      <c r="J65" s="1612"/>
      <c r="K65" s="1612"/>
      <c r="L65" s="1612"/>
      <c r="M65" s="1612"/>
      <c r="N65" s="1612"/>
      <c r="O65" s="1612"/>
      <c r="P65" s="1625"/>
    </row>
    <row r="66" spans="1:16" s="62" customFormat="1" ht="1.9" customHeight="1">
      <c r="A66" s="1603"/>
      <c r="B66" s="1604"/>
      <c r="C66" s="1604"/>
      <c r="D66" s="1604"/>
      <c r="E66" s="1604"/>
      <c r="F66" s="1604"/>
      <c r="G66" s="1604"/>
      <c r="H66" s="1604"/>
      <c r="I66" s="1604"/>
      <c r="J66" s="1604"/>
      <c r="K66" s="1604"/>
      <c r="L66" s="1604"/>
      <c r="M66" s="1604"/>
      <c r="N66" s="1604"/>
      <c r="O66" s="1604"/>
      <c r="P66" s="1623"/>
    </row>
    <row r="67" spans="1:16" ht="15" customHeight="1">
      <c r="A67" s="1613" t="s">
        <v>12826</v>
      </c>
      <c r="B67" s="1614"/>
      <c r="C67" s="1612"/>
      <c r="D67" s="1612"/>
      <c r="E67" s="1612"/>
      <c r="F67" s="1612"/>
      <c r="G67" s="1612"/>
      <c r="H67" s="1612"/>
      <c r="I67" s="1612"/>
      <c r="J67" s="1612"/>
      <c r="K67" s="1612"/>
      <c r="L67" s="1612"/>
      <c r="M67" s="1612"/>
      <c r="N67" s="1612"/>
      <c r="O67" s="1612"/>
      <c r="P67" s="1625"/>
    </row>
    <row r="68" spans="1:16" s="62" customFormat="1" ht="1.9" customHeight="1">
      <c r="A68" s="1603"/>
      <c r="B68" s="1604"/>
      <c r="C68" s="1604"/>
      <c r="D68" s="1604"/>
      <c r="E68" s="1604"/>
      <c r="F68" s="1604"/>
      <c r="G68" s="1604"/>
      <c r="H68" s="1604"/>
      <c r="I68" s="1604"/>
      <c r="J68" s="1604"/>
      <c r="K68" s="1604"/>
      <c r="L68" s="1604"/>
      <c r="M68" s="1604"/>
      <c r="N68" s="1604"/>
      <c r="O68" s="1604"/>
      <c r="P68" s="1623"/>
    </row>
    <row r="69" spans="1:16" ht="15" customHeight="1">
      <c r="A69" s="1605" t="s">
        <v>12827</v>
      </c>
      <c r="B69" s="1606"/>
      <c r="C69" s="1606" t="s">
        <v>1968</v>
      </c>
      <c r="D69" s="1606" t="s">
        <v>12828</v>
      </c>
      <c r="E69" s="1606"/>
      <c r="F69" s="1606" t="s">
        <v>1968</v>
      </c>
      <c r="G69" s="1611">
        <f>($F$59+$G$62+0)/100</f>
        <v>6.0068102908794199</v>
      </c>
      <c r="H69" s="1606" t="s">
        <v>12730</v>
      </c>
      <c r="I69" s="1612"/>
      <c r="J69" s="1612"/>
      <c r="K69" s="1612"/>
      <c r="L69" s="1612"/>
      <c r="M69" s="1612"/>
      <c r="N69" s="1612"/>
      <c r="O69" s="1612"/>
      <c r="P69" s="1625"/>
    </row>
    <row r="70" spans="1:16" s="62" customFormat="1" ht="1.9" customHeight="1">
      <c r="A70" s="1603"/>
      <c r="B70" s="1604"/>
      <c r="C70" s="1604"/>
      <c r="D70" s="1604"/>
      <c r="E70" s="1604"/>
      <c r="F70" s="1604"/>
      <c r="G70" s="1604"/>
      <c r="H70" s="1604"/>
      <c r="I70" s="1604"/>
      <c r="J70" s="1604"/>
      <c r="K70" s="1604"/>
      <c r="L70" s="1604"/>
      <c r="M70" s="1604"/>
      <c r="N70" s="1604"/>
      <c r="O70" s="1604"/>
      <c r="P70" s="1623"/>
    </row>
    <row r="71" spans="1:16" ht="15" customHeight="1">
      <c r="A71" s="1605" t="s">
        <v>12829</v>
      </c>
      <c r="B71" s="1606"/>
      <c r="C71" s="1606" t="s">
        <v>1968</v>
      </c>
      <c r="D71" s="1606" t="s">
        <v>12724</v>
      </c>
      <c r="E71" s="1606"/>
      <c r="F71" s="1606" t="s">
        <v>1968</v>
      </c>
      <c r="G71" s="1611">
        <f>$G$69*2</f>
        <v>12.013620581758801</v>
      </c>
      <c r="H71" s="1606" t="s">
        <v>12730</v>
      </c>
      <c r="I71" s="1612"/>
      <c r="J71" s="1612"/>
      <c r="K71" s="1612"/>
      <c r="L71" s="1612"/>
      <c r="M71" s="1612"/>
      <c r="N71" s="1612"/>
      <c r="O71" s="1612"/>
      <c r="P71" s="1625"/>
    </row>
    <row r="72" spans="1:16" s="62" customFormat="1" ht="1.9" customHeight="1">
      <c r="A72" s="1603"/>
      <c r="B72" s="1604"/>
      <c r="C72" s="1604"/>
      <c r="D72" s="1604"/>
      <c r="E72" s="1604"/>
      <c r="F72" s="1604"/>
      <c r="G72" s="1604"/>
      <c r="H72" s="1604"/>
      <c r="I72" s="1604"/>
      <c r="J72" s="1604"/>
      <c r="K72" s="1604"/>
      <c r="L72" s="1604"/>
      <c r="M72" s="1604"/>
      <c r="N72" s="1604"/>
      <c r="O72" s="1604"/>
      <c r="P72" s="1623"/>
    </row>
    <row r="73" spans="1:16" ht="15" customHeight="1">
      <c r="A73" s="1605" t="s">
        <v>12830</v>
      </c>
      <c r="B73" s="1606"/>
      <c r="C73" s="1606"/>
      <c r="D73" s="1606"/>
      <c r="E73" s="1606"/>
      <c r="F73" s="1606"/>
      <c r="G73" s="1606"/>
      <c r="H73" s="1606" t="s">
        <v>1968</v>
      </c>
      <c r="I73" s="1606" t="s">
        <v>12729</v>
      </c>
      <c r="J73" s="1606"/>
      <c r="K73" s="1606"/>
      <c r="L73" s="1606"/>
      <c r="M73" s="1606"/>
      <c r="N73" s="1606" t="s">
        <v>1968</v>
      </c>
      <c r="O73" s="1611">
        <f>(360/($E$4*$E$22))*$E$28*($G$71+0)</f>
        <v>3.9644947919804099</v>
      </c>
      <c r="P73" s="1635" t="s">
        <v>12730</v>
      </c>
    </row>
    <row r="74" spans="1:16" s="62" customFormat="1" ht="1.9" customHeight="1">
      <c r="A74" s="1603"/>
      <c r="B74" s="1604"/>
      <c r="C74" s="1604"/>
      <c r="D74" s="1604"/>
      <c r="E74" s="1604"/>
      <c r="F74" s="1604"/>
      <c r="G74" s="1604"/>
      <c r="H74" s="1604"/>
      <c r="I74" s="1604"/>
      <c r="J74" s="1604"/>
      <c r="K74" s="1604"/>
      <c r="L74" s="1604"/>
      <c r="M74" s="1604"/>
      <c r="N74" s="1604"/>
      <c r="O74" s="1604"/>
      <c r="P74" s="1623"/>
    </row>
    <row r="75" spans="1:16" ht="15" customHeight="1">
      <c r="A75" s="1605" t="s">
        <v>12831</v>
      </c>
      <c r="B75" s="1606"/>
      <c r="C75" s="1606" t="s">
        <v>1968</v>
      </c>
      <c r="D75" s="1606" t="s">
        <v>12732</v>
      </c>
      <c r="E75" s="1606"/>
      <c r="F75" s="1606"/>
      <c r="G75" s="1606" t="s">
        <v>1968</v>
      </c>
      <c r="H75" s="1611">
        <f>($O$73*$E$23)/(716*0.6)</f>
        <v>0.46141699161783201</v>
      </c>
      <c r="I75" s="1612" t="s">
        <v>12734</v>
      </c>
      <c r="J75" s="1612"/>
      <c r="K75" s="1612"/>
      <c r="L75" s="1612"/>
      <c r="M75" s="1612"/>
      <c r="N75" s="1612"/>
      <c r="O75" s="1612"/>
      <c r="P75" s="1625"/>
    </row>
    <row r="76" spans="1:16" ht="1.9" customHeight="1">
      <c r="A76" s="1627"/>
      <c r="B76" s="1628"/>
      <c r="C76" s="1629"/>
      <c r="D76" s="1629"/>
      <c r="E76" s="1629"/>
      <c r="F76" s="1629"/>
      <c r="G76" s="1629"/>
      <c r="H76" s="1629"/>
      <c r="I76" s="1629"/>
      <c r="J76" s="1629"/>
      <c r="K76" s="1629"/>
      <c r="L76" s="1629"/>
      <c r="M76" s="1629"/>
      <c r="N76" s="1629"/>
      <c r="O76" s="1629"/>
      <c r="P76" s="1636"/>
    </row>
    <row r="77" spans="1:16" ht="15" customHeight="1">
      <c r="A77" s="1630" t="s">
        <v>12832</v>
      </c>
      <c r="B77" s="1631"/>
      <c r="C77" s="1632" t="s">
        <v>1968</v>
      </c>
      <c r="D77" s="1632" t="s">
        <v>12736</v>
      </c>
      <c r="E77" s="1632"/>
      <c r="F77" s="1632"/>
      <c r="G77" s="1632" t="s">
        <v>1968</v>
      </c>
      <c r="H77" s="1633">
        <f>($O$73*$E$23)/(975*0.6)</f>
        <v>0.33884570871627501</v>
      </c>
      <c r="I77" s="1632" t="s">
        <v>12737</v>
      </c>
      <c r="J77" s="1637"/>
      <c r="K77" s="1637"/>
      <c r="L77" s="1637"/>
      <c r="M77" s="1637"/>
      <c r="N77" s="1637"/>
      <c r="O77" s="1637"/>
      <c r="P77" s="1637"/>
    </row>
    <row r="79" spans="1:16" s="1571" customFormat="1" ht="39.6" customHeight="1">
      <c r="A79" s="1634" t="s">
        <v>12833</v>
      </c>
    </row>
  </sheetData>
  <mergeCells count="4">
    <mergeCell ref="A1:N1"/>
    <mergeCell ref="A2:N2"/>
    <mergeCell ref="A4:A31"/>
    <mergeCell ref="N4:N10"/>
  </mergeCells>
  <phoneticPr fontId="214" type="noConversion"/>
  <dataValidations count="1">
    <dataValidation type="whole" errorStyle="warning" allowBlank="1" showInputMessage="1" showErrorMessage="1" errorTitle="輸入分割等份" error="請輸入0到999之間的整數" sqref="E5:E21" xr:uid="{00000000-0002-0000-7C00-000000000000}">
      <formula1>1</formula1>
      <formula2>999</formula2>
    </dataValidation>
  </dataValidations>
  <pageMargins left="0.75" right="0.75" top="1" bottom="1" header="0.5" footer="0.5"/>
  <pageSetup paperSize="9" orientation="portrait"/>
  <headerFooter scaleWithDoc="0" alignWithMargins="0"/>
  <drawing r:id="rId1"/>
  <legacy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26"/>
  <dimension ref="A1:Q84"/>
  <sheetViews>
    <sheetView showGridLines="0" zoomScale="70" zoomScaleNormal="70" workbookViewId="0">
      <selection sqref="A1:J1"/>
    </sheetView>
  </sheetViews>
  <sheetFormatPr defaultColWidth="8" defaultRowHeight="26.25" customHeight="1"/>
  <cols>
    <col min="1" max="1" width="8" style="1495"/>
    <col min="2" max="2" width="33.875" style="1495" customWidth="1"/>
    <col min="3" max="3" width="4" style="1495" customWidth="1"/>
    <col min="4" max="4" width="9" style="1495" customWidth="1"/>
    <col min="5" max="5" width="8" style="1495"/>
    <col min="6" max="6" width="8.5" style="1495"/>
    <col min="7" max="7" width="8" style="1495"/>
    <col min="8" max="8" width="12.75" style="1495"/>
    <col min="9" max="9" width="8" style="1495"/>
    <col min="10" max="10" width="10.625" style="1495"/>
    <col min="11" max="12" width="8" style="1495"/>
    <col min="13" max="13" width="16" style="1495" customWidth="1"/>
    <col min="14" max="14" width="23.5" style="1495" customWidth="1"/>
    <col min="15" max="15" width="11" style="1495"/>
    <col min="16" max="16384" width="8" style="1495"/>
  </cols>
  <sheetData>
    <row r="1" spans="1:17" ht="49.9" customHeight="1">
      <c r="A1" s="5809" t="s">
        <v>12834</v>
      </c>
      <c r="B1" s="5809"/>
      <c r="C1" s="5809"/>
      <c r="D1" s="5809"/>
      <c r="E1" s="5809"/>
      <c r="F1" s="5809"/>
      <c r="G1" s="5809"/>
      <c r="H1" s="5809"/>
      <c r="I1" s="5809"/>
      <c r="J1" s="5809"/>
    </row>
    <row r="2" spans="1:17" ht="33" customHeight="1">
      <c r="A2" s="5810" t="s">
        <v>12835</v>
      </c>
      <c r="B2" s="5810"/>
      <c r="C2" s="5810"/>
      <c r="D2" s="5810"/>
      <c r="E2" s="5810"/>
      <c r="F2" s="5810"/>
      <c r="G2" s="5810"/>
      <c r="H2" s="5810"/>
      <c r="I2" s="5810"/>
      <c r="J2" s="5810"/>
      <c r="K2" s="5810"/>
      <c r="L2" s="5810"/>
      <c r="M2" s="5810"/>
      <c r="N2" s="5810"/>
    </row>
    <row r="3" spans="1:17" ht="26.25" customHeight="1">
      <c r="A3" s="5793" t="s">
        <v>12675</v>
      </c>
      <c r="B3" s="1496" t="s">
        <v>12836</v>
      </c>
      <c r="C3" s="4271" t="s">
        <v>1968</v>
      </c>
      <c r="D3" s="1497">
        <v>6</v>
      </c>
      <c r="E3" s="1498"/>
    </row>
    <row r="4" spans="1:17" ht="26.25" customHeight="1">
      <c r="A4" s="5793"/>
      <c r="B4" s="1499" t="s">
        <v>12837</v>
      </c>
      <c r="C4" s="4272" t="s">
        <v>1968</v>
      </c>
      <c r="D4" s="1500">
        <v>1</v>
      </c>
      <c r="E4" s="1501" t="s">
        <v>12683</v>
      </c>
    </row>
    <row r="5" spans="1:17" ht="26.25" customHeight="1">
      <c r="A5" s="5793"/>
      <c r="B5" s="1502" t="s">
        <v>12838</v>
      </c>
      <c r="C5" s="4273" t="s">
        <v>1968</v>
      </c>
      <c r="D5" s="1500">
        <v>1</v>
      </c>
      <c r="E5" s="1503" t="s">
        <v>12683</v>
      </c>
      <c r="K5" s="1517"/>
      <c r="M5" s="5787" t="s">
        <v>12743</v>
      </c>
      <c r="N5" s="1298" t="s">
        <v>12744</v>
      </c>
      <c r="O5" s="1552">
        <f>D75</f>
        <v>6.6542093133407301</v>
      </c>
      <c r="P5" s="1277" t="s">
        <v>12745</v>
      </c>
      <c r="Q5" s="1252"/>
    </row>
    <row r="6" spans="1:17" ht="26.25" customHeight="1">
      <c r="A6" s="5793"/>
      <c r="B6" s="1499" t="s">
        <v>12839</v>
      </c>
      <c r="C6" s="4272" t="s">
        <v>1968</v>
      </c>
      <c r="D6" s="1500">
        <v>100</v>
      </c>
      <c r="E6" s="1503" t="s">
        <v>227</v>
      </c>
      <c r="M6" s="5787"/>
      <c r="N6" s="1286"/>
      <c r="O6" s="1278"/>
      <c r="P6" s="1278"/>
      <c r="Q6" s="1252"/>
    </row>
    <row r="7" spans="1:17" ht="26.25" customHeight="1">
      <c r="A7" s="5793"/>
      <c r="B7" s="1502" t="s">
        <v>12840</v>
      </c>
      <c r="C7" s="4273" t="s">
        <v>1968</v>
      </c>
      <c r="D7" s="1500">
        <v>40</v>
      </c>
      <c r="E7" s="1503" t="s">
        <v>309</v>
      </c>
      <c r="M7" s="5787"/>
      <c r="N7" s="1254" t="s">
        <v>12750</v>
      </c>
      <c r="O7" s="1553">
        <f>D81</f>
        <v>0.32174198877691501</v>
      </c>
      <c r="P7" s="1277" t="s">
        <v>5779</v>
      </c>
      <c r="Q7" s="1252"/>
    </row>
    <row r="8" spans="1:17" ht="26.25" customHeight="1">
      <c r="A8" s="5793"/>
      <c r="B8" s="1499" t="s">
        <v>12841</v>
      </c>
      <c r="C8" s="4272" t="s">
        <v>1968</v>
      </c>
      <c r="D8" s="1500">
        <v>15</v>
      </c>
      <c r="E8" s="1503" t="s">
        <v>1075</v>
      </c>
      <c r="M8" s="5787"/>
      <c r="N8" s="1252"/>
      <c r="O8" s="1252"/>
      <c r="P8" s="1252"/>
      <c r="Q8" s="1252"/>
    </row>
    <row r="9" spans="1:17" ht="26.25" customHeight="1">
      <c r="A9" s="5793"/>
      <c r="B9" s="1502" t="s">
        <v>12842</v>
      </c>
      <c r="C9" s="4273" t="s">
        <v>1968</v>
      </c>
      <c r="D9" s="1500">
        <v>10</v>
      </c>
      <c r="E9" s="1503" t="s">
        <v>309</v>
      </c>
      <c r="G9" s="1494"/>
      <c r="M9" s="5787"/>
      <c r="N9" s="1254" t="s">
        <v>12754</v>
      </c>
      <c r="O9" s="1552">
        <f>D67</f>
        <v>1.0132499531250001</v>
      </c>
      <c r="P9" s="1277" t="s">
        <v>12843</v>
      </c>
      <c r="Q9" s="1252"/>
    </row>
    <row r="10" spans="1:17" ht="26.25" customHeight="1">
      <c r="A10" s="5793"/>
      <c r="B10" s="1499" t="s">
        <v>12844</v>
      </c>
      <c r="C10" s="4272" t="s">
        <v>1968</v>
      </c>
      <c r="D10" s="1500">
        <v>5</v>
      </c>
      <c r="E10" s="1503" t="s">
        <v>12845</v>
      </c>
      <c r="M10" s="5787"/>
      <c r="N10" s="1252"/>
      <c r="O10" s="1252"/>
      <c r="P10" s="1252"/>
      <c r="Q10" s="1252"/>
    </row>
    <row r="11" spans="1:17" ht="26.25" customHeight="1">
      <c r="A11" s="5793"/>
      <c r="B11" s="1502" t="s">
        <v>12846</v>
      </c>
      <c r="C11" s="4273" t="s">
        <v>1968</v>
      </c>
      <c r="D11" s="1500">
        <v>1.5</v>
      </c>
      <c r="E11" s="1503" t="s">
        <v>12847</v>
      </c>
      <c r="M11" s="5787"/>
      <c r="N11" s="1254" t="s">
        <v>12757</v>
      </c>
      <c r="O11" s="1552">
        <f>D58</f>
        <v>2.31385470354537</v>
      </c>
      <c r="P11" s="1277" t="s">
        <v>285</v>
      </c>
      <c r="Q11" s="1252"/>
    </row>
    <row r="12" spans="1:17" ht="26.25" customHeight="1">
      <c r="A12" s="5793"/>
      <c r="B12" s="1499" t="s">
        <v>12848</v>
      </c>
      <c r="C12" s="4272" t="s">
        <v>1968</v>
      </c>
      <c r="D12" s="1500">
        <v>1</v>
      </c>
      <c r="E12" s="1503" t="s">
        <v>12847</v>
      </c>
    </row>
    <row r="13" spans="1:17" ht="26.25" customHeight="1">
      <c r="A13" s="5793"/>
      <c r="B13" s="1502" t="s">
        <v>12849</v>
      </c>
      <c r="C13" s="4273" t="s">
        <v>1968</v>
      </c>
      <c r="D13" s="1500">
        <v>24</v>
      </c>
      <c r="E13" s="1503" t="s">
        <v>12850</v>
      </c>
    </row>
    <row r="14" spans="1:17" ht="26.25" customHeight="1">
      <c r="A14" s="5793"/>
      <c r="B14" s="1504" t="s">
        <v>12851</v>
      </c>
      <c r="C14" s="4272" t="s">
        <v>1968</v>
      </c>
      <c r="D14" s="1500">
        <v>25</v>
      </c>
      <c r="E14" s="1503" t="s">
        <v>309</v>
      </c>
      <c r="G14" s="1494"/>
      <c r="H14" s="1494"/>
    </row>
    <row r="15" spans="1:17" ht="26.25" customHeight="1">
      <c r="A15" s="5793"/>
      <c r="B15" s="1502" t="s">
        <v>12852</v>
      </c>
      <c r="C15" s="4273" t="s">
        <v>1968</v>
      </c>
      <c r="D15" s="1500">
        <v>25</v>
      </c>
      <c r="E15" s="1503" t="s">
        <v>309</v>
      </c>
      <c r="G15" s="1494"/>
    </row>
    <row r="16" spans="1:17" ht="26.25" customHeight="1">
      <c r="A16" s="5793"/>
      <c r="B16" s="1499" t="s">
        <v>12853</v>
      </c>
      <c r="C16" s="4272" t="s">
        <v>1968</v>
      </c>
      <c r="D16" s="1505">
        <f>360*(D4/(D4+D5))</f>
        <v>180</v>
      </c>
      <c r="E16" s="1506" t="s">
        <v>257</v>
      </c>
      <c r="F16" s="1507"/>
      <c r="G16" s="1508"/>
    </row>
    <row r="17" spans="1:17" ht="26.25" customHeight="1">
      <c r="A17" s="5793"/>
      <c r="B17" s="1502" t="s">
        <v>12854</v>
      </c>
      <c r="C17" s="4273" t="s">
        <v>1968</v>
      </c>
      <c r="D17" s="1509">
        <v>60</v>
      </c>
      <c r="E17" s="1510" t="s">
        <v>12855</v>
      </c>
    </row>
    <row r="18" spans="1:17" ht="26.25" customHeight="1">
      <c r="A18" s="5793"/>
      <c r="B18" s="1499" t="s">
        <v>12856</v>
      </c>
      <c r="C18" s="4272" t="s">
        <v>1968</v>
      </c>
      <c r="D18" s="1500">
        <v>1.5</v>
      </c>
      <c r="E18" s="1503" t="s">
        <v>309</v>
      </c>
    </row>
    <row r="19" spans="1:17" ht="26.25" customHeight="1">
      <c r="A19" s="5793"/>
      <c r="B19" s="1511" t="s">
        <v>12857</v>
      </c>
      <c r="C19" s="1512" t="s">
        <v>1968</v>
      </c>
      <c r="D19" s="1513">
        <v>2</v>
      </c>
      <c r="E19" s="1503"/>
    </row>
    <row r="20" spans="1:17" ht="26.25" customHeight="1">
      <c r="A20" s="5793"/>
      <c r="B20" s="1514" t="s">
        <v>12858</v>
      </c>
      <c r="C20" s="1515" t="s">
        <v>1968</v>
      </c>
      <c r="D20" s="1513">
        <v>0.15</v>
      </c>
      <c r="E20" s="1503"/>
      <c r="L20" s="1554"/>
      <c r="M20" s="1555"/>
      <c r="N20" s="1556"/>
      <c r="O20" s="1555"/>
    </row>
    <row r="21" spans="1:17" ht="26.25" customHeight="1">
      <c r="A21" s="5793"/>
      <c r="B21" s="1511" t="s">
        <v>12859</v>
      </c>
      <c r="C21" s="1512" t="s">
        <v>1968</v>
      </c>
      <c r="D21" s="1513">
        <v>0.7</v>
      </c>
      <c r="E21" s="1503"/>
      <c r="L21" s="1554"/>
      <c r="M21" s="1555"/>
      <c r="N21" s="1556"/>
      <c r="O21" s="1555"/>
      <c r="P21" s="1494"/>
      <c r="Q21" s="1494"/>
    </row>
    <row r="22" spans="1:17" ht="26.25" customHeight="1">
      <c r="A22" s="5794" t="s">
        <v>12860</v>
      </c>
      <c r="B22" s="1499" t="s">
        <v>12861</v>
      </c>
      <c r="C22" s="4274" t="s">
        <v>1968</v>
      </c>
      <c r="D22" s="1516">
        <v>1.76</v>
      </c>
      <c r="G22" s="1517"/>
      <c r="H22" s="1518"/>
      <c r="K22" s="1494"/>
      <c r="L22" s="1494"/>
      <c r="M22" s="1494"/>
      <c r="N22" s="1494"/>
      <c r="O22" s="1555"/>
      <c r="P22" s="1494"/>
      <c r="Q22" s="1494"/>
    </row>
    <row r="23" spans="1:17" ht="26.25" customHeight="1">
      <c r="A23" s="5795"/>
      <c r="B23" s="1502" t="s">
        <v>12862</v>
      </c>
      <c r="C23" s="4275" t="s">
        <v>1968</v>
      </c>
      <c r="D23" s="1516">
        <v>5.53</v>
      </c>
      <c r="K23" s="1494"/>
      <c r="L23" s="1494"/>
      <c r="M23" s="1494"/>
      <c r="N23" s="1494"/>
      <c r="O23" s="1555"/>
      <c r="P23" s="1494"/>
      <c r="Q23" s="1494"/>
    </row>
    <row r="24" spans="1:17" ht="26.25" customHeight="1">
      <c r="A24" s="5796"/>
      <c r="B24" s="1499" t="s">
        <v>12863</v>
      </c>
      <c r="C24" s="4274" t="s">
        <v>1968</v>
      </c>
      <c r="D24" s="1516">
        <v>0.99</v>
      </c>
      <c r="G24" s="1507"/>
      <c r="K24" s="1494"/>
      <c r="L24" s="1494"/>
      <c r="M24" s="1494"/>
      <c r="N24" s="1494"/>
      <c r="O24" s="1555"/>
      <c r="P24" s="1494"/>
      <c r="Q24" s="1494"/>
    </row>
    <row r="25" spans="1:17" ht="26.25" customHeight="1">
      <c r="A25" s="1519"/>
      <c r="K25" s="1494"/>
      <c r="L25" s="1494"/>
      <c r="M25" s="1494"/>
      <c r="N25" s="1494"/>
      <c r="O25" s="1494"/>
      <c r="P25" s="1494"/>
      <c r="Q25" s="1494"/>
    </row>
    <row r="26" spans="1:17" ht="26.25" customHeight="1">
      <c r="A26" s="1519"/>
      <c r="I26" s="1495" t="s">
        <v>3205</v>
      </c>
    </row>
    <row r="27" spans="1:17" ht="12" customHeight="1">
      <c r="B27" s="1495" t="s">
        <v>3205</v>
      </c>
      <c r="D27" s="1495" t="s">
        <v>3205</v>
      </c>
    </row>
    <row r="28" spans="1:17" ht="49.15" customHeight="1">
      <c r="A28" s="5811" t="s">
        <v>12864</v>
      </c>
      <c r="B28" s="5811"/>
      <c r="C28" s="5811"/>
      <c r="D28" s="5811"/>
      <c r="E28" s="5811"/>
      <c r="F28" s="5811"/>
      <c r="G28" s="5811"/>
      <c r="H28" s="5811"/>
      <c r="I28" s="5811"/>
    </row>
    <row r="29" spans="1:17" ht="10.15" customHeight="1">
      <c r="C29" s="1520"/>
      <c r="D29" s="1520"/>
    </row>
    <row r="30" spans="1:17" ht="26.25" customHeight="1">
      <c r="A30" s="5797" t="s">
        <v>12865</v>
      </c>
      <c r="B30" s="5798" t="s">
        <v>12866</v>
      </c>
      <c r="C30" s="1521" t="s">
        <v>1968</v>
      </c>
      <c r="D30" s="1522" t="s">
        <v>12867</v>
      </c>
      <c r="E30" s="1523"/>
      <c r="F30" s="1523"/>
      <c r="G30" s="1523"/>
    </row>
    <row r="31" spans="1:17" ht="26.25" customHeight="1">
      <c r="A31" s="5797"/>
      <c r="B31" s="5798"/>
      <c r="C31" s="1521" t="s">
        <v>1968</v>
      </c>
      <c r="D31" s="1524">
        <f>3.1415*D17*D17*D18*7.8/4/1000</f>
        <v>33.079994999999997</v>
      </c>
      <c r="E31" s="1525" t="s">
        <v>1075</v>
      </c>
      <c r="F31" s="1526"/>
      <c r="G31" s="1526"/>
    </row>
    <row r="32" spans="1:17" ht="9" customHeight="1">
      <c r="A32" s="5797"/>
      <c r="B32" s="1527"/>
      <c r="D32" s="1520"/>
    </row>
    <row r="33" spans="1:10" ht="26.25" customHeight="1">
      <c r="A33" s="5797"/>
      <c r="B33" s="5799" t="s">
        <v>12868</v>
      </c>
      <c r="C33" s="4266" t="s">
        <v>1968</v>
      </c>
      <c r="D33" s="5812" t="s">
        <v>12869</v>
      </c>
      <c r="E33" s="5813"/>
      <c r="H33" s="1494"/>
    </row>
    <row r="34" spans="1:10" ht="26.25" customHeight="1">
      <c r="A34" s="5797"/>
      <c r="B34" s="5800"/>
      <c r="C34" s="1528" t="s">
        <v>1968</v>
      </c>
      <c r="D34" s="1524">
        <f>D11*D13</f>
        <v>36</v>
      </c>
      <c r="E34" s="1525" t="s">
        <v>12690</v>
      </c>
    </row>
    <row r="35" spans="1:10" ht="9" customHeight="1">
      <c r="A35" s="5797"/>
      <c r="D35" s="1520"/>
    </row>
    <row r="36" spans="1:10" ht="26.25" customHeight="1">
      <c r="A36" s="5797"/>
      <c r="B36" s="5799" t="s">
        <v>12870</v>
      </c>
      <c r="C36" s="1528" t="s">
        <v>1968</v>
      </c>
      <c r="D36" s="5814" t="s">
        <v>12871</v>
      </c>
      <c r="E36" s="5815"/>
      <c r="F36" s="1507"/>
      <c r="G36" s="1508"/>
      <c r="J36" s="1557"/>
    </row>
    <row r="37" spans="1:10" ht="26.25" customHeight="1">
      <c r="A37" s="5797"/>
      <c r="B37" s="5800"/>
      <c r="C37" s="1528" t="s">
        <v>1968</v>
      </c>
      <c r="D37" s="1529">
        <f>D12*D13</f>
        <v>24</v>
      </c>
      <c r="E37" s="1525" t="s">
        <v>12690</v>
      </c>
      <c r="F37" s="1507"/>
      <c r="G37" s="1518"/>
    </row>
    <row r="38" spans="1:10" ht="9" customHeight="1">
      <c r="C38" s="1520"/>
      <c r="D38" s="1530"/>
      <c r="F38" s="1507"/>
      <c r="G38" s="1518"/>
    </row>
    <row r="39" spans="1:10" ht="26.25" customHeight="1">
      <c r="A39" s="5797" t="s">
        <v>12872</v>
      </c>
      <c r="B39" s="5801" t="s">
        <v>12873</v>
      </c>
      <c r="C39" s="4276" t="s">
        <v>1968</v>
      </c>
      <c r="D39" s="1532" t="s">
        <v>12874</v>
      </c>
      <c r="E39" s="1533"/>
      <c r="F39" s="1533"/>
    </row>
    <row r="40" spans="1:10" ht="26.25" customHeight="1">
      <c r="A40" s="5797"/>
      <c r="B40" s="5801"/>
      <c r="C40" s="1531" t="s">
        <v>1968</v>
      </c>
      <c r="D40" s="1534">
        <f>(D10*(D9/200)^2)/19.6</f>
        <v>6.3775510204081595E-4</v>
      </c>
      <c r="E40" s="1525" t="s">
        <v>12875</v>
      </c>
      <c r="F40" s="1525"/>
    </row>
    <row r="41" spans="1:10" s="1494" customFormat="1" ht="7.15" customHeight="1">
      <c r="A41" s="5797"/>
      <c r="B41" s="1535"/>
      <c r="C41" s="1536"/>
    </row>
    <row r="42" spans="1:10" ht="26.25" customHeight="1">
      <c r="A42" s="5797"/>
      <c r="B42" s="5801" t="s">
        <v>12876</v>
      </c>
      <c r="C42" s="1531" t="s">
        <v>1968</v>
      </c>
      <c r="D42" s="1537" t="s">
        <v>12877</v>
      </c>
      <c r="E42" s="1537"/>
      <c r="F42" s="1537"/>
      <c r="G42" s="1538"/>
      <c r="H42" s="1539"/>
    </row>
    <row r="43" spans="1:10" ht="26.25" customHeight="1">
      <c r="A43" s="5797"/>
      <c r="B43" s="5801"/>
      <c r="C43" s="4276" t="s">
        <v>1968</v>
      </c>
      <c r="D43" s="1540">
        <f>(D8*(D7/200)^2)/19.6</f>
        <v>3.06122448979592E-2</v>
      </c>
      <c r="E43" s="1525" t="s">
        <v>12875</v>
      </c>
      <c r="F43" s="1525"/>
    </row>
    <row r="44" spans="1:10" s="1494" customFormat="1" ht="9" customHeight="1">
      <c r="A44" s="5797"/>
      <c r="C44" s="1536"/>
    </row>
    <row r="45" spans="1:10" ht="26.25" customHeight="1">
      <c r="A45" s="5797"/>
      <c r="B45" s="5801" t="s">
        <v>12878</v>
      </c>
      <c r="C45" s="4276" t="s">
        <v>1968</v>
      </c>
      <c r="D45" s="5803" t="s">
        <v>12879</v>
      </c>
      <c r="E45" s="5803"/>
      <c r="F45" s="5803"/>
    </row>
    <row r="46" spans="1:10" ht="26.25" customHeight="1">
      <c r="A46" s="5797"/>
      <c r="B46" s="5801"/>
      <c r="C46" s="1531" t="s">
        <v>1968</v>
      </c>
      <c r="D46" s="1541">
        <f>D31*D17*D17/100/100/4/2/9.8</f>
        <v>0.15189793622448999</v>
      </c>
      <c r="E46" s="1525" t="s">
        <v>12880</v>
      </c>
      <c r="F46" s="1525"/>
    </row>
    <row r="47" spans="1:10" ht="9" customHeight="1">
      <c r="A47" s="5797"/>
      <c r="C47" s="1536"/>
      <c r="D47" s="1542"/>
      <c r="E47" s="1494"/>
      <c r="F47" s="1494"/>
    </row>
    <row r="48" spans="1:10" ht="26.25" customHeight="1">
      <c r="A48" s="5797"/>
      <c r="B48" s="5801" t="s">
        <v>12881</v>
      </c>
      <c r="C48" s="1531" t="s">
        <v>1968</v>
      </c>
      <c r="D48" s="1532" t="s">
        <v>12882</v>
      </c>
      <c r="E48" s="1533"/>
      <c r="F48" s="1533"/>
    </row>
    <row r="49" spans="1:8" ht="26.25" customHeight="1">
      <c r="A49" s="5797"/>
      <c r="B49" s="5801"/>
      <c r="C49" s="4276" t="s">
        <v>1968</v>
      </c>
      <c r="D49" s="1543">
        <f>($D$34*(($D$14/100)^2))/9.8</f>
        <v>0.22959183673469399</v>
      </c>
      <c r="E49" s="1525" t="s">
        <v>12880</v>
      </c>
      <c r="F49" s="1525"/>
    </row>
    <row r="50" spans="1:8" s="1494" customFormat="1" ht="7.15" customHeight="1">
      <c r="A50" s="5797"/>
      <c r="C50" s="1536"/>
      <c r="D50" s="1544"/>
    </row>
    <row r="51" spans="1:8" ht="26.25" customHeight="1">
      <c r="A51" s="5797"/>
      <c r="B51" s="5801" t="s">
        <v>12883</v>
      </c>
      <c r="C51" s="4276" t="s">
        <v>1968</v>
      </c>
      <c r="D51" s="5804" t="s">
        <v>12884</v>
      </c>
      <c r="E51" s="5804"/>
      <c r="F51" s="5804"/>
    </row>
    <row r="52" spans="1:8" ht="26.25" customHeight="1">
      <c r="A52" s="5797"/>
      <c r="B52" s="5801"/>
      <c r="C52" s="1531" t="s">
        <v>1968</v>
      </c>
      <c r="D52" s="1534">
        <f>D37*0.25*0.25/9.8</f>
        <v>0.15306122448979601</v>
      </c>
      <c r="E52" s="1525" t="s">
        <v>12875</v>
      </c>
      <c r="F52" s="1525"/>
    </row>
    <row r="53" spans="1:8" ht="9" customHeight="1">
      <c r="C53" s="1520"/>
    </row>
    <row r="54" spans="1:8" ht="26.25" customHeight="1">
      <c r="A54" s="5789" t="s">
        <v>12885</v>
      </c>
      <c r="B54" s="5789"/>
      <c r="C54" s="4266" t="s">
        <v>1968</v>
      </c>
      <c r="D54" s="1523" t="s">
        <v>12886</v>
      </c>
      <c r="E54" s="1533"/>
      <c r="F54" s="1533"/>
      <c r="G54" s="1533"/>
      <c r="H54" s="1533"/>
    </row>
    <row r="55" spans="1:8" ht="26.25" customHeight="1">
      <c r="A55" s="5789"/>
      <c r="B55" s="5789"/>
      <c r="C55" s="4266" t="s">
        <v>1968</v>
      </c>
      <c r="D55" s="1545">
        <f>(72*3.14159*D23*D6^2)/(D3*(D16/1)^2)</f>
        <v>64.344417407407406</v>
      </c>
      <c r="E55" s="5805" t="s">
        <v>12887</v>
      </c>
      <c r="F55" s="5806"/>
      <c r="G55" s="1526"/>
      <c r="H55" s="1526"/>
    </row>
    <row r="56" spans="1:8" ht="7.15" customHeight="1">
      <c r="C56" s="1520"/>
    </row>
    <row r="57" spans="1:8" ht="26.25" customHeight="1">
      <c r="A57" s="5797" t="s">
        <v>12888</v>
      </c>
      <c r="B57" s="5802" t="s">
        <v>12889</v>
      </c>
      <c r="C57" s="4266" t="s">
        <v>1968</v>
      </c>
      <c r="D57" s="1532" t="s">
        <v>12716</v>
      </c>
      <c r="E57" s="1533"/>
      <c r="F57" s="1533"/>
    </row>
    <row r="58" spans="1:8" ht="26.25" customHeight="1">
      <c r="A58" s="5797"/>
      <c r="B58" s="5802"/>
      <c r="C58" s="1528" t="s">
        <v>1968</v>
      </c>
      <c r="D58" s="1546">
        <f>D61+D64</f>
        <v>2.31385470354537</v>
      </c>
      <c r="E58" s="1525" t="s">
        <v>12890</v>
      </c>
      <c r="F58" s="1525"/>
    </row>
    <row r="59" spans="1:8" s="1494" customFormat="1" ht="9" customHeight="1">
      <c r="A59" s="5797"/>
      <c r="C59" s="1547"/>
      <c r="D59" s="1548"/>
    </row>
    <row r="60" spans="1:8" ht="26.25" customHeight="1">
      <c r="A60" s="5797"/>
      <c r="B60" s="5090" t="s">
        <v>12891</v>
      </c>
      <c r="C60" s="4266" t="s">
        <v>1968</v>
      </c>
      <c r="D60" s="1532" t="s">
        <v>12892</v>
      </c>
      <c r="E60" s="1533"/>
      <c r="F60" s="1533"/>
      <c r="G60" s="1533"/>
      <c r="H60" s="1533"/>
    </row>
    <row r="61" spans="1:8" ht="26.25" customHeight="1">
      <c r="A61" s="5797"/>
      <c r="B61" s="5090"/>
      <c r="C61" s="1528"/>
      <c r="D61" s="1549">
        <f>(D43+D46+D49+D52)*(D3/D13)^2*D55</f>
        <v>2.2728187230559498</v>
      </c>
      <c r="E61" s="1525" t="s">
        <v>12890</v>
      </c>
      <c r="F61" s="1525"/>
      <c r="G61" s="1526"/>
      <c r="H61" s="1526"/>
    </row>
    <row r="62" spans="1:8" s="1494" customFormat="1" ht="10.15" customHeight="1">
      <c r="A62" s="5797"/>
      <c r="C62" s="1547"/>
    </row>
    <row r="63" spans="1:8" ht="26.25" customHeight="1">
      <c r="A63" s="5797"/>
      <c r="B63" s="5090" t="s">
        <v>12893</v>
      </c>
      <c r="C63" s="1528" t="s">
        <v>1968</v>
      </c>
      <c r="D63" s="1550" t="s">
        <v>12894</v>
      </c>
      <c r="E63" s="1533"/>
      <c r="F63" s="1533"/>
      <c r="G63" s="1494"/>
      <c r="H63" s="1494"/>
    </row>
    <row r="64" spans="1:8" ht="26.25" customHeight="1">
      <c r="A64" s="5797"/>
      <c r="B64" s="5090"/>
      <c r="C64" s="1528"/>
      <c r="D64" s="1551">
        <f>D40*D55</f>
        <v>4.1035980489417999E-2</v>
      </c>
      <c r="E64" s="1525" t="s">
        <v>12890</v>
      </c>
      <c r="F64" s="1525"/>
      <c r="G64" s="1494"/>
      <c r="H64" s="1494"/>
    </row>
    <row r="65" spans="1:15" ht="9" customHeight="1"/>
    <row r="66" spans="1:15" ht="26.25" customHeight="1">
      <c r="A66" s="5790" t="s">
        <v>12895</v>
      </c>
      <c r="B66" s="5790"/>
      <c r="C66" s="4266" t="s">
        <v>1968</v>
      </c>
      <c r="D66" s="1532" t="s">
        <v>12896</v>
      </c>
      <c r="E66" s="1533"/>
      <c r="F66" s="1533"/>
      <c r="G66" s="5807"/>
      <c r="H66" s="5808"/>
      <c r="I66" s="5808"/>
    </row>
    <row r="67" spans="1:15" ht="26.25" customHeight="1">
      <c r="A67" s="5790"/>
      <c r="B67" s="5790"/>
      <c r="C67" s="4266" t="s">
        <v>1968</v>
      </c>
      <c r="D67" s="1551">
        <f>D20*($D$8+$D$34+D31+D37)*($D$15/100)*($D$3/$D$13)</f>
        <v>1.0132499531250001</v>
      </c>
      <c r="E67" s="1525" t="s">
        <v>12730</v>
      </c>
      <c r="F67" s="1525"/>
      <c r="G67" s="1559"/>
    </row>
    <row r="68" spans="1:15" ht="10.9" customHeight="1"/>
    <row r="69" spans="1:15" ht="26.25" customHeight="1">
      <c r="A69" s="5790" t="s">
        <v>12897</v>
      </c>
      <c r="B69" s="5790"/>
      <c r="C69" s="5790"/>
      <c r="D69" s="5790"/>
      <c r="E69" s="5790"/>
      <c r="F69" s="5790"/>
      <c r="G69" s="5790"/>
      <c r="H69" s="5790"/>
    </row>
    <row r="70" spans="1:15" ht="7.9" customHeight="1"/>
    <row r="71" spans="1:15" ht="26.25" customHeight="1">
      <c r="A71" s="5790" t="s">
        <v>12898</v>
      </c>
      <c r="B71" s="5790"/>
      <c r="C71" s="4266" t="s">
        <v>1968</v>
      </c>
      <c r="D71" s="1532" t="s">
        <v>12828</v>
      </c>
      <c r="E71" s="1533"/>
      <c r="F71" s="1533"/>
      <c r="O71" s="1565"/>
    </row>
    <row r="72" spans="1:15" ht="26.25" customHeight="1">
      <c r="A72" s="5790"/>
      <c r="B72" s="5790"/>
      <c r="C72" s="4266" t="s">
        <v>1968</v>
      </c>
      <c r="D72" s="1560">
        <f>$D$58+$D$67+0</f>
        <v>3.3271046566703699</v>
      </c>
      <c r="E72" s="1525" t="s">
        <v>12730</v>
      </c>
      <c r="F72" s="1525"/>
    </row>
    <row r="73" spans="1:15" ht="12" customHeight="1"/>
    <row r="74" spans="1:15" ht="26.25" customHeight="1">
      <c r="A74" s="5788" t="s">
        <v>12899</v>
      </c>
      <c r="B74" s="5788"/>
      <c r="C74" s="4266" t="s">
        <v>1968</v>
      </c>
      <c r="D74" s="5791" t="s">
        <v>12900</v>
      </c>
      <c r="E74" s="5791"/>
      <c r="F74" s="1533"/>
      <c r="I74" s="1566"/>
    </row>
    <row r="75" spans="1:15" ht="22.9" customHeight="1">
      <c r="A75" s="5788"/>
      <c r="B75" s="5788"/>
      <c r="C75" s="1528" t="s">
        <v>1968</v>
      </c>
      <c r="D75" s="1561">
        <f>$D$72*D19</f>
        <v>6.6542093133407301</v>
      </c>
      <c r="E75" s="1525" t="s">
        <v>12730</v>
      </c>
      <c r="F75" s="1525"/>
      <c r="I75" s="1566"/>
    </row>
    <row r="76" spans="1:15" ht="4.9000000000000004" customHeight="1">
      <c r="G76" s="1494"/>
      <c r="H76" s="1494"/>
      <c r="I76" s="1494"/>
      <c r="J76" s="1494"/>
      <c r="K76" s="1494"/>
      <c r="L76" s="1494"/>
    </row>
    <row r="77" spans="1:15" ht="26.25" customHeight="1">
      <c r="A77" s="5789" t="s">
        <v>12901</v>
      </c>
      <c r="B77" s="5789"/>
      <c r="C77" s="4266" t="s">
        <v>1968</v>
      </c>
      <c r="D77" s="1532" t="s">
        <v>12902</v>
      </c>
      <c r="E77" s="1533"/>
      <c r="F77" s="1533"/>
      <c r="G77" s="1494" t="s">
        <v>12903</v>
      </c>
      <c r="H77" s="1494"/>
      <c r="I77" s="1494"/>
      <c r="J77" s="1494"/>
      <c r="K77" s="1494"/>
      <c r="L77" s="1494"/>
    </row>
    <row r="78" spans="1:15" ht="26.25" customHeight="1">
      <c r="A78" s="5789"/>
      <c r="B78" s="5789"/>
      <c r="C78" s="4266" t="s">
        <v>1968</v>
      </c>
      <c r="D78" s="1562">
        <f>(360/(D3*D16))*D24*(D75+0)</f>
        <v>2.1958890734024399</v>
      </c>
      <c r="E78" s="1525" t="s">
        <v>12730</v>
      </c>
      <c r="F78" s="1525"/>
      <c r="G78" s="1494"/>
      <c r="H78" s="1494"/>
      <c r="I78" s="1494"/>
      <c r="J78" s="1494"/>
      <c r="K78" s="1494"/>
      <c r="L78" s="1494"/>
    </row>
    <row r="79" spans="1:15" ht="10.15" customHeight="1">
      <c r="G79" s="1494"/>
      <c r="H79" s="1494"/>
      <c r="I79" s="1494"/>
      <c r="J79" s="1494"/>
      <c r="K79" s="1494"/>
      <c r="L79" s="1494"/>
    </row>
    <row r="80" spans="1:15" ht="26.25" customHeight="1">
      <c r="A80" s="5789" t="s">
        <v>12904</v>
      </c>
      <c r="B80" s="5789"/>
      <c r="C80" s="4266" t="s">
        <v>1968</v>
      </c>
      <c r="D80" s="1532" t="s">
        <v>12905</v>
      </c>
      <c r="E80" s="1533"/>
      <c r="F80" s="1533"/>
    </row>
    <row r="81" spans="1:6" ht="26.25" customHeight="1">
      <c r="A81" s="5789"/>
      <c r="B81" s="5789"/>
      <c r="C81" s="4266" t="s">
        <v>1968</v>
      </c>
      <c r="D81" s="1563">
        <f>($D$78*$D$6)/(975*D21)</f>
        <v>0.32174198877691501</v>
      </c>
      <c r="E81" s="1525" t="s">
        <v>300</v>
      </c>
      <c r="F81" s="1525"/>
    </row>
    <row r="83" spans="1:6" ht="26.25" customHeight="1">
      <c r="C83" s="1520"/>
      <c r="D83" s="1564"/>
    </row>
    <row r="84" spans="1:6" ht="52.9" customHeight="1">
      <c r="A84" s="5792" t="s">
        <v>12906</v>
      </c>
      <c r="B84" s="5792"/>
      <c r="C84" s="5792"/>
      <c r="D84" s="5792"/>
      <c r="E84" s="5792"/>
      <c r="F84" s="5792"/>
    </row>
  </sheetData>
  <mergeCells count="35">
    <mergeCell ref="A1:J1"/>
    <mergeCell ref="A2:N2"/>
    <mergeCell ref="A28:I28"/>
    <mergeCell ref="D33:E33"/>
    <mergeCell ref="D36:E36"/>
    <mergeCell ref="M5:M11"/>
    <mergeCell ref="D45:F45"/>
    <mergeCell ref="D51:F51"/>
    <mergeCell ref="E55:F55"/>
    <mergeCell ref="G66:I66"/>
    <mergeCell ref="A69:H69"/>
    <mergeCell ref="B60:B61"/>
    <mergeCell ref="B63:B64"/>
    <mergeCell ref="D74:E74"/>
    <mergeCell ref="A84:F84"/>
    <mergeCell ref="A3:A21"/>
    <mergeCell ref="A22:A24"/>
    <mergeCell ref="A30:A37"/>
    <mergeCell ref="A39:A52"/>
    <mergeCell ref="A57:A64"/>
    <mergeCell ref="B30:B31"/>
    <mergeCell ref="B33:B34"/>
    <mergeCell ref="B36:B37"/>
    <mergeCell ref="B39:B40"/>
    <mergeCell ref="B42:B43"/>
    <mergeCell ref="B45:B46"/>
    <mergeCell ref="B48:B49"/>
    <mergeCell ref="B51:B52"/>
    <mergeCell ref="B57:B58"/>
    <mergeCell ref="A74:B75"/>
    <mergeCell ref="A77:B78"/>
    <mergeCell ref="A80:B81"/>
    <mergeCell ref="A54:B55"/>
    <mergeCell ref="A66:B67"/>
    <mergeCell ref="A71:B72"/>
  </mergeCells>
  <phoneticPr fontId="214" type="noConversion"/>
  <dataValidations count="1">
    <dataValidation type="whole" errorStyle="warning" allowBlank="1" showInputMessage="1" showErrorMessage="1" errorTitle="輸入分割等份" error="請輸入0到999之間的整數" sqref="D3" xr:uid="{00000000-0002-0000-7D00-000000000000}">
      <formula1>1</formula1>
      <formula2>999</formula2>
    </dataValidation>
  </dataValidations>
  <pageMargins left="0.75" right="0.75" top="1" bottom="1" header="0.5" footer="0.5"/>
  <pageSetup paperSize="12" orientation="portrait"/>
  <headerFooter scaleWithDoc="0" alignWithMargins="0"/>
  <drawing r:id="rId1"/>
  <legacy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27"/>
  <dimension ref="A1:O42"/>
  <sheetViews>
    <sheetView topLeftCell="D1" zoomScale="115" zoomScaleNormal="115" workbookViewId="0">
      <selection activeCell="D1" sqref="D1"/>
    </sheetView>
  </sheetViews>
  <sheetFormatPr defaultColWidth="8" defaultRowHeight="16.5"/>
  <cols>
    <col min="1" max="3" width="8.125" style="1472" hidden="1" customWidth="1"/>
    <col min="4" max="4" width="16.625" style="1472" customWidth="1"/>
    <col min="5" max="5" width="11.75" style="1473" customWidth="1"/>
    <col min="6" max="6" width="7.375" style="1472" customWidth="1"/>
    <col min="7" max="7" width="12" style="1472" customWidth="1"/>
    <col min="8" max="8" width="16" style="1472" customWidth="1"/>
    <col min="9" max="9" width="7.875" style="1474" customWidth="1"/>
    <col min="10" max="10" width="10.75" style="1472" customWidth="1"/>
    <col min="11" max="11" width="7.25" style="1473" customWidth="1"/>
    <col min="12" max="16384" width="8" style="1472"/>
  </cols>
  <sheetData>
    <row r="1" spans="4:14" ht="34.5" customHeight="1"/>
    <row r="2" spans="4:14" ht="20.25" customHeight="1">
      <c r="D2" s="1475" t="s">
        <v>12907</v>
      </c>
      <c r="F2" s="1476" t="s">
        <v>12908</v>
      </c>
    </row>
    <row r="3" spans="4:14" ht="20.25" customHeight="1">
      <c r="D3" s="1472" t="s">
        <v>12909</v>
      </c>
      <c r="F3" s="1473">
        <v>5.3</v>
      </c>
    </row>
    <row r="4" spans="4:14" ht="20.25" customHeight="1">
      <c r="D4" s="1472" t="s">
        <v>12910</v>
      </c>
      <c r="F4" s="1473">
        <v>0.12</v>
      </c>
    </row>
    <row r="5" spans="4:14" ht="20.25" customHeight="1">
      <c r="D5" s="1477" t="s">
        <v>12911</v>
      </c>
      <c r="F5" s="1473">
        <v>1</v>
      </c>
      <c r="M5" s="1477"/>
      <c r="N5" s="1492"/>
    </row>
    <row r="7" spans="4:14">
      <c r="D7" s="1477" t="s">
        <v>464</v>
      </c>
      <c r="F7" s="1472">
        <v>25</v>
      </c>
      <c r="H7" s="1473"/>
    </row>
    <row r="8" spans="4:14">
      <c r="D8" s="1478" t="s">
        <v>12912</v>
      </c>
      <c r="E8" s="1479" t="s">
        <v>12913</v>
      </c>
      <c r="F8" s="1480">
        <f>F3*F7</f>
        <v>132.5</v>
      </c>
      <c r="G8" s="1478"/>
      <c r="H8" s="1481"/>
    </row>
    <row r="9" spans="4:14">
      <c r="D9" s="1478" t="s">
        <v>12914</v>
      </c>
      <c r="E9" s="1479" t="s">
        <v>12915</v>
      </c>
      <c r="F9" s="1482">
        <f>F8/PI()</f>
        <v>42.176059919352298</v>
      </c>
      <c r="G9" s="1478" t="s">
        <v>12916</v>
      </c>
      <c r="H9" s="1483">
        <f>F9/2</f>
        <v>21.088029959676099</v>
      </c>
    </row>
    <row r="10" spans="4:14">
      <c r="D10" s="1478" t="s">
        <v>12917</v>
      </c>
      <c r="E10" s="1479" t="s">
        <v>12918</v>
      </c>
      <c r="F10" s="1482">
        <f>F9-F4*2</f>
        <v>41.936059919352303</v>
      </c>
      <c r="G10" s="1478" t="s">
        <v>12919</v>
      </c>
      <c r="H10" s="1483">
        <f>F10/2</f>
        <v>20.968029959676102</v>
      </c>
    </row>
    <row r="11" spans="4:14">
      <c r="D11" s="1478" t="s">
        <v>12920</v>
      </c>
      <c r="E11" s="1479" t="s">
        <v>12921</v>
      </c>
      <c r="F11" s="1480">
        <f>F4*2</f>
        <v>0.24</v>
      </c>
      <c r="G11" s="1478"/>
      <c r="H11" s="1481"/>
    </row>
    <row r="12" spans="4:14">
      <c r="D12" s="1484" t="s">
        <v>12922</v>
      </c>
      <c r="E12" s="1485" t="s">
        <v>12923</v>
      </c>
      <c r="F12" s="1480">
        <f>F5-0.04</f>
        <v>0.96</v>
      </c>
      <c r="G12" s="1478"/>
      <c r="H12" s="1481"/>
    </row>
    <row r="13" spans="4:14">
      <c r="D13" s="1484"/>
      <c r="E13" s="1479"/>
      <c r="F13" s="1480">
        <f>F21/2</f>
        <v>0.4365</v>
      </c>
      <c r="G13" s="1478"/>
      <c r="H13" s="1481"/>
    </row>
    <row r="14" spans="4:14">
      <c r="D14" s="1484" t="s">
        <v>10233</v>
      </c>
      <c r="E14" s="1479"/>
      <c r="F14" s="1482">
        <f>F3*F7/3.1415926</f>
        <v>42.176060638798297</v>
      </c>
      <c r="G14" s="1478"/>
      <c r="H14" s="1481"/>
    </row>
    <row r="15" spans="4:14">
      <c r="D15" s="1486" t="s">
        <v>12924</v>
      </c>
      <c r="E15" s="1479"/>
      <c r="F15" s="1482">
        <f>F14-(F4*2)</f>
        <v>41.936060638798303</v>
      </c>
      <c r="G15" s="1478"/>
      <c r="H15" s="1481"/>
    </row>
    <row r="16" spans="4:14">
      <c r="D16" s="1486" t="s">
        <v>12925</v>
      </c>
      <c r="E16" s="1479"/>
      <c r="F16" s="1482">
        <f>F15+(2*F21*0.66)</f>
        <v>43.088420638798297</v>
      </c>
      <c r="G16" s="1478"/>
      <c r="H16" s="1481"/>
    </row>
    <row r="17" spans="4:15">
      <c r="D17" s="1486" t="s">
        <v>487</v>
      </c>
      <c r="E17" s="1479"/>
      <c r="F17" s="1487">
        <f>F16-F15</f>
        <v>1.1523600000000001</v>
      </c>
      <c r="G17" s="1478"/>
      <c r="H17" s="1481"/>
    </row>
    <row r="18" spans="4:15">
      <c r="D18" s="1486" t="s">
        <v>12926</v>
      </c>
      <c r="E18" s="1479"/>
      <c r="F18" s="1487">
        <f>F21/2</f>
        <v>0.4365</v>
      </c>
      <c r="G18" s="1478"/>
      <c r="H18" s="1481"/>
    </row>
    <row r="19" spans="4:15">
      <c r="D19" s="1486" t="s">
        <v>12927</v>
      </c>
      <c r="E19" s="1479"/>
      <c r="F19" s="1480">
        <f>F21/0.85</f>
        <v>1.02705882352941</v>
      </c>
      <c r="G19" s="1478"/>
      <c r="H19" s="1481"/>
      <c r="I19" s="1472"/>
      <c r="J19" s="1474"/>
      <c r="K19" s="1472"/>
      <c r="L19" s="1473"/>
    </row>
    <row r="20" spans="4:15">
      <c r="D20" s="1486" t="s">
        <v>1866</v>
      </c>
      <c r="E20" s="1479"/>
      <c r="F20" s="1488">
        <f>F21*0.66</f>
        <v>0.57618000000000003</v>
      </c>
      <c r="G20" s="1478"/>
      <c r="H20" s="1481"/>
      <c r="I20" s="1477"/>
      <c r="J20" s="1474"/>
      <c r="K20" s="1472"/>
      <c r="L20" s="1473"/>
    </row>
    <row r="21" spans="4:15">
      <c r="D21" s="1486" t="s">
        <v>12928</v>
      </c>
      <c r="E21" s="1479"/>
      <c r="F21" s="1489">
        <f>F5-0.127</f>
        <v>0.873</v>
      </c>
      <c r="G21" s="1478"/>
      <c r="H21" s="1481"/>
      <c r="I21" s="1477"/>
      <c r="J21" s="1474"/>
      <c r="K21" s="1472"/>
      <c r="L21" s="1473"/>
    </row>
    <row r="22" spans="4:15">
      <c r="E22" s="1472"/>
      <c r="F22" s="1473"/>
      <c r="I22" s="1477"/>
      <c r="J22" s="1474"/>
      <c r="K22" s="1472"/>
      <c r="L22" s="1473"/>
    </row>
    <row r="23" spans="4:15">
      <c r="E23" s="1472"/>
      <c r="F23" s="1473"/>
      <c r="I23" s="1477"/>
      <c r="J23" s="1474"/>
      <c r="K23" s="1472"/>
      <c r="L23" s="1473"/>
    </row>
    <row r="24" spans="4:15">
      <c r="E24" s="1472"/>
      <c r="F24" s="1473"/>
      <c r="H24" s="1477"/>
      <c r="I24" s="1477"/>
      <c r="J24" s="1474"/>
      <c r="K24" s="1472"/>
      <c r="L24" s="1473"/>
    </row>
    <row r="25" spans="4:15">
      <c r="D25" s="1490"/>
      <c r="E25" s="1490"/>
      <c r="F25" s="1491"/>
      <c r="G25" s="1490"/>
      <c r="H25" s="1490"/>
      <c r="I25" s="1490"/>
      <c r="J25" s="1493"/>
      <c r="K25" s="1490"/>
      <c r="L25" s="1491"/>
      <c r="M25" s="1490"/>
    </row>
    <row r="26" spans="4:15">
      <c r="D26" s="1490"/>
      <c r="E26" s="1490"/>
      <c r="F26" s="1491"/>
      <c r="G26" s="1490"/>
      <c r="H26" s="1490"/>
      <c r="I26" s="1490"/>
      <c r="J26" s="1493"/>
      <c r="K26" s="1490"/>
      <c r="L26" s="1491"/>
      <c r="M26" s="1490"/>
    </row>
    <row r="27" spans="4:15">
      <c r="D27" s="1490"/>
      <c r="E27" s="1490"/>
      <c r="F27" s="1491"/>
      <c r="G27" s="1490"/>
      <c r="H27" s="1490"/>
      <c r="I27" s="1490"/>
      <c r="J27" s="1493"/>
      <c r="K27" s="1490"/>
      <c r="L27" s="1491"/>
      <c r="M27" s="1490"/>
    </row>
    <row r="28" spans="4:15">
      <c r="D28" s="1490"/>
      <c r="E28" s="1490"/>
      <c r="F28" s="1491"/>
      <c r="G28" s="1490"/>
      <c r="H28" s="1490"/>
      <c r="I28" s="1490"/>
      <c r="J28" s="1493"/>
      <c r="K28" s="1490"/>
      <c r="L28" s="1491"/>
      <c r="M28" s="1490"/>
    </row>
    <row r="29" spans="4:15">
      <c r="D29" s="1490"/>
      <c r="E29" s="1490"/>
      <c r="F29" s="1491"/>
      <c r="G29" s="1490"/>
      <c r="H29" s="1490"/>
      <c r="I29" s="1490"/>
      <c r="J29" s="1493"/>
      <c r="K29" s="1490"/>
      <c r="L29" s="1491"/>
      <c r="M29" s="1490"/>
    </row>
    <row r="30" spans="4:15">
      <c r="D30" s="1490"/>
      <c r="E30" s="1490"/>
      <c r="F30" s="1491"/>
      <c r="G30" s="1490"/>
      <c r="H30" s="1490"/>
      <c r="I30" s="1490"/>
      <c r="J30" s="1493"/>
      <c r="K30" s="1490"/>
      <c r="L30" s="1491"/>
      <c r="M30" s="1490"/>
    </row>
    <row r="31" spans="4:15">
      <c r="D31" s="1490"/>
      <c r="E31" s="1490"/>
      <c r="F31" s="1491"/>
      <c r="G31" s="1490"/>
      <c r="H31" s="1490"/>
      <c r="I31" s="1490"/>
      <c r="J31" s="1493"/>
      <c r="K31" s="1490"/>
      <c r="L31" s="1491"/>
      <c r="M31" s="1490"/>
    </row>
    <row r="32" spans="4:15">
      <c r="D32" s="1490"/>
      <c r="E32" s="1490"/>
      <c r="F32" s="1491"/>
      <c r="G32" s="1490"/>
      <c r="H32" s="1490"/>
      <c r="I32" s="1493"/>
      <c r="J32" s="1490"/>
      <c r="K32" s="1491"/>
      <c r="L32" s="1491"/>
      <c r="M32" s="1490"/>
      <c r="O32" s="1474"/>
    </row>
    <row r="33" spans="4:15">
      <c r="D33" s="1490"/>
      <c r="E33" s="1490"/>
      <c r="F33" s="1491"/>
      <c r="G33" s="1490"/>
      <c r="H33" s="1490"/>
      <c r="I33" s="1493"/>
      <c r="J33" s="1490"/>
      <c r="K33" s="1491"/>
      <c r="L33" s="1491"/>
      <c r="M33" s="1490"/>
      <c r="O33" s="1474"/>
    </row>
    <row r="34" spans="4:15">
      <c r="D34" s="1490"/>
      <c r="E34" s="1491"/>
      <c r="F34" s="1490"/>
      <c r="G34" s="1490"/>
      <c r="H34" s="1490"/>
      <c r="I34" s="1493"/>
      <c r="J34" s="1490"/>
      <c r="K34" s="1491"/>
      <c r="L34" s="1490"/>
      <c r="M34" s="1490"/>
    </row>
    <row r="35" spans="4:15">
      <c r="D35" s="1490"/>
      <c r="E35" s="1491"/>
      <c r="F35" s="1490"/>
      <c r="G35" s="1490"/>
      <c r="H35" s="1490"/>
      <c r="I35" s="1493"/>
      <c r="J35" s="1490"/>
      <c r="K35" s="1491"/>
      <c r="L35" s="1490"/>
      <c r="M35" s="1490"/>
    </row>
    <row r="36" spans="4:15">
      <c r="D36" s="1490"/>
      <c r="E36" s="1491"/>
      <c r="F36" s="1490"/>
      <c r="G36" s="1490"/>
      <c r="H36" s="1490"/>
      <c r="I36" s="1493"/>
      <c r="J36" s="1490"/>
      <c r="K36" s="1491"/>
      <c r="L36" s="1490"/>
      <c r="M36" s="1490"/>
    </row>
    <row r="37" spans="4:15">
      <c r="D37" s="1490"/>
      <c r="E37" s="1491"/>
      <c r="F37" s="1490"/>
      <c r="G37" s="1490"/>
      <c r="H37" s="1490"/>
      <c r="I37" s="1493"/>
      <c r="J37" s="1490"/>
      <c r="K37" s="1491"/>
      <c r="L37" s="1490"/>
      <c r="M37" s="1490"/>
    </row>
    <row r="38" spans="4:15">
      <c r="D38" s="1490"/>
      <c r="E38" s="1491"/>
      <c r="F38" s="1490"/>
      <c r="G38" s="1490"/>
      <c r="H38" s="1490"/>
      <c r="I38" s="1493"/>
      <c r="J38" s="1490"/>
      <c r="K38" s="1491"/>
      <c r="L38" s="1490"/>
      <c r="M38" s="1490"/>
    </row>
    <row r="39" spans="4:15">
      <c r="D39" s="1490"/>
      <c r="E39" s="1491"/>
      <c r="F39" s="1490"/>
      <c r="G39" s="1490"/>
      <c r="H39" s="1490"/>
      <c r="I39" s="1493"/>
      <c r="J39" s="1490"/>
      <c r="K39" s="1491"/>
      <c r="L39" s="1490"/>
      <c r="M39" s="1490"/>
    </row>
    <row r="40" spans="4:15">
      <c r="D40" s="1490"/>
      <c r="E40" s="1491"/>
      <c r="F40" s="1490"/>
      <c r="G40" s="1490"/>
      <c r="H40" s="1490"/>
      <c r="I40" s="1493"/>
      <c r="J40" s="1490"/>
      <c r="K40" s="1491"/>
      <c r="L40" s="1490"/>
      <c r="M40" s="1490"/>
    </row>
    <row r="41" spans="4:15">
      <c r="D41" s="1490"/>
      <c r="E41" s="1491"/>
      <c r="F41" s="1490"/>
      <c r="G41" s="1490"/>
      <c r="H41" s="1490"/>
      <c r="I41" s="1493"/>
      <c r="J41" s="1490"/>
      <c r="K41" s="1491"/>
      <c r="L41" s="1490"/>
      <c r="M41" s="1490"/>
    </row>
    <row r="42" spans="4:15">
      <c r="D42" s="1490"/>
      <c r="E42" s="1491"/>
      <c r="F42" s="1490"/>
      <c r="G42" s="1490"/>
      <c r="H42" s="1490"/>
      <c r="I42" s="1493"/>
      <c r="J42" s="1490"/>
      <c r="K42" s="1491"/>
      <c r="L42" s="1490"/>
      <c r="M42" s="1490"/>
    </row>
  </sheetData>
  <phoneticPr fontId="214" type="noConversion"/>
  <pageMargins left="0.38888888888888901" right="0.45902777777777798" top="1" bottom="1" header="0.5" footer="0.5"/>
  <pageSetup paperSize="9" orientation="portrait"/>
  <headerFooter scaleWithDoc="0" alignWithMargins="0"/>
  <drawing r:id="rId1"/>
  <legacyDrawing r:id="rId2"/>
  <oleObjects>
    <mc:AlternateContent xmlns:mc="http://schemas.openxmlformats.org/markup-compatibility/2006">
      <mc:Choice Requires="x14">
        <oleObject progId="AutoCAD.Drawing.15" shapeId="1219585" r:id="rId3">
          <objectPr defaultSize="0" altText="" r:id="rId4">
            <anchor moveWithCells="1">
              <from>
                <xdr:col>3</xdr:col>
                <xdr:colOff>114300</xdr:colOff>
                <xdr:row>43</xdr:row>
                <xdr:rowOff>47625</xdr:rowOff>
              </from>
              <to>
                <xdr:col>13</xdr:col>
                <xdr:colOff>152400</xdr:colOff>
                <xdr:row>71</xdr:row>
                <xdr:rowOff>38100</xdr:rowOff>
              </to>
            </anchor>
          </objectPr>
        </oleObject>
      </mc:Choice>
      <mc:Fallback>
        <oleObject progId="AutoCAD.Drawing.15" shapeId="1219585" r:id="rId3"/>
      </mc:Fallback>
    </mc:AlternateContent>
  </oleObjec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28"/>
  <dimension ref="A1:F52"/>
  <sheetViews>
    <sheetView view="pageBreakPreview" zoomScaleNormal="100" workbookViewId="0">
      <selection activeCell="G1" sqref="G1"/>
    </sheetView>
  </sheetViews>
  <sheetFormatPr defaultColWidth="8.125" defaultRowHeight="15"/>
  <cols>
    <col min="1" max="1" width="5.125" style="1420" customWidth="1"/>
    <col min="2" max="2" width="6.75" style="1420" customWidth="1"/>
    <col min="3" max="3" width="25.25" style="1420" customWidth="1"/>
    <col min="4" max="4" width="28.25" style="1420" customWidth="1"/>
    <col min="5" max="5" width="15.75" style="1420" customWidth="1"/>
    <col min="6" max="6" width="8.125" style="1420"/>
    <col min="7" max="7" width="73.125" style="1420" customWidth="1"/>
    <col min="8" max="16384" width="8.125" style="1420"/>
  </cols>
  <sheetData>
    <row r="1" spans="1:6" s="1353" customFormat="1" ht="20.100000000000001" customHeight="1">
      <c r="A1" s="1404" t="s">
        <v>12929</v>
      </c>
      <c r="B1" s="1405" t="s">
        <v>12930</v>
      </c>
      <c r="C1" s="1405" t="s">
        <v>12931</v>
      </c>
      <c r="D1" s="1405" t="s">
        <v>12932</v>
      </c>
      <c r="E1" s="1405" t="s">
        <v>12933</v>
      </c>
      <c r="F1" s="1421" t="s">
        <v>12934</v>
      </c>
    </row>
    <row r="2" spans="1:6" s="1353" customFormat="1" ht="20.100000000000001" customHeight="1">
      <c r="A2" s="1408"/>
      <c r="B2" s="1422" t="s">
        <v>12935</v>
      </c>
      <c r="C2" s="1422" t="s">
        <v>12936</v>
      </c>
      <c r="D2" s="1410"/>
      <c r="E2" s="1410"/>
      <c r="F2" s="1411"/>
    </row>
    <row r="3" spans="1:6" s="1463" customFormat="1" ht="18.75">
      <c r="A3" s="4277" t="s">
        <v>10424</v>
      </c>
      <c r="B3" s="1465" t="s">
        <v>12937</v>
      </c>
      <c r="C3" s="1465" t="s">
        <v>12938</v>
      </c>
      <c r="D3" s="1466"/>
      <c r="E3" s="1466">
        <v>0</v>
      </c>
      <c r="F3" s="1467" t="s">
        <v>464</v>
      </c>
    </row>
    <row r="4" spans="1:6" s="1463" customFormat="1" ht="19.5">
      <c r="A4" s="4277" t="s">
        <v>11044</v>
      </c>
      <c r="B4" s="1466" t="s">
        <v>12939</v>
      </c>
      <c r="C4" s="1465" t="s">
        <v>12940</v>
      </c>
      <c r="D4" s="1466"/>
      <c r="E4" s="1466">
        <v>3122</v>
      </c>
      <c r="F4" s="1467" t="s">
        <v>464</v>
      </c>
    </row>
    <row r="5" spans="1:6" s="1463" customFormat="1">
      <c r="A5" s="4277" t="s">
        <v>11045</v>
      </c>
      <c r="B5" s="1466" t="s">
        <v>1866</v>
      </c>
      <c r="C5" s="1465" t="s">
        <v>12941</v>
      </c>
      <c r="D5" s="1466"/>
      <c r="E5" s="1466">
        <v>25</v>
      </c>
      <c r="F5" s="1467" t="s">
        <v>234</v>
      </c>
    </row>
    <row r="6" spans="1:6" s="1463" customFormat="1">
      <c r="A6" s="4277" t="s">
        <v>11046</v>
      </c>
      <c r="B6" s="1466" t="s">
        <v>2524</v>
      </c>
      <c r="C6" s="1465" t="s">
        <v>12942</v>
      </c>
      <c r="D6" s="1466"/>
      <c r="E6" s="1466">
        <v>32</v>
      </c>
      <c r="F6" s="1467" t="s">
        <v>234</v>
      </c>
    </row>
    <row r="7" spans="1:6" s="1463" customFormat="1" ht="18">
      <c r="A7" s="4277" t="s">
        <v>11047</v>
      </c>
      <c r="B7" s="1466"/>
      <c r="C7" s="1465" t="s">
        <v>12943</v>
      </c>
      <c r="D7" s="1466" t="s">
        <v>12944</v>
      </c>
      <c r="E7" s="1466"/>
      <c r="F7" s="1468" t="s">
        <v>12945</v>
      </c>
    </row>
    <row r="8" spans="1:6" s="1463" customFormat="1">
      <c r="A8" s="4277" t="s">
        <v>11048</v>
      </c>
      <c r="B8" s="1466"/>
      <c r="C8" s="1465" t="s">
        <v>12946</v>
      </c>
      <c r="D8" s="1466" t="s">
        <v>12947</v>
      </c>
      <c r="E8" s="1466"/>
      <c r="F8" s="1467"/>
    </row>
    <row r="9" spans="1:6" s="1463" customFormat="1">
      <c r="A9" s="4277" t="s">
        <v>11049</v>
      </c>
      <c r="B9" s="1466"/>
      <c r="C9" s="1465" t="s">
        <v>12948</v>
      </c>
      <c r="D9" s="1466" t="s">
        <v>12949</v>
      </c>
      <c r="E9" s="1466"/>
      <c r="F9" s="1467"/>
    </row>
    <row r="10" spans="1:6" s="1463" customFormat="1">
      <c r="A10" s="4277" t="s">
        <v>9825</v>
      </c>
      <c r="B10" s="1466" t="s">
        <v>252</v>
      </c>
      <c r="C10" s="1465" t="s">
        <v>12950</v>
      </c>
      <c r="D10" s="1466"/>
      <c r="E10" s="1466">
        <v>79000</v>
      </c>
      <c r="F10" s="1467" t="s">
        <v>1721</v>
      </c>
    </row>
    <row r="11" spans="1:6" s="1463" customFormat="1">
      <c r="A11" s="4277" t="s">
        <v>9828</v>
      </c>
      <c r="B11" s="1466" t="s">
        <v>2510</v>
      </c>
      <c r="C11" s="1465" t="s">
        <v>12951</v>
      </c>
      <c r="D11" s="1466"/>
      <c r="E11" s="1466">
        <v>206000</v>
      </c>
      <c r="F11" s="1467" t="s">
        <v>1721</v>
      </c>
    </row>
    <row r="12" spans="1:6" s="1353" customFormat="1" ht="20.100000000000001" customHeight="1">
      <c r="A12" s="1408"/>
      <c r="B12" s="1422" t="s">
        <v>12952</v>
      </c>
      <c r="C12" s="1422" t="s">
        <v>12953</v>
      </c>
      <c r="D12" s="1410"/>
      <c r="E12" s="1410"/>
      <c r="F12" s="1411"/>
    </row>
    <row r="13" spans="1:6" s="1463" customFormat="1" ht="18.75">
      <c r="A13" s="4277" t="s">
        <v>3389</v>
      </c>
      <c r="B13" s="1465" t="s">
        <v>12954</v>
      </c>
      <c r="C13" s="1465" t="s">
        <v>12955</v>
      </c>
      <c r="D13" s="1469" t="s">
        <v>12956</v>
      </c>
      <c r="E13" s="1466">
        <v>1370</v>
      </c>
      <c r="F13" s="1467" t="s">
        <v>1721</v>
      </c>
    </row>
    <row r="14" spans="1:6" s="1463" customFormat="1" ht="19.5">
      <c r="A14" s="4277" t="s">
        <v>11050</v>
      </c>
      <c r="B14" s="1466" t="s">
        <v>12957</v>
      </c>
      <c r="C14" s="1465" t="s">
        <v>12958</v>
      </c>
      <c r="D14" s="1466" t="s">
        <v>12959</v>
      </c>
      <c r="E14" s="1466">
        <f>0.5*E13</f>
        <v>685</v>
      </c>
      <c r="F14" s="1467" t="s">
        <v>1721</v>
      </c>
    </row>
    <row r="15" spans="1:6" s="1463" customFormat="1" ht="19.5">
      <c r="A15" s="4277" t="s">
        <v>11051</v>
      </c>
      <c r="B15" s="1466" t="s">
        <v>12960</v>
      </c>
      <c r="C15" s="1465" t="s">
        <v>12961</v>
      </c>
      <c r="D15" s="1466" t="s">
        <v>12962</v>
      </c>
      <c r="E15" s="1466">
        <f>E14*E6^2/E4</f>
        <v>224.67648942985301</v>
      </c>
      <c r="F15" s="1467"/>
    </row>
    <row r="16" spans="1:6" s="1463" customFormat="1">
      <c r="A16" s="4277" t="s">
        <v>11105</v>
      </c>
      <c r="B16" s="1466" t="s">
        <v>12963</v>
      </c>
      <c r="C16" s="1465" t="s">
        <v>12964</v>
      </c>
      <c r="D16" s="1469" t="s">
        <v>12965</v>
      </c>
      <c r="E16" s="1466"/>
      <c r="F16" s="1467"/>
    </row>
    <row r="17" spans="1:6" s="1463" customFormat="1">
      <c r="A17" s="4277" t="s">
        <v>11097</v>
      </c>
      <c r="B17" s="1466" t="s">
        <v>12966</v>
      </c>
      <c r="C17" s="1465" t="s">
        <v>12967</v>
      </c>
      <c r="D17" s="1466"/>
      <c r="E17" s="1466">
        <v>4</v>
      </c>
      <c r="F17" s="1467"/>
    </row>
    <row r="18" spans="1:6" s="1463" customFormat="1">
      <c r="A18" s="4277" t="s">
        <v>3394</v>
      </c>
      <c r="B18" s="1466" t="s">
        <v>12968</v>
      </c>
      <c r="C18" s="1465" t="s">
        <v>12969</v>
      </c>
      <c r="D18" s="1466"/>
      <c r="E18" s="1466">
        <v>1.4039999999999999</v>
      </c>
      <c r="F18" s="1467"/>
    </row>
    <row r="19" spans="1:6" s="1463" customFormat="1">
      <c r="A19" s="4277" t="s">
        <v>11063</v>
      </c>
      <c r="B19" s="1466" t="s">
        <v>411</v>
      </c>
      <c r="C19" s="1465" t="s">
        <v>12970</v>
      </c>
      <c r="D19" s="1466" t="s">
        <v>12971</v>
      </c>
      <c r="E19" s="1466">
        <f>E6/E17</f>
        <v>8</v>
      </c>
      <c r="F19" s="1467" t="s">
        <v>234</v>
      </c>
    </row>
    <row r="20" spans="1:6" s="1463" customFormat="1">
      <c r="A20" s="1464"/>
      <c r="B20" s="1466"/>
      <c r="C20" s="1465"/>
      <c r="D20" s="1466" t="s">
        <v>12972</v>
      </c>
      <c r="E20" s="1466">
        <v>8</v>
      </c>
      <c r="F20" s="1467" t="s">
        <v>234</v>
      </c>
    </row>
    <row r="21" spans="1:6" s="1386" customFormat="1">
      <c r="A21" s="4277" t="s">
        <v>11403</v>
      </c>
      <c r="B21" s="1466" t="s">
        <v>1957</v>
      </c>
      <c r="C21" s="1465" t="s">
        <v>12973</v>
      </c>
      <c r="D21" s="1466" t="s">
        <v>12974</v>
      </c>
      <c r="E21" s="1466">
        <f>E6/E20</f>
        <v>4</v>
      </c>
      <c r="F21" s="1467"/>
    </row>
    <row r="22" spans="1:6" s="1386" customFormat="1" ht="30" customHeight="1">
      <c r="A22" s="4277" t="s">
        <v>11098</v>
      </c>
      <c r="B22" s="1466" t="s">
        <v>462</v>
      </c>
      <c r="C22" s="1465" t="s">
        <v>12975</v>
      </c>
      <c r="D22" s="1470" t="s">
        <v>12976</v>
      </c>
      <c r="E22" s="1466">
        <f>(4*E21-1)/(4*E21-4)+0.615/E21</f>
        <v>1.4037500000000001</v>
      </c>
      <c r="F22" s="1467"/>
    </row>
    <row r="23" spans="1:6" s="1386" customFormat="1">
      <c r="A23" s="4277" t="s">
        <v>11111</v>
      </c>
      <c r="B23" s="1466" t="s">
        <v>12977</v>
      </c>
      <c r="C23" s="1465" t="s">
        <v>12978</v>
      </c>
      <c r="D23" s="1466" t="s">
        <v>12979</v>
      </c>
      <c r="E23" s="1466">
        <f>(E4-E3)/E5</f>
        <v>124.88</v>
      </c>
      <c r="F23" s="1467" t="s">
        <v>1719</v>
      </c>
    </row>
    <row r="24" spans="1:6" s="1386" customFormat="1" ht="19.5">
      <c r="A24" s="4277" t="s">
        <v>1164</v>
      </c>
      <c r="B24" s="1466" t="s">
        <v>12980</v>
      </c>
      <c r="C24" s="1465" t="s">
        <v>12981</v>
      </c>
      <c r="D24" s="1466" t="s">
        <v>12982</v>
      </c>
      <c r="E24" s="1466">
        <f>E3/E23</f>
        <v>0</v>
      </c>
      <c r="F24" s="1467" t="s">
        <v>234</v>
      </c>
    </row>
    <row r="25" spans="1:6" s="1386" customFormat="1" ht="19.5">
      <c r="A25" s="4277" t="s">
        <v>11106</v>
      </c>
      <c r="B25" s="1466" t="s">
        <v>12983</v>
      </c>
      <c r="C25" s="1465" t="s">
        <v>12984</v>
      </c>
      <c r="D25" s="1466" t="s">
        <v>12985</v>
      </c>
      <c r="E25" s="1466">
        <f>E4/E23</f>
        <v>25</v>
      </c>
      <c r="F25" s="1467" t="s">
        <v>234</v>
      </c>
    </row>
    <row r="26" spans="1:6" s="1386" customFormat="1" ht="19.5">
      <c r="A26" s="4277" t="s">
        <v>11100</v>
      </c>
      <c r="B26" s="1466" t="s">
        <v>12986</v>
      </c>
      <c r="C26" s="1465" t="s">
        <v>12987</v>
      </c>
      <c r="D26" s="1466" t="s">
        <v>12988</v>
      </c>
      <c r="E26" s="1466">
        <f>E25/0.65</f>
        <v>38.461538461538503</v>
      </c>
      <c r="F26" s="1467" t="s">
        <v>234</v>
      </c>
    </row>
    <row r="27" spans="1:6" s="1386" customFormat="1" ht="19.5">
      <c r="A27" s="4277" t="s">
        <v>11123</v>
      </c>
      <c r="B27" s="1466" t="s">
        <v>12989</v>
      </c>
      <c r="C27" s="1465" t="s">
        <v>12990</v>
      </c>
      <c r="D27" s="1466" t="s">
        <v>12991</v>
      </c>
      <c r="E27" s="1466">
        <f>E4/0.65</f>
        <v>4803.0769230769201</v>
      </c>
      <c r="F27" s="1467" t="s">
        <v>234</v>
      </c>
    </row>
    <row r="28" spans="1:6" s="1386" customFormat="1" ht="19.5">
      <c r="A28" s="4277" t="s">
        <v>11246</v>
      </c>
      <c r="B28" s="1466" t="s">
        <v>2487</v>
      </c>
      <c r="C28" s="1469" t="s">
        <v>12992</v>
      </c>
      <c r="D28" s="1466" t="s">
        <v>12993</v>
      </c>
      <c r="E28" s="1466">
        <f>E10*E20^4*E25/(8*E4*E6^3)</f>
        <v>9.8844891095451608</v>
      </c>
      <c r="F28" s="1467"/>
    </row>
    <row r="29" spans="1:6" s="1386" customFormat="1">
      <c r="A29" s="1464"/>
      <c r="B29" s="1466"/>
      <c r="C29" s="1469"/>
      <c r="D29" s="1466" t="s">
        <v>12972</v>
      </c>
      <c r="E29" s="1466">
        <v>10</v>
      </c>
      <c r="F29" s="1467"/>
    </row>
    <row r="30" spans="1:6" s="1386" customFormat="1" ht="19.5">
      <c r="A30" s="4277" t="s">
        <v>1166</v>
      </c>
      <c r="B30" s="1466" t="s">
        <v>12994</v>
      </c>
      <c r="C30" s="1469" t="s">
        <v>12995</v>
      </c>
      <c r="D30" s="1469" t="s">
        <v>12996</v>
      </c>
      <c r="E30" s="1466">
        <f>E29+2</f>
        <v>12</v>
      </c>
      <c r="F30" s="1467"/>
    </row>
    <row r="31" spans="1:6" s="1386" customFormat="1" ht="19.5">
      <c r="A31" s="4277" t="s">
        <v>11404</v>
      </c>
      <c r="B31" s="1466" t="s">
        <v>12997</v>
      </c>
      <c r="C31" s="1465" t="s">
        <v>12998</v>
      </c>
      <c r="D31" s="1466" t="s">
        <v>12999</v>
      </c>
      <c r="E31" s="1466">
        <f>(E29+1.5)*E20</f>
        <v>92</v>
      </c>
      <c r="F31" s="1467" t="s">
        <v>234</v>
      </c>
    </row>
    <row r="32" spans="1:6" s="1386" customFormat="1" ht="19.5">
      <c r="A32" s="4277" t="s">
        <v>11103</v>
      </c>
      <c r="B32" s="1466" t="s">
        <v>13000</v>
      </c>
      <c r="C32" s="1465" t="s">
        <v>13001</v>
      </c>
      <c r="D32" s="1466" t="s">
        <v>13002</v>
      </c>
      <c r="E32" s="1466">
        <f>E31+E26</f>
        <v>130.461538461538</v>
      </c>
      <c r="F32" s="1467" t="s">
        <v>234</v>
      </c>
    </row>
    <row r="33" spans="1:6" s="1386" customFormat="1">
      <c r="A33" s="1464"/>
      <c r="B33" s="1466"/>
      <c r="C33" s="1469"/>
      <c r="D33" s="1466" t="s">
        <v>12972</v>
      </c>
      <c r="E33" s="1466">
        <v>130</v>
      </c>
      <c r="F33" s="1467" t="s">
        <v>234</v>
      </c>
    </row>
    <row r="34" spans="1:6" s="1386" customFormat="1" ht="19.5">
      <c r="A34" s="4277" t="s">
        <v>11546</v>
      </c>
      <c r="B34" s="1466" t="s">
        <v>428</v>
      </c>
      <c r="C34" s="1469" t="s">
        <v>13003</v>
      </c>
      <c r="D34" s="1466" t="s">
        <v>13004</v>
      </c>
      <c r="E34" s="1466">
        <f>(E33-1.5*E20)/E29</f>
        <v>11.8</v>
      </c>
      <c r="F34" s="1467" t="s">
        <v>234</v>
      </c>
    </row>
    <row r="35" spans="1:6" s="1386" customFormat="1">
      <c r="A35" s="4277" t="s">
        <v>11119</v>
      </c>
      <c r="B35" s="1466" t="s">
        <v>964</v>
      </c>
      <c r="C35" s="1469" t="s">
        <v>13005</v>
      </c>
      <c r="D35" s="1466" t="s">
        <v>13006</v>
      </c>
      <c r="E35" s="1466">
        <f>ATAN(E34/(PI()*E6))*180/PI()</f>
        <v>6.6945613686926704</v>
      </c>
      <c r="F35" s="1467" t="s">
        <v>13007</v>
      </c>
    </row>
    <row r="36" spans="1:6" s="1386" customFormat="1">
      <c r="A36" s="4277" t="s">
        <v>3409</v>
      </c>
      <c r="B36" s="1466" t="s">
        <v>1167</v>
      </c>
      <c r="C36" s="1469" t="s">
        <v>13008</v>
      </c>
      <c r="D36" s="1466" t="s">
        <v>13009</v>
      </c>
      <c r="E36" s="1466">
        <f>PI()*E6*E30/(COS(E35))</f>
        <v>1316.17844656954</v>
      </c>
      <c r="F36" s="1467" t="s">
        <v>234</v>
      </c>
    </row>
    <row r="37" spans="1:6" s="1353" customFormat="1" ht="18.75" customHeight="1">
      <c r="A37" s="1360"/>
      <c r="B37" s="1361" t="s">
        <v>13010</v>
      </c>
      <c r="C37" s="1361" t="s">
        <v>13011</v>
      </c>
      <c r="D37" s="1362"/>
      <c r="E37" s="1362"/>
      <c r="F37" s="1363"/>
    </row>
    <row r="38" spans="1:6" s="1386" customFormat="1">
      <c r="A38" s="1464"/>
      <c r="B38" s="1428"/>
      <c r="C38" s="1471" t="s">
        <v>13012</v>
      </c>
      <c r="D38" s="1428"/>
      <c r="E38" s="1432"/>
      <c r="F38" s="1435"/>
    </row>
    <row r="39" spans="1:6" s="1386" customFormat="1" ht="19.5">
      <c r="A39" s="4277" t="s">
        <v>13013</v>
      </c>
      <c r="B39" s="1428" t="s">
        <v>2534</v>
      </c>
      <c r="C39" s="1469" t="s">
        <v>13014</v>
      </c>
      <c r="D39" s="1428" t="s">
        <v>13015</v>
      </c>
      <c r="E39" s="1432">
        <f>E33/E6</f>
        <v>4.0625</v>
      </c>
      <c r="F39" s="1435"/>
    </row>
    <row r="40" spans="1:6" s="1386" customFormat="1">
      <c r="A40" s="1464"/>
      <c r="B40" s="1428"/>
      <c r="C40" s="1469"/>
      <c r="D40" s="1428" t="s">
        <v>13016</v>
      </c>
      <c r="E40" s="1432" t="s">
        <v>13017</v>
      </c>
      <c r="F40" s="1435"/>
    </row>
    <row r="41" spans="1:6" s="1386" customFormat="1">
      <c r="A41" s="1464"/>
      <c r="B41" s="1428"/>
      <c r="C41" s="1471" t="s">
        <v>13018</v>
      </c>
      <c r="D41" s="1428"/>
      <c r="E41" s="1432"/>
      <c r="F41" s="1435"/>
    </row>
    <row r="42" spans="1:6" s="1386" customFormat="1" ht="19.5">
      <c r="A42" s="4277" t="s">
        <v>11124</v>
      </c>
      <c r="B42" s="1466" t="s">
        <v>13019</v>
      </c>
      <c r="C42" s="1465" t="s">
        <v>13020</v>
      </c>
      <c r="D42" s="1466" t="s">
        <v>13021</v>
      </c>
      <c r="E42" s="1432">
        <f>(8*E22*E6*E4)/(PI()*E20^3)</f>
        <v>697.49773176230497</v>
      </c>
      <c r="F42" s="1435" t="s">
        <v>1721</v>
      </c>
    </row>
    <row r="43" spans="1:6" s="1386" customFormat="1" ht="19.5">
      <c r="A43" s="1464"/>
      <c r="B43" s="1466" t="s">
        <v>13022</v>
      </c>
      <c r="C43" s="1465" t="s">
        <v>13023</v>
      </c>
      <c r="D43" s="1465" t="s">
        <v>13024</v>
      </c>
      <c r="E43" s="1432">
        <v>930</v>
      </c>
      <c r="F43" s="1435" t="s">
        <v>1721</v>
      </c>
    </row>
    <row r="44" spans="1:6" s="1386" customFormat="1" ht="19.5">
      <c r="A44" s="4277" t="s">
        <v>11107</v>
      </c>
      <c r="B44" s="1428" t="s">
        <v>471</v>
      </c>
      <c r="C44" s="1469" t="s">
        <v>13025</v>
      </c>
      <c r="D44" s="1428" t="s">
        <v>13026</v>
      </c>
      <c r="E44" s="1432">
        <f>E43/E42</f>
        <v>1.33333766928568</v>
      </c>
      <c r="F44" s="1435"/>
    </row>
    <row r="45" spans="1:6" s="1386" customFormat="1" ht="19.5">
      <c r="A45" s="4277" t="s">
        <v>11492</v>
      </c>
      <c r="B45" s="1428" t="s">
        <v>13027</v>
      </c>
      <c r="C45" s="1469"/>
      <c r="D45" s="1428"/>
      <c r="E45" s="1432" t="s">
        <v>13028</v>
      </c>
      <c r="F45" s="1435"/>
    </row>
    <row r="46" spans="1:6" s="1386" customFormat="1" ht="19.5">
      <c r="A46" s="4277" t="s">
        <v>3414</v>
      </c>
      <c r="B46" s="1428"/>
      <c r="C46" s="1469"/>
      <c r="D46" s="1428" t="s">
        <v>13029</v>
      </c>
      <c r="E46" s="1432" t="s">
        <v>13017</v>
      </c>
      <c r="F46" s="1435"/>
    </row>
    <row r="47" spans="1:6" s="1386" customFormat="1">
      <c r="A47" s="1464"/>
      <c r="B47" s="1466"/>
      <c r="C47" s="1469"/>
      <c r="D47" s="1466"/>
      <c r="E47" s="1432"/>
      <c r="F47" s="1435"/>
    </row>
    <row r="48" spans="1:6" s="1386" customFormat="1">
      <c r="A48" s="1464"/>
      <c r="B48" s="1466"/>
      <c r="C48" s="1469"/>
      <c r="D48" s="1466"/>
      <c r="E48" s="1466"/>
      <c r="F48" s="1467"/>
    </row>
    <row r="49" spans="1:6" s="1386" customFormat="1">
      <c r="A49" s="1464"/>
      <c r="B49" s="1466"/>
      <c r="C49" s="1469"/>
      <c r="D49" s="1466"/>
      <c r="E49" s="1466"/>
      <c r="F49" s="1467"/>
    </row>
    <row r="50" spans="1:6" s="1386" customFormat="1">
      <c r="A50" s="1464"/>
      <c r="B50" s="1466"/>
      <c r="C50" s="1469"/>
      <c r="D50" s="1466"/>
      <c r="E50" s="1466"/>
      <c r="F50" s="1467"/>
    </row>
    <row r="51" spans="1:6" s="1386" customFormat="1">
      <c r="A51" s="1464"/>
      <c r="B51" s="1466"/>
      <c r="C51" s="1469"/>
      <c r="D51" s="1466"/>
      <c r="E51" s="1466"/>
      <c r="F51" s="1467"/>
    </row>
    <row r="52" spans="1:6" s="1386" customFormat="1">
      <c r="A52" s="1464"/>
      <c r="B52" s="1466"/>
      <c r="C52" s="1469"/>
      <c r="D52" s="1466"/>
      <c r="E52" s="1466"/>
      <c r="F52" s="1467"/>
    </row>
  </sheetData>
  <phoneticPr fontId="214" type="noConversion"/>
  <pageMargins left="0.75" right="0.75" top="1" bottom="1" header="0.5" footer="0.5"/>
  <pageSetup paperSize="9" scale="97" orientation="landscape" r:id="rId1"/>
  <headerFooter alignWithMargins="0"/>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29"/>
  <dimension ref="A1:F17"/>
  <sheetViews>
    <sheetView view="pageBreakPreview" zoomScaleNormal="100" workbookViewId="0">
      <selection activeCell="G1" sqref="G1"/>
    </sheetView>
  </sheetViews>
  <sheetFormatPr defaultColWidth="8.125" defaultRowHeight="15"/>
  <cols>
    <col min="1" max="1" width="5.125" style="1420" customWidth="1"/>
    <col min="2" max="2" width="6.75" style="1420" customWidth="1"/>
    <col min="3" max="3" width="25.25" style="1420" customWidth="1"/>
    <col min="4" max="4" width="28.25" style="1420" customWidth="1"/>
    <col min="5" max="5" width="15.75" style="1420" customWidth="1"/>
    <col min="6" max="6" width="8.125" style="1420"/>
    <col min="7" max="7" width="73.125" style="1420" customWidth="1"/>
    <col min="8" max="16384" width="8.125" style="1420"/>
  </cols>
  <sheetData>
    <row r="1" spans="1:6" s="1353" customFormat="1" ht="20.100000000000001" customHeight="1">
      <c r="A1" s="1404" t="s">
        <v>12929</v>
      </c>
      <c r="B1" s="1405" t="s">
        <v>12930</v>
      </c>
      <c r="C1" s="1405" t="s">
        <v>12931</v>
      </c>
      <c r="D1" s="1405" t="s">
        <v>12932</v>
      </c>
      <c r="E1" s="1405" t="s">
        <v>12933</v>
      </c>
      <c r="F1" s="1421" t="s">
        <v>12934</v>
      </c>
    </row>
    <row r="2" spans="1:6" s="1353" customFormat="1" ht="20.100000000000001" customHeight="1">
      <c r="A2" s="1408"/>
      <c r="B2" s="1422" t="s">
        <v>12935</v>
      </c>
      <c r="C2" s="1422" t="s">
        <v>12936</v>
      </c>
      <c r="D2" s="1410"/>
      <c r="E2" s="1410"/>
      <c r="F2" s="1411"/>
    </row>
    <row r="3" spans="1:6" s="1353" customFormat="1" ht="20.100000000000001" customHeight="1">
      <c r="A3" s="4278" t="s">
        <v>10424</v>
      </c>
      <c r="B3" s="1428" t="s">
        <v>2520</v>
      </c>
      <c r="C3" s="1457" t="s">
        <v>13030</v>
      </c>
      <c r="D3" s="1461"/>
      <c r="E3" s="1428">
        <f>9550*E4/E5</f>
        <v>2387.5</v>
      </c>
      <c r="F3" s="1430" t="s">
        <v>13031</v>
      </c>
    </row>
    <row r="4" spans="1:6" s="1353" customFormat="1" ht="20.100000000000001" customHeight="1">
      <c r="A4" s="4278" t="s">
        <v>11044</v>
      </c>
      <c r="B4" s="1428" t="s">
        <v>13032</v>
      </c>
      <c r="C4" s="1457" t="s">
        <v>13033</v>
      </c>
      <c r="D4" s="1461"/>
      <c r="E4" s="1428">
        <v>300</v>
      </c>
      <c r="F4" s="1430" t="s">
        <v>2315</v>
      </c>
    </row>
    <row r="5" spans="1:6" s="1353" customFormat="1" ht="20.100000000000001" customHeight="1">
      <c r="A5" s="4278" t="s">
        <v>11045</v>
      </c>
      <c r="B5" s="1428" t="s">
        <v>2487</v>
      </c>
      <c r="C5" s="1457" t="s">
        <v>13034</v>
      </c>
      <c r="D5" s="1461"/>
      <c r="E5" s="1428">
        <v>1200</v>
      </c>
      <c r="F5" s="1430" t="s">
        <v>5773</v>
      </c>
    </row>
    <row r="6" spans="1:6" s="1353" customFormat="1" ht="20.100000000000001" customHeight="1">
      <c r="A6" s="4278" t="s">
        <v>11046</v>
      </c>
      <c r="B6" s="1428" t="s">
        <v>13035</v>
      </c>
      <c r="C6" s="1457" t="s">
        <v>13036</v>
      </c>
      <c r="D6" s="1457" t="s">
        <v>13037</v>
      </c>
      <c r="E6" s="1428">
        <v>1</v>
      </c>
      <c r="F6" s="1430"/>
    </row>
    <row r="7" spans="1:6" s="1353" customFormat="1" ht="20.100000000000001" customHeight="1">
      <c r="A7" s="4278" t="s">
        <v>11047</v>
      </c>
      <c r="B7" s="1428" t="s">
        <v>462</v>
      </c>
      <c r="C7" s="1457" t="s">
        <v>13038</v>
      </c>
      <c r="D7" s="1457" t="s">
        <v>13039</v>
      </c>
      <c r="E7" s="1428">
        <v>2</v>
      </c>
      <c r="F7" s="1462"/>
    </row>
    <row r="8" spans="1:6" s="1353" customFormat="1" ht="20.100000000000001" customHeight="1">
      <c r="A8" s="4278" t="s">
        <v>11048</v>
      </c>
      <c r="B8" s="1428" t="s">
        <v>13040</v>
      </c>
      <c r="C8" s="1429" t="s">
        <v>13041</v>
      </c>
      <c r="D8" s="1457" t="s">
        <v>13037</v>
      </c>
      <c r="E8" s="1428">
        <v>1</v>
      </c>
      <c r="F8" s="1430"/>
    </row>
    <row r="9" spans="1:6" s="1353" customFormat="1" ht="20.100000000000001" customHeight="1">
      <c r="A9" s="4278" t="s">
        <v>11049</v>
      </c>
      <c r="B9" s="1428" t="s">
        <v>13042</v>
      </c>
      <c r="C9" s="1457" t="s">
        <v>13043</v>
      </c>
      <c r="D9" s="1457" t="s">
        <v>13044</v>
      </c>
      <c r="E9" s="1428">
        <v>1</v>
      </c>
      <c r="F9" s="1430"/>
    </row>
    <row r="10" spans="1:6" s="1353" customFormat="1" ht="20.100000000000001" customHeight="1">
      <c r="A10" s="4278" t="s">
        <v>9825</v>
      </c>
      <c r="B10" s="1428"/>
      <c r="C10" s="1429" t="s">
        <v>13045</v>
      </c>
      <c r="D10" s="1429" t="s">
        <v>13046</v>
      </c>
      <c r="E10" s="1428">
        <v>710</v>
      </c>
      <c r="F10" s="1430" t="s">
        <v>234</v>
      </c>
    </row>
    <row r="11" spans="1:6" s="1353" customFormat="1" ht="20.100000000000001" customHeight="1">
      <c r="A11" s="4278" t="s">
        <v>9828</v>
      </c>
      <c r="B11" s="1428" t="s">
        <v>13047</v>
      </c>
      <c r="C11" s="1457" t="s">
        <v>13048</v>
      </c>
      <c r="D11" s="1457" t="s">
        <v>13049</v>
      </c>
      <c r="E11" s="1428">
        <v>14000</v>
      </c>
      <c r="F11" s="1430" t="s">
        <v>13031</v>
      </c>
    </row>
    <row r="12" spans="1:6" s="1353" customFormat="1" ht="20.100000000000001" customHeight="1">
      <c r="A12" s="1408"/>
      <c r="B12" s="1422" t="s">
        <v>12952</v>
      </c>
      <c r="C12" s="1422" t="s">
        <v>12953</v>
      </c>
      <c r="D12" s="1410"/>
      <c r="E12" s="1410"/>
      <c r="F12" s="1411"/>
    </row>
    <row r="13" spans="1:6" s="1353" customFormat="1" ht="20.100000000000001" customHeight="1">
      <c r="A13" s="4278" t="s">
        <v>3389</v>
      </c>
      <c r="B13" s="1428" t="s">
        <v>13050</v>
      </c>
      <c r="C13" s="1429" t="s">
        <v>13051</v>
      </c>
      <c r="D13" s="1429" t="s">
        <v>13052</v>
      </c>
      <c r="E13" s="1428">
        <f>E5*E8*E9*E10</f>
        <v>852000</v>
      </c>
      <c r="F13" s="1430" t="s">
        <v>13031</v>
      </c>
    </row>
    <row r="14" spans="1:6" s="1353" customFormat="1" ht="18.75" customHeight="1">
      <c r="A14" s="1360"/>
      <c r="B14" s="1361" t="s">
        <v>13010</v>
      </c>
      <c r="C14" s="1361" t="s">
        <v>13011</v>
      </c>
      <c r="D14" s="1362"/>
      <c r="E14" s="1362"/>
      <c r="F14" s="1363"/>
    </row>
    <row r="15" spans="1:6" s="1353" customFormat="1" ht="20.100000000000001" customHeight="1">
      <c r="A15" s="1431"/>
      <c r="B15" s="1432"/>
      <c r="C15" s="1433"/>
      <c r="D15" s="1433" t="s">
        <v>13053</v>
      </c>
      <c r="E15" s="1434" t="s">
        <v>13054</v>
      </c>
      <c r="F15" s="1435"/>
    </row>
    <row r="16" spans="1:6" s="1353" customFormat="1" ht="20.100000000000001" customHeight="1">
      <c r="A16" s="1431"/>
      <c r="B16" s="1436"/>
      <c r="C16" s="1436"/>
      <c r="D16" s="1437"/>
      <c r="E16" s="1437"/>
      <c r="F16" s="1438"/>
    </row>
    <row r="17" spans="1:6" s="1353" customFormat="1" ht="20.100000000000001" customHeight="1">
      <c r="A17" s="1431"/>
      <c r="B17" s="1436"/>
      <c r="C17" s="1436"/>
      <c r="D17" s="1437"/>
      <c r="E17" s="1437"/>
      <c r="F17" s="1438"/>
    </row>
  </sheetData>
  <phoneticPr fontId="214" type="noConversion"/>
  <pageMargins left="0.75" right="0.75" top="1" bottom="1" header="0.5" footer="0.5"/>
  <pageSetup paperSize="9" scale="97" orientation="landscape" r:id="rId1"/>
  <headerFooter alignWithMargins="0"/>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30"/>
  <dimension ref="A1:F19"/>
  <sheetViews>
    <sheetView view="pageBreakPreview" zoomScaleNormal="100" workbookViewId="0">
      <selection activeCell="G1" sqref="G1"/>
    </sheetView>
  </sheetViews>
  <sheetFormatPr defaultColWidth="8.125" defaultRowHeight="15"/>
  <cols>
    <col min="1" max="1" width="5.125" style="1420" customWidth="1"/>
    <col min="2" max="2" width="6.75" style="1420" customWidth="1"/>
    <col min="3" max="3" width="25.25" style="1420" customWidth="1"/>
    <col min="4" max="4" width="28.25" style="1420" customWidth="1"/>
    <col min="5" max="5" width="15.75" style="1420" customWidth="1"/>
    <col min="6" max="6" width="8.125" style="1420"/>
    <col min="7" max="7" width="73.125" style="1420" customWidth="1"/>
    <col min="8" max="16384" width="8.125" style="1420"/>
  </cols>
  <sheetData>
    <row r="1" spans="1:6" s="1353" customFormat="1" ht="20.100000000000001" customHeight="1">
      <c r="A1" s="1404" t="s">
        <v>12929</v>
      </c>
      <c r="B1" s="1405" t="s">
        <v>12930</v>
      </c>
      <c r="C1" s="1405" t="s">
        <v>12931</v>
      </c>
      <c r="D1" s="1405" t="s">
        <v>12932</v>
      </c>
      <c r="E1" s="1405" t="s">
        <v>12933</v>
      </c>
      <c r="F1" s="1421" t="s">
        <v>12934</v>
      </c>
    </row>
    <row r="2" spans="1:6" s="1353" customFormat="1" ht="20.100000000000001" customHeight="1">
      <c r="A2" s="1408"/>
      <c r="B2" s="1422" t="s">
        <v>12935</v>
      </c>
      <c r="C2" s="1422" t="s">
        <v>12936</v>
      </c>
      <c r="D2" s="1410"/>
      <c r="E2" s="1410"/>
      <c r="F2" s="1411"/>
    </row>
    <row r="3" spans="1:6" s="1353" customFormat="1" ht="20.100000000000001" customHeight="1">
      <c r="A3" s="4278" t="s">
        <v>10424</v>
      </c>
      <c r="B3" s="1428" t="s">
        <v>445</v>
      </c>
      <c r="C3" s="1457" t="s">
        <v>13055</v>
      </c>
      <c r="D3" s="1457"/>
      <c r="E3" s="1458">
        <v>5.5</v>
      </c>
      <c r="F3" s="1430" t="s">
        <v>2315</v>
      </c>
    </row>
    <row r="4" spans="1:6" s="1353" customFormat="1" ht="20.100000000000001" customHeight="1">
      <c r="A4" s="4278" t="s">
        <v>11044</v>
      </c>
      <c r="B4" s="1428" t="s">
        <v>2487</v>
      </c>
      <c r="C4" s="1457" t="s">
        <v>13056</v>
      </c>
      <c r="D4" s="1457"/>
      <c r="E4" s="1458">
        <v>73</v>
      </c>
      <c r="F4" s="1430" t="s">
        <v>5773</v>
      </c>
    </row>
    <row r="5" spans="1:6" s="1353" customFormat="1" ht="20.100000000000001" customHeight="1">
      <c r="A5" s="4278" t="s">
        <v>11045</v>
      </c>
      <c r="B5" s="1428" t="s">
        <v>2520</v>
      </c>
      <c r="C5" s="1457" t="s">
        <v>13030</v>
      </c>
      <c r="D5" s="1457" t="s">
        <v>13057</v>
      </c>
      <c r="E5" s="1458">
        <f>9550*E3/E4/1000</f>
        <v>0.71952054794520504</v>
      </c>
      <c r="F5" s="1430" t="s">
        <v>13058</v>
      </c>
    </row>
    <row r="6" spans="1:6" s="1353" customFormat="1" ht="20.100000000000001" customHeight="1">
      <c r="A6" s="4278" t="s">
        <v>11046</v>
      </c>
      <c r="B6" s="1428" t="s">
        <v>462</v>
      </c>
      <c r="C6" s="1429" t="s">
        <v>13059</v>
      </c>
      <c r="D6" s="1457" t="s">
        <v>13060</v>
      </c>
      <c r="E6" s="1458">
        <v>5</v>
      </c>
      <c r="F6" s="1430"/>
    </row>
    <row r="7" spans="1:6" s="1353" customFormat="1" ht="20.100000000000001" customHeight="1">
      <c r="A7" s="1408"/>
      <c r="B7" s="1422" t="s">
        <v>12952</v>
      </c>
      <c r="C7" s="1422" t="s">
        <v>12953</v>
      </c>
      <c r="D7" s="1410"/>
      <c r="E7" s="1410"/>
      <c r="F7" s="1411"/>
    </row>
    <row r="8" spans="1:6" s="1353" customFormat="1" ht="20.100000000000001" customHeight="1">
      <c r="A8" s="4278" t="s">
        <v>11047</v>
      </c>
      <c r="B8" s="1432" t="s">
        <v>13050</v>
      </c>
      <c r="C8" s="1433" t="s">
        <v>13061</v>
      </c>
      <c r="D8" s="1433" t="s">
        <v>13062</v>
      </c>
      <c r="E8" s="1459">
        <f>E5*E6</f>
        <v>3.59760273972603</v>
      </c>
      <c r="F8" s="1435" t="s">
        <v>13058</v>
      </c>
    </row>
    <row r="9" spans="1:6" s="1353" customFormat="1" ht="20.100000000000001" customHeight="1">
      <c r="A9" s="4278" t="s">
        <v>11048</v>
      </c>
      <c r="B9" s="1432" t="s">
        <v>13063</v>
      </c>
      <c r="C9" s="1433"/>
      <c r="D9" s="1459"/>
      <c r="E9" s="1459">
        <v>7.88</v>
      </c>
      <c r="F9" s="1435" t="s">
        <v>13007</v>
      </c>
    </row>
    <row r="10" spans="1:6" s="1353" customFormat="1" ht="20.100000000000001" customHeight="1">
      <c r="A10" s="4278" t="s">
        <v>11049</v>
      </c>
      <c r="B10" s="1432" t="s">
        <v>13064</v>
      </c>
      <c r="C10" s="1433"/>
      <c r="D10" s="1459"/>
      <c r="E10" s="1459">
        <v>12</v>
      </c>
      <c r="F10" s="1435" t="s">
        <v>13007</v>
      </c>
    </row>
    <row r="11" spans="1:6" s="1353" customFormat="1" ht="20.100000000000001" customHeight="1">
      <c r="A11" s="4278" t="s">
        <v>9825</v>
      </c>
      <c r="B11" s="1432" t="s">
        <v>13065</v>
      </c>
      <c r="C11" s="1433"/>
      <c r="D11" s="1433" t="s">
        <v>13066</v>
      </c>
      <c r="E11" s="1459">
        <f>((TAN(E9/180*PI()))^2+(TAN(E10/180*PI()))^2)^0.5</f>
        <v>0.253646267230906</v>
      </c>
      <c r="F11" s="1435"/>
    </row>
    <row r="12" spans="1:6" s="1353" customFormat="1" ht="20.100000000000001" customHeight="1">
      <c r="A12" s="4278" t="s">
        <v>9828</v>
      </c>
      <c r="B12" s="1432" t="s">
        <v>13067</v>
      </c>
      <c r="C12" s="1433"/>
      <c r="D12" s="1433"/>
      <c r="E12" s="1459">
        <f>ATAN(E11)/PI()*180</f>
        <v>14.232700710914999</v>
      </c>
      <c r="F12" s="1435" t="s">
        <v>13007</v>
      </c>
    </row>
    <row r="13" spans="1:6" s="1353" customFormat="1" ht="18.75" customHeight="1">
      <c r="A13" s="4278" t="s">
        <v>3389</v>
      </c>
      <c r="B13" s="1432"/>
      <c r="C13" s="5816" t="s">
        <v>13068</v>
      </c>
      <c r="D13" s="5816"/>
      <c r="E13" s="1459"/>
      <c r="F13" s="1435"/>
    </row>
    <row r="14" spans="1:6" s="1353" customFormat="1" ht="20.100000000000001" customHeight="1">
      <c r="A14" s="1431"/>
      <c r="B14" s="1432" t="s">
        <v>13047</v>
      </c>
      <c r="C14" s="1460" t="s">
        <v>13069</v>
      </c>
      <c r="D14" s="1433"/>
      <c r="E14" s="1459">
        <v>12.5</v>
      </c>
      <c r="F14" s="1435" t="s">
        <v>13058</v>
      </c>
    </row>
    <row r="15" spans="1:6" s="1353" customFormat="1" ht="20.100000000000001" customHeight="1">
      <c r="A15" s="1431"/>
      <c r="B15" s="1432" t="s">
        <v>13070</v>
      </c>
      <c r="C15" s="1460" t="s">
        <v>13071</v>
      </c>
      <c r="D15" s="1433"/>
      <c r="E15" s="1459">
        <v>6.3</v>
      </c>
      <c r="F15" s="1435" t="s">
        <v>13058</v>
      </c>
    </row>
    <row r="16" spans="1:6" s="1353" customFormat="1" ht="18.75" customHeight="1">
      <c r="A16" s="1360"/>
      <c r="B16" s="1361" t="s">
        <v>13010</v>
      </c>
      <c r="C16" s="1361" t="s">
        <v>13011</v>
      </c>
      <c r="D16" s="1362"/>
      <c r="E16" s="1362"/>
      <c r="F16" s="1363"/>
    </row>
    <row r="17" spans="1:6" s="1353" customFormat="1" ht="20.100000000000001" customHeight="1">
      <c r="A17" s="1431"/>
      <c r="B17" s="1432"/>
      <c r="C17" s="1433"/>
      <c r="D17" s="1433" t="s">
        <v>13072</v>
      </c>
      <c r="E17" s="1434" t="s">
        <v>13054</v>
      </c>
      <c r="F17" s="1435"/>
    </row>
    <row r="18" spans="1:6" s="1353" customFormat="1" ht="20.100000000000001" customHeight="1">
      <c r="A18" s="1431"/>
      <c r="B18" s="1436"/>
      <c r="C18" s="1436"/>
      <c r="D18" s="1437"/>
      <c r="E18" s="1437"/>
      <c r="F18" s="1438"/>
    </row>
    <row r="19" spans="1:6" s="1353" customFormat="1" ht="20.100000000000001" customHeight="1">
      <c r="A19" s="1431"/>
      <c r="B19" s="1436"/>
      <c r="C19" s="1436"/>
      <c r="D19" s="1437"/>
      <c r="E19" s="1437"/>
      <c r="F19" s="1438"/>
    </row>
  </sheetData>
  <mergeCells count="1">
    <mergeCell ref="C13:D13"/>
  </mergeCells>
  <phoneticPr fontId="214" type="noConversion"/>
  <pageMargins left="0.75" right="0.75" top="1" bottom="1" header="0.5" footer="0.5"/>
  <pageSetup paperSize="9" scale="97" orientation="landscape" r:id="rId1"/>
  <headerFooter alignWithMargins="0"/>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31"/>
  <dimension ref="A1:F53"/>
  <sheetViews>
    <sheetView view="pageBreakPreview" zoomScaleNormal="100" workbookViewId="0">
      <selection activeCell="G1" sqref="G1"/>
    </sheetView>
  </sheetViews>
  <sheetFormatPr defaultColWidth="8.125" defaultRowHeight="15"/>
  <cols>
    <col min="1" max="1" width="5.125" style="1420" customWidth="1"/>
    <col min="2" max="2" width="6.75" style="1420" customWidth="1"/>
    <col min="3" max="3" width="25.25" style="1420" customWidth="1"/>
    <col min="4" max="4" width="28.25" style="1420" customWidth="1"/>
    <col min="5" max="5" width="15.75" style="1420" customWidth="1"/>
    <col min="6" max="6" width="8.125" style="1420"/>
    <col min="7" max="7" width="73.125" style="1420" customWidth="1"/>
    <col min="8" max="16384" width="8.125" style="1420"/>
  </cols>
  <sheetData>
    <row r="1" spans="1:6" s="1353" customFormat="1" ht="20.100000000000001" customHeight="1">
      <c r="A1" s="1439" t="s">
        <v>12929</v>
      </c>
      <c r="B1" s="1440" t="s">
        <v>12930</v>
      </c>
      <c r="C1" s="1440" t="s">
        <v>12931</v>
      </c>
      <c r="D1" s="1440" t="s">
        <v>12932</v>
      </c>
      <c r="E1" s="1440" t="s">
        <v>12933</v>
      </c>
      <c r="F1" s="1441" t="s">
        <v>12934</v>
      </c>
    </row>
    <row r="2" spans="1:6" s="1353" customFormat="1" ht="20.100000000000001" customHeight="1">
      <c r="A2" s="1442"/>
      <c r="B2" s="1443" t="s">
        <v>12935</v>
      </c>
      <c r="C2" s="1443" t="s">
        <v>12936</v>
      </c>
      <c r="D2" s="1444"/>
      <c r="E2" s="1444"/>
      <c r="F2" s="1445"/>
    </row>
    <row r="3" spans="1:6" s="1353" customFormat="1" ht="20.100000000000001" customHeight="1">
      <c r="A3" s="4279" t="s">
        <v>10424</v>
      </c>
      <c r="B3" s="1447" t="s">
        <v>13073</v>
      </c>
      <c r="C3" s="1447" t="s">
        <v>13074</v>
      </c>
      <c r="D3" s="1447"/>
      <c r="E3" s="1447">
        <v>295</v>
      </c>
      <c r="F3" s="1448" t="s">
        <v>234</v>
      </c>
    </row>
    <row r="4" spans="1:6" s="1353" customFormat="1" ht="20.100000000000001" customHeight="1">
      <c r="A4" s="4279" t="s">
        <v>11044</v>
      </c>
      <c r="B4" s="1447" t="s">
        <v>13075</v>
      </c>
      <c r="C4" s="1447" t="s">
        <v>13076</v>
      </c>
      <c r="D4" s="1447"/>
      <c r="E4" s="1447">
        <v>100</v>
      </c>
      <c r="F4" s="1448" t="s">
        <v>234</v>
      </c>
    </row>
    <row r="5" spans="1:6" s="1353" customFormat="1" ht="20.100000000000001" customHeight="1">
      <c r="A5" s="4279" t="s">
        <v>11045</v>
      </c>
      <c r="B5" s="1447" t="s">
        <v>13077</v>
      </c>
      <c r="C5" s="1447" t="s">
        <v>13078</v>
      </c>
      <c r="D5" s="1447"/>
      <c r="E5" s="1447">
        <v>0</v>
      </c>
      <c r="F5" s="1448" t="s">
        <v>234</v>
      </c>
    </row>
    <row r="6" spans="1:6" s="1353" customFormat="1" ht="20.100000000000001" customHeight="1">
      <c r="A6" s="4279" t="s">
        <v>11046</v>
      </c>
      <c r="B6" s="1447" t="s">
        <v>13079</v>
      </c>
      <c r="C6" s="1447" t="s">
        <v>13080</v>
      </c>
      <c r="D6" s="1447"/>
      <c r="E6" s="1447">
        <v>50</v>
      </c>
      <c r="F6" s="1448" t="s">
        <v>234</v>
      </c>
    </row>
    <row r="7" spans="1:6" s="1353" customFormat="1" ht="20.100000000000001" customHeight="1">
      <c r="A7" s="4279" t="s">
        <v>11047</v>
      </c>
      <c r="B7" s="1447" t="s">
        <v>2440</v>
      </c>
      <c r="C7" s="1447" t="s">
        <v>13081</v>
      </c>
      <c r="D7" s="1447" t="s">
        <v>13082</v>
      </c>
      <c r="E7" s="1447">
        <v>0.14000000000000001</v>
      </c>
      <c r="F7" s="1448"/>
    </row>
    <row r="8" spans="1:6" s="1353" customFormat="1" ht="20.100000000000001" customHeight="1">
      <c r="A8" s="4279" t="s">
        <v>11048</v>
      </c>
      <c r="B8" s="1447" t="s">
        <v>13083</v>
      </c>
      <c r="C8" s="1447" t="s">
        <v>13084</v>
      </c>
      <c r="D8" s="1447"/>
      <c r="E8" s="1447">
        <v>200000</v>
      </c>
      <c r="F8" s="1448" t="s">
        <v>1721</v>
      </c>
    </row>
    <row r="9" spans="1:6" s="1353" customFormat="1" ht="20.100000000000001" customHeight="1">
      <c r="A9" s="4279" t="s">
        <v>11049</v>
      </c>
      <c r="B9" s="1447" t="s">
        <v>13085</v>
      </c>
      <c r="C9" s="1447" t="s">
        <v>13086</v>
      </c>
      <c r="D9" s="1447"/>
      <c r="E9" s="1447">
        <v>200000</v>
      </c>
      <c r="F9" s="1448" t="s">
        <v>1721</v>
      </c>
    </row>
    <row r="10" spans="1:6" s="1353" customFormat="1" ht="20.100000000000001" customHeight="1">
      <c r="A10" s="4279" t="s">
        <v>9825</v>
      </c>
      <c r="B10" s="1447" t="s">
        <v>13087</v>
      </c>
      <c r="C10" s="1447" t="s">
        <v>13088</v>
      </c>
      <c r="D10" s="1447"/>
      <c r="E10" s="1447">
        <v>0.3</v>
      </c>
      <c r="F10" s="1448"/>
    </row>
    <row r="11" spans="1:6" s="1353" customFormat="1" ht="20.100000000000001" customHeight="1">
      <c r="A11" s="4279" t="s">
        <v>9828</v>
      </c>
      <c r="B11" s="1447" t="s">
        <v>13089</v>
      </c>
      <c r="C11" s="1447" t="s">
        <v>13090</v>
      </c>
      <c r="D11" s="1447"/>
      <c r="E11" s="1447">
        <v>0.3</v>
      </c>
      <c r="F11" s="1448"/>
    </row>
    <row r="12" spans="1:6" s="1353" customFormat="1" ht="20.100000000000001" customHeight="1">
      <c r="A12" s="4279" t="s">
        <v>3389</v>
      </c>
      <c r="B12" s="1447" t="s">
        <v>13091</v>
      </c>
      <c r="C12" s="1447" t="s">
        <v>13092</v>
      </c>
      <c r="D12" s="1447"/>
      <c r="E12" s="1447">
        <v>295</v>
      </c>
      <c r="F12" s="1448" t="s">
        <v>1721</v>
      </c>
    </row>
    <row r="13" spans="1:6" s="1353" customFormat="1" ht="20.100000000000001" customHeight="1">
      <c r="A13" s="4279" t="s">
        <v>11050</v>
      </c>
      <c r="B13" s="1447" t="s">
        <v>13093</v>
      </c>
      <c r="C13" s="1447" t="s">
        <v>13094</v>
      </c>
      <c r="D13" s="1447"/>
      <c r="E13" s="1447">
        <v>275</v>
      </c>
      <c r="F13" s="1448" t="s">
        <v>1721</v>
      </c>
    </row>
    <row r="14" spans="1:6" s="1353" customFormat="1" ht="20.100000000000001" customHeight="1">
      <c r="A14" s="4279" t="s">
        <v>11051</v>
      </c>
      <c r="B14" s="1447" t="s">
        <v>464</v>
      </c>
      <c r="C14" s="1447" t="s">
        <v>13095</v>
      </c>
      <c r="D14" s="1447"/>
      <c r="E14" s="1447">
        <v>11</v>
      </c>
      <c r="F14" s="1448" t="s">
        <v>2315</v>
      </c>
    </row>
    <row r="15" spans="1:6" s="1353" customFormat="1" ht="20.100000000000001" customHeight="1">
      <c r="A15" s="4279" t="s">
        <v>11105</v>
      </c>
      <c r="B15" s="1447" t="s">
        <v>13096</v>
      </c>
      <c r="C15" s="1447" t="s">
        <v>13097</v>
      </c>
      <c r="D15" s="1447"/>
      <c r="E15" s="1447">
        <v>2.5</v>
      </c>
      <c r="F15" s="1448"/>
    </row>
    <row r="16" spans="1:6" s="1353" customFormat="1" ht="20.100000000000001" customHeight="1">
      <c r="A16" s="4279" t="s">
        <v>11097</v>
      </c>
      <c r="B16" s="1447" t="s">
        <v>2487</v>
      </c>
      <c r="C16" s="1447" t="s">
        <v>13056</v>
      </c>
      <c r="D16" s="1447"/>
      <c r="E16" s="1447">
        <v>159.16</v>
      </c>
      <c r="F16" s="1448" t="s">
        <v>5773</v>
      </c>
    </row>
    <row r="17" spans="1:6" s="1353" customFormat="1" ht="20.100000000000001" customHeight="1">
      <c r="A17" s="1442"/>
      <c r="B17" s="1443" t="s">
        <v>12952</v>
      </c>
      <c r="C17" s="1443" t="s">
        <v>12953</v>
      </c>
      <c r="D17" s="1444"/>
      <c r="E17" s="1444"/>
      <c r="F17" s="1445"/>
    </row>
    <row r="18" spans="1:6" s="1353" customFormat="1" ht="20.100000000000001" customHeight="1">
      <c r="A18" s="4279" t="s">
        <v>10424</v>
      </c>
      <c r="B18" s="1447" t="s">
        <v>2520</v>
      </c>
      <c r="C18" s="1447" t="s">
        <v>13098</v>
      </c>
      <c r="D18" s="1447" t="s">
        <v>13099</v>
      </c>
      <c r="E18" s="1447">
        <f>9550*E15*E14/E16</f>
        <v>1650.0691128424201</v>
      </c>
      <c r="F18" s="1448" t="s">
        <v>13031</v>
      </c>
    </row>
    <row r="19" spans="1:6" s="1353" customFormat="1" ht="20.100000000000001" customHeight="1">
      <c r="A19" s="4279" t="s">
        <v>11044</v>
      </c>
      <c r="B19" s="1447" t="s">
        <v>13100</v>
      </c>
      <c r="C19" s="1447" t="s">
        <v>13101</v>
      </c>
      <c r="D19" s="1447" t="s">
        <v>13102</v>
      </c>
      <c r="E19" s="1447">
        <f>2*E18*10^3/(PI()*E4^2*E6*E7)</f>
        <v>15.0066660429789</v>
      </c>
      <c r="F19" s="1448" t="s">
        <v>1721</v>
      </c>
    </row>
    <row r="20" spans="1:6" s="1353" customFormat="1" ht="20.100000000000001" customHeight="1">
      <c r="A20" s="4279" t="s">
        <v>11045</v>
      </c>
      <c r="B20" s="1447" t="s">
        <v>13103</v>
      </c>
      <c r="C20" s="1447" t="s">
        <v>13104</v>
      </c>
      <c r="D20" s="1447" t="s">
        <v>13105</v>
      </c>
      <c r="E20" s="1447">
        <f>E4/E3</f>
        <v>0.338983050847458</v>
      </c>
      <c r="F20" s="1448"/>
    </row>
    <row r="21" spans="1:6" s="1353" customFormat="1" ht="20.100000000000001" customHeight="1">
      <c r="A21" s="4279" t="s">
        <v>11046</v>
      </c>
      <c r="B21" s="1447" t="s">
        <v>13106</v>
      </c>
      <c r="C21" s="1447" t="s">
        <v>13107</v>
      </c>
      <c r="D21" s="1447" t="s">
        <v>13108</v>
      </c>
      <c r="E21" s="1447">
        <f>E5/E4</f>
        <v>0</v>
      </c>
      <c r="F21" s="1448"/>
    </row>
    <row r="22" spans="1:6" s="1353" customFormat="1" ht="20.100000000000001" customHeight="1">
      <c r="A22" s="4279" t="s">
        <v>11047</v>
      </c>
      <c r="B22" s="1447" t="s">
        <v>13109</v>
      </c>
      <c r="C22" s="1447" t="s">
        <v>13110</v>
      </c>
      <c r="D22" s="1447" t="s">
        <v>13111</v>
      </c>
      <c r="E22" s="1447">
        <v>1.579</v>
      </c>
      <c r="F22" s="1448"/>
    </row>
    <row r="23" spans="1:6" s="1353" customFormat="1" ht="20.100000000000001" customHeight="1">
      <c r="A23" s="4279" t="s">
        <v>11048</v>
      </c>
      <c r="B23" s="1447" t="s">
        <v>13112</v>
      </c>
      <c r="C23" s="1447" t="s">
        <v>13110</v>
      </c>
      <c r="D23" s="1447" t="s">
        <v>13111</v>
      </c>
      <c r="E23" s="1447">
        <v>0.7</v>
      </c>
      <c r="F23" s="1448"/>
    </row>
    <row r="24" spans="1:6" s="1353" customFormat="1" ht="39.950000000000003" customHeight="1">
      <c r="A24" s="4279" t="s">
        <v>11049</v>
      </c>
      <c r="B24" s="1447" t="s">
        <v>13113</v>
      </c>
      <c r="C24" s="1447" t="s">
        <v>13114</v>
      </c>
      <c r="D24" s="1447" t="s">
        <v>13115</v>
      </c>
      <c r="E24" s="1447">
        <f>E19*E4*E22/E8</f>
        <v>1.1847762840931799E-2</v>
      </c>
      <c r="F24" s="1448" t="s">
        <v>234</v>
      </c>
    </row>
    <row r="25" spans="1:6" s="1353" customFormat="1" ht="39.950000000000003" customHeight="1">
      <c r="A25" s="4279" t="s">
        <v>9825</v>
      </c>
      <c r="B25" s="1447" t="s">
        <v>13116</v>
      </c>
      <c r="C25" s="1447" t="s">
        <v>13117</v>
      </c>
      <c r="D25" s="1447" t="s">
        <v>13118</v>
      </c>
      <c r="E25" s="1447">
        <f>E19*E4*E23/E9</f>
        <v>5.2523331150426001E-3</v>
      </c>
      <c r="F25" s="1448" t="s">
        <v>234</v>
      </c>
    </row>
    <row r="26" spans="1:6" s="1353" customFormat="1" ht="39.950000000000003" customHeight="1">
      <c r="A26" s="4279" t="s">
        <v>9828</v>
      </c>
      <c r="B26" s="1447" t="s">
        <v>13119</v>
      </c>
      <c r="C26" s="1447" t="s">
        <v>13120</v>
      </c>
      <c r="D26" s="1447" t="s">
        <v>13121</v>
      </c>
      <c r="E26" s="1449">
        <f>E24+E25</f>
        <v>1.71000959559744E-2</v>
      </c>
      <c r="F26" s="1450" t="s">
        <v>234</v>
      </c>
    </row>
    <row r="27" spans="1:6" s="1353" customFormat="1" ht="20.100000000000001" customHeight="1">
      <c r="A27" s="4279" t="s">
        <v>11051</v>
      </c>
      <c r="B27" s="1447" t="s">
        <v>13122</v>
      </c>
      <c r="C27" s="1447" t="s">
        <v>13123</v>
      </c>
      <c r="D27" s="1447" t="s">
        <v>13124</v>
      </c>
      <c r="E27" s="1447">
        <f>E26</f>
        <v>1.71000959559744E-2</v>
      </c>
      <c r="F27" s="1448" t="s">
        <v>234</v>
      </c>
    </row>
    <row r="28" spans="1:6" s="1353" customFormat="1" ht="20.100000000000001" customHeight="1">
      <c r="A28" s="4279" t="s">
        <v>11105</v>
      </c>
      <c r="B28" s="1447" t="s">
        <v>1874</v>
      </c>
      <c r="C28" s="1447"/>
      <c r="D28" s="1447" t="s">
        <v>13125</v>
      </c>
      <c r="E28" s="1447">
        <v>0.52</v>
      </c>
      <c r="F28" s="1448"/>
    </row>
    <row r="29" spans="1:6" s="1353" customFormat="1" ht="20.100000000000001" customHeight="1">
      <c r="A29" s="4279" t="s">
        <v>11097</v>
      </c>
      <c r="B29" s="1447" t="s">
        <v>9733</v>
      </c>
      <c r="C29" s="1447"/>
      <c r="D29" s="1447" t="s">
        <v>13125</v>
      </c>
      <c r="E29" s="1447">
        <v>0.5</v>
      </c>
      <c r="F29" s="1448"/>
    </row>
    <row r="30" spans="1:6" s="1353" customFormat="1" ht="39.950000000000003" customHeight="1">
      <c r="A30" s="4279" t="s">
        <v>3394</v>
      </c>
      <c r="B30" s="1447" t="s">
        <v>13126</v>
      </c>
      <c r="C30" s="1447" t="s">
        <v>13127</v>
      </c>
      <c r="D30" s="1447" t="s">
        <v>13128</v>
      </c>
      <c r="E30" s="1447">
        <f>E28*E12</f>
        <v>153.4</v>
      </c>
      <c r="F30" s="1448" t="s">
        <v>1721</v>
      </c>
    </row>
    <row r="31" spans="1:6" s="1353" customFormat="1" ht="39.950000000000003" customHeight="1">
      <c r="A31" s="4279" t="s">
        <v>11063</v>
      </c>
      <c r="B31" s="1447" t="s">
        <v>13129</v>
      </c>
      <c r="C31" s="1447" t="s">
        <v>13127</v>
      </c>
      <c r="D31" s="1447" t="s">
        <v>13130</v>
      </c>
      <c r="E31" s="1447">
        <f>E29*E13</f>
        <v>137.5</v>
      </c>
      <c r="F31" s="1448" t="s">
        <v>1721</v>
      </c>
    </row>
    <row r="32" spans="1:6" s="1353" customFormat="1" ht="39.950000000000003" customHeight="1">
      <c r="A32" s="4279" t="s">
        <v>11403</v>
      </c>
      <c r="B32" s="1447" t="s">
        <v>13131</v>
      </c>
      <c r="C32" s="1447" t="s">
        <v>13132</v>
      </c>
      <c r="D32" s="1447"/>
      <c r="E32" s="1447">
        <f>E31</f>
        <v>137.5</v>
      </c>
      <c r="F32" s="1448" t="s">
        <v>1721</v>
      </c>
    </row>
    <row r="33" spans="1:6" s="1353" customFormat="1" ht="39.950000000000003" customHeight="1">
      <c r="A33" s="4279" t="s">
        <v>11098</v>
      </c>
      <c r="B33" s="1447" t="s">
        <v>13133</v>
      </c>
      <c r="C33" s="1447" t="s">
        <v>13134</v>
      </c>
      <c r="D33" s="1447" t="s">
        <v>13135</v>
      </c>
      <c r="E33" s="1447">
        <f>E32*PI()*E4*E6*E7</f>
        <v>302378.29290801799</v>
      </c>
      <c r="F33" s="1448" t="s">
        <v>464</v>
      </c>
    </row>
    <row r="34" spans="1:6" s="1353" customFormat="1" ht="39.950000000000003" customHeight="1">
      <c r="A34" s="4279" t="s">
        <v>11111</v>
      </c>
      <c r="B34" s="1447" t="s">
        <v>13136</v>
      </c>
      <c r="C34" s="1447" t="s">
        <v>13137</v>
      </c>
      <c r="D34" s="1447" t="s">
        <v>13138</v>
      </c>
      <c r="E34" s="1447">
        <f>E32*E4*E22/E8</f>
        <v>0.10855625000000001</v>
      </c>
      <c r="F34" s="1448" t="s">
        <v>234</v>
      </c>
    </row>
    <row r="35" spans="1:6" s="1353" customFormat="1" ht="39.950000000000003" customHeight="1">
      <c r="A35" s="4279" t="s">
        <v>1164</v>
      </c>
      <c r="B35" s="1447" t="s">
        <v>13139</v>
      </c>
      <c r="C35" s="1447" t="s">
        <v>13140</v>
      </c>
      <c r="D35" s="1447" t="s">
        <v>13141</v>
      </c>
      <c r="E35" s="1447">
        <f>E32*E4*E23/E9</f>
        <v>4.8125000000000001E-2</v>
      </c>
      <c r="F35" s="1448" t="s">
        <v>234</v>
      </c>
    </row>
    <row r="36" spans="1:6" s="1353" customFormat="1" ht="39.950000000000003" customHeight="1">
      <c r="A36" s="4279" t="s">
        <v>11106</v>
      </c>
      <c r="B36" s="1447" t="s">
        <v>13142</v>
      </c>
      <c r="C36" s="1447" t="s">
        <v>13143</v>
      </c>
      <c r="D36" s="1447" t="s">
        <v>13144</v>
      </c>
      <c r="E36" s="1451">
        <f>E34+E35</f>
        <v>0.15668124999999999</v>
      </c>
      <c r="F36" s="1452" t="s">
        <v>234</v>
      </c>
    </row>
    <row r="37" spans="1:6" s="1353" customFormat="1" ht="20.100000000000001" customHeight="1">
      <c r="A37" s="4279" t="s">
        <v>11100</v>
      </c>
      <c r="B37" s="1447" t="s">
        <v>13145</v>
      </c>
      <c r="C37" s="1447" t="s">
        <v>13146</v>
      </c>
      <c r="D37" s="1447" t="s">
        <v>13147</v>
      </c>
      <c r="E37" s="1447"/>
      <c r="F37" s="1448"/>
    </row>
    <row r="38" spans="1:6" s="1353" customFormat="1" ht="20.100000000000001" customHeight="1">
      <c r="A38" s="4279" t="s">
        <v>11123</v>
      </c>
      <c r="B38" s="1447" t="s">
        <v>13148</v>
      </c>
      <c r="C38" s="1447" t="s">
        <v>13146</v>
      </c>
      <c r="D38" s="1447" t="s">
        <v>13149</v>
      </c>
      <c r="E38" s="1447"/>
      <c r="F38" s="1448"/>
    </row>
    <row r="39" spans="1:6" s="1353" customFormat="1" ht="20.100000000000001" customHeight="1">
      <c r="A39" s="4279" t="s">
        <v>11246</v>
      </c>
      <c r="B39" s="1447" t="s">
        <v>13150</v>
      </c>
      <c r="C39" s="1447" t="s">
        <v>13151</v>
      </c>
      <c r="D39" s="1447" t="s">
        <v>13152</v>
      </c>
      <c r="E39" s="1447">
        <f>(E26+E36)/2</f>
        <v>8.6890672977987193E-2</v>
      </c>
      <c r="F39" s="1448" t="s">
        <v>234</v>
      </c>
    </row>
    <row r="40" spans="1:6" s="1353" customFormat="1" ht="20.100000000000001" customHeight="1">
      <c r="A40" s="4279" t="s">
        <v>1166</v>
      </c>
      <c r="B40" s="1447"/>
      <c r="C40" s="1447" t="s">
        <v>13153</v>
      </c>
      <c r="D40" s="1447" t="s">
        <v>13154</v>
      </c>
      <c r="E40" s="1447" t="s">
        <v>428</v>
      </c>
      <c r="F40" s="1448"/>
    </row>
    <row r="41" spans="1:6" s="1353" customFormat="1" ht="20.100000000000001" customHeight="1">
      <c r="A41" s="4279" t="s">
        <v>11404</v>
      </c>
      <c r="B41" s="1447"/>
      <c r="C41" s="1447" t="s">
        <v>13155</v>
      </c>
      <c r="D41" s="1447" t="s">
        <v>13156</v>
      </c>
      <c r="E41" s="1447"/>
      <c r="F41" s="1448"/>
    </row>
    <row r="42" spans="1:6" s="1353" customFormat="1" ht="20.100000000000001" customHeight="1">
      <c r="A42" s="4279" t="s">
        <v>11103</v>
      </c>
      <c r="B42" s="1447"/>
      <c r="C42" s="1447" t="s">
        <v>13157</v>
      </c>
      <c r="D42" s="1447" t="s">
        <v>13158</v>
      </c>
      <c r="E42" s="1447"/>
      <c r="F42" s="1448"/>
    </row>
    <row r="43" spans="1:6" s="1353" customFormat="1" ht="20.100000000000001" customHeight="1">
      <c r="A43" s="4279" t="s">
        <v>11546</v>
      </c>
      <c r="B43" s="1447"/>
      <c r="C43" s="1447"/>
      <c r="D43" s="1447" t="s">
        <v>13159</v>
      </c>
      <c r="E43" s="1447"/>
      <c r="F43" s="1448"/>
    </row>
    <row r="44" spans="1:6" s="1353" customFormat="1" ht="18.75" customHeight="1">
      <c r="A44" s="4279" t="s">
        <v>11119</v>
      </c>
      <c r="B44" s="1447" t="s">
        <v>2243</v>
      </c>
      <c r="C44" s="1447" t="s">
        <v>13160</v>
      </c>
      <c r="D44" s="1447" t="s">
        <v>13161</v>
      </c>
      <c r="E44" s="1447">
        <v>0.124</v>
      </c>
      <c r="F44" s="1448" t="s">
        <v>234</v>
      </c>
    </row>
    <row r="45" spans="1:6" s="1353" customFormat="1" ht="20.100000000000001" customHeight="1">
      <c r="A45" s="4279" t="s">
        <v>3409</v>
      </c>
      <c r="B45" s="1447" t="s">
        <v>11745</v>
      </c>
      <c r="C45" s="1447"/>
      <c r="D45" s="1447"/>
      <c r="E45" s="1447">
        <v>3.5000000000000003E-2</v>
      </c>
      <c r="F45" s="1448" t="s">
        <v>234</v>
      </c>
    </row>
    <row r="46" spans="1:6" s="1353" customFormat="1" ht="20.100000000000001" customHeight="1">
      <c r="A46" s="4279" t="s">
        <v>13013</v>
      </c>
      <c r="B46" s="1447" t="s">
        <v>11744</v>
      </c>
      <c r="C46" s="1447"/>
      <c r="D46" s="1447"/>
      <c r="E46" s="1447">
        <v>2.1999999999999999E-2</v>
      </c>
      <c r="F46" s="1448" t="s">
        <v>234</v>
      </c>
    </row>
    <row r="47" spans="1:6" s="1353" customFormat="1" ht="20.100000000000001" customHeight="1">
      <c r="A47" s="4279" t="s">
        <v>11124</v>
      </c>
      <c r="B47" s="1447" t="s">
        <v>13145</v>
      </c>
      <c r="C47" s="1447" t="s">
        <v>13146</v>
      </c>
      <c r="D47" s="1447" t="s">
        <v>13162</v>
      </c>
      <c r="E47" s="1451">
        <f>E44-E45</f>
        <v>8.8999999999999996E-2</v>
      </c>
      <c r="F47" s="1452" t="s">
        <v>234</v>
      </c>
    </row>
    <row r="48" spans="1:6" s="1353" customFormat="1" ht="20.100000000000001" customHeight="1">
      <c r="A48" s="1446"/>
      <c r="B48" s="1447"/>
      <c r="C48" s="1447"/>
      <c r="D48" s="1447"/>
      <c r="E48" s="1451" t="s">
        <v>13163</v>
      </c>
      <c r="F48" s="1452" t="s">
        <v>234</v>
      </c>
    </row>
    <row r="49" spans="1:6" s="1353" customFormat="1" ht="20.100000000000001" customHeight="1">
      <c r="A49" s="4279" t="s">
        <v>11107</v>
      </c>
      <c r="B49" s="1447" t="s">
        <v>13148</v>
      </c>
      <c r="C49" s="1447" t="s">
        <v>13146</v>
      </c>
      <c r="D49" s="1447" t="s">
        <v>13164</v>
      </c>
      <c r="E49" s="1451">
        <f>E44+E46</f>
        <v>0.14599999999999999</v>
      </c>
      <c r="F49" s="1452" t="s">
        <v>234</v>
      </c>
    </row>
    <row r="50" spans="1:6">
      <c r="A50" s="1446"/>
      <c r="B50" s="1447"/>
      <c r="C50" s="1447"/>
      <c r="D50" s="1447"/>
      <c r="E50" s="1451" t="s">
        <v>13165</v>
      </c>
      <c r="F50" s="1452" t="s">
        <v>234</v>
      </c>
    </row>
    <row r="51" spans="1:6">
      <c r="A51" s="1453"/>
      <c r="B51" s="1454"/>
      <c r="C51" s="1455"/>
      <c r="D51" s="1454"/>
      <c r="E51" s="1454"/>
      <c r="F51" s="1456"/>
    </row>
    <row r="52" spans="1:6" s="1353" customFormat="1" ht="18.75" customHeight="1">
      <c r="A52" s="1360"/>
      <c r="B52" s="1361" t="s">
        <v>13010</v>
      </c>
      <c r="C52" s="1361" t="s">
        <v>13011</v>
      </c>
      <c r="D52" s="1362"/>
      <c r="E52" s="1362"/>
      <c r="F52" s="1363"/>
    </row>
    <row r="53" spans="1:6">
      <c r="A53" s="1453"/>
      <c r="B53" s="1454" t="s">
        <v>13166</v>
      </c>
      <c r="C53" s="1455"/>
      <c r="D53" s="1454"/>
      <c r="E53" s="1454"/>
      <c r="F53" s="1456"/>
    </row>
  </sheetData>
  <phoneticPr fontId="214" type="noConversion"/>
  <pageMargins left="0.75" right="0.75" top="1" bottom="1" header="0.5" footer="0.5"/>
  <pageSetup paperSize="9" scale="97" orientation="landscape" r:id="rId1"/>
  <headerFooter alignWithMargins="0"/>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32"/>
  <dimension ref="A1:F17"/>
  <sheetViews>
    <sheetView view="pageBreakPreview" zoomScaleNormal="100" workbookViewId="0">
      <selection activeCell="G1" sqref="G1"/>
    </sheetView>
  </sheetViews>
  <sheetFormatPr defaultColWidth="8.125" defaultRowHeight="15"/>
  <cols>
    <col min="1" max="1" width="5.125" style="1420" customWidth="1"/>
    <col min="2" max="2" width="6.75" style="1420" customWidth="1"/>
    <col min="3" max="3" width="25.25" style="1420" customWidth="1"/>
    <col min="4" max="4" width="28.25" style="1420" customWidth="1"/>
    <col min="5" max="5" width="15.75" style="1420" customWidth="1"/>
    <col min="6" max="6" width="8.125" style="1420"/>
    <col min="7" max="7" width="73.125" style="1420" customWidth="1"/>
    <col min="8" max="16384" width="8.125" style="1420"/>
  </cols>
  <sheetData>
    <row r="1" spans="1:6" s="1353" customFormat="1" ht="20.100000000000001" customHeight="1">
      <c r="A1" s="1404" t="s">
        <v>12929</v>
      </c>
      <c r="B1" s="1405" t="s">
        <v>12930</v>
      </c>
      <c r="C1" s="1405" t="s">
        <v>12931</v>
      </c>
      <c r="D1" s="1405" t="s">
        <v>12932</v>
      </c>
      <c r="E1" s="1405" t="s">
        <v>12933</v>
      </c>
      <c r="F1" s="1421" t="s">
        <v>12934</v>
      </c>
    </row>
    <row r="2" spans="1:6" s="1353" customFormat="1" ht="20.100000000000001" customHeight="1">
      <c r="A2" s="1408"/>
      <c r="B2" s="1422" t="s">
        <v>12935</v>
      </c>
      <c r="C2" s="1422" t="s">
        <v>12936</v>
      </c>
      <c r="D2" s="1410"/>
      <c r="E2" s="1410"/>
      <c r="F2" s="1411"/>
    </row>
    <row r="3" spans="1:6" s="1353" customFormat="1" ht="20.100000000000001" customHeight="1">
      <c r="A3" s="4278" t="s">
        <v>10424</v>
      </c>
      <c r="B3" s="1424" t="s">
        <v>13167</v>
      </c>
      <c r="C3" s="1425" t="s">
        <v>13059</v>
      </c>
      <c r="D3" s="1426"/>
      <c r="E3" s="1426">
        <v>1.5</v>
      </c>
      <c r="F3" s="1427"/>
    </row>
    <row r="4" spans="1:6" s="1353" customFormat="1" ht="20.100000000000001" customHeight="1">
      <c r="A4" s="4278" t="s">
        <v>11044</v>
      </c>
      <c r="B4" s="1424" t="s">
        <v>13168</v>
      </c>
      <c r="C4" s="1425" t="s">
        <v>5888</v>
      </c>
      <c r="D4" s="1426"/>
      <c r="E4" s="1426">
        <v>1.5</v>
      </c>
      <c r="F4" s="1427"/>
    </row>
    <row r="5" spans="1:6" s="1353" customFormat="1" ht="20.100000000000001" customHeight="1">
      <c r="A5" s="4278" t="s">
        <v>11045</v>
      </c>
      <c r="B5" s="1426" t="s">
        <v>445</v>
      </c>
      <c r="C5" s="1425" t="s">
        <v>13169</v>
      </c>
      <c r="D5" s="1424"/>
      <c r="E5" s="1426">
        <v>300</v>
      </c>
      <c r="F5" s="1427" t="s">
        <v>13170</v>
      </c>
    </row>
    <row r="6" spans="1:6" s="1353" customFormat="1" ht="20.100000000000001" customHeight="1">
      <c r="A6" s="4278" t="s">
        <v>11047</v>
      </c>
      <c r="B6" s="1426" t="s">
        <v>464</v>
      </c>
      <c r="C6" s="1425" t="s">
        <v>13171</v>
      </c>
      <c r="D6" s="1426"/>
      <c r="E6" s="1426">
        <v>1200</v>
      </c>
      <c r="F6" s="1427" t="s">
        <v>13172</v>
      </c>
    </row>
    <row r="7" spans="1:6" s="1353" customFormat="1" ht="20.100000000000001" customHeight="1">
      <c r="A7" s="4278" t="s">
        <v>11048</v>
      </c>
      <c r="B7" s="1426" t="s">
        <v>2487</v>
      </c>
      <c r="C7" s="1425" t="s">
        <v>1061</v>
      </c>
      <c r="D7" s="1426"/>
      <c r="E7" s="1426">
        <v>41</v>
      </c>
      <c r="F7" s="1427" t="s">
        <v>13172</v>
      </c>
    </row>
    <row r="8" spans="1:6" s="1353" customFormat="1" ht="20.100000000000001" customHeight="1">
      <c r="A8" s="1408"/>
      <c r="B8" s="1422" t="s">
        <v>12952</v>
      </c>
      <c r="C8" s="1422" t="s">
        <v>12953</v>
      </c>
      <c r="D8" s="1410"/>
      <c r="E8" s="1410"/>
      <c r="F8" s="1411"/>
    </row>
    <row r="9" spans="1:6" s="1353" customFormat="1" ht="20.100000000000001" customHeight="1">
      <c r="A9" s="4278" t="s">
        <v>11046</v>
      </c>
      <c r="B9" s="1424" t="s">
        <v>13173</v>
      </c>
      <c r="C9" s="1425" t="s">
        <v>13174</v>
      </c>
      <c r="D9" s="1424" t="s">
        <v>13175</v>
      </c>
      <c r="E9" s="1426">
        <f>E5*E3*E4</f>
        <v>675</v>
      </c>
      <c r="F9" s="1427" t="s">
        <v>13170</v>
      </c>
    </row>
    <row r="10" spans="1:6" s="1353" customFormat="1" ht="20.100000000000001" customHeight="1">
      <c r="A10" s="4278" t="s">
        <v>11049</v>
      </c>
      <c r="B10" s="1426" t="s">
        <v>1069</v>
      </c>
      <c r="C10" s="1425" t="s">
        <v>5780</v>
      </c>
      <c r="D10" s="1426" t="s">
        <v>13176</v>
      </c>
      <c r="E10" s="1426">
        <f>E6/E7</f>
        <v>29.268292682926798</v>
      </c>
      <c r="F10" s="1427"/>
    </row>
    <row r="11" spans="1:6" s="1353" customFormat="1" ht="20.100000000000001" customHeight="1">
      <c r="A11" s="4278" t="s">
        <v>9825</v>
      </c>
      <c r="B11" s="1426" t="s">
        <v>12937</v>
      </c>
      <c r="C11" s="1425" t="s">
        <v>13177</v>
      </c>
      <c r="D11" s="1426" t="s">
        <v>13178</v>
      </c>
      <c r="E11" s="1426"/>
      <c r="F11" s="1427"/>
    </row>
    <row r="12" spans="1:6" s="1353" customFormat="1" ht="18.75" customHeight="1">
      <c r="A12" s="1360"/>
      <c r="B12" s="1361" t="s">
        <v>13010</v>
      </c>
      <c r="C12" s="1361" t="s">
        <v>13011</v>
      </c>
      <c r="D12" s="1362"/>
      <c r="E12" s="1362"/>
      <c r="F12" s="1363"/>
    </row>
    <row r="13" spans="1:6" s="1353" customFormat="1" ht="20.100000000000001" customHeight="1">
      <c r="A13" s="4278" t="s">
        <v>9828</v>
      </c>
      <c r="B13" s="1426"/>
      <c r="C13" s="1426"/>
      <c r="D13" s="1425" t="s">
        <v>13179</v>
      </c>
      <c r="E13" s="1426">
        <v>840</v>
      </c>
      <c r="F13" s="1427" t="s">
        <v>13180</v>
      </c>
    </row>
    <row r="14" spans="1:6" s="1353" customFormat="1" ht="20.100000000000001" customHeight="1">
      <c r="A14" s="1423"/>
      <c r="B14" s="1428"/>
      <c r="C14" s="1429"/>
      <c r="D14" s="1429"/>
      <c r="E14" s="1428"/>
      <c r="F14" s="1430"/>
    </row>
    <row r="15" spans="1:6" s="1353" customFormat="1" ht="20.100000000000001" customHeight="1">
      <c r="A15" s="1431"/>
      <c r="B15" s="1432"/>
      <c r="C15" s="1433"/>
      <c r="D15" s="1433"/>
      <c r="E15" s="1434"/>
      <c r="F15" s="1435"/>
    </row>
    <row r="16" spans="1:6" s="1353" customFormat="1" ht="20.100000000000001" customHeight="1">
      <c r="A16" s="1431"/>
      <c r="B16" s="1436"/>
      <c r="C16" s="1436"/>
      <c r="D16" s="1437"/>
      <c r="E16" s="1437"/>
      <c r="F16" s="1438"/>
    </row>
    <row r="17" spans="1:6" s="1353" customFormat="1" ht="20.100000000000001" customHeight="1">
      <c r="A17" s="1431"/>
      <c r="B17" s="1436"/>
      <c r="C17" s="1436"/>
      <c r="D17" s="1437"/>
      <c r="E17" s="1437"/>
      <c r="F17" s="1438"/>
    </row>
  </sheetData>
  <phoneticPr fontId="214" type="noConversion"/>
  <pageMargins left="0.75" right="0.75" top="1" bottom="1" header="0.5" footer="0.5"/>
  <pageSetup paperSize="9" scale="97" orientation="landscape" r:id="rId1"/>
  <headerFooter alignWithMargins="0"/>
  <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33"/>
  <dimension ref="A1:Q80"/>
  <sheetViews>
    <sheetView view="pageBreakPreview" zoomScaleNormal="100" workbookViewId="0">
      <selection activeCell="G1" sqref="G1"/>
    </sheetView>
  </sheetViews>
  <sheetFormatPr defaultColWidth="8.125" defaultRowHeight="14.25"/>
  <cols>
    <col min="1" max="1" width="5.125" style="1355" customWidth="1"/>
    <col min="2" max="2" width="6.75" style="1355" customWidth="1"/>
    <col min="3" max="3" width="25.25" style="1355" customWidth="1"/>
    <col min="4" max="4" width="21.75" style="1355" customWidth="1"/>
    <col min="5" max="5" width="15.75" style="1355" customWidth="1"/>
    <col min="6" max="6" width="8.125" style="1355"/>
    <col min="7" max="7" width="73.125" style="1355" customWidth="1"/>
    <col min="8" max="16384" width="8.125" style="1355"/>
  </cols>
  <sheetData>
    <row r="1" spans="1:16" s="1353" customFormat="1" ht="20.100000000000001" customHeight="1">
      <c r="A1" s="1404" t="s">
        <v>12929</v>
      </c>
      <c r="B1" s="1405" t="s">
        <v>12930</v>
      </c>
      <c r="C1" s="1405" t="s">
        <v>12931</v>
      </c>
      <c r="D1" s="1406" t="s">
        <v>13181</v>
      </c>
      <c r="E1" s="1406" t="s">
        <v>13182</v>
      </c>
      <c r="F1" s="1407" t="s">
        <v>213</v>
      </c>
    </row>
    <row r="2" spans="1:16" s="1353" customFormat="1" ht="20.100000000000001" customHeight="1">
      <c r="A2" s="1408"/>
      <c r="B2" s="1409" t="s">
        <v>13183</v>
      </c>
      <c r="C2" s="1409" t="s">
        <v>13184</v>
      </c>
      <c r="D2" s="1410"/>
      <c r="E2" s="1410"/>
      <c r="F2" s="1411"/>
    </row>
    <row r="3" spans="1:16" s="1354" customFormat="1" ht="20.100000000000001" customHeight="1">
      <c r="A3" s="4280" t="s">
        <v>10424</v>
      </c>
      <c r="B3" s="1412" t="s">
        <v>13185</v>
      </c>
      <c r="C3" s="1413" t="s">
        <v>13186</v>
      </c>
      <c r="D3" s="1369"/>
      <c r="E3" s="1369">
        <v>10</v>
      </c>
      <c r="F3" s="1370" t="s">
        <v>5773</v>
      </c>
      <c r="G3" s="1367"/>
      <c r="H3" s="1367"/>
      <c r="I3" s="1367"/>
      <c r="J3" s="1367"/>
      <c r="K3" s="1367"/>
      <c r="L3" s="1367"/>
      <c r="M3" s="1367"/>
      <c r="N3" s="1367"/>
      <c r="O3" s="1367"/>
      <c r="P3" s="1367"/>
    </row>
    <row r="4" spans="1:16" s="1354" customFormat="1" ht="20.100000000000001" customHeight="1">
      <c r="A4" s="4280" t="s">
        <v>11044</v>
      </c>
      <c r="B4" s="1412" t="s">
        <v>13187</v>
      </c>
      <c r="C4" s="1413" t="s">
        <v>13188</v>
      </c>
      <c r="D4" s="1369"/>
      <c r="E4" s="1369">
        <v>10</v>
      </c>
      <c r="F4" s="1370" t="s">
        <v>5773</v>
      </c>
      <c r="G4" s="1367"/>
      <c r="H4" s="1367"/>
      <c r="I4" s="1367"/>
      <c r="J4" s="1367"/>
      <c r="K4" s="1367"/>
      <c r="L4" s="1367"/>
      <c r="M4" s="1367"/>
      <c r="N4" s="1367"/>
      <c r="O4" s="1367"/>
      <c r="P4" s="1367"/>
    </row>
    <row r="5" spans="1:16" s="1354" customFormat="1" ht="20.100000000000001" customHeight="1">
      <c r="A5" s="4280" t="s">
        <v>11045</v>
      </c>
      <c r="B5" s="1414" t="s">
        <v>1069</v>
      </c>
      <c r="C5" s="1415" t="s">
        <v>13189</v>
      </c>
      <c r="D5" s="1416" t="s">
        <v>13190</v>
      </c>
      <c r="E5" s="1416">
        <f>E3/E4</f>
        <v>1</v>
      </c>
      <c r="F5" s="1417"/>
      <c r="G5" s="1367"/>
      <c r="H5" s="1367"/>
      <c r="I5" s="1367"/>
      <c r="J5" s="1367"/>
      <c r="K5" s="1367"/>
      <c r="L5" s="1367"/>
      <c r="M5" s="1367"/>
      <c r="N5" s="1367"/>
      <c r="O5" s="1367"/>
      <c r="P5" s="1367"/>
    </row>
    <row r="6" spans="1:16" s="1354" customFormat="1" ht="20.100000000000001" customHeight="1">
      <c r="A6" s="4280" t="s">
        <v>11046</v>
      </c>
      <c r="B6" s="1414" t="s">
        <v>13191</v>
      </c>
      <c r="C6" s="1413" t="s">
        <v>13192</v>
      </c>
      <c r="D6" s="1416"/>
      <c r="E6" s="1416">
        <v>30</v>
      </c>
      <c r="F6" s="1417"/>
      <c r="G6" s="1367"/>
      <c r="H6" s="1367"/>
      <c r="I6" s="1367"/>
      <c r="J6" s="1367"/>
      <c r="K6" s="1367"/>
      <c r="L6" s="1367"/>
      <c r="M6" s="1367"/>
      <c r="N6" s="1367"/>
      <c r="O6" s="1367"/>
      <c r="P6" s="1367"/>
    </row>
    <row r="7" spans="1:16" s="1354" customFormat="1" ht="20.100000000000001" customHeight="1">
      <c r="A7" s="4280" t="s">
        <v>11047</v>
      </c>
      <c r="B7" s="1414" t="s">
        <v>13193</v>
      </c>
      <c r="C7" s="1413" t="s">
        <v>13194</v>
      </c>
      <c r="D7" s="1416" t="s">
        <v>13195</v>
      </c>
      <c r="E7" s="1416">
        <v>24</v>
      </c>
      <c r="F7" s="1417"/>
      <c r="G7" s="1367"/>
      <c r="H7" s="1367"/>
      <c r="I7" s="1367"/>
      <c r="J7" s="1367"/>
      <c r="K7" s="1367"/>
      <c r="L7" s="1367"/>
      <c r="M7" s="1367"/>
      <c r="N7" s="1367"/>
      <c r="O7" s="1367"/>
      <c r="P7" s="1367"/>
    </row>
    <row r="8" spans="1:16" s="1354" customFormat="1" ht="20.100000000000001" customHeight="1">
      <c r="A8" s="4280" t="s">
        <v>11048</v>
      </c>
      <c r="B8" s="1414" t="s">
        <v>445</v>
      </c>
      <c r="C8" s="1413" t="s">
        <v>13196</v>
      </c>
      <c r="D8" s="1416"/>
      <c r="E8" s="1416">
        <v>3</v>
      </c>
      <c r="F8" s="1417" t="s">
        <v>2315</v>
      </c>
      <c r="G8" s="1367"/>
      <c r="H8" s="1367"/>
      <c r="I8" s="1367"/>
      <c r="J8" s="1367"/>
      <c r="K8" s="1367"/>
      <c r="L8" s="1367"/>
      <c r="M8" s="1367"/>
      <c r="N8" s="1367"/>
      <c r="O8" s="1367"/>
      <c r="P8" s="1367"/>
    </row>
    <row r="9" spans="1:16" s="1354" customFormat="1" ht="20.100000000000001" customHeight="1">
      <c r="A9" s="4280" t="s">
        <v>11049</v>
      </c>
      <c r="B9" s="1414" t="s">
        <v>13197</v>
      </c>
      <c r="C9" s="1413" t="s">
        <v>13198</v>
      </c>
      <c r="D9" s="1416" t="s">
        <v>13199</v>
      </c>
      <c r="E9" s="1416">
        <v>1.4</v>
      </c>
      <c r="F9" s="1417"/>
      <c r="G9" s="1367"/>
      <c r="H9" s="1367"/>
      <c r="I9" s="1367"/>
      <c r="J9" s="1367"/>
      <c r="K9" s="1367"/>
      <c r="L9" s="1367"/>
      <c r="M9" s="1367"/>
      <c r="N9" s="1367"/>
      <c r="O9" s="1367"/>
      <c r="P9" s="1367"/>
    </row>
    <row r="10" spans="1:16" s="1354" customFormat="1" ht="20.100000000000001" customHeight="1">
      <c r="A10" s="4280" t="s">
        <v>9825</v>
      </c>
      <c r="B10" s="1414" t="s">
        <v>13200</v>
      </c>
      <c r="C10" s="1415" t="s">
        <v>13201</v>
      </c>
      <c r="D10" s="1416" t="s">
        <v>13202</v>
      </c>
      <c r="E10" s="1416">
        <f>E8*E9</f>
        <v>4.2</v>
      </c>
      <c r="F10" s="1417" t="s">
        <v>2315</v>
      </c>
      <c r="G10" s="1367"/>
      <c r="H10" s="1367"/>
      <c r="I10" s="1367"/>
      <c r="J10" s="1367"/>
      <c r="K10" s="1367"/>
      <c r="L10" s="1367"/>
      <c r="M10" s="1367"/>
      <c r="N10" s="1367"/>
      <c r="O10" s="1367"/>
      <c r="P10" s="1367"/>
    </row>
    <row r="11" spans="1:16" s="1354" customFormat="1" ht="20.100000000000001" customHeight="1">
      <c r="A11" s="4280" t="s">
        <v>9828</v>
      </c>
      <c r="B11" s="1414" t="s">
        <v>13203</v>
      </c>
      <c r="C11" s="1415" t="s">
        <v>13204</v>
      </c>
      <c r="D11" s="1416" t="s">
        <v>13205</v>
      </c>
      <c r="E11" s="1416">
        <v>1.51</v>
      </c>
      <c r="F11" s="1417"/>
      <c r="G11" s="1367"/>
      <c r="H11" s="1367"/>
      <c r="I11" s="1367"/>
      <c r="J11" s="1367"/>
      <c r="K11" s="1367"/>
      <c r="L11" s="1367"/>
      <c r="M11" s="1367"/>
      <c r="N11" s="1367"/>
      <c r="O11" s="1367"/>
      <c r="P11" s="1367"/>
    </row>
    <row r="12" spans="1:16" s="1354" customFormat="1" ht="20.100000000000001" customHeight="1">
      <c r="A12" s="4280" t="s">
        <v>3389</v>
      </c>
      <c r="B12" s="1414" t="s">
        <v>13206</v>
      </c>
      <c r="C12" s="1415" t="s">
        <v>13207</v>
      </c>
      <c r="D12" s="1416" t="s">
        <v>13208</v>
      </c>
      <c r="E12" s="1416">
        <v>1</v>
      </c>
      <c r="F12" s="1417"/>
      <c r="G12" s="1367"/>
      <c r="H12" s="1367"/>
      <c r="I12" s="1367"/>
      <c r="J12" s="1367"/>
      <c r="K12" s="1367"/>
      <c r="L12" s="1367"/>
      <c r="M12" s="1367"/>
      <c r="N12" s="1367"/>
      <c r="O12" s="1367"/>
      <c r="P12" s="1367"/>
    </row>
    <row r="13" spans="1:16" s="1353" customFormat="1" ht="20.100000000000001" customHeight="1">
      <c r="A13" s="1408"/>
      <c r="B13" s="1409" t="s">
        <v>13209</v>
      </c>
      <c r="C13" s="1409" t="s">
        <v>249</v>
      </c>
      <c r="D13" s="1410"/>
      <c r="E13" s="1410"/>
      <c r="F13" s="1411"/>
    </row>
    <row r="14" spans="1:16" s="1354" customFormat="1" ht="20.100000000000001" customHeight="1">
      <c r="A14" s="4280" t="s">
        <v>11050</v>
      </c>
      <c r="B14" s="1414" t="s">
        <v>13210</v>
      </c>
      <c r="C14" s="1415" t="s">
        <v>13211</v>
      </c>
      <c r="D14" s="1416" t="s">
        <v>13212</v>
      </c>
      <c r="E14" s="1416">
        <f>E10/(E11*E12)</f>
        <v>2.7814569536423801</v>
      </c>
      <c r="F14" s="1417" t="s">
        <v>2315</v>
      </c>
      <c r="G14" s="1367"/>
      <c r="H14" s="1367"/>
      <c r="I14" s="1367"/>
      <c r="J14" s="1367"/>
      <c r="K14" s="1367"/>
      <c r="L14" s="1367"/>
      <c r="M14" s="1367"/>
      <c r="N14" s="1367"/>
      <c r="O14" s="1367"/>
      <c r="P14" s="1367"/>
    </row>
    <row r="15" spans="1:16" s="1354" customFormat="1" ht="20.100000000000001" customHeight="1">
      <c r="A15" s="4280" t="s">
        <v>11051</v>
      </c>
      <c r="B15" s="1414" t="s">
        <v>1858</v>
      </c>
      <c r="C15" s="1415" t="s">
        <v>13213</v>
      </c>
      <c r="D15" s="1416" t="s">
        <v>13214</v>
      </c>
      <c r="E15" s="1416">
        <v>19.05</v>
      </c>
      <c r="F15" s="1417" t="s">
        <v>234</v>
      </c>
      <c r="G15" s="1367"/>
      <c r="H15" s="1367"/>
      <c r="I15" s="1367"/>
      <c r="J15" s="1367"/>
      <c r="K15" s="1367"/>
      <c r="L15" s="1367"/>
      <c r="M15" s="1367"/>
      <c r="N15" s="1367"/>
      <c r="O15" s="1367"/>
      <c r="P15" s="1367"/>
    </row>
    <row r="16" spans="1:16" s="1354" customFormat="1" ht="20.100000000000001" customHeight="1">
      <c r="A16" s="4280" t="s">
        <v>11105</v>
      </c>
      <c r="B16" s="1414" t="s">
        <v>13215</v>
      </c>
      <c r="C16" s="1415" t="s">
        <v>13216</v>
      </c>
      <c r="D16" s="1416" t="s">
        <v>13217</v>
      </c>
      <c r="E16" s="1416">
        <v>88</v>
      </c>
      <c r="F16" s="1417" t="s">
        <v>234</v>
      </c>
      <c r="G16" s="1367"/>
      <c r="H16" s="1367"/>
      <c r="I16" s="1367"/>
      <c r="J16" s="1367"/>
      <c r="K16" s="1367"/>
      <c r="L16" s="1367"/>
      <c r="M16" s="1367"/>
      <c r="N16" s="1367"/>
      <c r="O16" s="1367"/>
      <c r="P16" s="1367"/>
    </row>
    <row r="17" spans="1:16" s="1354" customFormat="1" ht="58.5" customHeight="1">
      <c r="A17" s="1368"/>
      <c r="B17" s="1369"/>
      <c r="C17" s="1418" t="s">
        <v>13218</v>
      </c>
      <c r="D17" s="1369"/>
      <c r="E17" s="1369"/>
      <c r="F17" s="1370"/>
      <c r="G17" s="1367"/>
      <c r="H17" s="1367"/>
      <c r="I17" s="1367"/>
      <c r="J17" s="1367"/>
      <c r="K17" s="1367"/>
      <c r="L17" s="1367"/>
      <c r="M17" s="1367"/>
      <c r="N17" s="1367"/>
      <c r="O17" s="1367"/>
      <c r="P17" s="1367"/>
    </row>
    <row r="18" spans="1:16" s="1354" customFormat="1" ht="20.100000000000001" customHeight="1">
      <c r="A18" s="4280" t="s">
        <v>11097</v>
      </c>
      <c r="B18" s="1414" t="s">
        <v>13191</v>
      </c>
      <c r="C18" s="1413" t="s">
        <v>13192</v>
      </c>
      <c r="D18" s="1416"/>
      <c r="E18" s="1416">
        <v>25</v>
      </c>
      <c r="F18" s="1370"/>
      <c r="G18" s="1367"/>
      <c r="H18" s="1367"/>
      <c r="I18" s="1367"/>
      <c r="J18" s="1367"/>
      <c r="K18" s="1367"/>
      <c r="L18" s="1367"/>
      <c r="M18" s="1367"/>
      <c r="N18" s="1367"/>
      <c r="O18" s="1367"/>
      <c r="P18" s="1367"/>
    </row>
    <row r="19" spans="1:16" s="1354" customFormat="1" ht="20.100000000000001" customHeight="1">
      <c r="A19" s="4280" t="s">
        <v>3394</v>
      </c>
      <c r="B19" s="1414" t="s">
        <v>13193</v>
      </c>
      <c r="C19" s="1413" t="s">
        <v>13194</v>
      </c>
      <c r="D19" s="1416" t="s">
        <v>13195</v>
      </c>
      <c r="E19" s="1416">
        <f>E18*E5</f>
        <v>25</v>
      </c>
      <c r="F19" s="1370"/>
      <c r="G19" s="1367"/>
      <c r="H19" s="1367"/>
      <c r="I19" s="1367"/>
      <c r="J19" s="1367"/>
      <c r="K19" s="1367"/>
      <c r="L19" s="1367"/>
      <c r="M19" s="1367"/>
      <c r="N19" s="1367"/>
      <c r="O19" s="1367"/>
      <c r="P19" s="1367"/>
    </row>
    <row r="20" spans="1:16" s="1354" customFormat="1" ht="20.100000000000001" customHeight="1">
      <c r="A20" s="4280" t="s">
        <v>11063</v>
      </c>
      <c r="B20" s="1414" t="s">
        <v>1858</v>
      </c>
      <c r="C20" s="1415" t="s">
        <v>13213</v>
      </c>
      <c r="D20" s="1416" t="s">
        <v>13214</v>
      </c>
      <c r="E20" s="1416">
        <v>25.4</v>
      </c>
      <c r="F20" s="1417" t="s">
        <v>234</v>
      </c>
      <c r="G20" s="1367"/>
      <c r="H20" s="1367"/>
      <c r="I20" s="1367"/>
      <c r="J20" s="1367"/>
      <c r="K20" s="1367"/>
      <c r="L20" s="1367"/>
      <c r="M20" s="1367"/>
      <c r="N20" s="1367"/>
      <c r="O20" s="1367"/>
      <c r="P20" s="1367"/>
    </row>
    <row r="21" spans="1:16" s="1354" customFormat="1" ht="20.100000000000001" customHeight="1">
      <c r="A21" s="4280" t="s">
        <v>11403</v>
      </c>
      <c r="B21" s="1414" t="s">
        <v>13219</v>
      </c>
      <c r="C21" s="1369"/>
      <c r="D21" s="1416" t="s">
        <v>13220</v>
      </c>
      <c r="E21" s="1416">
        <v>90</v>
      </c>
      <c r="F21" s="1370"/>
      <c r="G21" s="1367"/>
      <c r="H21" s="1367"/>
      <c r="I21" s="1367"/>
      <c r="J21" s="1367"/>
      <c r="K21" s="1367"/>
      <c r="L21" s="1367"/>
      <c r="M21" s="1367"/>
      <c r="N21" s="1367"/>
      <c r="O21" s="1367"/>
      <c r="P21" s="1367"/>
    </row>
    <row r="22" spans="1:16" s="1354" customFormat="1" ht="20.100000000000001" customHeight="1">
      <c r="A22" s="4280" t="s">
        <v>11098</v>
      </c>
      <c r="B22" s="1414" t="s">
        <v>13221</v>
      </c>
      <c r="C22" s="1419" t="s">
        <v>13222</v>
      </c>
      <c r="D22" s="1416" t="s">
        <v>13223</v>
      </c>
      <c r="E22" s="1416">
        <f>0.2*E18*(E5+1)*E20</f>
        <v>254</v>
      </c>
      <c r="F22" s="1417" t="s">
        <v>234</v>
      </c>
      <c r="G22" s="1367"/>
      <c r="H22" s="1367"/>
      <c r="I22" s="1367"/>
      <c r="J22" s="1367"/>
      <c r="K22" s="1367"/>
      <c r="L22" s="1367"/>
      <c r="M22" s="1367"/>
      <c r="N22" s="1367"/>
      <c r="O22" s="1367"/>
      <c r="P22" s="1367"/>
    </row>
    <row r="23" spans="1:16" s="1354" customFormat="1" ht="20.100000000000001" customHeight="1">
      <c r="A23" s="1368"/>
      <c r="B23" s="1414"/>
      <c r="C23" s="1419"/>
      <c r="D23" s="1369" t="s">
        <v>13224</v>
      </c>
      <c r="E23" s="1369">
        <f>80*E20</f>
        <v>2032</v>
      </c>
      <c r="F23" s="1417" t="s">
        <v>234</v>
      </c>
      <c r="G23" s="1367"/>
      <c r="H23" s="1367"/>
      <c r="I23" s="1367"/>
      <c r="J23" s="1367"/>
      <c r="K23" s="1367"/>
      <c r="L23" s="1367"/>
      <c r="M23" s="1367"/>
      <c r="N23" s="1367"/>
      <c r="O23" s="1367"/>
      <c r="P23" s="1367"/>
    </row>
    <row r="24" spans="1:16" s="1354" customFormat="1" ht="20.100000000000001" customHeight="1">
      <c r="A24" s="4280" t="s">
        <v>11111</v>
      </c>
      <c r="B24" s="1414" t="s">
        <v>13225</v>
      </c>
      <c r="C24" s="1419"/>
      <c r="D24" s="1369"/>
      <c r="E24" s="1369">
        <v>1100</v>
      </c>
      <c r="F24" s="1417" t="s">
        <v>234</v>
      </c>
      <c r="G24" s="1367"/>
      <c r="H24" s="1367"/>
      <c r="I24" s="1367"/>
      <c r="J24" s="1367"/>
      <c r="K24" s="1367"/>
      <c r="L24" s="1367"/>
      <c r="M24" s="1367"/>
      <c r="N24" s="1367"/>
      <c r="O24" s="1367"/>
      <c r="P24" s="1367"/>
    </row>
    <row r="25" spans="1:16" s="1354" customFormat="1" ht="20.100000000000001" customHeight="1">
      <c r="A25" s="4280" t="s">
        <v>1164</v>
      </c>
      <c r="B25" s="1414" t="s">
        <v>13226</v>
      </c>
      <c r="C25" s="1415" t="s">
        <v>13227</v>
      </c>
      <c r="D25" s="1414" t="s">
        <v>13228</v>
      </c>
      <c r="E25" s="1416">
        <f>E24/E20</f>
        <v>43.307086614173201</v>
      </c>
      <c r="F25" s="1417" t="s">
        <v>234</v>
      </c>
      <c r="G25" s="1367"/>
      <c r="H25" s="1367"/>
      <c r="I25" s="1367"/>
      <c r="J25" s="1367"/>
      <c r="K25" s="1367"/>
      <c r="L25" s="1367"/>
      <c r="M25" s="1367"/>
      <c r="N25" s="1367"/>
      <c r="O25" s="1367"/>
      <c r="P25" s="1367"/>
    </row>
    <row r="26" spans="1:16" s="1354" customFormat="1" ht="20.100000000000001" customHeight="1">
      <c r="A26" s="4280" t="s">
        <v>11106</v>
      </c>
      <c r="B26" s="1414" t="s">
        <v>3319</v>
      </c>
      <c r="C26" s="1415"/>
      <c r="D26" s="1416" t="s">
        <v>13229</v>
      </c>
      <c r="E26" s="1416">
        <v>0</v>
      </c>
      <c r="F26" s="1415"/>
      <c r="G26" s="1367"/>
      <c r="H26" s="1367"/>
      <c r="I26" s="1367"/>
      <c r="J26" s="1367"/>
      <c r="K26" s="1367"/>
      <c r="L26" s="1367"/>
      <c r="M26" s="1367"/>
      <c r="N26" s="1367"/>
      <c r="O26" s="1367"/>
      <c r="P26" s="1367"/>
    </row>
    <row r="27" spans="1:16" s="1354" customFormat="1" ht="20.100000000000001" customHeight="1">
      <c r="A27" s="4280" t="s">
        <v>11100</v>
      </c>
      <c r="B27" s="1414" t="s">
        <v>13230</v>
      </c>
      <c r="C27" s="1415" t="s">
        <v>13231</v>
      </c>
      <c r="D27" s="1416" t="s">
        <v>13232</v>
      </c>
      <c r="E27" s="1416">
        <f>(E19+E19)/2+2*E25+E26*E25</f>
        <v>111.614173228346</v>
      </c>
      <c r="F27" s="1415" t="s">
        <v>13233</v>
      </c>
      <c r="G27" s="1367"/>
      <c r="H27" s="1367"/>
      <c r="I27" s="1367"/>
      <c r="J27" s="1367"/>
      <c r="K27" s="1367"/>
      <c r="L27" s="1367"/>
      <c r="M27" s="1367"/>
      <c r="N27" s="1367"/>
      <c r="O27" s="1367"/>
      <c r="P27" s="1367"/>
    </row>
    <row r="28" spans="1:16" s="1354" customFormat="1" ht="20.100000000000001" customHeight="1">
      <c r="A28" s="4280" t="s">
        <v>11123</v>
      </c>
      <c r="B28" s="1414"/>
      <c r="C28" s="1415"/>
      <c r="D28" s="1416"/>
      <c r="E28" s="1416">
        <v>110</v>
      </c>
      <c r="F28" s="1415"/>
      <c r="G28" s="1367"/>
      <c r="H28" s="1367"/>
      <c r="I28" s="1367"/>
      <c r="J28" s="1367"/>
      <c r="K28" s="1367"/>
      <c r="L28" s="1367"/>
      <c r="M28" s="1367"/>
      <c r="N28" s="1367"/>
      <c r="O28" s="1367"/>
      <c r="P28" s="1367"/>
    </row>
    <row r="29" spans="1:16" s="1354" customFormat="1" ht="20.100000000000001" customHeight="1">
      <c r="A29" s="4280" t="s">
        <v>11246</v>
      </c>
      <c r="B29" s="1414" t="s">
        <v>1167</v>
      </c>
      <c r="C29" s="1415" t="s">
        <v>13234</v>
      </c>
      <c r="D29" s="1416" t="s">
        <v>13235</v>
      </c>
      <c r="E29" s="1416">
        <f>E28*E20/1000</f>
        <v>2.794</v>
      </c>
      <c r="F29" s="1415" t="s">
        <v>408</v>
      </c>
      <c r="G29" s="1367"/>
      <c r="H29" s="1367"/>
      <c r="I29" s="1367"/>
      <c r="J29" s="1367"/>
      <c r="K29" s="1367"/>
      <c r="L29" s="1367"/>
      <c r="M29" s="1367"/>
      <c r="N29" s="1367"/>
      <c r="O29" s="1367"/>
      <c r="P29" s="1367"/>
    </row>
    <row r="30" spans="1:16" s="1354" customFormat="1" ht="20.100000000000001" customHeight="1">
      <c r="A30" s="4280" t="s">
        <v>1166</v>
      </c>
      <c r="B30" s="1414" t="s">
        <v>13236</v>
      </c>
      <c r="C30" s="1415"/>
      <c r="D30" s="1416" t="s">
        <v>13237</v>
      </c>
      <c r="E30" s="1416">
        <v>0.25</v>
      </c>
      <c r="F30" s="1415"/>
      <c r="G30" s="1367"/>
      <c r="H30" s="1367"/>
      <c r="I30" s="1367"/>
      <c r="J30" s="1367"/>
      <c r="K30" s="1367"/>
      <c r="L30" s="1367"/>
      <c r="M30" s="1367"/>
      <c r="N30" s="1367"/>
      <c r="O30" s="1367"/>
      <c r="P30" s="1367"/>
    </row>
    <row r="31" spans="1:16" s="1354" customFormat="1" ht="20.100000000000001" customHeight="1">
      <c r="A31" s="4280" t="s">
        <v>11404</v>
      </c>
      <c r="B31" s="1414" t="s">
        <v>13238</v>
      </c>
      <c r="C31" s="1415" t="s">
        <v>13239</v>
      </c>
      <c r="D31" s="1416" t="s">
        <v>13240</v>
      </c>
      <c r="E31" s="1416">
        <f>E20*(2*E28-E19-E19)*E30</f>
        <v>1079.5</v>
      </c>
      <c r="F31" s="1415" t="s">
        <v>234</v>
      </c>
      <c r="G31" s="1367"/>
      <c r="H31" s="1367"/>
      <c r="I31" s="1367"/>
      <c r="J31" s="1367"/>
      <c r="K31" s="1367"/>
      <c r="L31" s="1367"/>
      <c r="M31" s="1367"/>
      <c r="N31" s="1367"/>
      <c r="O31" s="1367"/>
      <c r="P31" s="1367"/>
    </row>
    <row r="32" spans="1:16" s="1354" customFormat="1" ht="20.100000000000001" customHeight="1">
      <c r="A32" s="4280" t="s">
        <v>11103</v>
      </c>
      <c r="B32" s="1414" t="s">
        <v>13241</v>
      </c>
      <c r="C32" s="1415"/>
      <c r="D32" s="1416" t="s">
        <v>13242</v>
      </c>
      <c r="E32" s="1416">
        <f>0.002*E31</f>
        <v>2.1589999999999998</v>
      </c>
      <c r="F32" s="1415"/>
      <c r="G32" s="1367"/>
      <c r="H32" s="1367"/>
      <c r="I32" s="1367"/>
      <c r="J32" s="1367"/>
      <c r="K32" s="1367"/>
      <c r="L32" s="1367"/>
      <c r="M32" s="1367"/>
      <c r="N32" s="1367"/>
      <c r="O32" s="1367"/>
      <c r="P32" s="1367"/>
    </row>
    <row r="33" spans="1:17" s="1354" customFormat="1" ht="20.100000000000001" customHeight="1">
      <c r="A33" s="4280" t="s">
        <v>11546</v>
      </c>
      <c r="B33" s="1414" t="s">
        <v>1874</v>
      </c>
      <c r="C33" s="1415" t="s">
        <v>13243</v>
      </c>
      <c r="D33" s="1416" t="s">
        <v>13244</v>
      </c>
      <c r="E33" s="1416">
        <f>E31-E32</f>
        <v>1077.3409999999999</v>
      </c>
      <c r="F33" s="1415" t="s">
        <v>234</v>
      </c>
      <c r="G33" s="1367"/>
      <c r="H33" s="1367"/>
      <c r="I33" s="1367"/>
      <c r="J33" s="1367"/>
      <c r="K33" s="1367"/>
      <c r="L33" s="1367"/>
      <c r="M33" s="1367"/>
      <c r="N33" s="1367"/>
      <c r="O33" s="1367"/>
      <c r="P33" s="1367"/>
    </row>
    <row r="34" spans="1:17" s="1354" customFormat="1" ht="20.100000000000001" customHeight="1">
      <c r="A34" s="4280" t="s">
        <v>11119</v>
      </c>
      <c r="B34" s="1414"/>
      <c r="C34" s="1415"/>
      <c r="D34" s="1416"/>
      <c r="E34" s="1416">
        <v>1000</v>
      </c>
      <c r="F34" s="1415"/>
      <c r="G34" s="1367"/>
      <c r="H34" s="1367"/>
      <c r="I34" s="1367"/>
      <c r="J34" s="1367"/>
      <c r="K34" s="1367"/>
      <c r="L34" s="1367"/>
      <c r="M34" s="1367"/>
      <c r="N34" s="1367"/>
      <c r="O34" s="1367"/>
      <c r="P34" s="1367"/>
    </row>
    <row r="35" spans="1:17" s="1354" customFormat="1" ht="20.100000000000001" customHeight="1">
      <c r="A35" s="4280" t="s">
        <v>3409</v>
      </c>
      <c r="B35" s="1414" t="s">
        <v>412</v>
      </c>
      <c r="C35" s="1415" t="s">
        <v>13245</v>
      </c>
      <c r="D35" s="1416" t="s">
        <v>13246</v>
      </c>
      <c r="E35" s="1416">
        <f>(E19*E5*E20)/(60*1000)</f>
        <v>1.0583333333333301E-2</v>
      </c>
      <c r="F35" s="1415" t="s">
        <v>2135</v>
      </c>
      <c r="G35" s="1367"/>
      <c r="H35" s="1367"/>
      <c r="I35" s="1367"/>
      <c r="J35" s="1367"/>
      <c r="K35" s="1367"/>
      <c r="L35" s="1367"/>
      <c r="M35" s="1367"/>
      <c r="N35" s="1367"/>
      <c r="O35" s="1367"/>
      <c r="P35" s="1367"/>
    </row>
    <row r="36" spans="1:17" s="1354" customFormat="1" ht="20.100000000000001" customHeight="1">
      <c r="A36" s="4280" t="s">
        <v>13013</v>
      </c>
      <c r="B36" s="1414" t="s">
        <v>13247</v>
      </c>
      <c r="C36" s="1415" t="s">
        <v>13248</v>
      </c>
      <c r="D36" s="1416" t="s">
        <v>13249</v>
      </c>
      <c r="E36" s="1416">
        <f>1000*E10/E35</f>
        <v>396850.39370078698</v>
      </c>
      <c r="F36" s="1415" t="s">
        <v>464</v>
      </c>
      <c r="G36" s="1367"/>
      <c r="H36" s="1367"/>
      <c r="I36" s="1367"/>
      <c r="J36" s="1367"/>
      <c r="K36" s="1367"/>
      <c r="L36" s="1367"/>
      <c r="M36" s="1367"/>
      <c r="N36" s="1367"/>
      <c r="O36" s="1367"/>
      <c r="P36" s="1367"/>
    </row>
    <row r="37" spans="1:17" s="1354" customFormat="1" ht="20.100000000000001" customHeight="1">
      <c r="A37" s="1368"/>
      <c r="B37" s="1369"/>
      <c r="C37" s="1369"/>
      <c r="D37" s="1369"/>
      <c r="E37" s="1369"/>
      <c r="F37" s="1370"/>
      <c r="G37" s="1367"/>
      <c r="H37" s="1367"/>
      <c r="I37" s="1367"/>
      <c r="J37" s="1367"/>
      <c r="K37" s="1367"/>
      <c r="L37" s="1367"/>
      <c r="M37" s="1367"/>
      <c r="N37" s="1367"/>
      <c r="O37" s="1367"/>
      <c r="P37" s="1367"/>
    </row>
    <row r="38" spans="1:17" s="1354" customFormat="1" ht="20.100000000000001" customHeight="1">
      <c r="A38" s="1368"/>
      <c r="B38" s="1369"/>
      <c r="C38" s="1369"/>
      <c r="D38" s="1369"/>
      <c r="E38" s="1369"/>
      <c r="F38" s="1370"/>
      <c r="G38" s="1367"/>
      <c r="H38" s="1367"/>
      <c r="I38" s="1367"/>
      <c r="J38" s="1367"/>
      <c r="K38" s="1367"/>
      <c r="L38" s="1367"/>
      <c r="M38" s="1367"/>
      <c r="N38" s="1367"/>
      <c r="O38" s="1367"/>
      <c r="P38" s="1367"/>
    </row>
    <row r="39" spans="1:17" s="1354" customFormat="1" ht="20.100000000000001" customHeight="1">
      <c r="A39" s="1368"/>
      <c r="B39" s="1369"/>
      <c r="C39" s="1369"/>
      <c r="D39" s="1369"/>
      <c r="E39" s="1369"/>
      <c r="F39" s="1370"/>
      <c r="G39" s="1367"/>
      <c r="H39" s="1367"/>
      <c r="I39" s="1367"/>
      <c r="J39" s="1367"/>
      <c r="K39" s="1367"/>
      <c r="L39" s="1367"/>
      <c r="M39" s="1367"/>
      <c r="N39" s="1367"/>
      <c r="O39" s="1367"/>
      <c r="P39" s="1367"/>
    </row>
    <row r="40" spans="1:17" s="1354" customFormat="1" ht="20.100000000000001" customHeight="1">
      <c r="A40" s="1368"/>
      <c r="B40" s="1369"/>
      <c r="C40" s="1369"/>
      <c r="D40" s="1369"/>
      <c r="E40" s="1369"/>
      <c r="F40" s="1370"/>
      <c r="G40" s="1367"/>
      <c r="H40" s="1367"/>
      <c r="I40" s="1367"/>
      <c r="J40" s="1367"/>
      <c r="K40" s="1367"/>
      <c r="L40" s="1367"/>
      <c r="M40" s="1367"/>
      <c r="N40" s="1367"/>
      <c r="O40" s="1367"/>
      <c r="P40" s="1367"/>
    </row>
    <row r="41" spans="1:17" s="1354" customFormat="1" ht="20.100000000000001" customHeight="1">
      <c r="A41" s="1368"/>
      <c r="B41" s="1369"/>
      <c r="C41" s="1369"/>
      <c r="D41" s="1369"/>
      <c r="E41" s="1369"/>
      <c r="F41" s="1370"/>
      <c r="G41" s="1367"/>
      <c r="H41" s="1367"/>
      <c r="I41" s="1367"/>
      <c r="J41" s="1367"/>
      <c r="K41" s="1367"/>
      <c r="L41" s="1367"/>
      <c r="M41" s="1367"/>
      <c r="N41" s="1367"/>
      <c r="O41" s="1367"/>
      <c r="P41" s="1367"/>
    </row>
    <row r="42" spans="1:17" s="1354" customFormat="1" ht="20.100000000000001" customHeight="1">
      <c r="A42" s="1368"/>
      <c r="B42" s="1369"/>
      <c r="C42" s="1369"/>
      <c r="D42" s="1369"/>
      <c r="E42" s="1369"/>
      <c r="F42" s="1370"/>
      <c r="G42" s="1367"/>
      <c r="H42" s="1367"/>
      <c r="I42" s="1367"/>
      <c r="J42" s="1367"/>
      <c r="K42" s="1367"/>
      <c r="L42" s="1367"/>
      <c r="M42" s="1367"/>
      <c r="N42" s="1367"/>
      <c r="O42" s="1367"/>
      <c r="P42" s="1367"/>
    </row>
    <row r="43" spans="1:17">
      <c r="A43" s="1371"/>
      <c r="B43" s="1367"/>
      <c r="C43" s="1367"/>
      <c r="D43" s="1367"/>
      <c r="E43" s="1367"/>
      <c r="F43" s="1367"/>
      <c r="G43" s="1367"/>
      <c r="H43" s="1367"/>
      <c r="I43" s="1367"/>
      <c r="J43" s="1367"/>
      <c r="K43" s="1367"/>
      <c r="L43" s="1367"/>
      <c r="M43" s="1367"/>
      <c r="N43" s="1367"/>
      <c r="O43" s="1367"/>
      <c r="P43" s="1367"/>
      <c r="Q43" s="1354"/>
    </row>
    <row r="44" spans="1:17">
      <c r="A44" s="1371"/>
      <c r="B44" s="1367"/>
      <c r="C44" s="1367"/>
      <c r="D44" s="1367"/>
      <c r="E44" s="1367"/>
      <c r="F44" s="1367"/>
      <c r="G44" s="1367"/>
      <c r="H44" s="1367"/>
      <c r="I44" s="1367"/>
      <c r="J44" s="1367"/>
      <c r="K44" s="1367"/>
      <c r="L44" s="1367"/>
      <c r="M44" s="1367"/>
      <c r="N44" s="1367"/>
      <c r="O44" s="1367"/>
      <c r="P44" s="1367"/>
      <c r="Q44" s="1354"/>
    </row>
    <row r="45" spans="1:17">
      <c r="B45" s="1367"/>
      <c r="C45" s="1367"/>
      <c r="D45" s="1367"/>
      <c r="E45" s="1367"/>
      <c r="F45" s="1367"/>
      <c r="G45" s="1367"/>
      <c r="H45" s="1367"/>
      <c r="I45" s="1367"/>
      <c r="J45" s="1367"/>
      <c r="K45" s="1367"/>
      <c r="L45" s="1367"/>
      <c r="M45" s="1367"/>
      <c r="N45" s="1367"/>
      <c r="O45" s="1367"/>
      <c r="P45" s="1367"/>
      <c r="Q45" s="1354"/>
    </row>
    <row r="46" spans="1:17">
      <c r="B46" s="1367"/>
      <c r="C46" s="1367"/>
      <c r="D46" s="1367"/>
      <c r="E46" s="1367"/>
      <c r="F46" s="1367"/>
      <c r="G46" s="1367"/>
      <c r="H46" s="1367"/>
      <c r="I46" s="1367"/>
      <c r="J46" s="1367"/>
      <c r="K46" s="1367"/>
      <c r="L46" s="1367"/>
      <c r="M46" s="1367"/>
      <c r="N46" s="1367"/>
      <c r="O46" s="1367"/>
      <c r="P46" s="1367"/>
      <c r="Q46" s="1354"/>
    </row>
    <row r="47" spans="1:17">
      <c r="B47" s="1367"/>
      <c r="C47" s="1367"/>
      <c r="D47" s="1367"/>
      <c r="E47" s="1367"/>
      <c r="F47" s="1367"/>
      <c r="G47" s="1367"/>
      <c r="H47" s="1367"/>
      <c r="I47" s="1367"/>
      <c r="J47" s="1367"/>
      <c r="K47" s="1367"/>
      <c r="L47" s="1367"/>
      <c r="M47" s="1367"/>
      <c r="N47" s="1367"/>
      <c r="O47" s="1367"/>
      <c r="P47" s="1367"/>
      <c r="Q47" s="1354"/>
    </row>
    <row r="48" spans="1:17">
      <c r="B48" s="1367"/>
      <c r="C48" s="1367"/>
      <c r="D48" s="1367"/>
      <c r="E48" s="1367"/>
      <c r="F48" s="1367"/>
      <c r="G48" s="1367"/>
      <c r="H48" s="1367"/>
      <c r="I48" s="1367"/>
      <c r="J48" s="1367"/>
      <c r="K48" s="1367"/>
      <c r="L48" s="1367"/>
      <c r="M48" s="1367"/>
      <c r="N48" s="1367"/>
      <c r="O48" s="1367"/>
      <c r="P48" s="1367"/>
      <c r="Q48" s="1354"/>
    </row>
    <row r="49" spans="2:17">
      <c r="B49" s="1367"/>
      <c r="C49" s="1367"/>
      <c r="D49" s="1367"/>
      <c r="E49" s="1367"/>
      <c r="F49" s="1367"/>
      <c r="G49" s="1367"/>
      <c r="H49" s="1367"/>
      <c r="I49" s="1367"/>
      <c r="J49" s="1367"/>
      <c r="K49" s="1367"/>
      <c r="L49" s="1367"/>
      <c r="M49" s="1367"/>
      <c r="N49" s="1367"/>
      <c r="O49" s="1367"/>
      <c r="P49" s="1367"/>
      <c r="Q49" s="1354"/>
    </row>
    <row r="50" spans="2:17">
      <c r="B50" s="1367"/>
      <c r="C50" s="1367"/>
      <c r="D50" s="1367"/>
      <c r="E50" s="1367"/>
      <c r="F50" s="1367"/>
      <c r="G50" s="1367"/>
      <c r="H50" s="1367"/>
      <c r="I50" s="1367"/>
      <c r="J50" s="1367"/>
      <c r="K50" s="1367"/>
      <c r="L50" s="1367"/>
      <c r="M50" s="1367"/>
      <c r="N50" s="1367"/>
      <c r="O50" s="1367"/>
      <c r="P50" s="1367"/>
      <c r="Q50" s="1354"/>
    </row>
    <row r="51" spans="2:17">
      <c r="B51" s="1367"/>
      <c r="C51" s="1367"/>
      <c r="D51" s="1367"/>
      <c r="E51" s="1367"/>
      <c r="F51" s="1367"/>
      <c r="G51" s="1367"/>
      <c r="H51" s="1367"/>
      <c r="I51" s="1367"/>
      <c r="J51" s="1367"/>
      <c r="K51" s="1367"/>
      <c r="L51" s="1367"/>
      <c r="M51" s="1367"/>
      <c r="N51" s="1367"/>
      <c r="O51" s="1367"/>
      <c r="P51" s="1367"/>
      <c r="Q51" s="1354"/>
    </row>
    <row r="52" spans="2:17">
      <c r="B52" s="1367"/>
      <c r="C52" s="1367"/>
      <c r="D52" s="1367"/>
      <c r="E52" s="1367"/>
      <c r="F52" s="1367"/>
      <c r="G52" s="1367"/>
      <c r="H52" s="1367"/>
      <c r="I52" s="1367"/>
      <c r="J52" s="1367"/>
      <c r="K52" s="1367"/>
      <c r="L52" s="1367"/>
      <c r="M52" s="1367"/>
      <c r="N52" s="1367"/>
      <c r="O52" s="1367"/>
      <c r="P52" s="1367"/>
      <c r="Q52" s="1354"/>
    </row>
    <row r="53" spans="2:17">
      <c r="B53" s="1367"/>
      <c r="C53" s="1367"/>
      <c r="D53" s="1367"/>
      <c r="E53" s="1367"/>
      <c r="F53" s="1367"/>
      <c r="G53" s="1367"/>
      <c r="H53" s="1367"/>
      <c r="I53" s="1367"/>
      <c r="J53" s="1367"/>
      <c r="K53" s="1367"/>
      <c r="L53" s="1367"/>
      <c r="M53" s="1367"/>
      <c r="N53" s="1367"/>
      <c r="O53" s="1367"/>
      <c r="P53" s="1367"/>
      <c r="Q53" s="1354"/>
    </row>
    <row r="54" spans="2:17">
      <c r="B54" s="1367"/>
      <c r="C54" s="1367"/>
      <c r="D54" s="1367"/>
      <c r="E54" s="1367"/>
      <c r="F54" s="1367"/>
      <c r="G54" s="1367"/>
      <c r="H54" s="1367"/>
      <c r="I54" s="1367"/>
      <c r="J54" s="1367"/>
      <c r="K54" s="1367"/>
      <c r="L54" s="1367"/>
      <c r="M54" s="1367"/>
      <c r="N54" s="1367"/>
      <c r="O54" s="1367"/>
      <c r="P54" s="1367"/>
      <c r="Q54" s="1354"/>
    </row>
    <row r="55" spans="2:17">
      <c r="B55" s="1367"/>
      <c r="C55" s="1367"/>
      <c r="D55" s="1367"/>
      <c r="E55" s="1367"/>
      <c r="F55" s="1367"/>
      <c r="G55" s="1367"/>
      <c r="H55" s="1367"/>
      <c r="I55" s="1367"/>
      <c r="J55" s="1367"/>
      <c r="K55" s="1367"/>
      <c r="L55" s="1367"/>
      <c r="M55" s="1367"/>
      <c r="N55" s="1367"/>
      <c r="O55" s="1367"/>
      <c r="P55" s="1367"/>
      <c r="Q55" s="1354"/>
    </row>
    <row r="56" spans="2:17">
      <c r="B56" s="1367"/>
      <c r="C56" s="1367"/>
      <c r="D56" s="1367"/>
      <c r="E56" s="1367"/>
      <c r="F56" s="1367"/>
      <c r="G56" s="1367"/>
      <c r="H56" s="1367"/>
      <c r="I56" s="1367"/>
      <c r="J56" s="1367"/>
      <c r="K56" s="1367"/>
      <c r="L56" s="1367"/>
      <c r="M56" s="1367"/>
      <c r="N56" s="1367"/>
      <c r="O56" s="1367"/>
      <c r="P56" s="1367"/>
      <c r="Q56" s="1354"/>
    </row>
    <row r="57" spans="2:17">
      <c r="B57" s="1367"/>
      <c r="C57" s="1367"/>
      <c r="D57" s="1367"/>
      <c r="E57" s="1367"/>
      <c r="F57" s="1367"/>
      <c r="G57" s="1367"/>
      <c r="H57" s="1367"/>
      <c r="I57" s="1367"/>
      <c r="J57" s="1367"/>
      <c r="K57" s="1367"/>
      <c r="L57" s="1367"/>
      <c r="M57" s="1367"/>
      <c r="N57" s="1367"/>
      <c r="O57" s="1367"/>
      <c r="P57" s="1367"/>
      <c r="Q57" s="1354"/>
    </row>
    <row r="58" spans="2:17">
      <c r="B58" s="1367"/>
      <c r="C58" s="1367"/>
      <c r="D58" s="1367"/>
      <c r="E58" s="1367"/>
      <c r="F58" s="1367"/>
      <c r="G58" s="1367"/>
      <c r="H58" s="1367"/>
      <c r="I58" s="1367"/>
      <c r="J58" s="1367"/>
      <c r="K58" s="1367"/>
      <c r="L58" s="1367"/>
      <c r="M58" s="1367"/>
      <c r="N58" s="1367"/>
      <c r="O58" s="1367"/>
      <c r="P58" s="1367"/>
      <c r="Q58" s="1354"/>
    </row>
    <row r="59" spans="2:17">
      <c r="B59" s="1367"/>
      <c r="C59" s="1367"/>
      <c r="D59" s="1367"/>
      <c r="E59" s="1367"/>
      <c r="F59" s="1367"/>
      <c r="G59" s="1367"/>
      <c r="H59" s="1367"/>
      <c r="I59" s="1367"/>
      <c r="J59" s="1367"/>
      <c r="K59" s="1367"/>
      <c r="L59" s="1367"/>
      <c r="M59" s="1367"/>
      <c r="N59" s="1367"/>
      <c r="O59" s="1367"/>
      <c r="P59" s="1367"/>
      <c r="Q59" s="1354"/>
    </row>
    <row r="60" spans="2:17">
      <c r="B60" s="1367"/>
      <c r="C60" s="1367"/>
      <c r="D60" s="1367"/>
      <c r="E60" s="1367"/>
      <c r="F60" s="1367"/>
      <c r="G60" s="1367"/>
      <c r="H60" s="1367"/>
      <c r="I60" s="1367"/>
      <c r="J60" s="1367"/>
      <c r="K60" s="1367"/>
      <c r="L60" s="1367"/>
      <c r="M60" s="1367"/>
      <c r="N60" s="1367"/>
      <c r="O60" s="1367"/>
      <c r="P60" s="1367"/>
      <c r="Q60" s="1354"/>
    </row>
    <row r="61" spans="2:17">
      <c r="B61" s="1367"/>
      <c r="C61" s="1367"/>
      <c r="D61" s="1367"/>
      <c r="E61" s="1367"/>
      <c r="F61" s="1367"/>
      <c r="G61" s="1367"/>
      <c r="H61" s="1367"/>
      <c r="I61" s="1367"/>
      <c r="J61" s="1367"/>
      <c r="K61" s="1367"/>
      <c r="L61" s="1367"/>
      <c r="M61" s="1367"/>
      <c r="N61" s="1367"/>
      <c r="O61" s="1367"/>
      <c r="P61" s="1367"/>
      <c r="Q61" s="1354"/>
    </row>
    <row r="62" spans="2:17">
      <c r="B62" s="1367"/>
      <c r="C62" s="1367"/>
      <c r="D62" s="1367"/>
      <c r="E62" s="1367"/>
      <c r="F62" s="1367"/>
      <c r="G62" s="1367"/>
      <c r="H62" s="1367"/>
      <c r="I62" s="1367"/>
      <c r="J62" s="1367"/>
      <c r="K62" s="1367"/>
      <c r="L62" s="1367"/>
      <c r="M62" s="1367"/>
      <c r="N62" s="1367"/>
      <c r="O62" s="1367"/>
      <c r="P62" s="1367"/>
      <c r="Q62" s="1354"/>
    </row>
    <row r="63" spans="2:17">
      <c r="B63" s="1367"/>
      <c r="C63" s="1367"/>
      <c r="D63" s="1367"/>
      <c r="E63" s="1367"/>
      <c r="F63" s="1367"/>
      <c r="G63" s="1367"/>
      <c r="H63" s="1367"/>
      <c r="I63" s="1367"/>
      <c r="J63" s="1367"/>
      <c r="K63" s="1367"/>
      <c r="L63" s="1367"/>
      <c r="M63" s="1367"/>
      <c r="N63" s="1367"/>
      <c r="O63" s="1367"/>
      <c r="P63" s="1367"/>
      <c r="Q63" s="1354"/>
    </row>
    <row r="64" spans="2:17">
      <c r="B64" s="1367"/>
      <c r="C64" s="1367"/>
      <c r="D64" s="1367"/>
      <c r="E64" s="1367"/>
      <c r="F64" s="1367"/>
      <c r="G64" s="1367"/>
      <c r="H64" s="1367"/>
      <c r="I64" s="1367"/>
      <c r="J64" s="1367"/>
      <c r="K64" s="1367"/>
      <c r="L64" s="1367"/>
      <c r="M64" s="1367"/>
      <c r="N64" s="1367"/>
      <c r="O64" s="1367"/>
      <c r="P64" s="1367"/>
      <c r="Q64" s="1354"/>
    </row>
    <row r="65" spans="2:17">
      <c r="B65" s="1367"/>
      <c r="C65" s="1367"/>
      <c r="D65" s="1367"/>
      <c r="E65" s="1367"/>
      <c r="F65" s="1367"/>
      <c r="G65" s="1367"/>
      <c r="H65" s="1367"/>
      <c r="I65" s="1367"/>
      <c r="J65" s="1367"/>
      <c r="K65" s="1367"/>
      <c r="L65" s="1367"/>
      <c r="M65" s="1367"/>
      <c r="N65" s="1367"/>
      <c r="O65" s="1367"/>
      <c r="P65" s="1367"/>
      <c r="Q65" s="1354"/>
    </row>
    <row r="66" spans="2:17">
      <c r="B66" s="1367"/>
      <c r="C66" s="1367"/>
      <c r="D66" s="1367"/>
      <c r="E66" s="1367"/>
      <c r="F66" s="1367"/>
      <c r="G66" s="1367"/>
      <c r="H66" s="1367"/>
      <c r="I66" s="1367"/>
      <c r="J66" s="1367"/>
      <c r="K66" s="1367"/>
      <c r="L66" s="1367"/>
      <c r="M66" s="1367"/>
      <c r="N66" s="1367"/>
      <c r="O66" s="1367"/>
      <c r="P66" s="1367"/>
      <c r="Q66" s="1354"/>
    </row>
    <row r="67" spans="2:17">
      <c r="B67" s="1367"/>
      <c r="C67" s="1367"/>
      <c r="D67" s="1367"/>
      <c r="E67" s="1367"/>
      <c r="F67" s="1367"/>
      <c r="G67" s="1367"/>
      <c r="H67" s="1367"/>
      <c r="I67" s="1367"/>
      <c r="J67" s="1367"/>
      <c r="K67" s="1367"/>
      <c r="L67" s="1367"/>
      <c r="M67" s="1367"/>
      <c r="N67" s="1367"/>
      <c r="O67" s="1367"/>
      <c r="P67" s="1367"/>
      <c r="Q67" s="1354"/>
    </row>
    <row r="68" spans="2:17">
      <c r="B68" s="1367"/>
      <c r="C68" s="1367"/>
      <c r="D68" s="1367"/>
      <c r="E68" s="1367"/>
      <c r="F68" s="1367"/>
      <c r="G68" s="1367"/>
      <c r="H68" s="1367"/>
      <c r="I68" s="1367"/>
      <c r="J68" s="1367"/>
      <c r="K68" s="1367"/>
      <c r="L68" s="1367"/>
      <c r="M68" s="1367"/>
      <c r="N68" s="1367"/>
      <c r="O68" s="1367"/>
      <c r="P68" s="1367"/>
      <c r="Q68" s="1354"/>
    </row>
    <row r="69" spans="2:17">
      <c r="B69" s="1367"/>
      <c r="C69" s="1367"/>
      <c r="D69" s="1367"/>
      <c r="E69" s="1367"/>
      <c r="F69" s="1367"/>
      <c r="G69" s="1367"/>
      <c r="H69" s="1367"/>
      <c r="I69" s="1367"/>
      <c r="J69" s="1367"/>
      <c r="K69" s="1367"/>
      <c r="L69" s="1367"/>
      <c r="M69" s="1367"/>
      <c r="N69" s="1367"/>
      <c r="O69" s="1367"/>
      <c r="P69" s="1367"/>
      <c r="Q69" s="1354"/>
    </row>
    <row r="70" spans="2:17">
      <c r="B70" s="1367"/>
      <c r="C70" s="1367"/>
      <c r="D70" s="1367"/>
      <c r="E70" s="1367"/>
      <c r="F70" s="1367"/>
      <c r="G70" s="1367"/>
      <c r="H70" s="1367"/>
      <c r="I70" s="1367"/>
      <c r="J70" s="1367"/>
      <c r="K70" s="1367"/>
      <c r="L70" s="1367"/>
      <c r="M70" s="1367"/>
      <c r="N70" s="1367"/>
      <c r="O70" s="1367"/>
      <c r="P70" s="1367"/>
      <c r="Q70" s="1354"/>
    </row>
    <row r="71" spans="2:17">
      <c r="B71" s="1367"/>
      <c r="C71" s="1367"/>
      <c r="D71" s="1367"/>
      <c r="E71" s="1367"/>
      <c r="F71" s="1367"/>
      <c r="G71" s="1367"/>
      <c r="H71" s="1367"/>
      <c r="I71" s="1367"/>
      <c r="J71" s="1367"/>
      <c r="K71" s="1367"/>
      <c r="L71" s="1367"/>
      <c r="M71" s="1367"/>
      <c r="N71" s="1367"/>
      <c r="O71" s="1367"/>
      <c r="P71" s="1367"/>
      <c r="Q71" s="1354"/>
    </row>
    <row r="72" spans="2:17">
      <c r="B72" s="1367"/>
      <c r="C72" s="1367"/>
      <c r="D72" s="1367"/>
      <c r="E72" s="1367"/>
      <c r="F72" s="1367"/>
      <c r="G72" s="1367"/>
      <c r="H72" s="1367"/>
      <c r="I72" s="1367"/>
      <c r="J72" s="1367"/>
      <c r="K72" s="1367"/>
      <c r="L72" s="1367"/>
      <c r="M72" s="1367"/>
      <c r="N72" s="1367"/>
      <c r="O72" s="1367"/>
      <c r="P72" s="1367"/>
      <c r="Q72" s="1354"/>
    </row>
    <row r="73" spans="2:17">
      <c r="B73" s="1367"/>
      <c r="C73" s="1367"/>
      <c r="D73" s="1367"/>
      <c r="E73" s="1367"/>
      <c r="F73" s="1367"/>
      <c r="G73" s="1367"/>
      <c r="H73" s="1367"/>
      <c r="I73" s="1367"/>
      <c r="J73" s="1367"/>
      <c r="K73" s="1367"/>
      <c r="L73" s="1367"/>
      <c r="M73" s="1367"/>
      <c r="N73" s="1367"/>
      <c r="O73" s="1367"/>
      <c r="P73" s="1367"/>
      <c r="Q73" s="1354"/>
    </row>
    <row r="74" spans="2:17">
      <c r="B74" s="1372"/>
      <c r="C74" s="1373"/>
      <c r="D74" s="1373"/>
      <c r="E74" s="1373"/>
      <c r="F74" s="1373"/>
      <c r="G74" s="1373"/>
      <c r="H74" s="1373"/>
      <c r="I74" s="1373"/>
      <c r="J74" s="1373"/>
      <c r="K74" s="1373"/>
      <c r="L74" s="1373"/>
      <c r="M74" s="1373"/>
      <c r="N74" s="1373"/>
      <c r="O74" s="1373"/>
      <c r="P74" s="1373"/>
      <c r="Q74" s="1354"/>
    </row>
    <row r="75" spans="2:17">
      <c r="B75" s="1372"/>
      <c r="C75" s="1373"/>
      <c r="D75" s="1373"/>
      <c r="E75" s="1373"/>
      <c r="F75" s="1373"/>
      <c r="G75" s="1373"/>
      <c r="H75" s="1373"/>
      <c r="I75" s="1373"/>
      <c r="J75" s="1373"/>
      <c r="K75" s="1373"/>
      <c r="L75" s="1373"/>
      <c r="M75" s="1373"/>
      <c r="N75" s="1373"/>
      <c r="O75" s="1373"/>
      <c r="P75" s="1373"/>
      <c r="Q75" s="1354"/>
    </row>
    <row r="76" spans="2:17">
      <c r="B76" s="1372"/>
      <c r="C76" s="1373"/>
      <c r="D76" s="1373"/>
      <c r="E76" s="1373"/>
      <c r="F76" s="1373"/>
      <c r="G76" s="1373"/>
      <c r="H76" s="1373"/>
      <c r="I76" s="1373"/>
      <c r="J76" s="1373"/>
      <c r="K76" s="1373"/>
      <c r="L76" s="1373"/>
      <c r="M76" s="1373"/>
      <c r="N76" s="1373"/>
      <c r="O76" s="1373"/>
      <c r="P76" s="1373"/>
      <c r="Q76" s="1354"/>
    </row>
    <row r="77" spans="2:17">
      <c r="B77" s="1372"/>
      <c r="C77" s="1373"/>
      <c r="D77" s="1373"/>
      <c r="E77" s="1373"/>
      <c r="F77" s="1373"/>
      <c r="G77" s="1373"/>
      <c r="H77" s="1373"/>
      <c r="I77" s="1373"/>
      <c r="J77" s="1373"/>
      <c r="K77" s="1373"/>
      <c r="L77" s="1373"/>
      <c r="M77" s="1373"/>
      <c r="N77" s="1373"/>
      <c r="O77" s="1373"/>
      <c r="P77" s="1373"/>
      <c r="Q77" s="1354"/>
    </row>
    <row r="78" spans="2:17">
      <c r="B78" s="1372"/>
      <c r="C78" s="1373"/>
      <c r="D78" s="1373"/>
      <c r="E78" s="1373"/>
      <c r="F78" s="1373"/>
      <c r="G78" s="1373"/>
      <c r="H78" s="1373"/>
      <c r="I78" s="1373"/>
      <c r="J78" s="1373"/>
      <c r="K78" s="1373"/>
      <c r="L78" s="1373"/>
      <c r="M78" s="1373"/>
      <c r="N78" s="1373"/>
      <c r="O78" s="1373"/>
      <c r="P78" s="1373"/>
      <c r="Q78" s="1354"/>
    </row>
    <row r="79" spans="2:17">
      <c r="B79" s="1372"/>
      <c r="C79" s="1373"/>
      <c r="D79" s="1373"/>
      <c r="E79" s="1373"/>
      <c r="F79" s="1373"/>
      <c r="G79" s="1373"/>
      <c r="H79" s="1373"/>
      <c r="I79" s="1373"/>
      <c r="J79" s="1373"/>
      <c r="K79" s="1373"/>
      <c r="L79" s="1373"/>
      <c r="M79" s="1373"/>
      <c r="N79" s="1373"/>
      <c r="O79" s="1373"/>
      <c r="P79" s="1373"/>
      <c r="Q79" s="1354"/>
    </row>
    <row r="80" spans="2:17">
      <c r="G80" s="1372"/>
      <c r="H80" s="1372"/>
      <c r="I80" s="1372"/>
      <c r="J80" s="1372"/>
      <c r="K80" s="1372"/>
      <c r="L80" s="1372"/>
      <c r="M80" s="1372"/>
      <c r="N80" s="1372"/>
      <c r="O80" s="1372"/>
      <c r="P80" s="1372"/>
    </row>
  </sheetData>
  <phoneticPr fontId="214" type="noConversion"/>
  <pageMargins left="0.75" right="0.75" top="1" bottom="1" header="0.5" footer="0.5"/>
  <pageSetup paperSize="9" orientation="landscape" r:id="rId1"/>
  <headerFooter alignWithMargins="0"/>
  <drawing r:id="rId2"/>
  <legacyDrawing r:id="rId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34"/>
  <dimension ref="A1:F38"/>
  <sheetViews>
    <sheetView view="pageBreakPreview" zoomScaleNormal="100" workbookViewId="0">
      <selection activeCell="G1" sqref="G1"/>
    </sheetView>
  </sheetViews>
  <sheetFormatPr defaultColWidth="8.125" defaultRowHeight="15"/>
  <cols>
    <col min="1" max="1" width="6.25" style="1385" customWidth="1"/>
    <col min="2" max="2" width="8.125" style="1386"/>
    <col min="3" max="4" width="27.625" style="1386" customWidth="1"/>
    <col min="5" max="5" width="12.75" style="1386"/>
    <col min="6" max="16384" width="8.125" style="1386"/>
  </cols>
  <sheetData>
    <row r="1" spans="1:6" s="1383" customFormat="1">
      <c r="A1" s="1387" t="s">
        <v>13250</v>
      </c>
      <c r="B1" s="1388" t="s">
        <v>13251</v>
      </c>
      <c r="C1" s="1388" t="s">
        <v>13252</v>
      </c>
      <c r="D1" s="1388" t="s">
        <v>13253</v>
      </c>
      <c r="E1" s="1388" t="s">
        <v>13254</v>
      </c>
      <c r="F1" s="1389" t="s">
        <v>13255</v>
      </c>
    </row>
    <row r="2" spans="1:6" s="1384" customFormat="1" ht="15.75">
      <c r="A2" s="1390" t="s">
        <v>13256</v>
      </c>
      <c r="B2" s="5822" t="s">
        <v>13257</v>
      </c>
      <c r="C2" s="5823"/>
      <c r="D2" s="1391"/>
      <c r="E2" s="1391"/>
      <c r="F2" s="1392"/>
    </row>
    <row r="3" spans="1:6" s="1383" customFormat="1">
      <c r="A3" s="1393">
        <v>1</v>
      </c>
      <c r="B3" s="1394" t="s">
        <v>235</v>
      </c>
      <c r="C3" s="1394" t="s">
        <v>13258</v>
      </c>
      <c r="D3" s="1394"/>
      <c r="E3" s="1394">
        <v>1650</v>
      </c>
      <c r="F3" s="1395" t="s">
        <v>13031</v>
      </c>
    </row>
    <row r="4" spans="1:6" s="1383" customFormat="1">
      <c r="A4" s="1393">
        <v>2</v>
      </c>
      <c r="B4" s="1394" t="s">
        <v>453</v>
      </c>
      <c r="C4" s="1394" t="s">
        <v>13259</v>
      </c>
      <c r="D4" s="1394"/>
      <c r="E4" s="1394">
        <v>100</v>
      </c>
      <c r="F4" s="1395" t="s">
        <v>234</v>
      </c>
    </row>
    <row r="5" spans="1:6" s="1383" customFormat="1">
      <c r="A5" s="1393">
        <v>3</v>
      </c>
      <c r="B5" s="1394" t="s">
        <v>3319</v>
      </c>
      <c r="C5" s="1394" t="s">
        <v>13260</v>
      </c>
      <c r="D5" s="1394"/>
      <c r="E5" s="1394">
        <v>15</v>
      </c>
      <c r="F5" s="1395" t="s">
        <v>234</v>
      </c>
    </row>
    <row r="6" spans="1:6" s="1383" customFormat="1">
      <c r="A6" s="1393">
        <v>4</v>
      </c>
      <c r="B6" s="1394" t="s">
        <v>1874</v>
      </c>
      <c r="C6" s="1394"/>
      <c r="D6" s="1394" t="s">
        <v>13261</v>
      </c>
      <c r="E6" s="1394">
        <f>0.7*E5</f>
        <v>10.5</v>
      </c>
      <c r="F6" s="1395" t="s">
        <v>234</v>
      </c>
    </row>
    <row r="7" spans="1:6" s="1383" customFormat="1" ht="15.75">
      <c r="A7" s="1396"/>
      <c r="B7" s="5824" t="s">
        <v>13262</v>
      </c>
      <c r="C7" s="5825"/>
      <c r="D7" s="1394"/>
      <c r="E7" s="1394"/>
      <c r="F7" s="1395"/>
    </row>
    <row r="8" spans="1:6" s="1383" customFormat="1">
      <c r="A8" s="1393">
        <v>1</v>
      </c>
      <c r="B8" s="1394" t="s">
        <v>10297</v>
      </c>
      <c r="C8" s="1394" t="s">
        <v>13263</v>
      </c>
      <c r="D8" s="1394" t="s">
        <v>13264</v>
      </c>
      <c r="E8" s="1394">
        <f>2*E3*10^3*(E4+E6)/(2*PI()*((E4+E6)^4-E4^4))</f>
        <v>1.18222871394752</v>
      </c>
      <c r="F8" s="1395" t="s">
        <v>1755</v>
      </c>
    </row>
    <row r="9" spans="1:6" s="1383" customFormat="1">
      <c r="A9" s="1393"/>
      <c r="B9" s="1394" t="s">
        <v>13265</v>
      </c>
      <c r="C9" s="1394"/>
      <c r="D9" s="1394"/>
      <c r="E9" s="1394">
        <v>167</v>
      </c>
      <c r="F9" s="1395" t="s">
        <v>1755</v>
      </c>
    </row>
    <row r="10" spans="1:6" s="1383" customFormat="1">
      <c r="A10" s="1393"/>
      <c r="B10" s="1394"/>
      <c r="C10" s="1394"/>
      <c r="D10" s="1394" t="s">
        <v>13266</v>
      </c>
      <c r="E10" s="1394"/>
      <c r="F10" s="1395"/>
    </row>
    <row r="11" spans="1:6" s="1384" customFormat="1" ht="15.75">
      <c r="A11" s="1390" t="s">
        <v>13267</v>
      </c>
      <c r="B11" s="5822" t="s">
        <v>13268</v>
      </c>
      <c r="C11" s="5823"/>
      <c r="D11" s="1391"/>
      <c r="E11" s="1391"/>
      <c r="F11" s="1392"/>
    </row>
    <row r="12" spans="1:6" s="1383" customFormat="1">
      <c r="A12" s="1393">
        <v>1</v>
      </c>
      <c r="B12" s="1394" t="s">
        <v>2520</v>
      </c>
      <c r="C12" s="1394" t="s">
        <v>13258</v>
      </c>
      <c r="D12" s="1394"/>
      <c r="E12" s="1394">
        <v>1650</v>
      </c>
      <c r="F12" s="1395" t="s">
        <v>13031</v>
      </c>
    </row>
    <row r="13" spans="1:6" s="1383" customFormat="1">
      <c r="A13" s="1393">
        <v>2</v>
      </c>
      <c r="B13" s="1394" t="s">
        <v>2524</v>
      </c>
      <c r="C13" s="1394" t="s">
        <v>13259</v>
      </c>
      <c r="D13" s="1394"/>
      <c r="E13" s="1394">
        <v>100</v>
      </c>
      <c r="F13" s="1395" t="s">
        <v>234</v>
      </c>
    </row>
    <row r="14" spans="1:6" s="1383" customFormat="1">
      <c r="A14" s="1393">
        <v>3</v>
      </c>
      <c r="B14" s="1394" t="s">
        <v>2534</v>
      </c>
      <c r="C14" s="1394" t="s">
        <v>13269</v>
      </c>
      <c r="D14" s="1394"/>
      <c r="E14" s="1394">
        <v>28</v>
      </c>
      <c r="F14" s="1395" t="s">
        <v>234</v>
      </c>
    </row>
    <row r="15" spans="1:6" s="1383" customFormat="1">
      <c r="A15" s="1393">
        <v>4</v>
      </c>
      <c r="B15" s="1394" t="s">
        <v>1167</v>
      </c>
      <c r="C15" s="1394" t="s">
        <v>13270</v>
      </c>
      <c r="D15" s="1394"/>
      <c r="E15" s="1394">
        <v>70</v>
      </c>
      <c r="F15" s="1395" t="s">
        <v>234</v>
      </c>
    </row>
    <row r="16" spans="1:6" s="1383" customFormat="1">
      <c r="A16" s="1393"/>
      <c r="B16" s="1394"/>
      <c r="C16" s="1394"/>
      <c r="D16" s="1394"/>
      <c r="E16" s="1394"/>
      <c r="F16" s="1395"/>
    </row>
    <row r="17" spans="1:6" s="1383" customFormat="1" ht="15.75">
      <c r="A17" s="1396"/>
      <c r="B17" s="5824" t="s">
        <v>13262</v>
      </c>
      <c r="C17" s="5825"/>
      <c r="D17" s="1394"/>
      <c r="E17" s="1394"/>
      <c r="F17" s="1395"/>
    </row>
    <row r="18" spans="1:6" s="1383" customFormat="1">
      <c r="A18" s="1393">
        <v>1</v>
      </c>
      <c r="B18" s="1394" t="s">
        <v>10297</v>
      </c>
      <c r="C18" s="1394" t="s">
        <v>13271</v>
      </c>
      <c r="D18" s="1394" t="s">
        <v>13272</v>
      </c>
      <c r="E18" s="1394">
        <f>2*E12*10^3/(E13*E14*E15)</f>
        <v>16.836734693877599</v>
      </c>
      <c r="F18" s="1395" t="s">
        <v>1755</v>
      </c>
    </row>
    <row r="19" spans="1:6" s="1383" customFormat="1">
      <c r="A19" s="1393"/>
      <c r="B19" s="1394" t="s">
        <v>13265</v>
      </c>
      <c r="C19" s="1394"/>
      <c r="D19" s="1394"/>
      <c r="E19" s="1394">
        <v>60</v>
      </c>
      <c r="F19" s="1395" t="s">
        <v>1755</v>
      </c>
    </row>
    <row r="20" spans="1:6" s="1383" customFormat="1">
      <c r="A20" s="1397"/>
      <c r="B20" s="1398"/>
      <c r="C20" s="1398"/>
      <c r="D20" s="1398" t="s">
        <v>13266</v>
      </c>
      <c r="E20" s="1398"/>
      <c r="F20" s="1399"/>
    </row>
    <row r="21" spans="1:6" s="1384" customFormat="1" ht="15.75">
      <c r="A21" s="1400" t="s">
        <v>13273</v>
      </c>
      <c r="B21" s="5822" t="s">
        <v>13274</v>
      </c>
      <c r="C21" s="5823"/>
      <c r="D21" s="1401"/>
      <c r="E21" s="1401"/>
      <c r="F21" s="1402"/>
    </row>
    <row r="22" spans="1:6" s="1383" customFormat="1">
      <c r="A22" s="1403"/>
      <c r="B22" s="5817" t="s">
        <v>13275</v>
      </c>
      <c r="C22" s="5818"/>
      <c r="D22" s="5818"/>
      <c r="E22" s="5818"/>
      <c r="F22" s="5819"/>
    </row>
    <row r="23" spans="1:6" s="1383" customFormat="1">
      <c r="A23" s="1397"/>
      <c r="B23" s="5820"/>
      <c r="C23" s="5821"/>
      <c r="D23" s="1398"/>
      <c r="E23" s="1398"/>
      <c r="F23" s="1399"/>
    </row>
    <row r="24" spans="1:6">
      <c r="B24" s="1385"/>
      <c r="C24" s="1385"/>
      <c r="D24" s="1385"/>
      <c r="E24" s="1385"/>
      <c r="F24" s="1385"/>
    </row>
    <row r="25" spans="1:6">
      <c r="B25" s="1385"/>
      <c r="C25" s="1385"/>
      <c r="D25" s="1385"/>
      <c r="E25" s="1385"/>
      <c r="F25" s="1385"/>
    </row>
    <row r="26" spans="1:6">
      <c r="B26" s="1385"/>
      <c r="C26" s="1385"/>
      <c r="D26" s="1385"/>
      <c r="E26" s="1385"/>
      <c r="F26" s="1385"/>
    </row>
    <row r="27" spans="1:6">
      <c r="B27" s="1385"/>
      <c r="C27" s="1385"/>
      <c r="D27" s="1385"/>
      <c r="E27" s="1385"/>
      <c r="F27" s="1385"/>
    </row>
    <row r="28" spans="1:6">
      <c r="B28" s="1385"/>
      <c r="C28" s="1385"/>
      <c r="D28" s="1385"/>
      <c r="E28" s="1385"/>
      <c r="F28" s="1385"/>
    </row>
    <row r="29" spans="1:6">
      <c r="B29" s="1385"/>
      <c r="C29" s="1385"/>
      <c r="D29" s="1385"/>
      <c r="E29" s="1385"/>
      <c r="F29" s="1385"/>
    </row>
    <row r="30" spans="1:6">
      <c r="B30" s="1385"/>
      <c r="C30" s="1385"/>
      <c r="D30" s="1385"/>
      <c r="E30" s="1385"/>
      <c r="F30" s="1385"/>
    </row>
    <row r="31" spans="1:6">
      <c r="B31" s="1385"/>
      <c r="C31" s="1385"/>
      <c r="D31" s="1385"/>
      <c r="E31" s="1385"/>
      <c r="F31" s="1385"/>
    </row>
    <row r="32" spans="1:6">
      <c r="B32" s="1385"/>
      <c r="C32" s="1385"/>
      <c r="D32" s="1385"/>
      <c r="E32" s="1385"/>
      <c r="F32" s="1385"/>
    </row>
    <row r="33" spans="2:6">
      <c r="B33" s="1385"/>
      <c r="C33" s="1385"/>
      <c r="D33" s="1385"/>
      <c r="E33" s="1385"/>
      <c r="F33" s="1385"/>
    </row>
    <row r="34" spans="2:6">
      <c r="B34" s="1385"/>
      <c r="C34" s="1385"/>
      <c r="D34" s="1385"/>
      <c r="E34" s="1385"/>
      <c r="F34" s="1385"/>
    </row>
    <row r="35" spans="2:6">
      <c r="B35" s="1385"/>
      <c r="C35" s="1385"/>
      <c r="D35" s="1385"/>
      <c r="E35" s="1385"/>
      <c r="F35" s="1385"/>
    </row>
    <row r="36" spans="2:6">
      <c r="B36" s="1385"/>
      <c r="C36" s="1385"/>
      <c r="D36" s="1385"/>
      <c r="E36" s="1385"/>
      <c r="F36" s="1385"/>
    </row>
    <row r="37" spans="2:6">
      <c r="B37" s="1385"/>
      <c r="C37" s="1385"/>
      <c r="D37" s="1385"/>
      <c r="E37" s="1385"/>
    </row>
    <row r="38" spans="2:6">
      <c r="B38" s="1385"/>
      <c r="C38" s="1385"/>
      <c r="D38" s="1385"/>
      <c r="E38" s="1385"/>
    </row>
  </sheetData>
  <mergeCells count="7">
    <mergeCell ref="B22:F22"/>
    <mergeCell ref="B23:C23"/>
    <mergeCell ref="B2:C2"/>
    <mergeCell ref="B7:C7"/>
    <mergeCell ref="B11:C11"/>
    <mergeCell ref="B17:C17"/>
    <mergeCell ref="B21:C21"/>
  </mergeCells>
  <phoneticPr fontId="214" type="noConversion"/>
  <printOptions horizontalCentered="1"/>
  <pageMargins left="0.75" right="0.75" top="0.97916666666666696" bottom="0.97916666666666696" header="0.50902777777777797" footer="0.50902777777777797"/>
  <pageSetup paperSize="9" scale="85" orientation="portrait" r:id="rId1"/>
  <headerFooter alignWithMargins="0">
    <oddHeader>&amp;L&amp;A
参考书目:机械手册Ⅰ、机械手册Ⅱ</oddHeader>
  </headerFooter>
  <drawing r:id="rId2"/>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35"/>
  <dimension ref="A1:O44"/>
  <sheetViews>
    <sheetView view="pageBreakPreview" zoomScaleNormal="100" workbookViewId="0">
      <selection activeCell="H1" sqref="H1"/>
    </sheetView>
  </sheetViews>
  <sheetFormatPr defaultColWidth="8.125" defaultRowHeight="14.25"/>
  <cols>
    <col min="1" max="1" width="5.125" style="1355" customWidth="1"/>
    <col min="2" max="2" width="6.75" style="1355" customWidth="1"/>
    <col min="3" max="3" width="25.25" style="1355" customWidth="1"/>
    <col min="4" max="4" width="22.25" style="1355" customWidth="1"/>
    <col min="5" max="5" width="15.75" style="1355" customWidth="1"/>
    <col min="6" max="16384" width="8.125" style="1355"/>
  </cols>
  <sheetData>
    <row r="1" spans="1:6" s="1353" customFormat="1" ht="20.100000000000001" customHeight="1">
      <c r="A1" s="1356" t="s">
        <v>13276</v>
      </c>
      <c r="B1" s="1357" t="s">
        <v>13277</v>
      </c>
      <c r="C1" s="1357" t="s">
        <v>13278</v>
      </c>
      <c r="D1" s="1358" t="s">
        <v>13181</v>
      </c>
      <c r="E1" s="1358" t="s">
        <v>13182</v>
      </c>
      <c r="F1" s="1359" t="s">
        <v>213</v>
      </c>
    </row>
    <row r="2" spans="1:6" s="1353" customFormat="1" ht="20.100000000000001" customHeight="1">
      <c r="A2" s="1374"/>
      <c r="B2" s="1375"/>
      <c r="C2" s="1375" t="s">
        <v>13279</v>
      </c>
      <c r="D2" s="1376" t="s">
        <v>13280</v>
      </c>
      <c r="E2" s="1377"/>
      <c r="F2" s="1378"/>
    </row>
    <row r="3" spans="1:6" s="1353" customFormat="1" ht="20.100000000000001" customHeight="1">
      <c r="A3" s="1360"/>
      <c r="B3" s="1361" t="s">
        <v>13183</v>
      </c>
      <c r="C3" s="1361" t="s">
        <v>13184</v>
      </c>
      <c r="D3" s="1362"/>
      <c r="E3" s="1362"/>
      <c r="F3" s="1363"/>
    </row>
    <row r="4" spans="1:6" s="1353" customFormat="1" ht="20.100000000000001" customHeight="1">
      <c r="A4" s="4281" t="s">
        <v>10424</v>
      </c>
      <c r="B4" s="1365" t="s">
        <v>475</v>
      </c>
      <c r="C4" s="1379" t="s">
        <v>13281</v>
      </c>
      <c r="D4" s="1365"/>
      <c r="E4" s="1365">
        <v>5000</v>
      </c>
      <c r="F4" s="1366" t="s">
        <v>464</v>
      </c>
    </row>
    <row r="5" spans="1:6" s="1353" customFormat="1" ht="20.100000000000001" customHeight="1">
      <c r="A5" s="4281" t="s">
        <v>11044</v>
      </c>
      <c r="B5" s="1365" t="s">
        <v>411</v>
      </c>
      <c r="C5" s="1379" t="s">
        <v>13282</v>
      </c>
      <c r="D5" s="1365"/>
      <c r="E5" s="1365">
        <v>10</v>
      </c>
      <c r="F5" s="1366" t="s">
        <v>234</v>
      </c>
    </row>
    <row r="6" spans="1:6" s="1353" customFormat="1" ht="20.100000000000001" customHeight="1">
      <c r="A6" s="4281" t="s">
        <v>11045</v>
      </c>
      <c r="B6" s="1365" t="s">
        <v>1139</v>
      </c>
      <c r="C6" s="1379" t="s">
        <v>13283</v>
      </c>
      <c r="D6" s="1365"/>
      <c r="E6" s="1365">
        <v>5</v>
      </c>
      <c r="F6" s="1380" t="s">
        <v>13284</v>
      </c>
    </row>
    <row r="7" spans="1:6" s="1353" customFormat="1" ht="20.100000000000001" customHeight="1">
      <c r="A7" s="1360"/>
      <c r="B7" s="1361" t="s">
        <v>13209</v>
      </c>
      <c r="C7" s="1361" t="s">
        <v>249</v>
      </c>
      <c r="D7" s="1362"/>
      <c r="E7" s="1362"/>
      <c r="F7" s="1363"/>
    </row>
    <row r="8" spans="1:6" s="1353" customFormat="1" ht="20.100000000000001" customHeight="1">
      <c r="A8" s="4281" t="s">
        <v>11046</v>
      </c>
      <c r="B8" s="1365" t="s">
        <v>10297</v>
      </c>
      <c r="C8" s="1379" t="s">
        <v>13285</v>
      </c>
      <c r="D8" s="1365" t="s">
        <v>13286</v>
      </c>
      <c r="E8" s="1365">
        <f>4*E4/(PI()*E5^2*E6)</f>
        <v>12.7323954473516</v>
      </c>
      <c r="F8" s="1366" t="s">
        <v>1721</v>
      </c>
    </row>
    <row r="9" spans="1:6" s="1353" customFormat="1" ht="39.75" customHeight="1">
      <c r="A9" s="4281" t="s">
        <v>11047</v>
      </c>
      <c r="B9" s="1365" t="s">
        <v>13287</v>
      </c>
      <c r="C9" s="1379" t="s">
        <v>13288</v>
      </c>
      <c r="D9" s="1381" t="s">
        <v>13289</v>
      </c>
      <c r="E9" s="1365"/>
      <c r="F9" s="1366"/>
    </row>
    <row r="10" spans="1:6" s="1353" customFormat="1" ht="20.100000000000001" customHeight="1">
      <c r="A10" s="1360"/>
      <c r="B10" s="1361" t="s">
        <v>13010</v>
      </c>
      <c r="C10" s="1361" t="s">
        <v>13290</v>
      </c>
      <c r="D10" s="1362"/>
      <c r="E10" s="1362"/>
      <c r="F10" s="1363"/>
    </row>
    <row r="11" spans="1:6" s="1353" customFormat="1" ht="20.100000000000001" customHeight="1">
      <c r="A11" s="1364"/>
      <c r="B11" s="1365"/>
      <c r="C11" s="1365" t="s">
        <v>13291</v>
      </c>
      <c r="D11" s="1365"/>
      <c r="E11" s="1365"/>
      <c r="F11" s="1380" t="s">
        <v>13054</v>
      </c>
    </row>
    <row r="12" spans="1:6" s="1353" customFormat="1" ht="20.100000000000001" customHeight="1">
      <c r="A12" s="1364"/>
      <c r="B12" s="1365"/>
      <c r="C12" s="1379"/>
      <c r="D12" s="1365"/>
      <c r="E12" s="1365"/>
      <c r="F12" s="1366"/>
    </row>
    <row r="13" spans="1:6" s="1353" customFormat="1" ht="20.100000000000001" customHeight="1">
      <c r="A13" s="1374"/>
      <c r="B13" s="1375"/>
      <c r="C13" s="1375" t="s">
        <v>13292</v>
      </c>
      <c r="D13" s="1376" t="s">
        <v>13293</v>
      </c>
      <c r="E13" s="1377"/>
      <c r="F13" s="1378"/>
    </row>
    <row r="14" spans="1:6" s="1353" customFormat="1" ht="20.100000000000001" customHeight="1">
      <c r="A14" s="1360"/>
      <c r="B14" s="1361" t="s">
        <v>13183</v>
      </c>
      <c r="C14" s="1361" t="s">
        <v>13184</v>
      </c>
      <c r="D14" s="1362"/>
      <c r="E14" s="1362"/>
      <c r="F14" s="1363"/>
    </row>
    <row r="15" spans="1:6" s="1353" customFormat="1" ht="20.100000000000001" customHeight="1">
      <c r="A15" s="4281" t="s">
        <v>10424</v>
      </c>
      <c r="B15" s="1365" t="s">
        <v>2520</v>
      </c>
      <c r="C15" s="1379" t="s">
        <v>13294</v>
      </c>
      <c r="D15" s="1365"/>
      <c r="E15" s="1365">
        <v>5000</v>
      </c>
      <c r="F15" s="1366" t="s">
        <v>13295</v>
      </c>
    </row>
    <row r="16" spans="1:6" s="1353" customFormat="1" ht="20.100000000000001" customHeight="1">
      <c r="A16" s="4281" t="s">
        <v>11044</v>
      </c>
      <c r="B16" s="1365" t="s">
        <v>2524</v>
      </c>
      <c r="C16" s="1379" t="s">
        <v>13296</v>
      </c>
      <c r="D16" s="1365"/>
      <c r="E16" s="1365">
        <v>100</v>
      </c>
      <c r="F16" s="1366" t="s">
        <v>234</v>
      </c>
    </row>
    <row r="17" spans="1:15" s="1353" customFormat="1" ht="20.100000000000001" customHeight="1">
      <c r="A17" s="4281" t="s">
        <v>11045</v>
      </c>
      <c r="B17" s="1365" t="s">
        <v>411</v>
      </c>
      <c r="C17" s="1379" t="s">
        <v>13282</v>
      </c>
      <c r="D17" s="1365"/>
      <c r="E17" s="1365">
        <v>5</v>
      </c>
      <c r="F17" s="1366" t="s">
        <v>234</v>
      </c>
    </row>
    <row r="18" spans="1:15" s="1353" customFormat="1" ht="20.100000000000001" customHeight="1">
      <c r="A18" s="4281" t="s">
        <v>11046</v>
      </c>
      <c r="B18" s="1365" t="s">
        <v>1167</v>
      </c>
      <c r="C18" s="1379" t="s">
        <v>13297</v>
      </c>
      <c r="D18" s="1365"/>
      <c r="E18" s="1365">
        <v>50</v>
      </c>
      <c r="F18" s="1366" t="s">
        <v>234</v>
      </c>
    </row>
    <row r="19" spans="1:15" s="1353" customFormat="1" ht="20.100000000000001" customHeight="1">
      <c r="A19" s="1360"/>
      <c r="B19" s="1361" t="s">
        <v>13209</v>
      </c>
      <c r="C19" s="1361" t="s">
        <v>249</v>
      </c>
      <c r="D19" s="1362"/>
      <c r="E19" s="1362"/>
      <c r="F19" s="1363"/>
    </row>
    <row r="20" spans="1:15" s="1353" customFormat="1" ht="20.100000000000001" customHeight="1">
      <c r="A20" s="4281" t="s">
        <v>11046</v>
      </c>
      <c r="B20" s="1365" t="s">
        <v>13298</v>
      </c>
      <c r="C20" s="1379" t="s">
        <v>13299</v>
      </c>
      <c r="D20" s="1365" t="s">
        <v>13300</v>
      </c>
      <c r="E20" s="1365">
        <f>4*E15/(E16*E17*E18)</f>
        <v>0.8</v>
      </c>
      <c r="F20" s="1366" t="s">
        <v>1721</v>
      </c>
    </row>
    <row r="21" spans="1:15" s="1353" customFormat="1" ht="39.75" customHeight="1">
      <c r="A21" s="4281" t="s">
        <v>11047</v>
      </c>
      <c r="B21" s="1365" t="s">
        <v>13301</v>
      </c>
      <c r="C21" s="1379" t="s">
        <v>13302</v>
      </c>
      <c r="D21" s="1382" t="s">
        <v>13303</v>
      </c>
      <c r="E21" s="1365"/>
      <c r="F21" s="1366" t="s">
        <v>1721</v>
      </c>
    </row>
    <row r="22" spans="1:15" s="1353" customFormat="1" ht="20.100000000000001" customHeight="1">
      <c r="A22" s="4281" t="s">
        <v>11046</v>
      </c>
      <c r="B22" s="1365" t="s">
        <v>10297</v>
      </c>
      <c r="C22" s="1379" t="s">
        <v>13285</v>
      </c>
      <c r="D22" s="1365" t="s">
        <v>13304</v>
      </c>
      <c r="E22" s="1365">
        <f>2*E15/(E16*E17*E18)</f>
        <v>0.4</v>
      </c>
      <c r="F22" s="1366" t="s">
        <v>1721</v>
      </c>
    </row>
    <row r="23" spans="1:15" s="1353" customFormat="1" ht="39.75" customHeight="1">
      <c r="A23" s="4281" t="s">
        <v>11047</v>
      </c>
      <c r="B23" s="1365" t="s">
        <v>13287</v>
      </c>
      <c r="C23" s="1379" t="s">
        <v>13288</v>
      </c>
      <c r="D23" s="1381" t="s">
        <v>13289</v>
      </c>
      <c r="E23" s="1365"/>
      <c r="F23" s="1366"/>
    </row>
    <row r="24" spans="1:15" s="1353" customFormat="1" ht="18.75" customHeight="1">
      <c r="A24" s="1360"/>
      <c r="B24" s="1361" t="s">
        <v>13010</v>
      </c>
      <c r="C24" s="1361" t="s">
        <v>13290</v>
      </c>
      <c r="D24" s="1362"/>
      <c r="E24" s="1362"/>
      <c r="F24" s="1363"/>
    </row>
    <row r="25" spans="1:15" s="1353" customFormat="1" ht="20.100000000000001" customHeight="1">
      <c r="A25" s="1364"/>
      <c r="B25" s="1365"/>
      <c r="C25" s="1365" t="s">
        <v>13305</v>
      </c>
      <c r="D25" s="1365"/>
      <c r="E25" s="1365"/>
      <c r="F25" s="1366" t="s">
        <v>13017</v>
      </c>
    </row>
    <row r="26" spans="1:15" s="1353" customFormat="1" ht="20.100000000000001" customHeight="1">
      <c r="A26" s="1364"/>
      <c r="B26" s="1365"/>
      <c r="C26" s="1365" t="s">
        <v>13291</v>
      </c>
      <c r="D26" s="1365"/>
      <c r="E26" s="1365"/>
      <c r="F26" s="1366" t="s">
        <v>13017</v>
      </c>
    </row>
    <row r="27" spans="1:15" s="1353" customFormat="1" ht="20.100000000000001" customHeight="1">
      <c r="A27" s="1364"/>
      <c r="B27" s="1365"/>
      <c r="C27" s="1379"/>
      <c r="D27" s="1365"/>
      <c r="E27" s="1365"/>
      <c r="F27" s="1366"/>
    </row>
    <row r="28" spans="1:15" s="1353" customFormat="1" ht="20.100000000000001" customHeight="1">
      <c r="A28" s="1364"/>
      <c r="B28" s="1365"/>
      <c r="C28" s="1379"/>
      <c r="D28" s="1365"/>
      <c r="E28" s="1365"/>
      <c r="F28" s="1366"/>
    </row>
    <row r="29" spans="1:15">
      <c r="B29" s="1367"/>
      <c r="C29" s="1367"/>
      <c r="D29" s="1367"/>
      <c r="E29" s="1367"/>
      <c r="F29" s="1367"/>
      <c r="G29" s="1367"/>
      <c r="H29" s="1367"/>
      <c r="I29" s="1367"/>
      <c r="J29" s="1367"/>
      <c r="K29" s="1367"/>
      <c r="L29" s="1367"/>
      <c r="M29" s="1367"/>
      <c r="N29" s="1367"/>
      <c r="O29" s="1354"/>
    </row>
    <row r="30" spans="1:15">
      <c r="B30" s="1367"/>
      <c r="C30" s="1367"/>
      <c r="D30" s="1367"/>
      <c r="E30" s="1367"/>
      <c r="F30" s="1367"/>
      <c r="G30" s="1367"/>
      <c r="H30" s="1367"/>
      <c r="I30" s="1367"/>
      <c r="J30" s="1367"/>
      <c r="K30" s="1367"/>
      <c r="L30" s="1367"/>
      <c r="M30" s="1367"/>
      <c r="N30" s="1367"/>
      <c r="O30" s="1354"/>
    </row>
    <row r="31" spans="1:15">
      <c r="B31" s="1367"/>
      <c r="C31" s="1367"/>
      <c r="D31" s="1367"/>
      <c r="E31" s="1367"/>
      <c r="F31" s="1367"/>
      <c r="G31" s="1367"/>
      <c r="H31" s="1367"/>
      <c r="I31" s="1367"/>
      <c r="J31" s="1367"/>
      <c r="K31" s="1367"/>
      <c r="L31" s="1367"/>
      <c r="M31" s="1367"/>
      <c r="N31" s="1367"/>
      <c r="O31" s="1354"/>
    </row>
    <row r="32" spans="1:15">
      <c r="B32" s="1367"/>
      <c r="C32" s="1367"/>
      <c r="D32" s="1367"/>
      <c r="E32" s="1367"/>
      <c r="F32" s="1367"/>
      <c r="G32" s="1367"/>
      <c r="H32" s="1367"/>
      <c r="I32" s="1367"/>
      <c r="J32" s="1367"/>
      <c r="K32" s="1367"/>
      <c r="L32" s="1367"/>
      <c r="M32" s="1367"/>
      <c r="N32" s="1367"/>
      <c r="O32" s="1354"/>
    </row>
    <row r="33" spans="2:15">
      <c r="B33" s="1367"/>
      <c r="C33" s="1367"/>
      <c r="D33" s="1367"/>
      <c r="E33" s="1367"/>
      <c r="F33" s="1367"/>
      <c r="G33" s="1367"/>
      <c r="H33" s="1367"/>
      <c r="I33" s="1367"/>
      <c r="J33" s="1367"/>
      <c r="K33" s="1367"/>
      <c r="L33" s="1367"/>
      <c r="M33" s="1367"/>
      <c r="N33" s="1367"/>
      <c r="O33" s="1354"/>
    </row>
    <row r="34" spans="2:15">
      <c r="B34" s="1367"/>
      <c r="C34" s="1367"/>
      <c r="D34" s="1367"/>
      <c r="E34" s="1367"/>
      <c r="F34" s="1367"/>
      <c r="G34" s="1367"/>
      <c r="H34" s="1367"/>
      <c r="I34" s="1367"/>
      <c r="J34" s="1367"/>
      <c r="K34" s="1367"/>
      <c r="L34" s="1367"/>
      <c r="M34" s="1367"/>
      <c r="N34" s="1367"/>
      <c r="O34" s="1354"/>
    </row>
    <row r="35" spans="2:15">
      <c r="B35" s="1367"/>
      <c r="C35" s="1367"/>
      <c r="D35" s="1367"/>
      <c r="E35" s="1367"/>
      <c r="F35" s="1367"/>
      <c r="G35" s="1367"/>
      <c r="H35" s="1367"/>
      <c r="I35" s="1367"/>
      <c r="J35" s="1367"/>
      <c r="K35" s="1367"/>
      <c r="L35" s="1367"/>
      <c r="M35" s="1367"/>
      <c r="N35" s="1367"/>
      <c r="O35" s="1354"/>
    </row>
    <row r="36" spans="2:15">
      <c r="B36" s="1367"/>
      <c r="C36" s="1367"/>
      <c r="D36" s="1367"/>
      <c r="E36" s="1367"/>
      <c r="F36" s="1367"/>
      <c r="G36" s="1367"/>
      <c r="H36" s="1367"/>
      <c r="I36" s="1367"/>
      <c r="J36" s="1367"/>
      <c r="K36" s="1367"/>
      <c r="L36" s="1367"/>
      <c r="M36" s="1367"/>
      <c r="N36" s="1367"/>
      <c r="O36" s="1354"/>
    </row>
    <row r="37" spans="2:15">
      <c r="B37" s="1367"/>
      <c r="C37" s="1367"/>
      <c r="D37" s="1367"/>
      <c r="E37" s="1367"/>
      <c r="F37" s="1367"/>
      <c r="G37" s="1367"/>
      <c r="H37" s="1367"/>
      <c r="I37" s="1367"/>
      <c r="J37" s="1367"/>
      <c r="K37" s="1367"/>
      <c r="L37" s="1367"/>
      <c r="M37" s="1367"/>
      <c r="N37" s="1367"/>
      <c r="O37" s="1354"/>
    </row>
    <row r="38" spans="2:15">
      <c r="B38" s="1372"/>
      <c r="C38" s="1373"/>
      <c r="D38" s="1373"/>
      <c r="E38" s="1373"/>
      <c r="F38" s="1373"/>
      <c r="G38" s="1373"/>
      <c r="H38" s="1373"/>
      <c r="I38" s="1373"/>
      <c r="J38" s="1373"/>
      <c r="K38" s="1373"/>
      <c r="L38" s="1373"/>
      <c r="M38" s="1373"/>
      <c r="N38" s="1373"/>
      <c r="O38" s="1354"/>
    </row>
    <row r="39" spans="2:15">
      <c r="B39" s="1372"/>
      <c r="C39" s="1373"/>
      <c r="D39" s="1373"/>
      <c r="E39" s="1373"/>
      <c r="F39" s="1373"/>
      <c r="G39" s="1373"/>
      <c r="H39" s="1373"/>
      <c r="I39" s="1373"/>
      <c r="J39" s="1373"/>
      <c r="K39" s="1373"/>
      <c r="L39" s="1373"/>
      <c r="M39" s="1373"/>
      <c r="N39" s="1373"/>
      <c r="O39" s="1354"/>
    </row>
    <row r="40" spans="2:15">
      <c r="B40" s="1372"/>
      <c r="C40" s="1373"/>
      <c r="D40" s="1373"/>
      <c r="E40" s="1373"/>
      <c r="F40" s="1373"/>
      <c r="G40" s="1373"/>
      <c r="H40" s="1373"/>
      <c r="I40" s="1373"/>
      <c r="J40" s="1373"/>
      <c r="K40" s="1373"/>
      <c r="L40" s="1373"/>
      <c r="M40" s="1373"/>
      <c r="N40" s="1373"/>
      <c r="O40" s="1354"/>
    </row>
    <row r="41" spans="2:15">
      <c r="B41" s="1372"/>
      <c r="C41" s="1373"/>
      <c r="D41" s="1373"/>
      <c r="E41" s="1373"/>
      <c r="F41" s="1373"/>
      <c r="G41" s="1373"/>
      <c r="H41" s="1373"/>
      <c r="I41" s="1373"/>
      <c r="J41" s="1373"/>
      <c r="K41" s="1373"/>
      <c r="L41" s="1373"/>
      <c r="M41" s="1373"/>
      <c r="N41" s="1373"/>
      <c r="O41" s="1354"/>
    </row>
    <row r="42" spans="2:15">
      <c r="B42" s="1372"/>
      <c r="C42" s="1373"/>
      <c r="D42" s="1373"/>
      <c r="E42" s="1373"/>
      <c r="F42" s="1373"/>
      <c r="G42" s="1373"/>
      <c r="H42" s="1373"/>
      <c r="I42" s="1373"/>
      <c r="J42" s="1373"/>
      <c r="K42" s="1373"/>
      <c r="L42" s="1373"/>
      <c r="M42" s="1373"/>
      <c r="N42" s="1373"/>
      <c r="O42" s="1354"/>
    </row>
    <row r="43" spans="2:15">
      <c r="B43" s="1372"/>
      <c r="C43" s="1373"/>
      <c r="D43" s="1373"/>
      <c r="E43" s="1373"/>
      <c r="F43" s="1373"/>
      <c r="G43" s="1373"/>
      <c r="H43" s="1373"/>
      <c r="I43" s="1373"/>
      <c r="J43" s="1373"/>
      <c r="K43" s="1373"/>
      <c r="L43" s="1373"/>
      <c r="M43" s="1373"/>
      <c r="N43" s="1373"/>
      <c r="O43" s="1354"/>
    </row>
    <row r="44" spans="2:15">
      <c r="G44" s="1372"/>
      <c r="H44" s="1372"/>
      <c r="I44" s="1372"/>
      <c r="J44" s="1372"/>
      <c r="K44" s="1372"/>
      <c r="L44" s="1372"/>
      <c r="M44" s="1372"/>
      <c r="N44" s="1372"/>
    </row>
  </sheetData>
  <phoneticPr fontId="214" type="noConversion"/>
  <pageMargins left="0.75" right="0.75" top="1" bottom="1" header="0.5" footer="0.5"/>
  <pageSetup paperSize="9" orientation="landscape" r:id="rId1"/>
  <headerFooter alignWithMargins="0"/>
  <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36"/>
  <dimension ref="A1:Q60"/>
  <sheetViews>
    <sheetView view="pageBreakPreview" zoomScaleNormal="100" workbookViewId="0">
      <selection activeCell="G1" sqref="G1"/>
    </sheetView>
  </sheetViews>
  <sheetFormatPr defaultColWidth="8.125" defaultRowHeight="14.25"/>
  <cols>
    <col min="1" max="1" width="5.125" style="1355" customWidth="1"/>
    <col min="2" max="2" width="6.75" style="1355" customWidth="1"/>
    <col min="3" max="3" width="25.25" style="1355" customWidth="1"/>
    <col min="4" max="4" width="20" style="1355" customWidth="1"/>
    <col min="5" max="5" width="15.75" style="1355" customWidth="1"/>
    <col min="6" max="6" width="8.125" style="1355"/>
    <col min="7" max="7" width="73.125" style="1355" customWidth="1"/>
    <col min="8" max="16384" width="8.125" style="1355"/>
  </cols>
  <sheetData>
    <row r="1" spans="1:16" s="1353" customFormat="1" ht="20.100000000000001" customHeight="1">
      <c r="A1" s="1356" t="s">
        <v>13276</v>
      </c>
      <c r="B1" s="1357" t="s">
        <v>13277</v>
      </c>
      <c r="C1" s="1357" t="s">
        <v>13278</v>
      </c>
      <c r="D1" s="1358" t="s">
        <v>13181</v>
      </c>
      <c r="E1" s="1358" t="s">
        <v>13182</v>
      </c>
      <c r="F1" s="1359" t="s">
        <v>213</v>
      </c>
    </row>
    <row r="2" spans="1:16" s="1353" customFormat="1" ht="20.100000000000001" customHeight="1">
      <c r="A2" s="1360"/>
      <c r="B2" s="1361" t="s">
        <v>13183</v>
      </c>
      <c r="C2" s="1361" t="s">
        <v>13184</v>
      </c>
      <c r="D2" s="1362"/>
      <c r="E2" s="1362"/>
      <c r="F2" s="1363"/>
    </row>
    <row r="3" spans="1:16" s="1354" customFormat="1" ht="20.100000000000001" customHeight="1">
      <c r="A3" s="4281" t="s">
        <v>10424</v>
      </c>
      <c r="B3" s="1365" t="s">
        <v>2520</v>
      </c>
      <c r="C3" s="1365" t="s">
        <v>13306</v>
      </c>
      <c r="D3" s="1365"/>
      <c r="E3" s="1365">
        <v>50</v>
      </c>
      <c r="F3" s="1366" t="s">
        <v>13031</v>
      </c>
      <c r="G3" s="1367"/>
      <c r="H3" s="1367"/>
      <c r="I3" s="1367"/>
      <c r="J3" s="1367"/>
      <c r="K3" s="1367"/>
      <c r="L3" s="1367"/>
      <c r="M3" s="1367"/>
      <c r="N3" s="1367"/>
      <c r="O3" s="1367"/>
      <c r="P3" s="1367"/>
    </row>
    <row r="4" spans="1:16" s="1354" customFormat="1" ht="20.100000000000001" customHeight="1">
      <c r="A4" s="4281" t="s">
        <v>11044</v>
      </c>
      <c r="B4" s="1365" t="s">
        <v>1167</v>
      </c>
      <c r="C4" s="1365" t="s">
        <v>13307</v>
      </c>
      <c r="D4" s="1365"/>
      <c r="E4" s="1365">
        <v>50</v>
      </c>
      <c r="F4" s="1366" t="s">
        <v>234</v>
      </c>
      <c r="G4" s="1367"/>
      <c r="H4" s="1367"/>
      <c r="I4" s="1367"/>
      <c r="J4" s="1367"/>
      <c r="K4" s="1367"/>
      <c r="L4" s="1367"/>
      <c r="M4" s="1367"/>
      <c r="N4" s="1367"/>
      <c r="O4" s="1367"/>
      <c r="P4" s="1367"/>
    </row>
    <row r="5" spans="1:16" s="1354" customFormat="1" ht="20.100000000000001" customHeight="1">
      <c r="A5" s="4281" t="s">
        <v>11045</v>
      </c>
      <c r="B5" s="1365" t="s">
        <v>2534</v>
      </c>
      <c r="C5" s="1365" t="s">
        <v>13308</v>
      </c>
      <c r="D5" s="1365"/>
      <c r="E5" s="1365">
        <v>20</v>
      </c>
      <c r="F5" s="1366" t="s">
        <v>234</v>
      </c>
      <c r="G5" s="1367"/>
      <c r="H5" s="1367"/>
      <c r="I5" s="1367"/>
      <c r="J5" s="1367"/>
      <c r="K5" s="1367"/>
      <c r="L5" s="1367"/>
      <c r="M5" s="1367"/>
      <c r="N5" s="1367"/>
      <c r="O5" s="1367"/>
      <c r="P5" s="1367"/>
    </row>
    <row r="6" spans="1:16" s="1354" customFormat="1" ht="20.100000000000001" customHeight="1">
      <c r="A6" s="4281" t="s">
        <v>11046</v>
      </c>
      <c r="B6" s="1365" t="s">
        <v>2278</v>
      </c>
      <c r="C6" s="1365" t="s">
        <v>13309</v>
      </c>
      <c r="D6" s="1365" t="s">
        <v>13310</v>
      </c>
      <c r="E6" s="1365">
        <f>E4-E5</f>
        <v>30</v>
      </c>
      <c r="F6" s="1366" t="s">
        <v>234</v>
      </c>
      <c r="G6" s="1367"/>
      <c r="H6" s="1367"/>
      <c r="I6" s="1367"/>
      <c r="J6" s="1367"/>
      <c r="K6" s="1367"/>
      <c r="L6" s="1367"/>
      <c r="M6" s="1367"/>
      <c r="N6" s="1367"/>
      <c r="O6" s="1367"/>
      <c r="P6" s="1367"/>
    </row>
    <row r="7" spans="1:16" s="1354" customFormat="1" ht="20.100000000000001" customHeight="1">
      <c r="A7" s="4281" t="s">
        <v>11047</v>
      </c>
      <c r="B7" s="1365" t="s">
        <v>2524</v>
      </c>
      <c r="C7" s="1365" t="s">
        <v>13311</v>
      </c>
      <c r="D7" s="1365"/>
      <c r="E7" s="1365">
        <v>30</v>
      </c>
      <c r="F7" s="1366" t="s">
        <v>234</v>
      </c>
      <c r="G7" s="1367"/>
      <c r="H7" s="1367"/>
      <c r="I7" s="1367"/>
      <c r="J7" s="1367"/>
      <c r="K7" s="1367"/>
      <c r="L7" s="1367"/>
      <c r="M7" s="1367"/>
      <c r="N7" s="1367"/>
      <c r="O7" s="1367"/>
      <c r="P7" s="1367"/>
    </row>
    <row r="8" spans="1:16" s="1354" customFormat="1" ht="20.100000000000001" customHeight="1">
      <c r="A8" s="4281" t="s">
        <v>11048</v>
      </c>
      <c r="B8" s="1365" t="s">
        <v>1866</v>
      </c>
      <c r="C8" s="1365" t="s">
        <v>13312</v>
      </c>
      <c r="D8" s="1365"/>
      <c r="E8" s="1365">
        <v>10</v>
      </c>
      <c r="F8" s="1366" t="s">
        <v>234</v>
      </c>
      <c r="G8" s="1367"/>
      <c r="H8" s="1367"/>
      <c r="I8" s="1367"/>
      <c r="J8" s="1367"/>
      <c r="K8" s="1367"/>
      <c r="L8" s="1367"/>
      <c r="M8" s="1367"/>
      <c r="N8" s="1367"/>
      <c r="O8" s="1367"/>
      <c r="P8" s="1367"/>
    </row>
    <row r="9" spans="1:16" s="1354" customFormat="1" ht="20.100000000000001" customHeight="1">
      <c r="A9" s="4281" t="s">
        <v>11049</v>
      </c>
      <c r="B9" s="1365" t="s">
        <v>3319</v>
      </c>
      <c r="C9" s="1365" t="s">
        <v>13313</v>
      </c>
      <c r="D9" s="1365" t="s">
        <v>13314</v>
      </c>
      <c r="E9" s="1365">
        <f>E8/2</f>
        <v>5</v>
      </c>
      <c r="F9" s="1366" t="s">
        <v>234</v>
      </c>
      <c r="G9" s="1367"/>
      <c r="H9" s="1367"/>
      <c r="I9" s="1367"/>
      <c r="J9" s="1367"/>
      <c r="K9" s="1367"/>
      <c r="L9" s="1367"/>
      <c r="M9" s="1367"/>
      <c r="N9" s="1367"/>
      <c r="O9" s="1367"/>
      <c r="P9" s="1367"/>
    </row>
    <row r="10" spans="1:16" s="1354" customFormat="1" ht="20.100000000000001" customHeight="1">
      <c r="A10" s="4281" t="s">
        <v>9825</v>
      </c>
      <c r="B10" s="1365" t="s">
        <v>13315</v>
      </c>
      <c r="C10" s="1365" t="s">
        <v>13316</v>
      </c>
      <c r="D10" s="1365" t="s">
        <v>13303</v>
      </c>
      <c r="E10" s="1365">
        <v>40</v>
      </c>
      <c r="F10" s="1366" t="s">
        <v>1721</v>
      </c>
      <c r="G10" s="1367"/>
      <c r="H10" s="1367"/>
      <c r="I10" s="1367"/>
      <c r="J10" s="1367"/>
      <c r="K10" s="1367"/>
      <c r="L10" s="1367"/>
      <c r="M10" s="1367"/>
      <c r="N10" s="1367"/>
      <c r="O10" s="1367"/>
      <c r="P10" s="1367"/>
    </row>
    <row r="11" spans="1:16" s="1354" customFormat="1" ht="20.100000000000001" customHeight="1">
      <c r="A11" s="4281" t="s">
        <v>9828</v>
      </c>
      <c r="B11" s="1365" t="s">
        <v>13265</v>
      </c>
      <c r="C11" s="1365" t="s">
        <v>13317</v>
      </c>
      <c r="D11" s="1365" t="s">
        <v>13303</v>
      </c>
      <c r="E11" s="1365">
        <v>90</v>
      </c>
      <c r="F11" s="1366" t="s">
        <v>1755</v>
      </c>
      <c r="G11" s="1367"/>
      <c r="H11" s="1367"/>
      <c r="I11" s="1367"/>
      <c r="J11" s="1367"/>
      <c r="K11" s="1367"/>
      <c r="L11" s="1367"/>
      <c r="M11" s="1367"/>
      <c r="N11" s="1367"/>
      <c r="O11" s="1367"/>
      <c r="P11" s="1367"/>
    </row>
    <row r="12" spans="1:16" s="1353" customFormat="1" ht="20.100000000000001" customHeight="1">
      <c r="A12" s="1360"/>
      <c r="B12" s="1361" t="s">
        <v>13209</v>
      </c>
      <c r="C12" s="1361" t="s">
        <v>249</v>
      </c>
      <c r="D12" s="1362"/>
      <c r="E12" s="1362"/>
      <c r="F12" s="1363"/>
    </row>
    <row r="13" spans="1:16" s="1354" customFormat="1" ht="20.100000000000001" customHeight="1">
      <c r="A13" s="4281" t="s">
        <v>3389</v>
      </c>
      <c r="B13" s="1365" t="s">
        <v>445</v>
      </c>
      <c r="C13" s="1365" t="s">
        <v>13318</v>
      </c>
      <c r="D13" s="1365" t="s">
        <v>13319</v>
      </c>
      <c r="E13" s="1365">
        <f>2*E3*1000/(E7*E9*E6)</f>
        <v>22.2222222222222</v>
      </c>
      <c r="F13" s="1366" t="s">
        <v>1721</v>
      </c>
      <c r="G13" s="1367"/>
      <c r="H13" s="1367"/>
      <c r="I13" s="1367"/>
      <c r="J13" s="1367"/>
      <c r="K13" s="1367"/>
      <c r="L13" s="1367"/>
      <c r="M13" s="1367"/>
      <c r="N13" s="1367"/>
      <c r="O13" s="1367"/>
      <c r="P13" s="1367"/>
    </row>
    <row r="14" spans="1:16" s="1354" customFormat="1" ht="20.100000000000001" customHeight="1">
      <c r="A14" s="4281" t="s">
        <v>11050</v>
      </c>
      <c r="B14" s="1365" t="s">
        <v>10297</v>
      </c>
      <c r="C14" s="1365" t="s">
        <v>13320</v>
      </c>
      <c r="D14" s="1365" t="s">
        <v>13321</v>
      </c>
      <c r="E14" s="1365">
        <f>2*E3*1000/(E7*E5*E6)</f>
        <v>5.5555555555555598</v>
      </c>
      <c r="F14" s="1366" t="s">
        <v>1755</v>
      </c>
      <c r="G14" s="1367"/>
      <c r="H14" s="1367"/>
      <c r="I14" s="1367"/>
      <c r="J14" s="1367"/>
      <c r="K14" s="1367"/>
      <c r="L14" s="1367"/>
      <c r="M14" s="1367"/>
      <c r="N14" s="1367"/>
      <c r="O14" s="1367"/>
      <c r="P14" s="1367"/>
    </row>
    <row r="15" spans="1:16" s="1353" customFormat="1" ht="20.100000000000001" customHeight="1">
      <c r="A15" s="1360"/>
      <c r="B15" s="1361" t="s">
        <v>13010</v>
      </c>
      <c r="C15" s="1361" t="s">
        <v>13290</v>
      </c>
      <c r="D15" s="1362"/>
      <c r="E15" s="1362"/>
      <c r="F15" s="1363"/>
    </row>
    <row r="16" spans="1:16" s="1354" customFormat="1" ht="20.100000000000001" customHeight="1">
      <c r="A16" s="4281" t="s">
        <v>11051</v>
      </c>
      <c r="B16" s="1365"/>
      <c r="C16" s="1365" t="s">
        <v>13322</v>
      </c>
      <c r="D16" s="1365"/>
      <c r="E16" s="1365"/>
      <c r="F16" s="1366" t="s">
        <v>13017</v>
      </c>
      <c r="G16" s="1367"/>
      <c r="H16" s="1367"/>
      <c r="I16" s="1367"/>
      <c r="J16" s="1367"/>
      <c r="K16" s="1367"/>
      <c r="L16" s="1367"/>
      <c r="M16" s="1367"/>
      <c r="N16" s="1367"/>
      <c r="O16" s="1367"/>
      <c r="P16" s="1367"/>
    </row>
    <row r="17" spans="1:17" s="1354" customFormat="1" ht="20.100000000000001" customHeight="1">
      <c r="A17" s="4281" t="s">
        <v>11105</v>
      </c>
      <c r="B17" s="1365"/>
      <c r="C17" s="1365" t="s">
        <v>13323</v>
      </c>
      <c r="D17" s="1365"/>
      <c r="E17" s="1365"/>
      <c r="F17" s="1366" t="s">
        <v>13017</v>
      </c>
      <c r="G17" s="1367"/>
      <c r="H17" s="1367"/>
      <c r="I17" s="1367"/>
      <c r="J17" s="1367"/>
      <c r="K17" s="1367"/>
      <c r="L17" s="1367"/>
      <c r="M17" s="1367"/>
      <c r="N17" s="1367"/>
      <c r="O17" s="1367"/>
      <c r="P17" s="1367"/>
    </row>
    <row r="18" spans="1:17" s="1354" customFormat="1" ht="20.100000000000001" customHeight="1">
      <c r="A18" s="1368"/>
      <c r="B18" s="1369"/>
      <c r="C18" s="1369"/>
      <c r="D18" s="1369"/>
      <c r="E18" s="1369"/>
      <c r="F18" s="1370"/>
      <c r="G18" s="1367"/>
      <c r="H18" s="1367"/>
      <c r="I18" s="1367"/>
      <c r="J18" s="1367"/>
      <c r="K18" s="1367"/>
      <c r="L18" s="1367"/>
      <c r="M18" s="1367"/>
      <c r="N18" s="1367"/>
      <c r="O18" s="1367"/>
      <c r="P18" s="1367"/>
    </row>
    <row r="19" spans="1:17" s="1354" customFormat="1" ht="20.100000000000001" customHeight="1">
      <c r="A19" s="1368"/>
      <c r="B19" s="1369"/>
      <c r="C19" s="1369"/>
      <c r="D19" s="1369"/>
      <c r="E19" s="1369"/>
      <c r="F19" s="1370"/>
      <c r="G19" s="1367"/>
      <c r="H19" s="1367"/>
      <c r="I19" s="1367"/>
      <c r="J19" s="1367"/>
      <c r="K19" s="1367"/>
      <c r="L19" s="1367"/>
      <c r="M19" s="1367"/>
      <c r="N19" s="1367"/>
      <c r="O19" s="1367"/>
      <c r="P19" s="1367"/>
    </row>
    <row r="20" spans="1:17" s="1354" customFormat="1" ht="20.100000000000001" customHeight="1">
      <c r="A20" s="1368"/>
      <c r="B20" s="1369"/>
      <c r="C20" s="1369"/>
      <c r="D20" s="1369"/>
      <c r="E20" s="1369"/>
      <c r="F20" s="1370"/>
      <c r="G20" s="1367"/>
      <c r="H20" s="1367"/>
      <c r="I20" s="1367"/>
      <c r="J20" s="1367"/>
      <c r="K20" s="1367"/>
      <c r="L20" s="1367"/>
      <c r="M20" s="1367"/>
      <c r="N20" s="1367"/>
      <c r="O20" s="1367"/>
      <c r="P20" s="1367"/>
    </row>
    <row r="21" spans="1:17" s="1354" customFormat="1" ht="20.100000000000001" customHeight="1">
      <c r="A21" s="1368"/>
      <c r="B21" s="1369"/>
      <c r="C21" s="1369"/>
      <c r="D21" s="1369"/>
      <c r="E21" s="1369"/>
      <c r="F21" s="1370"/>
      <c r="G21" s="1367"/>
      <c r="H21" s="1367"/>
      <c r="I21" s="1367"/>
      <c r="J21" s="1367"/>
      <c r="K21" s="1367"/>
      <c r="L21" s="1367"/>
      <c r="M21" s="1367"/>
      <c r="N21" s="1367"/>
      <c r="O21" s="1367"/>
      <c r="P21" s="1367"/>
    </row>
    <row r="22" spans="1:17" s="1354" customFormat="1" ht="20.100000000000001" customHeight="1">
      <c r="A22" s="1368"/>
      <c r="B22" s="1369"/>
      <c r="C22" s="1369"/>
      <c r="D22" s="1369"/>
      <c r="E22" s="1369"/>
      <c r="F22" s="1370"/>
      <c r="G22" s="1367"/>
      <c r="H22" s="1367"/>
      <c r="I22" s="1367"/>
      <c r="J22" s="1367"/>
      <c r="K22" s="1367"/>
      <c r="L22" s="1367"/>
      <c r="M22" s="1367"/>
      <c r="N22" s="1367"/>
      <c r="O22" s="1367"/>
      <c r="P22" s="1367"/>
    </row>
    <row r="23" spans="1:17">
      <c r="A23" s="1371"/>
      <c r="B23" s="1367"/>
      <c r="C23" s="1367"/>
      <c r="D23" s="1367"/>
      <c r="E23" s="1367"/>
      <c r="F23" s="1367"/>
      <c r="G23" s="1367"/>
      <c r="H23" s="1367"/>
      <c r="I23" s="1367"/>
      <c r="J23" s="1367"/>
      <c r="K23" s="1367"/>
      <c r="L23" s="1367"/>
      <c r="M23" s="1367"/>
      <c r="N23" s="1367"/>
      <c r="O23" s="1367"/>
      <c r="P23" s="1367"/>
      <c r="Q23" s="1354"/>
    </row>
    <row r="24" spans="1:17">
      <c r="A24" s="1371"/>
      <c r="B24" s="1367"/>
      <c r="C24" s="1367"/>
      <c r="D24" s="1367"/>
      <c r="E24" s="1367"/>
      <c r="F24" s="1367"/>
      <c r="G24" s="1367"/>
      <c r="H24" s="1367"/>
      <c r="I24" s="1367"/>
      <c r="J24" s="1367"/>
      <c r="K24" s="1367"/>
      <c r="L24" s="1367"/>
      <c r="M24" s="1367"/>
      <c r="N24" s="1367"/>
      <c r="O24" s="1367"/>
      <c r="P24" s="1367"/>
      <c r="Q24" s="1354"/>
    </row>
    <row r="25" spans="1:17">
      <c r="B25" s="1367"/>
      <c r="C25" s="1367"/>
      <c r="D25" s="1367"/>
      <c r="E25" s="1367"/>
      <c r="F25" s="1367"/>
      <c r="G25" s="1367"/>
      <c r="H25" s="1367"/>
      <c r="I25" s="1367"/>
      <c r="J25" s="1367"/>
      <c r="K25" s="1367"/>
      <c r="L25" s="1367"/>
      <c r="M25" s="1367"/>
      <c r="N25" s="1367"/>
      <c r="O25" s="1367"/>
      <c r="P25" s="1367"/>
      <c r="Q25" s="1354"/>
    </row>
    <row r="26" spans="1:17">
      <c r="B26" s="1367"/>
      <c r="C26" s="1367"/>
      <c r="D26" s="1367"/>
      <c r="E26" s="1367"/>
      <c r="F26" s="1367"/>
      <c r="G26" s="1367"/>
      <c r="H26" s="1367"/>
      <c r="I26" s="1367"/>
      <c r="J26" s="1367"/>
      <c r="K26" s="1367"/>
      <c r="L26" s="1367"/>
      <c r="M26" s="1367"/>
      <c r="N26" s="1367"/>
      <c r="O26" s="1367"/>
      <c r="P26" s="1367"/>
      <c r="Q26" s="1354"/>
    </row>
    <row r="27" spans="1:17">
      <c r="B27" s="1367"/>
      <c r="C27" s="1367"/>
      <c r="D27" s="1367"/>
      <c r="E27" s="1367"/>
      <c r="F27" s="1367"/>
      <c r="G27" s="1367"/>
      <c r="H27" s="1367"/>
      <c r="I27" s="1367"/>
      <c r="J27" s="1367"/>
      <c r="K27" s="1367"/>
      <c r="L27" s="1367"/>
      <c r="M27" s="1367"/>
      <c r="N27" s="1367"/>
      <c r="O27" s="1367"/>
      <c r="P27" s="1367"/>
      <c r="Q27" s="1354"/>
    </row>
    <row r="28" spans="1:17">
      <c r="B28" s="1367"/>
      <c r="C28" s="1367"/>
      <c r="D28" s="1367"/>
      <c r="E28" s="1367"/>
      <c r="F28" s="1367"/>
      <c r="G28" s="1367"/>
      <c r="H28" s="1367"/>
      <c r="I28" s="1367"/>
      <c r="J28" s="1367"/>
      <c r="K28" s="1367"/>
      <c r="L28" s="1367"/>
      <c r="M28" s="1367"/>
      <c r="N28" s="1367"/>
      <c r="O28" s="1367"/>
      <c r="P28" s="1367"/>
      <c r="Q28" s="1354"/>
    </row>
    <row r="29" spans="1:17">
      <c r="B29" s="1367"/>
      <c r="C29" s="1367"/>
      <c r="D29" s="1367"/>
      <c r="E29" s="1367"/>
      <c r="F29" s="1367"/>
      <c r="G29" s="1367"/>
      <c r="H29" s="1367"/>
      <c r="I29" s="1367"/>
      <c r="J29" s="1367"/>
      <c r="K29" s="1367"/>
      <c r="L29" s="1367"/>
      <c r="M29" s="1367"/>
      <c r="N29" s="1367"/>
      <c r="O29" s="1367"/>
      <c r="P29" s="1367"/>
      <c r="Q29" s="1354"/>
    </row>
    <row r="30" spans="1:17">
      <c r="B30" s="1367"/>
      <c r="C30" s="1367"/>
      <c r="D30" s="1367"/>
      <c r="E30" s="1367"/>
      <c r="F30" s="1367"/>
      <c r="G30" s="1367"/>
      <c r="H30" s="1367"/>
      <c r="I30" s="1367"/>
      <c r="J30" s="1367"/>
      <c r="K30" s="1367"/>
      <c r="L30" s="1367"/>
      <c r="M30" s="1367"/>
      <c r="N30" s="1367"/>
      <c r="O30" s="1367"/>
      <c r="P30" s="1367"/>
      <c r="Q30" s="1354"/>
    </row>
    <row r="31" spans="1:17">
      <c r="B31" s="1367"/>
      <c r="C31" s="1367"/>
      <c r="D31" s="1367"/>
      <c r="E31" s="1367"/>
      <c r="F31" s="1367"/>
      <c r="G31" s="1367"/>
      <c r="H31" s="1367"/>
      <c r="I31" s="1367"/>
      <c r="J31" s="1367"/>
      <c r="K31" s="1367"/>
      <c r="L31" s="1367"/>
      <c r="M31" s="1367"/>
      <c r="N31" s="1367"/>
      <c r="O31" s="1367"/>
      <c r="P31" s="1367"/>
      <c r="Q31" s="1354"/>
    </row>
    <row r="32" spans="1:17">
      <c r="B32" s="1367"/>
      <c r="C32" s="1367"/>
      <c r="D32" s="1367"/>
      <c r="E32" s="1367"/>
      <c r="F32" s="1367"/>
      <c r="G32" s="1367"/>
      <c r="H32" s="1367"/>
      <c r="I32" s="1367"/>
      <c r="J32" s="1367"/>
      <c r="K32" s="1367"/>
      <c r="L32" s="1367"/>
      <c r="M32" s="1367"/>
      <c r="N32" s="1367"/>
      <c r="O32" s="1367"/>
      <c r="P32" s="1367"/>
      <c r="Q32" s="1354"/>
    </row>
    <row r="33" spans="2:17">
      <c r="B33" s="1367"/>
      <c r="C33" s="1367"/>
      <c r="D33" s="1367"/>
      <c r="E33" s="1367"/>
      <c r="F33" s="1367"/>
      <c r="G33" s="1367"/>
      <c r="H33" s="1367"/>
      <c r="I33" s="1367"/>
      <c r="J33" s="1367"/>
      <c r="K33" s="1367"/>
      <c r="L33" s="1367"/>
      <c r="M33" s="1367"/>
      <c r="N33" s="1367"/>
      <c r="O33" s="1367"/>
      <c r="P33" s="1367"/>
      <c r="Q33" s="1354"/>
    </row>
    <row r="34" spans="2:17">
      <c r="B34" s="1367"/>
      <c r="C34" s="1367"/>
      <c r="D34" s="1367"/>
      <c r="E34" s="1367"/>
      <c r="F34" s="1367"/>
      <c r="G34" s="1367"/>
      <c r="H34" s="1367"/>
      <c r="I34" s="1367"/>
      <c r="J34" s="1367"/>
      <c r="K34" s="1367"/>
      <c r="L34" s="1367"/>
      <c r="M34" s="1367"/>
      <c r="N34" s="1367"/>
      <c r="O34" s="1367"/>
      <c r="P34" s="1367"/>
      <c r="Q34" s="1354"/>
    </row>
    <row r="35" spans="2:17">
      <c r="B35" s="1367"/>
      <c r="C35" s="1367"/>
      <c r="D35" s="1367"/>
      <c r="E35" s="1367"/>
      <c r="F35" s="1367"/>
      <c r="G35" s="1367"/>
      <c r="H35" s="1367"/>
      <c r="I35" s="1367"/>
      <c r="J35" s="1367"/>
      <c r="K35" s="1367"/>
      <c r="L35" s="1367"/>
      <c r="M35" s="1367"/>
      <c r="N35" s="1367"/>
      <c r="O35" s="1367"/>
      <c r="P35" s="1367"/>
      <c r="Q35" s="1354"/>
    </row>
    <row r="36" spans="2:17">
      <c r="B36" s="1367"/>
      <c r="C36" s="1367"/>
      <c r="D36" s="1367"/>
      <c r="E36" s="1367"/>
      <c r="F36" s="1367"/>
      <c r="G36" s="1367"/>
      <c r="H36" s="1367"/>
      <c r="I36" s="1367"/>
      <c r="J36" s="1367"/>
      <c r="K36" s="1367"/>
      <c r="L36" s="1367"/>
      <c r="M36" s="1367"/>
      <c r="N36" s="1367"/>
      <c r="O36" s="1367"/>
      <c r="P36" s="1367"/>
      <c r="Q36" s="1354"/>
    </row>
    <row r="37" spans="2:17">
      <c r="B37" s="1367"/>
      <c r="C37" s="1367"/>
      <c r="D37" s="1367"/>
      <c r="E37" s="1367"/>
      <c r="F37" s="1367"/>
      <c r="G37" s="1367"/>
      <c r="H37" s="1367"/>
      <c r="I37" s="1367"/>
      <c r="J37" s="1367"/>
      <c r="K37" s="1367"/>
      <c r="L37" s="1367"/>
      <c r="M37" s="1367"/>
      <c r="N37" s="1367"/>
      <c r="O37" s="1367"/>
      <c r="P37" s="1367"/>
      <c r="Q37" s="1354"/>
    </row>
    <row r="38" spans="2:17">
      <c r="B38" s="1367"/>
      <c r="C38" s="1367"/>
      <c r="D38" s="1367"/>
      <c r="E38" s="1367"/>
      <c r="F38" s="1367"/>
      <c r="G38" s="1367"/>
      <c r="H38" s="1367"/>
      <c r="I38" s="1367"/>
      <c r="J38" s="1367"/>
      <c r="K38" s="1367"/>
      <c r="L38" s="1367"/>
      <c r="M38" s="1367"/>
      <c r="N38" s="1367"/>
      <c r="O38" s="1367"/>
      <c r="P38" s="1367"/>
      <c r="Q38" s="1354"/>
    </row>
    <row r="39" spans="2:17">
      <c r="B39" s="1367"/>
      <c r="C39" s="1367"/>
      <c r="D39" s="1367"/>
      <c r="E39" s="1367"/>
      <c r="F39" s="1367"/>
      <c r="G39" s="1367"/>
      <c r="H39" s="1367"/>
      <c r="I39" s="1367"/>
      <c r="J39" s="1367"/>
      <c r="K39" s="1367"/>
      <c r="L39" s="1367"/>
      <c r="M39" s="1367"/>
      <c r="N39" s="1367"/>
      <c r="O39" s="1367"/>
      <c r="P39" s="1367"/>
      <c r="Q39" s="1354"/>
    </row>
    <row r="40" spans="2:17">
      <c r="B40" s="1367"/>
      <c r="C40" s="1367"/>
      <c r="D40" s="1367"/>
      <c r="E40" s="1367"/>
      <c r="F40" s="1367"/>
      <c r="G40" s="1367"/>
      <c r="H40" s="1367"/>
      <c r="I40" s="1367"/>
      <c r="J40" s="1367"/>
      <c r="K40" s="1367"/>
      <c r="L40" s="1367"/>
      <c r="M40" s="1367"/>
      <c r="N40" s="1367"/>
      <c r="O40" s="1367"/>
      <c r="P40" s="1367"/>
      <c r="Q40" s="1354"/>
    </row>
    <row r="41" spans="2:17">
      <c r="B41" s="1367"/>
      <c r="C41" s="1367"/>
      <c r="D41" s="1367"/>
      <c r="E41" s="1367"/>
      <c r="F41" s="1367"/>
      <c r="G41" s="1367"/>
      <c r="H41" s="1367"/>
      <c r="I41" s="1367"/>
      <c r="J41" s="1367"/>
      <c r="K41" s="1367"/>
      <c r="L41" s="1367"/>
      <c r="M41" s="1367"/>
      <c r="N41" s="1367"/>
      <c r="O41" s="1367"/>
      <c r="P41" s="1367"/>
      <c r="Q41" s="1354"/>
    </row>
    <row r="42" spans="2:17">
      <c r="B42" s="1367"/>
      <c r="C42" s="1367"/>
      <c r="D42" s="1367"/>
      <c r="E42" s="1367"/>
      <c r="F42" s="1367"/>
      <c r="G42" s="1367"/>
      <c r="H42" s="1367"/>
      <c r="I42" s="1367"/>
      <c r="J42" s="1367"/>
      <c r="K42" s="1367"/>
      <c r="L42" s="1367"/>
      <c r="M42" s="1367"/>
      <c r="N42" s="1367"/>
      <c r="O42" s="1367"/>
      <c r="P42" s="1367"/>
      <c r="Q42" s="1354"/>
    </row>
    <row r="43" spans="2:17">
      <c r="B43" s="1367"/>
      <c r="C43" s="1367"/>
      <c r="D43" s="1367"/>
      <c r="E43" s="1367"/>
      <c r="F43" s="1367"/>
      <c r="G43" s="1367"/>
      <c r="H43" s="1367"/>
      <c r="I43" s="1367"/>
      <c r="J43" s="1367"/>
      <c r="K43" s="1367"/>
      <c r="L43" s="1367"/>
      <c r="M43" s="1367"/>
      <c r="N43" s="1367"/>
      <c r="O43" s="1367"/>
      <c r="P43" s="1367"/>
      <c r="Q43" s="1354"/>
    </row>
    <row r="44" spans="2:17">
      <c r="B44" s="1367"/>
      <c r="C44" s="1367"/>
      <c r="D44" s="1367"/>
      <c r="E44" s="1367"/>
      <c r="F44" s="1367"/>
      <c r="G44" s="1367"/>
      <c r="H44" s="1367"/>
      <c r="I44" s="1367"/>
      <c r="J44" s="1367"/>
      <c r="K44" s="1367"/>
      <c r="L44" s="1367"/>
      <c r="M44" s="1367"/>
      <c r="N44" s="1367"/>
      <c r="O44" s="1367"/>
      <c r="P44" s="1367"/>
      <c r="Q44" s="1354"/>
    </row>
    <row r="45" spans="2:17">
      <c r="B45" s="1367"/>
      <c r="C45" s="1367"/>
      <c r="D45" s="1367"/>
      <c r="E45" s="1367"/>
      <c r="F45" s="1367"/>
      <c r="G45" s="1367"/>
      <c r="H45" s="1367"/>
      <c r="I45" s="1367"/>
      <c r="J45" s="1367"/>
      <c r="K45" s="1367"/>
      <c r="L45" s="1367"/>
      <c r="M45" s="1367"/>
      <c r="N45" s="1367"/>
      <c r="O45" s="1367"/>
      <c r="P45" s="1367"/>
      <c r="Q45" s="1354"/>
    </row>
    <row r="46" spans="2:17">
      <c r="B46" s="1367"/>
      <c r="C46" s="1367"/>
      <c r="D46" s="1367"/>
      <c r="E46" s="1367"/>
      <c r="F46" s="1367"/>
      <c r="G46" s="1367"/>
      <c r="H46" s="1367"/>
      <c r="I46" s="1367"/>
      <c r="J46" s="1367"/>
      <c r="K46" s="1367"/>
      <c r="L46" s="1367"/>
      <c r="M46" s="1367"/>
      <c r="N46" s="1367"/>
      <c r="O46" s="1367"/>
      <c r="P46" s="1367"/>
      <c r="Q46" s="1354"/>
    </row>
    <row r="47" spans="2:17">
      <c r="B47" s="1367"/>
      <c r="C47" s="1367"/>
      <c r="D47" s="1367"/>
      <c r="E47" s="1367"/>
      <c r="F47" s="1367"/>
      <c r="G47" s="1367"/>
      <c r="H47" s="1367"/>
      <c r="I47" s="1367"/>
      <c r="J47" s="1367"/>
      <c r="K47" s="1367"/>
      <c r="L47" s="1367"/>
      <c r="M47" s="1367"/>
      <c r="N47" s="1367"/>
      <c r="O47" s="1367"/>
      <c r="P47" s="1367"/>
      <c r="Q47" s="1354"/>
    </row>
    <row r="48" spans="2:17">
      <c r="B48" s="1367"/>
      <c r="C48" s="1367"/>
      <c r="D48" s="1367"/>
      <c r="E48" s="1367"/>
      <c r="F48" s="1367"/>
      <c r="G48" s="1367"/>
      <c r="H48" s="1367"/>
      <c r="I48" s="1367"/>
      <c r="J48" s="1367"/>
      <c r="K48" s="1367"/>
      <c r="L48" s="1367"/>
      <c r="M48" s="1367"/>
      <c r="N48" s="1367"/>
      <c r="O48" s="1367"/>
      <c r="P48" s="1367"/>
      <c r="Q48" s="1354"/>
    </row>
    <row r="49" spans="2:17">
      <c r="B49" s="1367"/>
      <c r="C49" s="1367"/>
      <c r="D49" s="1367"/>
      <c r="E49" s="1367"/>
      <c r="F49" s="1367"/>
      <c r="G49" s="1367"/>
      <c r="H49" s="1367"/>
      <c r="I49" s="1367"/>
      <c r="J49" s="1367"/>
      <c r="K49" s="1367"/>
      <c r="L49" s="1367"/>
      <c r="M49" s="1367"/>
      <c r="N49" s="1367"/>
      <c r="O49" s="1367"/>
      <c r="P49" s="1367"/>
      <c r="Q49" s="1354"/>
    </row>
    <row r="50" spans="2:17">
      <c r="B50" s="1367"/>
      <c r="C50" s="1367"/>
      <c r="D50" s="1367"/>
      <c r="E50" s="1367"/>
      <c r="F50" s="1367"/>
      <c r="G50" s="1367"/>
      <c r="H50" s="1367"/>
      <c r="I50" s="1367"/>
      <c r="J50" s="1367"/>
      <c r="K50" s="1367"/>
      <c r="L50" s="1367"/>
      <c r="M50" s="1367"/>
      <c r="N50" s="1367"/>
      <c r="O50" s="1367"/>
      <c r="P50" s="1367"/>
      <c r="Q50" s="1354"/>
    </row>
    <row r="51" spans="2:17">
      <c r="B51" s="1367"/>
      <c r="C51" s="1367"/>
      <c r="D51" s="1367"/>
      <c r="E51" s="1367"/>
      <c r="F51" s="1367"/>
      <c r="G51" s="1367"/>
      <c r="H51" s="1367"/>
      <c r="I51" s="1367"/>
      <c r="J51" s="1367"/>
      <c r="K51" s="1367"/>
      <c r="L51" s="1367"/>
      <c r="M51" s="1367"/>
      <c r="N51" s="1367"/>
      <c r="O51" s="1367"/>
      <c r="P51" s="1367"/>
      <c r="Q51" s="1354"/>
    </row>
    <row r="52" spans="2:17">
      <c r="B52" s="1367"/>
      <c r="C52" s="1367"/>
      <c r="D52" s="1367"/>
      <c r="E52" s="1367"/>
      <c r="F52" s="1367"/>
      <c r="G52" s="1367"/>
      <c r="H52" s="1367"/>
      <c r="I52" s="1367"/>
      <c r="J52" s="1367"/>
      <c r="K52" s="1367"/>
      <c r="L52" s="1367"/>
      <c r="M52" s="1367"/>
      <c r="N52" s="1367"/>
      <c r="O52" s="1367"/>
      <c r="P52" s="1367"/>
      <c r="Q52" s="1354"/>
    </row>
    <row r="53" spans="2:17">
      <c r="B53" s="1367"/>
      <c r="C53" s="1367"/>
      <c r="D53" s="1367"/>
      <c r="E53" s="1367"/>
      <c r="F53" s="1367"/>
      <c r="G53" s="1367"/>
      <c r="H53" s="1367"/>
      <c r="I53" s="1367"/>
      <c r="J53" s="1367"/>
      <c r="K53" s="1367"/>
      <c r="L53" s="1367"/>
      <c r="M53" s="1367"/>
      <c r="N53" s="1367"/>
      <c r="O53" s="1367"/>
      <c r="P53" s="1367"/>
      <c r="Q53" s="1354"/>
    </row>
    <row r="54" spans="2:17">
      <c r="B54" s="1372"/>
      <c r="C54" s="1373"/>
      <c r="D54" s="1373"/>
      <c r="E54" s="1373"/>
      <c r="F54" s="1373"/>
      <c r="G54" s="1373"/>
      <c r="H54" s="1373"/>
      <c r="I54" s="1373"/>
      <c r="J54" s="1373"/>
      <c r="K54" s="1373"/>
      <c r="L54" s="1373"/>
      <c r="M54" s="1373"/>
      <c r="N54" s="1373"/>
      <c r="O54" s="1373"/>
      <c r="P54" s="1373"/>
      <c r="Q54" s="1354"/>
    </row>
    <row r="55" spans="2:17">
      <c r="B55" s="1372"/>
      <c r="C55" s="1373"/>
      <c r="D55" s="1373"/>
      <c r="E55" s="1373"/>
      <c r="F55" s="1373"/>
      <c r="G55" s="1373"/>
      <c r="H55" s="1373"/>
      <c r="I55" s="1373"/>
      <c r="J55" s="1373"/>
      <c r="K55" s="1373"/>
      <c r="L55" s="1373"/>
      <c r="M55" s="1373"/>
      <c r="N55" s="1373"/>
      <c r="O55" s="1373"/>
      <c r="P55" s="1373"/>
      <c r="Q55" s="1354"/>
    </row>
    <row r="56" spans="2:17">
      <c r="B56" s="1372"/>
      <c r="C56" s="1373"/>
      <c r="D56" s="1373"/>
      <c r="E56" s="1373"/>
      <c r="F56" s="1373"/>
      <c r="G56" s="1373"/>
      <c r="H56" s="1373"/>
      <c r="I56" s="1373"/>
      <c r="J56" s="1373"/>
      <c r="K56" s="1373"/>
      <c r="L56" s="1373"/>
      <c r="M56" s="1373"/>
      <c r="N56" s="1373"/>
      <c r="O56" s="1373"/>
      <c r="P56" s="1373"/>
      <c r="Q56" s="1354"/>
    </row>
    <row r="57" spans="2:17">
      <c r="B57" s="1372"/>
      <c r="C57" s="1373"/>
      <c r="D57" s="1373"/>
      <c r="E57" s="1373"/>
      <c r="F57" s="1373"/>
      <c r="G57" s="1373"/>
      <c r="H57" s="1373"/>
      <c r="I57" s="1373"/>
      <c r="J57" s="1373"/>
      <c r="K57" s="1373"/>
      <c r="L57" s="1373"/>
      <c r="M57" s="1373"/>
      <c r="N57" s="1373"/>
      <c r="O57" s="1373"/>
      <c r="P57" s="1373"/>
      <c r="Q57" s="1354"/>
    </row>
    <row r="58" spans="2:17">
      <c r="B58" s="1372"/>
      <c r="C58" s="1373"/>
      <c r="D58" s="1373"/>
      <c r="E58" s="1373"/>
      <c r="F58" s="1373"/>
      <c r="G58" s="1373"/>
      <c r="H58" s="1373"/>
      <c r="I58" s="1373"/>
      <c r="J58" s="1373"/>
      <c r="K58" s="1373"/>
      <c r="L58" s="1373"/>
      <c r="M58" s="1373"/>
      <c r="N58" s="1373"/>
      <c r="O58" s="1373"/>
      <c r="P58" s="1373"/>
      <c r="Q58" s="1354"/>
    </row>
    <row r="59" spans="2:17">
      <c r="B59" s="1372"/>
      <c r="C59" s="1373"/>
      <c r="D59" s="1373"/>
      <c r="E59" s="1373"/>
      <c r="F59" s="1373"/>
      <c r="G59" s="1373"/>
      <c r="H59" s="1373"/>
      <c r="I59" s="1373"/>
      <c r="J59" s="1373"/>
      <c r="K59" s="1373"/>
      <c r="L59" s="1373"/>
      <c r="M59" s="1373"/>
      <c r="N59" s="1373"/>
      <c r="O59" s="1373"/>
      <c r="P59" s="1373"/>
      <c r="Q59" s="1354"/>
    </row>
    <row r="60" spans="2:17">
      <c r="G60" s="1372"/>
      <c r="H60" s="1372"/>
      <c r="I60" s="1372"/>
      <c r="J60" s="1372"/>
      <c r="K60" s="1372"/>
      <c r="L60" s="1372"/>
      <c r="M60" s="1372"/>
      <c r="N60" s="1372"/>
      <c r="O60" s="1372"/>
      <c r="P60" s="1372"/>
    </row>
  </sheetData>
  <phoneticPr fontId="214" type="noConversion"/>
  <pageMargins left="0.75" right="0.75" top="1" bottom="1" header="0.5" footer="0.5"/>
  <pageSetup paperSize="9" orientation="landscape" r:id="rId1"/>
  <headerFooter alignWithMargins="0"/>
  <drawing r:id="rId2"/>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37"/>
  <dimension ref="A1:K39"/>
  <sheetViews>
    <sheetView zoomScale="70" zoomScaleNormal="70" workbookViewId="0">
      <selection sqref="A1:K1"/>
    </sheetView>
  </sheetViews>
  <sheetFormatPr defaultColWidth="18.5" defaultRowHeight="14.25"/>
  <cols>
    <col min="1" max="2" width="8.5" style="105" customWidth="1"/>
    <col min="3" max="5" width="18.5" style="105" customWidth="1"/>
    <col min="6" max="6" width="19.375" style="105" customWidth="1"/>
    <col min="7" max="7" width="25.625" style="105" customWidth="1"/>
    <col min="8" max="9" width="18.5" style="105" customWidth="1"/>
    <col min="10" max="10" width="20" style="105" customWidth="1"/>
    <col min="11" max="16384" width="18.5" style="105"/>
  </cols>
  <sheetData>
    <row r="1" spans="1:11" ht="39.75" customHeight="1">
      <c r="A1" s="5830" t="s">
        <v>13324</v>
      </c>
      <c r="B1" s="5831"/>
      <c r="C1" s="5831"/>
      <c r="D1" s="5831"/>
      <c r="E1" s="5831"/>
      <c r="F1" s="5831"/>
      <c r="G1" s="5831"/>
      <c r="H1" s="5831"/>
      <c r="I1" s="5831"/>
      <c r="J1" s="5831"/>
      <c r="K1" s="5832"/>
    </row>
    <row r="2" spans="1:11" ht="18.75" customHeight="1">
      <c r="A2" s="5840" t="s">
        <v>1183</v>
      </c>
      <c r="B2" s="5841"/>
      <c r="C2" s="1304" t="s">
        <v>13325</v>
      </c>
      <c r="D2" s="1304" t="s">
        <v>13326</v>
      </c>
      <c r="E2" s="1304" t="s">
        <v>13327</v>
      </c>
      <c r="F2" s="1304" t="s">
        <v>13328</v>
      </c>
      <c r="G2" s="1304" t="s">
        <v>13329</v>
      </c>
      <c r="H2" s="1304" t="s">
        <v>13330</v>
      </c>
      <c r="I2" s="1304" t="s">
        <v>13331</v>
      </c>
      <c r="J2" s="1340" t="s">
        <v>13332</v>
      </c>
      <c r="K2" s="1316" t="s">
        <v>13333</v>
      </c>
    </row>
    <row r="3" spans="1:11" ht="18.75" customHeight="1">
      <c r="A3" s="5842" t="s">
        <v>1163</v>
      </c>
      <c r="B3" s="5843"/>
      <c r="C3" s="1305">
        <v>2.032</v>
      </c>
      <c r="D3" s="1306">
        <v>27</v>
      </c>
      <c r="E3" s="1306">
        <v>78</v>
      </c>
      <c r="F3" s="1307">
        <v>600</v>
      </c>
      <c r="G3" s="1308">
        <f>2*F3+1.57*(((D3*C3)/3.1415)+((E3*C3)/3.1415))+(((D3*C3)/3.1415)-((E3*C3)/3.1415))*(((D3*C3)/3.1415)-((E3*C3)/3.1415))/(4*F3)</f>
        <v>1307.08248434236</v>
      </c>
      <c r="H3" s="1309">
        <f t="shared" ref="H3:H11" si="0">G3/C3</f>
        <v>643.24925410549099</v>
      </c>
      <c r="I3" s="1306">
        <v>121</v>
      </c>
      <c r="J3" s="1341">
        <f t="shared" ref="J3:J11" si="1">((I3*C3)-((D3*C3/2)+(E3*C3/2)))/2</f>
        <v>69.596000000000004</v>
      </c>
      <c r="K3" s="1342">
        <f t="shared" ref="K3:K11" si="2">H3*1</f>
        <v>643.24925410549099</v>
      </c>
    </row>
    <row r="4" spans="1:11" ht="18.75" customHeight="1">
      <c r="A4" s="5840" t="s">
        <v>1165</v>
      </c>
      <c r="B4" s="5841"/>
      <c r="C4" s="1310">
        <v>5.08</v>
      </c>
      <c r="D4" s="1311">
        <v>24</v>
      </c>
      <c r="E4" s="1311">
        <v>19</v>
      </c>
      <c r="F4" s="1312">
        <v>600</v>
      </c>
      <c r="G4" s="1308">
        <f t="shared" ref="G4:G11" si="3">2*F4+1.57*(((D4*C4)/3.1415)+((E4*C4)/3.1415))+(((D4*C4)/3.1415)-((E4*C4)/3.1415))*(((D4*C4)/3.1415)-((E4*C4)/3.1415))/(4*F4)</f>
        <v>1309.19508818279</v>
      </c>
      <c r="H4" s="1310">
        <f t="shared" si="0"/>
        <v>257.71556853991899</v>
      </c>
      <c r="I4" s="1311">
        <v>59</v>
      </c>
      <c r="J4" s="1343">
        <f t="shared" si="1"/>
        <v>95.25</v>
      </c>
      <c r="K4" s="1344">
        <f t="shared" si="2"/>
        <v>257.71556853991899</v>
      </c>
    </row>
    <row r="5" spans="1:11" ht="18.75" customHeight="1">
      <c r="A5" s="5842" t="s">
        <v>1167</v>
      </c>
      <c r="B5" s="5843"/>
      <c r="C5" s="1309">
        <v>9.5250000000000004</v>
      </c>
      <c r="D5" s="1306">
        <v>20</v>
      </c>
      <c r="E5" s="1306">
        <v>20</v>
      </c>
      <c r="F5" s="1307">
        <v>100</v>
      </c>
      <c r="G5" s="1308">
        <f t="shared" si="3"/>
        <v>390.40904026738798</v>
      </c>
      <c r="H5" s="1309">
        <f t="shared" si="0"/>
        <v>40.987825749857002</v>
      </c>
      <c r="I5" s="1306">
        <v>41</v>
      </c>
      <c r="J5" s="1341">
        <f t="shared" si="1"/>
        <v>100.0125</v>
      </c>
      <c r="K5" s="1342">
        <f t="shared" si="2"/>
        <v>40.987825749857002</v>
      </c>
    </row>
    <row r="6" spans="1:11" ht="18.75" customHeight="1">
      <c r="A6" s="5840" t="s">
        <v>487</v>
      </c>
      <c r="B6" s="5841"/>
      <c r="C6" s="1310">
        <v>12.7</v>
      </c>
      <c r="D6" s="1311">
        <v>20</v>
      </c>
      <c r="E6" s="1311">
        <v>20</v>
      </c>
      <c r="F6" s="1312">
        <v>800</v>
      </c>
      <c r="G6" s="1308">
        <f t="shared" si="3"/>
        <v>1853.87872035652</v>
      </c>
      <c r="H6" s="1310">
        <f t="shared" si="0"/>
        <v>145.974702390277</v>
      </c>
      <c r="I6" s="1311">
        <v>36</v>
      </c>
      <c r="J6" s="1343">
        <f t="shared" si="1"/>
        <v>101.6</v>
      </c>
      <c r="K6" s="1344">
        <f t="shared" si="2"/>
        <v>145.974702390277</v>
      </c>
    </row>
    <row r="7" spans="1:11" ht="18.75" customHeight="1">
      <c r="A7" s="5842" t="s">
        <v>1169</v>
      </c>
      <c r="B7" s="5843"/>
      <c r="C7" s="1309">
        <v>22.225000000000001</v>
      </c>
      <c r="D7" s="1306">
        <v>20</v>
      </c>
      <c r="E7" s="1306">
        <v>20</v>
      </c>
      <c r="F7" s="1307">
        <v>100</v>
      </c>
      <c r="G7" s="1308">
        <f t="shared" si="3"/>
        <v>644.28776062390602</v>
      </c>
      <c r="H7" s="1309">
        <f t="shared" si="0"/>
        <v>28.9893255623805</v>
      </c>
      <c r="I7" s="1306">
        <v>29</v>
      </c>
      <c r="J7" s="1341">
        <f t="shared" si="1"/>
        <v>100.0125</v>
      </c>
      <c r="K7" s="1342">
        <f t="shared" si="2"/>
        <v>28.9893255623805</v>
      </c>
    </row>
    <row r="8" spans="1:11" ht="18.75" customHeight="1">
      <c r="A8" s="5840" t="s">
        <v>1176</v>
      </c>
      <c r="B8" s="5841"/>
      <c r="C8" s="1310">
        <v>31.75</v>
      </c>
      <c r="D8" s="1311">
        <v>20</v>
      </c>
      <c r="E8" s="1311">
        <v>20</v>
      </c>
      <c r="F8" s="1312">
        <v>800</v>
      </c>
      <c r="G8" s="1308">
        <f t="shared" si="3"/>
        <v>2234.69680089129</v>
      </c>
      <c r="H8" s="1310">
        <f t="shared" si="0"/>
        <v>70.384151209174604</v>
      </c>
      <c r="I8" s="1311">
        <v>26</v>
      </c>
      <c r="J8" s="1343">
        <f t="shared" si="1"/>
        <v>95.25</v>
      </c>
      <c r="K8" s="1344">
        <f t="shared" si="2"/>
        <v>70.384151209174604</v>
      </c>
    </row>
    <row r="9" spans="1:11" ht="18.75" customHeight="1">
      <c r="A9" s="5842" t="s">
        <v>1361</v>
      </c>
      <c r="B9" s="5843"/>
      <c r="C9" s="1309">
        <v>3</v>
      </c>
      <c r="D9" s="1306">
        <v>20</v>
      </c>
      <c r="E9" s="1306">
        <v>20</v>
      </c>
      <c r="F9" s="1307">
        <v>100</v>
      </c>
      <c r="G9" s="1308">
        <f t="shared" si="3"/>
        <v>259.97135126531902</v>
      </c>
      <c r="H9" s="1309">
        <f t="shared" si="0"/>
        <v>86.657117088439705</v>
      </c>
      <c r="I9" s="1306">
        <v>87</v>
      </c>
      <c r="J9" s="1341">
        <f t="shared" si="1"/>
        <v>100.5</v>
      </c>
      <c r="K9" s="1342">
        <f t="shared" si="2"/>
        <v>86.657117088439705</v>
      </c>
    </row>
    <row r="10" spans="1:11" ht="18.75" customHeight="1">
      <c r="A10" s="5840" t="s">
        <v>1364</v>
      </c>
      <c r="B10" s="5841"/>
      <c r="C10" s="1310">
        <v>5</v>
      </c>
      <c r="D10" s="1311">
        <v>100</v>
      </c>
      <c r="E10" s="1311">
        <v>35</v>
      </c>
      <c r="F10" s="1312">
        <v>800</v>
      </c>
      <c r="G10" s="1308">
        <f t="shared" si="3"/>
        <v>1940.6834387773299</v>
      </c>
      <c r="H10" s="1310">
        <f t="shared" si="0"/>
        <v>388.13668775546603</v>
      </c>
      <c r="I10" s="1311">
        <v>60</v>
      </c>
      <c r="J10" s="1343">
        <f t="shared" si="1"/>
        <v>-18.75</v>
      </c>
      <c r="K10" s="1344">
        <f t="shared" si="2"/>
        <v>388.13668775546603</v>
      </c>
    </row>
    <row r="11" spans="1:11" ht="18.75" customHeight="1">
      <c r="A11" s="5828" t="s">
        <v>1365</v>
      </c>
      <c r="B11" s="5829"/>
      <c r="C11" s="1308">
        <v>8</v>
      </c>
      <c r="D11" s="1313">
        <v>40</v>
      </c>
      <c r="E11" s="1313">
        <v>40</v>
      </c>
      <c r="F11" s="1314">
        <v>400</v>
      </c>
      <c r="G11" s="1308">
        <f t="shared" si="3"/>
        <v>1119.8472067483699</v>
      </c>
      <c r="H11" s="1308">
        <f t="shared" si="0"/>
        <v>139.98090084354601</v>
      </c>
      <c r="I11" s="1313">
        <v>45</v>
      </c>
      <c r="J11" s="1345">
        <f t="shared" si="1"/>
        <v>20</v>
      </c>
      <c r="K11" s="1346">
        <f t="shared" si="2"/>
        <v>139.98090084354601</v>
      </c>
    </row>
    <row r="12" spans="1:11">
      <c r="B12" s="231"/>
      <c r="C12" s="231"/>
      <c r="D12" s="231"/>
      <c r="E12" s="231"/>
      <c r="F12" s="231"/>
      <c r="G12" s="231"/>
      <c r="H12" s="231"/>
      <c r="I12" s="231"/>
    </row>
    <row r="13" spans="1:11" ht="39.75" customHeight="1">
      <c r="A13" s="5830" t="s">
        <v>13334</v>
      </c>
      <c r="B13" s="5831"/>
      <c r="C13" s="5831"/>
      <c r="D13" s="5831"/>
      <c r="E13" s="5831"/>
      <c r="F13" s="5832"/>
      <c r="G13" s="1315"/>
      <c r="H13" s="1315"/>
      <c r="I13" s="1315"/>
    </row>
    <row r="14" spans="1:11" ht="18.75" customHeight="1">
      <c r="A14" s="5833" t="s">
        <v>1183</v>
      </c>
      <c r="B14" s="5834"/>
      <c r="C14" s="1304" t="s">
        <v>13325</v>
      </c>
      <c r="D14" s="1304" t="s">
        <v>1131</v>
      </c>
      <c r="E14" s="1304" t="s">
        <v>13335</v>
      </c>
      <c r="F14" s="1316" t="s">
        <v>13336</v>
      </c>
      <c r="G14" s="1317"/>
      <c r="H14" s="1317"/>
      <c r="I14" s="1317"/>
    </row>
    <row r="15" spans="1:11" ht="18.75" customHeight="1">
      <c r="A15" s="1318">
        <f t="shared" ref="A15:A23" si="4">D15*1</f>
        <v>60</v>
      </c>
      <c r="B15" s="1319" t="s">
        <v>1163</v>
      </c>
      <c r="C15" s="1305">
        <v>2.032</v>
      </c>
      <c r="D15" s="1306">
        <v>60</v>
      </c>
      <c r="E15" s="1309">
        <f>(C15*D15)/3.1415926</f>
        <v>38.808341985526702</v>
      </c>
      <c r="F15" s="1320">
        <f>E15-0.51</f>
        <v>38.298341985526697</v>
      </c>
      <c r="G15" s="1321"/>
      <c r="H15" s="1321"/>
      <c r="I15" s="1347"/>
    </row>
    <row r="16" spans="1:11" ht="18.75" customHeight="1">
      <c r="A16" s="1322">
        <f t="shared" si="4"/>
        <v>60</v>
      </c>
      <c r="B16" s="1323" t="s">
        <v>1165</v>
      </c>
      <c r="C16" s="1310">
        <v>5.08</v>
      </c>
      <c r="D16" s="1306">
        <v>60</v>
      </c>
      <c r="E16" s="1310">
        <f t="shared" ref="E16:E23" si="5">(C16*D16)/3.1415926</f>
        <v>97.020854963816802</v>
      </c>
      <c r="F16" s="1324">
        <f>E16-0.51</f>
        <v>96.510854963816797</v>
      </c>
      <c r="G16" s="1321"/>
      <c r="H16" s="1321"/>
      <c r="I16" s="1347"/>
    </row>
    <row r="17" spans="1:10" ht="18.75" customHeight="1">
      <c r="A17" s="1318">
        <f t="shared" si="4"/>
        <v>60</v>
      </c>
      <c r="B17" s="1319" t="s">
        <v>1167</v>
      </c>
      <c r="C17" s="1309">
        <v>9.5250000000000004</v>
      </c>
      <c r="D17" s="1306">
        <v>60</v>
      </c>
      <c r="E17" s="1309">
        <f t="shared" si="5"/>
        <v>181.91410305715601</v>
      </c>
      <c r="F17" s="1320">
        <f>E17-0.76</f>
        <v>181.15410305715599</v>
      </c>
      <c r="G17" s="1321"/>
      <c r="H17" s="1321"/>
      <c r="I17" s="1347"/>
    </row>
    <row r="18" spans="1:10" ht="18.75" customHeight="1">
      <c r="A18" s="1322">
        <f t="shared" si="4"/>
        <v>60</v>
      </c>
      <c r="B18" s="1323" t="s">
        <v>487</v>
      </c>
      <c r="C18" s="1310">
        <v>12.7</v>
      </c>
      <c r="D18" s="1306">
        <v>60</v>
      </c>
      <c r="E18" s="1310">
        <f t="shared" si="5"/>
        <v>242.55213740954201</v>
      </c>
      <c r="F18" s="1324">
        <f>E18-1.37</f>
        <v>241.18213740954201</v>
      </c>
      <c r="G18" s="1321"/>
      <c r="H18" s="1321"/>
      <c r="I18" s="1347"/>
    </row>
    <row r="19" spans="1:10" ht="18.75" customHeight="1">
      <c r="A19" s="1318">
        <f t="shared" si="4"/>
        <v>60</v>
      </c>
      <c r="B19" s="1319" t="s">
        <v>1169</v>
      </c>
      <c r="C19" s="1309">
        <v>22.225000000000001</v>
      </c>
      <c r="D19" s="1306">
        <v>60</v>
      </c>
      <c r="E19" s="1309">
        <f t="shared" si="5"/>
        <v>424.46624046669803</v>
      </c>
      <c r="F19" s="1320">
        <f>E19-2.8</f>
        <v>421.66624046669801</v>
      </c>
      <c r="G19" s="1321"/>
      <c r="H19" s="1321"/>
      <c r="I19" s="1347"/>
    </row>
    <row r="20" spans="1:10" ht="18.75" customHeight="1">
      <c r="A20" s="1322">
        <f t="shared" si="4"/>
        <v>60</v>
      </c>
      <c r="B20" s="1323" t="s">
        <v>1176</v>
      </c>
      <c r="C20" s="1310">
        <v>31.75</v>
      </c>
      <c r="D20" s="1306">
        <v>60</v>
      </c>
      <c r="E20" s="1310">
        <f t="shared" si="5"/>
        <v>606.380343523855</v>
      </c>
      <c r="F20" s="1324">
        <f>E20-3.05</f>
        <v>603.33034352385505</v>
      </c>
      <c r="G20" s="1321"/>
      <c r="H20" s="1321"/>
      <c r="I20" s="1347"/>
    </row>
    <row r="21" spans="1:10" ht="18.75" customHeight="1">
      <c r="A21" s="1318">
        <f t="shared" si="4"/>
        <v>60</v>
      </c>
      <c r="B21" s="1319" t="s">
        <v>13337</v>
      </c>
      <c r="C21" s="1309">
        <v>3</v>
      </c>
      <c r="D21" s="1306">
        <v>60</v>
      </c>
      <c r="E21" s="1309">
        <f t="shared" si="5"/>
        <v>57.295780490443001</v>
      </c>
      <c r="F21" s="1320">
        <f>E21-0.76</f>
        <v>56.535780490443003</v>
      </c>
      <c r="G21" s="1321"/>
      <c r="H21" s="1321"/>
      <c r="I21" s="1347"/>
    </row>
    <row r="22" spans="1:10" ht="18.75" customHeight="1">
      <c r="A22" s="1322">
        <f t="shared" si="4"/>
        <v>60</v>
      </c>
      <c r="B22" s="1323" t="s">
        <v>13338</v>
      </c>
      <c r="C22" s="1310">
        <v>5</v>
      </c>
      <c r="D22" s="1306">
        <v>60</v>
      </c>
      <c r="E22" s="1310">
        <f t="shared" si="5"/>
        <v>95.492967484071599</v>
      </c>
      <c r="F22" s="1324">
        <f>E22-1.14</f>
        <v>94.352967484071598</v>
      </c>
      <c r="G22" s="1321"/>
      <c r="H22" s="1321"/>
      <c r="I22" s="1347"/>
    </row>
    <row r="23" spans="1:10" ht="18.75" customHeight="1">
      <c r="A23" s="1325">
        <f t="shared" si="4"/>
        <v>60</v>
      </c>
      <c r="B23" s="1326" t="s">
        <v>13339</v>
      </c>
      <c r="C23" s="1308">
        <v>8</v>
      </c>
      <c r="D23" s="1306">
        <v>60</v>
      </c>
      <c r="E23" s="1308">
        <f t="shared" si="5"/>
        <v>152.78874797451499</v>
      </c>
      <c r="F23" s="1327">
        <f>E23-1.37</f>
        <v>151.41874797451499</v>
      </c>
      <c r="G23" s="1321"/>
      <c r="H23" s="1321"/>
      <c r="I23" s="1347"/>
    </row>
    <row r="24" spans="1:10">
      <c r="B24" s="231"/>
      <c r="C24" s="231"/>
      <c r="D24" s="231"/>
      <c r="E24" s="231"/>
      <c r="F24" s="231"/>
      <c r="G24" s="231"/>
      <c r="H24" s="231"/>
      <c r="I24" s="231"/>
    </row>
    <row r="25" spans="1:10" ht="31.5">
      <c r="A25" s="5835" t="s">
        <v>13340</v>
      </c>
      <c r="B25" s="5836"/>
      <c r="C25" s="5836"/>
      <c r="D25" s="5836"/>
      <c r="E25" s="5836"/>
      <c r="F25" s="5836"/>
      <c r="G25" s="5836"/>
      <c r="H25" s="5836"/>
      <c r="I25" s="5837"/>
    </row>
    <row r="26" spans="1:10" ht="20.25">
      <c r="A26" s="5838" t="s">
        <v>1183</v>
      </c>
      <c r="B26" s="5839"/>
      <c r="C26" s="1328" t="s">
        <v>13325</v>
      </c>
      <c r="D26" s="1328" t="s">
        <v>13341</v>
      </c>
      <c r="E26" s="1328" t="s">
        <v>13342</v>
      </c>
      <c r="F26" s="1328" t="s">
        <v>1131</v>
      </c>
      <c r="G26" s="1328" t="s">
        <v>13343</v>
      </c>
      <c r="H26" s="1328" t="s">
        <v>13344</v>
      </c>
      <c r="I26" s="1348" t="s">
        <v>13345</v>
      </c>
    </row>
    <row r="27" spans="1:10" ht="20.25">
      <c r="A27" s="1329">
        <f>F27/1.25</f>
        <v>34.4</v>
      </c>
      <c r="B27" s="1330" t="s">
        <v>1163</v>
      </c>
      <c r="C27" s="1305">
        <v>2.032</v>
      </c>
      <c r="D27" s="1331" t="s">
        <v>1163</v>
      </c>
      <c r="E27" s="1309">
        <f t="shared" ref="E27:E35" si="6">F27*C27</f>
        <v>87.376000000000005</v>
      </c>
      <c r="F27" s="1306">
        <v>43</v>
      </c>
      <c r="G27" s="1309">
        <v>0.51</v>
      </c>
      <c r="H27" s="1309">
        <v>1.1399999999999999</v>
      </c>
      <c r="I27" s="1349">
        <v>40</v>
      </c>
      <c r="J27" s="1350"/>
    </row>
    <row r="28" spans="1:10" ht="20.25">
      <c r="A28" s="1332">
        <f>F28*2</f>
        <v>174</v>
      </c>
      <c r="B28" s="1333" t="s">
        <v>1165</v>
      </c>
      <c r="C28" s="1310">
        <v>5.08</v>
      </c>
      <c r="D28" s="1334" t="s">
        <v>1165</v>
      </c>
      <c r="E28" s="1310">
        <f t="shared" si="6"/>
        <v>441.96</v>
      </c>
      <c r="F28" s="1311">
        <v>87</v>
      </c>
      <c r="G28" s="1310">
        <v>1.27</v>
      </c>
      <c r="H28" s="1310">
        <v>2.2999999999999998</v>
      </c>
      <c r="I28" s="1351">
        <v>50</v>
      </c>
    </row>
    <row r="29" spans="1:10" ht="20.25">
      <c r="A29" s="1329">
        <f>F29*3.75</f>
        <v>150</v>
      </c>
      <c r="B29" s="1330" t="s">
        <v>1167</v>
      </c>
      <c r="C29" s="1309">
        <v>9.5250000000000004</v>
      </c>
      <c r="D29" s="1331" t="s">
        <v>1167</v>
      </c>
      <c r="E29" s="1309">
        <f t="shared" si="6"/>
        <v>381</v>
      </c>
      <c r="F29" s="1306">
        <v>40</v>
      </c>
      <c r="G29" s="1309">
        <v>1.91</v>
      </c>
      <c r="H29" s="1309">
        <v>3.6</v>
      </c>
      <c r="I29" s="1349">
        <v>40</v>
      </c>
    </row>
    <row r="30" spans="1:10" ht="20.25">
      <c r="A30" s="1332">
        <f>F30*5</f>
        <v>500</v>
      </c>
      <c r="B30" s="1333" t="s">
        <v>487</v>
      </c>
      <c r="C30" s="1310">
        <v>12.7</v>
      </c>
      <c r="D30" s="1334" t="s">
        <v>487</v>
      </c>
      <c r="E30" s="1310">
        <f t="shared" si="6"/>
        <v>1270</v>
      </c>
      <c r="F30" s="1311">
        <v>100</v>
      </c>
      <c r="G30" s="1310">
        <v>2.29</v>
      </c>
      <c r="H30" s="1310">
        <v>4.3</v>
      </c>
      <c r="I30" s="1351">
        <v>40</v>
      </c>
    </row>
    <row r="31" spans="1:10" ht="20.25">
      <c r="A31" s="1329">
        <f>F31*8.75</f>
        <v>700</v>
      </c>
      <c r="B31" s="1330" t="s">
        <v>1169</v>
      </c>
      <c r="C31" s="1309">
        <v>22.225000000000001</v>
      </c>
      <c r="D31" s="1331" t="s">
        <v>1169</v>
      </c>
      <c r="E31" s="1309">
        <f t="shared" si="6"/>
        <v>1778</v>
      </c>
      <c r="F31" s="1306">
        <v>80</v>
      </c>
      <c r="G31" s="1309">
        <v>6.35</v>
      </c>
      <c r="H31" s="1309">
        <v>11.2</v>
      </c>
      <c r="I31" s="1349">
        <v>40</v>
      </c>
    </row>
    <row r="32" spans="1:10" ht="20.25">
      <c r="A32" s="1332">
        <f>F32*12.5</f>
        <v>625</v>
      </c>
      <c r="B32" s="1333" t="s">
        <v>1176</v>
      </c>
      <c r="C32" s="1310">
        <v>31.75</v>
      </c>
      <c r="D32" s="1334" t="s">
        <v>1176</v>
      </c>
      <c r="E32" s="1310">
        <f t="shared" si="6"/>
        <v>1587.5</v>
      </c>
      <c r="F32" s="1311">
        <v>50</v>
      </c>
      <c r="G32" s="1310">
        <v>9.5299999999999994</v>
      </c>
      <c r="H32" s="1310">
        <v>15.7</v>
      </c>
      <c r="I32" s="1351">
        <v>40</v>
      </c>
    </row>
    <row r="33" spans="1:9" ht="20.25">
      <c r="A33" s="1329">
        <f t="shared" ref="A33:A35" si="7">E33*1</f>
        <v>150</v>
      </c>
      <c r="B33" s="1335" t="s">
        <v>13337</v>
      </c>
      <c r="C33" s="1309">
        <v>3</v>
      </c>
      <c r="D33" s="1331" t="s">
        <v>1361</v>
      </c>
      <c r="E33" s="1309">
        <f t="shared" si="6"/>
        <v>150</v>
      </c>
      <c r="F33" s="1306">
        <v>50</v>
      </c>
      <c r="G33" s="1309">
        <v>1.17</v>
      </c>
      <c r="H33" s="1309">
        <v>2.4</v>
      </c>
      <c r="I33" s="1349"/>
    </row>
    <row r="34" spans="1:9" ht="20.25">
      <c r="A34" s="1332">
        <f t="shared" si="7"/>
        <v>250</v>
      </c>
      <c r="B34" s="1336" t="s">
        <v>13338</v>
      </c>
      <c r="C34" s="1310">
        <v>5</v>
      </c>
      <c r="D34" s="1334" t="s">
        <v>1364</v>
      </c>
      <c r="E34" s="1310">
        <f t="shared" si="6"/>
        <v>250</v>
      </c>
      <c r="F34" s="1311">
        <v>50</v>
      </c>
      <c r="G34" s="1310">
        <v>2.06</v>
      </c>
      <c r="H34" s="1310">
        <v>3.8</v>
      </c>
      <c r="I34" s="1351"/>
    </row>
    <row r="35" spans="1:9" ht="20.25">
      <c r="A35" s="1337">
        <f t="shared" si="7"/>
        <v>1888</v>
      </c>
      <c r="B35" s="1338" t="s">
        <v>13339</v>
      </c>
      <c r="C35" s="1308">
        <v>8</v>
      </c>
      <c r="D35" s="1339" t="s">
        <v>1365</v>
      </c>
      <c r="E35" s="1308">
        <f t="shared" si="6"/>
        <v>1888</v>
      </c>
      <c r="F35" s="1313">
        <v>236</v>
      </c>
      <c r="G35" s="1308">
        <v>3.36</v>
      </c>
      <c r="H35" s="1308">
        <v>6</v>
      </c>
      <c r="I35" s="1352"/>
    </row>
    <row r="36" spans="1:9">
      <c r="F36" s="105">
        <v>150</v>
      </c>
    </row>
    <row r="37" spans="1:9" ht="31.5">
      <c r="A37" s="5826" t="s">
        <v>13346</v>
      </c>
      <c r="B37" s="5826"/>
      <c r="C37" s="5826"/>
      <c r="D37" s="5826"/>
      <c r="E37" s="5826"/>
      <c r="F37" s="5826"/>
    </row>
    <row r="39" spans="1:9">
      <c r="A39" s="5827"/>
      <c r="B39" s="5827"/>
    </row>
  </sheetData>
  <mergeCells count="17">
    <mergeCell ref="A1:K1"/>
    <mergeCell ref="A2:B2"/>
    <mergeCell ref="A3:B3"/>
    <mergeCell ref="A4:B4"/>
    <mergeCell ref="A5:B5"/>
    <mergeCell ref="A6:B6"/>
    <mergeCell ref="A7:B7"/>
    <mergeCell ref="A8:B8"/>
    <mergeCell ref="A9:B9"/>
    <mergeCell ref="A10:B10"/>
    <mergeCell ref="A37:F37"/>
    <mergeCell ref="A39:B39"/>
    <mergeCell ref="A11:B11"/>
    <mergeCell ref="A13:F13"/>
    <mergeCell ref="A14:B14"/>
    <mergeCell ref="A25:I25"/>
    <mergeCell ref="A26:B26"/>
  </mergeCells>
  <phoneticPr fontId="214" type="noConversion"/>
  <pageMargins left="0.75" right="0.75" top="1" bottom="1" header="0.5" footer="0.5"/>
  <pageSetup paperSize="9" orientation="portrait" horizontalDpi="300" verticalDpi="300"/>
  <headerFooter scaleWithDoc="0" alignWithMargins="0"/>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38"/>
  <dimension ref="A1:P71"/>
  <sheetViews>
    <sheetView zoomScale="70" zoomScaleNormal="70" workbookViewId="0">
      <selection activeCell="M1" sqref="M1"/>
    </sheetView>
  </sheetViews>
  <sheetFormatPr defaultColWidth="9" defaultRowHeight="14.25"/>
  <cols>
    <col min="1" max="1" width="7.125" style="1252" customWidth="1"/>
    <col min="2" max="2" width="27.875" style="1252" customWidth="1"/>
    <col min="3" max="3" width="4.5" style="1252" customWidth="1"/>
    <col min="4" max="4" width="13.375" style="1252" customWidth="1"/>
    <col min="5" max="5" width="9" style="1252"/>
    <col min="6" max="6" width="9.5" style="1252"/>
    <col min="7" max="9" width="9" style="1252"/>
    <col min="10" max="10" width="22.125" style="1252" customWidth="1"/>
    <col min="11" max="11" width="7.75" style="1252" customWidth="1"/>
    <col min="12" max="12" width="6" style="1252" customWidth="1"/>
    <col min="13" max="13" width="9" style="1252"/>
    <col min="14" max="14" width="18.75" style="1252" customWidth="1"/>
    <col min="15" max="16384" width="9" style="1252"/>
  </cols>
  <sheetData>
    <row r="1" spans="1:16" ht="43.9" customHeight="1">
      <c r="A1" s="5882" t="s">
        <v>13347</v>
      </c>
      <c r="B1" s="5882"/>
      <c r="C1" s="5882"/>
      <c r="D1" s="5882"/>
      <c r="E1" s="5882"/>
      <c r="F1" s="5882"/>
      <c r="G1" s="5882"/>
      <c r="H1" s="5882"/>
      <c r="I1" s="5882"/>
      <c r="J1" s="5882"/>
      <c r="K1" s="5882"/>
      <c r="L1" s="5882"/>
    </row>
    <row r="2" spans="1:16" s="1250" customFormat="1" ht="34.15" customHeight="1">
      <c r="A2" s="1253" t="s">
        <v>12835</v>
      </c>
    </row>
    <row r="3" spans="1:16" ht="24" customHeight="1">
      <c r="A3" s="5858" t="s">
        <v>10146</v>
      </c>
      <c r="B3" s="5868" t="s">
        <v>12836</v>
      </c>
      <c r="C3" s="5869"/>
      <c r="D3" s="1255">
        <v>12</v>
      </c>
      <c r="F3" s="1256"/>
      <c r="G3" s="1251"/>
    </row>
    <row r="4" spans="1:16" ht="24" customHeight="1">
      <c r="A4" s="5859"/>
      <c r="B4" s="5866" t="s">
        <v>13348</v>
      </c>
      <c r="C4" s="5867"/>
      <c r="D4" s="1257">
        <v>1</v>
      </c>
      <c r="E4" s="242" t="s">
        <v>12683</v>
      </c>
      <c r="F4" s="1256"/>
      <c r="G4" s="1251"/>
      <c r="M4" s="5787" t="s">
        <v>12743</v>
      </c>
      <c r="N4" s="1298" t="s">
        <v>12744</v>
      </c>
      <c r="O4" s="1299">
        <f>D60</f>
        <v>19.863674651115598</v>
      </c>
      <c r="P4" s="1277" t="s">
        <v>12745</v>
      </c>
    </row>
    <row r="5" spans="1:16" ht="24" customHeight="1">
      <c r="A5" s="5859"/>
      <c r="B5" s="5868" t="s">
        <v>13349</v>
      </c>
      <c r="C5" s="5869"/>
      <c r="D5" s="1258">
        <v>3</v>
      </c>
      <c r="E5" s="1252" t="s">
        <v>12683</v>
      </c>
      <c r="F5" s="1256"/>
      <c r="G5" s="1251"/>
      <c r="M5" s="5787"/>
      <c r="N5" s="1286"/>
      <c r="O5" s="1278"/>
      <c r="P5" s="1278"/>
    </row>
    <row r="6" spans="1:16" ht="24" customHeight="1">
      <c r="A6" s="5859"/>
      <c r="B6" s="5866" t="s">
        <v>13350</v>
      </c>
      <c r="C6" s="5867"/>
      <c r="D6" s="1255">
        <v>125</v>
      </c>
      <c r="E6" s="1252" t="s">
        <v>227</v>
      </c>
      <c r="F6" s="1256"/>
      <c r="G6" s="1251"/>
      <c r="M6" s="5787"/>
      <c r="N6" s="1254" t="s">
        <v>12750</v>
      </c>
      <c r="O6" s="1300">
        <f>D69</f>
        <v>0.400183921542622</v>
      </c>
      <c r="P6" s="1277" t="s">
        <v>5779</v>
      </c>
    </row>
    <row r="7" spans="1:16" ht="24" customHeight="1">
      <c r="A7" s="5859"/>
      <c r="B7" s="5868" t="s">
        <v>13351</v>
      </c>
      <c r="C7" s="5869"/>
      <c r="D7" s="1255">
        <v>60</v>
      </c>
      <c r="E7" s="1252" t="s">
        <v>309</v>
      </c>
      <c r="F7" s="1256"/>
      <c r="G7" s="1251"/>
      <c r="M7" s="5787"/>
    </row>
    <row r="8" spans="1:16" ht="24" customHeight="1">
      <c r="A8" s="5859"/>
      <c r="B8" s="5866" t="s">
        <v>13352</v>
      </c>
      <c r="C8" s="5867"/>
      <c r="D8" s="1255">
        <v>1.5</v>
      </c>
      <c r="E8" s="1252" t="s">
        <v>309</v>
      </c>
      <c r="F8" s="1256"/>
      <c r="G8" s="1251"/>
      <c r="M8" s="5787"/>
      <c r="N8" s="1254" t="s">
        <v>12754</v>
      </c>
      <c r="O8" s="1299">
        <f>D52</f>
        <v>0</v>
      </c>
      <c r="P8" s="1277" t="s">
        <v>298</v>
      </c>
    </row>
    <row r="9" spans="1:16" ht="24" customHeight="1">
      <c r="A9" s="5859"/>
      <c r="B9" s="5868" t="s">
        <v>13353</v>
      </c>
      <c r="C9" s="5869"/>
      <c r="D9" s="1255">
        <v>7.8</v>
      </c>
      <c r="E9" s="4282" t="s">
        <v>13354</v>
      </c>
      <c r="F9" s="5881"/>
      <c r="G9" s="5881"/>
      <c r="H9" s="5881"/>
      <c r="M9" s="5787"/>
    </row>
    <row r="10" spans="1:16" ht="24" customHeight="1">
      <c r="A10" s="5859"/>
      <c r="B10" s="5866" t="s">
        <v>13355</v>
      </c>
      <c r="C10" s="5867"/>
      <c r="D10" s="1255">
        <v>1</v>
      </c>
      <c r="E10" s="1252" t="s">
        <v>13356</v>
      </c>
      <c r="F10" s="1256"/>
      <c r="G10" s="1251"/>
      <c r="H10" s="1251"/>
      <c r="M10" s="5787"/>
      <c r="N10" s="1254" t="s">
        <v>12757</v>
      </c>
      <c r="O10" s="1299">
        <f>D49</f>
        <v>13.242449767410401</v>
      </c>
      <c r="P10" s="1277" t="s">
        <v>285</v>
      </c>
    </row>
    <row r="11" spans="1:16" ht="24" customHeight="1">
      <c r="A11" s="5859"/>
      <c r="B11" s="5868" t="s">
        <v>13357</v>
      </c>
      <c r="C11" s="5869"/>
      <c r="D11" s="1255">
        <v>3</v>
      </c>
      <c r="E11" s="1252" t="s">
        <v>13356</v>
      </c>
      <c r="F11" s="1256"/>
      <c r="G11" s="1251"/>
    </row>
    <row r="12" spans="1:16" ht="31.15" customHeight="1">
      <c r="A12" s="5859"/>
      <c r="B12" s="5877" t="s">
        <v>13358</v>
      </c>
      <c r="C12" s="5878"/>
      <c r="D12" s="1259">
        <v>0</v>
      </c>
      <c r="E12" s="1260" t="s">
        <v>309</v>
      </c>
      <c r="F12" s="1256"/>
      <c r="G12" s="1261"/>
    </row>
    <row r="13" spans="1:16" ht="24" customHeight="1">
      <c r="A13" s="5860"/>
      <c r="B13" s="5868" t="s">
        <v>12851</v>
      </c>
      <c r="C13" s="5869"/>
      <c r="D13" s="1255">
        <v>30</v>
      </c>
      <c r="E13" s="1252" t="s">
        <v>309</v>
      </c>
      <c r="F13" s="1256"/>
      <c r="G13" s="1251"/>
      <c r="H13" s="1251"/>
    </row>
    <row r="14" spans="1:16" ht="24" customHeight="1">
      <c r="A14" s="1262"/>
      <c r="B14" s="5879" t="s">
        <v>12858</v>
      </c>
      <c r="C14" s="5879"/>
      <c r="D14" s="1263">
        <v>0</v>
      </c>
      <c r="F14" s="1264"/>
    </row>
    <row r="15" spans="1:16" ht="24" customHeight="1">
      <c r="A15" s="1262"/>
      <c r="B15" s="5880" t="s">
        <v>13359</v>
      </c>
      <c r="C15" s="5880"/>
      <c r="D15" s="1263">
        <v>0.7</v>
      </c>
      <c r="F15" s="1264"/>
    </row>
    <row r="16" spans="1:16" ht="24" customHeight="1">
      <c r="A16" s="1262"/>
      <c r="B16" s="5866" t="s">
        <v>13360</v>
      </c>
      <c r="C16" s="5867"/>
      <c r="D16" s="1263">
        <v>1.5</v>
      </c>
      <c r="F16" s="5876" t="s">
        <v>13361</v>
      </c>
      <c r="G16" s="5876"/>
      <c r="H16" s="5876"/>
      <c r="I16" s="5876"/>
      <c r="J16" s="5876"/>
    </row>
    <row r="17" spans="1:10" ht="24" customHeight="1">
      <c r="A17" s="1265"/>
      <c r="B17" s="5868" t="s">
        <v>13362</v>
      </c>
      <c r="C17" s="5869"/>
      <c r="D17" s="1266">
        <f>360*(D5/(D4+D5))</f>
        <v>270</v>
      </c>
      <c r="E17" s="1267" t="s">
        <v>257</v>
      </c>
      <c r="F17" s="5876" t="s">
        <v>13363</v>
      </c>
      <c r="G17" s="5876"/>
      <c r="H17" s="5876"/>
      <c r="I17" s="5876"/>
      <c r="J17" s="5876"/>
    </row>
    <row r="18" spans="1:10" ht="24" customHeight="1">
      <c r="A18" s="1262"/>
      <c r="C18" s="1268" t="s">
        <v>12698</v>
      </c>
      <c r="F18" s="1251"/>
      <c r="G18" s="1251"/>
    </row>
    <row r="19" spans="1:10" ht="24" customHeight="1">
      <c r="A19" s="1262"/>
      <c r="C19" s="1269" t="s">
        <v>13364</v>
      </c>
      <c r="E19" s="1251"/>
      <c r="G19" s="1270"/>
    </row>
    <row r="20" spans="1:10" ht="24" customHeight="1">
      <c r="A20" s="1262"/>
      <c r="B20" s="5868" t="s">
        <v>13365</v>
      </c>
      <c r="C20" s="5869"/>
      <c r="D20" s="1271">
        <v>1.76</v>
      </c>
      <c r="E20" s="1251"/>
      <c r="F20" s="1256"/>
      <c r="G20" s="1251"/>
    </row>
    <row r="21" spans="1:10" ht="24" customHeight="1">
      <c r="A21" s="1262"/>
      <c r="B21" s="5866" t="s">
        <v>13366</v>
      </c>
      <c r="C21" s="5867"/>
      <c r="D21" s="1271">
        <v>5.53</v>
      </c>
      <c r="E21" s="1251"/>
      <c r="F21" s="1256"/>
      <c r="G21" s="1251"/>
      <c r="I21" s="1252" t="s">
        <v>3205</v>
      </c>
    </row>
    <row r="22" spans="1:10" ht="24" customHeight="1">
      <c r="A22" s="1272"/>
      <c r="B22" s="5868" t="s">
        <v>13367</v>
      </c>
      <c r="C22" s="5869"/>
      <c r="D22" s="1271">
        <v>0.99</v>
      </c>
      <c r="E22" s="1251"/>
      <c r="F22" s="1256"/>
      <c r="G22" s="1251"/>
    </row>
    <row r="23" spans="1:10" ht="37.9" customHeight="1">
      <c r="A23" s="5870" t="s">
        <v>13368</v>
      </c>
      <c r="B23" s="5870"/>
      <c r="C23" s="5870"/>
      <c r="D23" s="5870"/>
      <c r="E23" s="5870"/>
      <c r="F23" s="5870"/>
    </row>
    <row r="24" spans="1:10">
      <c r="A24" s="5861" t="s">
        <v>13369</v>
      </c>
      <c r="B24" s="5863" t="s">
        <v>13370</v>
      </c>
      <c r="C24" s="4283" t="s">
        <v>1968</v>
      </c>
      <c r="D24" s="4284" t="s">
        <v>13371</v>
      </c>
      <c r="E24" s="1274"/>
      <c r="F24" s="1274"/>
      <c r="G24" s="1275"/>
    </row>
    <row r="25" spans="1:10">
      <c r="A25" s="5861"/>
      <c r="B25" s="5863"/>
      <c r="C25" s="4283" t="s">
        <v>1968</v>
      </c>
      <c r="D25" s="1276">
        <f>(3.14159/4)*$D$7^2*$D$8*$D$9*0.001</f>
        <v>33.080942700000001</v>
      </c>
      <c r="E25" s="1277" t="s">
        <v>1075</v>
      </c>
      <c r="F25" s="1278"/>
    </row>
    <row r="26" spans="1:10" s="1251" customFormat="1" ht="7.9" customHeight="1">
      <c r="A26" s="5861"/>
      <c r="B26" s="1279"/>
      <c r="C26" s="1280"/>
      <c r="D26" s="1281"/>
    </row>
    <row r="27" spans="1:10">
      <c r="A27" s="5861"/>
      <c r="B27" s="5863" t="s">
        <v>13372</v>
      </c>
      <c r="C27" s="4283" t="s">
        <v>1968</v>
      </c>
      <c r="D27" s="1273" t="s">
        <v>13373</v>
      </c>
      <c r="E27" s="1274"/>
      <c r="F27" s="1278"/>
    </row>
    <row r="28" spans="1:10">
      <c r="A28" s="5861"/>
      <c r="B28" s="5863"/>
      <c r="C28" s="4283" t="s">
        <v>1968</v>
      </c>
      <c r="D28" s="1282">
        <f>$D$10*$D$3</f>
        <v>12</v>
      </c>
      <c r="E28" s="1277" t="s">
        <v>1075</v>
      </c>
      <c r="F28" s="1278"/>
    </row>
    <row r="29" spans="1:10" s="1251" customFormat="1" ht="7.9" customHeight="1">
      <c r="A29" s="5861"/>
      <c r="B29" s="1279"/>
      <c r="C29" s="1280"/>
      <c r="D29" s="1283"/>
    </row>
    <row r="30" spans="1:10">
      <c r="A30" s="5861"/>
      <c r="B30" s="5863" t="s">
        <v>13374</v>
      </c>
      <c r="C30" s="4283" t="s">
        <v>1968</v>
      </c>
      <c r="D30" s="1273" t="s">
        <v>13375</v>
      </c>
      <c r="E30" s="1278"/>
      <c r="F30" s="1251"/>
    </row>
    <row r="31" spans="1:10">
      <c r="A31" s="5861"/>
      <c r="B31" s="5863"/>
      <c r="C31" s="4283" t="s">
        <v>1968</v>
      </c>
      <c r="D31" s="1282">
        <f>$D$11*$D$3</f>
        <v>36</v>
      </c>
      <c r="E31" s="1277" t="s">
        <v>1075</v>
      </c>
      <c r="F31" s="1251"/>
    </row>
    <row r="32" spans="1:10" ht="6" customHeight="1">
      <c r="C32" s="1284"/>
    </row>
    <row r="33" spans="1:8">
      <c r="A33" s="5862" t="s">
        <v>13376</v>
      </c>
      <c r="B33" s="5864" t="s">
        <v>13377</v>
      </c>
      <c r="C33" s="4283" t="s">
        <v>1968</v>
      </c>
      <c r="D33" s="1273" t="s">
        <v>13378</v>
      </c>
      <c r="E33" s="1274"/>
      <c r="F33" s="1274"/>
    </row>
    <row r="34" spans="1:8">
      <c r="A34" s="5862"/>
      <c r="B34" s="5865"/>
      <c r="C34" s="4283" t="s">
        <v>1968</v>
      </c>
      <c r="D34" s="1285">
        <f>($D$25*($D$7/200)^2)/(2*9.8)</f>
        <v>0.15190228790816299</v>
      </c>
      <c r="E34" s="1277" t="s">
        <v>12880</v>
      </c>
      <c r="F34" s="1277"/>
    </row>
    <row r="35" spans="1:8" ht="7.15" customHeight="1">
      <c r="A35" s="5862"/>
      <c r="B35" s="1286"/>
      <c r="C35" s="1287"/>
      <c r="D35" s="1288"/>
      <c r="E35" s="1278"/>
      <c r="F35" s="1278"/>
    </row>
    <row r="36" spans="1:8">
      <c r="A36" s="5862"/>
      <c r="B36" s="5864" t="s">
        <v>13379</v>
      </c>
      <c r="C36" s="4283" t="s">
        <v>1968</v>
      </c>
      <c r="D36" s="1273" t="s">
        <v>13380</v>
      </c>
      <c r="E36" s="1274"/>
      <c r="F36" s="1274"/>
    </row>
    <row r="37" spans="1:8">
      <c r="A37" s="5862"/>
      <c r="B37" s="5865"/>
      <c r="C37" s="4283" t="s">
        <v>1968</v>
      </c>
      <c r="D37" s="1285">
        <f>($D$28*(($D$13/100)^2)/9.8)</f>
        <v>0.11020408163265299</v>
      </c>
      <c r="E37" s="1277" t="s">
        <v>12880</v>
      </c>
      <c r="F37" s="1277"/>
    </row>
    <row r="38" spans="1:8" ht="6" customHeight="1">
      <c r="A38" s="5862"/>
      <c r="C38" s="1284"/>
    </row>
    <row r="39" spans="1:8">
      <c r="A39" s="5862"/>
      <c r="B39" s="5863" t="s">
        <v>13381</v>
      </c>
      <c r="C39" s="4283" t="s">
        <v>1968</v>
      </c>
      <c r="D39" s="1273" t="s">
        <v>13382</v>
      </c>
      <c r="E39" s="1274"/>
      <c r="F39" s="1274"/>
    </row>
    <row r="40" spans="1:8">
      <c r="A40" s="5862"/>
      <c r="B40" s="5863"/>
      <c r="C40" s="4283" t="s">
        <v>1968</v>
      </c>
      <c r="D40" s="1285">
        <f>($D$31*($D$13/100)^2)/9.8</f>
        <v>0.33061224489795898</v>
      </c>
      <c r="E40" s="1277" t="s">
        <v>12880</v>
      </c>
      <c r="F40" s="1277"/>
    </row>
    <row r="41" spans="1:8" s="1251" customFormat="1" ht="6" customHeight="1">
      <c r="A41" s="5862"/>
      <c r="B41" s="1279"/>
      <c r="C41" s="1280"/>
      <c r="D41" s="1289"/>
    </row>
    <row r="42" spans="1:8" ht="15" customHeight="1">
      <c r="A42" s="5862"/>
      <c r="B42" s="5864" t="s">
        <v>13383</v>
      </c>
      <c r="C42" s="4283" t="s">
        <v>1968</v>
      </c>
      <c r="D42" s="1273" t="s">
        <v>13384</v>
      </c>
      <c r="E42" s="1274"/>
      <c r="F42" s="1274"/>
    </row>
    <row r="43" spans="1:8">
      <c r="A43" s="5862"/>
      <c r="B43" s="5865"/>
      <c r="C43" s="4283" t="s">
        <v>1968</v>
      </c>
      <c r="D43" s="1290">
        <f>($D$34+$D$37+$D$40)</f>
        <v>0.59271861443877505</v>
      </c>
      <c r="E43" s="1277" t="s">
        <v>12880</v>
      </c>
      <c r="F43" s="1277"/>
    </row>
    <row r="44" spans="1:8" ht="6" customHeight="1">
      <c r="C44" s="1284" t="s">
        <v>3205</v>
      </c>
    </row>
    <row r="45" spans="1:8">
      <c r="A45" s="5846" t="s">
        <v>13385</v>
      </c>
      <c r="B45" s="5846"/>
      <c r="C45" s="4283" t="s">
        <v>1968</v>
      </c>
      <c r="D45" s="1273" t="s">
        <v>13386</v>
      </c>
      <c r="E45" s="1274"/>
      <c r="F45" s="1274"/>
      <c r="G45" s="1274"/>
      <c r="H45" s="1275"/>
    </row>
    <row r="46" spans="1:8">
      <c r="A46" s="5846"/>
      <c r="B46" s="5846"/>
      <c r="C46" s="4283" t="s">
        <v>1968</v>
      </c>
      <c r="D46" s="1291">
        <f>$D$21*(6.2832/$D$3)*((360/$D$17)*($D$6/60))^2</f>
        <v>22.341882716049401</v>
      </c>
      <c r="E46" s="1277" t="s">
        <v>12887</v>
      </c>
      <c r="F46" s="1277"/>
      <c r="G46" s="1278"/>
    </row>
    <row r="47" spans="1:8" ht="4.1500000000000004" customHeight="1">
      <c r="C47" s="1284"/>
    </row>
    <row r="48" spans="1:8">
      <c r="A48" s="5846" t="s">
        <v>12889</v>
      </c>
      <c r="B48" s="5846"/>
      <c r="C48" s="4283" t="s">
        <v>1968</v>
      </c>
      <c r="D48" s="1273" t="s">
        <v>13387</v>
      </c>
      <c r="E48" s="1274"/>
      <c r="F48" s="1274"/>
    </row>
    <row r="49" spans="1:13">
      <c r="A49" s="5846"/>
      <c r="B49" s="5846"/>
      <c r="C49" s="4283" t="s">
        <v>1968</v>
      </c>
      <c r="D49" s="1291">
        <f>$D$43*$D$46</f>
        <v>13.242449767410401</v>
      </c>
      <c r="E49" s="1277" t="s">
        <v>12730</v>
      </c>
      <c r="F49" s="1278"/>
    </row>
    <row r="50" spans="1:13" ht="4.9000000000000004" customHeight="1">
      <c r="C50" s="1284"/>
    </row>
    <row r="51" spans="1:13">
      <c r="A51" s="5847" t="s">
        <v>12895</v>
      </c>
      <c r="B51" s="5848"/>
      <c r="C51" s="4283" t="s">
        <v>1968</v>
      </c>
      <c r="D51" s="1273" t="s">
        <v>12822</v>
      </c>
      <c r="E51" s="1274"/>
    </row>
    <row r="52" spans="1:13" ht="13.9" customHeight="1">
      <c r="A52" s="5848"/>
      <c r="B52" s="5848"/>
      <c r="C52" s="4283" t="s">
        <v>1968</v>
      </c>
      <c r="D52" s="1291">
        <f>D14*($D$25+$D$28+$D$31)*($D$12*0.01)</f>
        <v>0</v>
      </c>
      <c r="E52" s="1277" t="s">
        <v>12730</v>
      </c>
    </row>
    <row r="53" spans="1:13" ht="4.9000000000000004" customHeight="1">
      <c r="B53" s="1292"/>
      <c r="C53" s="1264"/>
      <c r="D53" s="1293"/>
    </row>
    <row r="54" spans="1:13">
      <c r="A54" s="5871" t="s">
        <v>12897</v>
      </c>
      <c r="B54" s="5872"/>
      <c r="C54" s="5872"/>
      <c r="D54" s="5872"/>
      <c r="E54" s="5873"/>
    </row>
    <row r="55" spans="1:13" ht="7.15" customHeight="1"/>
    <row r="56" spans="1:13">
      <c r="A56" s="5849" t="s">
        <v>12898</v>
      </c>
      <c r="B56" s="5850"/>
      <c r="C56" s="4283" t="s">
        <v>1968</v>
      </c>
      <c r="D56" s="1273" t="s">
        <v>12828</v>
      </c>
      <c r="E56" s="1274"/>
    </row>
    <row r="57" spans="1:13">
      <c r="A57" s="5851"/>
      <c r="B57" s="5852"/>
      <c r="C57" s="4283" t="s">
        <v>1968</v>
      </c>
      <c r="D57" s="1294">
        <f>$D$49+$D$52+0</f>
        <v>13.242449767410401</v>
      </c>
      <c r="E57" s="1277" t="s">
        <v>12730</v>
      </c>
    </row>
    <row r="58" spans="1:13" ht="6" customHeight="1">
      <c r="C58" s="1284"/>
    </row>
    <row r="59" spans="1:13">
      <c r="A59" s="5853" t="s">
        <v>13388</v>
      </c>
      <c r="B59" s="5854"/>
      <c r="C59" s="4283" t="s">
        <v>1968</v>
      </c>
      <c r="D59" s="1273" t="s">
        <v>13389</v>
      </c>
      <c r="E59" s="1274"/>
    </row>
    <row r="60" spans="1:13">
      <c r="A60" s="5855"/>
      <c r="B60" s="5856"/>
      <c r="C60" s="4283" t="s">
        <v>1968</v>
      </c>
      <c r="D60" s="1295">
        <f>$D$57*D16</f>
        <v>19.863674651115598</v>
      </c>
      <c r="E60" s="1277" t="s">
        <v>12730</v>
      </c>
    </row>
    <row r="61" spans="1:13">
      <c r="C61" s="1284"/>
    </row>
    <row r="62" spans="1:13">
      <c r="A62" s="5844" t="s">
        <v>13390</v>
      </c>
      <c r="B62" s="5844"/>
      <c r="C62" s="4283" t="s">
        <v>1968</v>
      </c>
      <c r="D62" s="1273" t="s">
        <v>12729</v>
      </c>
      <c r="E62" s="1274"/>
      <c r="F62" s="1296"/>
      <c r="G62" s="5874" t="s">
        <v>13391</v>
      </c>
      <c r="H62" s="5875"/>
      <c r="I62" s="5875"/>
      <c r="J62" s="5875"/>
      <c r="K62" s="5875"/>
      <c r="L62" s="5875"/>
      <c r="M62" s="5875"/>
    </row>
    <row r="63" spans="1:13">
      <c r="A63" s="5844"/>
      <c r="B63" s="5844"/>
      <c r="C63" s="4283" t="s">
        <v>1968</v>
      </c>
      <c r="D63" s="1297">
        <f>(360/($D$17*$D$3))*$D$22*($D$60+0)</f>
        <v>2.18500421162272</v>
      </c>
      <c r="E63" s="1277" t="s">
        <v>12730</v>
      </c>
      <c r="F63" s="1251"/>
    </row>
    <row r="64" spans="1:13" ht="9" customHeight="1">
      <c r="C64" s="1284"/>
    </row>
    <row r="65" spans="1:6">
      <c r="A65" s="5845" t="s">
        <v>13392</v>
      </c>
      <c r="B65" s="5845"/>
      <c r="C65" s="4283" t="s">
        <v>1968</v>
      </c>
      <c r="D65" s="1273" t="s">
        <v>12732</v>
      </c>
      <c r="E65" s="1274"/>
      <c r="F65" s="1251"/>
    </row>
    <row r="66" spans="1:6">
      <c r="A66" s="5845"/>
      <c r="B66" s="5845"/>
      <c r="C66" s="4283" t="s">
        <v>1968</v>
      </c>
      <c r="D66" s="1276">
        <f>($D$63*$D$6)/(716*D15)</f>
        <v>0.544943189251476</v>
      </c>
      <c r="E66" s="1277" t="s">
        <v>12734</v>
      </c>
      <c r="F66" s="1251"/>
    </row>
    <row r="67" spans="1:6">
      <c r="C67" s="1284"/>
    </row>
    <row r="68" spans="1:6">
      <c r="B68" s="1252" t="s">
        <v>13393</v>
      </c>
      <c r="C68" s="4285" t="s">
        <v>1968</v>
      </c>
      <c r="D68" s="1301" t="s">
        <v>12736</v>
      </c>
      <c r="E68" s="1275"/>
    </row>
    <row r="69" spans="1:6">
      <c r="C69" s="4285" t="s">
        <v>1968</v>
      </c>
      <c r="D69" s="1302">
        <f>($D$63*$D$6)/(975*D15)</f>
        <v>0.400183921542622</v>
      </c>
      <c r="E69" s="1303" t="s">
        <v>12737</v>
      </c>
    </row>
    <row r="71" spans="1:6" ht="61.9" customHeight="1">
      <c r="A71" s="5857" t="s">
        <v>13394</v>
      </c>
      <c r="B71" s="5857"/>
      <c r="C71" s="5857"/>
      <c r="D71" s="5857"/>
      <c r="E71" s="5857"/>
    </row>
  </sheetData>
  <mergeCells count="44">
    <mergeCell ref="F9:H9"/>
    <mergeCell ref="B10:C10"/>
    <mergeCell ref="A1:L1"/>
    <mergeCell ref="B3:C3"/>
    <mergeCell ref="B4:C4"/>
    <mergeCell ref="B5:C5"/>
    <mergeCell ref="B6:C6"/>
    <mergeCell ref="B14:C14"/>
    <mergeCell ref="B15:C15"/>
    <mergeCell ref="B7:C7"/>
    <mergeCell ref="B8:C8"/>
    <mergeCell ref="B9:C9"/>
    <mergeCell ref="A71:E71"/>
    <mergeCell ref="A3:A13"/>
    <mergeCell ref="A24:A31"/>
    <mergeCell ref="A33:A43"/>
    <mergeCell ref="B24:B25"/>
    <mergeCell ref="B27:B28"/>
    <mergeCell ref="B30:B31"/>
    <mergeCell ref="B33:B34"/>
    <mergeCell ref="B36:B37"/>
    <mergeCell ref="B39:B40"/>
    <mergeCell ref="B42:B43"/>
    <mergeCell ref="B21:C21"/>
    <mergeCell ref="B22:C22"/>
    <mergeCell ref="A23:F23"/>
    <mergeCell ref="A54:E54"/>
    <mergeCell ref="B16:C16"/>
    <mergeCell ref="M4:M10"/>
    <mergeCell ref="A62:B63"/>
    <mergeCell ref="A65:B66"/>
    <mergeCell ref="A48:B49"/>
    <mergeCell ref="A51:B52"/>
    <mergeCell ref="A56:B57"/>
    <mergeCell ref="A45:B46"/>
    <mergeCell ref="A59:B60"/>
    <mergeCell ref="G62:M62"/>
    <mergeCell ref="F16:J16"/>
    <mergeCell ref="B17:C17"/>
    <mergeCell ref="F17:J17"/>
    <mergeCell ref="B20:C20"/>
    <mergeCell ref="B11:C11"/>
    <mergeCell ref="B12:C12"/>
    <mergeCell ref="B13:C13"/>
  </mergeCells>
  <phoneticPr fontId="214" type="noConversion"/>
  <dataValidations count="1">
    <dataValidation type="whole" errorStyle="warning" allowBlank="1" showInputMessage="1" showErrorMessage="1" errorTitle="輸入分割等份" error="請輸入0到999之間的整數" sqref="D3" xr:uid="{00000000-0002-0000-8900-000000000000}">
      <formula1>1</formula1>
      <formula2>999</formula2>
    </dataValidation>
  </dataValidations>
  <pageMargins left="0.75" right="0.75" top="1" bottom="1" header="0.5" footer="0.5"/>
  <pageSetup paperSize="12" orientation="portrait"/>
  <headerFooter scaleWithDoc="0" alignWithMargins="0"/>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39"/>
  <dimension ref="A1:L117"/>
  <sheetViews>
    <sheetView workbookViewId="0">
      <selection sqref="A1:J1"/>
    </sheetView>
  </sheetViews>
  <sheetFormatPr defaultColWidth="9" defaultRowHeight="24" customHeight="1"/>
  <cols>
    <col min="2" max="3" width="11.75" customWidth="1"/>
    <col min="4" max="4" width="9.5" customWidth="1"/>
    <col min="5" max="5" width="12.625"/>
    <col min="6" max="6" width="11.25" customWidth="1"/>
    <col min="7" max="9" width="12.625"/>
    <col min="10" max="10" width="12.125" customWidth="1"/>
  </cols>
  <sheetData>
    <row r="1" spans="1:11" ht="43.9" customHeight="1">
      <c r="A1" s="5895" t="s">
        <v>13395</v>
      </c>
      <c r="B1" s="5896"/>
      <c r="C1" s="5896"/>
      <c r="D1" s="5896"/>
      <c r="E1" s="5896"/>
      <c r="F1" s="5896"/>
      <c r="G1" s="5896"/>
      <c r="H1" s="5896"/>
      <c r="I1" s="5896"/>
      <c r="J1" s="5897"/>
    </row>
    <row r="2" spans="1:11" ht="24" customHeight="1">
      <c r="A2" s="1141"/>
      <c r="B2" s="1141"/>
      <c r="C2" s="1141"/>
      <c r="D2" s="1141"/>
      <c r="E2" s="1141"/>
      <c r="F2" s="1141"/>
      <c r="G2" s="1141"/>
      <c r="H2" s="1141"/>
      <c r="I2" s="1141"/>
      <c r="J2" s="1141"/>
    </row>
    <row r="3" spans="1:11" ht="24" customHeight="1">
      <c r="A3" s="1141"/>
      <c r="B3" s="1142"/>
      <c r="C3" s="5898" t="s">
        <v>2673</v>
      </c>
      <c r="D3" s="5899"/>
      <c r="E3" s="1141"/>
      <c r="F3" s="1143"/>
      <c r="G3" s="1144"/>
      <c r="H3" s="5898" t="s">
        <v>13396</v>
      </c>
      <c r="I3" s="5899"/>
      <c r="J3" s="1141"/>
    </row>
    <row r="4" spans="1:11" ht="24" customHeight="1">
      <c r="A4" s="1141"/>
      <c r="B4" s="1141"/>
      <c r="C4" s="1145"/>
      <c r="D4" s="1145"/>
      <c r="E4" s="1141"/>
      <c r="F4" s="1141"/>
      <c r="G4" s="1141"/>
      <c r="H4" s="1141"/>
      <c r="I4" s="1141"/>
      <c r="J4" s="1141"/>
    </row>
    <row r="5" spans="1:11" ht="24" customHeight="1">
      <c r="A5" s="5900" t="s">
        <v>13397</v>
      </c>
      <c r="B5" s="5900"/>
      <c r="C5" s="1146"/>
      <c r="D5" s="1146"/>
      <c r="E5" s="1146"/>
      <c r="F5" s="1146"/>
      <c r="G5" s="77"/>
      <c r="H5" s="77"/>
      <c r="I5" s="77"/>
      <c r="J5" s="77"/>
    </row>
    <row r="6" spans="1:11" ht="24" customHeight="1">
      <c r="A6" s="1147"/>
      <c r="B6" s="1148"/>
      <c r="C6" s="1149" t="s">
        <v>13398</v>
      </c>
      <c r="D6" s="1149" t="s">
        <v>1757</v>
      </c>
      <c r="E6" s="1149" t="s">
        <v>13399</v>
      </c>
      <c r="F6" s="1149" t="s">
        <v>13400</v>
      </c>
      <c r="G6" s="1149" t="s">
        <v>13401</v>
      </c>
      <c r="H6" s="1149" t="s">
        <v>13402</v>
      </c>
      <c r="I6" s="1149" t="s">
        <v>13403</v>
      </c>
      <c r="J6" s="1161" t="s">
        <v>13404</v>
      </c>
      <c r="K6" s="75"/>
    </row>
    <row r="7" spans="1:11" ht="24" customHeight="1">
      <c r="A7" s="1150">
        <v>1</v>
      </c>
      <c r="B7" s="1151" t="s">
        <v>13398</v>
      </c>
      <c r="C7" s="1152">
        <f>A7*1</f>
        <v>1</v>
      </c>
      <c r="D7" s="1152">
        <f t="shared" ref="D7:D14" si="0">C7*100</f>
        <v>100</v>
      </c>
      <c r="E7" s="1152">
        <f t="shared" ref="E7:E14" si="1">C7*POWER(10,-4)*9.869</f>
        <v>9.8689999999999997E-4</v>
      </c>
      <c r="F7" s="1152">
        <f t="shared" ref="F7:F14" si="2">C7*0.0145</f>
        <v>1.4500000000000001E-2</v>
      </c>
      <c r="G7" s="1152">
        <f t="shared" ref="G7:G14" si="3">C7*0.00102</f>
        <v>1.0200000000000001E-3</v>
      </c>
      <c r="H7" s="1152">
        <f t="shared" ref="H7:H14" si="4">C7*0.02953</f>
        <v>2.9530000000000001E-2</v>
      </c>
      <c r="I7" s="1152">
        <f t="shared" ref="I7:I14" si="5">H7*25.4</f>
        <v>0.75006200000000001</v>
      </c>
      <c r="J7" s="1162">
        <f t="shared" ref="J7:J14" si="6">C7*10.197</f>
        <v>10.196999999999999</v>
      </c>
    </row>
    <row r="8" spans="1:11" ht="24" customHeight="1">
      <c r="A8" s="1150">
        <v>1</v>
      </c>
      <c r="B8" s="1151" t="s">
        <v>1757</v>
      </c>
      <c r="C8" s="1152">
        <f>A8*0.01</f>
        <v>0.01</v>
      </c>
      <c r="D8" s="1152">
        <f t="shared" si="0"/>
        <v>1</v>
      </c>
      <c r="E8" s="1152">
        <f t="shared" si="1"/>
        <v>9.8689999999999999E-6</v>
      </c>
      <c r="F8" s="1152">
        <f t="shared" si="2"/>
        <v>1.45E-4</v>
      </c>
      <c r="G8" s="1152">
        <f t="shared" si="3"/>
        <v>1.0200000000000001E-5</v>
      </c>
      <c r="H8" s="1152">
        <f t="shared" si="4"/>
        <v>2.9530000000000002E-4</v>
      </c>
      <c r="I8" s="1152">
        <f t="shared" si="5"/>
        <v>7.5006200000000004E-3</v>
      </c>
      <c r="J8" s="1162">
        <f t="shared" si="6"/>
        <v>0.10197000000000001</v>
      </c>
    </row>
    <row r="9" spans="1:11" ht="24" customHeight="1">
      <c r="A9" s="1150">
        <v>1</v>
      </c>
      <c r="B9" s="1151" t="s">
        <v>13399</v>
      </c>
      <c r="C9" s="1152">
        <f>1013.25*A9</f>
        <v>1013.25</v>
      </c>
      <c r="D9" s="1152">
        <f t="shared" si="0"/>
        <v>101325</v>
      </c>
      <c r="E9" s="1152">
        <f t="shared" si="1"/>
        <v>0.99997642499999995</v>
      </c>
      <c r="F9" s="1152">
        <f t="shared" si="2"/>
        <v>14.692125000000001</v>
      </c>
      <c r="G9" s="1152">
        <f t="shared" si="3"/>
        <v>1.033515</v>
      </c>
      <c r="H9" s="1152">
        <f t="shared" si="4"/>
        <v>29.921272500000001</v>
      </c>
      <c r="I9" s="1152">
        <f t="shared" si="5"/>
        <v>760.00032150000004</v>
      </c>
      <c r="J9" s="1162">
        <f t="shared" si="6"/>
        <v>10332.11025</v>
      </c>
    </row>
    <row r="10" spans="1:11" ht="24" customHeight="1">
      <c r="A10" s="1150">
        <v>1</v>
      </c>
      <c r="B10" s="1151" t="s">
        <v>13400</v>
      </c>
      <c r="C10" s="1152">
        <f>A10*68.95</f>
        <v>68.95</v>
      </c>
      <c r="D10" s="1152">
        <f t="shared" si="0"/>
        <v>6895</v>
      </c>
      <c r="E10" s="1152">
        <f t="shared" si="1"/>
        <v>6.8046755E-2</v>
      </c>
      <c r="F10" s="1152">
        <f t="shared" si="2"/>
        <v>0.99977499999999997</v>
      </c>
      <c r="G10" s="1152">
        <f t="shared" si="3"/>
        <v>7.0329000000000003E-2</v>
      </c>
      <c r="H10" s="1152">
        <f t="shared" si="4"/>
        <v>2.0360934999999998</v>
      </c>
      <c r="I10" s="1152">
        <f t="shared" si="5"/>
        <v>51.716774899999997</v>
      </c>
      <c r="J10" s="1162">
        <f t="shared" si="6"/>
        <v>703.08315000000005</v>
      </c>
    </row>
    <row r="11" spans="1:11" ht="24" customHeight="1">
      <c r="A11" s="1150">
        <v>1</v>
      </c>
      <c r="B11" s="1151" t="s">
        <v>13401</v>
      </c>
      <c r="C11" s="1152">
        <f>A11*980.7</f>
        <v>980.7</v>
      </c>
      <c r="D11" s="1152">
        <f t="shared" si="0"/>
        <v>98070</v>
      </c>
      <c r="E11" s="1152">
        <f t="shared" si="1"/>
        <v>0.96785283</v>
      </c>
      <c r="F11" s="1152">
        <f t="shared" si="2"/>
        <v>14.22015</v>
      </c>
      <c r="G11" s="1152">
        <f t="shared" si="3"/>
        <v>1.0003139999999999</v>
      </c>
      <c r="H11" s="1152">
        <f t="shared" si="4"/>
        <v>28.960070999999999</v>
      </c>
      <c r="I11" s="1152">
        <f t="shared" si="5"/>
        <v>735.58580340000003</v>
      </c>
      <c r="J11" s="1162">
        <f t="shared" si="6"/>
        <v>10000.197899999999</v>
      </c>
    </row>
    <row r="12" spans="1:11" ht="24" customHeight="1">
      <c r="A12" s="1150">
        <v>1</v>
      </c>
      <c r="B12" s="1151" t="s">
        <v>13402</v>
      </c>
      <c r="C12" s="1152">
        <f>A12*33.86</f>
        <v>33.86</v>
      </c>
      <c r="D12" s="1152">
        <f t="shared" si="0"/>
        <v>3386</v>
      </c>
      <c r="E12" s="1152">
        <f t="shared" si="1"/>
        <v>3.3416434000000002E-2</v>
      </c>
      <c r="F12" s="1152">
        <f t="shared" si="2"/>
        <v>0.49097000000000002</v>
      </c>
      <c r="G12" s="1152">
        <f t="shared" si="3"/>
        <v>3.4537199999999997E-2</v>
      </c>
      <c r="H12" s="1152">
        <f t="shared" si="4"/>
        <v>0.99988580000000005</v>
      </c>
      <c r="I12" s="1152">
        <f t="shared" si="5"/>
        <v>25.397099319999999</v>
      </c>
      <c r="J12" s="1162">
        <f t="shared" si="6"/>
        <v>345.27042</v>
      </c>
    </row>
    <row r="13" spans="1:11" ht="24" customHeight="1">
      <c r="A13" s="1150">
        <v>1</v>
      </c>
      <c r="B13" s="1153" t="s">
        <v>13403</v>
      </c>
      <c r="C13" s="1152">
        <f>A13*1.334</f>
        <v>1.3340000000000001</v>
      </c>
      <c r="D13" s="1152">
        <f t="shared" si="0"/>
        <v>133.4</v>
      </c>
      <c r="E13" s="1152">
        <f t="shared" si="1"/>
        <v>1.3165245999999999E-3</v>
      </c>
      <c r="F13" s="1152">
        <f t="shared" si="2"/>
        <v>1.9342999999999999E-2</v>
      </c>
      <c r="G13" s="1152">
        <f t="shared" si="3"/>
        <v>1.36068E-3</v>
      </c>
      <c r="H13" s="1152">
        <f t="shared" si="4"/>
        <v>3.9393020000000001E-2</v>
      </c>
      <c r="I13" s="1152">
        <f t="shared" si="5"/>
        <v>1.000582708</v>
      </c>
      <c r="J13" s="1162">
        <f t="shared" si="6"/>
        <v>13.602798</v>
      </c>
    </row>
    <row r="14" spans="1:11" ht="24" customHeight="1">
      <c r="A14" s="1154">
        <v>1</v>
      </c>
      <c r="B14" s="1155" t="s">
        <v>13404</v>
      </c>
      <c r="C14" s="1156">
        <f>A14*0.09807</f>
        <v>9.8070000000000004E-2</v>
      </c>
      <c r="D14" s="1157">
        <f t="shared" si="0"/>
        <v>9.8070000000000004</v>
      </c>
      <c r="E14" s="1157">
        <f t="shared" si="1"/>
        <v>9.6785282999999997E-5</v>
      </c>
      <c r="F14" s="1157">
        <f t="shared" si="2"/>
        <v>1.422015E-3</v>
      </c>
      <c r="G14" s="1157">
        <f t="shared" si="3"/>
        <v>1.0003140000000001E-4</v>
      </c>
      <c r="H14" s="1157">
        <f t="shared" si="4"/>
        <v>2.8960071E-3</v>
      </c>
      <c r="I14" s="1157">
        <f t="shared" si="5"/>
        <v>7.3558580339999999E-2</v>
      </c>
      <c r="J14" s="1215">
        <f t="shared" si="6"/>
        <v>1.0000197900000001</v>
      </c>
    </row>
    <row r="15" spans="1:11" ht="24" customHeight="1">
      <c r="A15" s="5901" t="s">
        <v>13405</v>
      </c>
      <c r="B15" s="5902"/>
      <c r="C15" s="1159"/>
      <c r="D15" s="1159"/>
      <c r="E15" s="1159"/>
      <c r="F15" s="1159"/>
      <c r="G15" s="1160"/>
      <c r="H15" s="1160"/>
      <c r="I15" s="1160"/>
      <c r="J15" s="1160"/>
    </row>
    <row r="16" spans="1:11" ht="24" customHeight="1">
      <c r="A16" s="1147"/>
      <c r="B16" s="1149"/>
      <c r="C16" s="1149" t="s">
        <v>13406</v>
      </c>
      <c r="D16" s="1149" t="s">
        <v>13407</v>
      </c>
      <c r="E16" s="1149" t="s">
        <v>13408</v>
      </c>
      <c r="F16" s="1161" t="s">
        <v>13409</v>
      </c>
      <c r="G16" s="1160"/>
      <c r="H16" s="1160"/>
      <c r="I16" s="1160"/>
      <c r="J16" s="1160"/>
    </row>
    <row r="17" spans="1:10" ht="24" customHeight="1">
      <c r="A17" s="1150">
        <v>1</v>
      </c>
      <c r="B17" s="1151" t="s">
        <v>13406</v>
      </c>
      <c r="C17" s="1152">
        <f>A17*1</f>
        <v>1</v>
      </c>
      <c r="D17" s="1152">
        <f t="shared" ref="D17:D20" si="7">C17*60</f>
        <v>60</v>
      </c>
      <c r="E17" s="1152">
        <f t="shared" ref="E17:E20" si="8">C17*1000</f>
        <v>1000</v>
      </c>
      <c r="F17" s="1162">
        <f t="shared" ref="F17:F20" si="9">C17*35.31</f>
        <v>35.31</v>
      </c>
      <c r="G17" s="1160"/>
      <c r="H17" s="1160"/>
      <c r="I17" s="1160"/>
      <c r="J17" s="1160"/>
    </row>
    <row r="18" spans="1:10" ht="24" customHeight="1">
      <c r="A18" s="1150">
        <v>1800</v>
      </c>
      <c r="B18" s="1151" t="s">
        <v>13407</v>
      </c>
      <c r="C18" s="1152">
        <f>A18*0.01667</f>
        <v>30.006</v>
      </c>
      <c r="D18" s="1152">
        <f t="shared" si="7"/>
        <v>1800.36</v>
      </c>
      <c r="E18" s="1152">
        <f t="shared" si="8"/>
        <v>30006</v>
      </c>
      <c r="F18" s="1162">
        <f t="shared" si="9"/>
        <v>1059.5118600000001</v>
      </c>
      <c r="G18" s="1160"/>
      <c r="H18" s="1160"/>
      <c r="I18" s="1160"/>
      <c r="J18" s="1160"/>
    </row>
    <row r="19" spans="1:10" ht="24" customHeight="1">
      <c r="A19" s="1150">
        <v>1</v>
      </c>
      <c r="B19" s="1151" t="s">
        <v>13408</v>
      </c>
      <c r="C19" s="1152">
        <f>A19*0.001</f>
        <v>1E-3</v>
      </c>
      <c r="D19" s="1152">
        <f t="shared" si="7"/>
        <v>0.06</v>
      </c>
      <c r="E19" s="1152">
        <f t="shared" si="8"/>
        <v>1</v>
      </c>
      <c r="F19" s="1162">
        <f t="shared" si="9"/>
        <v>3.5310000000000001E-2</v>
      </c>
      <c r="G19" s="1160"/>
      <c r="H19" s="1160"/>
      <c r="I19" s="1160"/>
      <c r="J19" s="1160"/>
    </row>
    <row r="20" spans="1:10" ht="24" customHeight="1">
      <c r="A20" s="1163">
        <v>1</v>
      </c>
      <c r="B20" s="1164" t="s">
        <v>13409</v>
      </c>
      <c r="C20" s="1157">
        <f>A20*0.02832</f>
        <v>2.8320000000000001E-2</v>
      </c>
      <c r="D20" s="1157">
        <f t="shared" si="7"/>
        <v>1.6992</v>
      </c>
      <c r="E20" s="1157">
        <f t="shared" si="8"/>
        <v>28.32</v>
      </c>
      <c r="F20" s="1165">
        <f t="shared" si="9"/>
        <v>0.99997919999999996</v>
      </c>
      <c r="G20" s="1160"/>
      <c r="H20" s="1160"/>
      <c r="I20" s="1160"/>
      <c r="J20" s="1160"/>
    </row>
    <row r="21" spans="1:10" ht="24" customHeight="1">
      <c r="A21" s="5891" t="s">
        <v>13410</v>
      </c>
      <c r="B21" s="5891"/>
      <c r="C21" s="1159"/>
      <c r="D21" s="1159"/>
      <c r="E21" s="1159"/>
      <c r="F21" s="1160"/>
      <c r="G21" s="1160"/>
      <c r="H21" s="1160"/>
      <c r="I21" s="1160"/>
      <c r="J21" s="1160"/>
    </row>
    <row r="22" spans="1:10" ht="24" customHeight="1">
      <c r="A22" s="1147"/>
      <c r="B22" s="1149"/>
      <c r="C22" s="1149" t="s">
        <v>2876</v>
      </c>
      <c r="D22" s="1149" t="s">
        <v>13411</v>
      </c>
      <c r="E22" s="1166" t="s">
        <v>13412</v>
      </c>
      <c r="F22" s="1161" t="s">
        <v>13413</v>
      </c>
      <c r="G22" s="1160"/>
      <c r="H22" s="1160"/>
      <c r="I22" s="1160"/>
      <c r="J22" s="1160"/>
    </row>
    <row r="23" spans="1:10" ht="24" customHeight="1">
      <c r="A23" s="1150">
        <v>1</v>
      </c>
      <c r="B23" s="1151" t="s">
        <v>2876</v>
      </c>
      <c r="C23" s="1152">
        <f>A23*1</f>
        <v>1</v>
      </c>
      <c r="D23" s="1152">
        <f t="shared" ref="D23:D26" si="10">C23*0.238845896</f>
        <v>0.238845896</v>
      </c>
      <c r="E23" s="1152">
        <f t="shared" ref="E23:E26" si="11">C23*0.0000002777777777</f>
        <v>2.7777777770000002E-7</v>
      </c>
      <c r="F23" s="1167">
        <f t="shared" ref="F23:F26" si="12">C23*0.00094777746</f>
        <v>9.4777746000000002E-4</v>
      </c>
      <c r="G23" s="1160"/>
      <c r="H23" s="1160"/>
      <c r="I23" s="1160"/>
      <c r="J23" s="1160"/>
    </row>
    <row r="24" spans="1:10" ht="24" customHeight="1">
      <c r="A24" s="1150">
        <v>1</v>
      </c>
      <c r="B24" s="1151" t="s">
        <v>13411</v>
      </c>
      <c r="C24" s="1152">
        <f>A24*4.1868</f>
        <v>4.1867999999999999</v>
      </c>
      <c r="D24" s="1152">
        <f t="shared" si="10"/>
        <v>0.99999999737279999</v>
      </c>
      <c r="E24" s="1152">
        <f t="shared" si="11"/>
        <v>1.16299999967436E-6</v>
      </c>
      <c r="F24" s="1167">
        <f t="shared" si="12"/>
        <v>3.9681546695279997E-3</v>
      </c>
      <c r="G24" s="1160"/>
      <c r="H24" s="1160"/>
      <c r="I24" s="1160"/>
      <c r="J24" s="1160"/>
    </row>
    <row r="25" spans="1:10" ht="24" customHeight="1">
      <c r="A25" s="1150">
        <v>1</v>
      </c>
      <c r="B25" s="1151" t="s">
        <v>13412</v>
      </c>
      <c r="C25" s="1152">
        <f>A25*3600000</f>
        <v>3600000</v>
      </c>
      <c r="D25" s="1152">
        <f t="shared" si="10"/>
        <v>859845.22560000001</v>
      </c>
      <c r="E25" s="1152">
        <f t="shared" si="11"/>
        <v>0.99999999971999998</v>
      </c>
      <c r="F25" s="1167">
        <f t="shared" si="12"/>
        <v>3411.9988560000002</v>
      </c>
      <c r="G25" s="1160"/>
      <c r="H25" s="1160"/>
      <c r="I25" s="1160"/>
      <c r="J25" s="1160"/>
    </row>
    <row r="26" spans="1:10" ht="24" customHeight="1">
      <c r="A26" s="1163">
        <v>1</v>
      </c>
      <c r="B26" s="1164" t="s">
        <v>13413</v>
      </c>
      <c r="C26" s="1157">
        <f>A26*1055.1</f>
        <v>1055.0999999999999</v>
      </c>
      <c r="D26" s="1157">
        <f t="shared" si="10"/>
        <v>252.0063048696</v>
      </c>
      <c r="E26" s="1157">
        <f t="shared" si="11"/>
        <v>2.9308333325126998E-4</v>
      </c>
      <c r="F26" s="1165">
        <f t="shared" si="12"/>
        <v>0.99999999804600004</v>
      </c>
      <c r="G26" s="1160"/>
      <c r="H26" s="1160"/>
      <c r="I26" s="1160"/>
      <c r="J26" s="1160"/>
    </row>
    <row r="27" spans="1:10" ht="24" customHeight="1">
      <c r="A27" s="5891" t="s">
        <v>13414</v>
      </c>
      <c r="B27" s="5891"/>
      <c r="C27" s="1159"/>
      <c r="D27" s="1159"/>
      <c r="E27" s="1159"/>
      <c r="F27" s="1159"/>
      <c r="G27" s="1160"/>
      <c r="H27" s="1160"/>
      <c r="I27" s="1160"/>
      <c r="J27" s="1160"/>
    </row>
    <row r="28" spans="1:10" ht="24" customHeight="1">
      <c r="A28" s="1147"/>
      <c r="B28" s="1149"/>
      <c r="C28" s="1149" t="s">
        <v>13415</v>
      </c>
      <c r="D28" s="1149" t="s">
        <v>300</v>
      </c>
      <c r="E28" s="1149" t="s">
        <v>298</v>
      </c>
      <c r="F28" s="1161" t="s">
        <v>5385</v>
      </c>
      <c r="G28" s="1168"/>
      <c r="H28" s="1160"/>
      <c r="I28" s="1160"/>
      <c r="J28" s="1160"/>
    </row>
    <row r="29" spans="1:10" ht="24" customHeight="1">
      <c r="A29" s="1150">
        <v>1</v>
      </c>
      <c r="B29" s="1151" t="s">
        <v>13415</v>
      </c>
      <c r="C29" s="1152">
        <f>A29*1</f>
        <v>1</v>
      </c>
      <c r="D29" s="1152">
        <f t="shared" ref="D29:D32" si="13">C29*0.01</f>
        <v>0.01</v>
      </c>
      <c r="E29" s="1152">
        <f t="shared" ref="E29:E32" si="14">C29*0.01315</f>
        <v>1.315E-2</v>
      </c>
      <c r="F29" s="1162">
        <f t="shared" ref="F29:F32" si="15">C29*0.01333</f>
        <v>1.333E-2</v>
      </c>
      <c r="G29" s="1160"/>
      <c r="H29" s="1160"/>
      <c r="I29" s="1160"/>
      <c r="J29" s="1160"/>
    </row>
    <row r="30" spans="1:10" ht="24" customHeight="1">
      <c r="A30" s="1150">
        <v>1</v>
      </c>
      <c r="B30" s="1151" t="s">
        <v>300</v>
      </c>
      <c r="C30" s="1152">
        <f>A30*101.97</f>
        <v>101.97</v>
      </c>
      <c r="D30" s="1152">
        <f t="shared" si="13"/>
        <v>1.0197000000000001</v>
      </c>
      <c r="E30" s="1152">
        <f t="shared" si="14"/>
        <v>1.3409055000000001</v>
      </c>
      <c r="F30" s="1162">
        <f t="shared" si="15"/>
        <v>1.3592601</v>
      </c>
      <c r="G30" s="1160"/>
      <c r="H30" s="1160"/>
      <c r="I30" s="1160"/>
      <c r="J30" s="1160"/>
    </row>
    <row r="31" spans="1:10" ht="24" customHeight="1">
      <c r="A31" s="1150">
        <v>1</v>
      </c>
      <c r="B31" s="1151" t="s">
        <v>298</v>
      </c>
      <c r="C31" s="1152">
        <f>A31*76.038</f>
        <v>76.037999999999997</v>
      </c>
      <c r="D31" s="1152">
        <f t="shared" si="13"/>
        <v>0.76037999999999994</v>
      </c>
      <c r="E31" s="1169">
        <f t="shared" si="14"/>
        <v>0.99989969999999995</v>
      </c>
      <c r="F31" s="1162">
        <f t="shared" si="15"/>
        <v>1.0135865399999999</v>
      </c>
      <c r="G31" s="1160"/>
      <c r="H31" s="1160"/>
      <c r="I31" s="1160"/>
      <c r="J31" s="1160"/>
    </row>
    <row r="32" spans="1:10" ht="24" customHeight="1">
      <c r="A32" s="1163">
        <v>1</v>
      </c>
      <c r="B32" s="1164" t="s">
        <v>5385</v>
      </c>
      <c r="C32" s="1157">
        <f>A32*75</f>
        <v>75</v>
      </c>
      <c r="D32" s="1157">
        <f t="shared" si="13"/>
        <v>0.75</v>
      </c>
      <c r="E32" s="1157">
        <f t="shared" si="14"/>
        <v>0.98624999999999996</v>
      </c>
      <c r="F32" s="1170">
        <f t="shared" si="15"/>
        <v>0.99975000000000003</v>
      </c>
      <c r="G32" s="1160"/>
      <c r="H32" s="1160"/>
      <c r="I32" s="1160"/>
      <c r="J32" s="1160"/>
    </row>
    <row r="33" spans="1:12" ht="24" customHeight="1">
      <c r="A33" s="5892" t="s">
        <v>13416</v>
      </c>
      <c r="B33" s="5892"/>
      <c r="C33" s="1160"/>
      <c r="D33" s="1160"/>
      <c r="E33" s="1160"/>
      <c r="F33" s="1160"/>
      <c r="G33" s="1160"/>
      <c r="H33" s="1160"/>
      <c r="I33" s="1160"/>
      <c r="J33" s="1160"/>
    </row>
    <row r="34" spans="1:12" ht="24" customHeight="1">
      <c r="A34" s="1171"/>
      <c r="B34" s="1172"/>
      <c r="C34" s="1172" t="s">
        <v>13417</v>
      </c>
      <c r="D34" s="1173" t="s">
        <v>246</v>
      </c>
      <c r="E34" s="1172" t="s">
        <v>300</v>
      </c>
      <c r="F34" s="1174" t="s">
        <v>13418</v>
      </c>
      <c r="G34" s="77"/>
      <c r="H34" s="77"/>
      <c r="I34" s="77"/>
      <c r="J34" s="77"/>
    </row>
    <row r="35" spans="1:12" ht="24" customHeight="1">
      <c r="A35" s="1175">
        <v>300000</v>
      </c>
      <c r="B35" s="1151" t="s">
        <v>13417</v>
      </c>
      <c r="C35" s="1152">
        <f>A35*1</f>
        <v>300000</v>
      </c>
      <c r="D35" s="1152">
        <f t="shared" ref="D35:D38" si="16">C35*1.163</f>
        <v>348900</v>
      </c>
      <c r="E35" s="1152">
        <f t="shared" ref="E35:E38" si="17">C35*0.001163</f>
        <v>348.9</v>
      </c>
      <c r="F35" s="1176">
        <f t="shared" ref="F35:F38" si="18">C35*0.0003306880187</f>
        <v>99.206405610000004</v>
      </c>
      <c r="G35" s="77"/>
      <c r="H35" s="77"/>
      <c r="I35" s="77"/>
      <c r="J35" s="77"/>
    </row>
    <row r="36" spans="1:12" ht="24" customHeight="1">
      <c r="A36" s="1175">
        <v>1</v>
      </c>
      <c r="B36" s="1151" t="s">
        <v>246</v>
      </c>
      <c r="C36" s="1152">
        <f>A36*0.8598452</f>
        <v>0.85984519999999998</v>
      </c>
      <c r="D36" s="1152">
        <f t="shared" si="16"/>
        <v>0.99999996759999998</v>
      </c>
      <c r="E36" s="1152">
        <f t="shared" si="17"/>
        <v>9.9999996760000002E-4</v>
      </c>
      <c r="F36" s="1176">
        <f t="shared" si="18"/>
        <v>2.8434050557670502E-4</v>
      </c>
      <c r="G36" s="77"/>
      <c r="H36" s="77"/>
      <c r="I36" s="77"/>
      <c r="J36" s="77"/>
    </row>
    <row r="37" spans="1:12" ht="24" customHeight="1">
      <c r="A37" s="1175">
        <v>100</v>
      </c>
      <c r="B37" s="1151" t="s">
        <v>300</v>
      </c>
      <c r="C37" s="1152">
        <f>A37*859.8452</f>
        <v>85984.52</v>
      </c>
      <c r="D37" s="1152">
        <f t="shared" si="16"/>
        <v>99999.996759999995</v>
      </c>
      <c r="E37" s="1152">
        <f t="shared" si="17"/>
        <v>99.999996760000002</v>
      </c>
      <c r="F37" s="1176">
        <f t="shared" si="18"/>
        <v>28.434050557670499</v>
      </c>
      <c r="G37" s="77"/>
      <c r="H37" s="77"/>
      <c r="I37" s="77"/>
      <c r="J37" s="77"/>
    </row>
    <row r="38" spans="1:12" ht="24" customHeight="1">
      <c r="A38" s="1177">
        <v>200</v>
      </c>
      <c r="B38" s="1178" t="s">
        <v>13418</v>
      </c>
      <c r="C38" s="1179">
        <f>A38*3023.99828</f>
        <v>604799.65599999996</v>
      </c>
      <c r="D38" s="1179">
        <f t="shared" si="16"/>
        <v>703381.99992800003</v>
      </c>
      <c r="E38" s="1179">
        <f t="shared" si="17"/>
        <v>703.38199992800003</v>
      </c>
      <c r="F38" s="1180">
        <f t="shared" si="18"/>
        <v>199.99999995308201</v>
      </c>
      <c r="G38" s="77"/>
      <c r="H38" s="77"/>
      <c r="I38" s="77"/>
      <c r="J38" s="77"/>
    </row>
    <row r="39" spans="1:12" ht="24" customHeight="1">
      <c r="A39" s="1181"/>
      <c r="B39" s="1182"/>
      <c r="C39" s="684"/>
      <c r="D39" s="684"/>
      <c r="E39" s="684"/>
      <c r="F39" s="1183"/>
    </row>
    <row r="40" spans="1:12" ht="24" customHeight="1">
      <c r="A40" s="1184" t="s">
        <v>13419</v>
      </c>
      <c r="K40" s="75"/>
      <c r="L40" s="75"/>
    </row>
    <row r="41" spans="1:12" ht="24" customHeight="1">
      <c r="A41" s="1185"/>
      <c r="B41" s="1186"/>
      <c r="C41" s="1187" t="s">
        <v>2135</v>
      </c>
      <c r="D41" s="1187" t="s">
        <v>5816</v>
      </c>
      <c r="E41" s="1187" t="s">
        <v>13420</v>
      </c>
      <c r="F41" s="1187" t="s">
        <v>13421</v>
      </c>
      <c r="G41" s="1188" t="s">
        <v>13422</v>
      </c>
    </row>
    <row r="42" spans="1:12" ht="24" customHeight="1">
      <c r="A42" s="1189">
        <v>1</v>
      </c>
      <c r="B42" s="1190" t="s">
        <v>2135</v>
      </c>
      <c r="C42" s="1191">
        <f>A42*1</f>
        <v>1</v>
      </c>
      <c r="D42" s="1191">
        <f t="shared" ref="D42:D46" si="19">C42*60</f>
        <v>60</v>
      </c>
      <c r="E42" s="1191">
        <f t="shared" ref="E42:E46" si="20">C42*3600</f>
        <v>3600</v>
      </c>
      <c r="F42" s="1191">
        <f t="shared" ref="F42:F46" si="21">C42/0.0051</f>
        <v>196.07843137254901</v>
      </c>
      <c r="G42" s="1192">
        <f t="shared" ref="G42:G46" si="22">C42/0.3048</f>
        <v>3.2808398950131199</v>
      </c>
    </row>
    <row r="43" spans="1:12" ht="24" customHeight="1">
      <c r="A43" s="1189">
        <v>0.154</v>
      </c>
      <c r="B43" s="1190" t="s">
        <v>5816</v>
      </c>
      <c r="C43" s="1191">
        <f>A43/60</f>
        <v>2.5666666666666698E-3</v>
      </c>
      <c r="D43" s="1191">
        <f t="shared" si="19"/>
        <v>0.154</v>
      </c>
      <c r="E43" s="1191">
        <f t="shared" si="20"/>
        <v>9.24</v>
      </c>
      <c r="F43" s="1191">
        <f t="shared" si="21"/>
        <v>0.50326797385620903</v>
      </c>
      <c r="G43" s="1192">
        <f t="shared" si="22"/>
        <v>8.4208223972003504E-3</v>
      </c>
    </row>
    <row r="44" spans="1:12" ht="24" customHeight="1">
      <c r="A44" s="1189">
        <v>9</v>
      </c>
      <c r="B44" s="1190" t="s">
        <v>13420</v>
      </c>
      <c r="C44" s="1191">
        <f>A44/3600</f>
        <v>2.5000000000000001E-3</v>
      </c>
      <c r="D44" s="1191">
        <f t="shared" si="19"/>
        <v>0.15</v>
      </c>
      <c r="E44" s="1191">
        <f t="shared" si="20"/>
        <v>9</v>
      </c>
      <c r="F44" s="1191">
        <f t="shared" si="21"/>
        <v>0.49019607843137297</v>
      </c>
      <c r="G44" s="1192">
        <f t="shared" si="22"/>
        <v>8.20209973753281E-3</v>
      </c>
    </row>
    <row r="45" spans="1:12" ht="24" customHeight="1">
      <c r="A45" s="1189">
        <v>1</v>
      </c>
      <c r="B45" s="1190" t="s">
        <v>13421</v>
      </c>
      <c r="C45" s="1191">
        <f>A45*0.0051</f>
        <v>5.1000000000000004E-3</v>
      </c>
      <c r="D45" s="1191">
        <f t="shared" si="19"/>
        <v>0.30599999999999999</v>
      </c>
      <c r="E45" s="1191">
        <f t="shared" si="20"/>
        <v>18.36</v>
      </c>
      <c r="F45" s="1191">
        <f t="shared" si="21"/>
        <v>1</v>
      </c>
      <c r="G45" s="1192">
        <f t="shared" si="22"/>
        <v>1.6732283464566899E-2</v>
      </c>
    </row>
    <row r="46" spans="1:12" ht="24" customHeight="1">
      <c r="A46" s="1193">
        <v>1</v>
      </c>
      <c r="B46" s="1194" t="s">
        <v>13422</v>
      </c>
      <c r="C46" s="1195">
        <f>A46*0.3048</f>
        <v>0.30480000000000002</v>
      </c>
      <c r="D46" s="1195">
        <f t="shared" si="19"/>
        <v>18.288</v>
      </c>
      <c r="E46" s="1195">
        <f t="shared" si="20"/>
        <v>1097.28</v>
      </c>
      <c r="F46" s="1195">
        <f t="shared" si="21"/>
        <v>59.764705882352899</v>
      </c>
      <c r="G46" s="1196">
        <f t="shared" si="22"/>
        <v>1</v>
      </c>
    </row>
    <row r="47" spans="1:12" ht="24" customHeight="1">
      <c r="A47" s="1197" t="s">
        <v>13423</v>
      </c>
      <c r="B47" s="1158"/>
      <c r="C47" s="1158"/>
      <c r="D47" s="1158"/>
      <c r="E47" s="1158"/>
      <c r="F47" s="1158"/>
      <c r="G47" s="62"/>
    </row>
    <row r="48" spans="1:12" ht="24" customHeight="1">
      <c r="A48" s="1198"/>
      <c r="B48" s="1199"/>
      <c r="C48" s="1200" t="s">
        <v>408</v>
      </c>
      <c r="D48" s="1200" t="s">
        <v>309</v>
      </c>
      <c r="E48" s="1200" t="s">
        <v>234</v>
      </c>
      <c r="F48" s="1199" t="s">
        <v>13424</v>
      </c>
      <c r="G48" s="1199" t="s">
        <v>13425</v>
      </c>
      <c r="H48" s="1199" t="s">
        <v>13426</v>
      </c>
      <c r="I48" s="1216" t="s">
        <v>13427</v>
      </c>
    </row>
    <row r="49" spans="1:9" ht="24" customHeight="1">
      <c r="A49" s="1201">
        <v>0.154</v>
      </c>
      <c r="B49" s="1190" t="s">
        <v>408</v>
      </c>
      <c r="C49" s="1191">
        <f>A49*1</f>
        <v>0.154</v>
      </c>
      <c r="D49" s="1191">
        <f t="shared" ref="D49:D55" si="23">C49*100</f>
        <v>15.4</v>
      </c>
      <c r="E49" s="1191">
        <f t="shared" ref="E49:E55" si="24">C49*1000</f>
        <v>154</v>
      </c>
      <c r="F49" s="1191">
        <f t="shared" ref="F49:F55" si="25">C49*39.37</f>
        <v>6.0629799999999996</v>
      </c>
      <c r="G49" s="1191">
        <f t="shared" ref="G49:G55" si="26">C49*3.281</f>
        <v>0.505274</v>
      </c>
      <c r="H49" s="1191">
        <f t="shared" ref="H49:H55" si="27">C49*3.3</f>
        <v>0.50819999999999999</v>
      </c>
      <c r="I49" s="1217">
        <f t="shared" ref="I49:I55" si="28">C49*POWER(10,6)</f>
        <v>154000</v>
      </c>
    </row>
    <row r="50" spans="1:9" ht="24" customHeight="1">
      <c r="A50" s="1201">
        <v>1</v>
      </c>
      <c r="B50" s="1190" t="s">
        <v>13428</v>
      </c>
      <c r="C50" s="1191">
        <f>0.01*A50</f>
        <v>0.01</v>
      </c>
      <c r="D50" s="1191">
        <f t="shared" si="23"/>
        <v>1</v>
      </c>
      <c r="E50" s="1191">
        <f t="shared" si="24"/>
        <v>10</v>
      </c>
      <c r="F50" s="1191">
        <f t="shared" si="25"/>
        <v>0.39369999999999999</v>
      </c>
      <c r="G50" s="1191">
        <f t="shared" si="26"/>
        <v>3.2809999999999999E-2</v>
      </c>
      <c r="H50" s="1191">
        <f t="shared" si="27"/>
        <v>3.3000000000000002E-2</v>
      </c>
      <c r="I50" s="1217">
        <f t="shared" si="28"/>
        <v>10000</v>
      </c>
    </row>
    <row r="51" spans="1:9" ht="24" customHeight="1">
      <c r="A51" s="1201">
        <v>92300</v>
      </c>
      <c r="B51" s="1190" t="s">
        <v>234</v>
      </c>
      <c r="C51" s="1191">
        <f>A51*0.001</f>
        <v>92.3</v>
      </c>
      <c r="D51" s="1191">
        <f t="shared" si="23"/>
        <v>9230</v>
      </c>
      <c r="E51" s="1191">
        <f t="shared" si="24"/>
        <v>92300</v>
      </c>
      <c r="F51" s="1191">
        <f t="shared" si="25"/>
        <v>3633.8510000000001</v>
      </c>
      <c r="G51" s="1191">
        <f t="shared" si="26"/>
        <v>302.83629999999999</v>
      </c>
      <c r="H51" s="1191">
        <f t="shared" si="27"/>
        <v>304.58999999999997</v>
      </c>
      <c r="I51" s="1217">
        <f t="shared" si="28"/>
        <v>92300000</v>
      </c>
    </row>
    <row r="52" spans="1:9" ht="24" customHeight="1">
      <c r="A52" s="1201">
        <v>1</v>
      </c>
      <c r="B52" s="1202" t="s">
        <v>13424</v>
      </c>
      <c r="C52" s="1191">
        <f>A52*0.0254</f>
        <v>2.5399999999999999E-2</v>
      </c>
      <c r="D52" s="1191">
        <f t="shared" si="23"/>
        <v>2.54</v>
      </c>
      <c r="E52" s="1191">
        <f t="shared" si="24"/>
        <v>25.4</v>
      </c>
      <c r="F52" s="1203">
        <f t="shared" si="25"/>
        <v>0.99999800000000005</v>
      </c>
      <c r="G52" s="1191">
        <f t="shared" si="26"/>
        <v>8.3337400000000006E-2</v>
      </c>
      <c r="H52" s="1191">
        <f t="shared" si="27"/>
        <v>8.3820000000000006E-2</v>
      </c>
      <c r="I52" s="1217">
        <f t="shared" si="28"/>
        <v>25400</v>
      </c>
    </row>
    <row r="53" spans="1:9" ht="24" customHeight="1">
      <c r="A53" s="1201">
        <v>1</v>
      </c>
      <c r="B53" s="1202" t="s">
        <v>13425</v>
      </c>
      <c r="C53" s="1191">
        <f>A53*0.3048</f>
        <v>0.30480000000000002</v>
      </c>
      <c r="D53" s="1191">
        <f t="shared" si="23"/>
        <v>30.48</v>
      </c>
      <c r="E53" s="1191">
        <f t="shared" si="24"/>
        <v>304.8</v>
      </c>
      <c r="F53" s="1191">
        <f t="shared" si="25"/>
        <v>11.999976</v>
      </c>
      <c r="G53" s="1203">
        <f t="shared" si="26"/>
        <v>1.0000488000000001</v>
      </c>
      <c r="H53" s="1191">
        <f t="shared" si="27"/>
        <v>1.0058400000000001</v>
      </c>
      <c r="I53" s="1217">
        <f t="shared" si="28"/>
        <v>304800</v>
      </c>
    </row>
    <row r="54" spans="1:9" ht="24" customHeight="1">
      <c r="A54" s="1201">
        <v>1</v>
      </c>
      <c r="B54" s="1202" t="s">
        <v>13426</v>
      </c>
      <c r="C54" s="1191">
        <f>A54*0.303</f>
        <v>0.30299999999999999</v>
      </c>
      <c r="D54" s="1191">
        <f t="shared" si="23"/>
        <v>30.3</v>
      </c>
      <c r="E54" s="1191">
        <f t="shared" si="24"/>
        <v>303</v>
      </c>
      <c r="F54" s="1191">
        <f t="shared" si="25"/>
        <v>11.92911</v>
      </c>
      <c r="G54" s="1191">
        <f t="shared" si="26"/>
        <v>0.994143</v>
      </c>
      <c r="H54" s="1203">
        <f t="shared" si="27"/>
        <v>0.99990000000000001</v>
      </c>
      <c r="I54" s="1217">
        <f t="shared" si="28"/>
        <v>303000</v>
      </c>
    </row>
    <row r="55" spans="1:9" ht="24" customHeight="1">
      <c r="A55" s="1204">
        <v>1</v>
      </c>
      <c r="B55" s="1205" t="s">
        <v>13427</v>
      </c>
      <c r="C55" s="1206">
        <f>POWER(10,-6)*A55</f>
        <v>9.9999999999999995E-7</v>
      </c>
      <c r="D55" s="1206">
        <f t="shared" si="23"/>
        <v>1E-4</v>
      </c>
      <c r="E55" s="1206">
        <f t="shared" si="24"/>
        <v>1E-3</v>
      </c>
      <c r="F55" s="1206">
        <f t="shared" si="25"/>
        <v>3.9369999999999997E-5</v>
      </c>
      <c r="G55" s="1206">
        <f t="shared" si="26"/>
        <v>3.281E-6</v>
      </c>
      <c r="H55" s="1206">
        <f t="shared" si="27"/>
        <v>3.3000000000000002E-6</v>
      </c>
      <c r="I55" s="1218">
        <f t="shared" si="28"/>
        <v>1</v>
      </c>
    </row>
    <row r="56" spans="1:9" ht="24" customHeight="1">
      <c r="A56" s="1184" t="s">
        <v>13429</v>
      </c>
    </row>
    <row r="57" spans="1:9" ht="24" customHeight="1">
      <c r="A57" s="1207"/>
      <c r="B57" s="1186"/>
      <c r="C57" s="1187" t="s">
        <v>13430</v>
      </c>
      <c r="D57" s="1187" t="s">
        <v>13431</v>
      </c>
      <c r="E57" s="1187" t="s">
        <v>13432</v>
      </c>
      <c r="F57" s="1187" t="s">
        <v>13433</v>
      </c>
      <c r="G57" s="1208" t="s">
        <v>13434</v>
      </c>
      <c r="H57" s="1209" t="s">
        <v>13435</v>
      </c>
    </row>
    <row r="58" spans="1:9" ht="24" customHeight="1">
      <c r="A58" s="1210">
        <v>1</v>
      </c>
      <c r="B58" s="1190" t="s">
        <v>13430</v>
      </c>
      <c r="C58" s="1211">
        <f>A58*1</f>
        <v>1</v>
      </c>
      <c r="D58" s="1191">
        <f t="shared" ref="D58:D63" si="29">C58*10000</f>
        <v>10000</v>
      </c>
      <c r="E58" s="1191">
        <f t="shared" ref="E58:E63" si="30">C58*1550</f>
        <v>1550</v>
      </c>
      <c r="F58" s="1191">
        <f t="shared" ref="F58:F63" si="31">C58*10.76</f>
        <v>10.76</v>
      </c>
      <c r="G58" s="1191">
        <f t="shared" ref="G58:G63" si="32">C58*0.0002471</f>
        <v>2.4709999999999999E-4</v>
      </c>
      <c r="H58" s="1192">
        <f t="shared" ref="H58:H63" si="33">C58*0.303</f>
        <v>0.30299999999999999</v>
      </c>
    </row>
    <row r="59" spans="1:9" ht="24" customHeight="1">
      <c r="A59" s="1210">
        <v>1</v>
      </c>
      <c r="B59" s="1190" t="s">
        <v>13431</v>
      </c>
      <c r="C59" s="1191">
        <f>A59*0.0001</f>
        <v>1E-4</v>
      </c>
      <c r="D59" s="1191">
        <f t="shared" si="29"/>
        <v>1</v>
      </c>
      <c r="E59" s="1191">
        <f t="shared" si="30"/>
        <v>0.155</v>
      </c>
      <c r="F59" s="1191">
        <f t="shared" si="31"/>
        <v>1.0759999999999999E-3</v>
      </c>
      <c r="G59" s="1191">
        <f t="shared" si="32"/>
        <v>2.4710000000000001E-8</v>
      </c>
      <c r="H59" s="1192">
        <f t="shared" si="33"/>
        <v>3.0300000000000001E-5</v>
      </c>
    </row>
    <row r="60" spans="1:9" ht="24" customHeight="1">
      <c r="A60" s="1210">
        <v>1</v>
      </c>
      <c r="B60" s="1190" t="s">
        <v>13432</v>
      </c>
      <c r="C60" s="1191">
        <f>A60*0.0006452</f>
        <v>6.4519999999999996E-4</v>
      </c>
      <c r="D60" s="1191">
        <f t="shared" si="29"/>
        <v>6.452</v>
      </c>
      <c r="E60" s="1191">
        <f t="shared" si="30"/>
        <v>1.0000599999999999</v>
      </c>
      <c r="F60" s="1191">
        <f t="shared" si="31"/>
        <v>6.9423519999999997E-3</v>
      </c>
      <c r="G60" s="1191">
        <f t="shared" si="32"/>
        <v>1.5942891999999999E-7</v>
      </c>
      <c r="H60" s="1192">
        <f t="shared" si="33"/>
        <v>1.954956E-4</v>
      </c>
    </row>
    <row r="61" spans="1:9" ht="24" customHeight="1">
      <c r="A61" s="1210">
        <v>1</v>
      </c>
      <c r="B61" s="1190" t="s">
        <v>13433</v>
      </c>
      <c r="C61" s="1191">
        <f>A61*0.0929</f>
        <v>9.2899999999999996E-2</v>
      </c>
      <c r="D61" s="1191">
        <f t="shared" si="29"/>
        <v>929</v>
      </c>
      <c r="E61" s="1191">
        <f t="shared" si="30"/>
        <v>143.995</v>
      </c>
      <c r="F61" s="1191">
        <f t="shared" si="31"/>
        <v>0.99960400000000005</v>
      </c>
      <c r="G61" s="1191">
        <f t="shared" si="32"/>
        <v>2.295559E-5</v>
      </c>
      <c r="H61" s="1192">
        <f t="shared" si="33"/>
        <v>2.8148699999999999E-2</v>
      </c>
    </row>
    <row r="62" spans="1:9" ht="24" customHeight="1">
      <c r="A62" s="1210">
        <v>1</v>
      </c>
      <c r="B62" s="1212" t="s">
        <v>13434</v>
      </c>
      <c r="C62" s="1191">
        <f>A62*4047</f>
        <v>4047</v>
      </c>
      <c r="D62" s="1191">
        <f t="shared" si="29"/>
        <v>40470000</v>
      </c>
      <c r="E62" s="1191">
        <f t="shared" si="30"/>
        <v>6272850</v>
      </c>
      <c r="F62" s="1191">
        <f t="shared" si="31"/>
        <v>43545.72</v>
      </c>
      <c r="G62" s="1191">
        <f t="shared" si="32"/>
        <v>1.0000137</v>
      </c>
      <c r="H62" s="1192">
        <f t="shared" si="33"/>
        <v>1226.241</v>
      </c>
    </row>
    <row r="63" spans="1:9" ht="24" customHeight="1">
      <c r="A63" s="1213">
        <v>1</v>
      </c>
      <c r="B63" s="1214" t="s">
        <v>13435</v>
      </c>
      <c r="C63" s="1195">
        <f>A63*3.306</f>
        <v>3.306</v>
      </c>
      <c r="D63" s="1195">
        <f t="shared" si="29"/>
        <v>33060</v>
      </c>
      <c r="E63" s="1195">
        <f t="shared" si="30"/>
        <v>5124.3</v>
      </c>
      <c r="F63" s="1195">
        <f t="shared" si="31"/>
        <v>35.572560000000003</v>
      </c>
      <c r="G63" s="1195">
        <f t="shared" si="32"/>
        <v>8.1691260000000003E-4</v>
      </c>
      <c r="H63" s="1196">
        <f t="shared" si="33"/>
        <v>1.0017180000000001</v>
      </c>
    </row>
    <row r="64" spans="1:9" ht="24" customHeight="1">
      <c r="A64" s="1184" t="s">
        <v>13436</v>
      </c>
    </row>
    <row r="65" spans="1:8" ht="24" customHeight="1">
      <c r="A65" s="1219"/>
      <c r="B65" s="1187"/>
      <c r="C65" s="1187" t="s">
        <v>13437</v>
      </c>
      <c r="D65" s="1187" t="s">
        <v>13438</v>
      </c>
      <c r="E65" s="1187" t="s">
        <v>13439</v>
      </c>
      <c r="F65" s="1188" t="s">
        <v>13440</v>
      </c>
    </row>
    <row r="66" spans="1:8" ht="24" customHeight="1">
      <c r="A66" s="1210">
        <v>1</v>
      </c>
      <c r="B66" s="1190" t="s">
        <v>13441</v>
      </c>
      <c r="C66" s="1191">
        <f>A66*1</f>
        <v>1</v>
      </c>
      <c r="D66" s="1191">
        <f t="shared" ref="D66:D69" si="34">C66*1000</f>
        <v>1000</v>
      </c>
      <c r="E66" s="1191">
        <f t="shared" ref="E66:E69" si="35">C66*35.31</f>
        <v>35.31</v>
      </c>
      <c r="F66" s="1192">
        <f t="shared" ref="F66:F69" si="36">C66*264.2</f>
        <v>264.2</v>
      </c>
    </row>
    <row r="67" spans="1:8" ht="24" customHeight="1">
      <c r="A67" s="1210">
        <v>1</v>
      </c>
      <c r="B67" s="1190" t="s">
        <v>13438</v>
      </c>
      <c r="C67" s="1191">
        <f>A67*0.001</f>
        <v>1E-3</v>
      </c>
      <c r="D67" s="1191">
        <f t="shared" si="34"/>
        <v>1</v>
      </c>
      <c r="E67" s="1191">
        <f t="shared" si="35"/>
        <v>3.5310000000000001E-2</v>
      </c>
      <c r="F67" s="1192">
        <f t="shared" si="36"/>
        <v>0.26419999999999999</v>
      </c>
    </row>
    <row r="68" spans="1:8" ht="24" customHeight="1">
      <c r="A68" s="1210">
        <v>1</v>
      </c>
      <c r="B68" s="1190" t="s">
        <v>13439</v>
      </c>
      <c r="C68" s="1191">
        <f>A68*0.02832</f>
        <v>2.8320000000000001E-2</v>
      </c>
      <c r="D68" s="1191">
        <f t="shared" si="34"/>
        <v>28.32</v>
      </c>
      <c r="E68" s="1220">
        <f t="shared" si="35"/>
        <v>0.99997919999999996</v>
      </c>
      <c r="F68" s="1192">
        <f t="shared" si="36"/>
        <v>7.4821439999999999</v>
      </c>
    </row>
    <row r="69" spans="1:8" ht="24" customHeight="1">
      <c r="A69" s="1213">
        <v>1</v>
      </c>
      <c r="B69" s="1194" t="s">
        <v>13442</v>
      </c>
      <c r="C69" s="1195">
        <f>A69*0.003785</f>
        <v>3.7850000000000002E-3</v>
      </c>
      <c r="D69" s="1195">
        <f t="shared" si="34"/>
        <v>3.7850000000000001</v>
      </c>
      <c r="E69" s="1195">
        <f t="shared" si="35"/>
        <v>0.13364835</v>
      </c>
      <c r="F69" s="1221">
        <f t="shared" si="36"/>
        <v>0.99999700000000002</v>
      </c>
    </row>
    <row r="70" spans="1:8" ht="24" customHeight="1">
      <c r="A70" s="5893" t="s">
        <v>13443</v>
      </c>
      <c r="B70" s="5893"/>
    </row>
    <row r="71" spans="1:8" ht="24" customHeight="1">
      <c r="A71" s="1222"/>
      <c r="B71" s="1186"/>
      <c r="C71" s="1187" t="s">
        <v>1075</v>
      </c>
      <c r="D71" s="1187" t="s">
        <v>13444</v>
      </c>
      <c r="E71" s="1187" t="s">
        <v>13445</v>
      </c>
      <c r="F71" s="1174" t="s">
        <v>13446</v>
      </c>
    </row>
    <row r="72" spans="1:8" ht="24" customHeight="1">
      <c r="A72" s="1210">
        <v>10</v>
      </c>
      <c r="B72" s="1190" t="s">
        <v>1075</v>
      </c>
      <c r="C72" s="1191">
        <f>A72*1</f>
        <v>10</v>
      </c>
      <c r="D72" s="1191">
        <f t="shared" ref="D72:D75" si="37">C72*2.205</f>
        <v>22.05</v>
      </c>
      <c r="E72" s="1191">
        <f t="shared" ref="E72:E75" si="38">C72*0.001</f>
        <v>0.01</v>
      </c>
      <c r="F72" s="1192">
        <f t="shared" ref="F72:F75" si="39">9.8*C72</f>
        <v>98</v>
      </c>
    </row>
    <row r="73" spans="1:8" ht="24" customHeight="1">
      <c r="A73" s="1210">
        <v>1</v>
      </c>
      <c r="B73" s="1190" t="s">
        <v>13444</v>
      </c>
      <c r="C73" s="1191">
        <f>A73*0.4536</f>
        <v>0.4536</v>
      </c>
      <c r="D73" s="1223">
        <f t="shared" si="37"/>
        <v>1.0001880000000001</v>
      </c>
      <c r="E73" s="1191">
        <f t="shared" si="38"/>
        <v>4.5360000000000002E-4</v>
      </c>
      <c r="F73" s="1192">
        <f t="shared" si="39"/>
        <v>4.4452800000000003</v>
      </c>
    </row>
    <row r="74" spans="1:8" ht="24" customHeight="1">
      <c r="A74" s="1210">
        <v>1</v>
      </c>
      <c r="B74" s="1190" t="s">
        <v>13445</v>
      </c>
      <c r="C74" s="1191">
        <f>A74*1000</f>
        <v>1000</v>
      </c>
      <c r="D74" s="1191">
        <f t="shared" si="37"/>
        <v>2205</v>
      </c>
      <c r="E74" s="1191">
        <f t="shared" si="38"/>
        <v>1</v>
      </c>
      <c r="F74" s="1192">
        <f t="shared" si="39"/>
        <v>9800</v>
      </c>
    </row>
    <row r="75" spans="1:8" ht="24" customHeight="1">
      <c r="A75" s="1213">
        <v>60</v>
      </c>
      <c r="B75" s="1178" t="s">
        <v>13446</v>
      </c>
      <c r="C75" s="1195">
        <f>A75/9.8</f>
        <v>6.12244897959184</v>
      </c>
      <c r="D75" s="1195">
        <f t="shared" si="37"/>
        <v>13.5</v>
      </c>
      <c r="E75" s="1195">
        <f t="shared" si="38"/>
        <v>6.1224489795918399E-3</v>
      </c>
      <c r="F75" s="1196">
        <f t="shared" si="39"/>
        <v>60</v>
      </c>
    </row>
    <row r="76" spans="1:8" ht="24" customHeight="1">
      <c r="A76" s="1224" t="s">
        <v>13447</v>
      </c>
    </row>
    <row r="77" spans="1:8" ht="24" customHeight="1">
      <c r="B77" s="1199"/>
      <c r="C77" s="1200" t="s">
        <v>13448</v>
      </c>
      <c r="D77" s="1200" t="s">
        <v>13449</v>
      </c>
      <c r="E77" s="1200" t="s">
        <v>13450</v>
      </c>
      <c r="F77" s="1200" t="s">
        <v>13451</v>
      </c>
      <c r="G77" s="1200" t="s">
        <v>13452</v>
      </c>
      <c r="H77" s="1225" t="s">
        <v>13453</v>
      </c>
    </row>
    <row r="78" spans="1:8" ht="24" customHeight="1">
      <c r="A78" s="1226">
        <v>1</v>
      </c>
      <c r="B78" s="1190" t="s">
        <v>13448</v>
      </c>
      <c r="C78" s="1191">
        <f>A78*1</f>
        <v>1</v>
      </c>
      <c r="D78" s="1191">
        <f t="shared" ref="D78:D83" si="40">C78*1000</f>
        <v>1000</v>
      </c>
      <c r="E78" s="1191">
        <f t="shared" ref="E78:E83" si="41">C78*62.42</f>
        <v>62.42</v>
      </c>
      <c r="F78" s="1191">
        <f t="shared" ref="F78:F83" si="42">C78*8.345</f>
        <v>8.3450000000000006</v>
      </c>
      <c r="G78" s="1191">
        <f t="shared" ref="G78:G83" si="43">C78*1000000</f>
        <v>1000000</v>
      </c>
      <c r="H78" s="1217">
        <f t="shared" ref="H78:H83" si="44">C78*436900</f>
        <v>436900</v>
      </c>
    </row>
    <row r="79" spans="1:8" ht="24" customHeight="1">
      <c r="A79" s="1226">
        <v>1</v>
      </c>
      <c r="B79" s="1190" t="s">
        <v>13449</v>
      </c>
      <c r="C79" s="1191">
        <f>A79*0.001</f>
        <v>1E-3</v>
      </c>
      <c r="D79" s="1191">
        <f t="shared" si="40"/>
        <v>1</v>
      </c>
      <c r="E79" s="1191">
        <f t="shared" si="41"/>
        <v>6.2420000000000003E-2</v>
      </c>
      <c r="F79" s="1191">
        <f t="shared" si="42"/>
        <v>8.345E-3</v>
      </c>
      <c r="G79" s="1191">
        <f t="shared" si="43"/>
        <v>1000</v>
      </c>
      <c r="H79" s="1217">
        <f t="shared" si="44"/>
        <v>436.9</v>
      </c>
    </row>
    <row r="80" spans="1:8" ht="24" customHeight="1">
      <c r="A80" s="1226">
        <v>1</v>
      </c>
      <c r="B80" s="1190" t="s">
        <v>13450</v>
      </c>
      <c r="C80" s="1191">
        <f>A80*0.01602</f>
        <v>1.602E-2</v>
      </c>
      <c r="D80" s="1191">
        <f t="shared" si="40"/>
        <v>16.02</v>
      </c>
      <c r="E80" s="1220">
        <f t="shared" si="41"/>
        <v>0.99996839999999998</v>
      </c>
      <c r="F80" s="1191">
        <f t="shared" si="42"/>
        <v>0.1336869</v>
      </c>
      <c r="G80" s="1191">
        <f t="shared" si="43"/>
        <v>16020</v>
      </c>
      <c r="H80" s="1217">
        <f t="shared" si="44"/>
        <v>6999.1379999999999</v>
      </c>
    </row>
    <row r="81" spans="1:9" ht="24" customHeight="1">
      <c r="A81" s="1226">
        <v>1</v>
      </c>
      <c r="B81" s="1190" t="s">
        <v>13451</v>
      </c>
      <c r="C81" s="1191">
        <f>A81*0.1198</f>
        <v>0.1198</v>
      </c>
      <c r="D81" s="1191">
        <f t="shared" si="40"/>
        <v>119.8</v>
      </c>
      <c r="E81" s="1191">
        <f t="shared" si="41"/>
        <v>7.4779159999999996</v>
      </c>
      <c r="F81" s="1223">
        <f t="shared" si="42"/>
        <v>0.99973100000000004</v>
      </c>
      <c r="G81" s="1191">
        <f t="shared" si="43"/>
        <v>119800</v>
      </c>
      <c r="H81" s="1217">
        <f t="shared" si="44"/>
        <v>52340.62</v>
      </c>
    </row>
    <row r="82" spans="1:9" ht="24" customHeight="1">
      <c r="A82" s="1226">
        <v>1</v>
      </c>
      <c r="B82" s="1190" t="s">
        <v>13452</v>
      </c>
      <c r="C82" s="1191">
        <f>A82*0.000001</f>
        <v>9.9999999999999995E-7</v>
      </c>
      <c r="D82" s="1191">
        <f t="shared" si="40"/>
        <v>1E-3</v>
      </c>
      <c r="E82" s="1191">
        <f t="shared" si="41"/>
        <v>6.2420000000000002E-5</v>
      </c>
      <c r="F82" s="1191">
        <f t="shared" si="42"/>
        <v>8.3450000000000006E-6</v>
      </c>
      <c r="G82" s="1191">
        <f t="shared" si="43"/>
        <v>1</v>
      </c>
      <c r="H82" s="1217">
        <f t="shared" si="44"/>
        <v>0.43690000000000001</v>
      </c>
    </row>
    <row r="83" spans="1:9" ht="24" customHeight="1">
      <c r="A83" s="1227">
        <v>1</v>
      </c>
      <c r="B83" s="1228" t="s">
        <v>13453</v>
      </c>
      <c r="C83" s="1206">
        <f>A83*0.000002289</f>
        <v>2.289E-6</v>
      </c>
      <c r="D83" s="1206">
        <f t="shared" si="40"/>
        <v>2.2889999999999998E-3</v>
      </c>
      <c r="E83" s="1206">
        <f t="shared" si="41"/>
        <v>1.4287938E-4</v>
      </c>
      <c r="F83" s="1206">
        <f t="shared" si="42"/>
        <v>1.9101705000000001E-5</v>
      </c>
      <c r="G83" s="1206">
        <f t="shared" si="43"/>
        <v>2.2890000000000001</v>
      </c>
      <c r="H83" s="1229">
        <f t="shared" si="44"/>
        <v>1.0000640999999999</v>
      </c>
      <c r="I83" s="684"/>
    </row>
    <row r="84" spans="1:9" ht="24" customHeight="1">
      <c r="A84" s="1184" t="s">
        <v>13454</v>
      </c>
    </row>
    <row r="85" spans="1:9" ht="24" customHeight="1">
      <c r="A85" s="1230"/>
      <c r="B85" s="1199"/>
      <c r="C85" s="1200" t="s">
        <v>13455</v>
      </c>
      <c r="D85" s="1200" t="s">
        <v>13456</v>
      </c>
      <c r="E85" s="1200" t="s">
        <v>13457</v>
      </c>
      <c r="F85" s="1200" t="s">
        <v>13458</v>
      </c>
      <c r="G85" s="1225" t="s">
        <v>13459</v>
      </c>
    </row>
    <row r="86" spans="1:9" ht="24" customHeight="1">
      <c r="A86" s="1226">
        <v>1</v>
      </c>
      <c r="B86" s="1190" t="s">
        <v>13455</v>
      </c>
      <c r="C86" s="1191">
        <f>A86*1</f>
        <v>1</v>
      </c>
      <c r="D86" s="1191">
        <f t="shared" ref="D86:D90" si="45">C86*100</f>
        <v>100</v>
      </c>
      <c r="E86" s="1191">
        <f t="shared" ref="E86:E90" si="46">C86*0.1</f>
        <v>0.1</v>
      </c>
      <c r="F86" s="1191">
        <f t="shared" ref="F86:F90" si="47">C86*360</f>
        <v>360</v>
      </c>
      <c r="G86" s="1217">
        <f t="shared" ref="G86:G90" si="48">C86*0.0672</f>
        <v>6.7199999999999996E-2</v>
      </c>
    </row>
    <row r="87" spans="1:9" ht="24" customHeight="1">
      <c r="A87" s="1226">
        <v>1</v>
      </c>
      <c r="B87" s="1190" t="s">
        <v>13456</v>
      </c>
      <c r="C87" s="1191">
        <f>A87*0.01</f>
        <v>0.01</v>
      </c>
      <c r="D87" s="1191">
        <f t="shared" si="45"/>
        <v>1</v>
      </c>
      <c r="E87" s="1191">
        <f t="shared" si="46"/>
        <v>1E-3</v>
      </c>
      <c r="F87" s="1191">
        <f t="shared" si="47"/>
        <v>3.6</v>
      </c>
      <c r="G87" s="1217">
        <f t="shared" si="48"/>
        <v>6.7199999999999996E-4</v>
      </c>
    </row>
    <row r="88" spans="1:9" ht="24" customHeight="1">
      <c r="A88" s="1226">
        <v>1</v>
      </c>
      <c r="B88" s="1190" t="s">
        <v>13457</v>
      </c>
      <c r="C88" s="1191">
        <f>A88*10</f>
        <v>10</v>
      </c>
      <c r="D88" s="1191">
        <f t="shared" si="45"/>
        <v>1000</v>
      </c>
      <c r="E88" s="1191">
        <f t="shared" si="46"/>
        <v>1</v>
      </c>
      <c r="F88" s="1191">
        <f t="shared" si="47"/>
        <v>3600</v>
      </c>
      <c r="G88" s="1217">
        <f t="shared" si="48"/>
        <v>0.67200000000000004</v>
      </c>
    </row>
    <row r="89" spans="1:9" ht="24" customHeight="1">
      <c r="A89" s="1226">
        <v>1</v>
      </c>
      <c r="B89" s="1190" t="s">
        <v>13458</v>
      </c>
      <c r="C89" s="1191">
        <f>A89*0.002778</f>
        <v>2.7780000000000001E-3</v>
      </c>
      <c r="D89" s="1191">
        <f t="shared" si="45"/>
        <v>0.27779999999999999</v>
      </c>
      <c r="E89" s="1191">
        <f t="shared" si="46"/>
        <v>2.7779999999999998E-4</v>
      </c>
      <c r="F89" s="1223">
        <f t="shared" si="47"/>
        <v>1.0000800000000001</v>
      </c>
      <c r="G89" s="1217">
        <f t="shared" si="48"/>
        <v>1.866816E-4</v>
      </c>
    </row>
    <row r="90" spans="1:9" ht="24" customHeight="1">
      <c r="A90" s="1227">
        <v>1</v>
      </c>
      <c r="B90" s="1228" t="s">
        <v>13459</v>
      </c>
      <c r="C90" s="1206">
        <f>A90*14.88</f>
        <v>14.88</v>
      </c>
      <c r="D90" s="1206">
        <f t="shared" si="45"/>
        <v>1488</v>
      </c>
      <c r="E90" s="1206">
        <f t="shared" si="46"/>
        <v>1.488</v>
      </c>
      <c r="F90" s="1206">
        <f t="shared" si="47"/>
        <v>5356.8</v>
      </c>
      <c r="G90" s="1229">
        <f t="shared" si="48"/>
        <v>0.99993600000000005</v>
      </c>
    </row>
    <row r="91" spans="1:9" ht="24" customHeight="1">
      <c r="A91" s="1224" t="s">
        <v>13460</v>
      </c>
    </row>
    <row r="92" spans="1:9" ht="24" customHeight="1">
      <c r="A92" s="1219"/>
      <c r="B92" s="1186"/>
      <c r="C92" s="1186" t="s">
        <v>13461</v>
      </c>
      <c r="D92" s="1186" t="s">
        <v>13462</v>
      </c>
      <c r="E92" s="1231" t="s">
        <v>13463</v>
      </c>
    </row>
    <row r="93" spans="1:9" ht="24" customHeight="1">
      <c r="A93" s="1189">
        <v>0</v>
      </c>
      <c r="B93" s="1232" t="s">
        <v>13461</v>
      </c>
      <c r="C93" s="1191">
        <f>A93*1</f>
        <v>0</v>
      </c>
      <c r="D93" s="1233">
        <f>C93-273.15</f>
        <v>-273.14999999999998</v>
      </c>
      <c r="E93" s="1192">
        <f t="shared" ref="E93:E95" si="49">D93*9/5+32</f>
        <v>-459.67</v>
      </c>
    </row>
    <row r="94" spans="1:9" ht="24" customHeight="1">
      <c r="A94" s="1189">
        <v>27</v>
      </c>
      <c r="B94" s="1202" t="s">
        <v>13462</v>
      </c>
      <c r="C94" s="1233">
        <f>A94+273.15</f>
        <v>300.14999999999998</v>
      </c>
      <c r="D94" s="1191">
        <f>A94*1</f>
        <v>27</v>
      </c>
      <c r="E94" s="1192">
        <f t="shared" si="49"/>
        <v>80.599999999999994</v>
      </c>
    </row>
    <row r="95" spans="1:9" ht="24" customHeight="1">
      <c r="A95" s="1193">
        <v>27</v>
      </c>
      <c r="B95" s="1234" t="s">
        <v>13463</v>
      </c>
      <c r="C95" s="1235">
        <f>(A95-32)/1.8-273.15</f>
        <v>-275.92777777777798</v>
      </c>
      <c r="D95" s="1236">
        <f>(A95-32)/1.8</f>
        <v>-2.7777777777777799</v>
      </c>
      <c r="E95" s="1196">
        <f t="shared" si="49"/>
        <v>27</v>
      </c>
    </row>
    <row r="96" spans="1:9" ht="24" customHeight="1">
      <c r="A96" s="1237" t="s">
        <v>13464</v>
      </c>
      <c r="B96" s="1237"/>
    </row>
    <row r="97" spans="1:6" ht="24" customHeight="1">
      <c r="A97" s="1238" t="s">
        <v>429</v>
      </c>
      <c r="B97" s="1239">
        <v>50</v>
      </c>
      <c r="C97" s="1188" t="s">
        <v>13465</v>
      </c>
    </row>
    <row r="98" spans="1:6" ht="24" customHeight="1">
      <c r="A98" s="1240" t="s">
        <v>445</v>
      </c>
      <c r="B98" s="1241">
        <v>3</v>
      </c>
      <c r="C98" s="1242" t="s">
        <v>13466</v>
      </c>
    </row>
    <row r="99" spans="1:6" ht="24" customHeight="1">
      <c r="A99" s="1240" t="s">
        <v>2487</v>
      </c>
      <c r="B99" s="1191">
        <f>60*B97/B98*2</f>
        <v>2000</v>
      </c>
      <c r="C99" s="1243" t="s">
        <v>227</v>
      </c>
    </row>
    <row r="100" spans="1:6" ht="24" customHeight="1">
      <c r="A100" s="1240" t="s">
        <v>13467</v>
      </c>
      <c r="B100" s="1191">
        <v>2950</v>
      </c>
      <c r="C100" s="1243" t="s">
        <v>227</v>
      </c>
    </row>
    <row r="101" spans="1:6" ht="24" customHeight="1">
      <c r="A101" s="1240" t="s">
        <v>1077</v>
      </c>
      <c r="B101" s="1191">
        <v>1430</v>
      </c>
      <c r="C101" s="1243" t="s">
        <v>227</v>
      </c>
    </row>
    <row r="102" spans="1:6" ht="24" customHeight="1">
      <c r="A102" s="1240" t="s">
        <v>13468</v>
      </c>
      <c r="B102" s="1191">
        <v>860</v>
      </c>
      <c r="C102" s="1243" t="s">
        <v>227</v>
      </c>
    </row>
    <row r="103" spans="1:6" ht="24" customHeight="1">
      <c r="A103" s="1244" t="s">
        <v>13469</v>
      </c>
      <c r="B103" s="1195">
        <v>650</v>
      </c>
      <c r="C103" s="1245" t="s">
        <v>227</v>
      </c>
    </row>
    <row r="105" spans="1:6" ht="24" customHeight="1">
      <c r="B105" s="5894" t="s">
        <v>13470</v>
      </c>
      <c r="C105" s="5894"/>
      <c r="D105" s="5894"/>
      <c r="E105" s="5894"/>
      <c r="F105" s="5894"/>
    </row>
    <row r="106" spans="1:6" ht="24" customHeight="1">
      <c r="A106" s="1246" t="s">
        <v>13471</v>
      </c>
      <c r="B106" s="1239">
        <v>0.1</v>
      </c>
      <c r="C106" s="1186" t="s">
        <v>13472</v>
      </c>
      <c r="D106" s="1239">
        <v>0.04</v>
      </c>
      <c r="E106" s="1186" t="s">
        <v>13473</v>
      </c>
      <c r="F106" s="1247">
        <v>1</v>
      </c>
    </row>
    <row r="107" spans="1:6" ht="24" customHeight="1">
      <c r="A107" s="5889" t="s">
        <v>13474</v>
      </c>
      <c r="B107" s="5883" t="s">
        <v>13475</v>
      </c>
      <c r="C107" s="5883"/>
      <c r="D107" s="1248" t="s">
        <v>13430</v>
      </c>
      <c r="E107" s="5884">
        <f>3.1416*B106*(D106+B106/2)</f>
        <v>2.8274400000000002E-2</v>
      </c>
      <c r="F107" s="5885"/>
    </row>
    <row r="108" spans="1:6" ht="24" customHeight="1">
      <c r="A108" s="5889"/>
      <c r="B108" s="5883" t="s">
        <v>13476</v>
      </c>
      <c r="C108" s="5883"/>
      <c r="D108" s="1248" t="s">
        <v>13441</v>
      </c>
      <c r="E108" s="5884">
        <f>3.1416*B106*B106*D106/4</f>
        <v>3.1416000000000001E-4</v>
      </c>
      <c r="F108" s="5885"/>
    </row>
    <row r="109" spans="1:6" ht="24" customHeight="1">
      <c r="A109" s="5889" t="s">
        <v>13477</v>
      </c>
      <c r="B109" s="5883" t="s">
        <v>13475</v>
      </c>
      <c r="C109" s="5883"/>
      <c r="D109" s="1248" t="s">
        <v>13430</v>
      </c>
      <c r="E109" s="5884">
        <f>3.1416*B106/2*SQRT(POWER(B106/2,2)+POWER(D106,2))</f>
        <v>1.0058027552159499E-2</v>
      </c>
      <c r="F109" s="5885"/>
    </row>
    <row r="110" spans="1:6" ht="24" customHeight="1">
      <c r="A110" s="5889"/>
      <c r="B110" s="5883" t="s">
        <v>13476</v>
      </c>
      <c r="C110" s="5883"/>
      <c r="D110" s="1248" t="s">
        <v>13441</v>
      </c>
      <c r="E110" s="5884">
        <f>3.1416*POWER(B106/2,2)*D106/3</f>
        <v>1.0472E-4</v>
      </c>
      <c r="F110" s="5885"/>
    </row>
    <row r="111" spans="1:6" ht="24" customHeight="1">
      <c r="A111" s="5889" t="s">
        <v>13478</v>
      </c>
      <c r="B111" s="5883" t="s">
        <v>13475</v>
      </c>
      <c r="C111" s="5883"/>
      <c r="D111" s="1248" t="s">
        <v>13430</v>
      </c>
      <c r="E111" s="5884">
        <f>3.1416*B106*B106</f>
        <v>3.1415999999999999E-2</v>
      </c>
      <c r="F111" s="5885"/>
    </row>
    <row r="112" spans="1:6" ht="24" customHeight="1">
      <c r="A112" s="5889"/>
      <c r="B112" s="5883" t="s">
        <v>13476</v>
      </c>
      <c r="C112" s="5883"/>
      <c r="D112" s="1248" t="s">
        <v>13441</v>
      </c>
      <c r="E112" s="5884">
        <f>3.1416*POWER(B106,3)/6</f>
        <v>5.2360000000000004E-4</v>
      </c>
      <c r="F112" s="5885"/>
    </row>
    <row r="113" spans="1:6" ht="24" customHeight="1">
      <c r="A113" s="5889" t="s">
        <v>13479</v>
      </c>
      <c r="B113" s="5883" t="s">
        <v>13475</v>
      </c>
      <c r="C113" s="5883"/>
      <c r="D113" s="1248" t="s">
        <v>13430</v>
      </c>
      <c r="E113" s="5884">
        <f>5.1962*F106*F106+6*F106*D106</f>
        <v>5.4362000000000004</v>
      </c>
      <c r="F113" s="5885"/>
    </row>
    <row r="114" spans="1:6" ht="24" customHeight="1">
      <c r="A114" s="5890"/>
      <c r="B114" s="5886" t="s">
        <v>13476</v>
      </c>
      <c r="C114" s="5886"/>
      <c r="D114" s="1249" t="s">
        <v>13441</v>
      </c>
      <c r="E114" s="5887">
        <f>2.5981*F106*F106*D106</f>
        <v>0.103924</v>
      </c>
      <c r="F114" s="5888"/>
    </row>
    <row r="117" spans="1:6" ht="24" customHeight="1">
      <c r="A117" t="s">
        <v>13480</v>
      </c>
      <c r="B117" s="75"/>
      <c r="D117" s="84"/>
    </row>
  </sheetData>
  <mergeCells count="30">
    <mergeCell ref="A1:J1"/>
    <mergeCell ref="C3:D3"/>
    <mergeCell ref="H3:I3"/>
    <mergeCell ref="A5:B5"/>
    <mergeCell ref="A15:B15"/>
    <mergeCell ref="B108:C108"/>
    <mergeCell ref="E108:F108"/>
    <mergeCell ref="B109:C109"/>
    <mergeCell ref="E109:F109"/>
    <mergeCell ref="A21:B21"/>
    <mergeCell ref="A27:B27"/>
    <mergeCell ref="A33:B33"/>
    <mergeCell ref="A70:B70"/>
    <mergeCell ref="B105:F105"/>
    <mergeCell ref="B113:C113"/>
    <mergeCell ref="E113:F113"/>
    <mergeCell ref="B114:C114"/>
    <mergeCell ref="E114:F114"/>
    <mergeCell ref="A107:A108"/>
    <mergeCell ref="A109:A110"/>
    <mergeCell ref="A111:A112"/>
    <mergeCell ref="A113:A114"/>
    <mergeCell ref="B110:C110"/>
    <mergeCell ref="E110:F110"/>
    <mergeCell ref="B111:C111"/>
    <mergeCell ref="E111:F111"/>
    <mergeCell ref="B112:C112"/>
    <mergeCell ref="E112:F112"/>
    <mergeCell ref="B107:C107"/>
    <mergeCell ref="E107:F107"/>
  </mergeCells>
  <phoneticPr fontId="214" type="noConversion"/>
  <pageMargins left="0.75" right="0.75" top="1" bottom="1" header="0.5" footer="0.5"/>
  <pageSetup paperSize="9" scale="75" orientation="portrait"/>
  <headerFooter scaleWithDoc="0" alignWithMargins="0"/>
  <rowBreaks count="1" manualBreakCount="1">
    <brk id="57" max="16383" man="1"/>
  </rowBreaks>
  <colBreaks count="1" manualBreakCount="1">
    <brk id="10" max="1048575" man="1"/>
  </colBreaks>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40"/>
  <dimension ref="A1:IM111"/>
  <sheetViews>
    <sheetView zoomScale="115" zoomScaleNormal="115" workbookViewId="0">
      <selection activeCell="I1" sqref="I1"/>
    </sheetView>
  </sheetViews>
  <sheetFormatPr defaultColWidth="9" defaultRowHeight="13.5"/>
  <cols>
    <col min="1" max="1" width="10.625" style="1117" customWidth="1"/>
    <col min="2" max="2" width="19.75" style="1117" customWidth="1"/>
    <col min="3" max="3" width="8.625" style="1117" customWidth="1"/>
    <col min="4" max="4" width="9" style="1117"/>
    <col min="5" max="8" width="9.125" style="1117" customWidth="1"/>
    <col min="9" max="9" width="15.625" style="1117" customWidth="1"/>
    <col min="10" max="12" width="9.125" style="1117" customWidth="1"/>
    <col min="13" max="247" width="9" style="1117"/>
    <col min="248" max="16384" width="9" style="1118"/>
  </cols>
  <sheetData>
    <row r="1" spans="1:12" ht="30" customHeight="1">
      <c r="A1" s="5906" t="s">
        <v>32</v>
      </c>
      <c r="B1" s="5907"/>
      <c r="C1" s="5907"/>
      <c r="D1" s="5907"/>
      <c r="E1" s="5907"/>
      <c r="F1" s="5907"/>
      <c r="G1" s="5907"/>
      <c r="H1" s="5907"/>
    </row>
    <row r="2" spans="1:12" s="1116" customFormat="1" ht="19.899999999999999" customHeight="1">
      <c r="A2" s="5908" t="s">
        <v>2723</v>
      </c>
      <c r="B2" s="5908"/>
      <c r="C2" s="5908"/>
      <c r="D2" s="5908"/>
      <c r="E2" s="5908"/>
      <c r="F2" s="5908"/>
      <c r="G2" s="5908"/>
      <c r="H2" s="5908"/>
      <c r="I2" s="1117"/>
      <c r="J2" s="1117"/>
      <c r="K2" s="1117"/>
      <c r="L2" s="1117"/>
    </row>
    <row r="3" spans="1:12" s="1116" customFormat="1" ht="19.899999999999999" customHeight="1">
      <c r="A3" s="1117" t="s">
        <v>2724</v>
      </c>
      <c r="B3" s="1117"/>
      <c r="C3" s="1117"/>
      <c r="D3" s="1117"/>
      <c r="E3" s="1117"/>
      <c r="F3" s="1117"/>
      <c r="G3" s="1117"/>
      <c r="H3" s="1117"/>
      <c r="I3" s="1117"/>
      <c r="J3" s="1117"/>
      <c r="K3" s="1117"/>
      <c r="L3" s="1117"/>
    </row>
    <row r="4" spans="1:12" s="1116" customFormat="1" ht="19.899999999999999" customHeight="1">
      <c r="A4" s="1117" t="s">
        <v>2725</v>
      </c>
      <c r="B4" s="1117"/>
      <c r="C4" s="1117"/>
      <c r="D4" s="1117"/>
      <c r="E4" s="1117"/>
      <c r="F4" s="1117"/>
      <c r="G4" s="1117"/>
      <c r="H4" s="1117"/>
      <c r="I4" s="1130" t="s">
        <v>2726</v>
      </c>
      <c r="J4" s="1117"/>
      <c r="K4" s="1117"/>
      <c r="L4" s="1117"/>
    </row>
    <row r="5" spans="1:12" s="1116" customFormat="1" ht="19.899999999999999" customHeight="1">
      <c r="A5" s="1117"/>
      <c r="B5" s="1117"/>
      <c r="C5" s="1117"/>
      <c r="D5" s="1117"/>
      <c r="E5" s="1117"/>
      <c r="F5" s="1117"/>
      <c r="G5" s="1117"/>
      <c r="H5" s="1117"/>
      <c r="I5" s="1131">
        <v>2</v>
      </c>
      <c r="J5" s="1117"/>
      <c r="K5" s="1117"/>
      <c r="L5" s="1117"/>
    </row>
    <row r="6" spans="1:12" s="1116" customFormat="1" ht="19.899999999999999" customHeight="1">
      <c r="A6" s="1117"/>
      <c r="B6" s="1117"/>
      <c r="C6" s="1117"/>
      <c r="D6" s="1117"/>
      <c r="E6" s="1117"/>
      <c r="F6" s="1117"/>
      <c r="G6" s="1117"/>
      <c r="H6" s="1117"/>
      <c r="I6" s="1131">
        <v>4</v>
      </c>
      <c r="J6" s="1117"/>
      <c r="K6" s="1117"/>
      <c r="L6" s="1117"/>
    </row>
    <row r="7" spans="1:12" s="1116" customFormat="1" ht="19.899999999999999" customHeight="1">
      <c r="A7" s="1117" t="s">
        <v>2727</v>
      </c>
      <c r="B7" s="1117" t="s">
        <v>2728</v>
      </c>
      <c r="C7" s="1117"/>
      <c r="D7" s="1117"/>
      <c r="E7" s="1117"/>
      <c r="F7" s="1117"/>
      <c r="G7" s="1117"/>
      <c r="H7" s="1117"/>
      <c r="I7" s="1131">
        <v>6</v>
      </c>
      <c r="J7" s="1117"/>
      <c r="K7" s="1117"/>
      <c r="L7" s="1117"/>
    </row>
    <row r="8" spans="1:12" s="1116" customFormat="1" ht="19.899999999999999" customHeight="1">
      <c r="A8" s="1117"/>
      <c r="B8" s="1117" t="s">
        <v>2729</v>
      </c>
      <c r="C8" s="1117"/>
      <c r="D8" s="1117"/>
      <c r="E8" s="1117"/>
      <c r="F8" s="1117"/>
      <c r="G8" s="1117"/>
      <c r="H8" s="1117"/>
      <c r="I8" s="1131">
        <v>8</v>
      </c>
      <c r="J8" s="1117"/>
      <c r="K8" s="1117"/>
      <c r="L8" s="1117"/>
    </row>
    <row r="9" spans="1:12" s="1116" customFormat="1" ht="19.899999999999999" customHeight="1">
      <c r="A9" s="1117"/>
      <c r="B9" s="1117" t="s">
        <v>2730</v>
      </c>
      <c r="C9" s="1117"/>
      <c r="D9" s="1117"/>
      <c r="E9" s="1117"/>
      <c r="F9" s="1117"/>
      <c r="G9" s="1117"/>
      <c r="H9" s="1117"/>
      <c r="I9" s="1131">
        <v>10</v>
      </c>
      <c r="J9" s="1117"/>
      <c r="K9" s="1117"/>
      <c r="L9" s="1117"/>
    </row>
    <row r="10" spans="1:12" s="1116" customFormat="1" ht="19.899999999999999" customHeight="1">
      <c r="A10" s="1117"/>
      <c r="B10" s="1117" t="s">
        <v>2731</v>
      </c>
      <c r="C10" s="1117"/>
      <c r="D10" s="1117"/>
      <c r="E10" s="1117"/>
      <c r="F10" s="1117"/>
      <c r="G10" s="1117"/>
      <c r="H10" s="1117"/>
      <c r="I10" s="1131">
        <v>13</v>
      </c>
      <c r="J10" s="1117"/>
      <c r="K10" s="1117"/>
      <c r="L10" s="1117"/>
    </row>
    <row r="11" spans="1:12" s="1116" customFormat="1" ht="19.899999999999999" customHeight="1">
      <c r="A11" s="1119" t="s">
        <v>2675</v>
      </c>
      <c r="B11" s="1120" t="s">
        <v>2676</v>
      </c>
      <c r="C11" s="1117"/>
      <c r="D11" s="1117"/>
      <c r="E11" s="1117"/>
      <c r="F11" s="1117"/>
      <c r="G11" s="1117"/>
      <c r="H11" s="1117"/>
      <c r="I11" s="1131">
        <v>16</v>
      </c>
      <c r="J11" s="1117"/>
      <c r="K11" s="1117"/>
      <c r="L11" s="1117"/>
    </row>
    <row r="12" spans="1:12" s="1116" customFormat="1" ht="19.899999999999999" customHeight="1">
      <c r="A12" s="1121" t="s">
        <v>2677</v>
      </c>
      <c r="B12" s="1122" t="s">
        <v>2732</v>
      </c>
      <c r="C12" s="1123">
        <v>1</v>
      </c>
      <c r="D12" s="1117" t="s">
        <v>2733</v>
      </c>
      <c r="E12" s="1124">
        <f>C12*9.8</f>
        <v>9.8000000000000007</v>
      </c>
      <c r="F12" s="1117" t="s">
        <v>464</v>
      </c>
      <c r="G12" s="1117"/>
      <c r="H12" s="1117"/>
      <c r="I12" s="1131">
        <v>20</v>
      </c>
      <c r="J12" s="1117"/>
      <c r="K12" s="1117"/>
      <c r="L12" s="1117"/>
    </row>
    <row r="13" spans="1:12" s="1116" customFormat="1" ht="19.899999999999999" customHeight="1">
      <c r="A13" s="1121" t="s">
        <v>2680</v>
      </c>
      <c r="B13" s="1122" t="s">
        <v>2734</v>
      </c>
      <c r="C13" s="1123">
        <v>8</v>
      </c>
      <c r="D13" s="1117"/>
      <c r="E13" s="1117"/>
      <c r="F13" s="1117"/>
      <c r="G13" s="1117"/>
      <c r="H13" s="1117"/>
      <c r="I13" s="1131">
        <v>25</v>
      </c>
      <c r="J13" s="1117"/>
      <c r="K13" s="1117"/>
      <c r="L13" s="1117"/>
    </row>
    <row r="14" spans="1:12" s="1116" customFormat="1" ht="19.899999999999999" customHeight="1">
      <c r="A14" s="1121" t="s">
        <v>2683</v>
      </c>
      <c r="B14" s="1122" t="s">
        <v>2735</v>
      </c>
      <c r="C14" s="1123">
        <v>30</v>
      </c>
      <c r="D14" s="1117"/>
      <c r="E14" s="1117"/>
      <c r="F14" s="1117"/>
      <c r="G14" s="1117"/>
      <c r="H14" s="1117"/>
      <c r="I14" s="1131">
        <v>32</v>
      </c>
      <c r="J14" s="1117"/>
      <c r="K14" s="1117"/>
      <c r="L14" s="1117"/>
    </row>
    <row r="15" spans="1:12" s="1116" customFormat="1" ht="19.899999999999999" customHeight="1">
      <c r="A15" s="1121" t="s">
        <v>2686</v>
      </c>
      <c r="B15" s="1122" t="s">
        <v>2736</v>
      </c>
      <c r="C15" s="1125">
        <v>0.06</v>
      </c>
      <c r="D15" s="1117" t="s">
        <v>1755</v>
      </c>
      <c r="E15" s="1117" t="s">
        <v>2737</v>
      </c>
      <c r="F15" s="1117"/>
      <c r="G15" s="1117"/>
      <c r="H15" s="1117"/>
      <c r="I15" s="1131">
        <v>40</v>
      </c>
      <c r="J15" s="1117"/>
      <c r="K15" s="1117"/>
      <c r="L15" s="1117"/>
    </row>
    <row r="16" spans="1:12" s="1116" customFormat="1" ht="19.899999999999999" customHeight="1">
      <c r="A16" s="1119" t="s">
        <v>2696</v>
      </c>
      <c r="B16" s="1120" t="s">
        <v>2738</v>
      </c>
      <c r="C16" s="1117"/>
      <c r="D16" s="1117"/>
      <c r="E16" s="1117"/>
      <c r="F16" s="1117"/>
      <c r="G16" s="1117"/>
      <c r="H16" s="1117"/>
      <c r="I16" s="1131">
        <v>50</v>
      </c>
      <c r="J16" s="1117"/>
      <c r="K16" s="1117"/>
      <c r="L16" s="1117"/>
    </row>
    <row r="17" spans="1:12" s="1116" customFormat="1" ht="19.899999999999999" customHeight="1">
      <c r="A17" s="1121" t="s">
        <v>2677</v>
      </c>
      <c r="B17" s="1126" t="s">
        <v>2739</v>
      </c>
      <c r="C17" s="1127">
        <f>ROUND(SQRT(4*E12*C13/PI()/C14/C15),0)</f>
        <v>7</v>
      </c>
      <c r="D17" s="1117" t="s">
        <v>234</v>
      </c>
      <c r="E17" s="1117"/>
      <c r="F17" s="1117"/>
      <c r="G17" s="1117"/>
      <c r="H17" s="1117"/>
      <c r="I17" s="1131">
        <v>63</v>
      </c>
      <c r="J17" s="1117"/>
      <c r="K17" s="1117"/>
      <c r="L17" s="1117"/>
    </row>
    <row r="18" spans="1:12" s="1116" customFormat="1" ht="19.899999999999999" customHeight="1">
      <c r="A18" s="1121" t="s">
        <v>2680</v>
      </c>
      <c r="B18" s="1122" t="s">
        <v>2740</v>
      </c>
      <c r="C18" s="1127">
        <f>VLOOKUP(C17,I5:I20,1,TRUE)</f>
        <v>6</v>
      </c>
      <c r="D18" s="1117" t="s">
        <v>234</v>
      </c>
      <c r="E18" s="1117"/>
      <c r="F18" s="1117"/>
      <c r="G18" s="1117"/>
      <c r="H18" s="1117"/>
      <c r="I18" s="1131">
        <v>80</v>
      </c>
      <c r="J18" s="1117"/>
      <c r="K18" s="1117"/>
      <c r="L18" s="1117"/>
    </row>
    <row r="19" spans="1:12" s="1116" customFormat="1" ht="19.899999999999999" customHeight="1">
      <c r="A19" s="1119" t="s">
        <v>2741</v>
      </c>
      <c r="B19" s="1120" t="s">
        <v>2742</v>
      </c>
      <c r="C19" s="1117"/>
      <c r="D19" s="1117"/>
      <c r="E19" s="1117"/>
      <c r="F19" s="1117"/>
      <c r="G19" s="1117"/>
      <c r="H19" s="1117"/>
      <c r="I19" s="1131">
        <v>100</v>
      </c>
      <c r="J19" s="1117"/>
      <c r="K19" s="1117"/>
      <c r="L19" s="1117"/>
    </row>
    <row r="20" spans="1:12" s="1116" customFormat="1" ht="19.899999999999999" customHeight="1">
      <c r="A20" s="1117"/>
      <c r="B20" s="1122" t="s">
        <v>1858</v>
      </c>
      <c r="C20" s="1128">
        <f>ROUND(4*E12*C13/PI()/C18/C18/C14,3)</f>
        <v>9.1999999999999998E-2</v>
      </c>
      <c r="D20" s="1117" t="s">
        <v>1755</v>
      </c>
      <c r="E20" s="1117"/>
      <c r="F20" s="1117"/>
      <c r="G20" s="1117"/>
      <c r="H20" s="1117"/>
      <c r="I20" s="1131">
        <v>125</v>
      </c>
      <c r="J20" s="1117"/>
      <c r="K20" s="1117"/>
      <c r="L20" s="1117"/>
    </row>
    <row r="21" spans="1:12" s="1116" customFormat="1" ht="19.899999999999999" customHeight="1">
      <c r="A21" s="1117"/>
      <c r="B21" s="1117"/>
      <c r="C21" s="1117"/>
      <c r="D21" s="1117"/>
      <c r="E21" s="1117"/>
      <c r="F21" s="1117"/>
      <c r="G21" s="1117"/>
      <c r="H21" s="1117"/>
      <c r="I21" s="1117"/>
      <c r="J21" s="1117"/>
      <c r="K21" s="1117"/>
      <c r="L21" s="1117"/>
    </row>
    <row r="22" spans="1:12" s="1116" customFormat="1" ht="19.899999999999999" customHeight="1">
      <c r="A22" s="5908" t="s">
        <v>2743</v>
      </c>
      <c r="B22" s="5908"/>
      <c r="C22" s="5908"/>
      <c r="D22" s="5908"/>
      <c r="E22" s="5908"/>
      <c r="F22" s="5908"/>
      <c r="G22" s="5908"/>
      <c r="H22" s="5908"/>
      <c r="I22" s="1117"/>
      <c r="J22" s="1117"/>
      <c r="K22" s="1117"/>
      <c r="L22" s="1117"/>
    </row>
    <row r="23" spans="1:12" s="1116" customFormat="1" ht="19.899999999999999" customHeight="1">
      <c r="A23" s="1119" t="s">
        <v>2675</v>
      </c>
      <c r="B23" s="1117" t="s">
        <v>2744</v>
      </c>
      <c r="C23" s="1117"/>
      <c r="D23" s="1117"/>
      <c r="E23" s="1117"/>
      <c r="F23" s="1117"/>
      <c r="G23" s="1117"/>
      <c r="H23" s="1117"/>
      <c r="I23" s="1117"/>
      <c r="J23" s="1117"/>
      <c r="K23" s="1117"/>
      <c r="L23" s="1117"/>
    </row>
    <row r="24" spans="1:12" s="1116" customFormat="1" ht="19.899999999999999" customHeight="1">
      <c r="A24" s="1117"/>
      <c r="B24" s="1117" t="s">
        <v>2745</v>
      </c>
      <c r="C24" s="1117"/>
      <c r="D24" s="1117"/>
      <c r="E24" s="1117"/>
      <c r="F24" s="1117"/>
      <c r="G24" s="1117"/>
      <c r="H24" s="1117"/>
      <c r="I24" s="1117"/>
      <c r="J24" s="1117"/>
      <c r="K24" s="1117"/>
      <c r="L24" s="1117"/>
    </row>
    <row r="25" spans="1:12" s="1116" customFormat="1" ht="19.899999999999999" customHeight="1">
      <c r="A25" s="1117" t="s">
        <v>2746</v>
      </c>
      <c r="B25" s="1117"/>
      <c r="C25" s="1117"/>
      <c r="D25" s="1117"/>
      <c r="E25" s="1117"/>
      <c r="F25" s="1117"/>
      <c r="G25" s="1117"/>
      <c r="H25" s="1117"/>
      <c r="I25" s="1117"/>
      <c r="J25" s="1117"/>
      <c r="K25" s="1117"/>
      <c r="L25" s="1117"/>
    </row>
    <row r="26" spans="1:12" s="1116" customFormat="1" ht="19.899999999999999" customHeight="1">
      <c r="A26" s="1117"/>
      <c r="B26" s="1117" t="s">
        <v>2747</v>
      </c>
      <c r="C26" s="1117"/>
      <c r="D26" s="1117"/>
      <c r="E26" s="1117"/>
      <c r="F26" s="1117"/>
      <c r="G26" s="1117"/>
      <c r="H26" s="1117"/>
      <c r="I26" s="1117"/>
      <c r="J26" s="1117"/>
      <c r="K26" s="1117"/>
      <c r="L26" s="1117"/>
    </row>
    <row r="27" spans="1:12" s="1116" customFormat="1" ht="19.899999999999999" customHeight="1">
      <c r="A27" s="1117"/>
      <c r="B27" s="1117"/>
      <c r="C27" s="1117"/>
      <c r="D27" s="1117"/>
      <c r="E27" s="1117"/>
      <c r="F27" s="1117"/>
      <c r="G27" s="1117"/>
      <c r="H27" s="1117"/>
      <c r="I27" s="1117"/>
      <c r="J27" s="1117"/>
      <c r="K27" s="1117"/>
      <c r="L27" s="1117"/>
    </row>
    <row r="28" spans="1:12" s="1116" customFormat="1" ht="19.899999999999999" customHeight="1">
      <c r="A28" s="1117"/>
      <c r="B28" s="1117"/>
      <c r="C28" s="1117"/>
      <c r="D28" s="1117"/>
      <c r="E28" s="1117"/>
      <c r="F28" s="1117"/>
      <c r="G28" s="1117"/>
      <c r="H28" s="1117"/>
      <c r="I28" s="1117"/>
      <c r="J28" s="1117"/>
      <c r="K28" s="1117"/>
      <c r="L28" s="1117"/>
    </row>
    <row r="29" spans="1:12" s="1116" customFormat="1" ht="19.899999999999999" customHeight="1">
      <c r="A29" s="1117"/>
      <c r="B29" s="1117"/>
      <c r="C29" s="1117"/>
      <c r="D29" s="1117"/>
      <c r="E29" s="1117"/>
      <c r="F29" s="1117"/>
      <c r="G29" s="1117"/>
      <c r="H29" s="1117"/>
      <c r="I29" s="1117"/>
      <c r="J29" s="1117"/>
      <c r="K29" s="1117"/>
      <c r="L29" s="1117"/>
    </row>
    <row r="30" spans="1:12" s="1116" customFormat="1" ht="19.899999999999999" customHeight="1">
      <c r="A30" s="1117"/>
      <c r="B30" s="1117"/>
      <c r="C30" s="1117"/>
      <c r="D30" s="1117"/>
      <c r="E30" s="1117"/>
      <c r="F30" s="1117"/>
      <c r="G30" s="1117"/>
      <c r="H30" s="1117"/>
      <c r="I30" s="1117"/>
      <c r="J30" s="1117"/>
      <c r="K30" s="1117"/>
      <c r="L30" s="1117"/>
    </row>
    <row r="31" spans="1:12" s="1116" customFormat="1" ht="19.899999999999999" customHeight="1">
      <c r="A31" s="1117"/>
      <c r="B31" s="1117"/>
      <c r="C31" s="1117"/>
      <c r="D31" s="1117"/>
      <c r="E31" s="1117"/>
      <c r="F31" s="1117"/>
      <c r="G31" s="1117"/>
      <c r="H31" s="1117"/>
      <c r="I31" s="1117"/>
      <c r="J31" s="1117"/>
      <c r="K31" s="1117"/>
      <c r="L31" s="1117"/>
    </row>
    <row r="32" spans="1:12" s="1116" customFormat="1" ht="19.899999999999999" customHeight="1">
      <c r="A32" s="1117"/>
      <c r="B32" s="1117"/>
      <c r="C32" s="1117"/>
      <c r="D32" s="1117"/>
      <c r="E32" s="1117"/>
      <c r="F32" s="1117"/>
      <c r="G32" s="1117"/>
      <c r="H32" s="1117"/>
      <c r="I32" s="1117"/>
      <c r="J32" s="1117"/>
      <c r="K32" s="1117"/>
      <c r="L32" s="1117"/>
    </row>
    <row r="33" spans="1:12" s="1116" customFormat="1" ht="19.899999999999999" customHeight="1">
      <c r="A33" s="1117"/>
      <c r="B33" s="1117"/>
      <c r="C33" s="1117"/>
      <c r="D33" s="1117"/>
      <c r="E33" s="1117"/>
      <c r="F33" s="1117"/>
      <c r="G33" s="1117"/>
      <c r="H33" s="1117"/>
      <c r="I33" s="1117"/>
      <c r="J33" s="1117"/>
      <c r="K33" s="1117"/>
      <c r="L33" s="1117"/>
    </row>
    <row r="34" spans="1:12" s="1116" customFormat="1" ht="19.899999999999999" customHeight="1">
      <c r="A34" s="1117"/>
      <c r="B34" s="1117"/>
      <c r="C34" s="1117"/>
      <c r="D34" s="1117"/>
      <c r="E34" s="1117"/>
      <c r="F34" s="1117"/>
      <c r="G34" s="1117"/>
      <c r="H34" s="1117"/>
      <c r="I34" s="1117"/>
      <c r="J34" s="1117"/>
      <c r="K34" s="1117"/>
      <c r="L34" s="1117"/>
    </row>
    <row r="35" spans="1:12" s="1116" customFormat="1" ht="19.899999999999999" customHeight="1">
      <c r="A35" s="1117"/>
      <c r="B35" s="1117"/>
      <c r="C35" s="1117"/>
      <c r="D35" s="1117"/>
      <c r="E35" s="1117"/>
      <c r="F35" s="1117"/>
      <c r="G35" s="1117"/>
      <c r="H35" s="1117"/>
      <c r="I35" s="1117"/>
      <c r="J35" s="1117"/>
      <c r="K35" s="1117"/>
      <c r="L35" s="1117"/>
    </row>
    <row r="36" spans="1:12" s="1116" customFormat="1" ht="19.899999999999999" customHeight="1">
      <c r="A36" s="1117"/>
      <c r="B36" s="1117"/>
      <c r="C36" s="1117"/>
      <c r="D36" s="1117"/>
      <c r="E36" s="1117"/>
      <c r="F36" s="1117"/>
      <c r="G36" s="1117"/>
      <c r="H36" s="1117"/>
      <c r="I36" s="1117"/>
      <c r="J36" s="1117"/>
      <c r="K36" s="1117"/>
      <c r="L36" s="1117"/>
    </row>
    <row r="37" spans="1:12" s="1116" customFormat="1" ht="19.899999999999999" customHeight="1">
      <c r="A37" s="1117"/>
      <c r="B37" s="1117"/>
      <c r="C37" s="1117"/>
      <c r="D37" s="1117"/>
      <c r="E37" s="1117"/>
      <c r="F37" s="1117"/>
      <c r="G37" s="1117"/>
      <c r="H37" s="1117"/>
      <c r="I37" s="1117"/>
      <c r="J37" s="1117"/>
      <c r="K37" s="1117"/>
      <c r="L37" s="1117"/>
    </row>
    <row r="38" spans="1:12" s="1116" customFormat="1" ht="19.899999999999999" customHeight="1">
      <c r="A38" s="1117"/>
      <c r="B38" s="1117"/>
      <c r="C38" s="1117"/>
      <c r="D38" s="1117"/>
      <c r="E38" s="1117"/>
      <c r="F38" s="1117"/>
      <c r="G38" s="1117"/>
      <c r="H38" s="1117"/>
      <c r="I38" s="1117"/>
      <c r="J38" s="1117"/>
      <c r="K38" s="1117"/>
      <c r="L38" s="1117"/>
    </row>
    <row r="39" spans="1:12" s="1116" customFormat="1" ht="19.899999999999999" customHeight="1">
      <c r="A39" s="1117"/>
      <c r="B39" s="1117"/>
      <c r="C39" s="1117"/>
      <c r="D39" s="1117"/>
      <c r="E39" s="1117"/>
      <c r="F39" s="1117"/>
      <c r="G39" s="1117"/>
      <c r="H39" s="1117"/>
      <c r="I39" s="1117"/>
      <c r="J39" s="1117"/>
      <c r="K39" s="1117"/>
      <c r="L39" s="1117"/>
    </row>
    <row r="40" spans="1:12" s="1116" customFormat="1" ht="19.899999999999999" customHeight="1">
      <c r="A40" s="1117"/>
      <c r="B40" s="1117"/>
      <c r="C40" s="1117"/>
      <c r="D40" s="1117"/>
      <c r="E40" s="1117"/>
      <c r="F40" s="1117"/>
      <c r="G40" s="1117"/>
      <c r="H40" s="1117"/>
      <c r="I40" s="1117"/>
      <c r="J40" s="1117"/>
      <c r="K40" s="1117"/>
      <c r="L40" s="1117"/>
    </row>
    <row r="41" spans="1:12" s="1116" customFormat="1" ht="19.899999999999999" customHeight="1">
      <c r="A41" s="1117"/>
      <c r="B41" s="1117"/>
      <c r="C41" s="1117"/>
      <c r="D41" s="1117"/>
      <c r="E41" s="1117"/>
      <c r="F41" s="1117"/>
      <c r="G41" s="1117"/>
      <c r="H41" s="1117"/>
      <c r="I41" s="1117"/>
      <c r="J41" s="1117"/>
      <c r="K41" s="1117"/>
      <c r="L41" s="1117"/>
    </row>
    <row r="42" spans="1:12" s="1116" customFormat="1" ht="19.899999999999999" customHeight="1">
      <c r="A42" s="1121" t="s">
        <v>2677</v>
      </c>
      <c r="B42" s="1117" t="s">
        <v>2748</v>
      </c>
      <c r="C42" s="1117"/>
      <c r="D42" s="1117"/>
      <c r="E42" s="1117"/>
      <c r="F42" s="1117"/>
      <c r="G42" s="1117"/>
      <c r="H42" s="1117"/>
      <c r="I42" s="1117"/>
      <c r="J42" s="1117"/>
      <c r="K42" s="1117"/>
      <c r="L42" s="1117"/>
    </row>
    <row r="43" spans="1:12" s="1116" customFormat="1" ht="19.899999999999999" customHeight="1">
      <c r="A43" s="1117"/>
      <c r="B43" s="1122" t="s">
        <v>2749</v>
      </c>
      <c r="C43" s="1123">
        <v>88</v>
      </c>
      <c r="D43" s="1117" t="s">
        <v>2750</v>
      </c>
      <c r="E43" s="1128">
        <f>C43/1000</f>
        <v>8.7999999999999995E-2</v>
      </c>
      <c r="F43" s="1117" t="s">
        <v>1755</v>
      </c>
      <c r="G43" s="1117"/>
      <c r="H43" s="1117"/>
      <c r="I43" s="1117"/>
      <c r="J43" s="1117"/>
      <c r="K43" s="1117"/>
      <c r="L43" s="1117"/>
    </row>
    <row r="44" spans="1:12" s="1116" customFormat="1" ht="19.899999999999999" customHeight="1">
      <c r="A44" s="1117"/>
      <c r="B44" s="1122" t="s">
        <v>2751</v>
      </c>
      <c r="C44" s="1127">
        <f>ROUND(C20/E43,2)</f>
        <v>1.05</v>
      </c>
      <c r="D44" s="1117" t="s">
        <v>2752</v>
      </c>
      <c r="E44" s="1122"/>
      <c r="F44" s="1117"/>
      <c r="G44" s="1117"/>
      <c r="H44" s="1117"/>
      <c r="I44" s="1117"/>
      <c r="J44" s="1117"/>
      <c r="K44" s="1117"/>
      <c r="L44" s="1117"/>
    </row>
    <row r="45" spans="1:12" s="1116" customFormat="1" ht="19.899999999999999" customHeight="1">
      <c r="A45" s="1121" t="s">
        <v>2680</v>
      </c>
      <c r="B45" s="1117" t="s">
        <v>2753</v>
      </c>
      <c r="C45" s="1121"/>
      <c r="D45" s="1117"/>
      <c r="E45" s="1117"/>
      <c r="F45" s="1117"/>
      <c r="G45" s="1117"/>
      <c r="H45" s="1117"/>
      <c r="I45" s="1117"/>
      <c r="J45" s="1117"/>
      <c r="K45" s="1117"/>
      <c r="L45" s="1117"/>
    </row>
    <row r="46" spans="1:12" s="1116" customFormat="1" ht="19.899999999999999" customHeight="1">
      <c r="A46" s="1117"/>
      <c r="B46" s="1122" t="s">
        <v>2754</v>
      </c>
      <c r="C46" s="1123">
        <v>1.41</v>
      </c>
      <c r="D46" s="1117" t="s">
        <v>2755</v>
      </c>
      <c r="E46" s="1117" t="s">
        <v>2756</v>
      </c>
      <c r="F46" s="1117"/>
      <c r="G46" s="1117"/>
      <c r="H46" s="1117"/>
      <c r="I46" s="1117"/>
      <c r="J46" s="1117"/>
      <c r="K46" s="1117"/>
      <c r="L46" s="1117"/>
    </row>
    <row r="47" spans="1:12" s="1116" customFormat="1" ht="19.899999999999999" customHeight="1">
      <c r="A47" s="1119" t="s">
        <v>2696</v>
      </c>
      <c r="B47" s="5903" t="s">
        <v>2757</v>
      </c>
      <c r="C47" s="5903"/>
      <c r="D47" s="5903"/>
      <c r="E47" s="5903"/>
      <c r="F47" s="5903"/>
      <c r="G47" s="5903"/>
      <c r="H47" s="5903"/>
      <c r="I47" s="1117"/>
      <c r="J47" s="1117"/>
      <c r="K47" s="1117"/>
      <c r="L47" s="1117"/>
    </row>
    <row r="48" spans="1:12" s="1116" customFormat="1" ht="19.899999999999999" customHeight="1">
      <c r="A48" s="1117"/>
      <c r="B48" s="1117" t="s">
        <v>2758</v>
      </c>
      <c r="C48" s="1117"/>
      <c r="D48" s="1117"/>
      <c r="E48" s="1117"/>
      <c r="F48" s="1117"/>
      <c r="G48" s="1117"/>
      <c r="H48" s="1117"/>
      <c r="I48" s="1117"/>
      <c r="J48" s="1117"/>
      <c r="K48" s="1117"/>
      <c r="L48" s="1117"/>
    </row>
    <row r="49" spans="1:12" s="1116" customFormat="1" ht="19.899999999999999" customHeight="1">
      <c r="A49" s="1117" t="s">
        <v>2759</v>
      </c>
      <c r="B49" s="1117"/>
      <c r="C49" s="1117"/>
      <c r="D49" s="1117"/>
      <c r="E49" s="1117"/>
      <c r="F49" s="1117"/>
      <c r="G49" s="1117"/>
      <c r="H49" s="1117"/>
      <c r="I49" s="1117"/>
      <c r="J49" s="1117"/>
      <c r="K49" s="1117"/>
      <c r="L49" s="1117"/>
    </row>
    <row r="50" spans="1:12" s="1116" customFormat="1" ht="19.899999999999999" customHeight="1">
      <c r="A50" s="1117"/>
      <c r="B50" s="1117" t="s">
        <v>2760</v>
      </c>
      <c r="C50" s="1117" t="s">
        <v>2761</v>
      </c>
      <c r="D50" s="1117"/>
      <c r="E50" s="1117"/>
      <c r="F50" s="1117"/>
      <c r="G50" s="1117"/>
      <c r="H50" s="1117"/>
      <c r="I50" s="1117"/>
      <c r="J50" s="1117"/>
      <c r="K50" s="1117"/>
      <c r="L50" s="1117"/>
    </row>
    <row r="51" spans="1:12" s="1116" customFormat="1" ht="19.899999999999999" customHeight="1">
      <c r="A51" s="1117" t="s">
        <v>2727</v>
      </c>
      <c r="B51" s="1117" t="s">
        <v>2762</v>
      </c>
      <c r="C51" s="1117"/>
      <c r="D51" s="1117"/>
      <c r="E51" s="1117"/>
      <c r="F51" s="1117"/>
      <c r="G51" s="1117"/>
      <c r="H51" s="1117"/>
      <c r="I51" s="1117"/>
      <c r="J51" s="1117"/>
      <c r="K51" s="1117"/>
      <c r="L51" s="1117"/>
    </row>
    <row r="52" spans="1:12" s="1116" customFormat="1" ht="19.899999999999999" customHeight="1">
      <c r="A52" s="1117"/>
      <c r="B52" s="1117" t="s">
        <v>2763</v>
      </c>
      <c r="C52" s="1117"/>
      <c r="D52" s="1117"/>
      <c r="E52" s="1117"/>
      <c r="F52" s="1117"/>
      <c r="G52" s="1117"/>
      <c r="H52" s="1117"/>
      <c r="I52" s="1117"/>
      <c r="J52" s="1117"/>
      <c r="K52" s="1117"/>
      <c r="L52" s="1117"/>
    </row>
    <row r="53" spans="1:12" s="1116" customFormat="1" ht="19.899999999999999" customHeight="1">
      <c r="A53" s="1117"/>
      <c r="B53" s="1117"/>
      <c r="C53" s="1117"/>
      <c r="D53" s="1117"/>
      <c r="E53" s="1117"/>
      <c r="F53" s="1117"/>
      <c r="G53" s="1117"/>
      <c r="H53" s="1117"/>
      <c r="I53" s="1117"/>
      <c r="J53" s="1117"/>
      <c r="K53" s="1117"/>
      <c r="L53" s="1117"/>
    </row>
    <row r="54" spans="1:12" s="1116" customFormat="1" ht="19.899999999999999" customHeight="1">
      <c r="A54" s="1117"/>
      <c r="B54" s="1117"/>
      <c r="C54" s="1117"/>
      <c r="D54" s="5909" t="s">
        <v>2764</v>
      </c>
      <c r="E54" s="5909"/>
      <c r="F54" s="5909"/>
      <c r="G54" s="5909"/>
      <c r="H54" s="5909"/>
      <c r="I54" s="5909"/>
      <c r="J54" s="5909"/>
      <c r="K54" s="5909"/>
      <c r="L54" s="5909"/>
    </row>
    <row r="55" spans="1:12" s="1116" customFormat="1" ht="19.899999999999999" customHeight="1">
      <c r="A55" s="1117"/>
      <c r="B55" s="1117" t="s">
        <v>2765</v>
      </c>
      <c r="C55" s="1117"/>
      <c r="D55" s="1130" t="s">
        <v>2525</v>
      </c>
      <c r="E55" s="1129">
        <v>4</v>
      </c>
      <c r="F55" s="1129">
        <v>4</v>
      </c>
      <c r="G55" s="1129">
        <v>6</v>
      </c>
      <c r="H55" s="1129">
        <v>8</v>
      </c>
      <c r="I55" s="1129">
        <v>10</v>
      </c>
      <c r="J55" s="1129">
        <v>10</v>
      </c>
      <c r="K55" s="1129">
        <v>12</v>
      </c>
      <c r="L55" s="1129">
        <v>12</v>
      </c>
    </row>
    <row r="56" spans="1:12" ht="19.899999999999999" customHeight="1">
      <c r="B56" s="1117" t="s">
        <v>2766</v>
      </c>
      <c r="D56" s="1130" t="s">
        <v>2526</v>
      </c>
      <c r="E56" s="1129">
        <v>2</v>
      </c>
      <c r="F56" s="1129">
        <v>2.5</v>
      </c>
      <c r="G56" s="1129">
        <v>4</v>
      </c>
      <c r="H56" s="1129">
        <v>6</v>
      </c>
      <c r="I56" s="1129">
        <v>7.5</v>
      </c>
      <c r="J56" s="1129">
        <v>8</v>
      </c>
      <c r="K56" s="1129">
        <v>9</v>
      </c>
      <c r="L56" s="1129">
        <v>10</v>
      </c>
    </row>
    <row r="57" spans="1:12" ht="19.899999999999999" customHeight="1"/>
    <row r="58" spans="1:12" ht="19.899999999999999" customHeight="1">
      <c r="B58" s="1122" t="s">
        <v>2767</v>
      </c>
      <c r="C58" s="1123">
        <v>10</v>
      </c>
      <c r="D58" s="1117" t="s">
        <v>234</v>
      </c>
    </row>
    <row r="59" spans="1:12" ht="19.899999999999999" customHeight="1">
      <c r="B59" s="1122" t="s">
        <v>2768</v>
      </c>
      <c r="C59" s="1123">
        <v>30</v>
      </c>
      <c r="D59" s="1117" t="s">
        <v>408</v>
      </c>
    </row>
    <row r="60" spans="1:12" ht="19.899999999999999" customHeight="1">
      <c r="B60" s="1122" t="s">
        <v>2769</v>
      </c>
      <c r="C60" s="1125">
        <v>0.1</v>
      </c>
      <c r="D60" s="1117" t="s">
        <v>1167</v>
      </c>
    </row>
    <row r="61" spans="1:12" ht="19.899999999999999" customHeight="1">
      <c r="B61" s="1122" t="s">
        <v>2770</v>
      </c>
      <c r="C61" s="1127">
        <f>C46*60*C60/1</f>
        <v>8.4600000000000009</v>
      </c>
      <c r="D61" s="1117" t="s">
        <v>2771</v>
      </c>
    </row>
    <row r="62" spans="1:12" ht="19.899999999999999" customHeight="1">
      <c r="A62" s="1119" t="s">
        <v>2741</v>
      </c>
      <c r="B62" s="5903" t="s">
        <v>2772</v>
      </c>
      <c r="C62" s="5903"/>
      <c r="D62" s="5903"/>
      <c r="E62" s="5903"/>
      <c r="F62" s="5903"/>
      <c r="G62" s="5903"/>
      <c r="H62" s="5903"/>
    </row>
    <row r="63" spans="1:12" ht="19.899999999999999" customHeight="1">
      <c r="B63" s="1122" t="s">
        <v>2773</v>
      </c>
      <c r="C63" s="1128">
        <f>2*C61</f>
        <v>16.920000000000002</v>
      </c>
      <c r="D63" s="1117" t="s">
        <v>2771</v>
      </c>
    </row>
    <row r="64" spans="1:12" ht="19.899999999999999" customHeight="1">
      <c r="A64" s="5904" t="s">
        <v>2774</v>
      </c>
      <c r="B64" s="5904"/>
      <c r="C64" s="5905" t="s">
        <v>2775</v>
      </c>
      <c r="D64" s="5905"/>
      <c r="E64" s="1128">
        <f>C43</f>
        <v>88</v>
      </c>
      <c r="F64" s="1117" t="s">
        <v>1748</v>
      </c>
    </row>
    <row r="65" spans="1:8" ht="19.899999999999999" customHeight="1">
      <c r="A65" s="1132"/>
      <c r="C65" s="5905" t="s">
        <v>2776</v>
      </c>
      <c r="D65" s="5905"/>
      <c r="E65" s="1128">
        <f>C61</f>
        <v>8.4600000000000009</v>
      </c>
      <c r="F65" s="1117" t="s">
        <v>2771</v>
      </c>
    </row>
    <row r="66" spans="1:8" ht="19.899999999999999" customHeight="1">
      <c r="A66" s="1119" t="s">
        <v>2777</v>
      </c>
      <c r="B66" s="5903" t="s">
        <v>2778</v>
      </c>
      <c r="C66" s="5903"/>
      <c r="D66" s="5903"/>
      <c r="E66" s="5903"/>
      <c r="F66" s="5903"/>
      <c r="G66" s="5903"/>
      <c r="H66" s="5903"/>
    </row>
    <row r="67" spans="1:8" ht="19.899999999999999" customHeight="1">
      <c r="A67" s="1133" t="s">
        <v>13481</v>
      </c>
      <c r="C67" s="1134">
        <v>29</v>
      </c>
      <c r="D67" s="1135" t="s">
        <v>2771</v>
      </c>
    </row>
    <row r="68" spans="1:8" ht="19.899999999999999" customHeight="1">
      <c r="A68" s="1117" t="s">
        <v>2780</v>
      </c>
      <c r="B68" s="1117" t="s">
        <v>2781</v>
      </c>
      <c r="C68" s="1136">
        <f>C46*60*C60/C67</f>
        <v>0.29172413793103402</v>
      </c>
      <c r="D68" s="1135" t="s">
        <v>2685</v>
      </c>
    </row>
    <row r="69" spans="1:8" ht="19.899999999999999" customHeight="1">
      <c r="A69" s="1119" t="s">
        <v>2782</v>
      </c>
      <c r="B69" s="5903" t="s">
        <v>2783</v>
      </c>
      <c r="C69" s="5903"/>
      <c r="D69" s="5903"/>
      <c r="E69" s="5903"/>
      <c r="F69" s="5903"/>
      <c r="G69" s="5903"/>
      <c r="H69" s="5903"/>
    </row>
    <row r="70" spans="1:8" ht="19.899999999999999" customHeight="1">
      <c r="A70" s="1137"/>
      <c r="B70" s="1117" t="s">
        <v>2784</v>
      </c>
      <c r="C70" s="1135"/>
      <c r="D70" s="1138">
        <v>8</v>
      </c>
      <c r="E70" s="1117" t="s">
        <v>2785</v>
      </c>
    </row>
    <row r="71" spans="1:8" ht="19.899999999999999" customHeight="1">
      <c r="A71" s="1137"/>
      <c r="B71" s="1117" t="s">
        <v>2786</v>
      </c>
      <c r="C71" s="1135"/>
      <c r="D71" s="1136">
        <f>11.1*6.7/2</f>
        <v>37.185000000000002</v>
      </c>
      <c r="E71" s="1117" t="s">
        <v>2771</v>
      </c>
    </row>
    <row r="72" spans="1:8" ht="19.899999999999999" customHeight="1">
      <c r="B72" s="1117" t="s">
        <v>2787</v>
      </c>
      <c r="C72" s="1139"/>
      <c r="D72" s="1117" t="s">
        <v>2788</v>
      </c>
    </row>
    <row r="73" spans="1:8" ht="19.899999999999999" customHeight="1">
      <c r="A73" s="1140" t="s">
        <v>2789</v>
      </c>
    </row>
    <row r="74" spans="1:8" ht="19.899999999999999" customHeight="1">
      <c r="B74" s="1117" t="s">
        <v>2790</v>
      </c>
    </row>
    <row r="75" spans="1:8" ht="19.899999999999999" customHeight="1">
      <c r="B75" s="1117" t="s">
        <v>2791</v>
      </c>
    </row>
    <row r="76" spans="1:8" ht="19.899999999999999" customHeight="1">
      <c r="B76" s="1117" t="s">
        <v>2792</v>
      </c>
    </row>
    <row r="77" spans="1:8" ht="19.899999999999999" customHeight="1"/>
    <row r="78" spans="1:8" ht="19.899999999999999" customHeight="1"/>
    <row r="79" spans="1:8" ht="19.899999999999999" customHeight="1"/>
    <row r="80" spans="1:8"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row r="104" ht="19.899999999999999" customHeight="1"/>
    <row r="105" ht="19.899999999999999" customHeight="1"/>
    <row r="106" ht="19.899999999999999" customHeight="1"/>
    <row r="107" ht="19.899999999999999" customHeight="1"/>
    <row r="108" ht="19.899999999999999" customHeight="1"/>
    <row r="109" ht="19.899999999999999" customHeight="1"/>
    <row r="110" ht="19.899999999999999" customHeight="1"/>
    <row r="111" ht="19.899999999999999" customHeight="1"/>
  </sheetData>
  <mergeCells count="11">
    <mergeCell ref="A1:H1"/>
    <mergeCell ref="A2:H2"/>
    <mergeCell ref="A22:H22"/>
    <mergeCell ref="B47:H47"/>
    <mergeCell ref="D54:L54"/>
    <mergeCell ref="B69:H69"/>
    <mergeCell ref="B62:H62"/>
    <mergeCell ref="A64:B64"/>
    <mergeCell ref="C64:D64"/>
    <mergeCell ref="C65:D65"/>
    <mergeCell ref="B66:H66"/>
  </mergeCells>
  <phoneticPr fontId="214" type="noConversion"/>
  <conditionalFormatting sqref="C72:C73">
    <cfRule type="expression" dxfId="0" priority="1" stopIfTrue="1">
      <formula>D71&gt;C63</formula>
    </cfRule>
  </conditionalFormatting>
  <dataValidations count="2">
    <dataValidation type="list" allowBlank="1" showInputMessage="1" showErrorMessage="1" sqref="C13" xr:uid="{00000000-0002-0000-8B00-000000000000}">
      <formula1>"4,8"</formula1>
    </dataValidation>
    <dataValidation type="list" allowBlank="1" showInputMessage="1" showErrorMessage="1" sqref="C58" xr:uid="{00000000-0002-0000-8B00-000001000000}">
      <formula1>$E$56:$L$56</formula1>
    </dataValidation>
  </dataValidations>
  <pageMargins left="0.75" right="0.75" top="1" bottom="1" header="0.50902777777777797" footer="0.50902777777777797"/>
  <pageSetup paperSize="9" orientation="portrait"/>
  <drawing r:id="rId1"/>
  <legacyDrawing r:id="rId2"/>
  <oleObjects>
    <mc:AlternateContent xmlns:mc="http://schemas.openxmlformats.org/markup-compatibility/2006">
      <mc:Choice Requires="x14">
        <oleObject progId="Equation.3" shapeId="1222657" r:id="rId3">
          <objectPr defaultSize="0" altText="" r:id="rId4">
            <anchor moveWithCells="1">
              <from>
                <xdr:col>1</xdr:col>
                <xdr:colOff>19050</xdr:colOff>
                <xdr:row>4</xdr:row>
                <xdr:rowOff>28575</xdr:rowOff>
              </from>
              <to>
                <xdr:col>1</xdr:col>
                <xdr:colOff>962025</xdr:colOff>
                <xdr:row>5</xdr:row>
                <xdr:rowOff>228600</xdr:rowOff>
              </to>
            </anchor>
          </objectPr>
        </oleObject>
      </mc:Choice>
      <mc:Fallback>
        <oleObject progId="Equation.3" shapeId="1222657" r:id="rId3"/>
      </mc:Fallback>
    </mc:AlternateContent>
    <mc:AlternateContent xmlns:mc="http://schemas.openxmlformats.org/markup-compatibility/2006">
      <mc:Choice Requires="x14">
        <oleObject progId="Equation.3" shapeId="1222658" r:id="rId5">
          <objectPr defaultSize="0" altText="" r:id="rId6">
            <anchor moveWithCells="1">
              <from>
                <xdr:col>3</xdr:col>
                <xdr:colOff>638175</xdr:colOff>
                <xdr:row>18</xdr:row>
                <xdr:rowOff>228600</xdr:rowOff>
              </from>
              <to>
                <xdr:col>4</xdr:col>
                <xdr:colOff>600075</xdr:colOff>
                <xdr:row>20</xdr:row>
                <xdr:rowOff>104775</xdr:rowOff>
              </to>
            </anchor>
          </objectPr>
        </oleObject>
      </mc:Choice>
      <mc:Fallback>
        <oleObject progId="Equation.3" shapeId="1222658" r:id="rId5"/>
      </mc:Fallback>
    </mc:AlternateContent>
    <mc:AlternateContent xmlns:mc="http://schemas.openxmlformats.org/markup-compatibility/2006">
      <mc:Choice Requires="x14">
        <oleObject progId="Equation.3" shapeId="1222659" r:id="rId7">
          <objectPr defaultSize="0" altText="" r:id="rId8">
            <anchor moveWithCells="1">
              <from>
                <xdr:col>1</xdr:col>
                <xdr:colOff>38100</xdr:colOff>
                <xdr:row>52</xdr:row>
                <xdr:rowOff>28575</xdr:rowOff>
              </from>
              <to>
                <xdr:col>1</xdr:col>
                <xdr:colOff>885825</xdr:colOff>
                <xdr:row>53</xdr:row>
                <xdr:rowOff>171450</xdr:rowOff>
              </to>
            </anchor>
          </objectPr>
        </oleObject>
      </mc:Choice>
      <mc:Fallback>
        <oleObject progId="Equation.3" shapeId="1222659" r:id="rId7"/>
      </mc:Fallback>
    </mc:AlternateContent>
    <mc:AlternateContent xmlns:mc="http://schemas.openxmlformats.org/markup-compatibility/2006">
      <mc:Choice Requires="x14">
        <oleObject progId="Equation.KSEE3" shapeId="1222660" r:id="rId9">
          <objectPr defaultSize="0" altText="" r:id="rId10">
            <anchor moveWithCells="1">
              <from>
                <xdr:col>4</xdr:col>
                <xdr:colOff>533400</xdr:colOff>
                <xdr:row>70</xdr:row>
                <xdr:rowOff>28575</xdr:rowOff>
              </from>
              <to>
                <xdr:col>6</xdr:col>
                <xdr:colOff>66675</xdr:colOff>
                <xdr:row>71</xdr:row>
                <xdr:rowOff>0</xdr:rowOff>
              </to>
            </anchor>
          </objectPr>
        </oleObject>
      </mc:Choice>
      <mc:Fallback>
        <oleObject progId="Equation.KSEE3" shapeId="1222660" r:id="rId9"/>
      </mc:Fallback>
    </mc:AlternateContent>
  </oleObject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41"/>
  <dimension ref="B1:M26"/>
  <sheetViews>
    <sheetView workbookViewId="0">
      <selection activeCell="P29" sqref="P29"/>
    </sheetView>
  </sheetViews>
  <sheetFormatPr defaultColWidth="9" defaultRowHeight="13.5"/>
  <cols>
    <col min="1" max="1" width="9" style="1098"/>
    <col min="2" max="2" width="12.625" style="1099" customWidth="1"/>
    <col min="3" max="3" width="9" style="1100"/>
    <col min="4" max="4" width="12.625" style="1098"/>
    <col min="5" max="16384" width="9" style="1098"/>
  </cols>
  <sheetData>
    <row r="1" spans="2:13" ht="27">
      <c r="B1" s="5934" t="s">
        <v>37</v>
      </c>
      <c r="C1" s="5934"/>
      <c r="D1" s="5934"/>
      <c r="E1" s="5934"/>
      <c r="F1" s="5934"/>
      <c r="G1" s="5934"/>
      <c r="H1" s="5934"/>
      <c r="I1" s="5934"/>
      <c r="J1" s="5934"/>
      <c r="K1" s="5934"/>
      <c r="L1" s="5934"/>
      <c r="M1" s="5934"/>
    </row>
    <row r="2" spans="2:13" ht="20.100000000000001" customHeight="1">
      <c r="B2" s="1101"/>
      <c r="C2" s="1101"/>
      <c r="D2" s="1101"/>
      <c r="E2" s="1101"/>
      <c r="F2" s="1101"/>
      <c r="G2" s="1101"/>
      <c r="H2" s="1101"/>
      <c r="I2" s="1101"/>
      <c r="J2" s="1101"/>
      <c r="K2" s="1101"/>
      <c r="L2" s="1101"/>
      <c r="M2" s="1101"/>
    </row>
    <row r="3" spans="2:13" ht="20.100000000000001" customHeight="1">
      <c r="B3" s="1102"/>
      <c r="C3" s="1103"/>
      <c r="D3" s="1103"/>
      <c r="E3" s="1103"/>
      <c r="F3" s="1103"/>
      <c r="G3" s="1103"/>
      <c r="H3" s="1103"/>
      <c r="I3" s="1103"/>
      <c r="J3" s="1103"/>
      <c r="K3" s="1103"/>
      <c r="L3" s="1103"/>
      <c r="M3" s="1114"/>
    </row>
    <row r="4" spans="2:13" ht="20.100000000000001" customHeight="1">
      <c r="B4" s="5935" t="s">
        <v>13482</v>
      </c>
      <c r="C4" s="5936"/>
      <c r="D4" s="5936"/>
      <c r="E4" s="5936"/>
      <c r="F4" s="5936"/>
      <c r="G4" s="5936"/>
      <c r="H4" s="5937"/>
      <c r="I4" s="1113"/>
      <c r="J4" s="1113"/>
      <c r="K4" s="1113"/>
      <c r="L4" s="1113"/>
      <c r="M4" s="1115"/>
    </row>
    <row r="5" spans="2:13" ht="20.100000000000001" customHeight="1">
      <c r="B5" s="1104" t="s">
        <v>13483</v>
      </c>
      <c r="C5" s="1105" t="s">
        <v>13484</v>
      </c>
      <c r="D5" s="1106">
        <v>63</v>
      </c>
      <c r="E5" s="1107" t="s">
        <v>234</v>
      </c>
      <c r="F5" s="1108" t="s">
        <v>1968</v>
      </c>
      <c r="G5" s="1109">
        <f>D5/10</f>
        <v>6.3</v>
      </c>
      <c r="H5" s="1107" t="s">
        <v>309</v>
      </c>
      <c r="I5" s="1113"/>
      <c r="J5" s="1113"/>
      <c r="K5" s="1113"/>
      <c r="L5" s="1113"/>
      <c r="M5" s="1115"/>
    </row>
    <row r="6" spans="2:13" ht="20.100000000000001" customHeight="1">
      <c r="B6" s="1104" t="s">
        <v>13485</v>
      </c>
      <c r="C6" s="1105" t="s">
        <v>13486</v>
      </c>
      <c r="D6" s="1106">
        <v>420</v>
      </c>
      <c r="E6" s="1107" t="s">
        <v>13487</v>
      </c>
      <c r="F6" s="5916"/>
      <c r="G6" s="5917"/>
      <c r="H6" s="5924"/>
      <c r="I6" s="1113"/>
      <c r="J6" s="1113"/>
      <c r="K6" s="1113"/>
      <c r="L6" s="1113"/>
      <c r="M6" s="1115"/>
    </row>
    <row r="7" spans="2:13" ht="20.100000000000001" customHeight="1">
      <c r="B7" s="1104" t="s">
        <v>13488</v>
      </c>
      <c r="C7" s="1105" t="s">
        <v>2255</v>
      </c>
      <c r="D7" s="1106">
        <v>0.5</v>
      </c>
      <c r="E7" s="1107" t="s">
        <v>1755</v>
      </c>
      <c r="F7" s="5916"/>
      <c r="G7" s="5917"/>
      <c r="H7" s="5924"/>
      <c r="I7" s="1113"/>
      <c r="J7" s="1113"/>
      <c r="K7" s="1113"/>
      <c r="L7" s="1113"/>
      <c r="M7" s="1115"/>
    </row>
    <row r="8" spans="2:13" ht="20.100000000000001" customHeight="1">
      <c r="B8" s="1104" t="s">
        <v>13489</v>
      </c>
      <c r="C8" s="1105" t="s">
        <v>13490</v>
      </c>
      <c r="D8" s="1110">
        <f>0.0462*G5*G5*D6*(D7+0.102)</f>
        <v>463.62714552</v>
      </c>
      <c r="E8" s="1107" t="s">
        <v>2771</v>
      </c>
      <c r="F8" s="5916"/>
      <c r="G8" s="5917"/>
      <c r="H8" s="5924"/>
      <c r="I8" s="1113"/>
      <c r="J8" s="1113"/>
      <c r="K8" s="1113"/>
      <c r="L8" s="1113"/>
      <c r="M8" s="1115"/>
    </row>
    <row r="9" spans="2:13" ht="20.100000000000001" customHeight="1">
      <c r="B9" s="1104" t="s">
        <v>13491</v>
      </c>
      <c r="C9" s="1105" t="s">
        <v>13492</v>
      </c>
      <c r="D9" s="1110">
        <f>D8/984</f>
        <v>0.47116579829268301</v>
      </c>
      <c r="E9" s="1107" t="s">
        <v>2771</v>
      </c>
      <c r="F9" s="5916" t="s">
        <v>13493</v>
      </c>
      <c r="G9" s="5917"/>
      <c r="H9" s="5924"/>
      <c r="I9" s="1113"/>
      <c r="J9" s="1113"/>
      <c r="K9" s="1113"/>
      <c r="L9" s="1113"/>
      <c r="M9" s="1115"/>
    </row>
    <row r="10" spans="2:13" ht="20.100000000000001" customHeight="1">
      <c r="B10" s="1104" t="s">
        <v>13494</v>
      </c>
      <c r="C10" s="1105" t="s">
        <v>2148</v>
      </c>
      <c r="D10" s="1110">
        <f>D9*18</f>
        <v>8.48098436926829</v>
      </c>
      <c r="E10" s="1107" t="s">
        <v>2785</v>
      </c>
      <c r="F10" s="5916"/>
      <c r="G10" s="5917"/>
      <c r="H10" s="5924"/>
      <c r="I10" s="1113"/>
      <c r="J10" s="1113"/>
      <c r="K10" s="1113"/>
      <c r="L10" s="1113"/>
      <c r="M10" s="1115"/>
    </row>
    <row r="11" spans="2:13" ht="20.100000000000001" customHeight="1">
      <c r="B11" s="5928" t="s">
        <v>13495</v>
      </c>
      <c r="C11" s="5929"/>
      <c r="D11" s="5929"/>
      <c r="E11" s="5929"/>
      <c r="F11" s="5929"/>
      <c r="G11" s="5929"/>
      <c r="H11" s="5929"/>
      <c r="I11" s="5929"/>
      <c r="J11" s="5929"/>
      <c r="K11" s="5929"/>
      <c r="L11" s="5929"/>
      <c r="M11" s="5930"/>
    </row>
    <row r="12" spans="2:13" ht="20.100000000000001" customHeight="1">
      <c r="B12" s="5931"/>
      <c r="C12" s="5932"/>
      <c r="D12" s="5932"/>
      <c r="E12" s="5932"/>
      <c r="F12" s="5932"/>
      <c r="G12" s="5932"/>
      <c r="H12" s="5932"/>
      <c r="I12" s="5932"/>
      <c r="J12" s="5932"/>
      <c r="K12" s="5932"/>
      <c r="L12" s="5932"/>
      <c r="M12" s="5933"/>
    </row>
    <row r="13" spans="2:13" ht="20.100000000000001" customHeight="1"/>
    <row r="14" spans="2:13" ht="20.100000000000001" customHeight="1">
      <c r="B14" s="5925" t="s">
        <v>13496</v>
      </c>
      <c r="C14" s="5926"/>
      <c r="D14" s="5926"/>
      <c r="E14" s="5926"/>
      <c r="F14" s="5926"/>
      <c r="G14" s="5926"/>
      <c r="H14" s="5926"/>
      <c r="I14" s="5926"/>
      <c r="J14" s="5926"/>
      <c r="K14" s="5927"/>
    </row>
    <row r="15" spans="2:13" ht="20.100000000000001" customHeight="1">
      <c r="B15" s="1104" t="s">
        <v>13483</v>
      </c>
      <c r="C15" s="1105" t="s">
        <v>13484</v>
      </c>
      <c r="D15" s="1106">
        <v>100</v>
      </c>
      <c r="E15" s="1107" t="s">
        <v>234</v>
      </c>
      <c r="F15" s="1108" t="s">
        <v>1968</v>
      </c>
      <c r="G15" s="1110">
        <f t="shared" ref="G15:G19" si="0">D15/10</f>
        <v>10</v>
      </c>
      <c r="H15" s="1107" t="s">
        <v>309</v>
      </c>
      <c r="I15" s="5916"/>
      <c r="J15" s="5917"/>
      <c r="K15" s="5918"/>
    </row>
    <row r="16" spans="2:13" ht="20.100000000000001" customHeight="1">
      <c r="B16" s="1104" t="s">
        <v>13497</v>
      </c>
      <c r="C16" s="1105" t="s">
        <v>13498</v>
      </c>
      <c r="D16" s="1106">
        <v>60</v>
      </c>
      <c r="E16" s="1107" t="s">
        <v>13499</v>
      </c>
      <c r="F16" s="5916" t="s">
        <v>13500</v>
      </c>
      <c r="G16" s="5917"/>
      <c r="H16" s="5917"/>
      <c r="I16" s="5917"/>
      <c r="J16" s="5917"/>
      <c r="K16" s="5918"/>
      <c r="L16" s="1113"/>
      <c r="M16" s="1113"/>
    </row>
    <row r="17" spans="2:11" ht="20.100000000000001" customHeight="1">
      <c r="B17" s="1104" t="s">
        <v>13501</v>
      </c>
      <c r="C17" s="1105" t="s">
        <v>2121</v>
      </c>
      <c r="D17" s="1106">
        <v>100</v>
      </c>
      <c r="E17" s="1107" t="s">
        <v>234</v>
      </c>
      <c r="F17" s="1108" t="s">
        <v>1968</v>
      </c>
      <c r="G17" s="1110">
        <f t="shared" si="0"/>
        <v>10</v>
      </c>
      <c r="H17" s="1107" t="s">
        <v>309</v>
      </c>
      <c r="I17" s="5916"/>
      <c r="J17" s="5917"/>
      <c r="K17" s="5918"/>
    </row>
    <row r="18" spans="2:11" ht="20.100000000000001" customHeight="1">
      <c r="B18" s="1104" t="s">
        <v>13502</v>
      </c>
      <c r="C18" s="1105" t="s">
        <v>13503</v>
      </c>
      <c r="D18" s="1106">
        <v>10</v>
      </c>
      <c r="E18" s="1107" t="s">
        <v>234</v>
      </c>
      <c r="F18" s="1108" t="s">
        <v>1968</v>
      </c>
      <c r="G18" s="1110">
        <f t="shared" si="0"/>
        <v>1</v>
      </c>
      <c r="H18" s="1107" t="s">
        <v>309</v>
      </c>
      <c r="I18" s="5916" t="s">
        <v>13504</v>
      </c>
      <c r="J18" s="5917"/>
      <c r="K18" s="5918"/>
    </row>
    <row r="19" spans="2:11" ht="20.100000000000001" customHeight="1">
      <c r="B19" s="1104" t="s">
        <v>13505</v>
      </c>
      <c r="C19" s="1105" t="s">
        <v>13506</v>
      </c>
      <c r="D19" s="1106">
        <v>60</v>
      </c>
      <c r="E19" s="1107" t="s">
        <v>234</v>
      </c>
      <c r="F19" s="1108" t="s">
        <v>1968</v>
      </c>
      <c r="G19" s="1110">
        <f t="shared" si="0"/>
        <v>6</v>
      </c>
      <c r="H19" s="1107" t="s">
        <v>309</v>
      </c>
      <c r="I19" s="5916"/>
      <c r="J19" s="5917"/>
      <c r="K19" s="5918"/>
    </row>
    <row r="20" spans="2:11" ht="20.100000000000001" customHeight="1">
      <c r="B20" s="1104" t="s">
        <v>13488</v>
      </c>
      <c r="C20" s="1105" t="s">
        <v>2255</v>
      </c>
      <c r="D20" s="1106">
        <v>0.6</v>
      </c>
      <c r="E20" s="1107" t="s">
        <v>1755</v>
      </c>
      <c r="F20" s="5919"/>
      <c r="G20" s="5919"/>
      <c r="H20" s="5919"/>
      <c r="I20" s="5919"/>
      <c r="J20" s="5919"/>
      <c r="K20" s="5920"/>
    </row>
    <row r="21" spans="2:11" ht="20.100000000000001" customHeight="1">
      <c r="B21" s="1104" t="s">
        <v>13507</v>
      </c>
      <c r="C21" s="1105" t="s">
        <v>13508</v>
      </c>
      <c r="D21" s="1110">
        <f>0.0157*(POWER(G15,2)*G17+POWER(G18,2)*G19)*D16*(D20+0.102)</f>
        <v>665.25170400000002</v>
      </c>
      <c r="E21" s="5921" t="s">
        <v>13509</v>
      </c>
      <c r="F21" s="5922"/>
      <c r="G21" s="5923"/>
      <c r="H21" s="5916"/>
      <c r="I21" s="5917"/>
      <c r="J21" s="5917"/>
      <c r="K21" s="5918"/>
    </row>
    <row r="22" spans="2:11" ht="20.100000000000001" customHeight="1">
      <c r="B22" s="1111"/>
      <c r="C22" s="1112"/>
      <c r="D22" s="1113"/>
      <c r="E22" s="1113"/>
      <c r="F22" s="1113"/>
      <c r="G22" s="1113"/>
      <c r="H22" s="1113"/>
      <c r="I22" s="1113"/>
      <c r="J22" s="1113"/>
      <c r="K22" s="1115"/>
    </row>
    <row r="23" spans="2:11" ht="20.100000000000001" customHeight="1">
      <c r="B23" s="1111"/>
      <c r="C23" s="1112"/>
      <c r="D23" s="1113"/>
      <c r="E23" s="1113"/>
      <c r="F23" s="1113"/>
      <c r="G23" s="1113"/>
      <c r="H23" s="1113"/>
      <c r="I23" s="1113"/>
      <c r="J23" s="1113"/>
      <c r="K23" s="1115"/>
    </row>
    <row r="24" spans="2:11" ht="20.100000000000001" customHeight="1">
      <c r="B24" s="1111"/>
      <c r="C24" s="1112"/>
      <c r="D24" s="1113"/>
      <c r="E24" s="1113"/>
      <c r="F24" s="1113"/>
      <c r="G24" s="1113"/>
      <c r="H24" s="1113"/>
      <c r="I24" s="1113"/>
      <c r="J24" s="1113"/>
      <c r="K24" s="1115"/>
    </row>
    <row r="25" spans="2:11" ht="20.100000000000001" customHeight="1">
      <c r="B25" s="5910" t="s">
        <v>13510</v>
      </c>
      <c r="C25" s="5911"/>
      <c r="D25" s="5911"/>
      <c r="E25" s="5911"/>
      <c r="F25" s="5911"/>
      <c r="G25" s="5911"/>
      <c r="H25" s="5911"/>
      <c r="I25" s="5911"/>
      <c r="J25" s="5911"/>
      <c r="K25" s="5912"/>
    </row>
    <row r="26" spans="2:11" ht="20.100000000000001" customHeight="1">
      <c r="B26" s="5913"/>
      <c r="C26" s="5914"/>
      <c r="D26" s="5914"/>
      <c r="E26" s="5914"/>
      <c r="F26" s="5914"/>
      <c r="G26" s="5914"/>
      <c r="H26" s="5914"/>
      <c r="I26" s="5914"/>
      <c r="J26" s="5914"/>
      <c r="K26" s="5915"/>
    </row>
  </sheetData>
  <sheetProtection password="C633" sheet="1"/>
  <mergeCells count="18">
    <mergeCell ref="B1:M1"/>
    <mergeCell ref="B4:H4"/>
    <mergeCell ref="F6:H6"/>
    <mergeCell ref="F7:H7"/>
    <mergeCell ref="F8:H8"/>
    <mergeCell ref="F9:H9"/>
    <mergeCell ref="F10:H10"/>
    <mergeCell ref="B14:K14"/>
    <mergeCell ref="I15:K15"/>
    <mergeCell ref="F16:K16"/>
    <mergeCell ref="B11:M12"/>
    <mergeCell ref="B25:K26"/>
    <mergeCell ref="I17:K17"/>
    <mergeCell ref="I18:K18"/>
    <mergeCell ref="I19:K19"/>
    <mergeCell ref="F20:K20"/>
    <mergeCell ref="E21:G21"/>
    <mergeCell ref="H21:K21"/>
  </mergeCells>
  <phoneticPr fontId="214" type="noConversion"/>
  <pageMargins left="0.69930555555555596" right="0.69930555555555596" top="0.75" bottom="0.75" header="0.3" footer="0.3"/>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42"/>
  <dimension ref="A1:Q19"/>
  <sheetViews>
    <sheetView zoomScale="85" zoomScaleNormal="85" workbookViewId="0">
      <selection activeCell="V19" sqref="V19"/>
    </sheetView>
  </sheetViews>
  <sheetFormatPr defaultColWidth="9" defaultRowHeight="14.25"/>
  <cols>
    <col min="1" max="1" width="4.25" style="510" customWidth="1"/>
    <col min="2" max="2" width="10.625" style="510" customWidth="1"/>
    <col min="3" max="3" width="4.625" style="510" customWidth="1"/>
    <col min="4" max="4" width="6.375" style="510" customWidth="1"/>
    <col min="5" max="5" width="6.125" style="510" customWidth="1"/>
    <col min="6" max="6" width="6" style="510" customWidth="1"/>
    <col min="7" max="7" width="6.375" style="510" customWidth="1"/>
    <col min="8" max="8" width="6.5" style="510" customWidth="1"/>
    <col min="9" max="10" width="11" style="510" customWidth="1"/>
    <col min="11" max="11" width="6.375" style="510" customWidth="1"/>
    <col min="12" max="12" width="6.875" style="510" customWidth="1"/>
    <col min="13" max="13" width="1.5" style="510" customWidth="1"/>
    <col min="14" max="14" width="10.375" style="510" customWidth="1"/>
    <col min="15" max="15" width="7" style="510" customWidth="1"/>
    <col min="16" max="16" width="7.125" style="510" customWidth="1"/>
    <col min="17" max="17" width="9.5" style="510" customWidth="1"/>
    <col min="18" max="16384" width="9" style="510"/>
  </cols>
  <sheetData>
    <row r="1" spans="1:17" ht="22.5">
      <c r="A1" s="5940" t="s">
        <v>13511</v>
      </c>
      <c r="B1" s="5940"/>
      <c r="C1" s="5940"/>
      <c r="D1" s="5940"/>
      <c r="E1" s="5940"/>
      <c r="F1" s="5940"/>
      <c r="G1" s="5940"/>
      <c r="H1" s="5940"/>
      <c r="I1" s="5940"/>
      <c r="J1" s="5940"/>
      <c r="K1" s="5940"/>
      <c r="L1" s="5940"/>
      <c r="N1" s="5941" t="s">
        <v>13512</v>
      </c>
      <c r="O1" s="5941"/>
      <c r="P1" s="5941"/>
      <c r="Q1" s="5941"/>
    </row>
    <row r="2" spans="1:17" ht="30.75" customHeight="1">
      <c r="A2" s="790" t="s">
        <v>13513</v>
      </c>
      <c r="B2" s="790" t="s">
        <v>12439</v>
      </c>
      <c r="C2" s="790" t="s">
        <v>13514</v>
      </c>
      <c r="D2" s="790" t="s">
        <v>13515</v>
      </c>
      <c r="E2" s="790" t="s">
        <v>3319</v>
      </c>
      <c r="F2" s="790" t="s">
        <v>13516</v>
      </c>
      <c r="G2" s="790" t="s">
        <v>963</v>
      </c>
      <c r="H2" s="790" t="s">
        <v>429</v>
      </c>
      <c r="I2" s="790" t="s">
        <v>13517</v>
      </c>
      <c r="J2" s="790" t="s">
        <v>13518</v>
      </c>
      <c r="K2" s="790" t="s">
        <v>13519</v>
      </c>
      <c r="L2" s="513" t="s">
        <v>13520</v>
      </c>
      <c r="N2" s="1096" t="s">
        <v>13521</v>
      </c>
      <c r="O2" s="5938" t="s">
        <v>13522</v>
      </c>
      <c r="P2" s="5938"/>
      <c r="Q2" s="5938"/>
    </row>
    <row r="3" spans="1:17" ht="18.75">
      <c r="A3" s="5938" t="s">
        <v>235</v>
      </c>
      <c r="B3" s="790" t="s">
        <v>13523</v>
      </c>
      <c r="C3" s="790">
        <v>34</v>
      </c>
      <c r="D3" s="5939">
        <v>8</v>
      </c>
      <c r="E3" s="5939">
        <v>2.7</v>
      </c>
      <c r="F3" s="5939">
        <v>6.3</v>
      </c>
      <c r="G3" s="5939" t="s">
        <v>5922</v>
      </c>
      <c r="H3" s="5939">
        <v>9.5</v>
      </c>
      <c r="I3" s="5938" t="s">
        <v>13524</v>
      </c>
      <c r="J3" s="5938" t="s">
        <v>13525</v>
      </c>
      <c r="K3" s="5938" t="s">
        <v>13526</v>
      </c>
      <c r="L3" s="5938">
        <v>5.5</v>
      </c>
      <c r="N3" s="790" t="s">
        <v>13527</v>
      </c>
      <c r="O3" s="790" t="s">
        <v>961</v>
      </c>
      <c r="P3" s="790" t="s">
        <v>961</v>
      </c>
      <c r="Q3" s="790" t="s">
        <v>961</v>
      </c>
    </row>
    <row r="4" spans="1:17" ht="18.75">
      <c r="A4" s="5938"/>
      <c r="B4" s="790" t="s">
        <v>13528</v>
      </c>
      <c r="C4" s="790">
        <v>36</v>
      </c>
      <c r="D4" s="5939"/>
      <c r="E4" s="5939"/>
      <c r="F4" s="5939"/>
      <c r="G4" s="5939"/>
      <c r="H4" s="5939"/>
      <c r="I4" s="5938"/>
      <c r="J4" s="5938"/>
      <c r="K4" s="5938"/>
      <c r="L4" s="5938"/>
      <c r="N4" s="790" t="s">
        <v>13529</v>
      </c>
      <c r="O4" s="790" t="s">
        <v>962</v>
      </c>
      <c r="P4" s="790" t="s">
        <v>962</v>
      </c>
      <c r="Q4" s="790" t="s">
        <v>13530</v>
      </c>
    </row>
    <row r="5" spans="1:17" ht="18.75">
      <c r="A5" s="5938"/>
      <c r="B5" s="790" t="s">
        <v>13531</v>
      </c>
      <c r="C5" s="790">
        <v>38</v>
      </c>
      <c r="D5" s="5939"/>
      <c r="E5" s="5939"/>
      <c r="F5" s="5939"/>
      <c r="G5" s="5939"/>
      <c r="H5" s="5939"/>
      <c r="I5" s="5938"/>
      <c r="J5" s="5938"/>
      <c r="K5" s="5938"/>
      <c r="L5" s="5938"/>
      <c r="N5" s="790" t="s">
        <v>13532</v>
      </c>
      <c r="O5" s="790" t="s">
        <v>13533</v>
      </c>
      <c r="P5" s="790" t="s">
        <v>962</v>
      </c>
      <c r="Q5" s="790" t="s">
        <v>962</v>
      </c>
    </row>
    <row r="6" spans="1:17" ht="18.75">
      <c r="A6" s="5938" t="s">
        <v>961</v>
      </c>
      <c r="B6" s="790" t="s">
        <v>13534</v>
      </c>
      <c r="C6" s="790">
        <v>34</v>
      </c>
      <c r="D6" s="5939">
        <v>9.1999999999999993</v>
      </c>
      <c r="E6" s="5939">
        <v>4.5</v>
      </c>
      <c r="F6" s="5939">
        <v>8</v>
      </c>
      <c r="G6" s="5939">
        <v>15</v>
      </c>
      <c r="H6" s="5939">
        <v>10</v>
      </c>
      <c r="I6" s="5938" t="s">
        <v>13524</v>
      </c>
      <c r="J6" s="5938" t="s">
        <v>13525</v>
      </c>
      <c r="K6" s="5938" t="s">
        <v>13526</v>
      </c>
      <c r="L6" s="5938">
        <v>9</v>
      </c>
      <c r="N6" s="790" t="s">
        <v>13535</v>
      </c>
      <c r="O6" s="790" t="s">
        <v>1957</v>
      </c>
      <c r="P6" s="790" t="s">
        <v>13533</v>
      </c>
      <c r="Q6" s="790" t="s">
        <v>13533</v>
      </c>
    </row>
    <row r="7" spans="1:17" ht="18.75">
      <c r="A7" s="5938"/>
      <c r="B7" s="790" t="s">
        <v>13536</v>
      </c>
      <c r="C7" s="790">
        <v>36</v>
      </c>
      <c r="D7" s="5939"/>
      <c r="E7" s="5939"/>
      <c r="F7" s="5939"/>
      <c r="G7" s="5939"/>
      <c r="H7" s="5939"/>
      <c r="I7" s="5938"/>
      <c r="J7" s="5938"/>
      <c r="K7" s="5938"/>
      <c r="L7" s="5938"/>
      <c r="N7" s="790" t="s">
        <v>13537</v>
      </c>
      <c r="O7" s="790" t="s">
        <v>13538</v>
      </c>
      <c r="P7" s="790" t="s">
        <v>1957</v>
      </c>
      <c r="Q7" s="790" t="s">
        <v>1957</v>
      </c>
    </row>
    <row r="8" spans="1:17" ht="18.75">
      <c r="A8" s="5938"/>
      <c r="B8" s="790" t="s">
        <v>13539</v>
      </c>
      <c r="C8" s="790">
        <v>38</v>
      </c>
      <c r="D8" s="5939"/>
      <c r="E8" s="5939"/>
      <c r="F8" s="5939"/>
      <c r="G8" s="5939"/>
      <c r="H8" s="5939"/>
      <c r="I8" s="5938"/>
      <c r="J8" s="5938"/>
      <c r="K8" s="5938"/>
      <c r="L8" s="5938"/>
      <c r="N8" s="790" t="s">
        <v>13540</v>
      </c>
      <c r="O8" s="790" t="s">
        <v>2524</v>
      </c>
      <c r="P8" s="790" t="s">
        <v>13538</v>
      </c>
      <c r="Q8" s="790" t="s">
        <v>13538</v>
      </c>
    </row>
    <row r="9" spans="1:17" ht="18.75">
      <c r="A9" s="5938" t="s">
        <v>962</v>
      </c>
      <c r="B9" s="790" t="s">
        <v>13541</v>
      </c>
      <c r="C9" s="790">
        <v>34</v>
      </c>
      <c r="D9" s="5939">
        <v>12.5</v>
      </c>
      <c r="E9" s="5939">
        <v>5.5</v>
      </c>
      <c r="F9" s="5939">
        <v>9.5</v>
      </c>
      <c r="G9" s="5939">
        <v>19</v>
      </c>
      <c r="H9" s="5939">
        <v>12.5</v>
      </c>
      <c r="I9" s="5938" t="s">
        <v>13524</v>
      </c>
      <c r="J9" s="5938" t="s">
        <v>13525</v>
      </c>
      <c r="K9" s="5938" t="s">
        <v>13526</v>
      </c>
      <c r="L9" s="5938">
        <v>11</v>
      </c>
      <c r="N9" s="790" t="s">
        <v>13542</v>
      </c>
      <c r="O9" s="790" t="s">
        <v>2510</v>
      </c>
      <c r="P9" s="790" t="s">
        <v>2524</v>
      </c>
      <c r="Q9" s="790" t="s">
        <v>2524</v>
      </c>
    </row>
    <row r="10" spans="1:17" ht="18.75">
      <c r="A10" s="5938"/>
      <c r="B10" s="790" t="s">
        <v>13543</v>
      </c>
      <c r="C10" s="790">
        <v>36</v>
      </c>
      <c r="D10" s="5939"/>
      <c r="E10" s="5939"/>
      <c r="F10" s="5939"/>
      <c r="G10" s="5939"/>
      <c r="H10" s="5939"/>
      <c r="I10" s="5938"/>
      <c r="J10" s="5938"/>
      <c r="K10" s="5938"/>
      <c r="L10" s="5938"/>
      <c r="N10" s="929" t="s">
        <v>13544</v>
      </c>
      <c r="O10" s="790" t="s">
        <v>2510</v>
      </c>
      <c r="P10" s="790" t="s">
        <v>2510</v>
      </c>
      <c r="Q10" s="790" t="s">
        <v>2510</v>
      </c>
    </row>
    <row r="11" spans="1:17" ht="18.75">
      <c r="A11" s="5938"/>
      <c r="B11" s="790" t="s">
        <v>13545</v>
      </c>
      <c r="C11" s="790">
        <v>38</v>
      </c>
      <c r="D11" s="5939"/>
      <c r="E11" s="5939"/>
      <c r="F11" s="5939"/>
      <c r="G11" s="5939"/>
      <c r="H11" s="5939"/>
      <c r="I11" s="5938"/>
      <c r="J11" s="5938"/>
      <c r="K11" s="5938"/>
      <c r="L11" s="5938"/>
      <c r="N11" s="1097"/>
      <c r="O11" s="787"/>
      <c r="P11" s="787"/>
      <c r="Q11" s="787"/>
    </row>
    <row r="12" spans="1:17" ht="18.75">
      <c r="A12" s="5938" t="s">
        <v>1957</v>
      </c>
      <c r="B12" s="790" t="s">
        <v>13546</v>
      </c>
      <c r="C12" s="790">
        <v>34</v>
      </c>
      <c r="D12" s="5939">
        <v>16.899999999999999</v>
      </c>
      <c r="E12" s="5939">
        <v>7</v>
      </c>
      <c r="F12" s="5939">
        <v>12</v>
      </c>
      <c r="G12" s="5939">
        <v>25.5</v>
      </c>
      <c r="H12" s="5939">
        <v>17</v>
      </c>
      <c r="I12" s="5938" t="s">
        <v>13524</v>
      </c>
      <c r="J12" s="5938" t="s">
        <v>13547</v>
      </c>
      <c r="K12" s="5938" t="s">
        <v>5401</v>
      </c>
      <c r="L12" s="5938">
        <v>14</v>
      </c>
      <c r="N12" s="790"/>
      <c r="O12" s="787"/>
      <c r="P12" s="787"/>
      <c r="Q12" s="787"/>
    </row>
    <row r="13" spans="1:17" ht="18.75">
      <c r="A13" s="5938"/>
      <c r="B13" s="790" t="s">
        <v>13548</v>
      </c>
      <c r="C13" s="790">
        <v>36</v>
      </c>
      <c r="D13" s="5939"/>
      <c r="E13" s="5939"/>
      <c r="F13" s="5939"/>
      <c r="G13" s="5939"/>
      <c r="H13" s="5939"/>
      <c r="I13" s="5938"/>
      <c r="J13" s="5938"/>
      <c r="K13" s="5938"/>
      <c r="L13" s="5938"/>
      <c r="N13" s="787"/>
      <c r="O13" s="787"/>
      <c r="P13" s="787"/>
      <c r="Q13" s="787"/>
    </row>
    <row r="14" spans="1:17" ht="18.75">
      <c r="A14" s="5938"/>
      <c r="B14" s="790" t="s">
        <v>13549</v>
      </c>
      <c r="C14" s="790">
        <v>38</v>
      </c>
      <c r="D14" s="5939"/>
      <c r="E14" s="5939"/>
      <c r="F14" s="5939"/>
      <c r="G14" s="5939"/>
      <c r="H14" s="5939"/>
      <c r="I14" s="5938"/>
      <c r="J14" s="5938"/>
      <c r="K14" s="5938"/>
      <c r="L14" s="5938"/>
      <c r="N14" s="787"/>
      <c r="O14" s="787"/>
      <c r="P14" s="787"/>
      <c r="Q14" s="787"/>
    </row>
    <row r="15" spans="1:17" ht="18.75">
      <c r="A15" s="5938" t="s">
        <v>2524</v>
      </c>
      <c r="B15" s="790" t="s">
        <v>13550</v>
      </c>
      <c r="C15" s="790">
        <v>36</v>
      </c>
      <c r="D15" s="5939">
        <v>24.6</v>
      </c>
      <c r="E15" s="5939">
        <v>9.5</v>
      </c>
      <c r="F15" s="5939">
        <v>15.5</v>
      </c>
      <c r="G15" s="5939">
        <v>37</v>
      </c>
      <c r="H15" s="5939">
        <v>24</v>
      </c>
      <c r="I15" s="5938" t="s">
        <v>13524</v>
      </c>
      <c r="J15" s="5938" t="s">
        <v>13551</v>
      </c>
      <c r="K15" s="5938" t="s">
        <v>13552</v>
      </c>
      <c r="L15" s="5938">
        <v>19</v>
      </c>
      <c r="N15" s="787"/>
      <c r="O15" s="787"/>
      <c r="P15" s="787"/>
      <c r="Q15" s="787"/>
    </row>
    <row r="16" spans="1:17" ht="18.75">
      <c r="A16" s="5938"/>
      <c r="B16" s="790" t="s">
        <v>13553</v>
      </c>
      <c r="C16" s="790">
        <v>38</v>
      </c>
      <c r="D16" s="5939"/>
      <c r="E16" s="5939"/>
      <c r="F16" s="5939"/>
      <c r="G16" s="5939"/>
      <c r="H16" s="5939"/>
      <c r="I16" s="5938"/>
      <c r="J16" s="5938"/>
      <c r="K16" s="5938"/>
      <c r="L16" s="5938"/>
      <c r="N16" s="787"/>
      <c r="O16" s="787"/>
      <c r="P16" s="787"/>
      <c r="Q16" s="787"/>
    </row>
    <row r="17" spans="1:17" ht="18.75">
      <c r="A17" s="5938" t="s">
        <v>2510</v>
      </c>
      <c r="B17" s="790" t="s">
        <v>13554</v>
      </c>
      <c r="C17" s="790">
        <v>36</v>
      </c>
      <c r="D17" s="5939">
        <v>28.7</v>
      </c>
      <c r="E17" s="5939">
        <v>12.7</v>
      </c>
      <c r="F17" s="5939">
        <v>19.3</v>
      </c>
      <c r="G17" s="5939">
        <v>44.5</v>
      </c>
      <c r="H17" s="5939">
        <v>29</v>
      </c>
      <c r="I17" s="5938" t="s">
        <v>13524</v>
      </c>
      <c r="J17" s="5938" t="s">
        <v>13551</v>
      </c>
      <c r="K17" s="5938" t="s">
        <v>13555</v>
      </c>
      <c r="L17" s="5938">
        <v>25.5</v>
      </c>
      <c r="N17" s="787"/>
      <c r="O17" s="787"/>
      <c r="P17" s="787"/>
      <c r="Q17" s="787"/>
    </row>
    <row r="18" spans="1:17" ht="18.75">
      <c r="A18" s="5938"/>
      <c r="B18" s="790" t="s">
        <v>13556</v>
      </c>
      <c r="C18" s="790">
        <v>38</v>
      </c>
      <c r="D18" s="5939"/>
      <c r="E18" s="5939"/>
      <c r="F18" s="5939"/>
      <c r="G18" s="5939"/>
      <c r="H18" s="5939"/>
      <c r="I18" s="5938"/>
      <c r="J18" s="5938"/>
      <c r="K18" s="5938"/>
      <c r="L18" s="5938"/>
      <c r="N18" s="787"/>
      <c r="O18" s="787"/>
      <c r="P18" s="787"/>
      <c r="Q18" s="787"/>
    </row>
    <row r="19" spans="1:17">
      <c r="N19" s="796"/>
      <c r="O19" s="796"/>
      <c r="P19" s="796"/>
      <c r="Q19" s="796"/>
    </row>
  </sheetData>
  <mergeCells count="63">
    <mergeCell ref="A1:L1"/>
    <mergeCell ref="N1:Q1"/>
    <mergeCell ref="O2:Q2"/>
    <mergeCell ref="A3:A5"/>
    <mergeCell ref="A6:A8"/>
    <mergeCell ref="E3:E5"/>
    <mergeCell ref="E6:E8"/>
    <mergeCell ref="G3:G5"/>
    <mergeCell ref="G6:G8"/>
    <mergeCell ref="I3:I5"/>
    <mergeCell ref="I6:I8"/>
    <mergeCell ref="K3:K5"/>
    <mergeCell ref="K6:K8"/>
    <mergeCell ref="A9:A11"/>
    <mergeCell ref="A12:A14"/>
    <mergeCell ref="A15:A16"/>
    <mergeCell ref="A17:A18"/>
    <mergeCell ref="D3:D5"/>
    <mergeCell ref="D6:D8"/>
    <mergeCell ref="D9:D11"/>
    <mergeCell ref="D12:D14"/>
    <mergeCell ref="D15:D16"/>
    <mergeCell ref="D17:D18"/>
    <mergeCell ref="E9:E11"/>
    <mergeCell ref="E12:E14"/>
    <mergeCell ref="E15:E16"/>
    <mergeCell ref="E17:E18"/>
    <mergeCell ref="F3:F5"/>
    <mergeCell ref="F6:F8"/>
    <mergeCell ref="F9:F11"/>
    <mergeCell ref="F12:F14"/>
    <mergeCell ref="F15:F16"/>
    <mergeCell ref="F17:F18"/>
    <mergeCell ref="G9:G11"/>
    <mergeCell ref="G12:G14"/>
    <mergeCell ref="G15:G16"/>
    <mergeCell ref="G17:G18"/>
    <mergeCell ref="H3:H5"/>
    <mergeCell ref="H6:H8"/>
    <mergeCell ref="H9:H11"/>
    <mergeCell ref="H12:H14"/>
    <mergeCell ref="H15:H16"/>
    <mergeCell ref="H17:H18"/>
    <mergeCell ref="I9:I11"/>
    <mergeCell ref="I12:I14"/>
    <mergeCell ref="I15:I16"/>
    <mergeCell ref="I17:I18"/>
    <mergeCell ref="J3:J5"/>
    <mergeCell ref="J6:J8"/>
    <mergeCell ref="J9:J11"/>
    <mergeCell ref="J12:J14"/>
    <mergeCell ref="J15:J16"/>
    <mergeCell ref="J17:J18"/>
    <mergeCell ref="K9:K11"/>
    <mergeCell ref="K12:K14"/>
    <mergeCell ref="K15:K16"/>
    <mergeCell ref="K17:K18"/>
    <mergeCell ref="L3:L5"/>
    <mergeCell ref="L6:L8"/>
    <mergeCell ref="L9:L11"/>
    <mergeCell ref="L12:L14"/>
    <mergeCell ref="L15:L16"/>
    <mergeCell ref="L17:L18"/>
  </mergeCells>
  <phoneticPr fontId="214" type="noConversion"/>
  <printOptions horizontalCentered="1"/>
  <pageMargins left="0.34930555555555598" right="0.34930555555555598" top="0.38888888888888901" bottom="0.38888888888888901" header="0.50902777777777797" footer="0.50902777777777797"/>
  <pageSetup paperSize="9" orientation="landscape" horizontalDpi="300" verticalDpi="300"/>
  <headerFooter scaleWithDoc="0" alignWithMargins="0"/>
  <drawing r:id="rId1"/>
  <legacyDrawing r:id="rId2"/>
  <oleObjects>
    <mc:AlternateContent xmlns:mc="http://schemas.openxmlformats.org/markup-compatibility/2006">
      <mc:Choice Requires="x14">
        <oleObject progId="AutoCAD.Drawing.14" shapeId="1224705" r:id="rId3">
          <objectPr defaultSize="0" altText="" r:id="rId4">
            <anchor moveWithCells="1">
              <from>
                <xdr:col>12</xdr:col>
                <xdr:colOff>95250</xdr:colOff>
                <xdr:row>10</xdr:row>
                <xdr:rowOff>57150</xdr:rowOff>
              </from>
              <to>
                <xdr:col>17</xdr:col>
                <xdr:colOff>666750</xdr:colOff>
                <xdr:row>23</xdr:row>
                <xdr:rowOff>57150</xdr:rowOff>
              </to>
            </anchor>
          </objectPr>
        </oleObject>
      </mc:Choice>
      <mc:Fallback>
        <oleObject progId="AutoCAD.Drawing.14" shapeId="1224705" r:id="rId3"/>
      </mc:Fallback>
    </mc:AlternateContent>
  </oleObject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43"/>
  <dimension ref="A1:K41"/>
  <sheetViews>
    <sheetView zoomScale="85" zoomScaleNormal="85" workbookViewId="0">
      <selection activeCell="Q25" sqref="Q25"/>
    </sheetView>
  </sheetViews>
  <sheetFormatPr defaultColWidth="9" defaultRowHeight="14.25"/>
  <sheetData>
    <row r="1" spans="1:11" ht="28.9" customHeight="1">
      <c r="A1" s="5952" t="s">
        <v>13557</v>
      </c>
      <c r="B1" s="5952"/>
      <c r="C1" s="5952"/>
      <c r="D1" s="5952"/>
      <c r="E1" s="5952"/>
      <c r="F1" s="5952"/>
      <c r="G1" s="5952"/>
      <c r="H1" s="5952"/>
      <c r="I1" s="5952"/>
      <c r="J1" s="5952"/>
      <c r="K1" s="5952"/>
    </row>
    <row r="2" spans="1:11" ht="16.5" customHeight="1">
      <c r="A2" s="5942" t="s">
        <v>13558</v>
      </c>
      <c r="B2" s="5942" t="s">
        <v>5881</v>
      </c>
      <c r="C2" s="5942" t="s">
        <v>13559</v>
      </c>
      <c r="D2" s="5942" t="s">
        <v>13560</v>
      </c>
      <c r="E2" s="5953" t="s">
        <v>13561</v>
      </c>
      <c r="F2" s="5954"/>
      <c r="G2" s="5954"/>
      <c r="H2" s="5954"/>
      <c r="I2" s="5954"/>
      <c r="J2" s="5954"/>
      <c r="K2" s="5955"/>
    </row>
    <row r="3" spans="1:11">
      <c r="A3" s="5943"/>
      <c r="B3" s="5943"/>
      <c r="C3" s="5943"/>
      <c r="D3" s="5943"/>
      <c r="E3" s="1093">
        <v>0.2</v>
      </c>
      <c r="F3" s="1093">
        <v>0.3</v>
      </c>
      <c r="G3" s="1093">
        <v>0.4</v>
      </c>
      <c r="H3" s="1093">
        <v>0.5</v>
      </c>
      <c r="I3" s="1093">
        <v>0.63</v>
      </c>
      <c r="J3" s="1093">
        <v>0.7</v>
      </c>
      <c r="K3" s="1093">
        <v>0.8</v>
      </c>
    </row>
    <row r="4" spans="1:11">
      <c r="A4" s="5944">
        <v>16</v>
      </c>
      <c r="B4" s="5944">
        <v>6</v>
      </c>
      <c r="C4" s="1094" t="s">
        <v>13562</v>
      </c>
      <c r="D4" s="1094">
        <v>2.0099999999999998</v>
      </c>
      <c r="E4" s="1094">
        <v>40.200000000000003</v>
      </c>
      <c r="F4" s="1094">
        <v>60.3</v>
      </c>
      <c r="G4" s="1094">
        <v>80.400000000000006</v>
      </c>
      <c r="H4" s="1094">
        <v>100.5</v>
      </c>
      <c r="I4" s="1094">
        <v>126.6</v>
      </c>
      <c r="J4" s="1094">
        <v>140.69999999999999</v>
      </c>
      <c r="K4" s="1094">
        <v>160.80000000000001</v>
      </c>
    </row>
    <row r="5" spans="1:11">
      <c r="A5" s="5945"/>
      <c r="B5" s="5945"/>
      <c r="C5" s="1095" t="s">
        <v>13563</v>
      </c>
      <c r="D5" s="1095">
        <v>1.72</v>
      </c>
      <c r="E5" s="1095">
        <v>34.6</v>
      </c>
      <c r="F5" s="1095">
        <v>51.9</v>
      </c>
      <c r="G5" s="1095">
        <v>69.2</v>
      </c>
      <c r="H5" s="1095">
        <v>86.5</v>
      </c>
      <c r="I5" s="1095">
        <v>109</v>
      </c>
      <c r="J5" s="1095">
        <v>121.1</v>
      </c>
      <c r="K5" s="1095">
        <v>138.4</v>
      </c>
    </row>
    <row r="6" spans="1:11">
      <c r="A6" s="5944">
        <v>20</v>
      </c>
      <c r="B6" s="5944">
        <v>8</v>
      </c>
      <c r="C6" s="1094" t="s">
        <v>13562</v>
      </c>
      <c r="D6" s="1094">
        <v>3.14</v>
      </c>
      <c r="E6" s="1094">
        <v>62.8</v>
      </c>
      <c r="F6" s="1094">
        <v>94.2</v>
      </c>
      <c r="G6" s="1094">
        <v>125.6</v>
      </c>
      <c r="H6" s="1094">
        <v>157.1</v>
      </c>
      <c r="I6" s="1094">
        <v>188</v>
      </c>
      <c r="J6" s="1094">
        <v>220</v>
      </c>
      <c r="K6" s="1094">
        <v>251</v>
      </c>
    </row>
    <row r="7" spans="1:11">
      <c r="A7" s="5945"/>
      <c r="B7" s="5945"/>
      <c r="C7" s="1095" t="s">
        <v>13563</v>
      </c>
      <c r="D7" s="1095">
        <v>2.64</v>
      </c>
      <c r="E7" s="1095">
        <v>52.8</v>
      </c>
      <c r="F7" s="1095">
        <v>79.2</v>
      </c>
      <c r="G7" s="1095">
        <v>105.6</v>
      </c>
      <c r="H7" s="1095">
        <v>163</v>
      </c>
      <c r="I7" s="1095">
        <v>158.4</v>
      </c>
      <c r="J7" s="1095">
        <v>184.8</v>
      </c>
      <c r="K7" s="1095">
        <v>211.2</v>
      </c>
    </row>
    <row r="8" spans="1:11">
      <c r="A8" s="5944">
        <v>25</v>
      </c>
      <c r="B8" s="5944">
        <v>10</v>
      </c>
      <c r="C8" s="1094" t="s">
        <v>13562</v>
      </c>
      <c r="D8" s="1094">
        <v>4.91</v>
      </c>
      <c r="E8" s="1094">
        <v>98.2</v>
      </c>
      <c r="F8" s="1094">
        <v>147</v>
      </c>
      <c r="G8" s="1094">
        <v>196.3</v>
      </c>
      <c r="H8" s="1094">
        <v>245</v>
      </c>
      <c r="I8" s="1094">
        <v>301</v>
      </c>
      <c r="J8" s="1094">
        <v>343</v>
      </c>
      <c r="K8" s="1094">
        <v>392</v>
      </c>
    </row>
    <row r="9" spans="1:11">
      <c r="A9" s="5945"/>
      <c r="B9" s="5945"/>
      <c r="C9" s="1095" t="s">
        <v>13563</v>
      </c>
      <c r="D9" s="1095">
        <v>4.12</v>
      </c>
      <c r="E9" s="1095">
        <v>82.4</v>
      </c>
      <c r="F9" s="1095">
        <v>124</v>
      </c>
      <c r="G9" s="1095">
        <v>164.8</v>
      </c>
      <c r="H9" s="1095">
        <v>206</v>
      </c>
      <c r="I9" s="1095">
        <v>260</v>
      </c>
      <c r="J9" s="1095">
        <v>288.39999999999998</v>
      </c>
      <c r="K9" s="1095">
        <v>330</v>
      </c>
    </row>
    <row r="10" spans="1:11">
      <c r="A10" s="5944">
        <v>32</v>
      </c>
      <c r="B10" s="5944">
        <v>12</v>
      </c>
      <c r="C10" s="1094" t="s">
        <v>13562</v>
      </c>
      <c r="D10" s="1094">
        <v>8.0299999999999994</v>
      </c>
      <c r="E10" s="1094">
        <v>160</v>
      </c>
      <c r="F10" s="1094">
        <v>240</v>
      </c>
      <c r="G10" s="1094">
        <v>321.2</v>
      </c>
      <c r="H10" s="1094">
        <v>401</v>
      </c>
      <c r="I10" s="1094">
        <v>504</v>
      </c>
      <c r="J10" s="1094">
        <v>561.9</v>
      </c>
      <c r="K10" s="1094">
        <v>640</v>
      </c>
    </row>
    <row r="11" spans="1:11">
      <c r="A11" s="5945"/>
      <c r="B11" s="5945"/>
      <c r="C11" s="1095" t="s">
        <v>13563</v>
      </c>
      <c r="D11" s="1095">
        <v>6.91</v>
      </c>
      <c r="E11" s="1095">
        <v>132</v>
      </c>
      <c r="F11" s="1095">
        <v>198</v>
      </c>
      <c r="G11" s="1095">
        <v>264.60000000000002</v>
      </c>
      <c r="H11" s="1095">
        <v>345.5</v>
      </c>
      <c r="I11" s="1095">
        <v>416</v>
      </c>
      <c r="J11" s="1095">
        <v>483.7</v>
      </c>
      <c r="K11" s="1095">
        <v>528</v>
      </c>
    </row>
    <row r="12" spans="1:11">
      <c r="A12" s="5944">
        <v>40</v>
      </c>
      <c r="B12" s="5944">
        <v>16</v>
      </c>
      <c r="C12" s="1094" t="s">
        <v>13562</v>
      </c>
      <c r="D12" s="1094">
        <v>12.57</v>
      </c>
      <c r="E12" s="1094">
        <v>251</v>
      </c>
      <c r="F12" s="1094">
        <v>377</v>
      </c>
      <c r="G12" s="1094">
        <v>503</v>
      </c>
      <c r="H12" s="1094">
        <v>628</v>
      </c>
      <c r="I12" s="1094">
        <v>791</v>
      </c>
      <c r="J12" s="1094">
        <v>880</v>
      </c>
      <c r="K12" s="1094">
        <v>1010</v>
      </c>
    </row>
    <row r="13" spans="1:11">
      <c r="A13" s="5945"/>
      <c r="B13" s="5945"/>
      <c r="C13" s="1095" t="s">
        <v>13563</v>
      </c>
      <c r="D13" s="1095">
        <v>10.56</v>
      </c>
      <c r="E13" s="1095">
        <v>211</v>
      </c>
      <c r="F13" s="1095">
        <v>317</v>
      </c>
      <c r="G13" s="1095">
        <v>422</v>
      </c>
      <c r="H13" s="1095">
        <v>528</v>
      </c>
      <c r="I13" s="1095">
        <v>663</v>
      </c>
      <c r="J13" s="1095">
        <v>739</v>
      </c>
      <c r="K13" s="1095">
        <v>844</v>
      </c>
    </row>
    <row r="14" spans="1:11">
      <c r="A14" s="5944">
        <v>50</v>
      </c>
      <c r="B14" s="5944">
        <v>20</v>
      </c>
      <c r="C14" s="1094" t="s">
        <v>13562</v>
      </c>
      <c r="D14" s="1094">
        <v>19.36</v>
      </c>
      <c r="E14" s="1094">
        <v>393</v>
      </c>
      <c r="F14" s="1094">
        <v>589</v>
      </c>
      <c r="G14" s="1094">
        <v>785</v>
      </c>
      <c r="H14" s="1094">
        <v>982</v>
      </c>
      <c r="I14" s="1094">
        <v>1237</v>
      </c>
      <c r="J14" s="1094">
        <v>1374</v>
      </c>
      <c r="K14" s="1094">
        <v>1571</v>
      </c>
    </row>
    <row r="15" spans="1:11">
      <c r="A15" s="5945"/>
      <c r="B15" s="5945"/>
      <c r="C15" s="1095" t="s">
        <v>13563</v>
      </c>
      <c r="D15" s="1095">
        <v>16.489999999999998</v>
      </c>
      <c r="E15" s="1095">
        <v>330</v>
      </c>
      <c r="F15" s="1095">
        <v>495</v>
      </c>
      <c r="G15" s="1095">
        <v>660</v>
      </c>
      <c r="H15" s="1095">
        <v>825</v>
      </c>
      <c r="I15" s="1095">
        <v>1039</v>
      </c>
      <c r="J15" s="1095">
        <v>1155</v>
      </c>
      <c r="K15" s="1095">
        <v>1319</v>
      </c>
    </row>
    <row r="16" spans="1:11">
      <c r="A16" s="5944">
        <v>63</v>
      </c>
      <c r="B16" s="5944">
        <v>20</v>
      </c>
      <c r="C16" s="1094" t="s">
        <v>13562</v>
      </c>
      <c r="D16" s="1094">
        <v>31.2</v>
      </c>
      <c r="E16" s="1094">
        <v>623</v>
      </c>
      <c r="F16" s="1094">
        <v>935</v>
      </c>
      <c r="G16" s="1094">
        <v>1247</v>
      </c>
      <c r="H16" s="1094">
        <v>1559</v>
      </c>
      <c r="I16" s="1094">
        <v>1963</v>
      </c>
      <c r="J16" s="1094">
        <v>2180</v>
      </c>
      <c r="K16" s="1094">
        <v>2490</v>
      </c>
    </row>
    <row r="17" spans="1:11">
      <c r="A17" s="5945"/>
      <c r="B17" s="5945"/>
      <c r="C17" s="1095" t="s">
        <v>13563</v>
      </c>
      <c r="D17" s="1095">
        <v>28</v>
      </c>
      <c r="E17" s="1095">
        <v>561</v>
      </c>
      <c r="F17" s="1095">
        <v>841</v>
      </c>
      <c r="G17" s="1095">
        <v>1121</v>
      </c>
      <c r="H17" s="1095">
        <v>1402</v>
      </c>
      <c r="I17" s="1095">
        <v>1765</v>
      </c>
      <c r="J17" s="1095">
        <v>1962</v>
      </c>
      <c r="K17" s="1095">
        <v>2240</v>
      </c>
    </row>
    <row r="18" spans="1:11">
      <c r="A18" s="5944">
        <v>80</v>
      </c>
      <c r="B18" s="5944">
        <v>25</v>
      </c>
      <c r="C18" s="1094" t="s">
        <v>13562</v>
      </c>
      <c r="D18" s="1094">
        <v>50.3</v>
      </c>
      <c r="E18" s="1094">
        <v>1005</v>
      </c>
      <c r="F18" s="1094">
        <v>1508</v>
      </c>
      <c r="G18" s="1094">
        <v>2010</v>
      </c>
      <c r="H18" s="1094">
        <v>2510</v>
      </c>
      <c r="I18" s="1094">
        <v>3163</v>
      </c>
      <c r="J18" s="1094">
        <v>3520</v>
      </c>
      <c r="K18" s="1094">
        <v>4020</v>
      </c>
    </row>
    <row r="19" spans="1:11">
      <c r="A19" s="5945"/>
      <c r="B19" s="5945"/>
      <c r="C19" s="1095" t="s">
        <v>13563</v>
      </c>
      <c r="D19" s="1095">
        <v>45.4</v>
      </c>
      <c r="E19" s="1095">
        <v>907</v>
      </c>
      <c r="F19" s="1095">
        <v>1361</v>
      </c>
      <c r="G19" s="1095">
        <v>1814</v>
      </c>
      <c r="H19" s="1095">
        <v>2270</v>
      </c>
      <c r="I19" s="1095">
        <v>2857</v>
      </c>
      <c r="J19" s="1095">
        <v>3170</v>
      </c>
      <c r="K19" s="1095">
        <v>3630</v>
      </c>
    </row>
    <row r="20" spans="1:11">
      <c r="A20" s="5944">
        <v>100</v>
      </c>
      <c r="B20" s="5944">
        <v>25</v>
      </c>
      <c r="C20" s="1094" t="s">
        <v>13562</v>
      </c>
      <c r="D20" s="1094">
        <v>78.5</v>
      </c>
      <c r="E20" s="1094">
        <v>1571</v>
      </c>
      <c r="F20" s="1094">
        <v>2360</v>
      </c>
      <c r="G20" s="1094">
        <v>3140</v>
      </c>
      <c r="H20" s="1094">
        <v>3930</v>
      </c>
      <c r="I20" s="1094">
        <v>4948</v>
      </c>
      <c r="J20" s="1094">
        <v>5500</v>
      </c>
      <c r="K20" s="1094">
        <v>6280</v>
      </c>
    </row>
    <row r="21" spans="1:11">
      <c r="A21" s="5945"/>
      <c r="B21" s="5945"/>
      <c r="C21" s="1095" t="s">
        <v>13563</v>
      </c>
      <c r="D21" s="1095">
        <v>73.599999999999994</v>
      </c>
      <c r="E21" s="1095">
        <v>1472</v>
      </c>
      <c r="F21" s="1095">
        <v>2210</v>
      </c>
      <c r="G21" s="1095">
        <v>2924</v>
      </c>
      <c r="H21" s="1095">
        <v>3680</v>
      </c>
      <c r="I21" s="1095">
        <v>4640</v>
      </c>
      <c r="J21" s="1095">
        <v>5150</v>
      </c>
      <c r="K21" s="1095">
        <v>5880</v>
      </c>
    </row>
    <row r="22" spans="1:11">
      <c r="A22" s="5944">
        <v>125</v>
      </c>
      <c r="B22" s="5944">
        <v>32</v>
      </c>
      <c r="C22" s="1094" t="s">
        <v>13562</v>
      </c>
      <c r="D22" s="1094">
        <v>122.7</v>
      </c>
      <c r="E22" s="1094">
        <v>2450</v>
      </c>
      <c r="F22" s="1094">
        <v>3680</v>
      </c>
      <c r="G22" s="1094">
        <v>4910</v>
      </c>
      <c r="H22" s="1094">
        <v>6135</v>
      </c>
      <c r="I22" s="1094">
        <v>7731</v>
      </c>
      <c r="J22" s="1094">
        <v>8590</v>
      </c>
      <c r="K22" s="1094">
        <v>9820</v>
      </c>
    </row>
    <row r="23" spans="1:11">
      <c r="A23" s="5945"/>
      <c r="B23" s="5945"/>
      <c r="C23" s="1095" t="s">
        <v>13563</v>
      </c>
      <c r="D23" s="1095">
        <v>114.6</v>
      </c>
      <c r="E23" s="1095">
        <v>2290</v>
      </c>
      <c r="F23" s="1095">
        <v>3440</v>
      </c>
      <c r="G23" s="1095">
        <v>4580</v>
      </c>
      <c r="H23" s="1095">
        <v>5730</v>
      </c>
      <c r="I23" s="1095">
        <v>7224</v>
      </c>
      <c r="J23" s="1095">
        <v>8020</v>
      </c>
      <c r="K23" s="1095">
        <v>9170</v>
      </c>
    </row>
    <row r="24" spans="1:11">
      <c r="A24" s="5944">
        <v>160</v>
      </c>
      <c r="B24" s="5944">
        <v>45</v>
      </c>
      <c r="C24" s="1094" t="s">
        <v>13562</v>
      </c>
      <c r="D24" s="1094">
        <v>201</v>
      </c>
      <c r="E24" s="1094">
        <v>4020</v>
      </c>
      <c r="F24" s="1094">
        <v>6031</v>
      </c>
      <c r="G24" s="1094">
        <v>8042</v>
      </c>
      <c r="H24" s="1094">
        <v>10053</v>
      </c>
      <c r="I24" s="1094">
        <v>12666</v>
      </c>
      <c r="J24" s="1094">
        <v>14074</v>
      </c>
      <c r="K24" s="1094">
        <v>16085</v>
      </c>
    </row>
    <row r="25" spans="1:11">
      <c r="A25" s="5945"/>
      <c r="B25" s="5945"/>
      <c r="C25" s="1095" t="s">
        <v>13563</v>
      </c>
      <c r="D25" s="1095">
        <v>185.1</v>
      </c>
      <c r="E25" s="1095">
        <v>3703</v>
      </c>
      <c r="F25" s="1095">
        <v>5554</v>
      </c>
      <c r="G25" s="1095">
        <v>7460</v>
      </c>
      <c r="H25" s="1095">
        <v>9257</v>
      </c>
      <c r="I25" s="1095">
        <v>11664</v>
      </c>
      <c r="J25" s="1095">
        <v>12961</v>
      </c>
      <c r="K25" s="1095">
        <v>14893</v>
      </c>
    </row>
    <row r="26" spans="1:11">
      <c r="A26" s="5944">
        <v>200</v>
      </c>
      <c r="B26" s="5944">
        <v>45</v>
      </c>
      <c r="C26" s="1094" t="s">
        <v>13562</v>
      </c>
      <c r="D26" s="1094">
        <v>314.10000000000002</v>
      </c>
      <c r="E26" s="1094">
        <v>6282</v>
      </c>
      <c r="F26" s="1094">
        <v>9423</v>
      </c>
      <c r="G26" s="1094">
        <v>12560</v>
      </c>
      <c r="H26" s="1094">
        <v>15710</v>
      </c>
      <c r="I26" s="1094">
        <v>19790</v>
      </c>
      <c r="J26" s="1094">
        <v>21991</v>
      </c>
      <c r="K26" s="1094">
        <v>25123</v>
      </c>
    </row>
    <row r="27" spans="1:11">
      <c r="A27" s="5945"/>
      <c r="B27" s="5945"/>
      <c r="C27" s="1095" t="s">
        <v>13563</v>
      </c>
      <c r="D27" s="1095">
        <v>298.2</v>
      </c>
      <c r="E27" s="1095">
        <v>5965</v>
      </c>
      <c r="F27" s="1095">
        <v>8947</v>
      </c>
      <c r="G27" s="1095">
        <v>11930</v>
      </c>
      <c r="H27" s="1095">
        <v>14910</v>
      </c>
      <c r="I27" s="1095">
        <v>18790</v>
      </c>
      <c r="J27" s="1095">
        <v>20877</v>
      </c>
      <c r="K27" s="1095">
        <v>23861</v>
      </c>
    </row>
    <row r="28" spans="1:11">
      <c r="A28" s="5944">
        <v>250</v>
      </c>
      <c r="B28" s="5944">
        <v>50</v>
      </c>
      <c r="C28" s="1094" t="s">
        <v>13562</v>
      </c>
      <c r="D28" s="1094">
        <v>490.8</v>
      </c>
      <c r="E28" s="1094">
        <v>9817</v>
      </c>
      <c r="F28" s="1094">
        <v>14726</v>
      </c>
      <c r="G28" s="1094">
        <v>19634</v>
      </c>
      <c r="H28" s="1094">
        <v>24543</v>
      </c>
      <c r="I28" s="1094">
        <v>30924</v>
      </c>
      <c r="J28" s="1094">
        <v>34361</v>
      </c>
      <c r="K28" s="1094">
        <v>39270</v>
      </c>
    </row>
    <row r="29" spans="1:11">
      <c r="A29" s="5945"/>
      <c r="B29" s="5945"/>
      <c r="C29" s="1095" t="s">
        <v>13563</v>
      </c>
      <c r="D29" s="1095">
        <v>471.2</v>
      </c>
      <c r="E29" s="1095">
        <v>9424</v>
      </c>
      <c r="F29" s="1095">
        <v>14137</v>
      </c>
      <c r="G29" s="1095">
        <v>18849</v>
      </c>
      <c r="H29" s="1095">
        <v>23561</v>
      </c>
      <c r="I29" s="1095">
        <v>29688</v>
      </c>
      <c r="J29" s="1095">
        <v>32986</v>
      </c>
      <c r="K29" s="1095">
        <v>37700</v>
      </c>
    </row>
    <row r="30" spans="1:11">
      <c r="A30" s="5944">
        <v>320</v>
      </c>
      <c r="B30" s="5944">
        <v>63</v>
      </c>
      <c r="C30" s="1094" t="s">
        <v>13562</v>
      </c>
      <c r="D30" s="1094">
        <v>803.8</v>
      </c>
      <c r="E30" s="1094" t="s">
        <v>13564</v>
      </c>
      <c r="F30" s="1094">
        <v>24110</v>
      </c>
      <c r="G30" s="1094">
        <v>32150</v>
      </c>
      <c r="H30" s="1094">
        <v>40190</v>
      </c>
      <c r="I30" s="1094">
        <v>50640</v>
      </c>
      <c r="J30" s="1094">
        <v>56260</v>
      </c>
      <c r="K30" s="1094">
        <v>64300</v>
      </c>
    </row>
    <row r="31" spans="1:11">
      <c r="A31" s="5945"/>
      <c r="B31" s="5945"/>
      <c r="C31" s="1095" t="s">
        <v>13563</v>
      </c>
      <c r="D31" s="1095">
        <v>772.6</v>
      </c>
      <c r="E31" s="1095">
        <v>15450</v>
      </c>
      <c r="F31" s="1095">
        <v>23180</v>
      </c>
      <c r="G31" s="1095">
        <v>30900</v>
      </c>
      <c r="H31" s="1095">
        <v>3863</v>
      </c>
      <c r="I31" s="1095">
        <v>48670</v>
      </c>
      <c r="J31" s="1095">
        <v>54080</v>
      </c>
      <c r="K31" s="1095">
        <v>61800</v>
      </c>
    </row>
    <row r="32" spans="1:11">
      <c r="A32" s="5956"/>
      <c r="B32" s="5956"/>
      <c r="C32" s="5956"/>
      <c r="D32" s="5956"/>
      <c r="E32" s="5956"/>
      <c r="F32" s="5956"/>
      <c r="G32" s="5956"/>
      <c r="H32" s="5956"/>
      <c r="I32" s="5956"/>
      <c r="J32" s="5956"/>
      <c r="K32" s="5956"/>
    </row>
    <row r="33" spans="1:11" ht="14.25" customHeight="1">
      <c r="A33" s="5957" t="s">
        <v>13565</v>
      </c>
      <c r="B33" s="5958"/>
      <c r="C33" s="5958"/>
      <c r="D33" s="5958"/>
      <c r="E33" s="5958"/>
      <c r="F33" s="5958"/>
      <c r="G33" s="5958"/>
      <c r="H33" s="5958"/>
      <c r="I33" s="5958"/>
      <c r="J33" s="5958"/>
      <c r="K33" s="5959"/>
    </row>
    <row r="34" spans="1:11" ht="14.25" customHeight="1">
      <c r="A34" s="5946" t="s">
        <v>13566</v>
      </c>
      <c r="B34" s="5947"/>
      <c r="C34" s="5947"/>
      <c r="D34" s="5947"/>
      <c r="E34" s="5947"/>
      <c r="F34" s="5947"/>
      <c r="G34" s="5947"/>
      <c r="H34" s="5947"/>
      <c r="I34" s="5947"/>
      <c r="J34" s="5947"/>
      <c r="K34" s="5948"/>
    </row>
    <row r="35" spans="1:11" ht="14.25" customHeight="1">
      <c r="A35" s="5946" t="s">
        <v>13567</v>
      </c>
      <c r="B35" s="5947"/>
      <c r="C35" s="5947"/>
      <c r="D35" s="5947"/>
      <c r="E35" s="5947"/>
      <c r="F35" s="5947"/>
      <c r="G35" s="5947"/>
      <c r="H35" s="5947"/>
      <c r="I35" s="5947"/>
      <c r="J35" s="5947"/>
      <c r="K35" s="5948"/>
    </row>
    <row r="36" spans="1:11" ht="14.25" customHeight="1">
      <c r="A36" s="5946" t="s">
        <v>13568</v>
      </c>
      <c r="B36" s="5947"/>
      <c r="C36" s="5947"/>
      <c r="D36" s="5947"/>
      <c r="E36" s="5947"/>
      <c r="F36" s="5947"/>
      <c r="G36" s="5947"/>
      <c r="H36" s="5947"/>
      <c r="I36" s="5947"/>
      <c r="J36" s="5947"/>
      <c r="K36" s="5948"/>
    </row>
    <row r="37" spans="1:11" ht="14.25" customHeight="1">
      <c r="A37" s="5946" t="s">
        <v>13569</v>
      </c>
      <c r="B37" s="5947"/>
      <c r="C37" s="5947"/>
      <c r="D37" s="5947"/>
      <c r="E37" s="5947"/>
      <c r="F37" s="5947"/>
      <c r="G37" s="5947"/>
      <c r="H37" s="5947"/>
      <c r="I37" s="5947"/>
      <c r="J37" s="5947"/>
      <c r="K37" s="5948"/>
    </row>
    <row r="38" spans="1:11" ht="14.25" customHeight="1">
      <c r="A38" s="5946" t="s">
        <v>13570</v>
      </c>
      <c r="B38" s="5947"/>
      <c r="C38" s="5947"/>
      <c r="D38" s="5947"/>
      <c r="E38" s="5947"/>
      <c r="F38" s="5947"/>
      <c r="G38" s="5947"/>
      <c r="H38" s="5947"/>
      <c r="I38" s="5947"/>
      <c r="J38" s="5947"/>
      <c r="K38" s="5948"/>
    </row>
    <row r="39" spans="1:11" ht="14.25" customHeight="1">
      <c r="A39" s="5946" t="s">
        <v>13571</v>
      </c>
      <c r="B39" s="5947"/>
      <c r="C39" s="5947"/>
      <c r="D39" s="5947"/>
      <c r="E39" s="5947"/>
      <c r="F39" s="5947"/>
      <c r="G39" s="5947"/>
      <c r="H39" s="5947"/>
      <c r="I39" s="5947"/>
      <c r="J39" s="5947"/>
      <c r="K39" s="5948"/>
    </row>
    <row r="40" spans="1:11" ht="14.25" customHeight="1">
      <c r="A40" s="5946" t="s">
        <v>13572</v>
      </c>
      <c r="B40" s="5947"/>
      <c r="C40" s="5947"/>
      <c r="D40" s="5947"/>
      <c r="E40" s="5947"/>
      <c r="F40" s="5947"/>
      <c r="G40" s="5947"/>
      <c r="H40" s="5947"/>
      <c r="I40" s="5947"/>
      <c r="J40" s="5947"/>
      <c r="K40" s="5948"/>
    </row>
    <row r="41" spans="1:11" ht="14.25" customHeight="1">
      <c r="A41" s="5949" t="s">
        <v>13573</v>
      </c>
      <c r="B41" s="5950"/>
      <c r="C41" s="5950"/>
      <c r="D41" s="5950"/>
      <c r="E41" s="5950"/>
      <c r="F41" s="5950"/>
      <c r="G41" s="5950"/>
      <c r="H41" s="5950"/>
      <c r="I41" s="5950"/>
      <c r="J41" s="5950"/>
      <c r="K41" s="5951"/>
    </row>
  </sheetData>
  <mergeCells count="44">
    <mergeCell ref="A38:K38"/>
    <mergeCell ref="A39:K39"/>
    <mergeCell ref="A1:K1"/>
    <mergeCell ref="E2:K2"/>
    <mergeCell ref="A32:K32"/>
    <mergeCell ref="A33:K33"/>
    <mergeCell ref="A34:K34"/>
    <mergeCell ref="A30:A31"/>
    <mergeCell ref="B2:B3"/>
    <mergeCell ref="B4:B5"/>
    <mergeCell ref="B6:B7"/>
    <mergeCell ref="B8:B9"/>
    <mergeCell ref="B10:B11"/>
    <mergeCell ref="B12:B13"/>
    <mergeCell ref="B14:B15"/>
    <mergeCell ref="B16:B17"/>
    <mergeCell ref="A26:A27"/>
    <mergeCell ref="A28:A29"/>
    <mergeCell ref="A35:K35"/>
    <mergeCell ref="A36:K36"/>
    <mergeCell ref="A37:K37"/>
    <mergeCell ref="B28:B29"/>
    <mergeCell ref="B30:B31"/>
    <mergeCell ref="A40:K40"/>
    <mergeCell ref="A41:K41"/>
    <mergeCell ref="A2:A3"/>
    <mergeCell ref="A4:A5"/>
    <mergeCell ref="A6:A7"/>
    <mergeCell ref="A8:A9"/>
    <mergeCell ref="A10:A11"/>
    <mergeCell ref="A12:A13"/>
    <mergeCell ref="A14:A15"/>
    <mergeCell ref="A16:A17"/>
    <mergeCell ref="A18:A19"/>
    <mergeCell ref="A20:A21"/>
    <mergeCell ref="A22:A23"/>
    <mergeCell ref="A24:A25"/>
    <mergeCell ref="C2:C3"/>
    <mergeCell ref="D2:D3"/>
    <mergeCell ref="B22:B23"/>
    <mergeCell ref="B24:B25"/>
    <mergeCell ref="B26:B27"/>
    <mergeCell ref="B18:B19"/>
    <mergeCell ref="B20:B21"/>
  </mergeCells>
  <phoneticPr fontId="214" type="noConversion"/>
  <pageMargins left="0.75" right="0.75" top="1" bottom="1" header="0.5" footer="0.5"/>
  <pageSetup paperSize="9" orientation="portrait" horizontalDpi="200" verticalDpi="300"/>
  <headerFooter scaleWithDoc="0" alignWithMargins="0"/>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44"/>
  <dimension ref="A1:E31"/>
  <sheetViews>
    <sheetView workbookViewId="0">
      <selection activeCell="I11" sqref="I11"/>
    </sheetView>
  </sheetViews>
  <sheetFormatPr defaultColWidth="9" defaultRowHeight="14.25"/>
  <cols>
    <col min="1" max="1" width="4.125" style="77" customWidth="1"/>
    <col min="2" max="2" width="32.375" customWidth="1"/>
    <col min="3" max="3" width="7.5" customWidth="1"/>
    <col min="4" max="4" width="6" customWidth="1"/>
    <col min="5" max="5" width="28.625" customWidth="1"/>
    <col min="6" max="8" width="4.5" customWidth="1"/>
  </cols>
  <sheetData>
    <row r="1" spans="1:5" ht="29.25" customHeight="1">
      <c r="A1" s="5960" t="s">
        <v>11</v>
      </c>
      <c r="B1" s="5961"/>
      <c r="C1" s="5961"/>
      <c r="D1" s="5961"/>
      <c r="E1" s="5961"/>
    </row>
    <row r="2" spans="1:5" ht="34.5" customHeight="1">
      <c r="A2" s="5962" t="s">
        <v>13574</v>
      </c>
      <c r="B2" s="5963"/>
      <c r="C2" s="5963"/>
      <c r="D2" s="5963"/>
      <c r="E2" s="5964"/>
    </row>
    <row r="3" spans="1:5" ht="20.25" customHeight="1">
      <c r="A3" s="1055" t="s">
        <v>13575</v>
      </c>
      <c r="B3" s="984" t="s">
        <v>1784</v>
      </c>
      <c r="C3" s="1056" t="s">
        <v>9748</v>
      </c>
      <c r="D3" s="1056" t="s">
        <v>213</v>
      </c>
      <c r="E3" s="1057" t="s">
        <v>1515</v>
      </c>
    </row>
    <row r="4" spans="1:5" ht="27.75" customHeight="1">
      <c r="A4" s="1055">
        <v>1</v>
      </c>
      <c r="B4" s="1058" t="s">
        <v>13576</v>
      </c>
      <c r="C4" s="1059">
        <v>98</v>
      </c>
      <c r="D4" s="981" t="s">
        <v>464</v>
      </c>
      <c r="E4" s="1060"/>
    </row>
    <row r="5" spans="1:5" ht="27.75" customHeight="1">
      <c r="A5" s="1055">
        <v>5</v>
      </c>
      <c r="B5" s="1058" t="s">
        <v>13577</v>
      </c>
      <c r="C5" s="1059">
        <v>0.63</v>
      </c>
      <c r="D5" s="981" t="s">
        <v>1721</v>
      </c>
      <c r="E5" s="1060"/>
    </row>
    <row r="6" spans="1:5" ht="35.25" customHeight="1">
      <c r="A6" s="1055">
        <v>2</v>
      </c>
      <c r="B6" s="1058" t="s">
        <v>13578</v>
      </c>
      <c r="C6" s="1059">
        <v>1</v>
      </c>
      <c r="D6" s="981"/>
      <c r="E6" s="1061" t="s">
        <v>13579</v>
      </c>
    </row>
    <row r="7" spans="1:5" ht="35.25" customHeight="1">
      <c r="A7" s="1062">
        <v>3</v>
      </c>
      <c r="B7" s="1063" t="s">
        <v>13580</v>
      </c>
      <c r="C7" s="1064">
        <v>2</v>
      </c>
      <c r="D7" s="1065"/>
      <c r="E7" s="1066" t="s">
        <v>13581</v>
      </c>
    </row>
    <row r="8" spans="1:5" ht="27.75" customHeight="1">
      <c r="A8" s="1067" t="s">
        <v>13582</v>
      </c>
      <c r="B8" s="1068"/>
      <c r="C8" s="1068"/>
      <c r="D8" s="1068"/>
      <c r="E8" s="1069"/>
    </row>
    <row r="9" spans="1:5" ht="21" customHeight="1">
      <c r="A9" s="1070">
        <v>4</v>
      </c>
      <c r="B9" s="1071" t="s">
        <v>13583</v>
      </c>
      <c r="C9" s="1072">
        <f>IF(C6=1,0.65,0.3)</f>
        <v>0.65</v>
      </c>
      <c r="D9" s="1073"/>
      <c r="E9" s="1074" t="s">
        <v>13584</v>
      </c>
    </row>
    <row r="10" spans="1:5" ht="26.25" customHeight="1">
      <c r="A10" s="1070">
        <v>5</v>
      </c>
      <c r="B10" s="1071" t="s">
        <v>13583</v>
      </c>
      <c r="C10" s="1072">
        <f>IF(C7=1,0.8,0.5)</f>
        <v>0.5</v>
      </c>
      <c r="D10" s="1073"/>
      <c r="E10" s="1074" t="s">
        <v>13585</v>
      </c>
    </row>
    <row r="11" spans="1:5" ht="33.75" customHeight="1">
      <c r="A11" s="1075">
        <v>6</v>
      </c>
      <c r="B11" s="1076" t="s">
        <v>13583</v>
      </c>
      <c r="C11" s="1077">
        <f>IF(C9&gt;C10,C10,C9)</f>
        <v>0.5</v>
      </c>
      <c r="D11" s="1078"/>
      <c r="E11" s="1079" t="s">
        <v>13586</v>
      </c>
    </row>
    <row r="12" spans="1:5" ht="21" customHeight="1">
      <c r="A12" s="1067" t="s">
        <v>13587</v>
      </c>
      <c r="B12" s="1080"/>
      <c r="C12" s="1081"/>
      <c r="D12" s="1082"/>
      <c r="E12" s="1083"/>
    </row>
    <row r="13" spans="1:5" ht="27.75" customHeight="1">
      <c r="A13" s="1070">
        <v>7</v>
      </c>
      <c r="B13" s="1071" t="s">
        <v>13588</v>
      </c>
      <c r="C13" s="1084">
        <f>C4/C9</f>
        <v>150.769230769231</v>
      </c>
      <c r="D13" s="1073" t="s">
        <v>464</v>
      </c>
      <c r="E13" s="1085"/>
    </row>
    <row r="14" spans="1:5" ht="27.75" customHeight="1">
      <c r="A14" s="1055">
        <v>8</v>
      </c>
      <c r="B14" s="1058" t="s">
        <v>13589</v>
      </c>
      <c r="C14" s="1086">
        <f>SQRT(4*C13/PI()/C5)</f>
        <v>17.455855739399901</v>
      </c>
      <c r="D14" s="981" t="s">
        <v>234</v>
      </c>
      <c r="E14" s="1060" t="s">
        <v>13590</v>
      </c>
    </row>
    <row r="15" spans="1:5" ht="27.75" customHeight="1">
      <c r="A15" s="1087">
        <v>9</v>
      </c>
      <c r="B15" s="1088" t="s">
        <v>13591</v>
      </c>
      <c r="C15" s="1089">
        <v>100</v>
      </c>
      <c r="D15" s="1090" t="s">
        <v>234</v>
      </c>
      <c r="E15" s="1091" t="s">
        <v>13592</v>
      </c>
    </row>
    <row r="16" spans="1:5" ht="27.75" customHeight="1">
      <c r="B16" s="1092"/>
    </row>
    <row r="17" spans="3:3">
      <c r="C17" t="s">
        <v>13558</v>
      </c>
    </row>
    <row r="18" spans="3:3">
      <c r="C18">
        <v>16</v>
      </c>
    </row>
    <row r="19" spans="3:3">
      <c r="C19">
        <v>20</v>
      </c>
    </row>
    <row r="20" spans="3:3">
      <c r="C20">
        <v>25</v>
      </c>
    </row>
    <row r="21" spans="3:3">
      <c r="C21">
        <v>32</v>
      </c>
    </row>
    <row r="22" spans="3:3">
      <c r="C22">
        <v>40</v>
      </c>
    </row>
    <row r="23" spans="3:3">
      <c r="C23">
        <v>50</v>
      </c>
    </row>
    <row r="24" spans="3:3">
      <c r="C24">
        <v>63</v>
      </c>
    </row>
    <row r="25" spans="3:3">
      <c r="C25">
        <v>80</v>
      </c>
    </row>
    <row r="26" spans="3:3">
      <c r="C26">
        <v>100</v>
      </c>
    </row>
    <row r="27" spans="3:3">
      <c r="C27">
        <v>125</v>
      </c>
    </row>
    <row r="28" spans="3:3">
      <c r="C28">
        <v>160</v>
      </c>
    </row>
    <row r="29" spans="3:3">
      <c r="C29">
        <v>200</v>
      </c>
    </row>
    <row r="30" spans="3:3">
      <c r="C30">
        <v>250</v>
      </c>
    </row>
    <row r="31" spans="3:3">
      <c r="C31">
        <v>320</v>
      </c>
    </row>
  </sheetData>
  <mergeCells count="2">
    <mergeCell ref="A1:E1"/>
    <mergeCell ref="A2:E2"/>
  </mergeCells>
  <phoneticPr fontId="214" type="noConversion"/>
  <dataValidations count="1">
    <dataValidation type="list" allowBlank="1" showInputMessage="1" showErrorMessage="1" sqref="C15" xr:uid="{00000000-0002-0000-8F00-000000000000}">
      <formula1>$C$18:$C$31</formula1>
    </dataValidation>
  </dataValidations>
  <pageMargins left="0.88888888888888895" right="0.50902777777777797" top="1" bottom="1" header="0.5" footer="0.5"/>
  <pageSetup paperSize="9" orientation="portrait"/>
  <headerFooter scaleWithDoc="0" alignWithMargins="0"/>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45"/>
  <dimension ref="A1:S82"/>
  <sheetViews>
    <sheetView zoomScale="85" zoomScaleNormal="85" workbookViewId="0">
      <selection activeCell="T24" sqref="T24"/>
    </sheetView>
  </sheetViews>
  <sheetFormatPr defaultColWidth="9" defaultRowHeight="14.25"/>
  <cols>
    <col min="1" max="1" width="9" style="105"/>
    <col min="2" max="2" width="30.5" style="105"/>
    <col min="3" max="3" width="16.5" style="105" customWidth="1"/>
    <col min="4" max="4" width="17" style="105" customWidth="1"/>
    <col min="5" max="5" width="8.875" style="105" customWidth="1"/>
    <col min="6" max="6" width="4.75" style="105" customWidth="1"/>
    <col min="7" max="7" width="4.375" style="105" customWidth="1"/>
    <col min="8" max="8" width="4.75" style="105" customWidth="1"/>
    <col min="9" max="9" width="10.75" style="105" customWidth="1"/>
    <col min="10" max="10" width="5.375" style="105" customWidth="1"/>
    <col min="11" max="11" width="4.375" style="105" customWidth="1"/>
    <col min="12" max="15" width="4.75" style="105" customWidth="1"/>
    <col min="16" max="16" width="10.625" style="105"/>
    <col min="17" max="17" width="9.5" style="105"/>
    <col min="18" max="16384" width="9" style="105"/>
  </cols>
  <sheetData>
    <row r="1" spans="1:16" ht="24.75" customHeight="1"/>
    <row r="2" spans="1:16" ht="18.75" customHeight="1">
      <c r="A2" s="1001" t="s">
        <v>13593</v>
      </c>
    </row>
    <row r="3" spans="1:16">
      <c r="A3" s="1002"/>
      <c r="B3" s="1003" t="s">
        <v>13594</v>
      </c>
      <c r="C3" s="1003"/>
      <c r="D3" s="1004">
        <v>20</v>
      </c>
      <c r="E3" s="1002"/>
      <c r="F3" s="1002"/>
      <c r="G3" s="1002"/>
      <c r="H3" s="1002"/>
      <c r="I3" s="1002"/>
      <c r="J3" s="1002"/>
      <c r="K3" s="1002"/>
      <c r="L3" s="1002"/>
      <c r="M3" s="1002"/>
      <c r="N3" s="1002"/>
      <c r="O3" s="1002"/>
      <c r="P3" s="1002"/>
    </row>
    <row r="4" spans="1:16">
      <c r="A4" s="1002"/>
      <c r="B4" s="1003" t="s">
        <v>13595</v>
      </c>
      <c r="C4" s="1003"/>
      <c r="D4" s="1004">
        <v>5</v>
      </c>
      <c r="E4" s="1002"/>
      <c r="F4" s="1002"/>
      <c r="G4" s="1002"/>
      <c r="H4" s="1002"/>
      <c r="I4" s="1002"/>
      <c r="J4" s="1002"/>
      <c r="K4" s="1002"/>
      <c r="L4" s="1002"/>
      <c r="M4" s="1002"/>
      <c r="N4" s="1002"/>
      <c r="O4" s="1002"/>
      <c r="P4" s="1002"/>
    </row>
    <row r="5" spans="1:16">
      <c r="A5" s="1002"/>
      <c r="B5" s="1003" t="s">
        <v>13596</v>
      </c>
      <c r="C5" s="1003"/>
      <c r="D5" s="1004">
        <v>15</v>
      </c>
      <c r="E5" s="1002"/>
      <c r="F5" s="1002"/>
      <c r="G5" s="1002"/>
      <c r="H5" s="1002"/>
      <c r="I5" s="1002"/>
      <c r="J5" s="1002"/>
      <c r="K5" s="1002"/>
      <c r="L5" s="1002"/>
      <c r="M5" s="1002"/>
      <c r="N5" s="1002"/>
      <c r="O5" s="1002"/>
      <c r="P5" s="1002"/>
    </row>
    <row r="6" spans="1:16">
      <c r="A6" s="1002"/>
      <c r="B6" s="1003" t="s">
        <v>13597</v>
      </c>
      <c r="C6" s="1003"/>
      <c r="D6" s="1004">
        <v>3</v>
      </c>
      <c r="E6" s="1002"/>
      <c r="F6" s="1002"/>
      <c r="G6" s="1002"/>
      <c r="H6" s="1002"/>
      <c r="I6" s="1002"/>
      <c r="J6" s="1002"/>
      <c r="K6" s="1002"/>
      <c r="L6" s="1002"/>
      <c r="M6" s="1002"/>
      <c r="N6" s="1002"/>
      <c r="O6" s="1002"/>
      <c r="P6" s="1002"/>
    </row>
    <row r="7" spans="1:16">
      <c r="A7" s="1002"/>
      <c r="B7" s="1003" t="s">
        <v>13598</v>
      </c>
      <c r="C7" s="1003"/>
      <c r="D7" s="1004">
        <v>0.1</v>
      </c>
      <c r="E7" s="1002"/>
      <c r="F7" s="1002"/>
      <c r="G7" s="1002"/>
      <c r="H7" s="1002"/>
      <c r="I7" s="1002"/>
      <c r="J7" s="1002"/>
      <c r="K7" s="1002"/>
      <c r="L7" s="1002"/>
      <c r="M7" s="1002"/>
      <c r="N7" s="1002"/>
      <c r="O7" s="1002"/>
      <c r="P7" s="1002"/>
    </row>
    <row r="8" spans="1:16">
      <c r="A8" s="1002"/>
      <c r="B8" s="1003" t="s">
        <v>13599</v>
      </c>
      <c r="C8" s="1003"/>
      <c r="D8" s="1004">
        <v>1</v>
      </c>
      <c r="E8" s="1002"/>
      <c r="F8" s="1002"/>
      <c r="G8" s="1002"/>
      <c r="H8" s="1002"/>
      <c r="I8" s="1002"/>
      <c r="J8" s="1002"/>
      <c r="K8" s="1002"/>
      <c r="L8" s="1002"/>
      <c r="M8" s="1002"/>
      <c r="N8" s="1002"/>
      <c r="O8" s="1002"/>
      <c r="P8" s="1002"/>
    </row>
    <row r="9" spans="1:16">
      <c r="A9" s="1002"/>
      <c r="B9" s="1002"/>
      <c r="C9" s="1002"/>
      <c r="D9" s="1005"/>
      <c r="E9" s="1002"/>
      <c r="F9" s="1002"/>
      <c r="G9" s="1002"/>
      <c r="H9" s="1002"/>
      <c r="I9" s="1002"/>
      <c r="J9" s="1002"/>
      <c r="K9" s="1002"/>
      <c r="L9" s="1002"/>
      <c r="M9" s="1002"/>
      <c r="N9" s="1002"/>
      <c r="O9" s="1002"/>
      <c r="P9" s="1002"/>
    </row>
    <row r="10" spans="1:16">
      <c r="A10" s="1002"/>
      <c r="B10" s="1002"/>
      <c r="C10" s="1002"/>
      <c r="D10" s="1005"/>
      <c r="E10" s="1002"/>
      <c r="F10" s="1002"/>
      <c r="G10" s="1002"/>
      <c r="H10" s="1002"/>
      <c r="I10" s="1002"/>
      <c r="J10" s="1002"/>
      <c r="K10" s="1002"/>
      <c r="L10" s="1002"/>
      <c r="M10" s="1002"/>
      <c r="N10" s="1002"/>
      <c r="O10" s="1002"/>
      <c r="P10" s="1002"/>
    </row>
    <row r="11" spans="1:16">
      <c r="D11" s="1006"/>
    </row>
    <row r="12" spans="1:16">
      <c r="A12" s="1001" t="s">
        <v>13600</v>
      </c>
      <c r="D12" s="1006"/>
    </row>
    <row r="13" spans="1:16">
      <c r="A13" s="1007"/>
      <c r="B13" s="1008"/>
      <c r="C13" s="1008"/>
      <c r="D13" s="1009"/>
      <c r="E13" s="1008" t="s">
        <v>13601</v>
      </c>
      <c r="F13" s="1008"/>
      <c r="G13" s="1008"/>
      <c r="H13" s="1008"/>
      <c r="I13" s="1008"/>
      <c r="J13" s="1008"/>
      <c r="K13" s="1008"/>
      <c r="L13" s="1008"/>
      <c r="M13" s="1008"/>
      <c r="N13" s="1008"/>
      <c r="O13" s="1038"/>
    </row>
    <row r="14" spans="1:16">
      <c r="A14" s="1010"/>
      <c r="B14" s="1011" t="s">
        <v>13602</v>
      </c>
      <c r="C14" s="1011"/>
      <c r="D14" s="1012"/>
      <c r="E14" s="1013"/>
      <c r="F14" s="1013">
        <v>300</v>
      </c>
      <c r="G14" s="1013"/>
      <c r="H14" s="1013"/>
      <c r="I14" s="1013"/>
      <c r="J14" s="1013"/>
      <c r="K14" s="1013"/>
      <c r="L14" s="1013"/>
      <c r="M14" s="1013"/>
      <c r="N14" s="1013"/>
      <c r="O14" s="1039"/>
    </row>
    <row r="15" spans="1:16">
      <c r="A15" s="1010"/>
      <c r="B15" s="1011" t="s">
        <v>13603</v>
      </c>
      <c r="C15" s="1011"/>
      <c r="D15" s="1012"/>
      <c r="E15" s="1013"/>
      <c r="F15" s="1013"/>
      <c r="G15" s="1013"/>
      <c r="H15" s="1013"/>
      <c r="I15" s="1013"/>
      <c r="J15" s="1013"/>
      <c r="K15" s="1013"/>
      <c r="L15" s="1013"/>
      <c r="M15" s="1013"/>
      <c r="N15" s="1013"/>
      <c r="O15" s="1039"/>
    </row>
    <row r="16" spans="1:16">
      <c r="A16" s="1010"/>
      <c r="B16" s="1011" t="s">
        <v>13604</v>
      </c>
      <c r="C16" s="1011"/>
      <c r="D16" s="1004">
        <v>100</v>
      </c>
      <c r="E16" s="1013"/>
      <c r="F16" s="1013"/>
      <c r="G16" s="1013"/>
      <c r="H16" s="1013"/>
      <c r="I16" s="1013"/>
      <c r="J16" s="1013"/>
      <c r="K16" s="1013"/>
      <c r="L16" s="1013"/>
      <c r="M16" s="1013"/>
      <c r="N16" s="1013"/>
      <c r="O16" s="1039"/>
    </row>
    <row r="17" spans="1:16">
      <c r="A17" s="1010"/>
      <c r="B17" s="1011" t="s">
        <v>13605</v>
      </c>
      <c r="C17" s="1011"/>
      <c r="D17" s="1004">
        <v>1.4</v>
      </c>
      <c r="E17" s="1013"/>
      <c r="F17" s="1013"/>
      <c r="G17" s="1013"/>
      <c r="H17" s="1013"/>
      <c r="I17" s="1013"/>
      <c r="J17" s="1013"/>
      <c r="K17" s="1013"/>
      <c r="L17" s="1013"/>
      <c r="M17" s="1013"/>
      <c r="N17" s="1013"/>
      <c r="O17" s="1039"/>
    </row>
    <row r="18" spans="1:16">
      <c r="A18" s="1010"/>
      <c r="B18" s="1011" t="s">
        <v>13606</v>
      </c>
      <c r="C18" s="1011"/>
      <c r="D18" s="1004">
        <v>0.3</v>
      </c>
      <c r="E18" s="1013"/>
      <c r="F18" s="1013">
        <v>0</v>
      </c>
      <c r="G18" s="1013"/>
      <c r="H18" s="1013"/>
      <c r="I18" s="1013"/>
      <c r="J18" s="1013"/>
      <c r="K18" s="1013"/>
      <c r="L18" s="1013"/>
      <c r="M18" s="1013"/>
      <c r="N18" s="1013"/>
      <c r="O18" s="1039"/>
    </row>
    <row r="19" spans="1:16">
      <c r="A19" s="1010"/>
      <c r="B19" s="1011" t="s">
        <v>13607</v>
      </c>
      <c r="C19" s="1011"/>
      <c r="D19" s="1004">
        <v>0.01</v>
      </c>
      <c r="E19" s="1013"/>
      <c r="F19" s="1013"/>
      <c r="G19" s="1013"/>
      <c r="H19" s="1014">
        <v>0.3</v>
      </c>
      <c r="I19" s="1040">
        <v>1</v>
      </c>
      <c r="J19" s="1014">
        <v>0.2</v>
      </c>
      <c r="K19" s="1014">
        <v>0.2</v>
      </c>
      <c r="L19" s="1013"/>
      <c r="M19" s="1013"/>
      <c r="N19" s="1039" t="s">
        <v>13608</v>
      </c>
      <c r="O19" s="1039"/>
    </row>
    <row r="20" spans="1:16">
      <c r="A20" s="1010"/>
      <c r="B20" s="1013"/>
      <c r="C20" s="1013"/>
      <c r="D20" s="1013"/>
      <c r="E20" s="1013"/>
      <c r="F20" s="1013"/>
      <c r="G20" s="1013"/>
      <c r="H20" s="1013"/>
      <c r="I20" s="1013"/>
      <c r="J20" s="1013"/>
      <c r="K20" s="1013"/>
      <c r="L20" s="1013"/>
      <c r="M20" s="1013"/>
      <c r="N20" s="1013"/>
      <c r="O20" s="1039"/>
    </row>
    <row r="21" spans="1:16">
      <c r="A21" s="1015"/>
      <c r="B21" s="1016"/>
      <c r="C21" s="1016"/>
      <c r="D21" s="1016"/>
      <c r="E21" s="1016"/>
      <c r="F21" s="1016"/>
      <c r="G21" s="1016"/>
      <c r="H21" s="1016"/>
      <c r="I21" s="1016"/>
      <c r="J21" s="1016"/>
      <c r="K21" s="1016"/>
      <c r="L21" s="1016"/>
      <c r="M21" s="1016"/>
      <c r="N21" s="1016"/>
      <c r="O21" s="1041"/>
    </row>
    <row r="23" spans="1:16">
      <c r="A23" s="1001" t="s">
        <v>13609</v>
      </c>
    </row>
    <row r="24" spans="1:16" ht="42" customHeight="1">
      <c r="A24" s="1017"/>
      <c r="B24" s="1018" t="s">
        <v>13610</v>
      </c>
      <c r="C24" s="1018"/>
      <c r="D24" s="1019">
        <f>D6*D5*D5/8*0.000001</f>
        <v>8.4375000000000004E-5</v>
      </c>
      <c r="E24" s="1018" t="s">
        <v>13611</v>
      </c>
      <c r="F24" s="1018"/>
      <c r="G24" s="1018"/>
      <c r="H24" s="1018"/>
      <c r="I24" s="1018"/>
      <c r="J24" s="1018"/>
      <c r="K24" s="1018"/>
      <c r="L24" s="1018"/>
      <c r="M24" s="1018"/>
      <c r="N24" s="1018"/>
      <c r="O24" s="1018"/>
      <c r="P24" s="1042"/>
    </row>
    <row r="25" spans="1:16" ht="42" customHeight="1">
      <c r="A25" s="1020"/>
      <c r="B25" s="141" t="s">
        <v>13612</v>
      </c>
      <c r="C25" s="141"/>
      <c r="D25" s="1021">
        <f>D3*(D4/(2*3.14))*(D4/(2*3.14))*0.000001+D24</f>
        <v>9.7052999107468895E-5</v>
      </c>
      <c r="E25" s="141" t="s">
        <v>13611</v>
      </c>
      <c r="F25" s="1022"/>
      <c r="G25" s="141"/>
      <c r="H25" s="141"/>
      <c r="I25" s="141"/>
      <c r="J25" s="141"/>
      <c r="K25" s="141"/>
      <c r="L25" s="141"/>
      <c r="M25" s="141"/>
      <c r="N25" s="141"/>
      <c r="O25" s="141"/>
      <c r="P25" s="1043"/>
    </row>
    <row r="26" spans="1:16" ht="42" customHeight="1">
      <c r="A26" s="1023"/>
      <c r="B26" s="1024" t="s">
        <v>13613</v>
      </c>
      <c r="C26" s="1024" t="s">
        <v>13614</v>
      </c>
      <c r="D26" s="1025">
        <f>D25</f>
        <v>9.7052999107468895E-5</v>
      </c>
      <c r="E26" s="1024" t="s">
        <v>13611</v>
      </c>
      <c r="F26" s="1026"/>
      <c r="G26" s="1024"/>
      <c r="H26" s="1024"/>
      <c r="I26" s="1024"/>
      <c r="J26" s="1024"/>
      <c r="K26" s="1024"/>
      <c r="L26" s="1024"/>
      <c r="M26" s="1024"/>
      <c r="N26" s="1024"/>
      <c r="O26" s="1024"/>
      <c r="P26" s="1044"/>
    </row>
    <row r="27" spans="1:16">
      <c r="M27" s="1045"/>
      <c r="N27" s="1045"/>
      <c r="O27" s="1045"/>
    </row>
    <row r="28" spans="1:16">
      <c r="A28" s="1001" t="s">
        <v>13615</v>
      </c>
    </row>
    <row r="29" spans="1:16" ht="34.5" customHeight="1">
      <c r="A29" s="1017"/>
      <c r="B29" s="1018" t="s">
        <v>13616</v>
      </c>
      <c r="C29" s="1018"/>
      <c r="D29" s="1019">
        <f>D7*D3*9.8*10/(2*3.14)*0.001</f>
        <v>3.1210191082802499E-2</v>
      </c>
      <c r="E29" s="1018" t="s">
        <v>1071</v>
      </c>
      <c r="F29" s="1018"/>
      <c r="G29" s="1018"/>
      <c r="H29" s="1018"/>
      <c r="I29" s="1018"/>
      <c r="J29" s="1018"/>
      <c r="K29" s="1018"/>
      <c r="L29" s="1018"/>
      <c r="M29" s="1018"/>
      <c r="N29" s="1018"/>
      <c r="O29" s="1018"/>
      <c r="P29" s="1042"/>
    </row>
    <row r="30" spans="1:16" ht="34.5" customHeight="1">
      <c r="A30" s="1023"/>
      <c r="B30" s="1024" t="s">
        <v>13617</v>
      </c>
      <c r="C30" s="1024"/>
      <c r="D30" s="1025">
        <f>D29</f>
        <v>3.1210191082802499E-2</v>
      </c>
      <c r="E30" s="1024" t="s">
        <v>1071</v>
      </c>
      <c r="F30" s="1024"/>
      <c r="G30" s="1024"/>
      <c r="H30" s="1024"/>
      <c r="I30" s="1024"/>
      <c r="J30" s="1024"/>
      <c r="K30" s="1024"/>
      <c r="L30" s="1024"/>
      <c r="M30" s="1024"/>
      <c r="N30" s="1024"/>
      <c r="O30" s="1024"/>
      <c r="P30" s="1044"/>
    </row>
    <row r="32" spans="1:16">
      <c r="A32" s="1001" t="s">
        <v>13618</v>
      </c>
    </row>
    <row r="33" spans="1:17">
      <c r="A33" s="1027"/>
      <c r="B33" s="1028" t="s">
        <v>13619</v>
      </c>
      <c r="C33" s="1028" t="s">
        <v>13620</v>
      </c>
      <c r="D33" s="1029">
        <v>60</v>
      </c>
      <c r="E33" s="1028" t="s">
        <v>5773</v>
      </c>
      <c r="F33" s="1028"/>
      <c r="G33" s="1028"/>
      <c r="H33" s="1028"/>
      <c r="I33" s="1028"/>
      <c r="J33" s="1028"/>
      <c r="K33" s="1028"/>
      <c r="L33" s="1028"/>
      <c r="M33" s="1028"/>
      <c r="N33" s="1028"/>
      <c r="O33" s="1028"/>
      <c r="P33" s="1046"/>
    </row>
    <row r="35" spans="1:17">
      <c r="A35" s="1001" t="s">
        <v>13621</v>
      </c>
    </row>
    <row r="36" spans="1:17" ht="28.5">
      <c r="A36" s="1017"/>
      <c r="B36" s="1030" t="s">
        <v>13622</v>
      </c>
      <c r="C36" s="1030" t="s">
        <v>13623</v>
      </c>
      <c r="D36" s="1019">
        <f>D26/30</f>
        <v>3.2350999702489602E-6</v>
      </c>
      <c r="E36" s="1018" t="s">
        <v>13624</v>
      </c>
      <c r="F36" s="5965"/>
      <c r="G36" s="5965"/>
      <c r="H36" s="1031" t="s">
        <v>13625</v>
      </c>
      <c r="I36" s="1031"/>
      <c r="J36" s="1031"/>
      <c r="K36" s="1031"/>
      <c r="L36" s="1018"/>
      <c r="M36" s="5966">
        <v>1.2300000000000001E-5</v>
      </c>
      <c r="N36" s="5966"/>
      <c r="O36" s="1018"/>
      <c r="P36" s="1042"/>
      <c r="Q36" s="141"/>
    </row>
    <row r="37" spans="1:17" ht="42.75">
      <c r="A37" s="1023"/>
      <c r="B37" s="1032" t="s">
        <v>13626</v>
      </c>
      <c r="C37" s="1032" t="s">
        <v>13627</v>
      </c>
      <c r="D37" s="1033">
        <f>0.637*0.8</f>
        <v>0.50960000000000005</v>
      </c>
      <c r="E37" s="1034" t="s">
        <v>13628</v>
      </c>
      <c r="F37" s="5967">
        <f>D30</f>
        <v>3.1210191082802499E-2</v>
      </c>
      <c r="G37" s="5967"/>
      <c r="H37" s="1035" t="s">
        <v>13629</v>
      </c>
      <c r="I37" s="1035"/>
      <c r="J37" s="1035"/>
      <c r="K37" s="1035"/>
      <c r="L37" s="1024"/>
      <c r="M37" s="5968">
        <v>0.63700000000000001</v>
      </c>
      <c r="N37" s="5968"/>
      <c r="O37" s="1047" t="s">
        <v>13630</v>
      </c>
      <c r="P37" s="1044"/>
    </row>
    <row r="39" spans="1:17">
      <c r="B39" s="105" t="s">
        <v>13631</v>
      </c>
    </row>
    <row r="41" spans="1:17">
      <c r="A41" s="1001" t="s">
        <v>13632</v>
      </c>
    </row>
    <row r="43" spans="1:17" ht="39" customHeight="1">
      <c r="A43" s="1027"/>
      <c r="B43" s="1028" t="s">
        <v>13633</v>
      </c>
      <c r="C43" s="1028"/>
      <c r="D43" s="1036">
        <f>(2*3.14*D33/(60*D18))*(M36+D26/D8)</f>
        <v>2.2891227813163499E-3</v>
      </c>
      <c r="E43" s="1028" t="s">
        <v>1071</v>
      </c>
      <c r="F43" s="1028"/>
      <c r="G43" s="1028"/>
      <c r="H43" s="1028"/>
      <c r="I43" s="1028"/>
      <c r="J43" s="1028"/>
      <c r="K43" s="1028"/>
      <c r="L43" s="1028"/>
      <c r="M43" s="1028"/>
      <c r="N43" s="1028"/>
      <c r="O43" s="1028"/>
      <c r="P43" s="1046"/>
    </row>
    <row r="45" spans="1:17">
      <c r="A45" s="1001" t="s">
        <v>13634</v>
      </c>
    </row>
    <row r="46" spans="1:17">
      <c r="A46" s="1017"/>
      <c r="B46" s="1018" t="s">
        <v>13635</v>
      </c>
      <c r="C46" s="1018" t="s">
        <v>13636</v>
      </c>
      <c r="D46" s="1037">
        <f>D43+D30</f>
        <v>3.3499313864118897E-2</v>
      </c>
      <c r="E46" s="1028" t="s">
        <v>1071</v>
      </c>
      <c r="F46" s="1018"/>
      <c r="G46" s="1018"/>
      <c r="H46" s="1018"/>
      <c r="I46" s="1018"/>
      <c r="J46" s="1018"/>
      <c r="K46" s="1018"/>
      <c r="L46" s="1018"/>
      <c r="M46" s="1018"/>
      <c r="N46" s="1018"/>
      <c r="O46" s="1018"/>
      <c r="P46" s="1042"/>
    </row>
    <row r="47" spans="1:17">
      <c r="A47" s="1020"/>
      <c r="B47" s="141"/>
      <c r="C47" s="141" t="s">
        <v>13637</v>
      </c>
      <c r="D47" s="1037">
        <f>D30</f>
        <v>3.1210191082802499E-2</v>
      </c>
      <c r="E47" s="1028" t="s">
        <v>1071</v>
      </c>
      <c r="F47" s="141"/>
      <c r="G47" s="141"/>
      <c r="H47" s="141"/>
      <c r="I47" s="141"/>
      <c r="J47" s="141"/>
      <c r="K47" s="141"/>
      <c r="L47" s="141"/>
      <c r="M47" s="141"/>
      <c r="N47" s="141"/>
      <c r="O47" s="141"/>
      <c r="P47" s="1043"/>
    </row>
    <row r="48" spans="1:17">
      <c r="A48" s="1020"/>
      <c r="B48" s="141"/>
      <c r="C48" s="141" t="s">
        <v>13638</v>
      </c>
      <c r="D48" s="1037">
        <f>D30-D43</f>
        <v>2.8921068301486198E-2</v>
      </c>
      <c r="E48" s="1028" t="s">
        <v>1071</v>
      </c>
      <c r="F48" s="141"/>
      <c r="G48" s="141"/>
      <c r="H48" s="141"/>
      <c r="I48" s="141"/>
      <c r="J48" s="141"/>
      <c r="K48" s="141"/>
      <c r="L48" s="141"/>
      <c r="M48" s="141"/>
      <c r="N48" s="141"/>
      <c r="O48" s="141"/>
      <c r="P48" s="1043"/>
    </row>
    <row r="49" spans="1:16">
      <c r="A49" s="1020"/>
      <c r="B49" s="141"/>
      <c r="C49" s="141"/>
      <c r="D49" s="141"/>
      <c r="E49" s="141"/>
      <c r="F49" s="141"/>
      <c r="G49" s="141"/>
      <c r="H49" s="141"/>
      <c r="I49" s="141"/>
      <c r="J49" s="141"/>
      <c r="K49" s="141"/>
      <c r="L49" s="141"/>
      <c r="M49" s="141"/>
      <c r="N49" s="141"/>
      <c r="O49" s="141"/>
      <c r="P49" s="1043"/>
    </row>
    <row r="50" spans="1:16">
      <c r="A50" s="1020"/>
      <c r="B50" s="141" t="s">
        <v>13639</v>
      </c>
      <c r="C50" s="141"/>
      <c r="D50" s="141"/>
      <c r="E50" s="141"/>
      <c r="F50" s="141"/>
      <c r="G50" s="141"/>
      <c r="H50" s="141"/>
      <c r="I50" s="141"/>
      <c r="J50" s="141"/>
      <c r="K50" s="141"/>
      <c r="L50" s="141"/>
      <c r="M50" s="141"/>
      <c r="N50" s="141"/>
      <c r="O50" s="141"/>
      <c r="P50" s="1043"/>
    </row>
    <row r="51" spans="1:16">
      <c r="A51" s="1020"/>
      <c r="B51" s="141"/>
      <c r="C51" s="141"/>
      <c r="D51" s="141"/>
      <c r="E51" s="141"/>
      <c r="F51" s="141"/>
      <c r="G51" s="141"/>
      <c r="H51" s="141"/>
      <c r="I51" s="141"/>
      <c r="J51" s="141"/>
      <c r="K51" s="141"/>
      <c r="L51" s="141"/>
      <c r="M51" s="141"/>
      <c r="N51" s="141"/>
      <c r="O51" s="141"/>
      <c r="P51" s="1043"/>
    </row>
    <row r="52" spans="1:16">
      <c r="A52" s="1020"/>
      <c r="B52" s="141"/>
      <c r="C52" s="141"/>
      <c r="D52" s="141"/>
      <c r="E52" s="141"/>
      <c r="F52" s="141"/>
      <c r="G52" s="141"/>
      <c r="H52" s="141"/>
      <c r="I52" s="141"/>
      <c r="J52" s="141"/>
      <c r="K52" s="141"/>
      <c r="L52" s="141"/>
      <c r="M52" s="141"/>
      <c r="N52" s="141"/>
      <c r="O52" s="141"/>
      <c r="P52" s="1043"/>
    </row>
    <row r="53" spans="1:16">
      <c r="A53" s="1020"/>
      <c r="B53" s="141"/>
      <c r="C53" s="141"/>
      <c r="D53" s="1036">
        <f>SQRT((D46*D46*H19)+(D47*D47*I19)+(D48*D48*J19)/(H19+I19+J19+K19))</f>
        <v>3.7538520920589999E-2</v>
      </c>
      <c r="E53" s="1028" t="s">
        <v>1071</v>
      </c>
      <c r="F53" s="141"/>
      <c r="G53" s="141"/>
      <c r="H53" s="141"/>
      <c r="I53" s="141"/>
      <c r="J53" s="141"/>
      <c r="K53" s="141"/>
      <c r="L53" s="141"/>
      <c r="M53" s="141"/>
      <c r="N53" s="141"/>
      <c r="O53" s="141"/>
      <c r="P53" s="1043"/>
    </row>
    <row r="54" spans="1:16">
      <c r="A54" s="1020"/>
      <c r="B54" s="141"/>
      <c r="C54" s="141"/>
      <c r="D54" s="141"/>
      <c r="E54" s="141"/>
      <c r="F54" s="141"/>
      <c r="G54" s="141"/>
      <c r="H54" s="141"/>
      <c r="I54" s="141"/>
      <c r="J54" s="141"/>
      <c r="K54" s="141"/>
      <c r="L54" s="141"/>
      <c r="M54" s="141"/>
      <c r="N54" s="141"/>
      <c r="O54" s="141"/>
      <c r="P54" s="1043"/>
    </row>
    <row r="55" spans="1:16">
      <c r="A55" s="1020"/>
      <c r="B55" s="141"/>
      <c r="C55" s="141"/>
      <c r="D55" s="141"/>
      <c r="E55" s="141"/>
      <c r="F55" s="141"/>
      <c r="G55" s="141"/>
      <c r="H55" s="141"/>
      <c r="I55" s="141"/>
      <c r="J55" s="141"/>
      <c r="K55" s="141"/>
      <c r="L55" s="141"/>
      <c r="M55" s="141"/>
      <c r="N55" s="141"/>
      <c r="O55" s="141"/>
      <c r="P55" s="1043"/>
    </row>
    <row r="56" spans="1:16">
      <c r="A56" s="1020"/>
      <c r="B56" s="141"/>
      <c r="C56" s="141"/>
      <c r="D56" s="141"/>
      <c r="E56" s="141"/>
      <c r="F56" s="141"/>
      <c r="G56" s="141"/>
      <c r="H56" s="141"/>
      <c r="I56" s="141"/>
      <c r="J56" s="141"/>
      <c r="K56" s="141"/>
      <c r="L56" s="141"/>
      <c r="M56" s="141"/>
      <c r="N56" s="141"/>
      <c r="O56" s="141"/>
      <c r="P56" s="1043"/>
    </row>
    <row r="57" spans="1:16">
      <c r="A57" s="1020"/>
      <c r="B57" s="141"/>
      <c r="C57" s="141"/>
      <c r="D57" s="141"/>
      <c r="E57" s="141"/>
      <c r="F57" s="141"/>
      <c r="G57" s="141"/>
      <c r="H57" s="141"/>
      <c r="I57" s="141"/>
      <c r="J57" s="141"/>
      <c r="K57" s="141"/>
      <c r="L57" s="141"/>
      <c r="M57" s="141"/>
      <c r="N57" s="141"/>
      <c r="O57" s="141"/>
      <c r="P57" s="1043"/>
    </row>
    <row r="58" spans="1:16">
      <c r="A58" s="1020"/>
      <c r="B58" s="141"/>
      <c r="C58" s="141"/>
      <c r="D58" s="141"/>
      <c r="E58" s="141"/>
      <c r="F58" s="141"/>
      <c r="G58" s="141"/>
      <c r="H58" s="141"/>
      <c r="I58" s="141"/>
      <c r="J58" s="141"/>
      <c r="K58" s="141"/>
      <c r="L58" s="141"/>
      <c r="M58" s="141"/>
      <c r="N58" s="141"/>
      <c r="O58" s="141"/>
      <c r="P58" s="1043"/>
    </row>
    <row r="59" spans="1:16">
      <c r="A59" s="1020"/>
      <c r="B59" s="141"/>
      <c r="C59" s="141"/>
      <c r="D59" s="141"/>
      <c r="E59" s="141"/>
      <c r="F59" s="141"/>
      <c r="G59" s="141"/>
      <c r="H59" s="141"/>
      <c r="I59" s="141"/>
      <c r="J59" s="141"/>
      <c r="K59" s="141"/>
      <c r="L59" s="141"/>
      <c r="M59" s="141"/>
      <c r="N59" s="141"/>
      <c r="O59" s="141"/>
      <c r="P59" s="1043"/>
    </row>
    <row r="60" spans="1:16">
      <c r="A60" s="1020"/>
      <c r="B60" s="141"/>
      <c r="C60" s="141"/>
      <c r="D60" s="141"/>
      <c r="E60" s="141"/>
      <c r="F60" s="141"/>
      <c r="G60" s="141"/>
      <c r="H60" s="141"/>
      <c r="I60" s="141"/>
      <c r="J60" s="141"/>
      <c r="K60" s="141"/>
      <c r="L60" s="141"/>
      <c r="M60" s="141"/>
      <c r="N60" s="141"/>
      <c r="O60" s="141"/>
      <c r="P60" s="1043"/>
    </row>
    <row r="61" spans="1:16">
      <c r="A61" s="1020"/>
      <c r="B61" s="141"/>
      <c r="C61" s="141"/>
      <c r="D61" s="141"/>
      <c r="E61" s="141"/>
      <c r="F61" s="141"/>
      <c r="G61" s="141"/>
      <c r="H61" s="141"/>
      <c r="I61" s="141"/>
      <c r="J61" s="141"/>
      <c r="K61" s="141"/>
      <c r="L61" s="141"/>
      <c r="M61" s="141"/>
      <c r="N61" s="141"/>
      <c r="O61" s="141"/>
      <c r="P61" s="1043"/>
    </row>
    <row r="62" spans="1:16">
      <c r="A62" s="1020"/>
      <c r="B62" s="141"/>
      <c r="C62" s="141"/>
      <c r="D62" s="141"/>
      <c r="E62" s="141"/>
      <c r="F62" s="141"/>
      <c r="G62" s="141"/>
      <c r="H62" s="141"/>
      <c r="I62" s="141"/>
      <c r="J62" s="141"/>
      <c r="K62" s="141"/>
      <c r="L62" s="141"/>
      <c r="M62" s="141"/>
      <c r="N62" s="141"/>
      <c r="O62" s="141"/>
      <c r="P62" s="1043"/>
    </row>
    <row r="63" spans="1:16">
      <c r="A63" s="1020"/>
      <c r="B63" s="141"/>
      <c r="C63" s="141"/>
      <c r="D63" s="141"/>
      <c r="E63" s="141"/>
      <c r="F63" s="141"/>
      <c r="G63" s="141"/>
      <c r="H63" s="141"/>
      <c r="I63" s="141"/>
      <c r="J63" s="141"/>
      <c r="K63" s="141"/>
      <c r="L63" s="141"/>
      <c r="M63" s="141"/>
      <c r="N63" s="141"/>
      <c r="O63" s="141"/>
      <c r="P63" s="1043"/>
    </row>
    <row r="64" spans="1:16">
      <c r="A64" s="1020"/>
      <c r="B64" s="141"/>
      <c r="C64" s="141"/>
      <c r="D64" s="141"/>
      <c r="E64" s="141"/>
      <c r="F64" s="141"/>
      <c r="G64" s="141"/>
      <c r="H64" s="141"/>
      <c r="I64" s="141"/>
      <c r="J64" s="141"/>
      <c r="K64" s="141"/>
      <c r="L64" s="141"/>
      <c r="M64" s="141"/>
      <c r="N64" s="141"/>
      <c r="O64" s="141"/>
      <c r="P64" s="1043"/>
    </row>
    <row r="65" spans="1:19">
      <c r="A65" s="1020"/>
      <c r="B65" s="141"/>
      <c r="C65" s="141"/>
      <c r="D65" s="141"/>
      <c r="E65" s="141"/>
      <c r="F65" s="141"/>
      <c r="G65" s="141"/>
      <c r="H65" s="141"/>
      <c r="I65" s="141"/>
      <c r="J65" s="141"/>
      <c r="K65" s="141"/>
      <c r="L65" s="141"/>
      <c r="M65" s="141"/>
      <c r="N65" s="141"/>
      <c r="O65" s="141"/>
      <c r="P65" s="1043"/>
    </row>
    <row r="66" spans="1:19">
      <c r="A66" s="1020"/>
      <c r="B66" s="1048"/>
      <c r="C66" s="141"/>
      <c r="D66" s="141"/>
      <c r="E66" s="141"/>
      <c r="F66" s="141"/>
      <c r="G66" s="141"/>
      <c r="H66" s="141"/>
      <c r="I66" s="141"/>
      <c r="J66" s="141"/>
      <c r="K66" s="141"/>
      <c r="L66" s="141"/>
      <c r="M66" s="141"/>
      <c r="N66" s="141"/>
      <c r="O66" s="141"/>
      <c r="P66" s="1043"/>
    </row>
    <row r="67" spans="1:19">
      <c r="A67" s="1020"/>
      <c r="B67" s="141"/>
      <c r="C67" s="141"/>
      <c r="D67" s="141"/>
      <c r="E67" s="141"/>
      <c r="F67" s="141"/>
      <c r="G67" s="141"/>
      <c r="H67" s="141"/>
      <c r="I67" s="141"/>
      <c r="J67" s="141"/>
      <c r="K67" s="141"/>
      <c r="L67" s="141"/>
      <c r="M67" s="141"/>
      <c r="N67" s="141"/>
      <c r="O67" s="141"/>
      <c r="P67" s="1043"/>
    </row>
    <row r="68" spans="1:19">
      <c r="A68" s="1020"/>
      <c r="B68" s="141"/>
      <c r="C68" s="141"/>
      <c r="D68" s="141"/>
      <c r="E68" s="141"/>
      <c r="F68" s="141"/>
      <c r="G68" s="141"/>
      <c r="H68" s="141"/>
      <c r="I68" s="141"/>
      <c r="J68" s="141"/>
      <c r="K68" s="141"/>
      <c r="L68" s="141"/>
      <c r="M68" s="141"/>
      <c r="N68" s="141"/>
      <c r="O68" s="141"/>
      <c r="P68" s="1043"/>
    </row>
    <row r="69" spans="1:19">
      <c r="A69" s="1020"/>
      <c r="B69" s="141"/>
      <c r="C69" s="141"/>
      <c r="D69" s="141"/>
      <c r="E69" s="141"/>
      <c r="F69" s="141"/>
      <c r="G69" s="141"/>
      <c r="H69" s="141"/>
      <c r="I69" s="141"/>
      <c r="J69" s="141"/>
      <c r="K69" s="141"/>
      <c r="L69" s="141"/>
      <c r="M69" s="141"/>
      <c r="N69" s="141"/>
      <c r="O69" s="141"/>
      <c r="P69" s="1043"/>
    </row>
    <row r="70" spans="1:19">
      <c r="A70" s="1020"/>
      <c r="B70" s="141"/>
      <c r="C70" s="141"/>
      <c r="D70" s="141"/>
      <c r="E70" s="141"/>
      <c r="F70" s="141"/>
      <c r="G70" s="141"/>
      <c r="H70" s="141"/>
      <c r="I70" s="141"/>
      <c r="J70" s="141"/>
      <c r="K70" s="141"/>
      <c r="L70" s="141"/>
      <c r="M70" s="141"/>
      <c r="N70" s="141"/>
      <c r="O70" s="141"/>
      <c r="P70" s="1043"/>
    </row>
    <row r="71" spans="1:19">
      <c r="A71" s="1020"/>
      <c r="B71" s="141"/>
      <c r="C71" s="141"/>
      <c r="D71" s="141"/>
      <c r="E71" s="141"/>
      <c r="F71" s="141"/>
      <c r="G71" s="141"/>
      <c r="H71" s="141"/>
      <c r="I71" s="141"/>
      <c r="J71" s="141"/>
      <c r="K71" s="141"/>
      <c r="L71" s="141"/>
      <c r="M71" s="141"/>
      <c r="N71" s="141"/>
      <c r="O71" s="141"/>
      <c r="P71" s="1043"/>
    </row>
    <row r="72" spans="1:19">
      <c r="A72" s="1020"/>
      <c r="B72" s="141"/>
      <c r="C72" s="141"/>
      <c r="D72" s="141"/>
      <c r="E72" s="141"/>
      <c r="F72" s="141"/>
      <c r="G72" s="141"/>
      <c r="H72" s="141"/>
      <c r="I72" s="141"/>
      <c r="J72" s="141"/>
      <c r="K72" s="141"/>
      <c r="L72" s="141"/>
      <c r="M72" s="141"/>
      <c r="N72" s="141"/>
      <c r="O72" s="141"/>
      <c r="P72" s="1043"/>
    </row>
    <row r="73" spans="1:19">
      <c r="A73" s="1020"/>
      <c r="B73" s="141"/>
      <c r="C73" s="141"/>
      <c r="D73" s="141"/>
      <c r="E73" s="141"/>
      <c r="F73" s="141"/>
      <c r="G73" s="141"/>
      <c r="H73" s="141"/>
      <c r="I73" s="141"/>
      <c r="J73" s="141"/>
      <c r="K73" s="141"/>
      <c r="L73" s="141"/>
      <c r="M73" s="141"/>
      <c r="N73" s="141"/>
      <c r="O73" s="141"/>
      <c r="P73" s="1043"/>
    </row>
    <row r="74" spans="1:19">
      <c r="A74" s="1020"/>
      <c r="B74" s="141"/>
      <c r="C74" s="141"/>
      <c r="D74" s="141"/>
      <c r="E74" s="141"/>
      <c r="F74" s="141"/>
      <c r="G74" s="141"/>
      <c r="H74" s="141"/>
      <c r="I74" s="141"/>
      <c r="J74" s="141"/>
      <c r="K74" s="141"/>
      <c r="L74" s="141"/>
      <c r="M74" s="141"/>
      <c r="N74" s="141"/>
      <c r="O74" s="141"/>
      <c r="P74" s="1043"/>
    </row>
    <row r="75" spans="1:19">
      <c r="A75" s="1023"/>
      <c r="B75" s="1024"/>
      <c r="C75" s="1024"/>
      <c r="D75" s="1024"/>
      <c r="E75" s="1024"/>
      <c r="F75" s="1024"/>
      <c r="G75" s="1024"/>
      <c r="H75" s="1024"/>
      <c r="I75" s="1024"/>
      <c r="J75" s="1024"/>
      <c r="K75" s="1024"/>
      <c r="L75" s="1024"/>
      <c r="M75" s="1024"/>
      <c r="N75" s="1024"/>
      <c r="O75" s="1024"/>
      <c r="P75" s="1044"/>
    </row>
    <row r="77" spans="1:19">
      <c r="A77" s="1001" t="s">
        <v>13640</v>
      </c>
    </row>
    <row r="78" spans="1:19">
      <c r="A78" s="1017"/>
      <c r="B78" s="1018" t="s">
        <v>13641</v>
      </c>
      <c r="C78" s="1049">
        <f>D26</f>
        <v>9.7052999107468895E-5</v>
      </c>
      <c r="D78" s="1018" t="s">
        <v>13611</v>
      </c>
      <c r="E78" s="1018" t="s">
        <v>13642</v>
      </c>
      <c r="F78" s="1018"/>
      <c r="G78" s="1018"/>
      <c r="H78" s="1018"/>
      <c r="I78" s="1054">
        <f>M36</f>
        <v>1.2300000000000001E-5</v>
      </c>
      <c r="J78" s="1018" t="s">
        <v>13643</v>
      </c>
      <c r="K78" s="1018"/>
      <c r="L78" s="1018"/>
      <c r="M78" s="1018"/>
      <c r="N78" s="1018"/>
      <c r="O78" s="1018"/>
      <c r="P78" s="1018"/>
      <c r="Q78" s="1018"/>
      <c r="R78" s="1018"/>
      <c r="S78" s="1042" t="s">
        <v>13644</v>
      </c>
    </row>
    <row r="79" spans="1:19">
      <c r="A79" s="1020"/>
      <c r="B79" s="141" t="s">
        <v>13645</v>
      </c>
      <c r="C79" s="1050">
        <f>D53</f>
        <v>3.7538520920589999E-2</v>
      </c>
      <c r="D79" s="141" t="s">
        <v>1071</v>
      </c>
      <c r="E79" s="141" t="s">
        <v>13646</v>
      </c>
      <c r="F79" s="141"/>
      <c r="G79" s="141"/>
      <c r="H79" s="141"/>
      <c r="I79" s="141">
        <f>0.637*0.8</f>
        <v>0.50960000000000005</v>
      </c>
      <c r="J79" s="141" t="s">
        <v>5777</v>
      </c>
      <c r="K79" s="141"/>
      <c r="L79" s="141"/>
      <c r="M79" s="141"/>
      <c r="N79" s="141"/>
      <c r="O79" s="141"/>
      <c r="P79" s="141"/>
      <c r="Q79" s="141"/>
      <c r="R79" s="141"/>
      <c r="S79" s="1043" t="s">
        <v>13644</v>
      </c>
    </row>
    <row r="80" spans="1:19">
      <c r="A80" s="1020"/>
      <c r="B80" s="141" t="s">
        <v>13647</v>
      </c>
      <c r="C80" s="1051">
        <f>D46</f>
        <v>3.3499313864118897E-2</v>
      </c>
      <c r="D80" s="141" t="s">
        <v>1071</v>
      </c>
      <c r="E80" s="141" t="s">
        <v>13648</v>
      </c>
      <c r="F80" s="141"/>
      <c r="G80" s="141"/>
      <c r="H80" s="141"/>
      <c r="I80" s="141">
        <f>1.91*0.8</f>
        <v>1.528</v>
      </c>
      <c r="J80" s="141" t="s">
        <v>5777</v>
      </c>
      <c r="K80" s="141"/>
      <c r="L80" s="141"/>
      <c r="M80" s="141"/>
      <c r="N80" s="141"/>
      <c r="O80" s="141"/>
      <c r="P80" s="141"/>
      <c r="Q80" s="141"/>
      <c r="R80" s="141"/>
      <c r="S80" s="1043" t="s">
        <v>13644</v>
      </c>
    </row>
    <row r="81" spans="1:19">
      <c r="A81" s="1020"/>
      <c r="B81" s="141" t="s">
        <v>13649</v>
      </c>
      <c r="C81" s="1052">
        <f>D33</f>
        <v>60</v>
      </c>
      <c r="D81" s="141" t="s">
        <v>5773</v>
      </c>
      <c r="E81" s="141" t="s">
        <v>13650</v>
      </c>
      <c r="F81" s="141"/>
      <c r="G81" s="141"/>
      <c r="H81" s="141"/>
      <c r="I81" s="141">
        <v>3000</v>
      </c>
      <c r="J81" s="141" t="s">
        <v>5773</v>
      </c>
      <c r="K81" s="141"/>
      <c r="L81" s="141"/>
      <c r="M81" s="141"/>
      <c r="N81" s="141"/>
      <c r="O81" s="141"/>
      <c r="P81" s="141"/>
      <c r="Q81" s="141"/>
      <c r="R81" s="141"/>
      <c r="S81" s="1043" t="s">
        <v>13644</v>
      </c>
    </row>
    <row r="82" spans="1:19">
      <c r="A82" s="1023"/>
      <c r="B82" s="1024" t="s">
        <v>13651</v>
      </c>
      <c r="C82" s="1053">
        <f>D4*D8/D19*1</f>
        <v>500</v>
      </c>
      <c r="D82" s="1024" t="s">
        <v>13652</v>
      </c>
      <c r="E82" s="1024" t="s">
        <v>13653</v>
      </c>
      <c r="F82" s="1024"/>
      <c r="G82" s="1024"/>
      <c r="H82" s="1024"/>
      <c r="I82" s="1024"/>
      <c r="J82" s="1024"/>
      <c r="K82" s="1024"/>
      <c r="L82" s="1024"/>
      <c r="M82" s="1024"/>
      <c r="N82" s="1024"/>
      <c r="O82" s="1024"/>
      <c r="P82" s="1024"/>
      <c r="Q82" s="1024"/>
      <c r="R82" s="1024"/>
      <c r="S82" s="1044" t="s">
        <v>13644</v>
      </c>
    </row>
  </sheetData>
  <mergeCells count="4">
    <mergeCell ref="F36:G36"/>
    <mergeCell ref="M36:N36"/>
    <mergeCell ref="F37:G37"/>
    <mergeCell ref="M37:N37"/>
  </mergeCells>
  <phoneticPr fontId="214" type="noConversion"/>
  <pageMargins left="0.75" right="0.75" top="1" bottom="1" header="0.5" footer="0.5"/>
  <headerFooter scaleWithDoc="0" alignWithMargins="0"/>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46"/>
  <dimension ref="A1:L12"/>
  <sheetViews>
    <sheetView zoomScale="145" zoomScaleNormal="145" workbookViewId="0"/>
  </sheetViews>
  <sheetFormatPr defaultColWidth="9" defaultRowHeight="14.25"/>
  <cols>
    <col min="1" max="1" width="13.875" style="231" customWidth="1"/>
    <col min="2" max="2" width="7.75" style="231" customWidth="1"/>
    <col min="3" max="3" width="6.625" style="231" customWidth="1"/>
    <col min="4" max="4" width="8.125" style="231" customWidth="1"/>
    <col min="5" max="5" width="9.125" style="231" customWidth="1"/>
    <col min="6" max="6" width="12.75" style="231" customWidth="1"/>
    <col min="7" max="7" width="14.75" style="231" customWidth="1"/>
    <col min="8" max="8" width="9.625" style="231"/>
    <col min="9" max="9" width="11.5" style="231"/>
    <col min="10" max="10" width="9" style="231"/>
    <col min="11" max="11" width="6.5" style="231" customWidth="1"/>
    <col min="12" max="12" width="11.625" style="231" customWidth="1"/>
    <col min="13" max="16384" width="9" style="231"/>
  </cols>
  <sheetData>
    <row r="1" spans="1:12">
      <c r="B1" s="5969" t="s">
        <v>13654</v>
      </c>
      <c r="C1" s="5970"/>
      <c r="D1" s="5970"/>
      <c r="E1" s="5970"/>
      <c r="F1" s="5970"/>
      <c r="G1" s="5970"/>
      <c r="H1" s="5970"/>
      <c r="I1" s="5970"/>
      <c r="K1" s="231" t="s">
        <v>12759</v>
      </c>
      <c r="L1" s="231">
        <v>7.85</v>
      </c>
    </row>
    <row r="2" spans="1:12">
      <c r="B2" s="5970"/>
      <c r="C2" s="5970"/>
      <c r="D2" s="5970"/>
      <c r="E2" s="5970"/>
      <c r="F2" s="5970"/>
      <c r="G2" s="5970"/>
      <c r="H2" s="5970"/>
      <c r="I2" s="5970"/>
      <c r="K2" s="231" t="s">
        <v>13655</v>
      </c>
      <c r="L2" s="231">
        <v>7.85</v>
      </c>
    </row>
    <row r="3" spans="1:12">
      <c r="A3" s="231" t="s">
        <v>13656</v>
      </c>
      <c r="B3" s="996" t="s">
        <v>13657</v>
      </c>
      <c r="C3" s="996" t="s">
        <v>13658</v>
      </c>
      <c r="D3" s="996" t="s">
        <v>13659</v>
      </c>
      <c r="E3" s="997" t="s">
        <v>13660</v>
      </c>
      <c r="F3" s="996" t="s">
        <v>13661</v>
      </c>
      <c r="G3" s="996" t="s">
        <v>13662</v>
      </c>
      <c r="H3" s="996" t="s">
        <v>5901</v>
      </c>
      <c r="I3" s="996" t="s">
        <v>13663</v>
      </c>
      <c r="K3" s="231" t="s">
        <v>13664</v>
      </c>
      <c r="L3" s="231">
        <v>7.85</v>
      </c>
    </row>
    <row r="4" spans="1:12" ht="19.5">
      <c r="A4" s="998" t="s">
        <v>13665</v>
      </c>
      <c r="B4" s="999">
        <v>307</v>
      </c>
      <c r="C4" s="999">
        <v>503</v>
      </c>
      <c r="D4" s="999">
        <v>200</v>
      </c>
      <c r="E4" s="999">
        <f>VLOOKUP(A4,K:L,2,0)</f>
        <v>0</v>
      </c>
      <c r="F4" s="999">
        <v>0.92</v>
      </c>
      <c r="G4" s="999">
        <v>1</v>
      </c>
      <c r="H4" s="223">
        <f>(B4*C4*D4*F4*G4)/1000000</f>
        <v>28.413464000000001</v>
      </c>
      <c r="I4" s="223">
        <f>H4*E4</f>
        <v>0</v>
      </c>
      <c r="K4" s="231" t="s">
        <v>13666</v>
      </c>
      <c r="L4" s="231">
        <v>7.85</v>
      </c>
    </row>
    <row r="5" spans="1:12">
      <c r="A5" s="509"/>
      <c r="B5" s="1000"/>
      <c r="C5" s="1000"/>
      <c r="D5" s="1000"/>
      <c r="E5" s="1000"/>
      <c r="F5" s="1000"/>
      <c r="G5" s="1000"/>
      <c r="H5" s="1000"/>
      <c r="I5" s="1000"/>
      <c r="J5" s="509"/>
      <c r="K5" s="231" t="s">
        <v>13667</v>
      </c>
      <c r="L5" s="231">
        <v>7.82</v>
      </c>
    </row>
    <row r="6" spans="1:12">
      <c r="A6" s="509"/>
      <c r="B6" s="1000"/>
      <c r="C6" s="1000"/>
      <c r="D6" s="1000"/>
      <c r="E6" s="1000"/>
      <c r="F6" s="1000"/>
      <c r="G6" s="1000"/>
      <c r="H6" s="1000"/>
      <c r="I6" s="1000"/>
      <c r="J6" s="509"/>
      <c r="K6" s="231" t="s">
        <v>13668</v>
      </c>
    </row>
    <row r="7" spans="1:12">
      <c r="A7" s="5971" t="s">
        <v>13669</v>
      </c>
      <c r="B7" s="5971"/>
      <c r="C7" s="5971"/>
      <c r="D7" s="5971"/>
      <c r="E7" s="5971"/>
      <c r="F7" s="5971"/>
      <c r="G7" s="5971"/>
      <c r="H7" s="5971"/>
      <c r="I7" s="5971"/>
      <c r="J7" s="509"/>
      <c r="K7" s="231" t="s">
        <v>13670</v>
      </c>
    </row>
    <row r="8" spans="1:12">
      <c r="A8" s="5971"/>
      <c r="B8" s="5971"/>
      <c r="C8" s="5971"/>
      <c r="D8" s="5971"/>
      <c r="E8" s="5971"/>
      <c r="F8" s="5971"/>
      <c r="G8" s="5971"/>
      <c r="H8" s="5971"/>
      <c r="I8" s="5971"/>
      <c r="J8" s="509"/>
      <c r="K8" s="231" t="s">
        <v>13665</v>
      </c>
    </row>
    <row r="9" spans="1:12">
      <c r="A9" s="5971"/>
      <c r="B9" s="5971"/>
      <c r="C9" s="5971"/>
      <c r="D9" s="5971"/>
      <c r="E9" s="5971"/>
      <c r="F9" s="5971"/>
      <c r="G9" s="5971"/>
      <c r="H9" s="5971"/>
      <c r="I9" s="5971"/>
      <c r="J9" s="509"/>
      <c r="K9" s="105"/>
    </row>
    <row r="10" spans="1:12">
      <c r="A10" s="5971"/>
      <c r="B10" s="5971"/>
      <c r="C10" s="5971"/>
      <c r="D10" s="5971"/>
      <c r="E10" s="5971"/>
      <c r="F10" s="5971"/>
      <c r="G10" s="5971"/>
      <c r="H10" s="5971"/>
      <c r="I10" s="5971"/>
      <c r="J10" s="509"/>
    </row>
    <row r="11" spans="1:12">
      <c r="A11" s="5971"/>
      <c r="B11" s="5971"/>
      <c r="C11" s="5971"/>
      <c r="D11" s="5971"/>
      <c r="E11" s="5971"/>
      <c r="F11" s="5971"/>
      <c r="G11" s="5971"/>
      <c r="H11" s="5971"/>
      <c r="I11" s="5971"/>
      <c r="J11" s="509"/>
    </row>
    <row r="12" spans="1:12">
      <c r="A12" s="5971"/>
      <c r="B12" s="5971"/>
      <c r="C12" s="5971"/>
      <c r="D12" s="5971"/>
      <c r="E12" s="5971"/>
      <c r="F12" s="5971"/>
      <c r="G12" s="5971"/>
      <c r="H12" s="5971"/>
      <c r="I12" s="5971"/>
      <c r="J12" s="509"/>
    </row>
  </sheetData>
  <mergeCells count="2">
    <mergeCell ref="B1:I2"/>
    <mergeCell ref="A7:I12"/>
  </mergeCells>
  <phoneticPr fontId="214" type="noConversion"/>
  <dataValidations count="1">
    <dataValidation type="list" allowBlank="1" showInputMessage="1" showErrorMessage="1" sqref="A4" xr:uid="{00000000-0002-0000-9100-000000000000}">
      <formula1>"A3,45#,光板,光扁,镀铬棒,铝管,纤维板,电木,铝排"</formula1>
    </dataValidation>
  </dataValidations>
  <pageMargins left="0.75" right="0.75" top="1" bottom="1" header="0.50902777777777797" footer="0.50902777777777797"/>
  <pageSetup paperSize="9" orientation="portrait"/>
  <headerFooter scaleWithDoc="0" alignWithMargins="0"/>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47"/>
  <dimension ref="A1:N26"/>
  <sheetViews>
    <sheetView showZeros="0" workbookViewId="0">
      <selection activeCell="L17" sqref="L17"/>
    </sheetView>
  </sheetViews>
  <sheetFormatPr defaultColWidth="9" defaultRowHeight="14.25"/>
  <cols>
    <col min="1" max="1" width="3.5" style="77"/>
    <col min="2" max="2" width="29.25"/>
    <col min="3" max="3" width="6.5"/>
    <col min="4" max="4" width="17.25" customWidth="1"/>
    <col min="5" max="5" width="3" customWidth="1"/>
    <col min="6" max="6" width="27.25" customWidth="1"/>
    <col min="7" max="7" width="13.125"/>
    <col min="8" max="8" width="11.125"/>
    <col min="9" max="10" width="6.125"/>
    <col min="12" max="12" width="14.75"/>
  </cols>
  <sheetData>
    <row r="1" spans="1:14" ht="24.95" customHeight="1">
      <c r="A1" s="5977" t="s">
        <v>13671</v>
      </c>
      <c r="B1" s="5978"/>
      <c r="C1" s="5978"/>
      <c r="D1" s="5979"/>
      <c r="E1" s="979"/>
      <c r="F1" s="5983" t="s">
        <v>13672</v>
      </c>
      <c r="G1" s="5984"/>
      <c r="H1" s="5984"/>
      <c r="I1" s="5984"/>
      <c r="J1" s="5984"/>
    </row>
    <row r="2" spans="1:14" ht="15" customHeight="1">
      <c r="A2" s="5980"/>
      <c r="B2" s="5981"/>
      <c r="C2" s="5981"/>
      <c r="D2" s="5982"/>
      <c r="F2" s="5973" t="s">
        <v>434</v>
      </c>
      <c r="G2" s="5975" t="s">
        <v>13673</v>
      </c>
      <c r="H2" s="5975" t="s">
        <v>13674</v>
      </c>
      <c r="I2" s="5985" t="s">
        <v>13675</v>
      </c>
      <c r="J2" s="5986"/>
    </row>
    <row r="3" spans="1:14" ht="20.100000000000001" customHeight="1">
      <c r="A3" s="980">
        <v>1</v>
      </c>
      <c r="B3" s="981" t="s">
        <v>13676</v>
      </c>
      <c r="C3" s="982" t="s">
        <v>13677</v>
      </c>
      <c r="D3" s="983">
        <v>30</v>
      </c>
      <c r="F3" s="5974"/>
      <c r="G3" s="5976"/>
      <c r="H3" s="5976"/>
      <c r="I3" s="3" t="s">
        <v>13678</v>
      </c>
      <c r="J3" s="971" t="s">
        <v>13679</v>
      </c>
    </row>
    <row r="4" spans="1:14" ht="20.100000000000001" customHeight="1">
      <c r="A4" s="980">
        <v>2</v>
      </c>
      <c r="B4" s="981" t="s">
        <v>13680</v>
      </c>
      <c r="C4" s="982" t="s">
        <v>13681</v>
      </c>
      <c r="D4" s="983">
        <v>2</v>
      </c>
      <c r="F4" s="972" t="s">
        <v>13682</v>
      </c>
      <c r="G4" s="973" t="s">
        <v>13683</v>
      </c>
      <c r="H4" s="973" t="s">
        <v>13684</v>
      </c>
      <c r="I4" s="3">
        <v>11</v>
      </c>
      <c r="J4" s="971">
        <v>-8.5</v>
      </c>
    </row>
    <row r="5" spans="1:14" ht="20.100000000000001" customHeight="1">
      <c r="A5" s="980">
        <v>3</v>
      </c>
      <c r="B5" s="981" t="s">
        <v>13685</v>
      </c>
      <c r="C5" s="981" t="s">
        <v>13686</v>
      </c>
      <c r="D5" s="983">
        <v>3</v>
      </c>
      <c r="F5" s="972" t="s">
        <v>13687</v>
      </c>
      <c r="G5" s="973" t="s">
        <v>13688</v>
      </c>
      <c r="H5" s="973" t="s">
        <v>13689</v>
      </c>
      <c r="I5" s="3">
        <v>11</v>
      </c>
      <c r="J5" s="971">
        <v>-9</v>
      </c>
    </row>
    <row r="6" spans="1:14" ht="20.100000000000001" customHeight="1">
      <c r="A6" s="980">
        <v>4</v>
      </c>
      <c r="B6" s="981" t="s">
        <v>13690</v>
      </c>
      <c r="C6" s="982" t="s">
        <v>13691</v>
      </c>
      <c r="D6" s="983">
        <v>4</v>
      </c>
      <c r="F6" s="972" t="s">
        <v>13692</v>
      </c>
      <c r="G6" s="973" t="s">
        <v>13693</v>
      </c>
      <c r="H6" s="973" t="s">
        <v>13694</v>
      </c>
      <c r="I6" s="3">
        <v>10</v>
      </c>
      <c r="J6" s="971">
        <v>-8</v>
      </c>
    </row>
    <row r="7" spans="1:14" ht="20.100000000000001" customHeight="1">
      <c r="A7" s="980">
        <v>5</v>
      </c>
      <c r="B7" s="981" t="s">
        <v>13695</v>
      </c>
      <c r="C7" s="982" t="s">
        <v>13696</v>
      </c>
      <c r="D7" s="983">
        <v>5</v>
      </c>
      <c r="F7" s="972" t="s">
        <v>1571</v>
      </c>
      <c r="G7" s="973" t="s">
        <v>13697</v>
      </c>
      <c r="H7" s="973">
        <v>0.25</v>
      </c>
      <c r="I7" s="3">
        <v>10</v>
      </c>
      <c r="J7" s="971">
        <v>-8</v>
      </c>
    </row>
    <row r="8" spans="1:14" ht="20.100000000000001" customHeight="1">
      <c r="A8" s="980">
        <v>6</v>
      </c>
      <c r="B8" s="981" t="s">
        <v>13698</v>
      </c>
      <c r="C8" s="982" t="s">
        <v>13699</v>
      </c>
      <c r="D8" s="983">
        <v>6</v>
      </c>
      <c r="F8" s="972" t="s">
        <v>13700</v>
      </c>
      <c r="G8" s="973" t="s">
        <v>13701</v>
      </c>
      <c r="H8" s="3" t="s">
        <v>13702</v>
      </c>
      <c r="I8" s="3">
        <v>10</v>
      </c>
      <c r="J8" s="971">
        <v>-8</v>
      </c>
    </row>
    <row r="9" spans="1:14" ht="20.100000000000001" customHeight="1">
      <c r="A9" s="980">
        <v>7</v>
      </c>
      <c r="B9" s="981" t="s">
        <v>13703</v>
      </c>
      <c r="C9" s="982" t="s">
        <v>13704</v>
      </c>
      <c r="D9" s="983">
        <v>7</v>
      </c>
      <c r="F9" s="974" t="s">
        <v>13705</v>
      </c>
      <c r="G9" s="975">
        <v>85</v>
      </c>
      <c r="H9" s="976">
        <v>0.35</v>
      </c>
      <c r="I9" s="975">
        <v>17</v>
      </c>
      <c r="J9" s="977">
        <v>-15</v>
      </c>
    </row>
    <row r="10" spans="1:14" ht="20.100000000000001" customHeight="1">
      <c r="A10" s="980">
        <v>8</v>
      </c>
      <c r="B10" s="981" t="s">
        <v>13674</v>
      </c>
      <c r="C10" s="982" t="s">
        <v>412</v>
      </c>
      <c r="D10" s="983">
        <v>8</v>
      </c>
      <c r="F10" s="5983" t="s">
        <v>5242</v>
      </c>
      <c r="G10" s="5984"/>
      <c r="H10" s="5984"/>
    </row>
    <row r="11" spans="1:14" ht="20.100000000000001" customHeight="1">
      <c r="A11" s="980">
        <v>9</v>
      </c>
      <c r="B11" s="984" t="s">
        <v>5242</v>
      </c>
      <c r="C11" s="984" t="s">
        <v>2440</v>
      </c>
      <c r="D11" s="983">
        <v>9</v>
      </c>
      <c r="F11" s="985" t="s">
        <v>434</v>
      </c>
      <c r="G11" s="3" t="s">
        <v>543</v>
      </c>
      <c r="H11" s="971" t="s">
        <v>542</v>
      </c>
    </row>
    <row r="12" spans="1:14" ht="20.100000000000001" customHeight="1">
      <c r="A12" s="980">
        <v>10</v>
      </c>
      <c r="B12" s="986" t="s">
        <v>13706</v>
      </c>
      <c r="C12" s="987" t="s">
        <v>13707</v>
      </c>
      <c r="D12" s="988">
        <f>(D8*D8+D3*D3)/(D8*D8-D3*D3)+D10</f>
        <v>6.9166666666666696</v>
      </c>
      <c r="F12" s="972" t="s">
        <v>13708</v>
      </c>
      <c r="G12" s="973" t="s">
        <v>13709</v>
      </c>
      <c r="H12" s="989" t="s">
        <v>13710</v>
      </c>
    </row>
    <row r="13" spans="1:14" ht="20.100000000000001" customHeight="1">
      <c r="A13" s="980">
        <v>11</v>
      </c>
      <c r="B13" s="986" t="s">
        <v>13711</v>
      </c>
      <c r="C13" s="987" t="s">
        <v>13712</v>
      </c>
      <c r="D13" s="988">
        <f>(D3*D3+D9*D9)/(D3*D3-D9*D9)-D10</f>
        <v>-6.8848413631022298</v>
      </c>
      <c r="F13" s="972" t="s">
        <v>13713</v>
      </c>
      <c r="G13" s="3">
        <v>0.11</v>
      </c>
      <c r="H13" s="971">
        <v>7.0000000000000007E-2</v>
      </c>
    </row>
    <row r="14" spans="1:14" ht="20.100000000000001" customHeight="1">
      <c r="A14" s="980">
        <v>12</v>
      </c>
      <c r="B14" s="986" t="s">
        <v>13714</v>
      </c>
      <c r="C14" s="987" t="s">
        <v>13715</v>
      </c>
      <c r="D14" s="988">
        <f>D5/(D3*(D12/D6+D13/D7))</f>
        <v>0.28393088012456003</v>
      </c>
      <c r="F14" s="972" t="s">
        <v>13716</v>
      </c>
      <c r="G14" s="3">
        <v>0.1</v>
      </c>
      <c r="H14" s="971">
        <v>0.08</v>
      </c>
      <c r="I14" s="978"/>
      <c r="J14" s="978"/>
    </row>
    <row r="15" spans="1:14" ht="20.100000000000001" customHeight="1">
      <c r="A15" s="980">
        <v>13</v>
      </c>
      <c r="B15" s="986"/>
      <c r="C15" s="987"/>
      <c r="D15" s="990"/>
      <c r="F15" s="972" t="s">
        <v>13717</v>
      </c>
      <c r="G15" s="3">
        <v>0.11</v>
      </c>
      <c r="H15" s="971">
        <v>7.0000000000000007E-2</v>
      </c>
    </row>
    <row r="16" spans="1:14" s="978" customFormat="1" ht="27.75">
      <c r="A16" s="991">
        <v>14</v>
      </c>
      <c r="B16" s="992" t="s">
        <v>13718</v>
      </c>
      <c r="C16" s="993" t="s">
        <v>445</v>
      </c>
      <c r="D16" s="994">
        <f>D14*3.14159*D3*D4*D11/9.8</f>
        <v>49.1507125911101</v>
      </c>
      <c r="F16" s="972" t="s">
        <v>13719</v>
      </c>
      <c r="G16" s="973" t="s">
        <v>13720</v>
      </c>
      <c r="H16" s="989" t="s">
        <v>13721</v>
      </c>
      <c r="I16"/>
      <c r="J16"/>
      <c r="L16"/>
      <c r="M16"/>
      <c r="N16"/>
    </row>
    <row r="17" spans="2:8" ht="15.75">
      <c r="B17" s="5987" t="s">
        <v>13722</v>
      </c>
      <c r="C17" s="5987"/>
      <c r="D17" s="5987"/>
      <c r="F17" s="972" t="s">
        <v>13723</v>
      </c>
      <c r="G17" s="973" t="s">
        <v>13724</v>
      </c>
      <c r="H17" s="989" t="s">
        <v>13725</v>
      </c>
    </row>
    <row r="18" spans="2:8" ht="15.75">
      <c r="B18" s="5972" t="s">
        <v>13726</v>
      </c>
      <c r="C18" s="5972"/>
      <c r="D18" s="5972"/>
      <c r="F18" s="974" t="s">
        <v>13727</v>
      </c>
      <c r="G18" s="976" t="s">
        <v>13728</v>
      </c>
      <c r="H18" s="995" t="s">
        <v>13725</v>
      </c>
    </row>
    <row r="19" spans="2:8" ht="15.75">
      <c r="B19" s="5972" t="s">
        <v>13729</v>
      </c>
      <c r="C19" s="5972"/>
      <c r="D19" s="5972"/>
    </row>
    <row r="20" spans="2:8" ht="24.95" customHeight="1"/>
    <row r="21" spans="2:8" ht="24.95" customHeight="1"/>
    <row r="22" spans="2:8" ht="24.95" customHeight="1"/>
    <row r="23" spans="2:8" ht="24.95" customHeight="1">
      <c r="F23">
        <v>0</v>
      </c>
    </row>
    <row r="24" spans="2:8" ht="24.95" customHeight="1"/>
    <row r="25" spans="2:8" ht="24.95" customHeight="1"/>
    <row r="26" spans="2:8" ht="24.95" customHeight="1"/>
  </sheetData>
  <mergeCells count="10">
    <mergeCell ref="B19:D19"/>
    <mergeCell ref="F2:F3"/>
    <mergeCell ref="G2:G3"/>
    <mergeCell ref="H2:H3"/>
    <mergeCell ref="A1:D2"/>
    <mergeCell ref="F1:J1"/>
    <mergeCell ref="I2:J2"/>
    <mergeCell ref="F10:H10"/>
    <mergeCell ref="B17:D17"/>
    <mergeCell ref="B18:D18"/>
  </mergeCells>
  <phoneticPr fontId="214" type="noConversion"/>
  <pageMargins left="0.75" right="0.75" top="1" bottom="1" header="0.5" footer="0.5"/>
  <pageSetup paperSize="9" orientation="portrait"/>
  <headerFooter alignWithMargins="0"/>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48"/>
  <dimension ref="A1:E9"/>
  <sheetViews>
    <sheetView workbookViewId="0">
      <selection activeCell="I5" sqref="I5"/>
    </sheetView>
  </sheetViews>
  <sheetFormatPr defaultColWidth="9" defaultRowHeight="14.25"/>
  <cols>
    <col min="1" max="1" width="29.375"/>
    <col min="2" max="2" width="12.125"/>
    <col min="3" max="3" width="10.5"/>
    <col min="4" max="5" width="5.5"/>
  </cols>
  <sheetData>
    <row r="1" spans="1:5" ht="25.5">
      <c r="A1" s="5983" t="s">
        <v>13672</v>
      </c>
      <c r="B1" s="5984"/>
      <c r="C1" s="5984"/>
      <c r="D1" s="5984"/>
      <c r="E1" s="5984"/>
    </row>
    <row r="2" spans="1:5" ht="35.25" customHeight="1">
      <c r="A2" s="5973" t="s">
        <v>434</v>
      </c>
      <c r="B2" s="5975" t="s">
        <v>13673</v>
      </c>
      <c r="C2" s="5975" t="s">
        <v>13674</v>
      </c>
      <c r="D2" s="5988" t="s">
        <v>13675</v>
      </c>
      <c r="E2" s="5989"/>
    </row>
    <row r="3" spans="1:5" ht="35.25" customHeight="1">
      <c r="A3" s="5974"/>
      <c r="B3" s="5976"/>
      <c r="C3" s="5976"/>
      <c r="D3" s="3" t="s">
        <v>13678</v>
      </c>
      <c r="E3" s="971" t="s">
        <v>13679</v>
      </c>
    </row>
    <row r="4" spans="1:5" ht="15.75">
      <c r="A4" s="972" t="s">
        <v>13682</v>
      </c>
      <c r="B4" s="973" t="s">
        <v>13683</v>
      </c>
      <c r="C4" s="973" t="s">
        <v>13684</v>
      </c>
      <c r="D4" s="3">
        <v>11</v>
      </c>
      <c r="E4" s="971">
        <v>-8.5</v>
      </c>
    </row>
    <row r="5" spans="1:5" ht="15.75">
      <c r="A5" s="972" t="s">
        <v>13687</v>
      </c>
      <c r="B5" s="973" t="s">
        <v>13688</v>
      </c>
      <c r="C5" s="973" t="s">
        <v>13689</v>
      </c>
      <c r="D5" s="3">
        <v>11</v>
      </c>
      <c r="E5" s="971">
        <v>-9</v>
      </c>
    </row>
    <row r="6" spans="1:5" ht="15.75">
      <c r="A6" s="972" t="s">
        <v>13692</v>
      </c>
      <c r="B6" s="973" t="s">
        <v>13693</v>
      </c>
      <c r="C6" s="973" t="s">
        <v>13694</v>
      </c>
      <c r="D6" s="3">
        <v>10</v>
      </c>
      <c r="E6" s="971">
        <v>-8</v>
      </c>
    </row>
    <row r="7" spans="1:5" ht="15.75">
      <c r="A7" s="972" t="s">
        <v>1571</v>
      </c>
      <c r="B7" s="973" t="s">
        <v>13697</v>
      </c>
      <c r="C7" s="973">
        <v>0.25</v>
      </c>
      <c r="D7" s="3">
        <v>10</v>
      </c>
      <c r="E7" s="971">
        <v>-8</v>
      </c>
    </row>
    <row r="8" spans="1:5" ht="15.75">
      <c r="A8" s="972" t="s">
        <v>13700</v>
      </c>
      <c r="B8" s="973" t="s">
        <v>13701</v>
      </c>
      <c r="C8" s="3" t="s">
        <v>13702</v>
      </c>
      <c r="D8" s="3">
        <v>10</v>
      </c>
      <c r="E8" s="971">
        <v>-8</v>
      </c>
    </row>
    <row r="9" spans="1:5" ht="16.5" thickBot="1">
      <c r="A9" s="974" t="s">
        <v>13705</v>
      </c>
      <c r="B9" s="975">
        <v>85</v>
      </c>
      <c r="C9" s="976">
        <v>0.35</v>
      </c>
      <c r="D9" s="975">
        <v>17</v>
      </c>
      <c r="E9" s="977">
        <v>-15</v>
      </c>
    </row>
  </sheetData>
  <mergeCells count="5">
    <mergeCell ref="A1:E1"/>
    <mergeCell ref="D2:E2"/>
    <mergeCell ref="A2:A3"/>
    <mergeCell ref="B2:B3"/>
    <mergeCell ref="C2:C3"/>
  </mergeCells>
  <phoneticPr fontId="214" type="noConversion"/>
  <pageMargins left="0.75" right="0.75" top="1" bottom="1" header="0.5" footer="0.5"/>
  <headerFooter alignWithMargins="0"/>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49"/>
  <dimension ref="A1:F18"/>
  <sheetViews>
    <sheetView view="pageBreakPreview" zoomScaleNormal="100" workbookViewId="0">
      <selection activeCell="I11" sqref="I11"/>
    </sheetView>
  </sheetViews>
  <sheetFormatPr defaultColWidth="9" defaultRowHeight="14.25"/>
  <cols>
    <col min="1" max="2" width="20.625" style="967" customWidth="1"/>
    <col min="3" max="3" width="30.625" style="967" customWidth="1"/>
    <col min="4" max="4" width="24.625" style="967" customWidth="1"/>
    <col min="5" max="5" width="20.625" style="967" customWidth="1"/>
    <col min="6" max="16384" width="9" style="967"/>
  </cols>
  <sheetData>
    <row r="1" spans="1:6" ht="30" customHeight="1">
      <c r="A1" s="5990" t="s">
        <v>13730</v>
      </c>
      <c r="B1" s="5990"/>
      <c r="C1" s="5990"/>
      <c r="D1" s="5990"/>
      <c r="E1" s="5990"/>
      <c r="F1" s="6219"/>
    </row>
    <row r="2" spans="1:6" ht="30" customHeight="1">
      <c r="A2" s="5991" t="s">
        <v>13731</v>
      </c>
      <c r="B2" s="5991"/>
      <c r="C2" s="5991"/>
      <c r="D2" s="5991"/>
      <c r="E2" s="5991"/>
      <c r="F2" s="6219"/>
    </row>
    <row r="3" spans="1:6" ht="30" customHeight="1">
      <c r="A3" s="291" t="s">
        <v>13732</v>
      </c>
      <c r="B3" s="291" t="s">
        <v>13733</v>
      </c>
      <c r="C3" s="291" t="s">
        <v>13734</v>
      </c>
      <c r="D3" s="291" t="s">
        <v>13735</v>
      </c>
      <c r="E3" s="291" t="s">
        <v>1515</v>
      </c>
      <c r="F3" s="6219"/>
    </row>
    <row r="4" spans="1:6" ht="30" customHeight="1">
      <c r="A4" s="968">
        <v>0.1</v>
      </c>
      <c r="B4" s="968">
        <v>1000</v>
      </c>
      <c r="C4" s="968">
        <v>0.85</v>
      </c>
      <c r="D4" s="969">
        <f>B4*A4/(1000*C4)</f>
        <v>0.11764705882352899</v>
      </c>
      <c r="E4" s="969"/>
      <c r="F4" s="6219"/>
    </row>
    <row r="5" spans="1:6" ht="30" customHeight="1">
      <c r="A5" s="5992" t="s">
        <v>13736</v>
      </c>
      <c r="B5" s="5992"/>
      <c r="C5" s="5992"/>
      <c r="D5" s="5992"/>
      <c r="E5" s="5992"/>
      <c r="F5" s="6219"/>
    </row>
    <row r="6" spans="1:6" ht="30" customHeight="1">
      <c r="A6" s="969" t="s">
        <v>13737</v>
      </c>
      <c r="B6" s="969" t="s">
        <v>13738</v>
      </c>
      <c r="C6" s="969" t="s">
        <v>13734</v>
      </c>
      <c r="D6" s="969" t="s">
        <v>13735</v>
      </c>
      <c r="E6" s="969"/>
      <c r="F6" s="6219"/>
    </row>
    <row r="7" spans="1:6" ht="30" customHeight="1">
      <c r="A7" s="968">
        <v>160</v>
      </c>
      <c r="B7" s="968">
        <v>15</v>
      </c>
      <c r="C7" s="968">
        <v>0.85</v>
      </c>
      <c r="D7" s="969">
        <f>A7*B7/(9550*C7)</f>
        <v>0.295657530027718</v>
      </c>
      <c r="E7" s="969"/>
      <c r="F7" s="6219"/>
    </row>
    <row r="8" spans="1:6" ht="30" customHeight="1">
      <c r="A8" s="5993" t="s">
        <v>13739</v>
      </c>
      <c r="B8" s="5993"/>
      <c r="C8" s="5993"/>
      <c r="D8" s="5993"/>
      <c r="E8" s="5993"/>
      <c r="F8" s="6219"/>
    </row>
    <row r="9" spans="1:6" ht="30" customHeight="1">
      <c r="A9" s="970" t="s">
        <v>13740</v>
      </c>
      <c r="B9" s="970" t="s">
        <v>13741</v>
      </c>
      <c r="C9" s="970" t="s">
        <v>13742</v>
      </c>
      <c r="D9" s="969" t="s">
        <v>13743</v>
      </c>
      <c r="E9" s="969" t="s">
        <v>13744</v>
      </c>
      <c r="F9" s="6219"/>
    </row>
    <row r="10" spans="1:6" ht="30" customHeight="1">
      <c r="A10" s="968">
        <v>1.5</v>
      </c>
      <c r="B10" s="968">
        <v>25</v>
      </c>
      <c r="C10" s="968">
        <v>1</v>
      </c>
      <c r="D10" s="969">
        <f>A10/B10*9550*C10</f>
        <v>573</v>
      </c>
      <c r="E10" s="969">
        <f>D10/10</f>
        <v>57.3</v>
      </c>
      <c r="F10" s="6219"/>
    </row>
    <row r="11" spans="1:6" ht="15">
      <c r="F11" s="6219"/>
    </row>
    <row r="12" spans="1:6" ht="15">
      <c r="F12" s="6219"/>
    </row>
    <row r="13" spans="1:6" ht="15">
      <c r="F13" s="6219"/>
    </row>
    <row r="14" spans="1:6" ht="15">
      <c r="F14" s="6219"/>
    </row>
    <row r="15" spans="1:6" ht="15">
      <c r="F15" s="6219"/>
    </row>
    <row r="16" spans="1:6" ht="15">
      <c r="F16" s="6219"/>
    </row>
    <row r="17" spans="6:6" ht="15">
      <c r="F17" s="6219"/>
    </row>
    <row r="18" spans="6:6" ht="15">
      <c r="F18" s="6219"/>
    </row>
  </sheetData>
  <mergeCells count="4">
    <mergeCell ref="A1:E1"/>
    <mergeCell ref="A2:E2"/>
    <mergeCell ref="A5:E5"/>
    <mergeCell ref="A8:E8"/>
  </mergeCells>
  <phoneticPr fontId="214" type="noConversion"/>
  <pageMargins left="0.75" right="0.75" top="1" bottom="1" header="0.5" footer="0.5"/>
  <pageSetup paperSize="9" orientation="landscape" r:id="rId1"/>
  <headerFooter scaleWithDoc="0" alignWithMargins="0"/>
  <drawing r:id="rId2"/>
  <legacyDrawing r:id="rId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50"/>
  <dimension ref="A1:E27"/>
  <sheetViews>
    <sheetView workbookViewId="0">
      <selection sqref="A1:E1"/>
    </sheetView>
  </sheetViews>
  <sheetFormatPr defaultColWidth="9" defaultRowHeight="14.25"/>
  <cols>
    <col min="1" max="1" width="20.625" style="510" customWidth="1"/>
    <col min="2" max="2" width="18.625" style="510" customWidth="1"/>
    <col min="3" max="5" width="13.625" style="951" customWidth="1"/>
    <col min="6" max="16384" width="9" style="510"/>
  </cols>
  <sheetData>
    <row r="1" spans="1:5" ht="36.950000000000003" customHeight="1">
      <c r="A1" s="5994" t="s">
        <v>13</v>
      </c>
      <c r="B1" s="5994"/>
      <c r="C1" s="5994"/>
      <c r="D1" s="5994"/>
      <c r="E1" s="5994"/>
    </row>
    <row r="2" spans="1:5" ht="18.75">
      <c r="A2" s="5995" t="s">
        <v>13745</v>
      </c>
      <c r="B2" s="5995"/>
      <c r="C2" s="5995"/>
      <c r="D2" s="5995"/>
      <c r="E2" s="5995"/>
    </row>
    <row r="3" spans="1:5" ht="18.75">
      <c r="A3" s="952" t="s">
        <v>1931</v>
      </c>
      <c r="B3" s="952" t="s">
        <v>1932</v>
      </c>
      <c r="C3" s="953" t="s">
        <v>13746</v>
      </c>
      <c r="D3" s="953" t="s">
        <v>13747</v>
      </c>
      <c r="E3" s="953" t="s">
        <v>13748</v>
      </c>
    </row>
    <row r="4" spans="1:5" ht="18.75">
      <c r="A4" s="948" t="s">
        <v>13749</v>
      </c>
      <c r="B4" s="954" t="s">
        <v>4654</v>
      </c>
      <c r="C4" s="955">
        <v>81</v>
      </c>
      <c r="D4" s="955">
        <v>21</v>
      </c>
      <c r="E4" s="955">
        <v>19</v>
      </c>
    </row>
    <row r="5" spans="1:5" ht="18.75">
      <c r="A5" s="956" t="s">
        <v>13750</v>
      </c>
      <c r="B5" s="954" t="s">
        <v>4655</v>
      </c>
      <c r="C5" s="955">
        <v>81</v>
      </c>
      <c r="D5" s="955">
        <v>21</v>
      </c>
      <c r="E5" s="955">
        <v>98</v>
      </c>
    </row>
    <row r="6" spans="1:5" ht="18.75">
      <c r="A6" s="956" t="s">
        <v>1855</v>
      </c>
      <c r="B6" s="957" t="s">
        <v>408</v>
      </c>
      <c r="C6" s="955">
        <v>3</v>
      </c>
      <c r="D6" s="958"/>
      <c r="E6" s="958"/>
    </row>
    <row r="7" spans="1:5" ht="18.75">
      <c r="A7" s="959"/>
      <c r="B7" s="957" t="s">
        <v>13751</v>
      </c>
      <c r="C7" s="958">
        <v>3</v>
      </c>
      <c r="D7" s="955">
        <v>1.5</v>
      </c>
      <c r="E7" s="955">
        <v>10</v>
      </c>
    </row>
    <row r="8" spans="1:5" ht="18.75">
      <c r="A8" s="960"/>
      <c r="B8" s="961" t="s">
        <v>13752</v>
      </c>
      <c r="D8" s="962">
        <f>D10/((D4+D5)/2)</f>
        <v>28.84</v>
      </c>
      <c r="E8" s="962">
        <f>E7/COS(E9*3.1415/180)</f>
        <v>10.3527403859229</v>
      </c>
    </row>
    <row r="9" spans="1:5" ht="18.75">
      <c r="A9" s="960" t="s">
        <v>10331</v>
      </c>
      <c r="B9" s="954" t="s">
        <v>13067</v>
      </c>
      <c r="C9" s="958"/>
      <c r="D9" s="962" t="e">
        <f>ACOS(D8)</f>
        <v>#NUM!</v>
      </c>
      <c r="E9" s="955">
        <v>15</v>
      </c>
    </row>
    <row r="10" spans="1:5" ht="18.75">
      <c r="A10" s="948" t="s">
        <v>1873</v>
      </c>
      <c r="B10" s="954" t="s">
        <v>961</v>
      </c>
      <c r="C10" s="963">
        <f>((C4*C6)+(C5*C6))/2</f>
        <v>243</v>
      </c>
      <c r="D10" s="955">
        <v>605.64</v>
      </c>
      <c r="E10" s="955">
        <v>605.64</v>
      </c>
    </row>
    <row r="11" spans="1:5" ht="18.75">
      <c r="A11" s="948" t="s">
        <v>13753</v>
      </c>
      <c r="B11" s="964" t="s">
        <v>13754</v>
      </c>
      <c r="C11" s="962">
        <f>C6*(C4+C5)/2</f>
        <v>243</v>
      </c>
      <c r="D11" s="962">
        <f>(D8*(D4+D5))/2</f>
        <v>605.64</v>
      </c>
      <c r="E11" s="962">
        <f>(E8*(E4+E5))/2</f>
        <v>605.63531257648697</v>
      </c>
    </row>
    <row r="12" spans="1:5" ht="18.75">
      <c r="A12" s="948" t="s">
        <v>2977</v>
      </c>
      <c r="B12" s="964" t="s">
        <v>409</v>
      </c>
      <c r="C12" s="962">
        <f>(C10-C11)/C6</f>
        <v>0</v>
      </c>
      <c r="D12" s="962">
        <f>(D10-D11)/D8</f>
        <v>0</v>
      </c>
      <c r="E12" s="962">
        <f>(E10-E11)/E8</f>
        <v>4.5277127967505599E-4</v>
      </c>
    </row>
    <row r="13" spans="1:5" ht="18.75">
      <c r="A13" s="948" t="s">
        <v>4069</v>
      </c>
      <c r="B13" s="954" t="s">
        <v>964</v>
      </c>
      <c r="C13" s="955">
        <v>20</v>
      </c>
      <c r="D13" s="955">
        <v>20</v>
      </c>
      <c r="E13" s="955">
        <v>20</v>
      </c>
    </row>
    <row r="14" spans="1:5" ht="18.75">
      <c r="A14" s="948" t="s">
        <v>13755</v>
      </c>
      <c r="B14" s="964" t="s">
        <v>13756</v>
      </c>
      <c r="C14" s="962">
        <f>ACOS((C11/C10)*COS(C13*3.1415/180))*180/3.1415</f>
        <v>20</v>
      </c>
      <c r="D14" s="962">
        <f>ACOS((D11/D10)*COS(D13*3.1415/180))*180/3.1415</f>
        <v>20</v>
      </c>
      <c r="E14" s="962">
        <f>ACOS((E11/E10)*COS(E13*3.1415/180))*180/3.1415</f>
        <v>20.001218401544701</v>
      </c>
    </row>
    <row r="15" spans="1:5" ht="18.75">
      <c r="A15" s="948" t="s">
        <v>13757</v>
      </c>
      <c r="B15" s="964" t="s">
        <v>13758</v>
      </c>
      <c r="C15" s="962">
        <f>(C4+C5)*(0.0166056-0.014904)/(2*TAN(C13*3.1415/180))</f>
        <v>0.37869584402156597</v>
      </c>
      <c r="D15" s="962"/>
      <c r="E15" s="962"/>
    </row>
    <row r="16" spans="1:5" ht="18.75">
      <c r="A16" s="948" t="s">
        <v>13759</v>
      </c>
      <c r="B16" s="964" t="s">
        <v>13760</v>
      </c>
      <c r="C16" s="965"/>
      <c r="D16" s="962"/>
      <c r="E16" s="962"/>
    </row>
    <row r="17" spans="1:5" ht="18.75">
      <c r="A17" s="956" t="s">
        <v>13759</v>
      </c>
      <c r="B17" s="964" t="s">
        <v>13761</v>
      </c>
      <c r="C17" s="965"/>
      <c r="D17" s="962"/>
      <c r="E17" s="962"/>
    </row>
    <row r="18" spans="1:5" ht="18.75">
      <c r="A18" s="956" t="s">
        <v>13762</v>
      </c>
      <c r="B18" s="961" t="s">
        <v>13763</v>
      </c>
      <c r="C18" s="962">
        <f>C15-C12</f>
        <v>0.37869584402156597</v>
      </c>
      <c r="D18" s="962"/>
      <c r="E18" s="962"/>
    </row>
    <row r="19" spans="1:5" ht="18.75">
      <c r="A19" s="960"/>
      <c r="B19" s="961" t="s">
        <v>13764</v>
      </c>
      <c r="C19" s="966"/>
      <c r="D19" s="962"/>
      <c r="E19" s="962"/>
    </row>
    <row r="20" spans="1:5" ht="18.75">
      <c r="A20" s="960" t="s">
        <v>13765</v>
      </c>
      <c r="B20" s="964" t="s">
        <v>13766</v>
      </c>
      <c r="C20" s="962">
        <f>C6*C4</f>
        <v>243</v>
      </c>
      <c r="D20" s="962">
        <f>D8*D4</f>
        <v>605.64</v>
      </c>
      <c r="E20" s="962">
        <f>E8*E4</f>
        <v>196.702067332534</v>
      </c>
    </row>
    <row r="21" spans="1:5" ht="18.75">
      <c r="A21" s="948" t="s">
        <v>13767</v>
      </c>
      <c r="B21" s="964" t="s">
        <v>13768</v>
      </c>
      <c r="C21" s="962">
        <f>C6*C5</f>
        <v>243</v>
      </c>
      <c r="D21" s="962">
        <f>D8*D5</f>
        <v>605.64</v>
      </c>
      <c r="E21" s="962">
        <f>E8*E5</f>
        <v>1014.56855782044</v>
      </c>
    </row>
    <row r="22" spans="1:5" ht="18.75">
      <c r="A22" s="948" t="s">
        <v>1860</v>
      </c>
      <c r="B22" s="964" t="s">
        <v>13769</v>
      </c>
      <c r="C22" s="962"/>
      <c r="D22" s="962"/>
      <c r="E22" s="962"/>
    </row>
    <row r="23" spans="1:5" ht="18.75">
      <c r="A23" s="948" t="s">
        <v>1863</v>
      </c>
      <c r="B23" s="964" t="s">
        <v>1158</v>
      </c>
      <c r="C23" s="966"/>
      <c r="D23" s="962"/>
      <c r="E23" s="962"/>
    </row>
    <row r="24" spans="1:5" ht="18.75">
      <c r="A24" s="948" t="s">
        <v>4073</v>
      </c>
      <c r="B24" s="964" t="s">
        <v>1866</v>
      </c>
      <c r="C24" s="966"/>
      <c r="D24" s="962"/>
      <c r="E24" s="962"/>
    </row>
    <row r="25" spans="1:5" ht="18.75">
      <c r="A25" s="948" t="s">
        <v>1134</v>
      </c>
      <c r="B25" s="964" t="s">
        <v>13770</v>
      </c>
      <c r="C25" s="966">
        <f>C20+2*C22</f>
        <v>243</v>
      </c>
      <c r="D25" s="962"/>
      <c r="E25" s="962"/>
    </row>
    <row r="26" spans="1:5" ht="18.75">
      <c r="A26" s="948" t="s">
        <v>1134</v>
      </c>
      <c r="B26" s="964" t="s">
        <v>13771</v>
      </c>
      <c r="C26" s="966">
        <f>C21+2*C22</f>
        <v>243</v>
      </c>
      <c r="D26" s="962"/>
      <c r="E26" s="962"/>
    </row>
    <row r="27" spans="1:5" ht="18.75">
      <c r="A27" s="948" t="s">
        <v>1133</v>
      </c>
      <c r="B27" s="964" t="s">
        <v>13772</v>
      </c>
      <c r="C27" s="966"/>
      <c r="D27" s="962"/>
      <c r="E27" s="962"/>
    </row>
  </sheetData>
  <mergeCells count="2">
    <mergeCell ref="A1:E1"/>
    <mergeCell ref="A2:E2"/>
  </mergeCells>
  <phoneticPr fontId="214" type="noConversion"/>
  <printOptions horizontalCentered="1"/>
  <pageMargins left="0.34930555555555598" right="0.34930555555555598" top="0.78888888888888897" bottom="0.78888888888888897" header="0.50902777777777797" footer="0.50902777777777797"/>
  <pageSetup paperSize="9" orientation="portrait"/>
  <headerFooter scaleWithDoc="0" alignWithMargins="0"/>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51"/>
  <dimension ref="A1:I95"/>
  <sheetViews>
    <sheetView workbookViewId="0">
      <pane ySplit="3" topLeftCell="A4" activePane="bottomLeft" state="frozen"/>
      <selection pane="bottomLeft"/>
    </sheetView>
  </sheetViews>
  <sheetFormatPr defaultColWidth="9" defaultRowHeight="14.25"/>
  <cols>
    <col min="1" max="1" width="9" style="922"/>
    <col min="2" max="2" width="13.125" style="922" customWidth="1"/>
    <col min="3" max="3" width="5.125" style="922" customWidth="1"/>
    <col min="4" max="4" width="6.75" style="922" customWidth="1"/>
    <col min="5" max="5" width="5" style="922" customWidth="1"/>
    <col min="6" max="6" width="19" style="922" customWidth="1"/>
    <col min="7" max="7" width="9" style="939"/>
    <col min="8" max="8" width="19" style="922" customWidth="1"/>
    <col min="9" max="9" width="9" style="939"/>
    <col min="10" max="16384" width="9" style="922"/>
  </cols>
  <sheetData>
    <row r="1" spans="1:9" ht="22.5">
      <c r="B1" s="6018" t="s">
        <v>13773</v>
      </c>
      <c r="C1" s="6018"/>
      <c r="D1" s="6018"/>
      <c r="E1" s="6018"/>
      <c r="F1" s="6018"/>
      <c r="G1" s="6018"/>
      <c r="H1" s="6018"/>
    </row>
    <row r="2" spans="1:9">
      <c r="B2" s="6000" t="s">
        <v>1784</v>
      </c>
      <c r="C2" s="6001"/>
      <c r="D2" s="6002"/>
      <c r="E2" s="4997" t="s">
        <v>1932</v>
      </c>
      <c r="F2" s="4997" t="s">
        <v>13774</v>
      </c>
      <c r="G2" s="4997"/>
      <c r="H2" s="4997"/>
      <c r="I2" s="4997"/>
    </row>
    <row r="3" spans="1:9">
      <c r="B3" s="6003"/>
      <c r="C3" s="6004"/>
      <c r="D3" s="6005"/>
      <c r="E3" s="4997"/>
      <c r="F3" s="924" t="s">
        <v>984</v>
      </c>
      <c r="G3" s="940" t="s">
        <v>251</v>
      </c>
      <c r="H3" s="924"/>
      <c r="I3" s="940"/>
    </row>
    <row r="4" spans="1:9">
      <c r="A4" s="5996" t="s">
        <v>10220</v>
      </c>
      <c r="B4" s="6015" t="s">
        <v>9911</v>
      </c>
      <c r="C4" s="6016"/>
      <c r="D4" s="6017"/>
      <c r="E4" s="924" t="s">
        <v>13775</v>
      </c>
      <c r="F4" s="941"/>
      <c r="G4" s="942">
        <v>24</v>
      </c>
      <c r="H4" s="941"/>
      <c r="I4" s="944"/>
    </row>
    <row r="5" spans="1:9">
      <c r="A5" s="5996"/>
      <c r="B5" s="6015" t="s">
        <v>1855</v>
      </c>
      <c r="C5" s="6016"/>
      <c r="D5" s="6017"/>
      <c r="E5" s="924" t="s">
        <v>235</v>
      </c>
      <c r="F5" s="941"/>
      <c r="G5" s="942">
        <v>1.5</v>
      </c>
      <c r="H5" s="941"/>
      <c r="I5" s="944"/>
    </row>
    <row r="6" spans="1:9">
      <c r="A6" s="5996"/>
      <c r="B6" s="6015" t="s">
        <v>13776</v>
      </c>
      <c r="C6" s="6016"/>
      <c r="D6" s="6017"/>
      <c r="E6" s="924" t="s">
        <v>13777</v>
      </c>
      <c r="F6" s="941" t="s">
        <v>13778</v>
      </c>
      <c r="G6" s="942">
        <v>1</v>
      </c>
      <c r="H6" s="941"/>
      <c r="I6" s="944"/>
    </row>
    <row r="7" spans="1:9">
      <c r="A7" s="5996"/>
      <c r="B7" s="6015" t="s">
        <v>13779</v>
      </c>
      <c r="C7" s="6016"/>
      <c r="D7" s="6017"/>
      <c r="E7" s="924" t="s">
        <v>13780</v>
      </c>
      <c r="F7" s="941" t="s">
        <v>13781</v>
      </c>
      <c r="G7" s="942">
        <v>0.25</v>
      </c>
      <c r="H7" s="941"/>
      <c r="I7" s="944"/>
    </row>
    <row r="8" spans="1:9">
      <c r="A8" s="5996"/>
      <c r="B8" s="6015" t="s">
        <v>1360</v>
      </c>
      <c r="C8" s="6016"/>
      <c r="D8" s="6017"/>
      <c r="E8" s="514" t="s">
        <v>964</v>
      </c>
      <c r="F8" s="941" t="s">
        <v>13782</v>
      </c>
      <c r="G8" s="942">
        <v>20</v>
      </c>
      <c r="H8" s="941"/>
      <c r="I8" s="944"/>
    </row>
    <row r="9" spans="1:9">
      <c r="A9" s="5996"/>
      <c r="B9" s="6006" t="s">
        <v>13783</v>
      </c>
      <c r="C9" s="6007"/>
      <c r="D9" s="6008"/>
      <c r="E9" s="924" t="s">
        <v>3801</v>
      </c>
      <c r="F9" s="941"/>
      <c r="G9" s="940">
        <v>0</v>
      </c>
      <c r="H9" s="941"/>
      <c r="I9" s="950"/>
    </row>
    <row r="10" spans="1:9">
      <c r="A10" s="5996"/>
      <c r="B10" s="5065" t="s">
        <v>13784</v>
      </c>
      <c r="C10" s="5066"/>
      <c r="D10" s="5067"/>
      <c r="E10" s="924" t="s">
        <v>430</v>
      </c>
      <c r="F10" s="943" t="s">
        <v>13785</v>
      </c>
      <c r="G10" s="940">
        <f>3.1415*G12*G11/60</f>
        <v>94.245000000000005</v>
      </c>
      <c r="H10" s="941"/>
      <c r="I10" s="950"/>
    </row>
    <row r="11" spans="1:9">
      <c r="A11" s="5996"/>
      <c r="B11" s="6009" t="s">
        <v>13786</v>
      </c>
      <c r="C11" s="6010"/>
      <c r="D11" s="6011"/>
      <c r="E11" s="924" t="s">
        <v>13787</v>
      </c>
      <c r="F11" s="943"/>
      <c r="G11" s="944">
        <v>50</v>
      </c>
      <c r="H11" s="941"/>
      <c r="I11" s="944"/>
    </row>
    <row r="12" spans="1:9">
      <c r="A12" s="5996"/>
      <c r="B12" s="6012" t="s">
        <v>13788</v>
      </c>
      <c r="C12" s="6013"/>
      <c r="D12" s="6014"/>
      <c r="E12" s="945" t="s">
        <v>411</v>
      </c>
      <c r="F12" s="946" t="s">
        <v>13789</v>
      </c>
      <c r="G12" s="947">
        <f>G5*G4</f>
        <v>36</v>
      </c>
      <c r="H12" s="941"/>
      <c r="I12" s="950"/>
    </row>
    <row r="13" spans="1:9">
      <c r="A13" s="5996"/>
      <c r="B13" s="6000" t="s">
        <v>13790</v>
      </c>
      <c r="C13" s="6001"/>
      <c r="D13" s="6002"/>
      <c r="E13" s="5998" t="s">
        <v>13791</v>
      </c>
      <c r="F13" s="941" t="s">
        <v>13792</v>
      </c>
      <c r="G13" s="940">
        <f>(G6+G9)*G5</f>
        <v>1.5</v>
      </c>
      <c r="H13" s="941"/>
      <c r="I13" s="950"/>
    </row>
    <row r="14" spans="1:9">
      <c r="A14" s="5996"/>
      <c r="B14" s="6003"/>
      <c r="C14" s="6004"/>
      <c r="D14" s="6005"/>
      <c r="E14" s="5999"/>
      <c r="F14" s="941" t="s">
        <v>13793</v>
      </c>
      <c r="G14" s="940">
        <f>G6*G5</f>
        <v>1.5</v>
      </c>
      <c r="H14" s="941"/>
      <c r="I14" s="940"/>
    </row>
    <row r="15" spans="1:9">
      <c r="A15" s="5996"/>
      <c r="B15" s="6000" t="s">
        <v>13794</v>
      </c>
      <c r="C15" s="6001"/>
      <c r="D15" s="6002"/>
      <c r="E15" s="5998" t="s">
        <v>13795</v>
      </c>
      <c r="F15" s="941" t="s">
        <v>13796</v>
      </c>
      <c r="G15" s="940">
        <f>(G6+G7-G9)*G5</f>
        <v>1.875</v>
      </c>
      <c r="H15" s="941"/>
      <c r="I15" s="940"/>
    </row>
    <row r="16" spans="1:9">
      <c r="A16" s="5996"/>
      <c r="B16" s="6003"/>
      <c r="C16" s="6004"/>
      <c r="D16" s="6005"/>
      <c r="E16" s="5999"/>
      <c r="F16" s="941" t="s">
        <v>13797</v>
      </c>
      <c r="G16" s="940">
        <f>(G6+G7)*G5</f>
        <v>1.875</v>
      </c>
      <c r="H16" s="941"/>
      <c r="I16" s="940"/>
    </row>
    <row r="17" spans="1:9">
      <c r="A17" s="5996"/>
      <c r="B17" s="6000" t="s">
        <v>13343</v>
      </c>
      <c r="C17" s="6001"/>
      <c r="D17" s="6002"/>
      <c r="E17" s="5998" t="s">
        <v>1866</v>
      </c>
      <c r="F17" s="941" t="s">
        <v>13798</v>
      </c>
      <c r="G17" s="940">
        <f>G13+G15</f>
        <v>3.375</v>
      </c>
      <c r="H17" s="941"/>
      <c r="I17" s="940"/>
    </row>
    <row r="18" spans="1:9">
      <c r="A18" s="5996"/>
      <c r="B18" s="6003"/>
      <c r="C18" s="6004"/>
      <c r="D18" s="6005"/>
      <c r="E18" s="5999"/>
      <c r="F18" s="941" t="s">
        <v>13799</v>
      </c>
      <c r="G18" s="940">
        <f>G14+G16</f>
        <v>3.375</v>
      </c>
      <c r="H18" s="941"/>
      <c r="I18" s="940"/>
    </row>
    <row r="19" spans="1:9">
      <c r="A19" s="5996"/>
      <c r="B19" s="6012" t="s">
        <v>13800</v>
      </c>
      <c r="C19" s="6013"/>
      <c r="D19" s="6014"/>
      <c r="E19" s="945" t="s">
        <v>13801</v>
      </c>
      <c r="F19" s="946" t="s">
        <v>13802</v>
      </c>
      <c r="G19" s="947">
        <f>G12+2*G13</f>
        <v>39</v>
      </c>
      <c r="H19" s="924"/>
      <c r="I19" s="940"/>
    </row>
    <row r="20" spans="1:9">
      <c r="A20" s="5996"/>
      <c r="B20" s="6006" t="s">
        <v>13803</v>
      </c>
      <c r="C20" s="6007"/>
      <c r="D20" s="6008"/>
      <c r="E20" s="924" t="s">
        <v>13804</v>
      </c>
      <c r="F20" s="941" t="s">
        <v>13805</v>
      </c>
      <c r="G20" s="940">
        <f>G12-2*G15</f>
        <v>32.25</v>
      </c>
      <c r="H20" s="924"/>
      <c r="I20" s="940"/>
    </row>
    <row r="21" spans="1:9">
      <c r="A21" s="5996"/>
      <c r="B21" s="6006" t="s">
        <v>13806</v>
      </c>
      <c r="C21" s="6007"/>
      <c r="D21" s="6008"/>
      <c r="E21" s="924" t="s">
        <v>445</v>
      </c>
      <c r="F21" s="941" t="s">
        <v>13807</v>
      </c>
      <c r="G21" s="940">
        <f>3.1415*G5</f>
        <v>4.71225</v>
      </c>
      <c r="H21" s="924"/>
      <c r="I21" s="940"/>
    </row>
    <row r="22" spans="1:9" ht="28.5" customHeight="1">
      <c r="A22" s="5996"/>
      <c r="B22" s="5065" t="s">
        <v>13808</v>
      </c>
      <c r="C22" s="5066"/>
      <c r="D22" s="5067"/>
      <c r="E22" s="924" t="s">
        <v>487</v>
      </c>
      <c r="F22" s="941" t="s">
        <v>13809</v>
      </c>
      <c r="G22" s="940">
        <f>G12/2+G9*G5</f>
        <v>18</v>
      </c>
      <c r="H22" s="924"/>
      <c r="I22" s="940"/>
    </row>
    <row r="23" spans="1:9">
      <c r="A23" s="5996"/>
      <c r="B23" s="6006" t="s">
        <v>13810</v>
      </c>
      <c r="C23" s="6007"/>
      <c r="D23" s="6008"/>
      <c r="E23" s="924" t="s">
        <v>13811</v>
      </c>
      <c r="F23" s="941" t="s">
        <v>13812</v>
      </c>
      <c r="G23" s="940">
        <f>G12*COS(G8)</f>
        <v>14.6909542252821</v>
      </c>
      <c r="H23" s="924"/>
      <c r="I23" s="940"/>
    </row>
    <row r="24" spans="1:9" ht="18.75">
      <c r="B24" s="6006" t="s">
        <v>13813</v>
      </c>
      <c r="C24" s="6007"/>
      <c r="D24" s="6008"/>
      <c r="E24" s="790" t="s">
        <v>13814</v>
      </c>
      <c r="F24" s="948" t="s">
        <v>13815</v>
      </c>
      <c r="G24" s="940">
        <f>DEGREES(ACOS(G23/G19))</f>
        <v>67.871126130091099</v>
      </c>
      <c r="H24" s="924"/>
      <c r="I24" s="940"/>
    </row>
    <row r="25" spans="1:9" ht="30" customHeight="1">
      <c r="B25" s="4996" t="s">
        <v>13816</v>
      </c>
      <c r="C25" s="5997" t="s">
        <v>3067</v>
      </c>
      <c r="D25" s="941" t="s">
        <v>13817</v>
      </c>
      <c r="E25" s="924"/>
      <c r="F25" s="941"/>
      <c r="G25" s="940"/>
      <c r="H25" s="924"/>
      <c r="I25" s="940"/>
    </row>
    <row r="26" spans="1:9" ht="23.25" customHeight="1">
      <c r="B26" s="4996"/>
      <c r="C26" s="5997"/>
      <c r="D26" s="4996" t="s">
        <v>13818</v>
      </c>
      <c r="E26" s="924"/>
      <c r="F26" s="941"/>
      <c r="G26" s="940"/>
      <c r="H26" s="924"/>
      <c r="I26" s="940"/>
    </row>
    <row r="27" spans="1:9" ht="22.5" customHeight="1">
      <c r="B27" s="4996"/>
      <c r="C27" s="5997"/>
      <c r="D27" s="4996"/>
      <c r="E27" s="924"/>
      <c r="F27" s="941"/>
      <c r="G27" s="940"/>
      <c r="H27" s="924"/>
      <c r="I27" s="940"/>
    </row>
    <row r="28" spans="1:9">
      <c r="B28" s="4996"/>
      <c r="C28" s="4997" t="s">
        <v>3070</v>
      </c>
      <c r="D28" s="4997"/>
      <c r="E28" s="924"/>
      <c r="F28" s="941"/>
      <c r="G28" s="940"/>
      <c r="H28" s="924"/>
      <c r="I28" s="940"/>
    </row>
    <row r="29" spans="1:9">
      <c r="B29" s="4996"/>
      <c r="C29" s="4997" t="s">
        <v>3073</v>
      </c>
      <c r="D29" s="4997"/>
      <c r="E29" s="924"/>
      <c r="F29" s="924"/>
      <c r="G29" s="940"/>
      <c r="H29" s="924"/>
      <c r="I29" s="940"/>
    </row>
    <row r="30" spans="1:9">
      <c r="B30" s="949"/>
      <c r="C30" s="949"/>
      <c r="D30" s="949"/>
    </row>
    <row r="31" spans="1:9">
      <c r="B31" s="949"/>
      <c r="C31" s="949"/>
      <c r="D31" s="949"/>
    </row>
    <row r="32" spans="1:9">
      <c r="B32" s="949"/>
      <c r="C32" s="949"/>
      <c r="D32" s="949"/>
    </row>
    <row r="33" spans="2:4">
      <c r="B33" s="949"/>
      <c r="C33" s="949"/>
      <c r="D33" s="949"/>
    </row>
    <row r="34" spans="2:4">
      <c r="B34" s="949"/>
      <c r="C34" s="949"/>
      <c r="D34" s="949"/>
    </row>
    <row r="35" spans="2:4">
      <c r="B35" s="949"/>
      <c r="C35" s="949"/>
      <c r="D35" s="949"/>
    </row>
    <row r="36" spans="2:4">
      <c r="B36" s="949"/>
      <c r="C36" s="949"/>
      <c r="D36" s="949"/>
    </row>
    <row r="37" spans="2:4">
      <c r="B37" s="949"/>
      <c r="C37" s="949"/>
      <c r="D37" s="949"/>
    </row>
    <row r="38" spans="2:4">
      <c r="B38" s="949"/>
      <c r="C38" s="949"/>
      <c r="D38" s="949"/>
    </row>
    <row r="39" spans="2:4">
      <c r="B39" s="949"/>
      <c r="C39" s="949"/>
      <c r="D39" s="949"/>
    </row>
    <row r="40" spans="2:4">
      <c r="B40" s="949"/>
      <c r="C40" s="949"/>
      <c r="D40" s="949"/>
    </row>
    <row r="41" spans="2:4">
      <c r="B41" s="949"/>
      <c r="C41" s="949"/>
      <c r="D41" s="949"/>
    </row>
    <row r="42" spans="2:4">
      <c r="B42" s="949"/>
      <c r="C42" s="949"/>
      <c r="D42" s="949"/>
    </row>
    <row r="43" spans="2:4">
      <c r="B43" s="949"/>
      <c r="C43" s="949"/>
      <c r="D43" s="949"/>
    </row>
    <row r="44" spans="2:4">
      <c r="B44" s="949"/>
      <c r="C44" s="949"/>
      <c r="D44" s="949"/>
    </row>
    <row r="45" spans="2:4">
      <c r="B45" s="949"/>
      <c r="C45" s="949"/>
      <c r="D45" s="949"/>
    </row>
    <row r="46" spans="2:4">
      <c r="B46" s="949"/>
      <c r="C46" s="949"/>
      <c r="D46" s="949"/>
    </row>
    <row r="47" spans="2:4">
      <c r="B47" s="949"/>
      <c r="C47" s="949"/>
      <c r="D47" s="949"/>
    </row>
    <row r="48" spans="2:4">
      <c r="B48" s="949"/>
      <c r="C48" s="949"/>
      <c r="D48" s="949"/>
    </row>
    <row r="49" spans="2:4">
      <c r="B49" s="949"/>
      <c r="C49" s="949"/>
      <c r="D49" s="949"/>
    </row>
    <row r="50" spans="2:4">
      <c r="B50" s="949"/>
      <c r="C50" s="949"/>
      <c r="D50" s="949"/>
    </row>
    <row r="51" spans="2:4">
      <c r="B51" s="949"/>
      <c r="C51" s="949"/>
      <c r="D51" s="949"/>
    </row>
    <row r="52" spans="2:4">
      <c r="B52" s="949"/>
      <c r="C52" s="949"/>
      <c r="D52" s="949"/>
    </row>
    <row r="53" spans="2:4">
      <c r="B53" s="949"/>
      <c r="C53" s="949"/>
      <c r="D53" s="949"/>
    </row>
    <row r="54" spans="2:4">
      <c r="B54" s="949"/>
      <c r="C54" s="949"/>
      <c r="D54" s="949"/>
    </row>
    <row r="55" spans="2:4">
      <c r="B55" s="949"/>
      <c r="C55" s="949"/>
      <c r="D55" s="949"/>
    </row>
    <row r="56" spans="2:4">
      <c r="B56" s="949"/>
      <c r="C56" s="949"/>
      <c r="D56" s="949"/>
    </row>
    <row r="57" spans="2:4">
      <c r="B57" s="949"/>
      <c r="C57" s="949"/>
      <c r="D57" s="949"/>
    </row>
    <row r="58" spans="2:4">
      <c r="B58" s="949"/>
      <c r="C58" s="949"/>
      <c r="D58" s="949"/>
    </row>
    <row r="59" spans="2:4">
      <c r="B59" s="949"/>
      <c r="C59" s="949"/>
      <c r="D59" s="949"/>
    </row>
    <row r="60" spans="2:4">
      <c r="B60" s="949"/>
      <c r="C60" s="949"/>
      <c r="D60" s="949"/>
    </row>
    <row r="61" spans="2:4">
      <c r="B61" s="949"/>
      <c r="C61" s="949"/>
      <c r="D61" s="949"/>
    </row>
    <row r="62" spans="2:4">
      <c r="B62" s="949"/>
      <c r="C62" s="949"/>
      <c r="D62" s="949"/>
    </row>
    <row r="63" spans="2:4">
      <c r="B63" s="949"/>
      <c r="C63" s="949"/>
      <c r="D63" s="949"/>
    </row>
    <row r="64" spans="2:4">
      <c r="B64" s="949"/>
      <c r="C64" s="949"/>
      <c r="D64" s="949"/>
    </row>
    <row r="65" spans="2:4">
      <c r="B65" s="949"/>
      <c r="C65" s="949"/>
      <c r="D65" s="949"/>
    </row>
    <row r="66" spans="2:4">
      <c r="B66" s="949"/>
      <c r="C66" s="949"/>
      <c r="D66" s="949"/>
    </row>
    <row r="67" spans="2:4">
      <c r="B67" s="949"/>
      <c r="C67" s="949"/>
      <c r="D67" s="949"/>
    </row>
    <row r="68" spans="2:4">
      <c r="B68" s="949"/>
      <c r="C68" s="949"/>
      <c r="D68" s="949"/>
    </row>
    <row r="69" spans="2:4">
      <c r="B69" s="949"/>
      <c r="C69" s="949"/>
      <c r="D69" s="949"/>
    </row>
    <row r="70" spans="2:4">
      <c r="B70" s="949"/>
      <c r="C70" s="949"/>
      <c r="D70" s="949"/>
    </row>
    <row r="71" spans="2:4">
      <c r="B71" s="949"/>
      <c r="C71" s="949"/>
      <c r="D71" s="949"/>
    </row>
    <row r="72" spans="2:4">
      <c r="B72" s="949"/>
      <c r="C72" s="949"/>
      <c r="D72" s="949"/>
    </row>
    <row r="73" spans="2:4">
      <c r="B73" s="949"/>
      <c r="C73" s="949"/>
      <c r="D73" s="949"/>
    </row>
    <row r="74" spans="2:4">
      <c r="B74" s="949"/>
      <c r="C74" s="949"/>
      <c r="D74" s="949"/>
    </row>
    <row r="75" spans="2:4">
      <c r="B75" s="949"/>
      <c r="C75" s="949"/>
      <c r="D75" s="949"/>
    </row>
    <row r="76" spans="2:4">
      <c r="B76" s="949"/>
      <c r="C76" s="949"/>
      <c r="D76" s="949"/>
    </row>
    <row r="77" spans="2:4">
      <c r="B77" s="949"/>
      <c r="C77" s="949"/>
      <c r="D77" s="949"/>
    </row>
    <row r="78" spans="2:4">
      <c r="B78" s="949"/>
      <c r="C78" s="949"/>
      <c r="D78" s="949"/>
    </row>
    <row r="79" spans="2:4">
      <c r="B79" s="949"/>
      <c r="C79" s="949"/>
      <c r="D79" s="949"/>
    </row>
    <row r="80" spans="2:4">
      <c r="B80" s="949"/>
      <c r="C80" s="949"/>
      <c r="D80" s="949"/>
    </row>
    <row r="81" spans="2:4">
      <c r="B81" s="949"/>
      <c r="C81" s="949"/>
      <c r="D81" s="949"/>
    </row>
    <row r="82" spans="2:4">
      <c r="B82" s="949"/>
      <c r="C82" s="949"/>
      <c r="D82" s="949"/>
    </row>
    <row r="83" spans="2:4">
      <c r="B83" s="949"/>
      <c r="C83" s="949"/>
      <c r="D83" s="949"/>
    </row>
    <row r="84" spans="2:4">
      <c r="B84" s="949"/>
      <c r="C84" s="949"/>
      <c r="D84" s="949"/>
    </row>
    <row r="85" spans="2:4">
      <c r="B85" s="949"/>
      <c r="C85" s="949"/>
      <c r="D85" s="949"/>
    </row>
    <row r="86" spans="2:4">
      <c r="B86" s="949"/>
      <c r="C86" s="949"/>
      <c r="D86" s="949"/>
    </row>
    <row r="87" spans="2:4">
      <c r="B87" s="949"/>
      <c r="C87" s="949"/>
      <c r="D87" s="949"/>
    </row>
    <row r="88" spans="2:4">
      <c r="B88" s="949"/>
      <c r="C88" s="949"/>
      <c r="D88" s="949"/>
    </row>
    <row r="89" spans="2:4">
      <c r="B89" s="949"/>
      <c r="C89" s="949"/>
      <c r="D89" s="949"/>
    </row>
    <row r="90" spans="2:4">
      <c r="B90" s="949"/>
      <c r="C90" s="949"/>
      <c r="D90" s="949"/>
    </row>
    <row r="91" spans="2:4">
      <c r="B91" s="949"/>
      <c r="C91" s="949"/>
      <c r="D91" s="949"/>
    </row>
    <row r="92" spans="2:4">
      <c r="B92" s="949"/>
      <c r="C92" s="949"/>
      <c r="D92" s="949"/>
    </row>
    <row r="93" spans="2:4">
      <c r="B93" s="949"/>
      <c r="C93" s="949"/>
      <c r="D93" s="949"/>
    </row>
    <row r="94" spans="2:4">
      <c r="B94" s="949"/>
      <c r="C94" s="949"/>
      <c r="D94" s="949"/>
    </row>
    <row r="95" spans="2:4">
      <c r="B95" s="949"/>
      <c r="C95" s="949"/>
      <c r="D95" s="949"/>
    </row>
  </sheetData>
  <mergeCells count="32">
    <mergeCell ref="B1:H1"/>
    <mergeCell ref="F2:G2"/>
    <mergeCell ref="H2:I2"/>
    <mergeCell ref="B4:D4"/>
    <mergeCell ref="B5:D5"/>
    <mergeCell ref="B6:D6"/>
    <mergeCell ref="B7:D7"/>
    <mergeCell ref="B8:D8"/>
    <mergeCell ref="B9:D9"/>
    <mergeCell ref="B10:D10"/>
    <mergeCell ref="C29:D29"/>
    <mergeCell ref="B11:D11"/>
    <mergeCell ref="B12:D12"/>
    <mergeCell ref="B19:D19"/>
    <mergeCell ref="B20:D20"/>
    <mergeCell ref="B21:D21"/>
    <mergeCell ref="A4:A23"/>
    <mergeCell ref="B25:B29"/>
    <mergeCell ref="C25:C27"/>
    <mergeCell ref="D26:D27"/>
    <mergeCell ref="E2:E3"/>
    <mergeCell ref="E13:E14"/>
    <mergeCell ref="E15:E16"/>
    <mergeCell ref="E17:E18"/>
    <mergeCell ref="B2:D3"/>
    <mergeCell ref="B13:D14"/>
    <mergeCell ref="B15:D16"/>
    <mergeCell ref="B17:D18"/>
    <mergeCell ref="B22:D22"/>
    <mergeCell ref="B23:D23"/>
    <mergeCell ref="B24:D24"/>
    <mergeCell ref="C28:D28"/>
  </mergeCells>
  <phoneticPr fontId="214" type="noConversion"/>
  <printOptions horizontalCentered="1"/>
  <pageMargins left="0.34930555555555598" right="0.34930555555555598" top="0.97916666666666696" bottom="0.97916666666666696" header="0.50902777777777797" footer="0.50902777777777797"/>
  <pageSetup paperSize="9" orientation="portrait"/>
  <headerFooter scaleWithDoc="0" alignWithMargins="0"/>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52"/>
  <dimension ref="A1:I93"/>
  <sheetViews>
    <sheetView workbookViewId="0">
      <selection sqref="A1:H1"/>
    </sheetView>
  </sheetViews>
  <sheetFormatPr defaultColWidth="9" defaultRowHeight="14.25"/>
  <cols>
    <col min="1" max="1" width="11.125" style="510" customWidth="1"/>
    <col min="2" max="2" width="16.5" style="510" customWidth="1"/>
    <col min="3" max="4" width="10.5" style="510"/>
    <col min="5" max="5" width="11.125" style="510"/>
    <col min="6" max="6" width="11.375" style="510"/>
    <col min="7" max="7" width="9.125" style="510" customWidth="1"/>
    <col min="8" max="8" width="7" style="510" customWidth="1"/>
    <col min="9" max="16384" width="9" style="510"/>
  </cols>
  <sheetData>
    <row r="1" spans="1:8" ht="22.5">
      <c r="A1" s="6030" t="s">
        <v>27</v>
      </c>
      <c r="B1" s="6030"/>
      <c r="C1" s="6030"/>
      <c r="D1" s="6030"/>
      <c r="E1" s="6030"/>
      <c r="F1" s="6030"/>
      <c r="G1" s="6030"/>
      <c r="H1" s="6030"/>
    </row>
    <row r="3" spans="1:8">
      <c r="A3" s="6019" t="s">
        <v>13819</v>
      </c>
      <c r="B3" s="6019" t="s">
        <v>13820</v>
      </c>
      <c r="C3" s="6019" t="s">
        <v>13821</v>
      </c>
      <c r="D3" s="6019"/>
      <c r="E3" s="6019" t="s">
        <v>159</v>
      </c>
      <c r="F3" s="6019"/>
      <c r="G3" s="6019" t="s">
        <v>13822</v>
      </c>
      <c r="H3" s="6019"/>
    </row>
    <row r="4" spans="1:8">
      <c r="A4" s="6020"/>
      <c r="B4" s="6020"/>
      <c r="C4" s="678" t="s">
        <v>13823</v>
      </c>
      <c r="D4" s="678" t="s">
        <v>13824</v>
      </c>
      <c r="E4" s="678" t="s">
        <v>13825</v>
      </c>
      <c r="F4" s="678" t="s">
        <v>13826</v>
      </c>
      <c r="G4" s="678" t="s">
        <v>13827</v>
      </c>
      <c r="H4" s="678" t="s">
        <v>13828</v>
      </c>
    </row>
    <row r="5" spans="1:8">
      <c r="A5" s="6023" t="s">
        <v>13829</v>
      </c>
      <c r="B5" s="6024"/>
      <c r="C5" s="6024"/>
      <c r="D5" s="6024"/>
      <c r="E5" s="6024"/>
      <c r="F5" s="6024"/>
      <c r="G5" s="6024"/>
      <c r="H5" s="6025"/>
    </row>
    <row r="6" spans="1:8">
      <c r="A6" s="6020">
        <v>45</v>
      </c>
      <c r="B6" s="6020" t="s">
        <v>13830</v>
      </c>
      <c r="C6" s="679" t="s">
        <v>13831</v>
      </c>
      <c r="D6" s="679" t="s">
        <v>13832</v>
      </c>
      <c r="E6" s="679">
        <v>588</v>
      </c>
      <c r="F6" s="679">
        <v>294</v>
      </c>
      <c r="G6" s="680" t="s">
        <v>13833</v>
      </c>
      <c r="H6" s="6020"/>
    </row>
    <row r="7" spans="1:8">
      <c r="A7" s="6021"/>
      <c r="B7" s="6021"/>
      <c r="C7" s="680" t="s">
        <v>13834</v>
      </c>
      <c r="D7" s="680" t="s">
        <v>13835</v>
      </c>
      <c r="E7" s="680">
        <v>569</v>
      </c>
      <c r="F7" s="680">
        <v>284</v>
      </c>
      <c r="G7" s="680" t="s">
        <v>13836</v>
      </c>
      <c r="H7" s="6021"/>
    </row>
    <row r="8" spans="1:8">
      <c r="A8" s="6021"/>
      <c r="B8" s="6021"/>
      <c r="C8" s="680" t="s">
        <v>13837</v>
      </c>
      <c r="D8" s="680" t="s">
        <v>13838</v>
      </c>
      <c r="E8" s="680">
        <v>549</v>
      </c>
      <c r="F8" s="680">
        <v>275</v>
      </c>
      <c r="G8" s="680" t="s">
        <v>13836</v>
      </c>
      <c r="H8" s="6021"/>
    </row>
    <row r="9" spans="1:8">
      <c r="A9" s="6021"/>
      <c r="B9" s="6022"/>
      <c r="C9" s="680" t="s">
        <v>13839</v>
      </c>
      <c r="D9" s="680" t="s">
        <v>13840</v>
      </c>
      <c r="E9" s="680">
        <v>530</v>
      </c>
      <c r="F9" s="680">
        <v>265</v>
      </c>
      <c r="G9" s="680" t="s">
        <v>13841</v>
      </c>
      <c r="H9" s="6021"/>
    </row>
    <row r="10" spans="1:8">
      <c r="A10" s="6021"/>
      <c r="B10" s="6020" t="s">
        <v>13842</v>
      </c>
      <c r="C10" s="679" t="s">
        <v>13831</v>
      </c>
      <c r="D10" s="679" t="s">
        <v>13832</v>
      </c>
      <c r="E10" s="680">
        <v>647</v>
      </c>
      <c r="F10" s="680">
        <v>373</v>
      </c>
      <c r="G10" s="680" t="s">
        <v>13843</v>
      </c>
      <c r="H10" s="6021"/>
    </row>
    <row r="11" spans="1:8">
      <c r="A11" s="6021"/>
      <c r="B11" s="6021"/>
      <c r="C11" s="680" t="s">
        <v>13834</v>
      </c>
      <c r="D11" s="680" t="s">
        <v>13835</v>
      </c>
      <c r="E11" s="680">
        <v>628</v>
      </c>
      <c r="F11" s="680">
        <v>343</v>
      </c>
      <c r="G11" s="680" t="s">
        <v>13844</v>
      </c>
      <c r="H11" s="6021"/>
    </row>
    <row r="12" spans="1:8">
      <c r="A12" s="6021"/>
      <c r="B12" s="6022"/>
      <c r="C12" s="680" t="s">
        <v>13837</v>
      </c>
      <c r="D12" s="680" t="s">
        <v>13838</v>
      </c>
      <c r="E12" s="680">
        <v>608</v>
      </c>
      <c r="F12" s="680">
        <v>314</v>
      </c>
      <c r="G12" s="680" t="s">
        <v>13845</v>
      </c>
      <c r="H12" s="6022"/>
    </row>
    <row r="13" spans="1:8">
      <c r="A13" s="6022"/>
      <c r="B13" s="514" t="s">
        <v>13846</v>
      </c>
      <c r="C13" s="6026"/>
      <c r="D13" s="6027"/>
      <c r="E13" s="6027"/>
      <c r="F13" s="6027"/>
      <c r="G13" s="6028"/>
      <c r="H13" s="680" t="s">
        <v>13847</v>
      </c>
    </row>
    <row r="14" spans="1:8">
      <c r="A14" s="6020" t="s">
        <v>3511</v>
      </c>
      <c r="B14" s="6020" t="s">
        <v>13842</v>
      </c>
      <c r="C14" s="679" t="s">
        <v>13831</v>
      </c>
      <c r="D14" s="679" t="s">
        <v>13832</v>
      </c>
      <c r="E14" s="680">
        <v>785</v>
      </c>
      <c r="F14" s="680">
        <v>510</v>
      </c>
      <c r="G14" s="680" t="s">
        <v>13843</v>
      </c>
      <c r="H14" s="6020"/>
    </row>
    <row r="15" spans="1:8">
      <c r="A15" s="6021"/>
      <c r="B15" s="6021"/>
      <c r="C15" s="680" t="s">
        <v>13834</v>
      </c>
      <c r="D15" s="680" t="s">
        <v>13835</v>
      </c>
      <c r="E15" s="680">
        <v>735</v>
      </c>
      <c r="F15" s="680">
        <v>441</v>
      </c>
      <c r="G15" s="680" t="s">
        <v>13848</v>
      </c>
      <c r="H15" s="6021"/>
    </row>
    <row r="16" spans="1:8">
      <c r="A16" s="6021"/>
      <c r="B16" s="6021"/>
      <c r="C16" s="680" t="s">
        <v>13849</v>
      </c>
      <c r="D16" s="680" t="s">
        <v>13850</v>
      </c>
      <c r="E16" s="680">
        <v>686</v>
      </c>
      <c r="F16" s="680">
        <v>392</v>
      </c>
      <c r="G16" s="680" t="s">
        <v>13844</v>
      </c>
      <c r="H16" s="6021"/>
    </row>
    <row r="17" spans="1:8">
      <c r="A17" s="6021"/>
      <c r="B17" s="6022"/>
      <c r="C17" s="680" t="s">
        <v>13851</v>
      </c>
      <c r="D17" s="680" t="s">
        <v>13852</v>
      </c>
      <c r="E17" s="680">
        <v>637</v>
      </c>
      <c r="F17" s="680">
        <v>373</v>
      </c>
      <c r="G17" s="680" t="s">
        <v>13853</v>
      </c>
      <c r="H17" s="6022"/>
    </row>
    <row r="18" spans="1:8">
      <c r="A18" s="6022"/>
      <c r="B18" s="514" t="s">
        <v>13846</v>
      </c>
      <c r="C18" s="6026"/>
      <c r="D18" s="6027"/>
      <c r="E18" s="6027"/>
      <c r="F18" s="6027"/>
      <c r="G18" s="6028"/>
      <c r="H18" s="680" t="s">
        <v>13854</v>
      </c>
    </row>
    <row r="19" spans="1:8">
      <c r="A19" s="6020" t="s">
        <v>3515</v>
      </c>
      <c r="B19" s="6020" t="s">
        <v>13842</v>
      </c>
      <c r="C19" s="679" t="s">
        <v>13831</v>
      </c>
      <c r="D19" s="679" t="s">
        <v>13832</v>
      </c>
      <c r="E19" s="680">
        <v>785</v>
      </c>
      <c r="F19" s="680">
        <v>510</v>
      </c>
      <c r="G19" s="680" t="s">
        <v>13843</v>
      </c>
      <c r="H19" s="6020"/>
    </row>
    <row r="20" spans="1:8">
      <c r="A20" s="6021"/>
      <c r="B20" s="6021"/>
      <c r="C20" s="680" t="s">
        <v>13855</v>
      </c>
      <c r="D20" s="680" t="s">
        <v>13856</v>
      </c>
      <c r="E20" s="680">
        <v>735</v>
      </c>
      <c r="F20" s="680">
        <v>461</v>
      </c>
      <c r="G20" s="680" t="s">
        <v>13848</v>
      </c>
      <c r="H20" s="6021"/>
    </row>
    <row r="21" spans="1:8">
      <c r="A21" s="6021"/>
      <c r="B21" s="6021"/>
      <c r="C21" s="680" t="s">
        <v>13857</v>
      </c>
      <c r="D21" s="680" t="s">
        <v>13858</v>
      </c>
      <c r="E21" s="680">
        <v>686</v>
      </c>
      <c r="F21" s="680">
        <v>441</v>
      </c>
      <c r="G21" s="680" t="s">
        <v>13844</v>
      </c>
      <c r="H21" s="6021"/>
    </row>
    <row r="22" spans="1:8">
      <c r="A22" s="6021"/>
      <c r="B22" s="6022"/>
      <c r="C22" s="680" t="s">
        <v>13837</v>
      </c>
      <c r="D22" s="680" t="s">
        <v>13838</v>
      </c>
      <c r="E22" s="680">
        <v>637</v>
      </c>
      <c r="F22" s="680">
        <v>373</v>
      </c>
      <c r="G22" s="680" t="s">
        <v>13853</v>
      </c>
      <c r="H22" s="6022"/>
    </row>
    <row r="23" spans="1:8">
      <c r="A23" s="6022"/>
      <c r="B23" s="514" t="s">
        <v>13846</v>
      </c>
      <c r="C23" s="6026"/>
      <c r="D23" s="6027"/>
      <c r="E23" s="6027"/>
      <c r="F23" s="6027"/>
      <c r="G23" s="6028"/>
      <c r="H23" s="680" t="s">
        <v>13854</v>
      </c>
    </row>
    <row r="24" spans="1:8">
      <c r="A24" s="6020" t="s">
        <v>13859</v>
      </c>
      <c r="B24" s="6020" t="s">
        <v>13842</v>
      </c>
      <c r="C24" s="679" t="s">
        <v>13831</v>
      </c>
      <c r="D24" s="679" t="s">
        <v>13832</v>
      </c>
      <c r="E24" s="680">
        <v>834</v>
      </c>
      <c r="F24" s="680">
        <v>539</v>
      </c>
      <c r="G24" s="680" t="s">
        <v>13843</v>
      </c>
      <c r="H24" s="6020"/>
    </row>
    <row r="25" spans="1:8">
      <c r="A25" s="6021"/>
      <c r="B25" s="6021"/>
      <c r="C25" s="680" t="s">
        <v>13855</v>
      </c>
      <c r="D25" s="680" t="s">
        <v>13856</v>
      </c>
      <c r="E25" s="680">
        <v>735</v>
      </c>
      <c r="F25" s="680">
        <v>490</v>
      </c>
      <c r="G25" s="680" t="s">
        <v>13848</v>
      </c>
      <c r="H25" s="6021"/>
    </row>
    <row r="26" spans="1:8">
      <c r="A26" s="6021"/>
      <c r="B26" s="6022"/>
      <c r="C26" s="680" t="s">
        <v>13857</v>
      </c>
      <c r="D26" s="680" t="s">
        <v>13858</v>
      </c>
      <c r="E26" s="680">
        <v>686</v>
      </c>
      <c r="F26" s="680">
        <v>441</v>
      </c>
      <c r="G26" s="680" t="s">
        <v>13860</v>
      </c>
      <c r="H26" s="6022"/>
    </row>
    <row r="27" spans="1:8">
      <c r="A27" s="6022"/>
      <c r="B27" s="514" t="s">
        <v>13846</v>
      </c>
      <c r="C27" s="6026"/>
      <c r="D27" s="6027"/>
      <c r="E27" s="6027"/>
      <c r="F27" s="6027"/>
      <c r="G27" s="6028"/>
      <c r="H27" s="680" t="s">
        <v>13861</v>
      </c>
    </row>
    <row r="28" spans="1:8">
      <c r="A28" s="6020" t="s">
        <v>3521</v>
      </c>
      <c r="B28" s="6020" t="s">
        <v>13842</v>
      </c>
      <c r="C28" s="679" t="s">
        <v>13862</v>
      </c>
      <c r="D28" s="679" t="s">
        <v>13831</v>
      </c>
      <c r="E28" s="680">
        <v>735</v>
      </c>
      <c r="F28" s="680">
        <v>490</v>
      </c>
      <c r="G28" s="680" t="s">
        <v>13863</v>
      </c>
      <c r="H28" s="6020"/>
    </row>
    <row r="29" spans="1:8">
      <c r="A29" s="6021"/>
      <c r="B29" s="6022"/>
      <c r="C29" s="680" t="s">
        <v>13857</v>
      </c>
      <c r="D29" s="680" t="s">
        <v>13858</v>
      </c>
      <c r="E29" s="680">
        <v>686</v>
      </c>
      <c r="F29" s="680">
        <v>441</v>
      </c>
      <c r="G29" s="680" t="s">
        <v>13863</v>
      </c>
      <c r="H29" s="6022"/>
    </row>
    <row r="30" spans="1:8">
      <c r="A30" s="6022"/>
      <c r="B30" s="514" t="s">
        <v>13846</v>
      </c>
      <c r="C30" s="6026"/>
      <c r="D30" s="6027"/>
      <c r="E30" s="6027"/>
      <c r="F30" s="6027"/>
      <c r="G30" s="6028"/>
      <c r="H30" s="680" t="s">
        <v>13854</v>
      </c>
    </row>
    <row r="31" spans="1:8">
      <c r="A31" s="6020" t="s">
        <v>13864</v>
      </c>
      <c r="B31" s="6020" t="s">
        <v>13842</v>
      </c>
      <c r="C31" s="679" t="s">
        <v>13831</v>
      </c>
      <c r="D31" s="679" t="s">
        <v>13832</v>
      </c>
      <c r="E31" s="680">
        <v>735</v>
      </c>
      <c r="F31" s="680">
        <v>588</v>
      </c>
      <c r="G31" s="680" t="s">
        <v>13843</v>
      </c>
      <c r="H31" s="6020"/>
    </row>
    <row r="32" spans="1:8">
      <c r="A32" s="6021"/>
      <c r="B32" s="6021"/>
      <c r="C32" s="680" t="s">
        <v>13834</v>
      </c>
      <c r="D32" s="680" t="s">
        <v>13835</v>
      </c>
      <c r="E32" s="680">
        <v>686</v>
      </c>
      <c r="F32" s="680">
        <v>539</v>
      </c>
      <c r="G32" s="680" t="s">
        <v>13848</v>
      </c>
      <c r="H32" s="6021"/>
    </row>
    <row r="33" spans="1:8">
      <c r="A33" s="6021"/>
      <c r="B33" s="6021"/>
      <c r="C33" s="680" t="s">
        <v>13837</v>
      </c>
      <c r="D33" s="680" t="s">
        <v>13838</v>
      </c>
      <c r="E33" s="680">
        <v>637</v>
      </c>
      <c r="F33" s="680">
        <v>490</v>
      </c>
      <c r="G33" s="680" t="s">
        <v>13865</v>
      </c>
      <c r="H33" s="6021"/>
    </row>
    <row r="34" spans="1:8">
      <c r="A34" s="6021"/>
      <c r="B34" s="6022"/>
      <c r="C34" s="680" t="s">
        <v>13839</v>
      </c>
      <c r="D34" s="680" t="s">
        <v>13840</v>
      </c>
      <c r="E34" s="680">
        <v>588</v>
      </c>
      <c r="F34" s="680">
        <v>392</v>
      </c>
      <c r="G34" s="680" t="s">
        <v>13866</v>
      </c>
      <c r="H34" s="6022"/>
    </row>
    <row r="35" spans="1:8">
      <c r="A35" s="6022"/>
      <c r="B35" s="514" t="s">
        <v>13846</v>
      </c>
      <c r="C35" s="6026"/>
      <c r="D35" s="6027"/>
      <c r="E35" s="6027"/>
      <c r="F35" s="6027"/>
      <c r="G35" s="6028"/>
      <c r="H35" s="680" t="s">
        <v>13854</v>
      </c>
    </row>
    <row r="36" spans="1:8">
      <c r="A36" s="6020" t="s">
        <v>13867</v>
      </c>
      <c r="B36" s="6020" t="s">
        <v>13868</v>
      </c>
      <c r="C36" s="679" t="s">
        <v>13862</v>
      </c>
      <c r="D36" s="679" t="s">
        <v>13831</v>
      </c>
      <c r="E36" s="680">
        <v>863</v>
      </c>
      <c r="F36" s="680">
        <v>686</v>
      </c>
      <c r="G36" s="680" t="s">
        <v>13869</v>
      </c>
      <c r="H36" s="6020"/>
    </row>
    <row r="37" spans="1:8">
      <c r="A37" s="6021"/>
      <c r="B37" s="6021"/>
      <c r="C37" s="680" t="s">
        <v>13870</v>
      </c>
      <c r="D37" s="680" t="s">
        <v>13855</v>
      </c>
      <c r="E37" s="680">
        <v>814</v>
      </c>
      <c r="F37" s="680">
        <v>637</v>
      </c>
      <c r="G37" s="680" t="s">
        <v>13863</v>
      </c>
      <c r="H37" s="6021"/>
    </row>
    <row r="38" spans="1:8">
      <c r="A38" s="6021"/>
      <c r="B38" s="6022"/>
      <c r="C38" s="680" t="s">
        <v>13871</v>
      </c>
      <c r="D38" s="680" t="s">
        <v>13857</v>
      </c>
      <c r="E38" s="680">
        <v>765</v>
      </c>
      <c r="F38" s="680">
        <v>588</v>
      </c>
      <c r="G38" s="680" t="s">
        <v>13872</v>
      </c>
      <c r="H38" s="6022"/>
    </row>
    <row r="39" spans="1:8">
      <c r="A39" s="6022"/>
      <c r="B39" s="514" t="s">
        <v>13846</v>
      </c>
      <c r="C39" s="6026"/>
      <c r="D39" s="6027"/>
      <c r="E39" s="6027"/>
      <c r="F39" s="6027"/>
      <c r="G39" s="6028"/>
      <c r="H39" s="680" t="s">
        <v>13873</v>
      </c>
    </row>
    <row r="40" spans="1:8">
      <c r="A40" s="6020" t="s">
        <v>3552</v>
      </c>
      <c r="B40" s="6020" t="s">
        <v>13842</v>
      </c>
      <c r="C40" s="679" t="s">
        <v>13831</v>
      </c>
      <c r="D40" s="679" t="s">
        <v>13832</v>
      </c>
      <c r="E40" s="680">
        <v>735</v>
      </c>
      <c r="F40" s="680">
        <v>539</v>
      </c>
      <c r="G40" s="680" t="s">
        <v>13863</v>
      </c>
      <c r="H40" s="6020"/>
    </row>
    <row r="41" spans="1:8">
      <c r="A41" s="6021"/>
      <c r="B41" s="6021"/>
      <c r="C41" s="680" t="s">
        <v>13874</v>
      </c>
      <c r="D41" s="680" t="s">
        <v>13875</v>
      </c>
      <c r="E41" s="680">
        <v>686</v>
      </c>
      <c r="F41" s="680">
        <v>490</v>
      </c>
      <c r="G41" s="680" t="s">
        <v>13863</v>
      </c>
      <c r="H41" s="6021"/>
    </row>
    <row r="42" spans="1:8">
      <c r="A42" s="6021"/>
      <c r="B42" s="6021"/>
      <c r="C42" s="680" t="s">
        <v>13876</v>
      </c>
      <c r="D42" s="680" t="s">
        <v>13877</v>
      </c>
      <c r="E42" s="680">
        <v>637</v>
      </c>
      <c r="F42" s="680">
        <v>441</v>
      </c>
      <c r="G42" s="680" t="s">
        <v>13878</v>
      </c>
      <c r="H42" s="6021"/>
    </row>
    <row r="43" spans="1:8">
      <c r="A43" s="6021"/>
      <c r="B43" s="6022"/>
      <c r="C43" s="680" t="s">
        <v>13879</v>
      </c>
      <c r="D43" s="680" t="s">
        <v>13880</v>
      </c>
      <c r="E43" s="680">
        <v>588</v>
      </c>
      <c r="F43" s="680">
        <v>343</v>
      </c>
      <c r="G43" s="680" t="s">
        <v>13844</v>
      </c>
      <c r="H43" s="6022"/>
    </row>
    <row r="44" spans="1:8">
      <c r="A44" s="6022"/>
      <c r="B44" s="514" t="s">
        <v>13846</v>
      </c>
      <c r="C44" s="6026"/>
      <c r="D44" s="6027"/>
      <c r="E44" s="6027"/>
      <c r="F44" s="6027"/>
      <c r="G44" s="6028"/>
      <c r="H44" s="680" t="s">
        <v>13881</v>
      </c>
    </row>
    <row r="45" spans="1:8">
      <c r="A45" s="6020" t="s">
        <v>3605</v>
      </c>
      <c r="B45" s="6020" t="s">
        <v>13842</v>
      </c>
      <c r="C45" s="679" t="s">
        <v>13831</v>
      </c>
      <c r="D45" s="679" t="s">
        <v>13832</v>
      </c>
      <c r="E45" s="680">
        <v>735</v>
      </c>
      <c r="F45" s="680">
        <v>539</v>
      </c>
      <c r="G45" s="680" t="s">
        <v>13882</v>
      </c>
      <c r="H45" s="6020"/>
    </row>
    <row r="46" spans="1:8">
      <c r="A46" s="6021"/>
      <c r="B46" s="6021"/>
      <c r="C46" s="680" t="s">
        <v>13874</v>
      </c>
      <c r="D46" s="680" t="s">
        <v>13875</v>
      </c>
      <c r="E46" s="680">
        <v>686</v>
      </c>
      <c r="F46" s="680">
        <v>490</v>
      </c>
      <c r="G46" s="680" t="s">
        <v>13882</v>
      </c>
      <c r="H46" s="6021"/>
    </row>
    <row r="47" spans="1:8">
      <c r="A47" s="6021"/>
      <c r="B47" s="6021"/>
      <c r="C47" s="680" t="s">
        <v>13876</v>
      </c>
      <c r="D47" s="680" t="s">
        <v>13877</v>
      </c>
      <c r="E47" s="680">
        <v>637</v>
      </c>
      <c r="F47" s="680">
        <v>441</v>
      </c>
      <c r="G47" s="680" t="s">
        <v>13882</v>
      </c>
      <c r="H47" s="6021"/>
    </row>
    <row r="48" spans="1:8">
      <c r="A48" s="6021"/>
      <c r="B48" s="6022"/>
      <c r="C48" s="680" t="s">
        <v>13879</v>
      </c>
      <c r="D48" s="680" t="s">
        <v>13880</v>
      </c>
      <c r="E48" s="680">
        <v>588</v>
      </c>
      <c r="F48" s="680">
        <v>392</v>
      </c>
      <c r="G48" s="680" t="s">
        <v>13882</v>
      </c>
      <c r="H48" s="6022"/>
    </row>
    <row r="49" spans="1:9">
      <c r="A49" s="6022"/>
      <c r="B49" s="514" t="s">
        <v>13846</v>
      </c>
      <c r="C49" s="6026"/>
      <c r="D49" s="6027"/>
      <c r="E49" s="6027"/>
      <c r="F49" s="6027"/>
      <c r="G49" s="6028"/>
      <c r="H49" s="680" t="s">
        <v>13883</v>
      </c>
    </row>
    <row r="50" spans="1:9">
      <c r="A50" s="681"/>
      <c r="B50" s="681"/>
      <c r="C50" s="681"/>
      <c r="D50" s="681"/>
      <c r="E50" s="681"/>
      <c r="F50" s="681"/>
      <c r="G50" s="681"/>
      <c r="H50" s="682"/>
      <c r="I50" s="682"/>
    </row>
    <row r="51" spans="1:9">
      <c r="A51" s="681"/>
      <c r="B51" s="681"/>
      <c r="C51" s="681"/>
      <c r="D51" s="681"/>
      <c r="E51" s="681"/>
      <c r="F51" s="681"/>
      <c r="G51" s="681"/>
      <c r="H51" s="682"/>
      <c r="I51" s="682"/>
    </row>
    <row r="52" spans="1:9">
      <c r="A52" s="6019" t="s">
        <v>13819</v>
      </c>
      <c r="B52" s="6019" t="s">
        <v>13820</v>
      </c>
      <c r="C52" s="6019" t="s">
        <v>13821</v>
      </c>
      <c r="D52" s="6019"/>
      <c r="E52" s="6019" t="s">
        <v>159</v>
      </c>
      <c r="F52" s="6019"/>
      <c r="G52" s="6019" t="s">
        <v>13822</v>
      </c>
      <c r="H52" s="6019"/>
    </row>
    <row r="53" spans="1:9">
      <c r="A53" s="6019"/>
      <c r="B53" s="6019"/>
      <c r="C53" s="514" t="s">
        <v>13823</v>
      </c>
      <c r="D53" s="514" t="s">
        <v>13824</v>
      </c>
      <c r="E53" s="514" t="s">
        <v>13825</v>
      </c>
      <c r="F53" s="514" t="s">
        <v>13826</v>
      </c>
      <c r="G53" s="514" t="s">
        <v>13827</v>
      </c>
      <c r="H53" s="514" t="s">
        <v>13828</v>
      </c>
    </row>
    <row r="54" spans="1:9">
      <c r="A54" s="6023" t="s">
        <v>13884</v>
      </c>
      <c r="B54" s="6024"/>
      <c r="C54" s="6024"/>
      <c r="D54" s="6024"/>
      <c r="E54" s="6024"/>
      <c r="F54" s="6024"/>
      <c r="G54" s="6024"/>
      <c r="H54" s="6025"/>
    </row>
    <row r="55" spans="1:9">
      <c r="A55" s="6020" t="s">
        <v>3532</v>
      </c>
      <c r="B55" s="514" t="s">
        <v>13885</v>
      </c>
      <c r="C55" s="679" t="s">
        <v>13886</v>
      </c>
      <c r="D55" s="680"/>
      <c r="E55" s="680">
        <v>637</v>
      </c>
      <c r="F55" s="680">
        <v>392</v>
      </c>
      <c r="G55" s="680"/>
      <c r="H55" s="680" t="s">
        <v>13887</v>
      </c>
    </row>
    <row r="56" spans="1:9">
      <c r="A56" s="6022"/>
      <c r="B56" s="514" t="s">
        <v>13888</v>
      </c>
      <c r="C56" s="6026"/>
      <c r="D56" s="6027"/>
      <c r="E56" s="6027"/>
      <c r="F56" s="6027"/>
      <c r="G56" s="6028"/>
      <c r="H56" s="680" t="s">
        <v>13889</v>
      </c>
    </row>
    <row r="57" spans="1:9">
      <c r="A57" s="6020" t="s">
        <v>13890</v>
      </c>
      <c r="B57" s="514" t="s">
        <v>13885</v>
      </c>
      <c r="C57" s="680">
        <v>15</v>
      </c>
      <c r="D57" s="680"/>
      <c r="E57" s="680">
        <v>1079</v>
      </c>
      <c r="F57" s="680">
        <v>834</v>
      </c>
      <c r="G57" s="680"/>
      <c r="H57" s="680" t="s">
        <v>13887</v>
      </c>
    </row>
    <row r="58" spans="1:9">
      <c r="A58" s="6022"/>
      <c r="B58" s="514" t="s">
        <v>13888</v>
      </c>
      <c r="C58" s="6026"/>
      <c r="D58" s="6027"/>
      <c r="E58" s="6027"/>
      <c r="F58" s="6027"/>
      <c r="G58" s="6028"/>
      <c r="H58" s="680" t="s">
        <v>13891</v>
      </c>
    </row>
    <row r="59" spans="1:9">
      <c r="A59" s="680" t="s">
        <v>13892</v>
      </c>
      <c r="B59" s="514" t="s">
        <v>13885</v>
      </c>
      <c r="C59" s="680">
        <v>15</v>
      </c>
      <c r="D59" s="680"/>
      <c r="E59" s="680">
        <v>1177</v>
      </c>
      <c r="F59" s="680">
        <v>883</v>
      </c>
      <c r="G59" s="680"/>
      <c r="H59" s="680" t="s">
        <v>13887</v>
      </c>
    </row>
    <row r="60" spans="1:9">
      <c r="A60" s="683" t="s">
        <v>13893</v>
      </c>
      <c r="B60" s="514" t="s">
        <v>13894</v>
      </c>
      <c r="C60" s="680">
        <v>30</v>
      </c>
      <c r="D60" s="680"/>
      <c r="E60" s="680">
        <v>981</v>
      </c>
      <c r="F60" s="680">
        <v>834</v>
      </c>
      <c r="G60" s="680">
        <v>229</v>
      </c>
      <c r="H60" s="680" t="s">
        <v>13895</v>
      </c>
    </row>
    <row r="61" spans="1:9">
      <c r="A61" s="680" t="s">
        <v>13896</v>
      </c>
      <c r="B61" s="514" t="s">
        <v>13885</v>
      </c>
      <c r="C61" s="680">
        <v>15</v>
      </c>
      <c r="D61" s="680"/>
      <c r="E61" s="680">
        <v>1079</v>
      </c>
      <c r="F61" s="680">
        <v>883</v>
      </c>
      <c r="G61" s="680"/>
      <c r="H61" s="680" t="s">
        <v>13887</v>
      </c>
    </row>
    <row r="62" spans="1:9">
      <c r="A62" s="6024" t="s">
        <v>13897</v>
      </c>
      <c r="B62" s="6024"/>
      <c r="C62" s="6024"/>
      <c r="D62" s="6024"/>
      <c r="E62" s="6024"/>
      <c r="F62" s="6024"/>
      <c r="G62" s="6024"/>
      <c r="H62" s="6025"/>
    </row>
    <row r="63" spans="1:9">
      <c r="A63" s="680" t="s">
        <v>13898</v>
      </c>
      <c r="B63" s="514" t="s">
        <v>13899</v>
      </c>
      <c r="C63" s="680"/>
      <c r="D63" s="680"/>
      <c r="E63" s="680">
        <v>570</v>
      </c>
      <c r="F63" s="680">
        <v>310</v>
      </c>
      <c r="G63" s="680" t="s">
        <v>13900</v>
      </c>
      <c r="H63" s="680"/>
    </row>
    <row r="64" spans="1:9">
      <c r="A64" s="680" t="s">
        <v>13901</v>
      </c>
      <c r="B64" s="514" t="s">
        <v>13899</v>
      </c>
      <c r="C64" s="680"/>
      <c r="D64" s="680"/>
      <c r="E64" s="680">
        <v>640</v>
      </c>
      <c r="F64" s="680">
        <v>340</v>
      </c>
      <c r="G64" s="680" t="s">
        <v>13902</v>
      </c>
      <c r="H64" s="680"/>
    </row>
    <row r="65" spans="1:8">
      <c r="A65" s="6019" t="s">
        <v>13903</v>
      </c>
      <c r="B65" s="514" t="s">
        <v>13904</v>
      </c>
      <c r="C65" s="680"/>
      <c r="D65" s="680"/>
      <c r="E65" s="680">
        <v>588</v>
      </c>
      <c r="F65" s="680">
        <v>392</v>
      </c>
      <c r="G65" s="680" t="s">
        <v>13905</v>
      </c>
      <c r="H65" s="680"/>
    </row>
    <row r="66" spans="1:8">
      <c r="A66" s="6019"/>
      <c r="B66" s="514" t="s">
        <v>13842</v>
      </c>
      <c r="C66" s="680"/>
      <c r="D66" s="680"/>
      <c r="E66" s="680">
        <v>834</v>
      </c>
      <c r="F66" s="680">
        <v>686</v>
      </c>
      <c r="G66" s="680" t="s">
        <v>13869</v>
      </c>
      <c r="H66" s="680"/>
    </row>
    <row r="67" spans="1:8">
      <c r="A67" s="6019" t="s">
        <v>13906</v>
      </c>
      <c r="B67" s="514" t="s">
        <v>13904</v>
      </c>
      <c r="C67" s="680"/>
      <c r="D67" s="680"/>
      <c r="E67" s="680">
        <v>569</v>
      </c>
      <c r="F67" s="680">
        <v>343</v>
      </c>
      <c r="G67" s="680" t="s">
        <v>13907</v>
      </c>
      <c r="H67" s="680"/>
    </row>
    <row r="68" spans="1:8">
      <c r="A68" s="6019"/>
      <c r="B68" s="514" t="s">
        <v>13842</v>
      </c>
      <c r="C68" s="680"/>
      <c r="D68" s="680"/>
      <c r="E68" s="680">
        <v>637</v>
      </c>
      <c r="F68" s="680">
        <v>412</v>
      </c>
      <c r="G68" s="680" t="s">
        <v>13908</v>
      </c>
      <c r="H68" s="680"/>
    </row>
    <row r="69" spans="1:8">
      <c r="A69" s="6019" t="s">
        <v>13909</v>
      </c>
      <c r="B69" s="514" t="s">
        <v>13904</v>
      </c>
      <c r="C69" s="680"/>
      <c r="D69" s="680"/>
      <c r="E69" s="680">
        <v>588</v>
      </c>
      <c r="F69" s="680">
        <v>373</v>
      </c>
      <c r="G69" s="680" t="s">
        <v>13907</v>
      </c>
      <c r="H69" s="680"/>
    </row>
    <row r="70" spans="1:8">
      <c r="A70" s="6019"/>
      <c r="B70" s="514" t="s">
        <v>13842</v>
      </c>
      <c r="C70" s="680"/>
      <c r="D70" s="680"/>
      <c r="E70" s="680">
        <v>637</v>
      </c>
      <c r="F70" s="680">
        <v>441</v>
      </c>
      <c r="G70" s="680" t="s">
        <v>13908</v>
      </c>
      <c r="H70" s="680"/>
    </row>
    <row r="71" spans="1:8">
      <c r="A71" s="514" t="s">
        <v>13910</v>
      </c>
      <c r="B71" s="514" t="s">
        <v>13904</v>
      </c>
      <c r="C71" s="680"/>
      <c r="D71" s="680"/>
      <c r="E71" s="680">
        <v>686</v>
      </c>
      <c r="F71" s="680">
        <v>441</v>
      </c>
      <c r="G71" s="680" t="s">
        <v>13844</v>
      </c>
      <c r="H71" s="680"/>
    </row>
    <row r="72" spans="1:8">
      <c r="A72" s="6019" t="s">
        <v>13911</v>
      </c>
      <c r="B72" s="514" t="s">
        <v>13904</v>
      </c>
      <c r="C72" s="680"/>
      <c r="D72" s="680"/>
      <c r="E72" s="680">
        <v>628</v>
      </c>
      <c r="F72" s="680">
        <v>343</v>
      </c>
      <c r="G72" s="680" t="s">
        <v>13912</v>
      </c>
      <c r="H72" s="680"/>
    </row>
    <row r="73" spans="1:8">
      <c r="A73" s="6019"/>
      <c r="B73" s="514" t="s">
        <v>13842</v>
      </c>
      <c r="C73" s="680"/>
      <c r="D73" s="680"/>
      <c r="E73" s="680">
        <v>686</v>
      </c>
      <c r="F73" s="680">
        <v>471</v>
      </c>
      <c r="G73" s="680" t="s">
        <v>13913</v>
      </c>
      <c r="H73" s="680"/>
    </row>
    <row r="74" spans="1:8">
      <c r="A74" s="6019" t="s">
        <v>13914</v>
      </c>
      <c r="B74" s="514" t="s">
        <v>13904</v>
      </c>
      <c r="C74" s="680"/>
      <c r="D74" s="680"/>
      <c r="E74" s="680">
        <v>588</v>
      </c>
      <c r="F74" s="680">
        <v>392</v>
      </c>
      <c r="G74" s="680" t="s">
        <v>13915</v>
      </c>
      <c r="H74" s="680"/>
    </row>
    <row r="75" spans="1:8">
      <c r="A75" s="6019"/>
      <c r="B75" s="514" t="s">
        <v>13842</v>
      </c>
      <c r="C75" s="680"/>
      <c r="D75" s="680"/>
      <c r="E75" s="680">
        <v>686</v>
      </c>
      <c r="F75" s="680">
        <v>539</v>
      </c>
      <c r="G75" s="680" t="s">
        <v>13915</v>
      </c>
      <c r="H75" s="680"/>
    </row>
    <row r="76" spans="1:8">
      <c r="A76" s="6019" t="s">
        <v>13916</v>
      </c>
      <c r="B76" s="514" t="s">
        <v>13904</v>
      </c>
      <c r="C76" s="680"/>
      <c r="D76" s="680"/>
      <c r="E76" s="680">
        <v>686</v>
      </c>
      <c r="F76" s="680">
        <v>343</v>
      </c>
      <c r="G76" s="680" t="s">
        <v>13907</v>
      </c>
      <c r="H76" s="680"/>
    </row>
    <row r="77" spans="1:8">
      <c r="A77" s="6019"/>
      <c r="B77" s="514" t="s">
        <v>13842</v>
      </c>
      <c r="C77" s="680"/>
      <c r="D77" s="680"/>
      <c r="E77" s="680">
        <v>785</v>
      </c>
      <c r="F77" s="680">
        <v>588</v>
      </c>
      <c r="G77" s="680" t="s">
        <v>13917</v>
      </c>
      <c r="H77" s="680"/>
    </row>
    <row r="78" spans="1:8">
      <c r="A78" s="6029" t="s">
        <v>13918</v>
      </c>
      <c r="B78" s="6029"/>
      <c r="C78" s="6029"/>
      <c r="D78" s="6029"/>
      <c r="E78" s="6029"/>
      <c r="F78" s="6029"/>
      <c r="G78" s="6029"/>
      <c r="H78" s="6029"/>
    </row>
    <row r="79" spans="1:8">
      <c r="A79" s="6019" t="s">
        <v>13919</v>
      </c>
      <c r="B79" s="6019"/>
      <c r="C79" s="6019"/>
      <c r="D79" s="680" t="s">
        <v>13920</v>
      </c>
      <c r="E79" s="680">
        <v>270</v>
      </c>
      <c r="F79" s="680"/>
      <c r="G79" s="680" t="s">
        <v>13921</v>
      </c>
      <c r="H79" s="6019"/>
    </row>
    <row r="80" spans="1:8">
      <c r="A80" s="6019"/>
      <c r="B80" s="6019"/>
      <c r="C80" s="6019"/>
      <c r="D80" s="680" t="s">
        <v>13922</v>
      </c>
      <c r="E80" s="680">
        <v>240</v>
      </c>
      <c r="F80" s="680"/>
      <c r="G80" s="680" t="s">
        <v>13923</v>
      </c>
      <c r="H80" s="6019"/>
    </row>
    <row r="81" spans="1:8">
      <c r="A81" s="6019"/>
      <c r="B81" s="6019"/>
      <c r="C81" s="6019"/>
      <c r="D81" s="680" t="s">
        <v>13924</v>
      </c>
      <c r="E81" s="680">
        <v>220</v>
      </c>
      <c r="F81" s="680"/>
      <c r="G81" s="680" t="s">
        <v>13925</v>
      </c>
      <c r="H81" s="6019"/>
    </row>
    <row r="82" spans="1:8">
      <c r="A82" s="6019"/>
      <c r="B82" s="6019"/>
      <c r="C82" s="6019"/>
      <c r="D82" s="680" t="s">
        <v>13926</v>
      </c>
      <c r="E82" s="680">
        <v>200</v>
      </c>
      <c r="F82" s="680"/>
      <c r="G82" s="680" t="s">
        <v>13927</v>
      </c>
      <c r="H82" s="6019"/>
    </row>
    <row r="83" spans="1:8">
      <c r="A83" s="6019" t="s">
        <v>13928</v>
      </c>
      <c r="B83" s="6019"/>
      <c r="C83" s="6019"/>
      <c r="D83" s="680" t="s">
        <v>13922</v>
      </c>
      <c r="E83" s="680">
        <v>200</v>
      </c>
      <c r="F83" s="680"/>
      <c r="G83" s="680" t="s">
        <v>13929</v>
      </c>
      <c r="H83" s="6019"/>
    </row>
    <row r="84" spans="1:8">
      <c r="A84" s="6019"/>
      <c r="B84" s="6019"/>
      <c r="C84" s="6019"/>
      <c r="D84" s="680" t="s">
        <v>13924</v>
      </c>
      <c r="E84" s="680">
        <v>250</v>
      </c>
      <c r="F84" s="680"/>
      <c r="G84" s="680" t="s">
        <v>13930</v>
      </c>
      <c r="H84" s="6019"/>
    </row>
    <row r="85" spans="1:8">
      <c r="A85" s="6019"/>
      <c r="B85" s="6019"/>
      <c r="C85" s="6019"/>
      <c r="D85" s="680" t="s">
        <v>13926</v>
      </c>
      <c r="E85" s="680">
        <v>230</v>
      </c>
      <c r="F85" s="680"/>
      <c r="G85" s="680" t="s">
        <v>13931</v>
      </c>
      <c r="H85" s="6019"/>
    </row>
    <row r="86" spans="1:8">
      <c r="A86" s="6019" t="s">
        <v>13932</v>
      </c>
      <c r="B86" s="6019"/>
      <c r="C86" s="6019"/>
      <c r="D86" s="680" t="s">
        <v>13922</v>
      </c>
      <c r="E86" s="680">
        <v>340</v>
      </c>
      <c r="F86" s="680"/>
      <c r="G86" s="680" t="s">
        <v>13933</v>
      </c>
      <c r="H86" s="6020"/>
    </row>
    <row r="87" spans="1:8">
      <c r="A87" s="6019"/>
      <c r="B87" s="6019"/>
      <c r="C87" s="6019"/>
      <c r="D87" s="680" t="s">
        <v>13924</v>
      </c>
      <c r="E87" s="680">
        <v>290</v>
      </c>
      <c r="F87" s="680"/>
      <c r="G87" s="680" t="s">
        <v>13929</v>
      </c>
      <c r="H87" s="6021"/>
    </row>
    <row r="88" spans="1:8">
      <c r="A88" s="6019"/>
      <c r="B88" s="6019"/>
      <c r="C88" s="6019"/>
      <c r="D88" s="680" t="s">
        <v>13926</v>
      </c>
      <c r="E88" s="680">
        <v>260</v>
      </c>
      <c r="F88" s="680"/>
      <c r="G88" s="680" t="s">
        <v>13934</v>
      </c>
      <c r="H88" s="6022"/>
    </row>
    <row r="89" spans="1:8">
      <c r="A89" s="514" t="s">
        <v>13935</v>
      </c>
      <c r="B89" s="680"/>
      <c r="C89" s="680"/>
      <c r="D89" s="680"/>
      <c r="E89" s="680">
        <v>500</v>
      </c>
      <c r="F89" s="680">
        <v>320</v>
      </c>
      <c r="G89" s="680" t="s">
        <v>13936</v>
      </c>
      <c r="H89" s="680"/>
    </row>
    <row r="90" spans="1:8">
      <c r="A90" s="514" t="s">
        <v>13937</v>
      </c>
      <c r="B90" s="680"/>
      <c r="C90" s="680"/>
      <c r="D90" s="680"/>
      <c r="E90" s="680">
        <v>600</v>
      </c>
      <c r="F90" s="680">
        <v>370</v>
      </c>
      <c r="G90" s="680" t="s">
        <v>13938</v>
      </c>
      <c r="H90" s="680"/>
    </row>
    <row r="91" spans="1:8">
      <c r="A91" s="514" t="s">
        <v>13939</v>
      </c>
      <c r="B91" s="680"/>
      <c r="C91" s="680"/>
      <c r="D91" s="680"/>
      <c r="E91" s="680">
        <v>700</v>
      </c>
      <c r="F91" s="680">
        <v>420</v>
      </c>
      <c r="G91" s="680" t="s">
        <v>13940</v>
      </c>
      <c r="H91" s="680"/>
    </row>
    <row r="92" spans="1:8">
      <c r="A92" s="514" t="s">
        <v>13941</v>
      </c>
      <c r="B92" s="680"/>
      <c r="C92" s="680"/>
      <c r="D92" s="680"/>
      <c r="E92" s="680">
        <v>800</v>
      </c>
      <c r="F92" s="680">
        <v>480</v>
      </c>
      <c r="G92" s="680" t="s">
        <v>13942</v>
      </c>
      <c r="H92" s="680"/>
    </row>
    <row r="93" spans="1:8">
      <c r="A93" s="514" t="s">
        <v>13943</v>
      </c>
      <c r="B93" s="680"/>
      <c r="C93" s="680"/>
      <c r="D93" s="680"/>
      <c r="E93" s="680">
        <v>900</v>
      </c>
      <c r="F93" s="680">
        <v>600</v>
      </c>
      <c r="G93" s="680" t="s">
        <v>13944</v>
      </c>
      <c r="H93" s="680"/>
    </row>
  </sheetData>
  <mergeCells count="74">
    <mergeCell ref="A1:H1"/>
    <mergeCell ref="C3:D3"/>
    <mergeCell ref="E3:F3"/>
    <mergeCell ref="G3:H3"/>
    <mergeCell ref="A5:H5"/>
    <mergeCell ref="A3:A4"/>
    <mergeCell ref="C13:G13"/>
    <mergeCell ref="C18:G18"/>
    <mergeCell ref="C23:G23"/>
    <mergeCell ref="C27:G27"/>
    <mergeCell ref="C30:G30"/>
    <mergeCell ref="A69:A70"/>
    <mergeCell ref="A72:A73"/>
    <mergeCell ref="A74:A75"/>
    <mergeCell ref="A76:A77"/>
    <mergeCell ref="C35:G35"/>
    <mergeCell ref="C39:G39"/>
    <mergeCell ref="C44:G44"/>
    <mergeCell ref="C49:G49"/>
    <mergeCell ref="C52:D52"/>
    <mergeCell ref="E52:F52"/>
    <mergeCell ref="G52:H52"/>
    <mergeCell ref="A6:A13"/>
    <mergeCell ref="A14:A18"/>
    <mergeCell ref="A19:A23"/>
    <mergeCell ref="A24:A27"/>
    <mergeCell ref="A28:A30"/>
    <mergeCell ref="A31:A35"/>
    <mergeCell ref="A36:A39"/>
    <mergeCell ref="A40:A44"/>
    <mergeCell ref="A45:A49"/>
    <mergeCell ref="A52:A53"/>
    <mergeCell ref="A79:A82"/>
    <mergeCell ref="A83:A85"/>
    <mergeCell ref="A86:A88"/>
    <mergeCell ref="B3:B4"/>
    <mergeCell ref="B6:B9"/>
    <mergeCell ref="B10:B12"/>
    <mergeCell ref="B14:B17"/>
    <mergeCell ref="B19:B22"/>
    <mergeCell ref="B24:B26"/>
    <mergeCell ref="B28:B29"/>
    <mergeCell ref="B31:B34"/>
    <mergeCell ref="B36:B38"/>
    <mergeCell ref="B40:B43"/>
    <mergeCell ref="B45:B48"/>
    <mergeCell ref="B52:B53"/>
    <mergeCell ref="B79:B82"/>
    <mergeCell ref="B83:B85"/>
    <mergeCell ref="B86:B88"/>
    <mergeCell ref="C79:C82"/>
    <mergeCell ref="C83:C85"/>
    <mergeCell ref="C86:C88"/>
    <mergeCell ref="H6:H12"/>
    <mergeCell ref="H14:H17"/>
    <mergeCell ref="H19:H22"/>
    <mergeCell ref="H24:H26"/>
    <mergeCell ref="H28:H29"/>
    <mergeCell ref="H83:H85"/>
    <mergeCell ref="H86:H88"/>
    <mergeCell ref="H31:H34"/>
    <mergeCell ref="H36:H38"/>
    <mergeCell ref="H40:H43"/>
    <mergeCell ref="H45:H48"/>
    <mergeCell ref="H79:H82"/>
    <mergeCell ref="A54:H54"/>
    <mergeCell ref="C56:G56"/>
    <mergeCell ref="C58:G58"/>
    <mergeCell ref="A62:H62"/>
    <mergeCell ref="A78:H78"/>
    <mergeCell ref="A55:A56"/>
    <mergeCell ref="A57:A58"/>
    <mergeCell ref="A65:A66"/>
    <mergeCell ref="A67:A68"/>
  </mergeCells>
  <phoneticPr fontId="214" type="noConversion"/>
  <pageMargins left="0.75" right="0.75" top="1" bottom="1" header="0.5" footer="0.5"/>
  <headerFooter scaleWithDoc="0" alignWithMargins="0"/>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53"/>
  <dimension ref="A1:F36"/>
  <sheetViews>
    <sheetView zoomScale="75" zoomScaleNormal="75" workbookViewId="0">
      <selection sqref="A1:F1"/>
    </sheetView>
  </sheetViews>
  <sheetFormatPr defaultColWidth="9" defaultRowHeight="18.75"/>
  <cols>
    <col min="1" max="1" width="16.125" style="927" customWidth="1"/>
    <col min="2" max="2" width="31.75" style="927" customWidth="1"/>
    <col min="3" max="3" width="5.875" style="927" customWidth="1"/>
    <col min="4" max="4" width="39.375" style="927" customWidth="1"/>
    <col min="5" max="5" width="11" style="928"/>
    <col min="6" max="6" width="11" style="923"/>
    <col min="7" max="32" width="11" style="927"/>
    <col min="33" max="16384" width="9" style="927"/>
  </cols>
  <sheetData>
    <row r="1" spans="1:6" ht="27">
      <c r="A1" s="6038">
        <v>7</v>
      </c>
      <c r="B1" s="6038"/>
      <c r="C1" s="6038"/>
      <c r="D1" s="6038"/>
      <c r="E1" s="6038"/>
      <c r="F1" s="6038"/>
    </row>
    <row r="3" spans="1:6">
      <c r="A3" s="929" t="s">
        <v>13945</v>
      </c>
      <c r="B3" s="6031" t="s">
        <v>13946</v>
      </c>
      <c r="C3" s="6032"/>
      <c r="D3" s="929" t="s">
        <v>13947</v>
      </c>
      <c r="E3" s="930" t="s">
        <v>251</v>
      </c>
      <c r="F3" s="929" t="s">
        <v>1515</v>
      </c>
    </row>
    <row r="4" spans="1:6" ht="22.5">
      <c r="A4" s="931" t="s">
        <v>1873</v>
      </c>
      <c r="B4" s="6031" t="s">
        <v>961</v>
      </c>
      <c r="C4" s="6032"/>
      <c r="D4" s="932" t="s">
        <v>13948</v>
      </c>
      <c r="E4" s="933">
        <v>15</v>
      </c>
      <c r="F4" s="929"/>
    </row>
    <row r="5" spans="1:6" ht="22.5">
      <c r="A5" s="931" t="s">
        <v>1855</v>
      </c>
      <c r="B5" s="6031" t="s">
        <v>13949</v>
      </c>
      <c r="C5" s="6032"/>
      <c r="D5" s="932" t="s">
        <v>13950</v>
      </c>
      <c r="E5" s="933">
        <v>0.8</v>
      </c>
      <c r="F5" s="929"/>
    </row>
    <row r="6" spans="1:6" ht="22.5">
      <c r="A6" s="929" t="s">
        <v>13951</v>
      </c>
      <c r="B6" s="6031" t="s">
        <v>964</v>
      </c>
      <c r="C6" s="6032"/>
      <c r="D6" s="932" t="s">
        <v>13952</v>
      </c>
      <c r="E6" s="930">
        <v>20</v>
      </c>
      <c r="F6" s="929"/>
    </row>
    <row r="7" spans="1:6" ht="22.5">
      <c r="A7" s="929" t="s">
        <v>1060</v>
      </c>
      <c r="B7" s="6031" t="s">
        <v>1069</v>
      </c>
      <c r="C7" s="6032"/>
      <c r="D7" s="932" t="s">
        <v>13953</v>
      </c>
      <c r="E7" s="934">
        <f>E27/E10</f>
        <v>40</v>
      </c>
      <c r="F7" s="929"/>
    </row>
    <row r="8" spans="1:6" ht="22.5">
      <c r="A8" s="929" t="s">
        <v>13759</v>
      </c>
      <c r="B8" s="6031" t="s">
        <v>13954</v>
      </c>
      <c r="C8" s="6032"/>
      <c r="D8" s="932" t="s">
        <v>13955</v>
      </c>
      <c r="E8" s="934">
        <f>E4/E5-0.5*(E11+E27)</f>
        <v>-6.25</v>
      </c>
      <c r="F8" s="929"/>
    </row>
    <row r="9" spans="1:6" ht="22.5">
      <c r="A9" s="929" t="s">
        <v>13956</v>
      </c>
      <c r="B9" s="6031" t="s">
        <v>9733</v>
      </c>
      <c r="C9" s="6032"/>
      <c r="D9" s="935" t="s">
        <v>13957</v>
      </c>
      <c r="E9" s="930">
        <f>0.25*E5</f>
        <v>0.2</v>
      </c>
      <c r="F9" s="929"/>
    </row>
    <row r="10" spans="1:6" ht="22.5">
      <c r="A10" s="6033" t="s">
        <v>13958</v>
      </c>
      <c r="B10" s="936" t="s">
        <v>13959</v>
      </c>
      <c r="C10" s="932" t="s">
        <v>4654</v>
      </c>
      <c r="D10" s="932" t="s">
        <v>13960</v>
      </c>
      <c r="E10" s="933">
        <v>1</v>
      </c>
      <c r="F10" s="929"/>
    </row>
    <row r="11" spans="1:6" ht="22.5">
      <c r="A11" s="6034"/>
      <c r="B11" s="936" t="s">
        <v>13961</v>
      </c>
      <c r="C11" s="932" t="s">
        <v>1155</v>
      </c>
      <c r="D11" s="932" t="s">
        <v>13962</v>
      </c>
      <c r="E11" s="933">
        <v>10</v>
      </c>
      <c r="F11" s="929"/>
    </row>
    <row r="12" spans="1:6" ht="22.5">
      <c r="A12" s="6034"/>
      <c r="B12" s="932" t="s">
        <v>1860</v>
      </c>
      <c r="C12" s="932" t="s">
        <v>13963</v>
      </c>
      <c r="D12" s="932" t="s">
        <v>13964</v>
      </c>
      <c r="E12" s="934">
        <f>E5</f>
        <v>0.8</v>
      </c>
      <c r="F12" s="929"/>
    </row>
    <row r="13" spans="1:6" ht="22.5">
      <c r="A13" s="6034"/>
      <c r="B13" s="932" t="s">
        <v>1863</v>
      </c>
      <c r="C13" s="932" t="s">
        <v>1158</v>
      </c>
      <c r="D13" s="932" t="s">
        <v>13965</v>
      </c>
      <c r="E13" s="934">
        <f>1.25*E5</f>
        <v>1</v>
      </c>
      <c r="F13" s="929"/>
    </row>
    <row r="14" spans="1:6" ht="22.5">
      <c r="A14" s="6034"/>
      <c r="B14" s="932" t="s">
        <v>1132</v>
      </c>
      <c r="C14" s="932" t="s">
        <v>13966</v>
      </c>
      <c r="D14" s="932" t="s">
        <v>13967</v>
      </c>
      <c r="E14" s="934">
        <f>E11*E5</f>
        <v>8</v>
      </c>
      <c r="F14" s="929"/>
    </row>
    <row r="15" spans="1:6" ht="22.5">
      <c r="A15" s="6034"/>
      <c r="B15" s="932" t="s">
        <v>1914</v>
      </c>
      <c r="C15" s="932" t="s">
        <v>13968</v>
      </c>
      <c r="D15" s="932" t="s">
        <v>13969</v>
      </c>
      <c r="E15" s="934">
        <f>E14+2*E5*E8</f>
        <v>-2</v>
      </c>
      <c r="F15" s="929"/>
    </row>
    <row r="16" spans="1:6" ht="22.5">
      <c r="A16" s="6034"/>
      <c r="B16" s="932" t="s">
        <v>1134</v>
      </c>
      <c r="C16" s="932" t="s">
        <v>13970</v>
      </c>
      <c r="D16" s="932" t="s">
        <v>13971</v>
      </c>
      <c r="E16" s="934">
        <f>E5*(E11+2)</f>
        <v>9.6</v>
      </c>
      <c r="F16" s="929"/>
    </row>
    <row r="17" spans="1:6" ht="22.5">
      <c r="A17" s="6034"/>
      <c r="B17" s="932" t="s">
        <v>1133</v>
      </c>
      <c r="C17" s="932" t="s">
        <v>13972</v>
      </c>
      <c r="D17" s="932" t="s">
        <v>13973</v>
      </c>
      <c r="E17" s="934">
        <f>E5*(E11-2.5)</f>
        <v>6</v>
      </c>
      <c r="F17" s="929"/>
    </row>
    <row r="18" spans="1:6" ht="22.5">
      <c r="A18" s="6034"/>
      <c r="B18" s="932" t="s">
        <v>13974</v>
      </c>
      <c r="C18" s="932" t="s">
        <v>13975</v>
      </c>
      <c r="D18" s="932" t="s">
        <v>13976</v>
      </c>
      <c r="E18" s="934">
        <f>ATAN(E10/E11)</f>
        <v>9.9668652491161996E-2</v>
      </c>
      <c r="F18" s="929"/>
    </row>
    <row r="19" spans="1:6" ht="22.5">
      <c r="A19" s="6034"/>
      <c r="B19" s="932" t="s">
        <v>13977</v>
      </c>
      <c r="C19" s="932" t="s">
        <v>13978</v>
      </c>
      <c r="D19" s="932" t="s">
        <v>13979</v>
      </c>
      <c r="E19" s="934">
        <f>E5*COS(E18)</f>
        <v>0.79602975216799099</v>
      </c>
      <c r="F19" s="929"/>
    </row>
    <row r="20" spans="1:6" ht="22.5">
      <c r="A20" s="6034"/>
      <c r="B20" s="6036" t="s">
        <v>13980</v>
      </c>
      <c r="C20" s="6036" t="s">
        <v>13981</v>
      </c>
      <c r="D20" s="937" t="s">
        <v>13982</v>
      </c>
      <c r="E20" s="934">
        <f>(12+0.1*E27)*E5</f>
        <v>12.8</v>
      </c>
      <c r="F20" s="929" t="s">
        <v>13983</v>
      </c>
    </row>
    <row r="21" spans="1:6" ht="22.5">
      <c r="A21" s="6034"/>
      <c r="B21" s="6037"/>
      <c r="C21" s="6037"/>
      <c r="D21" s="937" t="s">
        <v>13984</v>
      </c>
      <c r="E21" s="934">
        <f>(13+0.1*E27)*E5</f>
        <v>13.6</v>
      </c>
      <c r="F21" s="929" t="s">
        <v>13985</v>
      </c>
    </row>
    <row r="22" spans="1:6" ht="22.5">
      <c r="A22" s="6034"/>
      <c r="B22" s="932" t="s">
        <v>13986</v>
      </c>
      <c r="C22" s="932" t="s">
        <v>445</v>
      </c>
      <c r="D22" s="932" t="s">
        <v>13987</v>
      </c>
      <c r="E22" s="934">
        <f>3.1415*E5</f>
        <v>2.5131999999999999</v>
      </c>
      <c r="F22" s="929"/>
    </row>
    <row r="23" spans="1:6" ht="22.5">
      <c r="A23" s="6034"/>
      <c r="B23" s="932" t="s">
        <v>13988</v>
      </c>
      <c r="C23" s="932" t="s">
        <v>13989</v>
      </c>
      <c r="D23" s="932" t="s">
        <v>13990</v>
      </c>
      <c r="E23" s="934">
        <f>3.1415*E5*E10</f>
        <v>2.5131999999999999</v>
      </c>
      <c r="F23" s="929"/>
    </row>
    <row r="24" spans="1:6" ht="22.5">
      <c r="A24" s="6034"/>
      <c r="B24" s="932" t="s">
        <v>13991</v>
      </c>
      <c r="C24" s="932" t="s">
        <v>13992</v>
      </c>
      <c r="D24" s="932" t="s">
        <v>13993</v>
      </c>
      <c r="E24" s="934">
        <f>E7</f>
        <v>40</v>
      </c>
      <c r="F24" s="929"/>
    </row>
    <row r="25" spans="1:6" ht="22.5">
      <c r="A25" s="6034"/>
      <c r="B25" s="932" t="s">
        <v>13994</v>
      </c>
      <c r="C25" s="932" t="s">
        <v>13995</v>
      </c>
      <c r="D25" s="932" t="s">
        <v>13996</v>
      </c>
      <c r="E25" s="934">
        <f>E24*COS(E18)</f>
        <v>39.801487608399597</v>
      </c>
      <c r="F25" s="929"/>
    </row>
    <row r="26" spans="1:6" ht="22.5">
      <c r="A26" s="6035"/>
      <c r="B26" s="932" t="s">
        <v>13997</v>
      </c>
      <c r="C26" s="932" t="s">
        <v>13998</v>
      </c>
      <c r="D26" s="932" t="s">
        <v>13999</v>
      </c>
      <c r="E26" s="934">
        <f>E5</f>
        <v>0.8</v>
      </c>
      <c r="F26" s="929"/>
    </row>
    <row r="27" spans="1:6" ht="22.5">
      <c r="A27" s="6033" t="s">
        <v>14000</v>
      </c>
      <c r="B27" s="936" t="s">
        <v>1131</v>
      </c>
      <c r="C27" s="932" t="s">
        <v>14001</v>
      </c>
      <c r="D27" s="932" t="s">
        <v>14002</v>
      </c>
      <c r="E27" s="933">
        <v>40</v>
      </c>
      <c r="F27" s="929"/>
    </row>
    <row r="28" spans="1:6" ht="22.5">
      <c r="A28" s="6034"/>
      <c r="B28" s="932" t="s">
        <v>1132</v>
      </c>
      <c r="C28" s="932" t="s">
        <v>14003</v>
      </c>
      <c r="D28" s="932" t="s">
        <v>14004</v>
      </c>
      <c r="E28" s="934">
        <f>E5*E27</f>
        <v>32</v>
      </c>
      <c r="F28" s="929"/>
    </row>
    <row r="29" spans="1:6" ht="22.5">
      <c r="A29" s="6034"/>
      <c r="B29" s="932" t="s">
        <v>1914</v>
      </c>
      <c r="C29" s="932" t="s">
        <v>14005</v>
      </c>
      <c r="D29" s="932" t="s">
        <v>14006</v>
      </c>
      <c r="E29" s="934">
        <f>E28</f>
        <v>32</v>
      </c>
      <c r="F29" s="929"/>
    </row>
    <row r="30" spans="1:6" ht="22.5">
      <c r="A30" s="6034"/>
      <c r="B30" s="932" t="s">
        <v>1133</v>
      </c>
      <c r="C30" s="932" t="s">
        <v>14007</v>
      </c>
      <c r="D30" s="932" t="s">
        <v>14008</v>
      </c>
      <c r="E30" s="934">
        <f>2*(E4-0.5*E16-0.25*E5)</f>
        <v>20</v>
      </c>
      <c r="F30" s="929"/>
    </row>
    <row r="31" spans="1:6" ht="22.5">
      <c r="A31" s="6034"/>
      <c r="B31" s="932" t="s">
        <v>1134</v>
      </c>
      <c r="C31" s="932" t="s">
        <v>14009</v>
      </c>
      <c r="D31" s="932" t="s">
        <v>14010</v>
      </c>
      <c r="E31" s="934">
        <f>2*(E4-0.5*E14+E5)</f>
        <v>23.6</v>
      </c>
      <c r="F31" s="929"/>
    </row>
    <row r="32" spans="1:6" ht="22.5">
      <c r="A32" s="6034"/>
      <c r="B32" s="932" t="s">
        <v>14011</v>
      </c>
      <c r="C32" s="932" t="s">
        <v>14012</v>
      </c>
      <c r="D32" s="932" t="s">
        <v>14013</v>
      </c>
      <c r="E32" s="934">
        <f>E31+E5</f>
        <v>24.4</v>
      </c>
      <c r="F32" s="929"/>
    </row>
    <row r="33" spans="1:6" ht="22.5">
      <c r="A33" s="6034"/>
      <c r="B33" s="932" t="s">
        <v>14014</v>
      </c>
      <c r="C33" s="932" t="s">
        <v>2534</v>
      </c>
      <c r="D33" s="932" t="s">
        <v>14015</v>
      </c>
      <c r="E33" s="934">
        <f>0.65*E16</f>
        <v>6.24</v>
      </c>
      <c r="F33" s="929"/>
    </row>
    <row r="34" spans="1:6" ht="22.5">
      <c r="A34" s="6034"/>
      <c r="B34" s="932" t="s">
        <v>14016</v>
      </c>
      <c r="C34" s="932" t="s">
        <v>14017</v>
      </c>
      <c r="D34" s="932" t="s">
        <v>14018</v>
      </c>
      <c r="E34" s="934">
        <f>0.5*E14-E5</f>
        <v>3.2</v>
      </c>
      <c r="F34" s="929"/>
    </row>
    <row r="35" spans="1:6" ht="22.5">
      <c r="A35" s="6035"/>
      <c r="B35" s="932" t="s">
        <v>14019</v>
      </c>
      <c r="C35" s="932" t="s">
        <v>14020</v>
      </c>
      <c r="D35" s="932" t="s">
        <v>14021</v>
      </c>
      <c r="E35" s="934">
        <f>0.5*E16+0.25*E5</f>
        <v>5</v>
      </c>
      <c r="F35" s="929"/>
    </row>
    <row r="36" spans="1:6">
      <c r="A36" s="938" t="s">
        <v>14022</v>
      </c>
    </row>
  </sheetData>
  <mergeCells count="12">
    <mergeCell ref="A1:F1"/>
    <mergeCell ref="B3:C3"/>
    <mergeCell ref="B4:C4"/>
    <mergeCell ref="B5:C5"/>
    <mergeCell ref="B6:C6"/>
    <mergeCell ref="B7:C7"/>
    <mergeCell ref="B8:C8"/>
    <mergeCell ref="B9:C9"/>
    <mergeCell ref="A10:A26"/>
    <mergeCell ref="A27:A35"/>
    <mergeCell ref="B20:B21"/>
    <mergeCell ref="C20:C21"/>
  </mergeCells>
  <phoneticPr fontId="214" type="noConversion"/>
  <pageMargins left="0.75" right="0.75" top="1" bottom="1" header="0.5" footer="0.5"/>
  <pageSetup paperSize="9" orientation="portrait" horizontalDpi="300" verticalDpi="300"/>
  <headerFooter scaleWithDoc="0" alignWithMargins="0"/>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54"/>
  <dimension ref="A1:O48"/>
  <sheetViews>
    <sheetView zoomScale="75" zoomScaleNormal="75" workbookViewId="0">
      <pane xSplit="2" ySplit="3" topLeftCell="C19" activePane="bottomRight" state="frozen"/>
      <selection pane="topRight"/>
      <selection pane="bottomLeft"/>
      <selection pane="bottomRight" sqref="A1:O1"/>
    </sheetView>
  </sheetViews>
  <sheetFormatPr defaultColWidth="9" defaultRowHeight="18.75"/>
  <cols>
    <col min="1" max="1" width="9.375" style="923" customWidth="1"/>
    <col min="2" max="2" width="7" style="923" customWidth="1"/>
    <col min="3" max="3" width="5.5" style="923" customWidth="1"/>
    <col min="4" max="9" width="7" style="923" customWidth="1"/>
    <col min="10" max="10" width="8" style="923" customWidth="1"/>
    <col min="11" max="12" width="7" style="923" customWidth="1"/>
    <col min="13" max="13" width="8" style="923" customWidth="1"/>
    <col min="14" max="14" width="7" style="923" customWidth="1"/>
    <col min="15" max="15" width="8" style="923" customWidth="1"/>
    <col min="16" max="32" width="11" style="923"/>
    <col min="33" max="16384" width="9" style="923"/>
  </cols>
  <sheetData>
    <row r="1" spans="1:15" ht="25.5">
      <c r="A1" s="6046" t="s">
        <v>22</v>
      </c>
      <c r="B1" s="6046"/>
      <c r="C1" s="6046"/>
      <c r="D1" s="6046"/>
      <c r="E1" s="6046"/>
      <c r="F1" s="6046"/>
      <c r="G1" s="6046"/>
      <c r="H1" s="6046"/>
      <c r="I1" s="6046"/>
      <c r="J1" s="6046"/>
      <c r="K1" s="6046"/>
      <c r="L1" s="6046"/>
      <c r="M1" s="6046"/>
      <c r="N1" s="6046"/>
      <c r="O1" s="6046"/>
    </row>
    <row r="2" spans="1:15" s="922" customFormat="1" ht="14.25">
      <c r="A2" s="5068" t="s">
        <v>14023</v>
      </c>
      <c r="B2" s="5068" t="s">
        <v>14024</v>
      </c>
      <c r="C2" s="5068" t="s">
        <v>2491</v>
      </c>
      <c r="D2" s="4997" t="s">
        <v>14025</v>
      </c>
      <c r="E2" s="4997"/>
      <c r="F2" s="4997"/>
      <c r="G2" s="4997"/>
      <c r="H2" s="4997"/>
      <c r="I2" s="4997"/>
      <c r="J2" s="4997"/>
      <c r="K2" s="4997"/>
      <c r="L2" s="4997"/>
      <c r="M2" s="4997"/>
      <c r="N2" s="4997"/>
      <c r="O2" s="4997"/>
    </row>
    <row r="3" spans="1:15">
      <c r="A3" s="5068"/>
      <c r="B3" s="5068"/>
      <c r="C3" s="5068"/>
      <c r="D3" s="925">
        <v>80</v>
      </c>
      <c r="E3" s="925">
        <v>100</v>
      </c>
      <c r="F3" s="925">
        <v>125</v>
      </c>
      <c r="G3" s="925">
        <v>160</v>
      </c>
      <c r="H3" s="925">
        <v>200</v>
      </c>
      <c r="I3" s="925">
        <v>250</v>
      </c>
      <c r="J3" s="925">
        <v>280</v>
      </c>
      <c r="K3" s="925">
        <v>320</v>
      </c>
      <c r="L3" s="925">
        <v>360</v>
      </c>
      <c r="M3" s="925">
        <v>400</v>
      </c>
      <c r="N3" s="925">
        <v>450</v>
      </c>
      <c r="O3" s="925">
        <v>500</v>
      </c>
    </row>
    <row r="4" spans="1:15">
      <c r="A4" s="6039">
        <v>4</v>
      </c>
      <c r="B4" s="6042">
        <v>8</v>
      </c>
      <c r="C4" s="926" t="s">
        <v>4655</v>
      </c>
      <c r="D4" s="924">
        <v>30</v>
      </c>
      <c r="E4" s="924">
        <v>31</v>
      </c>
      <c r="F4" s="924">
        <v>32</v>
      </c>
      <c r="G4" s="924">
        <v>30</v>
      </c>
      <c r="H4" s="924">
        <v>31</v>
      </c>
      <c r="I4" s="924">
        <v>32</v>
      </c>
      <c r="J4" s="924">
        <v>31</v>
      </c>
      <c r="K4" s="924">
        <v>32</v>
      </c>
      <c r="L4" s="924">
        <v>32</v>
      </c>
      <c r="M4" s="924">
        <v>32</v>
      </c>
      <c r="N4" s="924"/>
      <c r="O4" s="924"/>
    </row>
    <row r="5" spans="1:15">
      <c r="A5" s="6040"/>
      <c r="B5" s="6043"/>
      <c r="C5" s="926" t="s">
        <v>14026</v>
      </c>
      <c r="D5" s="924">
        <v>4</v>
      </c>
      <c r="E5" s="924">
        <v>5</v>
      </c>
      <c r="F5" s="924">
        <v>6</v>
      </c>
      <c r="G5" s="924">
        <v>8</v>
      </c>
      <c r="H5" s="924">
        <v>10</v>
      </c>
      <c r="I5" s="924">
        <v>12</v>
      </c>
      <c r="J5" s="924">
        <v>14</v>
      </c>
      <c r="K5" s="924">
        <v>16</v>
      </c>
      <c r="L5" s="924">
        <v>18</v>
      </c>
      <c r="M5" s="924">
        <v>20</v>
      </c>
      <c r="N5" s="924"/>
      <c r="O5" s="924"/>
    </row>
    <row r="6" spans="1:15">
      <c r="A6" s="6040"/>
      <c r="B6" s="6043"/>
      <c r="C6" s="926" t="s">
        <v>1155</v>
      </c>
      <c r="D6" s="924">
        <v>10</v>
      </c>
      <c r="E6" s="924">
        <v>9</v>
      </c>
      <c r="F6" s="924">
        <v>9</v>
      </c>
      <c r="G6" s="924">
        <v>9</v>
      </c>
      <c r="H6" s="924">
        <v>9</v>
      </c>
      <c r="I6" s="924">
        <v>9</v>
      </c>
      <c r="J6" s="924">
        <v>9</v>
      </c>
      <c r="K6" s="924">
        <v>8</v>
      </c>
      <c r="L6" s="924">
        <v>8</v>
      </c>
      <c r="M6" s="924">
        <v>8</v>
      </c>
      <c r="N6" s="924">
        <v>8</v>
      </c>
      <c r="O6" s="924"/>
    </row>
    <row r="7" spans="1:15">
      <c r="A7" s="6040"/>
      <c r="B7" s="6043"/>
      <c r="C7" s="926" t="s">
        <v>13954</v>
      </c>
      <c r="D7" s="924">
        <v>0</v>
      </c>
      <c r="E7" s="924">
        <v>0</v>
      </c>
      <c r="F7" s="924">
        <v>0.33300000000000002</v>
      </c>
      <c r="G7" s="924">
        <v>0.5</v>
      </c>
      <c r="H7" s="924">
        <v>0</v>
      </c>
      <c r="I7" s="924">
        <v>0.33300000000000002</v>
      </c>
      <c r="J7" s="924">
        <v>0</v>
      </c>
      <c r="K7" s="924">
        <v>0</v>
      </c>
      <c r="L7" s="924">
        <v>0</v>
      </c>
      <c r="M7" s="924">
        <v>0</v>
      </c>
      <c r="N7" s="924">
        <v>0.45400000000000001</v>
      </c>
      <c r="O7" s="924"/>
    </row>
    <row r="8" spans="1:15">
      <c r="A8" s="6040"/>
      <c r="B8" s="6044"/>
      <c r="C8" s="926" t="s">
        <v>13766</v>
      </c>
      <c r="D8" s="924">
        <v>40</v>
      </c>
      <c r="E8" s="924">
        <v>45</v>
      </c>
      <c r="F8" s="924">
        <v>54</v>
      </c>
      <c r="G8" s="924">
        <v>72</v>
      </c>
      <c r="H8" s="924">
        <v>90</v>
      </c>
      <c r="I8" s="924">
        <v>108</v>
      </c>
      <c r="J8" s="924">
        <v>126</v>
      </c>
      <c r="K8" s="924">
        <v>128</v>
      </c>
      <c r="L8" s="924">
        <v>144</v>
      </c>
      <c r="M8" s="924">
        <v>160</v>
      </c>
      <c r="N8" s="924">
        <v>176</v>
      </c>
      <c r="O8" s="924"/>
    </row>
    <row r="9" spans="1:15">
      <c r="A9" s="6040"/>
      <c r="B9" s="6042">
        <v>10</v>
      </c>
      <c r="C9" s="926" t="s">
        <v>4655</v>
      </c>
      <c r="D9" s="924">
        <v>41</v>
      </c>
      <c r="E9" s="924">
        <v>40</v>
      </c>
      <c r="F9" s="924">
        <v>41</v>
      </c>
      <c r="G9" s="924">
        <v>43</v>
      </c>
      <c r="H9" s="924">
        <v>40</v>
      </c>
      <c r="I9" s="924">
        <v>41</v>
      </c>
      <c r="J9" s="924">
        <v>41</v>
      </c>
      <c r="K9" s="924">
        <v>42</v>
      </c>
      <c r="L9" s="924">
        <v>42</v>
      </c>
      <c r="M9" s="924">
        <v>38</v>
      </c>
      <c r="N9" s="924">
        <v>38</v>
      </c>
      <c r="O9" s="924"/>
    </row>
    <row r="10" spans="1:15">
      <c r="A10" s="6040"/>
      <c r="B10" s="6043"/>
      <c r="C10" s="926" t="s">
        <v>14026</v>
      </c>
      <c r="D10" s="924">
        <v>3</v>
      </c>
      <c r="E10" s="924">
        <v>4</v>
      </c>
      <c r="F10" s="924">
        <v>5</v>
      </c>
      <c r="G10" s="924">
        <v>6</v>
      </c>
      <c r="H10" s="924">
        <v>8</v>
      </c>
      <c r="I10" s="924">
        <v>10</v>
      </c>
      <c r="J10" s="924">
        <v>11</v>
      </c>
      <c r="K10" s="924">
        <v>12</v>
      </c>
      <c r="L10" s="924">
        <v>14</v>
      </c>
      <c r="M10" s="924">
        <v>18</v>
      </c>
      <c r="N10" s="924">
        <v>20</v>
      </c>
      <c r="O10" s="924"/>
    </row>
    <row r="11" spans="1:15">
      <c r="A11" s="6040"/>
      <c r="B11" s="6043"/>
      <c r="C11" s="926" t="s">
        <v>1155</v>
      </c>
      <c r="D11" s="924">
        <v>12</v>
      </c>
      <c r="E11" s="924">
        <v>10</v>
      </c>
      <c r="F11" s="924">
        <v>9</v>
      </c>
      <c r="G11" s="924">
        <v>9</v>
      </c>
      <c r="H11" s="924">
        <v>10</v>
      </c>
      <c r="I11" s="924">
        <v>9</v>
      </c>
      <c r="J11" s="924">
        <v>10</v>
      </c>
      <c r="K11" s="924">
        <v>10</v>
      </c>
      <c r="L11" s="924">
        <v>9</v>
      </c>
      <c r="M11" s="924">
        <v>8</v>
      </c>
      <c r="N11" s="924">
        <v>8</v>
      </c>
      <c r="O11" s="924">
        <v>8</v>
      </c>
    </row>
    <row r="12" spans="1:15">
      <c r="A12" s="6040"/>
      <c r="B12" s="6043"/>
      <c r="C12" s="926" t="s">
        <v>13954</v>
      </c>
      <c r="D12" s="924">
        <v>0.16700000000000001</v>
      </c>
      <c r="E12" s="924">
        <v>0</v>
      </c>
      <c r="F12" s="924">
        <v>0</v>
      </c>
      <c r="G12" s="924">
        <v>0.66700000000000004</v>
      </c>
      <c r="H12" s="924">
        <v>0</v>
      </c>
      <c r="I12" s="924">
        <v>0</v>
      </c>
      <c r="J12" s="924">
        <v>-4.4999999999999998E-2</v>
      </c>
      <c r="K12" s="924">
        <v>0.66600000000000004</v>
      </c>
      <c r="L12" s="924">
        <v>0.214</v>
      </c>
      <c r="M12" s="924">
        <v>-0.77800000000000002</v>
      </c>
      <c r="N12" s="924">
        <v>-0.5</v>
      </c>
      <c r="O12" s="924"/>
    </row>
    <row r="13" spans="1:15">
      <c r="A13" s="6040"/>
      <c r="B13" s="6044"/>
      <c r="C13" s="926" t="s">
        <v>13766</v>
      </c>
      <c r="D13" s="924">
        <v>36</v>
      </c>
      <c r="E13" s="924">
        <v>42</v>
      </c>
      <c r="F13" s="924">
        <v>45</v>
      </c>
      <c r="G13" s="924">
        <v>54</v>
      </c>
      <c r="H13" s="924">
        <v>80</v>
      </c>
      <c r="I13" s="924">
        <v>90</v>
      </c>
      <c r="J13" s="924">
        <v>110</v>
      </c>
      <c r="K13" s="924">
        <v>120</v>
      </c>
      <c r="L13" s="924">
        <v>126</v>
      </c>
      <c r="M13" s="924">
        <v>144</v>
      </c>
      <c r="N13" s="924">
        <v>160</v>
      </c>
      <c r="O13" s="924">
        <v>176</v>
      </c>
    </row>
    <row r="14" spans="1:15">
      <c r="A14" s="6040"/>
      <c r="B14" s="6042">
        <v>12.5</v>
      </c>
      <c r="C14" s="926" t="s">
        <v>4655</v>
      </c>
      <c r="D14" s="924">
        <v>52</v>
      </c>
      <c r="E14" s="924">
        <v>52</v>
      </c>
      <c r="F14" s="924">
        <v>52</v>
      </c>
      <c r="G14" s="924">
        <v>53</v>
      </c>
      <c r="H14" s="924">
        <v>52</v>
      </c>
      <c r="I14" s="924">
        <v>52</v>
      </c>
      <c r="J14" s="924">
        <v>50</v>
      </c>
      <c r="K14" s="924">
        <v>53</v>
      </c>
      <c r="L14" s="924">
        <v>50</v>
      </c>
      <c r="M14" s="924">
        <v>48</v>
      </c>
      <c r="N14" s="924">
        <v>48</v>
      </c>
      <c r="O14" s="924">
        <v>48</v>
      </c>
    </row>
    <row r="15" spans="1:15">
      <c r="A15" s="6040"/>
      <c r="B15" s="6043"/>
      <c r="C15" s="926" t="s">
        <v>14026</v>
      </c>
      <c r="D15" s="924">
        <v>2.5</v>
      </c>
      <c r="E15" s="924">
        <v>3</v>
      </c>
      <c r="F15" s="924">
        <v>4</v>
      </c>
      <c r="G15" s="924">
        <v>5</v>
      </c>
      <c r="H15" s="924">
        <v>6</v>
      </c>
      <c r="I15" s="924">
        <v>8</v>
      </c>
      <c r="J15" s="924">
        <v>9</v>
      </c>
      <c r="K15" s="924">
        <v>10</v>
      </c>
      <c r="L15" s="924">
        <v>12</v>
      </c>
      <c r="M15" s="924">
        <v>14</v>
      </c>
      <c r="N15" s="924">
        <v>16</v>
      </c>
      <c r="O15" s="924"/>
    </row>
    <row r="16" spans="1:15">
      <c r="A16" s="6040"/>
      <c r="B16" s="6043"/>
      <c r="C16" s="926" t="s">
        <v>1155</v>
      </c>
      <c r="D16" s="924">
        <v>12</v>
      </c>
      <c r="E16" s="924">
        <v>12</v>
      </c>
      <c r="F16" s="924">
        <v>10</v>
      </c>
      <c r="G16" s="924">
        <v>9</v>
      </c>
      <c r="H16" s="924">
        <v>12</v>
      </c>
      <c r="I16" s="924">
        <v>10</v>
      </c>
      <c r="J16" s="924">
        <v>12</v>
      </c>
      <c r="K16" s="924">
        <v>10</v>
      </c>
      <c r="L16" s="924">
        <v>10</v>
      </c>
      <c r="M16" s="924">
        <v>9</v>
      </c>
      <c r="N16" s="924">
        <v>8</v>
      </c>
      <c r="O16" s="924"/>
    </row>
    <row r="17" spans="1:15">
      <c r="A17" s="6040"/>
      <c r="B17" s="6043"/>
      <c r="C17" s="926" t="s">
        <v>13954</v>
      </c>
      <c r="D17" s="924">
        <v>0</v>
      </c>
      <c r="E17" s="924">
        <v>1.333</v>
      </c>
      <c r="F17" s="924">
        <v>0.25</v>
      </c>
      <c r="G17" s="924">
        <v>1</v>
      </c>
      <c r="H17" s="924">
        <v>1.333</v>
      </c>
      <c r="I17" s="924">
        <v>0.25</v>
      </c>
      <c r="J17" s="924">
        <v>0.111</v>
      </c>
      <c r="K17" s="924">
        <v>0.5</v>
      </c>
      <c r="L17" s="924">
        <v>0</v>
      </c>
      <c r="M17" s="924">
        <v>7.0999999999999994E-2</v>
      </c>
      <c r="N17" s="924">
        <v>0.125</v>
      </c>
      <c r="O17" s="924"/>
    </row>
    <row r="18" spans="1:15">
      <c r="A18" s="6041"/>
      <c r="B18" s="6044"/>
      <c r="C18" s="926" t="s">
        <v>13766</v>
      </c>
      <c r="D18" s="924">
        <v>30</v>
      </c>
      <c r="E18" s="924">
        <v>36</v>
      </c>
      <c r="F18" s="924">
        <v>40</v>
      </c>
      <c r="G18" s="924">
        <v>45</v>
      </c>
      <c r="H18" s="924">
        <v>72</v>
      </c>
      <c r="I18" s="924">
        <v>80</v>
      </c>
      <c r="J18" s="924">
        <v>108</v>
      </c>
      <c r="K18" s="924">
        <v>100</v>
      </c>
      <c r="L18" s="924">
        <v>120</v>
      </c>
      <c r="M18" s="924">
        <v>126</v>
      </c>
      <c r="N18" s="924">
        <v>128</v>
      </c>
      <c r="O18" s="924"/>
    </row>
    <row r="19" spans="1:15">
      <c r="A19" s="6039">
        <v>2</v>
      </c>
      <c r="B19" s="6042">
        <v>16</v>
      </c>
      <c r="C19" s="926" t="s">
        <v>4655</v>
      </c>
      <c r="D19" s="924">
        <v>30</v>
      </c>
      <c r="E19" s="924">
        <v>31</v>
      </c>
      <c r="F19" s="924">
        <v>32</v>
      </c>
      <c r="G19" s="924">
        <v>30</v>
      </c>
      <c r="H19" s="924">
        <v>31</v>
      </c>
      <c r="I19" s="924">
        <v>32</v>
      </c>
      <c r="J19" s="924">
        <v>31</v>
      </c>
      <c r="K19" s="924">
        <v>32</v>
      </c>
      <c r="L19" s="924">
        <v>32</v>
      </c>
      <c r="M19" s="924">
        <v>32</v>
      </c>
      <c r="N19" s="924">
        <v>32</v>
      </c>
      <c r="O19" s="924">
        <v>32</v>
      </c>
    </row>
    <row r="20" spans="1:15">
      <c r="A20" s="6040"/>
      <c r="B20" s="6043"/>
      <c r="C20" s="926" t="s">
        <v>14026</v>
      </c>
      <c r="D20" s="924">
        <v>4</v>
      </c>
      <c r="E20" s="924">
        <v>5</v>
      </c>
      <c r="F20" s="924">
        <v>6</v>
      </c>
      <c r="G20" s="924">
        <v>8</v>
      </c>
      <c r="H20" s="924">
        <v>10</v>
      </c>
      <c r="I20" s="924">
        <v>12</v>
      </c>
      <c r="J20" s="924">
        <v>14</v>
      </c>
      <c r="K20" s="924">
        <v>16</v>
      </c>
      <c r="L20" s="924">
        <v>18</v>
      </c>
      <c r="M20" s="924">
        <v>20</v>
      </c>
      <c r="N20" s="924">
        <v>22</v>
      </c>
      <c r="O20" s="924">
        <v>25</v>
      </c>
    </row>
    <row r="21" spans="1:15">
      <c r="A21" s="6040"/>
      <c r="B21" s="6043"/>
      <c r="C21" s="926" t="s">
        <v>1155</v>
      </c>
      <c r="D21" s="924">
        <v>10</v>
      </c>
      <c r="E21" s="924">
        <v>9</v>
      </c>
      <c r="F21" s="924">
        <v>9</v>
      </c>
      <c r="G21" s="924">
        <v>9</v>
      </c>
      <c r="H21" s="924">
        <v>9</v>
      </c>
      <c r="I21" s="924">
        <v>9</v>
      </c>
      <c r="J21" s="924">
        <v>9</v>
      </c>
      <c r="K21" s="924">
        <v>8</v>
      </c>
      <c r="L21" s="924">
        <v>8</v>
      </c>
      <c r="M21" s="924">
        <v>8</v>
      </c>
      <c r="N21" s="924">
        <v>8</v>
      </c>
      <c r="O21" s="924">
        <v>8</v>
      </c>
    </row>
    <row r="22" spans="1:15">
      <c r="A22" s="6040"/>
      <c r="B22" s="6043"/>
      <c r="C22" s="926" t="s">
        <v>13954</v>
      </c>
      <c r="D22" s="924">
        <v>0</v>
      </c>
      <c r="E22" s="924">
        <v>0</v>
      </c>
      <c r="F22" s="924">
        <v>0.33300000000000002</v>
      </c>
      <c r="G22" s="924">
        <v>0.5</v>
      </c>
      <c r="H22" s="924">
        <v>0</v>
      </c>
      <c r="I22" s="924">
        <v>0.33300000000000002</v>
      </c>
      <c r="J22" s="924">
        <v>0</v>
      </c>
      <c r="K22" s="924">
        <v>0</v>
      </c>
      <c r="L22" s="924">
        <v>0</v>
      </c>
      <c r="M22" s="924">
        <v>0</v>
      </c>
      <c r="N22" s="924">
        <v>0.45400000000000001</v>
      </c>
      <c r="O22" s="924">
        <v>0</v>
      </c>
    </row>
    <row r="23" spans="1:15">
      <c r="A23" s="6040"/>
      <c r="B23" s="6044"/>
      <c r="C23" s="926" t="s">
        <v>13766</v>
      </c>
      <c r="D23" s="924">
        <v>40</v>
      </c>
      <c r="E23" s="924">
        <v>45</v>
      </c>
      <c r="F23" s="924">
        <v>54</v>
      </c>
      <c r="G23" s="924">
        <v>72</v>
      </c>
      <c r="H23" s="924">
        <v>90</v>
      </c>
      <c r="I23" s="924">
        <v>108</v>
      </c>
      <c r="J23" s="924">
        <v>126</v>
      </c>
      <c r="K23" s="924">
        <v>128</v>
      </c>
      <c r="L23" s="924">
        <v>144</v>
      </c>
      <c r="M23" s="924">
        <v>160</v>
      </c>
      <c r="N23" s="924">
        <v>176</v>
      </c>
      <c r="O23" s="924">
        <v>200</v>
      </c>
    </row>
    <row r="24" spans="1:15">
      <c r="A24" s="6040"/>
      <c r="B24" s="6042">
        <v>20</v>
      </c>
      <c r="C24" s="926" t="s">
        <v>4655</v>
      </c>
      <c r="D24" s="924">
        <v>41</v>
      </c>
      <c r="E24" s="924">
        <v>40</v>
      </c>
      <c r="F24" s="924">
        <v>41</v>
      </c>
      <c r="G24" s="924">
        <v>43</v>
      </c>
      <c r="H24" s="924">
        <v>40</v>
      </c>
      <c r="I24" s="924">
        <v>41</v>
      </c>
      <c r="J24" s="924">
        <v>41</v>
      </c>
      <c r="K24" s="924">
        <v>42</v>
      </c>
      <c r="L24" s="924">
        <v>42</v>
      </c>
      <c r="M24" s="924">
        <v>38</v>
      </c>
      <c r="N24" s="924">
        <v>38</v>
      </c>
      <c r="O24" s="924">
        <v>38</v>
      </c>
    </row>
    <row r="25" spans="1:15">
      <c r="A25" s="6040"/>
      <c r="B25" s="6043"/>
      <c r="C25" s="926" t="s">
        <v>14026</v>
      </c>
      <c r="D25" s="924">
        <v>3</v>
      </c>
      <c r="E25" s="924">
        <v>4</v>
      </c>
      <c r="F25" s="924">
        <v>5</v>
      </c>
      <c r="G25" s="924">
        <v>6</v>
      </c>
      <c r="H25" s="924">
        <v>8</v>
      </c>
      <c r="I25" s="924">
        <v>10</v>
      </c>
      <c r="J25" s="924">
        <v>11</v>
      </c>
      <c r="K25" s="924">
        <v>12</v>
      </c>
      <c r="L25" s="924">
        <v>14</v>
      </c>
      <c r="M25" s="924">
        <v>18</v>
      </c>
      <c r="N25" s="924">
        <v>20</v>
      </c>
      <c r="O25" s="924">
        <v>22</v>
      </c>
    </row>
    <row r="26" spans="1:15">
      <c r="A26" s="6040"/>
      <c r="B26" s="6043"/>
      <c r="C26" s="926" t="s">
        <v>1155</v>
      </c>
      <c r="D26" s="924">
        <v>12</v>
      </c>
      <c r="E26" s="924">
        <v>10</v>
      </c>
      <c r="F26" s="924">
        <v>9</v>
      </c>
      <c r="G26" s="924">
        <v>9</v>
      </c>
      <c r="H26" s="924">
        <v>10</v>
      </c>
      <c r="I26" s="924">
        <v>9</v>
      </c>
      <c r="J26" s="924">
        <v>10</v>
      </c>
      <c r="K26" s="924">
        <v>10</v>
      </c>
      <c r="L26" s="924">
        <v>9</v>
      </c>
      <c r="M26" s="924">
        <v>8</v>
      </c>
      <c r="N26" s="924">
        <v>8</v>
      </c>
      <c r="O26" s="924">
        <v>8</v>
      </c>
    </row>
    <row r="27" spans="1:15">
      <c r="A27" s="6040"/>
      <c r="B27" s="6043"/>
      <c r="C27" s="926" t="s">
        <v>13954</v>
      </c>
      <c r="D27" s="924">
        <v>0.16700000000000001</v>
      </c>
      <c r="E27" s="924">
        <v>0</v>
      </c>
      <c r="F27" s="924">
        <v>0</v>
      </c>
      <c r="G27" s="924">
        <v>0.66700000000000004</v>
      </c>
      <c r="H27" s="924">
        <v>0</v>
      </c>
      <c r="I27" s="924">
        <v>0</v>
      </c>
      <c r="J27" s="924">
        <v>-4.4999999999999998E-2</v>
      </c>
      <c r="K27" s="924">
        <v>0.66600000000000004</v>
      </c>
      <c r="L27" s="924">
        <v>0.214</v>
      </c>
      <c r="M27" s="924">
        <v>-0.77800000000000002</v>
      </c>
      <c r="N27" s="924">
        <v>-0.5</v>
      </c>
      <c r="O27" s="924">
        <v>-0.27300000000000002</v>
      </c>
    </row>
    <row r="28" spans="1:15">
      <c r="A28" s="6040"/>
      <c r="B28" s="6044"/>
      <c r="C28" s="926" t="s">
        <v>13766</v>
      </c>
      <c r="D28" s="924">
        <v>36</v>
      </c>
      <c r="E28" s="924">
        <v>42</v>
      </c>
      <c r="F28" s="924">
        <v>45</v>
      </c>
      <c r="G28" s="924">
        <v>54</v>
      </c>
      <c r="H28" s="924">
        <v>80</v>
      </c>
      <c r="I28" s="924">
        <v>90</v>
      </c>
      <c r="J28" s="924">
        <v>110</v>
      </c>
      <c r="K28" s="924">
        <v>120</v>
      </c>
      <c r="L28" s="924">
        <v>126</v>
      </c>
      <c r="M28" s="924">
        <v>144</v>
      </c>
      <c r="N28" s="924">
        <v>160</v>
      </c>
      <c r="O28" s="924">
        <v>176</v>
      </c>
    </row>
    <row r="29" spans="1:15">
      <c r="A29" s="6040"/>
      <c r="B29" s="6042">
        <v>25</v>
      </c>
      <c r="C29" s="926" t="s">
        <v>4655</v>
      </c>
      <c r="D29" s="924">
        <v>52</v>
      </c>
      <c r="E29" s="924">
        <v>52</v>
      </c>
      <c r="F29" s="924">
        <v>52</v>
      </c>
      <c r="G29" s="924">
        <v>53</v>
      </c>
      <c r="H29" s="924">
        <v>52</v>
      </c>
      <c r="I29" s="924">
        <v>52</v>
      </c>
      <c r="J29" s="924">
        <v>50</v>
      </c>
      <c r="K29" s="924">
        <v>53</v>
      </c>
      <c r="L29" s="924">
        <v>50</v>
      </c>
      <c r="M29" s="924">
        <v>48</v>
      </c>
      <c r="N29" s="924">
        <v>48</v>
      </c>
      <c r="O29" s="924">
        <v>48</v>
      </c>
    </row>
    <row r="30" spans="1:15">
      <c r="A30" s="6040"/>
      <c r="B30" s="6043"/>
      <c r="C30" s="926" t="s">
        <v>14026</v>
      </c>
      <c r="D30" s="924">
        <v>2.5</v>
      </c>
      <c r="E30" s="924">
        <v>3</v>
      </c>
      <c r="F30" s="924">
        <v>4</v>
      </c>
      <c r="G30" s="924">
        <v>5</v>
      </c>
      <c r="H30" s="924">
        <v>6</v>
      </c>
      <c r="I30" s="924">
        <v>8</v>
      </c>
      <c r="J30" s="924">
        <v>9</v>
      </c>
      <c r="K30" s="924">
        <v>10</v>
      </c>
      <c r="L30" s="924">
        <v>12</v>
      </c>
      <c r="M30" s="924">
        <v>14</v>
      </c>
      <c r="N30" s="924">
        <v>16</v>
      </c>
      <c r="O30" s="924">
        <v>18</v>
      </c>
    </row>
    <row r="31" spans="1:15">
      <c r="A31" s="6040"/>
      <c r="B31" s="6043"/>
      <c r="C31" s="926" t="s">
        <v>1155</v>
      </c>
      <c r="D31" s="924">
        <v>12</v>
      </c>
      <c r="E31" s="924">
        <v>12</v>
      </c>
      <c r="F31" s="924">
        <v>10</v>
      </c>
      <c r="G31" s="924">
        <v>9</v>
      </c>
      <c r="H31" s="924">
        <v>12</v>
      </c>
      <c r="I31" s="924">
        <v>10</v>
      </c>
      <c r="J31" s="924">
        <v>12</v>
      </c>
      <c r="K31" s="924">
        <v>10</v>
      </c>
      <c r="L31" s="924">
        <v>10</v>
      </c>
      <c r="M31" s="924">
        <v>9</v>
      </c>
      <c r="N31" s="924">
        <v>8</v>
      </c>
      <c r="O31" s="924">
        <v>8</v>
      </c>
    </row>
    <row r="32" spans="1:15">
      <c r="A32" s="6040"/>
      <c r="B32" s="6043"/>
      <c r="C32" s="926" t="s">
        <v>13954</v>
      </c>
      <c r="D32" s="924">
        <v>0</v>
      </c>
      <c r="E32" s="924">
        <v>1.333</v>
      </c>
      <c r="F32" s="924">
        <v>0.25</v>
      </c>
      <c r="G32" s="924">
        <v>1</v>
      </c>
      <c r="H32" s="924">
        <v>1.333</v>
      </c>
      <c r="I32" s="924">
        <v>0.25</v>
      </c>
      <c r="J32" s="924">
        <v>0.111</v>
      </c>
      <c r="K32" s="924">
        <v>0.5</v>
      </c>
      <c r="L32" s="924">
        <v>0</v>
      </c>
      <c r="M32" s="924">
        <v>7.0999999999999994E-2</v>
      </c>
      <c r="N32" s="924">
        <v>0.125</v>
      </c>
      <c r="O32" s="924">
        <v>-0.222</v>
      </c>
    </row>
    <row r="33" spans="1:15">
      <c r="A33" s="6041"/>
      <c r="B33" s="6044"/>
      <c r="C33" s="926" t="s">
        <v>13766</v>
      </c>
      <c r="D33" s="924">
        <v>30</v>
      </c>
      <c r="E33" s="924">
        <v>36</v>
      </c>
      <c r="F33" s="924">
        <v>40</v>
      </c>
      <c r="G33" s="924">
        <v>45</v>
      </c>
      <c r="H33" s="924">
        <v>72</v>
      </c>
      <c r="I33" s="924">
        <v>80</v>
      </c>
      <c r="J33" s="924">
        <v>108</v>
      </c>
      <c r="K33" s="924">
        <v>100</v>
      </c>
      <c r="L33" s="924">
        <v>120</v>
      </c>
      <c r="M33" s="924">
        <v>126</v>
      </c>
      <c r="N33" s="924">
        <v>128</v>
      </c>
      <c r="O33" s="924">
        <v>144</v>
      </c>
    </row>
    <row r="34" spans="1:15">
      <c r="A34" s="6039">
        <v>1</v>
      </c>
      <c r="B34" s="6045">
        <v>30</v>
      </c>
      <c r="C34" s="926" t="s">
        <v>4655</v>
      </c>
      <c r="D34" s="924">
        <v>30</v>
      </c>
      <c r="E34" s="924">
        <v>31</v>
      </c>
      <c r="F34" s="924">
        <v>32</v>
      </c>
      <c r="G34" s="924">
        <v>30</v>
      </c>
      <c r="H34" s="924">
        <v>31</v>
      </c>
      <c r="I34" s="924">
        <v>32</v>
      </c>
      <c r="J34" s="924">
        <v>31</v>
      </c>
      <c r="K34" s="924">
        <v>32</v>
      </c>
      <c r="L34" s="924">
        <v>32</v>
      </c>
      <c r="M34" s="924">
        <v>32</v>
      </c>
      <c r="N34" s="924">
        <v>32</v>
      </c>
      <c r="O34" s="924">
        <v>32</v>
      </c>
    </row>
    <row r="35" spans="1:15">
      <c r="A35" s="6040"/>
      <c r="B35" s="6045"/>
      <c r="C35" s="926" t="s">
        <v>14026</v>
      </c>
      <c r="D35" s="924">
        <v>4</v>
      </c>
      <c r="E35" s="924">
        <v>5</v>
      </c>
      <c r="F35" s="924">
        <v>6</v>
      </c>
      <c r="G35" s="924">
        <v>8</v>
      </c>
      <c r="H35" s="924">
        <v>10</v>
      </c>
      <c r="I35" s="924">
        <v>12</v>
      </c>
      <c r="J35" s="924">
        <v>14</v>
      </c>
      <c r="K35" s="924">
        <v>16</v>
      </c>
      <c r="L35" s="924">
        <v>18</v>
      </c>
      <c r="M35" s="924">
        <v>20</v>
      </c>
      <c r="N35" s="924">
        <v>22</v>
      </c>
      <c r="O35" s="924">
        <v>25</v>
      </c>
    </row>
    <row r="36" spans="1:15">
      <c r="A36" s="6040"/>
      <c r="B36" s="6045"/>
      <c r="C36" s="926" t="s">
        <v>1155</v>
      </c>
      <c r="D36" s="924">
        <v>10</v>
      </c>
      <c r="E36" s="924">
        <v>9</v>
      </c>
      <c r="F36" s="924">
        <v>9</v>
      </c>
      <c r="G36" s="924">
        <v>9</v>
      </c>
      <c r="H36" s="924">
        <v>9</v>
      </c>
      <c r="I36" s="924">
        <v>9</v>
      </c>
      <c r="J36" s="924">
        <v>9</v>
      </c>
      <c r="K36" s="924">
        <v>8</v>
      </c>
      <c r="L36" s="924">
        <v>8</v>
      </c>
      <c r="M36" s="924">
        <v>8</v>
      </c>
      <c r="N36" s="924">
        <v>8</v>
      </c>
      <c r="O36" s="924">
        <v>8</v>
      </c>
    </row>
    <row r="37" spans="1:15">
      <c r="A37" s="6040"/>
      <c r="B37" s="6045"/>
      <c r="C37" s="926" t="s">
        <v>13954</v>
      </c>
      <c r="D37" s="924">
        <v>0</v>
      </c>
      <c r="E37" s="924">
        <v>0</v>
      </c>
      <c r="F37" s="924">
        <v>0.33300000000000002</v>
      </c>
      <c r="G37" s="924">
        <v>0.5</v>
      </c>
      <c r="H37" s="924">
        <v>0</v>
      </c>
      <c r="I37" s="924">
        <v>0.33300000000000002</v>
      </c>
      <c r="J37" s="924">
        <v>0</v>
      </c>
      <c r="K37" s="924">
        <v>0</v>
      </c>
      <c r="L37" s="924">
        <v>0</v>
      </c>
      <c r="M37" s="924">
        <v>0</v>
      </c>
      <c r="N37" s="924">
        <v>0.45400000000000001</v>
      </c>
      <c r="O37" s="924">
        <v>0</v>
      </c>
    </row>
    <row r="38" spans="1:15">
      <c r="A38" s="6040"/>
      <c r="B38" s="6045"/>
      <c r="C38" s="926" t="s">
        <v>13766</v>
      </c>
      <c r="D38" s="924">
        <v>40</v>
      </c>
      <c r="E38" s="924">
        <v>45</v>
      </c>
      <c r="F38" s="924">
        <v>54</v>
      </c>
      <c r="G38" s="924">
        <v>72</v>
      </c>
      <c r="H38" s="924">
        <v>90</v>
      </c>
      <c r="I38" s="924">
        <v>108</v>
      </c>
      <c r="J38" s="924">
        <v>126</v>
      </c>
      <c r="K38" s="924">
        <v>128</v>
      </c>
      <c r="L38" s="924">
        <v>144</v>
      </c>
      <c r="M38" s="924">
        <v>160</v>
      </c>
      <c r="N38" s="924">
        <v>176</v>
      </c>
      <c r="O38" s="924">
        <v>200</v>
      </c>
    </row>
    <row r="39" spans="1:15">
      <c r="A39" s="6040"/>
      <c r="B39" s="6045">
        <v>40</v>
      </c>
      <c r="C39" s="926" t="s">
        <v>4655</v>
      </c>
      <c r="D39" s="924">
        <v>41</v>
      </c>
      <c r="E39" s="924">
        <v>40</v>
      </c>
      <c r="F39" s="924">
        <v>41</v>
      </c>
      <c r="G39" s="924">
        <v>43</v>
      </c>
      <c r="H39" s="924">
        <v>40</v>
      </c>
      <c r="I39" s="924">
        <v>41</v>
      </c>
      <c r="J39" s="924">
        <v>41</v>
      </c>
      <c r="K39" s="924">
        <v>42</v>
      </c>
      <c r="L39" s="924">
        <v>42</v>
      </c>
      <c r="M39" s="924">
        <v>38</v>
      </c>
      <c r="N39" s="924">
        <v>38</v>
      </c>
      <c r="O39" s="924">
        <v>38</v>
      </c>
    </row>
    <row r="40" spans="1:15">
      <c r="A40" s="6040"/>
      <c r="B40" s="6045"/>
      <c r="C40" s="926" t="s">
        <v>14026</v>
      </c>
      <c r="D40" s="924">
        <v>3</v>
      </c>
      <c r="E40" s="924">
        <v>4</v>
      </c>
      <c r="F40" s="924">
        <v>5</v>
      </c>
      <c r="G40" s="924">
        <v>6</v>
      </c>
      <c r="H40" s="924">
        <v>8</v>
      </c>
      <c r="I40" s="924">
        <v>10</v>
      </c>
      <c r="J40" s="924">
        <v>11</v>
      </c>
      <c r="K40" s="924">
        <v>12</v>
      </c>
      <c r="L40" s="924">
        <v>14</v>
      </c>
      <c r="M40" s="924">
        <v>18</v>
      </c>
      <c r="N40" s="924">
        <v>20</v>
      </c>
      <c r="O40" s="924">
        <v>22</v>
      </c>
    </row>
    <row r="41" spans="1:15">
      <c r="A41" s="6040"/>
      <c r="B41" s="6045"/>
      <c r="C41" s="926" t="s">
        <v>1155</v>
      </c>
      <c r="D41" s="924">
        <v>12</v>
      </c>
      <c r="E41" s="924">
        <v>10</v>
      </c>
      <c r="F41" s="924">
        <v>9</v>
      </c>
      <c r="G41" s="924">
        <v>9</v>
      </c>
      <c r="H41" s="924">
        <v>10</v>
      </c>
      <c r="I41" s="924">
        <v>9</v>
      </c>
      <c r="J41" s="924">
        <v>10</v>
      </c>
      <c r="K41" s="924">
        <v>10</v>
      </c>
      <c r="L41" s="924">
        <v>9</v>
      </c>
      <c r="M41" s="924">
        <v>8</v>
      </c>
      <c r="N41" s="924">
        <v>8</v>
      </c>
      <c r="O41" s="924">
        <v>8</v>
      </c>
    </row>
    <row r="42" spans="1:15">
      <c r="A42" s="6040"/>
      <c r="B42" s="6045"/>
      <c r="C42" s="926" t="s">
        <v>13954</v>
      </c>
      <c r="D42" s="924">
        <v>0.16700000000000001</v>
      </c>
      <c r="E42" s="924">
        <v>0</v>
      </c>
      <c r="F42" s="924">
        <v>0</v>
      </c>
      <c r="G42" s="924">
        <v>0.66700000000000004</v>
      </c>
      <c r="H42" s="924">
        <v>0</v>
      </c>
      <c r="I42" s="924">
        <v>0</v>
      </c>
      <c r="J42" s="924">
        <v>-4.4999999999999998E-2</v>
      </c>
      <c r="K42" s="924">
        <v>0.66600000000000004</v>
      </c>
      <c r="L42" s="924">
        <v>0.214</v>
      </c>
      <c r="M42" s="924">
        <v>-0.77800000000000002</v>
      </c>
      <c r="N42" s="924">
        <v>-0.5</v>
      </c>
      <c r="O42" s="924">
        <v>-0.27300000000000002</v>
      </c>
    </row>
    <row r="43" spans="1:15">
      <c r="A43" s="6040"/>
      <c r="B43" s="6045"/>
      <c r="C43" s="926" t="s">
        <v>13766</v>
      </c>
      <c r="D43" s="924">
        <v>36</v>
      </c>
      <c r="E43" s="924">
        <v>42</v>
      </c>
      <c r="F43" s="924">
        <v>45</v>
      </c>
      <c r="G43" s="924">
        <v>54</v>
      </c>
      <c r="H43" s="924">
        <v>80</v>
      </c>
      <c r="I43" s="924">
        <v>90</v>
      </c>
      <c r="J43" s="924">
        <v>110</v>
      </c>
      <c r="K43" s="924">
        <v>120</v>
      </c>
      <c r="L43" s="924">
        <v>126</v>
      </c>
      <c r="M43" s="924">
        <v>144</v>
      </c>
      <c r="N43" s="924">
        <v>160</v>
      </c>
      <c r="O43" s="924">
        <v>176</v>
      </c>
    </row>
    <row r="44" spans="1:15">
      <c r="A44" s="6040"/>
      <c r="B44" s="6045">
        <v>50</v>
      </c>
      <c r="C44" s="926" t="s">
        <v>4655</v>
      </c>
      <c r="D44" s="924">
        <v>52</v>
      </c>
      <c r="E44" s="924">
        <v>52</v>
      </c>
      <c r="F44" s="924">
        <v>52</v>
      </c>
      <c r="G44" s="924">
        <v>53</v>
      </c>
      <c r="H44" s="924">
        <v>52</v>
      </c>
      <c r="I44" s="924">
        <v>52</v>
      </c>
      <c r="J44" s="924">
        <v>50</v>
      </c>
      <c r="K44" s="924">
        <v>53</v>
      </c>
      <c r="L44" s="924">
        <v>50</v>
      </c>
      <c r="M44" s="924">
        <v>48</v>
      </c>
      <c r="N44" s="924">
        <v>48</v>
      </c>
      <c r="O44" s="924">
        <v>48</v>
      </c>
    </row>
    <row r="45" spans="1:15">
      <c r="A45" s="6040"/>
      <c r="B45" s="6045"/>
      <c r="C45" s="926" t="s">
        <v>14026</v>
      </c>
      <c r="D45" s="924">
        <v>2.5</v>
      </c>
      <c r="E45" s="924">
        <v>3</v>
      </c>
      <c r="F45" s="924">
        <v>4</v>
      </c>
      <c r="G45" s="924">
        <v>5</v>
      </c>
      <c r="H45" s="924">
        <v>6</v>
      </c>
      <c r="I45" s="924">
        <v>8</v>
      </c>
      <c r="J45" s="924">
        <v>9</v>
      </c>
      <c r="K45" s="924">
        <v>10</v>
      </c>
      <c r="L45" s="924">
        <v>12</v>
      </c>
      <c r="M45" s="924">
        <v>14</v>
      </c>
      <c r="N45" s="924">
        <v>16</v>
      </c>
      <c r="O45" s="924">
        <v>18</v>
      </c>
    </row>
    <row r="46" spans="1:15">
      <c r="A46" s="6040"/>
      <c r="B46" s="6045"/>
      <c r="C46" s="926" t="s">
        <v>1155</v>
      </c>
      <c r="D46" s="924">
        <v>12</v>
      </c>
      <c r="E46" s="924">
        <v>12</v>
      </c>
      <c r="F46" s="924">
        <v>10</v>
      </c>
      <c r="G46" s="924">
        <v>9</v>
      </c>
      <c r="H46" s="924">
        <v>12</v>
      </c>
      <c r="I46" s="924">
        <v>10</v>
      </c>
      <c r="J46" s="924">
        <v>12</v>
      </c>
      <c r="K46" s="924">
        <v>10</v>
      </c>
      <c r="L46" s="924">
        <v>10</v>
      </c>
      <c r="M46" s="924">
        <v>9</v>
      </c>
      <c r="N46" s="924">
        <v>8</v>
      </c>
      <c r="O46" s="924">
        <v>8</v>
      </c>
    </row>
    <row r="47" spans="1:15">
      <c r="A47" s="6040"/>
      <c r="B47" s="6045"/>
      <c r="C47" s="926" t="s">
        <v>13954</v>
      </c>
      <c r="D47" s="924">
        <v>0</v>
      </c>
      <c r="E47" s="924">
        <v>1.333</v>
      </c>
      <c r="F47" s="924">
        <v>0.25</v>
      </c>
      <c r="G47" s="924">
        <v>1</v>
      </c>
      <c r="H47" s="924">
        <v>1.333</v>
      </c>
      <c r="I47" s="924">
        <v>0.25</v>
      </c>
      <c r="J47" s="924">
        <v>0.111</v>
      </c>
      <c r="K47" s="924">
        <v>0.5</v>
      </c>
      <c r="L47" s="924">
        <v>0</v>
      </c>
      <c r="M47" s="924">
        <v>7.0999999999999994E-2</v>
      </c>
      <c r="N47" s="924">
        <v>0.125</v>
      </c>
      <c r="O47" s="924">
        <v>-0.222</v>
      </c>
    </row>
    <row r="48" spans="1:15">
      <c r="A48" s="6041"/>
      <c r="B48" s="6045"/>
      <c r="C48" s="926" t="s">
        <v>13766</v>
      </c>
      <c r="D48" s="924">
        <v>30</v>
      </c>
      <c r="E48" s="924">
        <v>36</v>
      </c>
      <c r="F48" s="924">
        <v>40</v>
      </c>
      <c r="G48" s="924">
        <v>45</v>
      </c>
      <c r="H48" s="924">
        <v>72</v>
      </c>
      <c r="I48" s="924">
        <v>80</v>
      </c>
      <c r="J48" s="924">
        <v>108</v>
      </c>
      <c r="K48" s="924">
        <v>100</v>
      </c>
      <c r="L48" s="924">
        <v>120</v>
      </c>
      <c r="M48" s="924">
        <v>126</v>
      </c>
      <c r="N48" s="924">
        <v>128</v>
      </c>
      <c r="O48" s="924">
        <v>144</v>
      </c>
    </row>
  </sheetData>
  <mergeCells count="17">
    <mergeCell ref="A1:O1"/>
    <mergeCell ref="D2:O2"/>
    <mergeCell ref="A2:A3"/>
    <mergeCell ref="A4:A18"/>
    <mergeCell ref="A19:A33"/>
    <mergeCell ref="C2:C3"/>
    <mergeCell ref="A34:A48"/>
    <mergeCell ref="B2:B3"/>
    <mergeCell ref="B4:B8"/>
    <mergeCell ref="B9:B13"/>
    <mergeCell ref="B14:B18"/>
    <mergeCell ref="B19:B23"/>
    <mergeCell ref="B24:B28"/>
    <mergeCell ref="B29:B33"/>
    <mergeCell ref="B34:B38"/>
    <mergeCell ref="B39:B43"/>
    <mergeCell ref="B44:B48"/>
  </mergeCells>
  <phoneticPr fontId="214" type="noConversion"/>
  <printOptions horizontalCentered="1"/>
  <pageMargins left="0.34930555555555598" right="0.34930555555555598" top="0.38888888888888901" bottom="0.38888888888888901" header="0.50902777777777797" footer="0.50902777777777797"/>
  <pageSetup paperSize="9" orientation="portrait"/>
  <headerFooter scaleWithDoc="0" alignWithMargins="0"/>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55"/>
  <dimension ref="A1:E19"/>
  <sheetViews>
    <sheetView workbookViewId="0">
      <selection sqref="A1:E1"/>
    </sheetView>
  </sheetViews>
  <sheetFormatPr defaultColWidth="9" defaultRowHeight="13.5"/>
  <cols>
    <col min="1" max="1" width="19.375" style="916" customWidth="1"/>
    <col min="2" max="2" width="14.75" style="916" customWidth="1"/>
    <col min="3" max="3" width="12" style="916" customWidth="1"/>
    <col min="4" max="4" width="11.125" style="916" customWidth="1"/>
    <col min="5" max="5" width="16.375" style="916" customWidth="1"/>
    <col min="6" max="16384" width="9" style="916"/>
  </cols>
  <sheetData>
    <row r="1" spans="1:5" ht="52.15" customHeight="1">
      <c r="A1" s="6053" t="s">
        <v>14027</v>
      </c>
      <c r="B1" s="6053"/>
      <c r="C1" s="6053"/>
      <c r="D1" s="6053"/>
      <c r="E1" s="6053"/>
    </row>
    <row r="2" spans="1:5" ht="4.1500000000000004" customHeight="1"/>
    <row r="3" spans="1:5" ht="24" customHeight="1">
      <c r="A3" s="6058" t="s">
        <v>14028</v>
      </c>
      <c r="B3" s="917" t="s">
        <v>14029</v>
      </c>
      <c r="C3" s="917" t="s">
        <v>14030</v>
      </c>
      <c r="D3" s="917" t="s">
        <v>14031</v>
      </c>
      <c r="E3" s="917" t="s">
        <v>14032</v>
      </c>
    </row>
    <row r="4" spans="1:5" ht="28.15" customHeight="1">
      <c r="A4" s="6058"/>
      <c r="B4" s="918" t="s">
        <v>14033</v>
      </c>
      <c r="C4" s="918" t="s">
        <v>14034</v>
      </c>
      <c r="D4" s="918" t="s">
        <v>14035</v>
      </c>
      <c r="E4" s="918" t="s">
        <v>14036</v>
      </c>
    </row>
    <row r="5" spans="1:5" ht="36" customHeight="1">
      <c r="A5" s="6058"/>
      <c r="B5" s="919">
        <v>379</v>
      </c>
      <c r="C5" s="919">
        <v>254</v>
      </c>
      <c r="D5" s="919">
        <v>76.2</v>
      </c>
      <c r="E5" s="920">
        <f>2*B5+PI()/2*(C5+D5)+(D5-C5)*(D5-C5)/(4*B5)</f>
        <v>1297.5297439414501</v>
      </c>
    </row>
    <row r="6" spans="1:5" ht="19.149999999999999" customHeight="1">
      <c r="A6" s="6054" t="s">
        <v>14037</v>
      </c>
      <c r="B6" s="6054"/>
      <c r="C6" s="6054"/>
      <c r="D6" s="6054"/>
      <c r="E6" s="6054"/>
    </row>
    <row r="7" spans="1:5" ht="25.15" customHeight="1">
      <c r="A7" s="6059" t="s">
        <v>14038</v>
      </c>
      <c r="B7" s="6055" t="s">
        <v>14039</v>
      </c>
      <c r="C7" s="6056"/>
      <c r="D7" s="6057"/>
    </row>
    <row r="8" spans="1:5">
      <c r="A8" s="6059"/>
      <c r="B8" s="6049" t="s">
        <v>14040</v>
      </c>
      <c r="C8" s="6050"/>
      <c r="D8" s="6050"/>
    </row>
    <row r="9" spans="1:5">
      <c r="A9" s="6059"/>
      <c r="B9" s="6050"/>
      <c r="C9" s="6050"/>
      <c r="D9" s="6050"/>
    </row>
    <row r="10" spans="1:5">
      <c r="A10" s="6059"/>
      <c r="B10" s="6050"/>
      <c r="C10" s="6050"/>
      <c r="D10" s="6050"/>
    </row>
    <row r="11" spans="1:5">
      <c r="A11" s="6059"/>
      <c r="B11" s="6050"/>
      <c r="C11" s="6050"/>
      <c r="D11" s="6050"/>
    </row>
    <row r="12" spans="1:5">
      <c r="A12" s="6059"/>
      <c r="B12" s="6050"/>
      <c r="C12" s="6050"/>
      <c r="D12" s="6050"/>
    </row>
    <row r="14" spans="1:5" ht="21.95" customHeight="1">
      <c r="A14" s="6047" t="s">
        <v>14041</v>
      </c>
      <c r="B14" s="6051" t="s">
        <v>14042</v>
      </c>
      <c r="C14" s="6051"/>
      <c r="D14" s="6051"/>
    </row>
    <row r="15" spans="1:5">
      <c r="A15" s="6048"/>
      <c r="B15" s="6051"/>
      <c r="C15" s="6051"/>
      <c r="D15" s="6051"/>
    </row>
    <row r="16" spans="1:5" ht="23.1" customHeight="1">
      <c r="A16" s="6048"/>
      <c r="B16" s="6051" t="s">
        <v>14043</v>
      </c>
      <c r="C16" s="6051"/>
      <c r="D16" s="6051"/>
    </row>
    <row r="17" spans="1:4">
      <c r="A17" s="6048"/>
      <c r="B17" s="6052"/>
      <c r="C17" s="6052"/>
      <c r="D17" s="6052"/>
    </row>
    <row r="18" spans="1:4" ht="21.95" customHeight="1">
      <c r="A18" s="6048"/>
      <c r="B18" s="6052" t="s">
        <v>14044</v>
      </c>
      <c r="C18" s="6052"/>
      <c r="D18" s="6052"/>
    </row>
    <row r="19" spans="1:4">
      <c r="A19" s="6048"/>
      <c r="B19" s="6052"/>
      <c r="C19" s="6052"/>
      <c r="D19" s="6052"/>
    </row>
  </sheetData>
  <mergeCells count="10">
    <mergeCell ref="A1:E1"/>
    <mergeCell ref="A6:E6"/>
    <mergeCell ref="B7:D7"/>
    <mergeCell ref="A3:A5"/>
    <mergeCell ref="A7:A12"/>
    <mergeCell ref="A14:A19"/>
    <mergeCell ref="B8:D12"/>
    <mergeCell ref="B14:D15"/>
    <mergeCell ref="B16:D17"/>
    <mergeCell ref="B18:D19"/>
  </mergeCells>
  <phoneticPr fontId="214" type="noConversion"/>
  <hyperlinks>
    <hyperlink ref="B14:D14" location="A型三角带规格!A1" display="【点击链接】A型三角带规格" xr:uid="{00000000-0004-0000-9A00-000000000000}"/>
    <hyperlink ref="B16:D16" location="B型三角带规格!A1" display="【点击链接】B型三角带规格" xr:uid="{00000000-0004-0000-9A00-000001000000}"/>
    <hyperlink ref="B18:D18" location="C型三角带规格!A1" display="【点击链接】C型三角带规格" xr:uid="{00000000-0004-0000-9A00-000002000000}"/>
    <hyperlink ref="B14:D15" location="A型三角带规格!A1" display="【点击链接】A型三角带规格" xr:uid="{00000000-0004-0000-9A00-000003000000}"/>
  </hyperlinks>
  <pageMargins left="0.69930555555555596" right="0.69930555555555596" top="0.75" bottom="0.75" header="0.3" footer="0.3"/>
  <pageSetup paperSize="9" orientation="portrait" horizontalDpi="200" verticalDpi="300"/>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156"/>
  <dimension ref="A1:Q111"/>
  <sheetViews>
    <sheetView workbookViewId="0">
      <selection activeCell="D17" sqref="D17"/>
    </sheetView>
  </sheetViews>
  <sheetFormatPr defaultColWidth="9" defaultRowHeight="14.25"/>
  <cols>
    <col min="1" max="1" width="13.625" style="858" customWidth="1"/>
    <col min="2" max="4" width="9.125" style="858" customWidth="1"/>
    <col min="5" max="5" width="14.875" style="858" customWidth="1"/>
    <col min="6" max="8" width="9.125" style="858" customWidth="1"/>
    <col min="9" max="9" width="1.375" style="858" customWidth="1"/>
    <col min="10" max="13" width="9" style="858"/>
    <col min="14" max="14" width="15.125" style="858" customWidth="1"/>
    <col min="15" max="16384" width="9" style="858"/>
  </cols>
  <sheetData>
    <row r="1" spans="1:17" ht="45" customHeight="1">
      <c r="A1" s="6073" t="s">
        <v>14045</v>
      </c>
      <c r="B1" s="6073"/>
      <c r="C1" s="6073"/>
      <c r="D1" s="6073"/>
      <c r="E1" s="6073"/>
      <c r="F1" s="6073"/>
      <c r="G1" s="6073"/>
      <c r="H1" s="6073"/>
      <c r="I1" s="6073"/>
      <c r="J1" s="6073"/>
      <c r="K1" s="6073"/>
      <c r="L1" s="6073"/>
      <c r="M1" s="6073"/>
      <c r="N1" s="6073"/>
      <c r="O1" s="6073"/>
      <c r="P1" s="6073"/>
      <c r="Q1" s="6073"/>
    </row>
    <row r="2" spans="1:17" ht="18.75" customHeight="1">
      <c r="A2" s="6074" t="s">
        <v>14046</v>
      </c>
      <c r="B2" s="6075"/>
      <c r="C2" s="6075"/>
      <c r="D2" s="6076"/>
      <c r="E2" s="6077" t="s">
        <v>14047</v>
      </c>
      <c r="F2" s="6078"/>
      <c r="G2" s="6078"/>
      <c r="H2" s="6079"/>
      <c r="J2" s="6080" t="s">
        <v>14048</v>
      </c>
      <c r="K2" s="6080"/>
      <c r="L2" s="6080"/>
      <c r="M2" s="6080"/>
      <c r="N2" s="6081" t="s">
        <v>14049</v>
      </c>
      <c r="O2" s="6081"/>
      <c r="P2" s="6081"/>
      <c r="Q2" s="6081"/>
    </row>
    <row r="3" spans="1:17" ht="16.5" customHeight="1">
      <c r="A3" s="6067" t="s">
        <v>1183</v>
      </c>
      <c r="B3" s="6068" t="s">
        <v>14050</v>
      </c>
      <c r="C3" s="6068" t="s">
        <v>14051</v>
      </c>
      <c r="D3" s="6071"/>
      <c r="E3" s="6069" t="s">
        <v>14052</v>
      </c>
      <c r="F3" s="6061" t="s">
        <v>14050</v>
      </c>
      <c r="G3" s="6061" t="s">
        <v>14051</v>
      </c>
      <c r="H3" s="6072"/>
      <c r="J3" s="6067" t="s">
        <v>1183</v>
      </c>
      <c r="K3" s="6068" t="s">
        <v>14050</v>
      </c>
      <c r="L3" s="6068" t="s">
        <v>14051</v>
      </c>
      <c r="M3" s="6071"/>
      <c r="N3" s="6069" t="s">
        <v>14052</v>
      </c>
      <c r="O3" s="6061" t="s">
        <v>14050</v>
      </c>
      <c r="P3" s="6061" t="s">
        <v>14051</v>
      </c>
      <c r="Q3" s="6072"/>
    </row>
    <row r="4" spans="1:17" ht="15.75" customHeight="1">
      <c r="A4" s="6067"/>
      <c r="B4" s="6068"/>
      <c r="C4" s="883" t="s">
        <v>11885</v>
      </c>
      <c r="D4" s="884" t="s">
        <v>11886</v>
      </c>
      <c r="E4" s="6069"/>
      <c r="F4" s="6061"/>
      <c r="G4" s="885" t="s">
        <v>11885</v>
      </c>
      <c r="H4" s="886" t="s">
        <v>11886</v>
      </c>
      <c r="J4" s="6067"/>
      <c r="K4" s="6068"/>
      <c r="L4" s="883" t="s">
        <v>11885</v>
      </c>
      <c r="M4" s="884" t="s">
        <v>11886</v>
      </c>
      <c r="N4" s="6069"/>
      <c r="O4" s="6061"/>
      <c r="P4" s="885" t="s">
        <v>11885</v>
      </c>
      <c r="Q4" s="886" t="s">
        <v>11886</v>
      </c>
    </row>
    <row r="5" spans="1:17" ht="18.95" customHeight="1">
      <c r="A5" s="887" t="s">
        <v>14053</v>
      </c>
      <c r="B5" s="888">
        <v>0.75</v>
      </c>
      <c r="C5" s="889">
        <v>0.78500000000000003</v>
      </c>
      <c r="D5" s="890">
        <v>0.72899999999999998</v>
      </c>
      <c r="E5" s="887" t="s">
        <v>14054</v>
      </c>
      <c r="F5" s="891">
        <v>1.55</v>
      </c>
      <c r="G5" s="892">
        <v>1.5820000000000001</v>
      </c>
      <c r="H5" s="893">
        <v>1.425</v>
      </c>
      <c r="J5" s="849" t="s">
        <v>14055</v>
      </c>
      <c r="K5" s="850">
        <v>0.8</v>
      </c>
      <c r="L5" s="3">
        <v>0.82099999999999995</v>
      </c>
      <c r="M5" s="848">
        <v>0.78300000000000003</v>
      </c>
      <c r="N5" s="849" t="s">
        <v>14056</v>
      </c>
      <c r="O5" s="850">
        <v>1.25</v>
      </c>
      <c r="P5" s="3">
        <v>1.3049999999999999</v>
      </c>
      <c r="Q5" s="848">
        <v>1.1819999999999999</v>
      </c>
    </row>
    <row r="6" spans="1:17" ht="18.95" customHeight="1">
      <c r="A6" s="887" t="s">
        <v>14057</v>
      </c>
      <c r="B6" s="888">
        <v>0.85</v>
      </c>
      <c r="C6" s="889">
        <v>0.88500000000000001</v>
      </c>
      <c r="D6" s="890">
        <v>0.82899999999999996</v>
      </c>
      <c r="E6" s="887" t="s">
        <v>14058</v>
      </c>
      <c r="F6" s="891">
        <v>1.8</v>
      </c>
      <c r="G6" s="892">
        <v>1.871</v>
      </c>
      <c r="H6" s="893">
        <v>1.6950000000000001</v>
      </c>
      <c r="J6" s="849" t="s">
        <v>14059</v>
      </c>
      <c r="K6" s="850">
        <v>0.9</v>
      </c>
      <c r="L6" s="3">
        <v>0.92100000000000004</v>
      </c>
      <c r="M6" s="848">
        <v>0.88300000000000001</v>
      </c>
      <c r="N6" s="849" t="s">
        <v>14060</v>
      </c>
      <c r="O6" s="850">
        <v>1.55</v>
      </c>
      <c r="P6" s="3">
        <v>1.6120000000000001</v>
      </c>
      <c r="Q6" s="848">
        <v>1.474</v>
      </c>
    </row>
    <row r="7" spans="1:17" ht="18.95" customHeight="1">
      <c r="A7" s="887" t="s">
        <v>14061</v>
      </c>
      <c r="B7" s="888">
        <v>0.95</v>
      </c>
      <c r="C7" s="889">
        <v>0.98499999999999999</v>
      </c>
      <c r="D7" s="890">
        <v>0.98499999999999999</v>
      </c>
      <c r="E7" s="887" t="s">
        <v>14062</v>
      </c>
      <c r="F7" s="891">
        <v>2.1</v>
      </c>
      <c r="G7" s="892">
        <v>2.1459999999999999</v>
      </c>
      <c r="H7" s="893">
        <v>1.9410000000000001</v>
      </c>
      <c r="J7" s="849" t="s">
        <v>14063</v>
      </c>
      <c r="K7" s="850">
        <v>1</v>
      </c>
      <c r="L7" s="3">
        <v>1.0209999999999999</v>
      </c>
      <c r="M7" s="848">
        <v>0.98299999999999998</v>
      </c>
      <c r="N7" s="849" t="s">
        <v>14064</v>
      </c>
      <c r="O7" s="850">
        <v>1.85</v>
      </c>
      <c r="P7" s="3">
        <v>1.9119999999999999</v>
      </c>
      <c r="Q7" s="848">
        <v>1.756</v>
      </c>
    </row>
    <row r="8" spans="1:17" ht="18.95" customHeight="1">
      <c r="A8" s="887" t="s">
        <v>14065</v>
      </c>
      <c r="B8" s="888">
        <v>1.1000000000000001</v>
      </c>
      <c r="C8" s="889">
        <v>1.1419999999999999</v>
      </c>
      <c r="D8" s="890">
        <v>1.075</v>
      </c>
      <c r="E8" s="887" t="s">
        <v>14066</v>
      </c>
      <c r="F8" s="891">
        <v>2.2999999999999998</v>
      </c>
      <c r="G8" s="892">
        <v>2.3849999999999998</v>
      </c>
      <c r="H8" s="893">
        <v>2.157</v>
      </c>
      <c r="J8" s="849" t="s">
        <v>14067</v>
      </c>
      <c r="K8" s="850">
        <v>1.2</v>
      </c>
      <c r="L8" s="3">
        <v>1.2210000000000001</v>
      </c>
      <c r="M8" s="848">
        <v>1.1830000000000001</v>
      </c>
      <c r="N8" s="849" t="s">
        <v>14068</v>
      </c>
      <c r="O8" s="850">
        <v>2.1</v>
      </c>
      <c r="P8" s="3">
        <v>2.1970000000000001</v>
      </c>
      <c r="Q8" s="848">
        <v>2.0249999999999999</v>
      </c>
    </row>
    <row r="9" spans="1:17" ht="18.95" customHeight="1">
      <c r="A9" s="887" t="s">
        <v>14069</v>
      </c>
      <c r="B9" s="888">
        <v>1.25</v>
      </c>
      <c r="C9" s="889">
        <v>1.321</v>
      </c>
      <c r="D9" s="890">
        <v>1.2210000000000001</v>
      </c>
      <c r="E9" s="887" t="s">
        <v>14070</v>
      </c>
      <c r="F9" s="891">
        <v>2.6</v>
      </c>
      <c r="G9" s="892">
        <v>2.6970000000000001</v>
      </c>
      <c r="H9" s="893">
        <v>2.4870000000000001</v>
      </c>
      <c r="J9" s="849" t="s">
        <v>14071</v>
      </c>
      <c r="K9" s="850">
        <v>1.4</v>
      </c>
      <c r="L9" s="3">
        <v>1.421</v>
      </c>
      <c r="M9" s="848">
        <v>1.383</v>
      </c>
      <c r="N9" s="849" t="s">
        <v>14072</v>
      </c>
      <c r="O9" s="850">
        <v>2.4</v>
      </c>
      <c r="P9" s="3">
        <v>2.4580000000000002</v>
      </c>
      <c r="Q9" s="848">
        <v>2.2709999999999999</v>
      </c>
    </row>
    <row r="10" spans="1:17" ht="18.95" customHeight="1">
      <c r="A10" s="887" t="s">
        <v>14073</v>
      </c>
      <c r="B10" s="888">
        <v>1.35</v>
      </c>
      <c r="C10" s="889">
        <v>1.421</v>
      </c>
      <c r="D10" s="890">
        <v>1.321</v>
      </c>
      <c r="E10" s="887" t="s">
        <v>14074</v>
      </c>
      <c r="F10" s="891">
        <v>2.8</v>
      </c>
      <c r="G10" s="892">
        <v>2.895</v>
      </c>
      <c r="H10" s="893">
        <v>2.6419999999999999</v>
      </c>
      <c r="J10" s="849" t="s">
        <v>14075</v>
      </c>
      <c r="K10" s="850">
        <v>1.45</v>
      </c>
      <c r="L10" s="877">
        <v>1.5</v>
      </c>
      <c r="M10" s="878">
        <v>1.46</v>
      </c>
      <c r="N10" s="849" t="s">
        <v>14076</v>
      </c>
      <c r="O10" s="850">
        <v>2.7</v>
      </c>
      <c r="P10" s="877">
        <v>2.74</v>
      </c>
      <c r="Q10" s="848">
        <v>2.5510000000000002</v>
      </c>
    </row>
    <row r="11" spans="1:17" ht="18.95" customHeight="1">
      <c r="A11" s="887" t="s">
        <v>14077</v>
      </c>
      <c r="B11" s="888">
        <v>1.45</v>
      </c>
      <c r="C11" s="889">
        <v>1.5209999999999999</v>
      </c>
      <c r="D11" s="890">
        <v>1.421</v>
      </c>
      <c r="E11" s="887" t="s">
        <v>14078</v>
      </c>
      <c r="F11" s="891">
        <v>3.4</v>
      </c>
      <c r="G11" s="892">
        <v>3.53</v>
      </c>
      <c r="H11" s="893">
        <v>3.302</v>
      </c>
      <c r="J11" s="849" t="s">
        <v>14079</v>
      </c>
      <c r="K11" s="850">
        <v>1.6</v>
      </c>
      <c r="L11" s="877">
        <v>1.621</v>
      </c>
      <c r="M11" s="878">
        <v>1.583</v>
      </c>
      <c r="N11" s="849" t="s">
        <v>14080</v>
      </c>
      <c r="O11" s="850">
        <v>2.9</v>
      </c>
      <c r="P11" s="877">
        <v>3.0219999999999998</v>
      </c>
      <c r="Q11" s="878">
        <v>2.82</v>
      </c>
    </row>
    <row r="12" spans="1:17" ht="18.95" customHeight="1">
      <c r="A12" s="887" t="s">
        <v>14081</v>
      </c>
      <c r="B12" s="888">
        <v>1.6</v>
      </c>
      <c r="C12" s="889">
        <v>1.679</v>
      </c>
      <c r="D12" s="890">
        <v>1.5669999999999999</v>
      </c>
      <c r="E12" s="887" t="s">
        <v>14082</v>
      </c>
      <c r="F12" s="891">
        <v>3.9</v>
      </c>
      <c r="G12" s="892">
        <v>3.9620000000000002</v>
      </c>
      <c r="H12" s="893">
        <v>3.6829999999999998</v>
      </c>
      <c r="J12" s="849" t="s">
        <v>14083</v>
      </c>
      <c r="K12" s="850">
        <v>1.75</v>
      </c>
      <c r="L12" s="877">
        <v>1.7849999999999999</v>
      </c>
      <c r="M12" s="878">
        <v>1.7290000000000001</v>
      </c>
      <c r="N12" s="849" t="s">
        <v>14084</v>
      </c>
      <c r="O12" s="850">
        <v>3.5</v>
      </c>
      <c r="P12" s="877">
        <v>3.6059999999999999</v>
      </c>
      <c r="Q12" s="878">
        <v>3.4039999999999999</v>
      </c>
    </row>
    <row r="13" spans="1:17" ht="18.95" customHeight="1">
      <c r="A13" s="887" t="s">
        <v>14085</v>
      </c>
      <c r="B13" s="888">
        <v>1.75</v>
      </c>
      <c r="C13" s="889">
        <v>1.8380000000000001</v>
      </c>
      <c r="D13" s="890">
        <v>1.7130000000000001</v>
      </c>
      <c r="E13" s="887" t="s">
        <v>14086</v>
      </c>
      <c r="F13" s="891">
        <v>4.5</v>
      </c>
      <c r="G13" s="892">
        <v>4.5970000000000004</v>
      </c>
      <c r="H13" s="893">
        <v>4.3440000000000003</v>
      </c>
      <c r="J13" s="849" t="s">
        <v>14087</v>
      </c>
      <c r="K13" s="850">
        <v>1.95</v>
      </c>
      <c r="L13" s="877">
        <v>1.9850000000000001</v>
      </c>
      <c r="M13" s="878">
        <v>1.929</v>
      </c>
      <c r="N13" s="849" t="s">
        <v>14088</v>
      </c>
      <c r="O13" s="850">
        <v>4.0999999999999996</v>
      </c>
      <c r="P13" s="877">
        <v>4.165</v>
      </c>
      <c r="Q13" s="878">
        <v>3.9630000000000001</v>
      </c>
    </row>
    <row r="14" spans="1:17" ht="18.95" customHeight="1">
      <c r="A14" s="887" t="s">
        <v>14089</v>
      </c>
      <c r="B14" s="888">
        <v>1.9</v>
      </c>
      <c r="C14" s="889">
        <v>1.9790000000000001</v>
      </c>
      <c r="D14" s="890">
        <v>1.867</v>
      </c>
      <c r="E14" s="894" t="s">
        <v>14090</v>
      </c>
      <c r="F14" s="891">
        <v>5.0999999999999996</v>
      </c>
      <c r="G14" s="892">
        <v>5.2569999999999997</v>
      </c>
      <c r="H14" s="893">
        <v>4.9790000000000001</v>
      </c>
      <c r="J14" s="849" t="s">
        <v>14091</v>
      </c>
      <c r="K14" s="850">
        <v>2.0499999999999998</v>
      </c>
      <c r="L14" s="877">
        <v>2.0609999999999999</v>
      </c>
      <c r="M14" s="878">
        <v>2.0009999999999999</v>
      </c>
      <c r="N14" s="870" t="s">
        <v>14092</v>
      </c>
      <c r="O14" s="850">
        <v>4.5999999999999996</v>
      </c>
      <c r="P14" s="877">
        <v>4.7240000000000002</v>
      </c>
      <c r="Q14" s="878">
        <v>4.4960000000000004</v>
      </c>
    </row>
    <row r="15" spans="1:17" ht="18.95" customHeight="1">
      <c r="A15" s="887" t="s">
        <v>14093</v>
      </c>
      <c r="B15" s="888">
        <v>2.1</v>
      </c>
      <c r="C15" s="889">
        <v>2.1379999999999999</v>
      </c>
      <c r="D15" s="890">
        <v>2.0129999999999999</v>
      </c>
      <c r="E15" s="894" t="s">
        <v>14094</v>
      </c>
      <c r="F15" s="891">
        <v>6.6</v>
      </c>
      <c r="G15" s="892">
        <v>6.7309999999999999</v>
      </c>
      <c r="H15" s="893">
        <v>6.4009999999999998</v>
      </c>
      <c r="J15" s="849" t="s">
        <v>14095</v>
      </c>
      <c r="K15" s="850">
        <v>2.2000000000000002</v>
      </c>
      <c r="L15" s="877">
        <v>2.2210000000000001</v>
      </c>
      <c r="M15" s="878">
        <v>2.121</v>
      </c>
      <c r="N15" s="870" t="s">
        <v>14096</v>
      </c>
      <c r="O15" s="850">
        <v>5.5</v>
      </c>
      <c r="P15" s="877">
        <v>5.5880000000000001</v>
      </c>
      <c r="Q15" s="878">
        <v>5.36</v>
      </c>
    </row>
    <row r="16" spans="1:17" ht="18.95" customHeight="1">
      <c r="A16" s="887" t="s">
        <v>14097</v>
      </c>
      <c r="B16" s="888">
        <v>2.2000000000000002</v>
      </c>
      <c r="C16" s="889">
        <v>2.238</v>
      </c>
      <c r="D16" s="890">
        <v>2.113</v>
      </c>
      <c r="E16" s="894" t="s">
        <v>14098</v>
      </c>
      <c r="F16" s="891">
        <v>8</v>
      </c>
      <c r="G16" s="892">
        <v>8.1530000000000005</v>
      </c>
      <c r="H16" s="893">
        <v>7.798</v>
      </c>
      <c r="J16" s="849" t="s">
        <v>14099</v>
      </c>
      <c r="K16" s="850">
        <v>2.2000000000000002</v>
      </c>
      <c r="L16" s="877">
        <v>2.246</v>
      </c>
      <c r="M16" s="878">
        <v>2.1859999999999999</v>
      </c>
      <c r="N16" s="870" t="s">
        <v>14100</v>
      </c>
      <c r="O16" s="850">
        <v>6.9</v>
      </c>
      <c r="P16" s="877">
        <v>7.0350000000000001</v>
      </c>
      <c r="Q16" s="878">
        <v>6.782</v>
      </c>
    </row>
    <row r="17" spans="1:17" ht="18.95" customHeight="1">
      <c r="A17" s="887" t="s">
        <v>14101</v>
      </c>
      <c r="B17" s="888">
        <v>2.5</v>
      </c>
      <c r="C17" s="889">
        <v>2.5990000000000002</v>
      </c>
      <c r="D17" s="890">
        <v>2.4590000000000001</v>
      </c>
      <c r="E17" s="894" t="s">
        <v>14102</v>
      </c>
      <c r="F17" s="891">
        <v>9.4</v>
      </c>
      <c r="G17" s="892">
        <v>9.5500000000000007</v>
      </c>
      <c r="H17" s="893">
        <v>9.1440000000000001</v>
      </c>
      <c r="J17" s="849" t="s">
        <v>14103</v>
      </c>
      <c r="K17" s="850">
        <v>2.7</v>
      </c>
      <c r="L17" s="877">
        <v>2.7210000000000001</v>
      </c>
      <c r="M17" s="878">
        <v>2.621</v>
      </c>
      <c r="N17" s="870" t="s">
        <v>14104</v>
      </c>
      <c r="O17" s="850">
        <v>8.5</v>
      </c>
      <c r="P17" s="877">
        <v>8.6359999999999992</v>
      </c>
      <c r="Q17" s="878">
        <v>8.3819999999999997</v>
      </c>
    </row>
    <row r="18" spans="1:17" ht="18.95" customHeight="1">
      <c r="A18" s="887" t="s">
        <v>14105</v>
      </c>
      <c r="B18" s="888">
        <v>2.4</v>
      </c>
      <c r="C18" s="889">
        <v>2.44</v>
      </c>
      <c r="D18" s="890">
        <v>2.2799999999999998</v>
      </c>
      <c r="E18" s="894" t="s">
        <v>14106</v>
      </c>
      <c r="F18" s="891">
        <v>10.8</v>
      </c>
      <c r="G18" s="892">
        <v>11.023</v>
      </c>
      <c r="H18" s="893">
        <v>10.592000000000001</v>
      </c>
      <c r="J18" s="849" t="s">
        <v>14107</v>
      </c>
      <c r="K18" s="850">
        <v>3.2</v>
      </c>
      <c r="L18" s="877">
        <v>3.2210000000000001</v>
      </c>
      <c r="M18" s="878">
        <v>3.121</v>
      </c>
      <c r="N18" s="870" t="s">
        <v>14108</v>
      </c>
      <c r="O18" s="850">
        <v>9.9</v>
      </c>
      <c r="P18" s="877">
        <v>10.032999999999999</v>
      </c>
      <c r="Q18" s="878">
        <v>9.7289999999999992</v>
      </c>
    </row>
    <row r="19" spans="1:17" ht="18.95" customHeight="1">
      <c r="A19" s="887" t="s">
        <v>14109</v>
      </c>
      <c r="B19" s="888">
        <v>2.9</v>
      </c>
      <c r="C19" s="889">
        <v>3.01</v>
      </c>
      <c r="D19" s="890">
        <v>2.85</v>
      </c>
      <c r="E19" s="894" t="s">
        <v>14110</v>
      </c>
      <c r="F19" s="891">
        <v>12.2</v>
      </c>
      <c r="G19" s="892">
        <v>12.446</v>
      </c>
      <c r="H19" s="893">
        <v>11.989000000000001</v>
      </c>
      <c r="J19" s="849" t="s">
        <v>14111</v>
      </c>
      <c r="K19" s="850">
        <v>3.5</v>
      </c>
      <c r="L19" s="877">
        <v>3.5990000000000002</v>
      </c>
      <c r="M19" s="878">
        <v>3.4590000000000001</v>
      </c>
      <c r="N19" s="870" t="s">
        <v>14112</v>
      </c>
      <c r="O19" s="850">
        <v>11.5</v>
      </c>
      <c r="P19" s="877">
        <v>11.606999999999999</v>
      </c>
      <c r="Q19" s="878">
        <v>11.329000000000001</v>
      </c>
    </row>
    <row r="20" spans="1:17" ht="18.95" customHeight="1">
      <c r="A20" s="887" t="s">
        <v>14113</v>
      </c>
      <c r="B20" s="888">
        <v>3.3</v>
      </c>
      <c r="C20" s="889">
        <v>3.4220000000000002</v>
      </c>
      <c r="D20" s="890">
        <v>3.242</v>
      </c>
      <c r="E20" s="894" t="s">
        <v>14114</v>
      </c>
      <c r="F20" s="891">
        <v>13.6</v>
      </c>
      <c r="G20" s="892">
        <v>12.868</v>
      </c>
      <c r="H20" s="893">
        <v>13.385999999999999</v>
      </c>
      <c r="J20" s="849" t="s">
        <v>14115</v>
      </c>
      <c r="K20" s="850">
        <v>4</v>
      </c>
      <c r="L20" s="877">
        <v>4.0990000000000002</v>
      </c>
      <c r="M20" s="878">
        <v>3.9590000000000001</v>
      </c>
      <c r="N20" s="870" t="s">
        <v>14116</v>
      </c>
      <c r="O20" s="850">
        <v>12.9</v>
      </c>
      <c r="P20" s="877">
        <v>13.081</v>
      </c>
      <c r="Q20" s="878">
        <v>12.750999999999999</v>
      </c>
    </row>
    <row r="21" spans="1:17" ht="18.95" customHeight="1">
      <c r="A21" s="887" t="s">
        <v>14117</v>
      </c>
      <c r="B21" s="888">
        <v>3.25</v>
      </c>
      <c r="C21" s="889">
        <v>3.3260000000000001</v>
      </c>
      <c r="D21" s="890">
        <v>3.1059999999999999</v>
      </c>
      <c r="E21" s="894" t="s">
        <v>14118</v>
      </c>
      <c r="F21" s="891">
        <v>16.5</v>
      </c>
      <c r="G21" s="889">
        <v>18.84</v>
      </c>
      <c r="H21" s="893">
        <v>16.306999999999999</v>
      </c>
      <c r="J21" s="849" t="s">
        <v>14119</v>
      </c>
      <c r="K21" s="850">
        <v>4.5</v>
      </c>
      <c r="L21" s="877">
        <v>4.5990000000000002</v>
      </c>
      <c r="M21" s="878">
        <v>4.4589999999999996</v>
      </c>
      <c r="N21" s="870" t="s">
        <v>14120</v>
      </c>
      <c r="O21" s="850">
        <v>14.5</v>
      </c>
      <c r="P21" s="877">
        <v>14.680999999999999</v>
      </c>
      <c r="Q21" s="878">
        <v>14.351000000000001</v>
      </c>
    </row>
    <row r="22" spans="1:17" ht="18.95" customHeight="1">
      <c r="A22" s="887" t="s">
        <v>14121</v>
      </c>
      <c r="B22" s="888">
        <v>3.8</v>
      </c>
      <c r="C22" s="889">
        <v>3.8780000000000001</v>
      </c>
      <c r="D22" s="890">
        <v>3.6880000000000002</v>
      </c>
      <c r="E22" s="894" t="s">
        <v>14122</v>
      </c>
      <c r="F22" s="891">
        <v>19.5</v>
      </c>
      <c r="G22" s="889">
        <v>19.760999999999999</v>
      </c>
      <c r="H22" s="893">
        <v>19.177</v>
      </c>
      <c r="J22" s="849" t="s">
        <v>14123</v>
      </c>
      <c r="K22" s="850">
        <v>5</v>
      </c>
      <c r="L22" s="877">
        <v>5.0990000000000002</v>
      </c>
      <c r="M22" s="878">
        <v>4.9589999999999996</v>
      </c>
      <c r="N22" s="870" t="s">
        <v>14124</v>
      </c>
      <c r="O22" s="850">
        <v>17.5</v>
      </c>
      <c r="P22" s="877">
        <v>17.678000000000001</v>
      </c>
      <c r="Q22" s="878">
        <v>17.323</v>
      </c>
    </row>
    <row r="23" spans="1:17" ht="18.95" customHeight="1">
      <c r="A23" s="887" t="s">
        <v>14125</v>
      </c>
      <c r="B23" s="888">
        <v>4.2</v>
      </c>
      <c r="C23" s="889">
        <v>4.3339999999999996</v>
      </c>
      <c r="D23" s="890">
        <v>4.1340000000000003</v>
      </c>
      <c r="E23" s="895" t="s">
        <v>10424</v>
      </c>
      <c r="F23" s="891">
        <v>22.2</v>
      </c>
      <c r="G23" s="889">
        <v>22.606000000000002</v>
      </c>
      <c r="H23" s="893">
        <v>21.971</v>
      </c>
      <c r="J23" s="849" t="s">
        <v>14126</v>
      </c>
      <c r="K23" s="850">
        <v>5.3</v>
      </c>
      <c r="L23" s="877">
        <v>5.3780000000000001</v>
      </c>
      <c r="M23" s="878">
        <v>5.1879999999999997</v>
      </c>
      <c r="N23" s="870" t="s">
        <v>14127</v>
      </c>
      <c r="O23" s="850">
        <v>20.5</v>
      </c>
      <c r="P23" s="877">
        <v>20.675000000000001</v>
      </c>
      <c r="Q23" s="878">
        <v>20.27</v>
      </c>
    </row>
    <row r="24" spans="1:17" ht="18.95" customHeight="1">
      <c r="A24" s="887" t="s">
        <v>14128</v>
      </c>
      <c r="B24" s="888">
        <v>4.0999999999999996</v>
      </c>
      <c r="C24" s="889">
        <v>4.17</v>
      </c>
      <c r="D24" s="890">
        <v>3.93</v>
      </c>
      <c r="E24" s="894" t="s">
        <v>14129</v>
      </c>
      <c r="F24" s="891">
        <v>25</v>
      </c>
      <c r="G24" s="889">
        <v>25.349</v>
      </c>
      <c r="H24" s="893">
        <v>24.638000000000002</v>
      </c>
      <c r="J24" s="849" t="s">
        <v>14130</v>
      </c>
      <c r="K24" s="850">
        <v>5.5</v>
      </c>
      <c r="L24" s="877">
        <v>5.55</v>
      </c>
      <c r="M24" s="878">
        <v>5.4</v>
      </c>
      <c r="N24" s="870" t="s">
        <v>14131</v>
      </c>
      <c r="O24" s="850">
        <v>23.2</v>
      </c>
      <c r="P24" s="877">
        <v>23.571000000000002</v>
      </c>
      <c r="Q24" s="878">
        <v>23.114000000000001</v>
      </c>
    </row>
    <row r="25" spans="1:17" ht="18.95" customHeight="1">
      <c r="A25" s="887" t="s">
        <v>14132</v>
      </c>
      <c r="B25" s="888">
        <v>5</v>
      </c>
      <c r="C25" s="889">
        <v>5.1529999999999996</v>
      </c>
      <c r="D25" s="890">
        <v>4.9169999999999998</v>
      </c>
      <c r="E25" s="894" t="s">
        <v>14133</v>
      </c>
      <c r="F25" s="891">
        <v>28.2</v>
      </c>
      <c r="G25" s="889">
        <v>28.524000000000001</v>
      </c>
      <c r="H25" s="893">
        <v>27.812999999999999</v>
      </c>
      <c r="J25" s="849" t="s">
        <v>14134</v>
      </c>
      <c r="K25" s="850">
        <v>6.3</v>
      </c>
      <c r="L25" s="877">
        <v>6.3780000000000001</v>
      </c>
      <c r="M25" s="878">
        <v>6.1879999999999997</v>
      </c>
      <c r="N25" s="870" t="s">
        <v>14135</v>
      </c>
      <c r="O25" s="850">
        <v>26.5</v>
      </c>
      <c r="P25" s="877">
        <v>26.745999999999999</v>
      </c>
      <c r="Q25" s="878">
        <v>26.289000000000001</v>
      </c>
    </row>
    <row r="26" spans="1:17" ht="18.95" customHeight="1">
      <c r="A26" s="887" t="s">
        <v>14136</v>
      </c>
      <c r="B26" s="888">
        <v>6</v>
      </c>
      <c r="C26" s="889">
        <v>6.1529999999999996</v>
      </c>
      <c r="D26" s="890">
        <v>5.9169999999999998</v>
      </c>
      <c r="E26" s="894" t="s">
        <v>14137</v>
      </c>
      <c r="F26" s="891">
        <v>30.8</v>
      </c>
      <c r="G26" s="889">
        <v>31.114999999999998</v>
      </c>
      <c r="H26" s="893">
        <v>30.353000000000002</v>
      </c>
      <c r="J26" s="856" t="s">
        <v>14138</v>
      </c>
      <c r="K26" s="879">
        <v>6.5</v>
      </c>
      <c r="L26" s="880">
        <v>6.55</v>
      </c>
      <c r="M26" s="881">
        <v>6.4</v>
      </c>
      <c r="N26" s="874" t="s">
        <v>14139</v>
      </c>
      <c r="O26" s="879">
        <v>29.5</v>
      </c>
      <c r="P26" s="880">
        <v>29.920999999999999</v>
      </c>
      <c r="Q26" s="881">
        <v>29.463999999999999</v>
      </c>
    </row>
    <row r="27" spans="1:17" ht="18.95" customHeight="1">
      <c r="A27" s="887" t="s">
        <v>14140</v>
      </c>
      <c r="B27" s="888">
        <v>6.8</v>
      </c>
      <c r="C27" s="889">
        <v>6.9119999999999999</v>
      </c>
      <c r="D27" s="890">
        <v>6.6470000000000002</v>
      </c>
      <c r="E27" s="894" t="s">
        <v>14141</v>
      </c>
      <c r="F27" s="891">
        <v>34</v>
      </c>
      <c r="G27" s="889">
        <v>34.29</v>
      </c>
      <c r="H27" s="893">
        <v>33.527999999999999</v>
      </c>
      <c r="J27" s="6070" t="s">
        <v>14045</v>
      </c>
      <c r="K27" s="6070"/>
      <c r="L27" s="6070"/>
      <c r="M27" s="6070"/>
      <c r="N27" s="6070"/>
      <c r="O27" s="6070"/>
      <c r="P27" s="6070"/>
      <c r="Q27" s="6070"/>
    </row>
    <row r="28" spans="1:17" ht="18.95" customHeight="1">
      <c r="A28" s="887" t="s">
        <v>14142</v>
      </c>
      <c r="B28" s="888">
        <v>7.8</v>
      </c>
      <c r="C28" s="889">
        <v>7.9119999999999999</v>
      </c>
      <c r="D28" s="890">
        <v>7.6470000000000002</v>
      </c>
      <c r="E28" s="894" t="s">
        <v>14143</v>
      </c>
      <c r="F28" s="891">
        <v>39.5</v>
      </c>
      <c r="G28" s="889">
        <v>39.826999999999998</v>
      </c>
      <c r="H28" s="893">
        <v>38.963999999999999</v>
      </c>
      <c r="J28" s="6062" t="s">
        <v>14048</v>
      </c>
      <c r="K28" s="6063"/>
      <c r="L28" s="6063"/>
      <c r="M28" s="6064"/>
      <c r="N28" s="6062" t="s">
        <v>14049</v>
      </c>
      <c r="O28" s="6063"/>
      <c r="P28" s="6063"/>
      <c r="Q28" s="6064"/>
    </row>
    <row r="29" spans="1:17" ht="18.95" customHeight="1">
      <c r="A29" s="887" t="s">
        <v>14144</v>
      </c>
      <c r="B29" s="888">
        <v>8.5</v>
      </c>
      <c r="C29" s="889">
        <v>8.6760000000000002</v>
      </c>
      <c r="D29" s="890">
        <v>8.3759999999999994</v>
      </c>
      <c r="E29" s="894" t="s">
        <v>14145</v>
      </c>
      <c r="F29" s="891">
        <v>45.2</v>
      </c>
      <c r="G29" s="889">
        <v>45.593000000000004</v>
      </c>
      <c r="H29" s="893">
        <v>44.679000000000002</v>
      </c>
      <c r="J29" s="6060" t="s">
        <v>1183</v>
      </c>
      <c r="K29" s="5745" t="s">
        <v>14050</v>
      </c>
      <c r="L29" s="5745" t="s">
        <v>14051</v>
      </c>
      <c r="M29" s="6065"/>
      <c r="N29" s="6060" t="s">
        <v>14052</v>
      </c>
      <c r="O29" s="5745" t="s">
        <v>14050</v>
      </c>
      <c r="P29" s="5745" t="s">
        <v>14051</v>
      </c>
      <c r="Q29" s="6066"/>
    </row>
    <row r="30" spans="1:17" ht="18.95" customHeight="1">
      <c r="A30" s="887" t="s">
        <v>14146</v>
      </c>
      <c r="B30" s="888">
        <v>9.5</v>
      </c>
      <c r="C30" s="889">
        <v>9.6760000000000002</v>
      </c>
      <c r="D30" s="890">
        <v>9.3759999999999994</v>
      </c>
      <c r="E30" s="894"/>
      <c r="F30" s="892"/>
      <c r="G30" s="889"/>
      <c r="H30" s="893"/>
      <c r="J30" s="6060"/>
      <c r="K30" s="5745"/>
      <c r="L30" s="860" t="s">
        <v>11885</v>
      </c>
      <c r="M30" s="903" t="s">
        <v>11886</v>
      </c>
      <c r="N30" s="6060"/>
      <c r="O30" s="5745"/>
      <c r="P30" s="860" t="s">
        <v>11885</v>
      </c>
      <c r="Q30" s="861" t="s">
        <v>11886</v>
      </c>
    </row>
    <row r="31" spans="1:17" ht="18.95" customHeight="1">
      <c r="A31" s="887" t="s">
        <v>14147</v>
      </c>
      <c r="B31" s="888">
        <v>10.3</v>
      </c>
      <c r="C31" s="889">
        <v>10.441000000000001</v>
      </c>
      <c r="D31" s="890">
        <v>10.106</v>
      </c>
      <c r="E31" s="894"/>
      <c r="F31" s="892"/>
      <c r="G31" s="889"/>
      <c r="H31" s="893"/>
      <c r="J31" s="849" t="s">
        <v>14148</v>
      </c>
      <c r="K31" s="871">
        <v>7</v>
      </c>
      <c r="L31" s="904">
        <v>7.1529999999999996</v>
      </c>
      <c r="M31" s="903">
        <v>6.9169999999999998</v>
      </c>
      <c r="N31" s="849" t="s">
        <v>14149</v>
      </c>
      <c r="O31" s="871">
        <v>32.799999999999997</v>
      </c>
      <c r="P31" s="860">
        <v>33.095999999999997</v>
      </c>
      <c r="Q31" s="861">
        <v>32.639000000000003</v>
      </c>
    </row>
    <row r="32" spans="1:17" ht="18.95" customHeight="1">
      <c r="A32" s="887" t="s">
        <v>14150</v>
      </c>
      <c r="B32" s="888">
        <v>12</v>
      </c>
      <c r="C32" s="889">
        <v>12.21</v>
      </c>
      <c r="D32" s="890">
        <v>11.835000000000001</v>
      </c>
      <c r="E32" s="894"/>
      <c r="F32" s="892"/>
      <c r="G32" s="889"/>
      <c r="H32" s="893"/>
      <c r="J32" s="849" t="s">
        <v>14151</v>
      </c>
      <c r="K32" s="871">
        <v>7.3</v>
      </c>
      <c r="L32" s="904">
        <v>7.3780000000000001</v>
      </c>
      <c r="M32" s="903">
        <v>7.1879999999999997</v>
      </c>
      <c r="N32" s="849" t="s">
        <v>14152</v>
      </c>
      <c r="O32" s="871">
        <v>36</v>
      </c>
      <c r="P32" s="860">
        <v>36.271000000000001</v>
      </c>
      <c r="Q32" s="861">
        <v>35.814</v>
      </c>
    </row>
    <row r="33" spans="1:17" ht="18.95" customHeight="1">
      <c r="A33" s="887" t="s">
        <v>14153</v>
      </c>
      <c r="B33" s="888">
        <v>14</v>
      </c>
      <c r="C33" s="889">
        <v>14.21</v>
      </c>
      <c r="D33" s="890">
        <v>13.835000000000001</v>
      </c>
      <c r="E33" s="894"/>
      <c r="F33" s="892"/>
      <c r="G33" s="892"/>
      <c r="H33" s="893"/>
      <c r="J33" s="849" t="s">
        <v>14154</v>
      </c>
      <c r="K33" s="871">
        <v>7.5</v>
      </c>
      <c r="L33" s="904">
        <v>7.52</v>
      </c>
      <c r="M33" s="905">
        <v>7.4</v>
      </c>
      <c r="N33" s="859"/>
      <c r="O33" s="860"/>
      <c r="P33" s="860"/>
      <c r="Q33" s="861"/>
    </row>
    <row r="34" spans="1:17" ht="18.95" customHeight="1">
      <c r="A34" s="887" t="s">
        <v>14155</v>
      </c>
      <c r="B34" s="888">
        <v>15.5</v>
      </c>
      <c r="C34" s="889">
        <v>15.744</v>
      </c>
      <c r="D34" s="890">
        <v>15.294</v>
      </c>
      <c r="E34" s="894"/>
      <c r="F34" s="892"/>
      <c r="G34" s="892"/>
      <c r="H34" s="893"/>
      <c r="J34" s="849" t="s">
        <v>14156</v>
      </c>
      <c r="K34" s="871">
        <v>8</v>
      </c>
      <c r="L34" s="904">
        <v>8.1530000000000005</v>
      </c>
      <c r="M34" s="905">
        <v>7.9169999999999998</v>
      </c>
      <c r="N34" s="859"/>
      <c r="O34" s="860"/>
      <c r="P34" s="860"/>
      <c r="Q34" s="861"/>
    </row>
    <row r="35" spans="1:17" ht="18.95" customHeight="1">
      <c r="A35" s="887" t="s">
        <v>14157</v>
      </c>
      <c r="B35" s="888">
        <v>17.5</v>
      </c>
      <c r="C35" s="889">
        <v>17.744</v>
      </c>
      <c r="D35" s="890">
        <v>17.294</v>
      </c>
      <c r="E35" s="894"/>
      <c r="F35" s="892"/>
      <c r="G35" s="892"/>
      <c r="H35" s="893"/>
      <c r="J35" s="849" t="s">
        <v>14158</v>
      </c>
      <c r="K35" s="871">
        <v>8.3000000000000007</v>
      </c>
      <c r="L35" s="904">
        <v>8.3780000000000001</v>
      </c>
      <c r="M35" s="905">
        <v>8.1880000000000006</v>
      </c>
      <c r="N35" s="859"/>
      <c r="O35" s="860"/>
      <c r="P35" s="860"/>
      <c r="Q35" s="861"/>
    </row>
    <row r="36" spans="1:17" ht="18.95" customHeight="1">
      <c r="A36" s="887" t="s">
        <v>14159</v>
      </c>
      <c r="B36" s="888">
        <v>19.5</v>
      </c>
      <c r="C36" s="889">
        <v>19.744</v>
      </c>
      <c r="D36" s="890">
        <v>19.294</v>
      </c>
      <c r="E36" s="894"/>
      <c r="F36" s="892"/>
      <c r="G36" s="892"/>
      <c r="H36" s="893"/>
      <c r="J36" s="849" t="s">
        <v>14160</v>
      </c>
      <c r="K36" s="871">
        <v>8.8000000000000007</v>
      </c>
      <c r="L36" s="904">
        <v>8.9120000000000008</v>
      </c>
      <c r="M36" s="905">
        <v>8.6470000000000002</v>
      </c>
      <c r="N36" s="859"/>
      <c r="O36" s="860"/>
      <c r="P36" s="860"/>
      <c r="Q36" s="861"/>
    </row>
    <row r="37" spans="1:17" ht="18.95" customHeight="1">
      <c r="A37" s="887" t="s">
        <v>14161</v>
      </c>
      <c r="B37" s="888">
        <v>21</v>
      </c>
      <c r="C37" s="889">
        <v>21.251999999999999</v>
      </c>
      <c r="D37" s="890">
        <v>20.751999999999999</v>
      </c>
      <c r="E37" s="894"/>
      <c r="F37" s="892"/>
      <c r="G37" s="892"/>
      <c r="H37" s="893"/>
      <c r="J37" s="849" t="s">
        <v>14162</v>
      </c>
      <c r="K37" s="871">
        <v>9</v>
      </c>
      <c r="L37" s="904">
        <v>9.1530000000000005</v>
      </c>
      <c r="M37" s="905">
        <v>8.9169999999999998</v>
      </c>
      <c r="N37" s="859"/>
      <c r="O37" s="860"/>
      <c r="P37" s="860"/>
      <c r="Q37" s="861"/>
    </row>
    <row r="38" spans="1:17" ht="18.95" customHeight="1">
      <c r="A38" s="887" t="s">
        <v>14163</v>
      </c>
      <c r="B38" s="888">
        <v>24</v>
      </c>
      <c r="C38" s="889">
        <v>24.251999999999999</v>
      </c>
      <c r="D38" s="890">
        <v>23.751999999999999</v>
      </c>
      <c r="E38" s="894"/>
      <c r="F38" s="892"/>
      <c r="G38" s="892"/>
      <c r="H38" s="893"/>
      <c r="J38" s="849" t="s">
        <v>14164</v>
      </c>
      <c r="K38" s="871">
        <v>9.3000000000000007</v>
      </c>
      <c r="L38" s="904">
        <v>9.3780000000000001</v>
      </c>
      <c r="M38" s="905">
        <v>9.1880000000000006</v>
      </c>
      <c r="N38" s="859"/>
      <c r="O38" s="860"/>
      <c r="P38" s="860"/>
      <c r="Q38" s="861"/>
    </row>
    <row r="39" spans="1:17" ht="18.95" customHeight="1">
      <c r="A39" s="896" t="s">
        <v>14165</v>
      </c>
      <c r="B39" s="897">
        <v>26.5</v>
      </c>
      <c r="C39" s="898">
        <v>26.771000000000001</v>
      </c>
      <c r="D39" s="899">
        <v>26.210999999999999</v>
      </c>
      <c r="E39" s="900"/>
      <c r="F39" s="901"/>
      <c r="G39" s="901"/>
      <c r="H39" s="902"/>
      <c r="J39" s="849" t="s">
        <v>14166</v>
      </c>
      <c r="K39" s="871">
        <v>9.5</v>
      </c>
      <c r="L39" s="904">
        <v>9.52</v>
      </c>
      <c r="M39" s="905">
        <v>9.4</v>
      </c>
      <c r="N39" s="859"/>
      <c r="O39" s="860"/>
      <c r="P39" s="860"/>
      <c r="Q39" s="861"/>
    </row>
    <row r="40" spans="1:17" ht="15.75">
      <c r="J40" s="849" t="s">
        <v>14167</v>
      </c>
      <c r="K40" s="871">
        <v>10</v>
      </c>
      <c r="L40" s="904">
        <v>10.153</v>
      </c>
      <c r="M40" s="905">
        <v>9.9169999999999998</v>
      </c>
      <c r="N40" s="859"/>
      <c r="O40" s="860"/>
      <c r="P40" s="860"/>
      <c r="Q40" s="861"/>
    </row>
    <row r="41" spans="1:17" ht="15.75">
      <c r="J41" s="849" t="s">
        <v>14168</v>
      </c>
      <c r="K41" s="871">
        <v>10.3</v>
      </c>
      <c r="L41" s="904">
        <v>10.378</v>
      </c>
      <c r="M41" s="905">
        <v>10.188000000000001</v>
      </c>
      <c r="N41" s="859"/>
      <c r="O41" s="860"/>
      <c r="P41" s="860"/>
      <c r="Q41" s="861"/>
    </row>
    <row r="42" spans="1:17" ht="15.75">
      <c r="J42" s="849" t="s">
        <v>14169</v>
      </c>
      <c r="K42" s="871">
        <v>10.5</v>
      </c>
      <c r="L42" s="904">
        <v>10.676</v>
      </c>
      <c r="M42" s="905">
        <v>10.375999999999999</v>
      </c>
      <c r="N42" s="859"/>
      <c r="O42" s="860"/>
      <c r="P42" s="860"/>
      <c r="Q42" s="861"/>
    </row>
    <row r="43" spans="1:17" ht="15.75">
      <c r="J43" s="849" t="s">
        <v>14170</v>
      </c>
      <c r="K43" s="871">
        <v>10.8</v>
      </c>
      <c r="L43" s="904">
        <v>10.912000000000001</v>
      </c>
      <c r="M43" s="905">
        <v>10.647</v>
      </c>
      <c r="N43" s="859"/>
      <c r="O43" s="860"/>
      <c r="P43" s="860"/>
      <c r="Q43" s="861"/>
    </row>
    <row r="44" spans="1:17" ht="15.75">
      <c r="J44" s="849" t="s">
        <v>14171</v>
      </c>
      <c r="K44" s="850">
        <v>11</v>
      </c>
      <c r="L44" s="877">
        <v>11.153</v>
      </c>
      <c r="M44" s="906">
        <v>10.917</v>
      </c>
      <c r="N44" s="847"/>
      <c r="O44" s="3"/>
      <c r="P44" s="3"/>
      <c r="Q44" s="848"/>
    </row>
    <row r="45" spans="1:17" ht="15.75">
      <c r="J45" s="849" t="s">
        <v>14172</v>
      </c>
      <c r="K45" s="850">
        <v>11.5</v>
      </c>
      <c r="L45" s="877">
        <v>11.52</v>
      </c>
      <c r="M45" s="906">
        <v>11.4</v>
      </c>
      <c r="N45" s="847"/>
      <c r="O45" s="3"/>
      <c r="P45" s="3"/>
      <c r="Q45" s="848"/>
    </row>
    <row r="46" spans="1:17" ht="15.75">
      <c r="J46" s="849" t="s">
        <v>14173</v>
      </c>
      <c r="K46" s="850">
        <v>12.5</v>
      </c>
      <c r="L46" s="877">
        <v>12.676</v>
      </c>
      <c r="M46" s="906">
        <v>12.375999999999999</v>
      </c>
      <c r="N46" s="847"/>
      <c r="O46" s="3"/>
      <c r="P46" s="3"/>
      <c r="Q46" s="848"/>
    </row>
    <row r="47" spans="1:17" ht="15.75">
      <c r="J47" s="849" t="s">
        <v>14174</v>
      </c>
      <c r="K47" s="850">
        <v>13</v>
      </c>
      <c r="L47" s="877">
        <v>13.153</v>
      </c>
      <c r="M47" s="906">
        <v>12.917</v>
      </c>
      <c r="N47" s="847"/>
      <c r="O47" s="3"/>
      <c r="P47" s="3"/>
      <c r="Q47" s="848"/>
    </row>
    <row r="48" spans="1:17" ht="15.75">
      <c r="J48" s="849" t="s">
        <v>14175</v>
      </c>
      <c r="K48" s="850">
        <v>13.5</v>
      </c>
      <c r="L48" s="877">
        <v>13.676</v>
      </c>
      <c r="M48" s="906">
        <v>13.375999999999999</v>
      </c>
      <c r="N48" s="847"/>
      <c r="O48" s="3"/>
      <c r="P48" s="3"/>
      <c r="Q48" s="848"/>
    </row>
    <row r="49" spans="10:17" ht="15.75">
      <c r="J49" s="849" t="s">
        <v>14176</v>
      </c>
      <c r="K49" s="850">
        <v>14</v>
      </c>
      <c r="L49" s="877">
        <v>14.153</v>
      </c>
      <c r="M49" s="906">
        <v>13.917</v>
      </c>
      <c r="N49" s="847"/>
      <c r="O49" s="3"/>
      <c r="P49" s="3"/>
      <c r="Q49" s="848"/>
    </row>
    <row r="50" spans="10:17" ht="15.75">
      <c r="J50" s="849" t="s">
        <v>14177</v>
      </c>
      <c r="K50" s="850">
        <v>14.5</v>
      </c>
      <c r="L50" s="877">
        <v>14.676</v>
      </c>
      <c r="M50" s="906">
        <v>14.375999999999999</v>
      </c>
      <c r="N50" s="847"/>
      <c r="O50" s="3"/>
      <c r="P50" s="3"/>
      <c r="Q50" s="848"/>
    </row>
    <row r="51" spans="10:17" ht="15.75">
      <c r="J51" s="849" t="s">
        <v>14178</v>
      </c>
      <c r="K51" s="850">
        <v>15</v>
      </c>
      <c r="L51" s="877">
        <v>15.153</v>
      </c>
      <c r="M51" s="906">
        <v>14.917</v>
      </c>
      <c r="N51" s="847"/>
      <c r="O51" s="3"/>
      <c r="P51" s="3"/>
      <c r="Q51" s="848"/>
    </row>
    <row r="52" spans="10:17" ht="15.75">
      <c r="J52" s="849" t="s">
        <v>14179</v>
      </c>
      <c r="K52" s="850">
        <v>15.5</v>
      </c>
      <c r="L52" s="877">
        <v>15.676</v>
      </c>
      <c r="M52" s="906">
        <v>15.375999999999999</v>
      </c>
      <c r="N52" s="847"/>
      <c r="O52" s="3"/>
      <c r="P52" s="3"/>
      <c r="Q52" s="848"/>
    </row>
    <row r="53" spans="10:17" ht="22.5">
      <c r="J53" s="6070" t="s">
        <v>14045</v>
      </c>
      <c r="K53" s="6070"/>
      <c r="L53" s="6070"/>
      <c r="M53" s="6070"/>
      <c r="N53" s="6070"/>
      <c r="O53" s="6070"/>
      <c r="P53" s="6070"/>
      <c r="Q53" s="6070"/>
    </row>
    <row r="54" spans="10:17" ht="18.75">
      <c r="J54" s="6062" t="s">
        <v>14048</v>
      </c>
      <c r="K54" s="6063"/>
      <c r="L54" s="6063"/>
      <c r="M54" s="6064"/>
      <c r="N54" s="6062" t="s">
        <v>14049</v>
      </c>
      <c r="O54" s="6063"/>
      <c r="P54" s="6063"/>
      <c r="Q54" s="6064"/>
    </row>
    <row r="55" spans="10:17">
      <c r="J55" s="6060" t="s">
        <v>1183</v>
      </c>
      <c r="K55" s="5745" t="s">
        <v>14050</v>
      </c>
      <c r="L55" s="5745" t="s">
        <v>14051</v>
      </c>
      <c r="M55" s="6065"/>
      <c r="N55" s="6060" t="s">
        <v>14052</v>
      </c>
      <c r="O55" s="5745" t="s">
        <v>14050</v>
      </c>
      <c r="P55" s="5745" t="s">
        <v>14051</v>
      </c>
      <c r="Q55" s="6066"/>
    </row>
    <row r="56" spans="10:17">
      <c r="J56" s="6060"/>
      <c r="K56" s="5745"/>
      <c r="L56" s="860" t="s">
        <v>11885</v>
      </c>
      <c r="M56" s="903" t="s">
        <v>11886</v>
      </c>
      <c r="N56" s="6060"/>
      <c r="O56" s="5745"/>
      <c r="P56" s="860" t="s">
        <v>11885</v>
      </c>
      <c r="Q56" s="861" t="s">
        <v>11886</v>
      </c>
    </row>
    <row r="57" spans="10:17" ht="15.75">
      <c r="J57" s="849" t="s">
        <v>14180</v>
      </c>
      <c r="K57" s="850">
        <v>16</v>
      </c>
      <c r="L57" s="877">
        <v>16.152999999999999</v>
      </c>
      <c r="M57" s="906">
        <v>15.917</v>
      </c>
      <c r="N57" s="847"/>
      <c r="O57" s="3"/>
      <c r="P57" s="3"/>
      <c r="Q57" s="848"/>
    </row>
    <row r="58" spans="10:17" ht="15.75">
      <c r="J58" s="849" t="s">
        <v>14181</v>
      </c>
      <c r="K58" s="850">
        <v>16</v>
      </c>
      <c r="L58" s="877">
        <v>16.21</v>
      </c>
      <c r="M58" s="906">
        <v>15.835000000000001</v>
      </c>
      <c r="N58" s="847"/>
      <c r="O58" s="3"/>
      <c r="P58" s="3"/>
      <c r="Q58" s="848"/>
    </row>
    <row r="59" spans="10:17" ht="15.75">
      <c r="J59" s="849" t="s">
        <v>14182</v>
      </c>
      <c r="K59" s="850">
        <v>16.5</v>
      </c>
      <c r="L59" s="877">
        <v>16.675999999999998</v>
      </c>
      <c r="M59" s="906">
        <v>16.376000000000001</v>
      </c>
      <c r="N59" s="847"/>
      <c r="O59" s="3"/>
      <c r="P59" s="3"/>
      <c r="Q59" s="848"/>
    </row>
    <row r="60" spans="10:17" ht="15.75">
      <c r="J60" s="849" t="s">
        <v>14183</v>
      </c>
      <c r="K60" s="850">
        <v>17</v>
      </c>
      <c r="L60" s="877">
        <v>17.152999999999999</v>
      </c>
      <c r="M60" s="906">
        <v>16.917000000000002</v>
      </c>
      <c r="N60" s="847"/>
      <c r="O60" s="3"/>
      <c r="P60" s="3"/>
      <c r="Q60" s="848"/>
    </row>
    <row r="61" spans="10:17" ht="15.75">
      <c r="J61" s="849" t="s">
        <v>14184</v>
      </c>
      <c r="K61" s="850">
        <v>18</v>
      </c>
      <c r="L61" s="877">
        <v>18.21</v>
      </c>
      <c r="M61" s="906">
        <v>17.835000000000001</v>
      </c>
      <c r="N61" s="847"/>
      <c r="O61" s="3"/>
      <c r="P61" s="3"/>
      <c r="Q61" s="848"/>
    </row>
    <row r="62" spans="10:17" ht="15.75">
      <c r="J62" s="849" t="s">
        <v>14185</v>
      </c>
      <c r="K62" s="850">
        <v>18.5</v>
      </c>
      <c r="L62" s="877">
        <v>18.675999999999998</v>
      </c>
      <c r="M62" s="906">
        <v>18.376000000000001</v>
      </c>
      <c r="N62" s="847"/>
      <c r="O62" s="3"/>
      <c r="P62" s="3"/>
      <c r="Q62" s="848"/>
    </row>
    <row r="63" spans="10:17" ht="15.75">
      <c r="J63" s="849" t="s">
        <v>14186</v>
      </c>
      <c r="K63" s="850">
        <v>19</v>
      </c>
      <c r="L63" s="877">
        <v>19.152999999999999</v>
      </c>
      <c r="M63" s="906">
        <v>18.917000000000002</v>
      </c>
      <c r="N63" s="847"/>
      <c r="O63" s="3"/>
      <c r="P63" s="3"/>
      <c r="Q63" s="848"/>
    </row>
    <row r="64" spans="10:17" ht="15.75">
      <c r="J64" s="849" t="s">
        <v>14187</v>
      </c>
      <c r="K64" s="850">
        <v>20</v>
      </c>
      <c r="L64" s="877">
        <v>20.21</v>
      </c>
      <c r="M64" s="906">
        <v>19.835000000000001</v>
      </c>
      <c r="N64" s="847"/>
      <c r="O64" s="3"/>
      <c r="P64" s="3"/>
      <c r="Q64" s="848"/>
    </row>
    <row r="65" spans="10:17" ht="15.75">
      <c r="J65" s="849" t="s">
        <v>14188</v>
      </c>
      <c r="K65" s="850">
        <v>20.5</v>
      </c>
      <c r="L65" s="877">
        <v>20.675999999999998</v>
      </c>
      <c r="M65" s="906">
        <v>20.376000000000001</v>
      </c>
      <c r="N65" s="847"/>
      <c r="O65" s="3"/>
      <c r="P65" s="3"/>
      <c r="Q65" s="848"/>
    </row>
    <row r="66" spans="10:17" ht="15.75">
      <c r="J66" s="849" t="s">
        <v>14189</v>
      </c>
      <c r="K66" s="850">
        <v>21</v>
      </c>
      <c r="L66" s="877">
        <v>21.152999999999999</v>
      </c>
      <c r="M66" s="906">
        <v>20.917000000000002</v>
      </c>
      <c r="N66" s="847"/>
      <c r="O66" s="3"/>
      <c r="P66" s="3"/>
      <c r="Q66" s="848"/>
    </row>
    <row r="67" spans="10:17" ht="15.75">
      <c r="J67" s="849" t="s">
        <v>14190</v>
      </c>
      <c r="K67" s="850">
        <v>22</v>
      </c>
      <c r="L67" s="877">
        <v>22.21</v>
      </c>
      <c r="M67" s="906">
        <v>21.835000000000001</v>
      </c>
      <c r="N67" s="847"/>
      <c r="O67" s="3"/>
      <c r="P67" s="3"/>
      <c r="Q67" s="848"/>
    </row>
    <row r="68" spans="10:17" ht="15.75">
      <c r="J68" s="849" t="s">
        <v>14191</v>
      </c>
      <c r="K68" s="850">
        <v>22.5</v>
      </c>
      <c r="L68" s="877">
        <v>22.675999999999998</v>
      </c>
      <c r="M68" s="906">
        <v>22.376000000000001</v>
      </c>
      <c r="N68" s="847"/>
      <c r="O68" s="3"/>
      <c r="P68" s="3"/>
      <c r="Q68" s="848"/>
    </row>
    <row r="69" spans="10:17" ht="15.75">
      <c r="J69" s="849" t="s">
        <v>14192</v>
      </c>
      <c r="K69" s="850">
        <v>23</v>
      </c>
      <c r="L69" s="877">
        <v>23.152999999999999</v>
      </c>
      <c r="M69" s="906">
        <v>22.917000000000002</v>
      </c>
      <c r="N69" s="847"/>
      <c r="O69" s="3"/>
      <c r="P69" s="3"/>
      <c r="Q69" s="848"/>
    </row>
    <row r="70" spans="10:17" ht="15.75">
      <c r="J70" s="849" t="s">
        <v>14193</v>
      </c>
      <c r="K70" s="850">
        <v>23</v>
      </c>
      <c r="L70" s="877">
        <v>23.21</v>
      </c>
      <c r="M70" s="906">
        <v>22.835000000000001</v>
      </c>
      <c r="N70" s="847"/>
      <c r="O70" s="3"/>
      <c r="P70" s="3"/>
      <c r="Q70" s="848"/>
    </row>
    <row r="71" spans="10:17" ht="15.75">
      <c r="J71" s="849" t="s">
        <v>14194</v>
      </c>
      <c r="K71" s="850">
        <v>23.5</v>
      </c>
      <c r="L71" s="877">
        <v>23.675999999999998</v>
      </c>
      <c r="M71" s="906">
        <v>23.376000000000001</v>
      </c>
      <c r="N71" s="847"/>
      <c r="O71" s="3"/>
      <c r="P71" s="3"/>
      <c r="Q71" s="848"/>
    </row>
    <row r="72" spans="10:17" ht="15.75">
      <c r="J72" s="849" t="s">
        <v>14195</v>
      </c>
      <c r="K72" s="850">
        <v>24</v>
      </c>
      <c r="L72" s="877">
        <v>24.152999999999999</v>
      </c>
      <c r="M72" s="906">
        <v>23.917000000000002</v>
      </c>
      <c r="N72" s="847"/>
      <c r="O72" s="3"/>
      <c r="P72" s="3"/>
      <c r="Q72" s="848"/>
    </row>
    <row r="73" spans="10:17" ht="15.75">
      <c r="J73" s="849" t="s">
        <v>14196</v>
      </c>
      <c r="K73" s="850">
        <v>24.5</v>
      </c>
      <c r="L73" s="877">
        <v>24.675999999999998</v>
      </c>
      <c r="M73" s="906">
        <v>24.376000000000001</v>
      </c>
      <c r="N73" s="847"/>
      <c r="O73" s="3"/>
      <c r="P73" s="3"/>
      <c r="Q73" s="848"/>
    </row>
    <row r="74" spans="10:17" ht="15.75">
      <c r="J74" s="849" t="s">
        <v>14197</v>
      </c>
      <c r="K74" s="850">
        <v>25</v>
      </c>
      <c r="L74" s="877">
        <v>25.21</v>
      </c>
      <c r="M74" s="906">
        <v>24.835000000000001</v>
      </c>
      <c r="N74" s="847"/>
      <c r="O74" s="3"/>
      <c r="P74" s="3"/>
      <c r="Q74" s="848"/>
    </row>
    <row r="75" spans="10:17" ht="15.75">
      <c r="J75" s="849" t="s">
        <v>14198</v>
      </c>
      <c r="K75" s="850">
        <v>25.5</v>
      </c>
      <c r="L75" s="877">
        <v>25.675999999999998</v>
      </c>
      <c r="M75" s="906">
        <v>25.376000000000001</v>
      </c>
      <c r="N75" s="847"/>
      <c r="O75" s="3"/>
      <c r="P75" s="3"/>
      <c r="Q75" s="848"/>
    </row>
    <row r="76" spans="10:17" ht="15.75">
      <c r="J76" s="849" t="s">
        <v>14199</v>
      </c>
      <c r="K76" s="850">
        <v>26</v>
      </c>
      <c r="L76" s="877">
        <v>26.152999999999999</v>
      </c>
      <c r="M76" s="906">
        <v>25.917000000000002</v>
      </c>
      <c r="N76" s="847"/>
      <c r="O76" s="3"/>
      <c r="P76" s="3"/>
      <c r="Q76" s="848"/>
    </row>
    <row r="77" spans="10:17" ht="15.75">
      <c r="J77" s="849" t="s">
        <v>14200</v>
      </c>
      <c r="K77" s="850">
        <v>26</v>
      </c>
      <c r="L77" s="877">
        <v>26.21</v>
      </c>
      <c r="M77" s="906">
        <v>25.835000000000001</v>
      </c>
      <c r="N77" s="847"/>
      <c r="O77" s="3"/>
      <c r="P77" s="3"/>
      <c r="Q77" s="848"/>
    </row>
    <row r="78" spans="10:17" ht="15.75">
      <c r="J78" s="849" t="s">
        <v>14201</v>
      </c>
      <c r="K78" s="850">
        <v>26.5</v>
      </c>
      <c r="L78" s="877">
        <v>26.675999999999998</v>
      </c>
      <c r="M78" s="906">
        <v>26.376000000000001</v>
      </c>
      <c r="N78" s="847"/>
      <c r="O78" s="3"/>
      <c r="P78" s="3"/>
      <c r="Q78" s="848"/>
    </row>
    <row r="79" spans="10:17" ht="22.5">
      <c r="J79" s="6070" t="s">
        <v>14045</v>
      </c>
      <c r="K79" s="6070"/>
      <c r="L79" s="6070"/>
      <c r="M79" s="6070"/>
      <c r="N79" s="6070"/>
      <c r="O79" s="6070"/>
      <c r="P79" s="6070"/>
      <c r="Q79" s="6070"/>
    </row>
    <row r="80" spans="10:17" ht="18.75">
      <c r="J80" s="6062" t="s">
        <v>14048</v>
      </c>
      <c r="K80" s="6063"/>
      <c r="L80" s="6063"/>
      <c r="M80" s="6064"/>
      <c r="N80" s="6062" t="s">
        <v>14049</v>
      </c>
      <c r="O80" s="6063"/>
      <c r="P80" s="6063"/>
      <c r="Q80" s="6064"/>
    </row>
    <row r="81" spans="10:17">
      <c r="J81" s="6060" t="s">
        <v>1183</v>
      </c>
      <c r="K81" s="5745" t="s">
        <v>14050</v>
      </c>
      <c r="L81" s="5745" t="s">
        <v>14051</v>
      </c>
      <c r="M81" s="6065"/>
      <c r="N81" s="6060" t="s">
        <v>14052</v>
      </c>
      <c r="O81" s="5745" t="s">
        <v>14050</v>
      </c>
      <c r="P81" s="5745" t="s">
        <v>14051</v>
      </c>
      <c r="Q81" s="6066"/>
    </row>
    <row r="82" spans="10:17">
      <c r="J82" s="6060"/>
      <c r="K82" s="5745"/>
      <c r="L82" s="860" t="s">
        <v>11885</v>
      </c>
      <c r="M82" s="903" t="s">
        <v>11886</v>
      </c>
      <c r="N82" s="6060"/>
      <c r="O82" s="5745"/>
      <c r="P82" s="860" t="s">
        <v>11885</v>
      </c>
      <c r="Q82" s="861" t="s">
        <v>11886</v>
      </c>
    </row>
    <row r="83" spans="10:17" ht="15.75">
      <c r="J83" s="849" t="s">
        <v>14202</v>
      </c>
      <c r="K83" s="850">
        <v>27</v>
      </c>
      <c r="L83" s="3">
        <v>27.152999999999999</v>
      </c>
      <c r="M83" s="907">
        <v>26.917000000000002</v>
      </c>
      <c r="N83" s="847"/>
      <c r="O83" s="3"/>
      <c r="P83" s="3"/>
      <c r="Q83" s="848"/>
    </row>
    <row r="84" spans="10:17" ht="15.75">
      <c r="J84" s="849" t="s">
        <v>14203</v>
      </c>
      <c r="K84" s="850">
        <v>27</v>
      </c>
      <c r="L84" s="3">
        <v>27.251999999999999</v>
      </c>
      <c r="M84" s="907">
        <v>26.751999999999999</v>
      </c>
      <c r="N84" s="847"/>
      <c r="O84" s="3"/>
      <c r="P84" s="3"/>
      <c r="Q84" s="848"/>
    </row>
    <row r="85" spans="10:17" ht="15.75">
      <c r="J85" s="849" t="s">
        <v>14204</v>
      </c>
      <c r="K85" s="850">
        <v>28</v>
      </c>
      <c r="L85" s="877">
        <v>28.21</v>
      </c>
      <c r="M85" s="907">
        <v>27.835000000000001</v>
      </c>
      <c r="N85" s="847"/>
      <c r="O85" s="3"/>
      <c r="P85" s="3"/>
      <c r="Q85" s="848"/>
    </row>
    <row r="86" spans="10:17" ht="15.75">
      <c r="J86" s="849" t="s">
        <v>14205</v>
      </c>
      <c r="K86" s="850">
        <v>28.5</v>
      </c>
      <c r="L86" s="877">
        <v>28.675999999999998</v>
      </c>
      <c r="M86" s="907">
        <v>28.376000000000001</v>
      </c>
      <c r="N86" s="847"/>
      <c r="O86" s="3"/>
      <c r="P86" s="3"/>
      <c r="Q86" s="848"/>
    </row>
    <row r="87" spans="10:17" ht="15.75">
      <c r="J87" s="849" t="s">
        <v>14206</v>
      </c>
      <c r="K87" s="850">
        <v>29</v>
      </c>
      <c r="L87" s="877">
        <v>29.152999999999999</v>
      </c>
      <c r="M87" s="907">
        <v>28.917000000000002</v>
      </c>
      <c r="N87" s="847"/>
      <c r="O87" s="3"/>
      <c r="P87" s="3"/>
      <c r="Q87" s="848"/>
    </row>
    <row r="88" spans="10:17" ht="15.75">
      <c r="J88" s="849" t="s">
        <v>14207</v>
      </c>
      <c r="K88" s="850">
        <v>30</v>
      </c>
      <c r="L88" s="877">
        <v>30.21</v>
      </c>
      <c r="M88" s="907">
        <v>29.835000000000001</v>
      </c>
      <c r="N88" s="847"/>
      <c r="O88" s="3"/>
      <c r="P88" s="3"/>
      <c r="Q88" s="848"/>
    </row>
    <row r="89" spans="10:17" ht="15.75">
      <c r="J89" s="849" t="s">
        <v>14208</v>
      </c>
      <c r="K89" s="850">
        <v>30.5</v>
      </c>
      <c r="L89" s="877">
        <v>30.675999999999998</v>
      </c>
      <c r="M89" s="907">
        <v>30.376000000000001</v>
      </c>
      <c r="N89" s="847"/>
      <c r="O89" s="3"/>
      <c r="P89" s="3"/>
      <c r="Q89" s="848"/>
    </row>
    <row r="90" spans="10:17" ht="15.75">
      <c r="J90" s="849" t="s">
        <v>14209</v>
      </c>
      <c r="K90" s="850">
        <v>30</v>
      </c>
      <c r="L90" s="877">
        <v>30.251999999999999</v>
      </c>
      <c r="M90" s="907">
        <v>29.751999999999999</v>
      </c>
      <c r="N90" s="847"/>
      <c r="O90" s="3"/>
      <c r="P90" s="3"/>
      <c r="Q90" s="848"/>
    </row>
    <row r="91" spans="10:17" ht="15.75">
      <c r="J91" s="849" t="s">
        <v>14210</v>
      </c>
      <c r="K91" s="850">
        <v>31</v>
      </c>
      <c r="L91" s="877">
        <v>31.21</v>
      </c>
      <c r="M91" s="907">
        <v>30.835000000000001</v>
      </c>
      <c r="N91" s="847"/>
      <c r="O91" s="3"/>
      <c r="P91" s="3"/>
      <c r="Q91" s="848"/>
    </row>
    <row r="92" spans="10:17" ht="15.75">
      <c r="J92" s="849" t="s">
        <v>14211</v>
      </c>
      <c r="K92" s="850">
        <v>31.5</v>
      </c>
      <c r="L92" s="877">
        <v>31.675999999999998</v>
      </c>
      <c r="M92" s="907">
        <v>31.376000000000001</v>
      </c>
      <c r="N92" s="847"/>
      <c r="O92" s="3"/>
      <c r="P92" s="3"/>
      <c r="Q92" s="848"/>
    </row>
    <row r="93" spans="10:17" ht="15.75">
      <c r="J93" s="849" t="s">
        <v>14212</v>
      </c>
      <c r="K93" s="850">
        <v>33.5</v>
      </c>
      <c r="L93" s="877">
        <v>33.676000000000002</v>
      </c>
      <c r="M93" s="907">
        <v>33.375999999999998</v>
      </c>
      <c r="N93" s="847"/>
      <c r="O93" s="3"/>
      <c r="P93" s="3"/>
      <c r="Q93" s="848"/>
    </row>
    <row r="94" spans="10:17" ht="15.75">
      <c r="J94" s="849" t="s">
        <v>14213</v>
      </c>
      <c r="K94" s="850">
        <v>33</v>
      </c>
      <c r="L94" s="877">
        <v>33.252000000000002</v>
      </c>
      <c r="M94" s="907">
        <v>32.752000000000002</v>
      </c>
      <c r="N94" s="847"/>
      <c r="O94" s="3"/>
      <c r="P94" s="3"/>
      <c r="Q94" s="848"/>
    </row>
    <row r="95" spans="10:17" ht="15.75">
      <c r="J95" s="908" t="s">
        <v>14214</v>
      </c>
      <c r="K95" s="909">
        <v>34</v>
      </c>
      <c r="L95" s="910">
        <v>34.21</v>
      </c>
      <c r="M95" s="911">
        <v>33.835000000000001</v>
      </c>
      <c r="N95" s="912"/>
      <c r="O95" s="913"/>
      <c r="P95" s="913"/>
      <c r="Q95" s="915"/>
    </row>
    <row r="96" spans="10:17" ht="15.75">
      <c r="J96" s="856" t="s">
        <v>14215</v>
      </c>
      <c r="K96" s="879">
        <v>34.5</v>
      </c>
      <c r="L96" s="880">
        <v>34.676000000000002</v>
      </c>
      <c r="M96" s="914">
        <v>34.375999999999998</v>
      </c>
      <c r="N96" s="853"/>
      <c r="O96" s="854"/>
      <c r="P96" s="854"/>
      <c r="Q96" s="855"/>
    </row>
    <row r="97" spans="10:17">
      <c r="J97" s="844"/>
      <c r="K97" s="844"/>
      <c r="L97" s="844"/>
      <c r="M97" s="844"/>
      <c r="N97" s="844"/>
      <c r="O97" s="844"/>
      <c r="P97" s="844"/>
      <c r="Q97" s="844"/>
    </row>
    <row r="98" spans="10:17">
      <c r="J98" s="844"/>
      <c r="K98" s="844"/>
      <c r="L98" s="844"/>
      <c r="M98" s="844"/>
      <c r="N98" s="844"/>
      <c r="O98" s="844"/>
      <c r="P98" s="844"/>
      <c r="Q98" s="844"/>
    </row>
    <row r="99" spans="10:17">
      <c r="J99" s="844"/>
      <c r="K99" s="844"/>
      <c r="L99" s="844"/>
      <c r="M99" s="844"/>
      <c r="N99" s="844"/>
      <c r="O99" s="844"/>
      <c r="P99" s="844"/>
      <c r="Q99" s="844"/>
    </row>
    <row r="100" spans="10:17">
      <c r="J100" s="844"/>
      <c r="K100" s="844"/>
      <c r="L100" s="844"/>
      <c r="M100" s="844"/>
      <c r="N100" s="844"/>
      <c r="O100" s="844"/>
      <c r="P100" s="844"/>
      <c r="Q100" s="844"/>
    </row>
    <row r="101" spans="10:17">
      <c r="J101" s="844"/>
      <c r="K101" s="844"/>
      <c r="L101" s="844"/>
      <c r="M101" s="844"/>
      <c r="N101" s="844"/>
      <c r="O101" s="844"/>
      <c r="P101" s="844"/>
      <c r="Q101" s="844"/>
    </row>
    <row r="102" spans="10:17">
      <c r="J102" s="844"/>
      <c r="K102" s="844"/>
      <c r="L102" s="844"/>
      <c r="M102" s="844"/>
      <c r="N102" s="844"/>
      <c r="O102" s="844"/>
      <c r="P102" s="844"/>
      <c r="Q102" s="844"/>
    </row>
    <row r="103" spans="10:17">
      <c r="J103" s="844"/>
      <c r="K103" s="844"/>
      <c r="L103" s="844"/>
      <c r="M103" s="844"/>
      <c r="N103" s="844"/>
      <c r="O103" s="844"/>
      <c r="P103" s="844"/>
      <c r="Q103" s="844"/>
    </row>
    <row r="104" spans="10:17">
      <c r="J104" s="844"/>
      <c r="K104" s="844"/>
      <c r="L104" s="844"/>
      <c r="M104" s="844"/>
      <c r="N104" s="844"/>
      <c r="O104" s="844"/>
      <c r="P104" s="844"/>
      <c r="Q104" s="844"/>
    </row>
    <row r="105" spans="10:17">
      <c r="J105" s="844"/>
      <c r="K105" s="844"/>
      <c r="L105" s="844"/>
      <c r="M105" s="844"/>
      <c r="N105" s="844"/>
      <c r="O105" s="844"/>
      <c r="P105" s="844"/>
      <c r="Q105" s="844"/>
    </row>
    <row r="106" spans="10:17">
      <c r="J106" s="844"/>
      <c r="K106" s="844"/>
      <c r="L106" s="844"/>
      <c r="M106" s="844"/>
      <c r="N106" s="844"/>
      <c r="O106" s="844"/>
      <c r="P106" s="844"/>
      <c r="Q106" s="844"/>
    </row>
    <row r="107" spans="10:17">
      <c r="J107" s="844"/>
      <c r="K107" s="844"/>
      <c r="L107" s="844"/>
      <c r="M107" s="844"/>
      <c r="N107" s="844"/>
      <c r="O107" s="844"/>
      <c r="P107" s="844"/>
      <c r="Q107" s="844"/>
    </row>
    <row r="108" spans="10:17">
      <c r="J108" s="844"/>
      <c r="K108" s="844"/>
      <c r="L108" s="844"/>
      <c r="M108" s="844"/>
      <c r="N108" s="844"/>
      <c r="O108" s="844"/>
      <c r="P108" s="844"/>
      <c r="Q108" s="844"/>
    </row>
    <row r="109" spans="10:17">
      <c r="J109" s="844"/>
      <c r="K109" s="844"/>
      <c r="L109" s="844"/>
      <c r="M109" s="844"/>
      <c r="N109" s="844"/>
      <c r="O109" s="844"/>
      <c r="P109" s="844"/>
      <c r="Q109" s="844"/>
    </row>
    <row r="110" spans="10:17">
      <c r="J110" s="844"/>
      <c r="K110" s="844"/>
      <c r="L110" s="844"/>
      <c r="M110" s="844"/>
      <c r="N110" s="844"/>
      <c r="O110" s="844"/>
      <c r="P110" s="844"/>
      <c r="Q110" s="844"/>
    </row>
    <row r="111" spans="10:17">
      <c r="J111" s="844"/>
      <c r="K111" s="844"/>
      <c r="L111" s="844"/>
      <c r="M111" s="844"/>
      <c r="N111" s="844"/>
      <c r="O111" s="844"/>
      <c r="P111" s="844"/>
      <c r="Q111" s="844"/>
    </row>
  </sheetData>
  <mergeCells count="44">
    <mergeCell ref="A1:Q1"/>
    <mergeCell ref="A2:D2"/>
    <mergeCell ref="E2:H2"/>
    <mergeCell ref="J2:M2"/>
    <mergeCell ref="N2:Q2"/>
    <mergeCell ref="C3:D3"/>
    <mergeCell ref="G3:H3"/>
    <mergeCell ref="L3:M3"/>
    <mergeCell ref="P3:Q3"/>
    <mergeCell ref="J27:Q27"/>
    <mergeCell ref="N3:N4"/>
    <mergeCell ref="J28:M28"/>
    <mergeCell ref="N28:Q28"/>
    <mergeCell ref="L29:M29"/>
    <mergeCell ref="P29:Q29"/>
    <mergeCell ref="J53:Q53"/>
    <mergeCell ref="N29:N30"/>
    <mergeCell ref="J54:M54"/>
    <mergeCell ref="N54:Q54"/>
    <mergeCell ref="L55:M55"/>
    <mergeCell ref="P55:Q55"/>
    <mergeCell ref="J79:Q79"/>
    <mergeCell ref="N55:N56"/>
    <mergeCell ref="J80:M80"/>
    <mergeCell ref="N80:Q80"/>
    <mergeCell ref="L81:M81"/>
    <mergeCell ref="P81:Q81"/>
    <mergeCell ref="A3:A4"/>
    <mergeCell ref="B3:B4"/>
    <mergeCell ref="E3:E4"/>
    <mergeCell ref="F3:F4"/>
    <mergeCell ref="J3:J4"/>
    <mergeCell ref="J29:J30"/>
    <mergeCell ref="J55:J56"/>
    <mergeCell ref="J81:J82"/>
    <mergeCell ref="K3:K4"/>
    <mergeCell ref="K29:K30"/>
    <mergeCell ref="K55:K56"/>
    <mergeCell ref="K81:K82"/>
    <mergeCell ref="N81:N82"/>
    <mergeCell ref="O3:O4"/>
    <mergeCell ref="O29:O30"/>
    <mergeCell ref="O55:O56"/>
    <mergeCell ref="O81:O82"/>
  </mergeCells>
  <phoneticPr fontId="214" type="noConversion"/>
  <pageMargins left="0.60902777777777795" right="0.68888888888888899" top="0.48888888888888898" bottom="0.38888888888888901" header="0.21875" footer="0.25"/>
  <pageSetup paperSize="9" orientation="portrait"/>
  <headerFooter scaleWithDoc="0" alignWithMargins="0"/>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157"/>
  <dimension ref="A1:F19"/>
  <sheetViews>
    <sheetView workbookViewId="0">
      <selection sqref="A1:D1"/>
    </sheetView>
  </sheetViews>
  <sheetFormatPr defaultColWidth="9" defaultRowHeight="14.25"/>
  <cols>
    <col min="1" max="1" width="20.875" style="844" customWidth="1"/>
    <col min="2" max="4" width="18.625" style="844" customWidth="1"/>
    <col min="5" max="5" width="21.5" style="844" customWidth="1"/>
    <col min="6" max="6" width="20.625" style="844" customWidth="1"/>
    <col min="7" max="16384" width="9" style="844"/>
  </cols>
  <sheetData>
    <row r="1" spans="1:6" ht="54.75" customHeight="1">
      <c r="A1" s="6082" t="s">
        <v>14216</v>
      </c>
      <c r="B1" s="6083"/>
      <c r="C1" s="6083"/>
      <c r="D1" s="6084"/>
      <c r="E1" s="6082" t="s">
        <v>14217</v>
      </c>
      <c r="F1" s="6084"/>
    </row>
    <row r="2" spans="1:6" ht="32.25" customHeight="1">
      <c r="A2" s="6087" t="s">
        <v>14218</v>
      </c>
      <c r="B2" s="6085" t="s">
        <v>14050</v>
      </c>
      <c r="C2" s="6085" t="s">
        <v>14051</v>
      </c>
      <c r="D2" s="6086"/>
      <c r="E2" s="6088" t="s">
        <v>1183</v>
      </c>
      <c r="F2" s="6089" t="s">
        <v>10126</v>
      </c>
    </row>
    <row r="3" spans="1:6" ht="24.95" customHeight="1">
      <c r="A3" s="6087"/>
      <c r="B3" s="6085"/>
      <c r="C3" s="845" t="s">
        <v>11885</v>
      </c>
      <c r="D3" s="846" t="s">
        <v>11886</v>
      </c>
      <c r="E3" s="6088"/>
      <c r="F3" s="6089"/>
    </row>
    <row r="4" spans="1:6" ht="26.1" customHeight="1">
      <c r="A4" s="849" t="s">
        <v>14219</v>
      </c>
      <c r="B4" s="850">
        <v>4.7</v>
      </c>
      <c r="C4" s="877">
        <v>4.8259999999999996</v>
      </c>
      <c r="D4" s="878">
        <v>4.6230000000000002</v>
      </c>
      <c r="E4" s="849" t="s">
        <v>14220</v>
      </c>
      <c r="F4" s="852" t="s">
        <v>14221</v>
      </c>
    </row>
    <row r="5" spans="1:6" ht="26.1" customHeight="1">
      <c r="A5" s="849" t="s">
        <v>14222</v>
      </c>
      <c r="B5" s="850">
        <v>5.6</v>
      </c>
      <c r="C5" s="877">
        <v>5.69</v>
      </c>
      <c r="D5" s="878">
        <v>5.4859999999999998</v>
      </c>
      <c r="E5" s="849" t="s">
        <v>14223</v>
      </c>
      <c r="F5" s="848"/>
    </row>
    <row r="6" spans="1:6" ht="26.1" customHeight="1">
      <c r="A6" s="849" t="s">
        <v>14224</v>
      </c>
      <c r="B6" s="850">
        <v>7.1</v>
      </c>
      <c r="C6" s="877">
        <v>7.2640000000000002</v>
      </c>
      <c r="D6" s="878">
        <v>7.0869999999999997</v>
      </c>
      <c r="E6" s="849" t="s">
        <v>14225</v>
      </c>
      <c r="F6" s="852" t="s">
        <v>14226</v>
      </c>
    </row>
    <row r="7" spans="1:6" ht="26.1" customHeight="1">
      <c r="A7" s="849" t="s">
        <v>14227</v>
      </c>
      <c r="B7" s="850">
        <v>8.6999999999999993</v>
      </c>
      <c r="C7" s="877">
        <v>8.8650000000000002</v>
      </c>
      <c r="D7" s="878">
        <v>8.6609999999999996</v>
      </c>
      <c r="E7" s="849" t="s">
        <v>14228</v>
      </c>
      <c r="F7" s="852" t="s">
        <v>14229</v>
      </c>
    </row>
    <row r="8" spans="1:6" ht="26.1" customHeight="1">
      <c r="A8" s="849" t="s">
        <v>14230</v>
      </c>
      <c r="B8" s="850">
        <v>10.199999999999999</v>
      </c>
      <c r="C8" s="877">
        <v>10.337999999999999</v>
      </c>
      <c r="D8" s="878">
        <v>10.135</v>
      </c>
      <c r="E8" s="849" t="s">
        <v>14231</v>
      </c>
      <c r="F8" s="852" t="s">
        <v>14232</v>
      </c>
    </row>
    <row r="9" spans="1:6" ht="26.1" customHeight="1">
      <c r="A9" s="870" t="s">
        <v>14233</v>
      </c>
      <c r="B9" s="850">
        <v>11.8</v>
      </c>
      <c r="C9" s="877">
        <v>11.938000000000001</v>
      </c>
      <c r="D9" s="878">
        <v>11.709</v>
      </c>
      <c r="E9" s="847"/>
      <c r="F9" s="848"/>
    </row>
    <row r="10" spans="1:6" ht="26.1" customHeight="1">
      <c r="A10" s="870" t="s">
        <v>14234</v>
      </c>
      <c r="B10" s="850">
        <v>13.2</v>
      </c>
      <c r="C10" s="877">
        <v>13.385999999999999</v>
      </c>
      <c r="D10" s="878">
        <v>13.132</v>
      </c>
      <c r="E10" s="847"/>
      <c r="F10" s="848"/>
    </row>
    <row r="11" spans="1:6" ht="26.1" customHeight="1">
      <c r="A11" s="870" t="s">
        <v>14235</v>
      </c>
      <c r="B11" s="850">
        <v>14.8</v>
      </c>
      <c r="C11" s="877">
        <v>14.986000000000001</v>
      </c>
      <c r="D11" s="878">
        <v>14.731999999999999</v>
      </c>
      <c r="E11" s="847"/>
      <c r="F11" s="848"/>
    </row>
    <row r="12" spans="1:6" ht="26.1" customHeight="1">
      <c r="A12" s="870" t="s">
        <v>14236</v>
      </c>
      <c r="B12" s="850">
        <v>17.8</v>
      </c>
      <c r="C12" s="877">
        <v>17.957999999999998</v>
      </c>
      <c r="D12" s="878">
        <v>17.678000000000001</v>
      </c>
      <c r="E12" s="847"/>
      <c r="F12" s="848"/>
    </row>
    <row r="13" spans="1:6" ht="26.1" customHeight="1">
      <c r="A13" s="870" t="s">
        <v>14237</v>
      </c>
      <c r="B13" s="850">
        <v>21</v>
      </c>
      <c r="C13" s="877">
        <v>21.132999999999999</v>
      </c>
      <c r="D13" s="878">
        <v>20.853000000000002</v>
      </c>
      <c r="E13" s="847"/>
      <c r="F13" s="848"/>
    </row>
    <row r="14" spans="1:6" ht="26.1" customHeight="1">
      <c r="A14" s="874" t="s">
        <v>14238</v>
      </c>
      <c r="B14" s="879">
        <v>24</v>
      </c>
      <c r="C14" s="880">
        <v>24.308</v>
      </c>
      <c r="D14" s="881">
        <v>24.027999999999999</v>
      </c>
      <c r="E14" s="853"/>
      <c r="F14" s="855"/>
    </row>
    <row r="15" spans="1:6">
      <c r="A15" s="882"/>
    </row>
    <row r="16" spans="1:6">
      <c r="A16" s="882"/>
    </row>
    <row r="17" spans="1:1">
      <c r="A17" s="882"/>
    </row>
    <row r="18" spans="1:1">
      <c r="A18" s="882"/>
    </row>
    <row r="19" spans="1:1">
      <c r="A19" s="882"/>
    </row>
  </sheetData>
  <mergeCells count="7">
    <mergeCell ref="A1:D1"/>
    <mergeCell ref="E1:F1"/>
    <mergeCell ref="C2:D2"/>
    <mergeCell ref="A2:A3"/>
    <mergeCell ref="B2:B3"/>
    <mergeCell ref="E2:E3"/>
    <mergeCell ref="F2:F3"/>
  </mergeCells>
  <phoneticPr fontId="214" type="noConversion"/>
  <pageMargins left="0.96875" right="0.75" top="1.25" bottom="0.83888888888888902" header="0.5" footer="0.5"/>
  <pageSetup paperSize="9" orientation="landscape"/>
  <headerFooter scaleWithDoc="0" alignWithMargins="0"/>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158"/>
  <dimension ref="A1:M23"/>
  <sheetViews>
    <sheetView workbookViewId="0">
      <selection sqref="A1:M1"/>
    </sheetView>
  </sheetViews>
  <sheetFormatPr defaultColWidth="9.75" defaultRowHeight="14.25"/>
  <cols>
    <col min="1" max="1" width="13.25" style="858" customWidth="1"/>
    <col min="2" max="2" width="9.75" style="858" customWidth="1"/>
    <col min="3" max="3" width="8" style="858" customWidth="1"/>
    <col min="4" max="4" width="8.5" style="858" customWidth="1"/>
    <col min="5" max="5" width="13.875" style="858" customWidth="1"/>
    <col min="6" max="6" width="8.125" style="858" customWidth="1"/>
    <col min="7" max="7" width="8.25" style="858" customWidth="1"/>
    <col min="8" max="9" width="9.75" style="858" customWidth="1"/>
    <col min="10" max="10" width="11.75" style="858" customWidth="1"/>
    <col min="11" max="16384" width="9.75" style="858"/>
  </cols>
  <sheetData>
    <row r="1" spans="1:13" ht="62.25" customHeight="1">
      <c r="A1" s="6094" t="s">
        <v>14045</v>
      </c>
      <c r="B1" s="6094"/>
      <c r="C1" s="6094"/>
      <c r="D1" s="6094"/>
      <c r="E1" s="6094"/>
      <c r="F1" s="6094"/>
      <c r="G1" s="6094"/>
      <c r="H1" s="6094"/>
      <c r="I1" s="6094"/>
      <c r="J1" s="6094"/>
      <c r="K1" s="6094"/>
      <c r="L1" s="6094"/>
      <c r="M1" s="6094"/>
    </row>
    <row r="2" spans="1:13" ht="57" customHeight="1">
      <c r="A2" s="6082" t="s">
        <v>14239</v>
      </c>
      <c r="B2" s="6083"/>
      <c r="C2" s="6083"/>
      <c r="D2" s="6084"/>
      <c r="E2" s="6082" t="s">
        <v>14239</v>
      </c>
      <c r="F2" s="6083"/>
      <c r="G2" s="6083"/>
      <c r="H2" s="6083"/>
      <c r="I2" s="6084"/>
      <c r="J2" s="6082" t="s">
        <v>14240</v>
      </c>
      <c r="K2" s="6083"/>
      <c r="L2" s="6083"/>
      <c r="M2" s="6084"/>
    </row>
    <row r="3" spans="1:13" ht="26.25" customHeight="1">
      <c r="A3" s="6060" t="s">
        <v>1183</v>
      </c>
      <c r="B3" s="5745" t="s">
        <v>14050</v>
      </c>
      <c r="C3" s="5745" t="s">
        <v>10126</v>
      </c>
      <c r="D3" s="6066"/>
      <c r="E3" s="6060" t="s">
        <v>1183</v>
      </c>
      <c r="F3" s="6085" t="s">
        <v>14050</v>
      </c>
      <c r="G3" s="6085"/>
      <c r="H3" s="6092" t="s">
        <v>14241</v>
      </c>
      <c r="I3" s="6093" t="s">
        <v>14242</v>
      </c>
      <c r="J3" s="6060" t="s">
        <v>1183</v>
      </c>
      <c r="K3" s="5745" t="s">
        <v>10126</v>
      </c>
      <c r="L3" s="5745"/>
      <c r="M3" s="6066"/>
    </row>
    <row r="4" spans="1:13" ht="14.25" customHeight="1">
      <c r="A4" s="6060"/>
      <c r="B4" s="5745"/>
      <c r="C4" s="5745" t="s">
        <v>11885</v>
      </c>
      <c r="D4" s="6066" t="s">
        <v>11886</v>
      </c>
      <c r="E4" s="6060"/>
      <c r="F4" s="6090" t="s">
        <v>14243</v>
      </c>
      <c r="G4" s="6090" t="s">
        <v>14244</v>
      </c>
      <c r="H4" s="6092"/>
      <c r="I4" s="6093"/>
      <c r="J4" s="6060"/>
      <c r="K4" s="6085" t="s">
        <v>14245</v>
      </c>
      <c r="L4" s="6085"/>
      <c r="M4" s="6066" t="s">
        <v>14246</v>
      </c>
    </row>
    <row r="5" spans="1:13">
      <c r="A5" s="6060"/>
      <c r="B5" s="5745"/>
      <c r="C5" s="5745"/>
      <c r="D5" s="6066"/>
      <c r="E5" s="6060"/>
      <c r="F5" s="6091"/>
      <c r="G5" s="6091"/>
      <c r="H5" s="6092"/>
      <c r="I5" s="6093"/>
      <c r="J5" s="6060"/>
      <c r="K5" s="222" t="s">
        <v>14247</v>
      </c>
      <c r="L5" s="222" t="s">
        <v>14248</v>
      </c>
      <c r="M5" s="6066"/>
    </row>
    <row r="6" spans="1:13" ht="24.95" customHeight="1">
      <c r="A6" s="862" t="s">
        <v>14249</v>
      </c>
      <c r="B6" s="863">
        <v>6.5</v>
      </c>
      <c r="C6" s="222">
        <v>6.6319999999999997</v>
      </c>
      <c r="D6" s="864">
        <v>6.49</v>
      </c>
      <c r="E6" s="862" t="s">
        <v>14250</v>
      </c>
      <c r="F6" s="863">
        <v>6.1</v>
      </c>
      <c r="G6" s="863">
        <v>6.2</v>
      </c>
      <c r="H6" s="222">
        <v>6.2439999999999998</v>
      </c>
      <c r="I6" s="869">
        <v>6.3840000000000003</v>
      </c>
      <c r="J6" s="870" t="s">
        <v>14251</v>
      </c>
      <c r="K6" s="871">
        <v>6.1</v>
      </c>
      <c r="L6" s="871">
        <v>6.25</v>
      </c>
      <c r="M6" s="872">
        <v>6.35</v>
      </c>
    </row>
    <row r="7" spans="1:13" ht="24.95" customHeight="1">
      <c r="A7" s="862" t="s">
        <v>14252</v>
      </c>
      <c r="B7" s="863">
        <v>8.5</v>
      </c>
      <c r="C7" s="222">
        <v>8.6370000000000005</v>
      </c>
      <c r="D7" s="864">
        <v>8.4949999999999992</v>
      </c>
      <c r="E7" s="862" t="s">
        <v>14253</v>
      </c>
      <c r="F7" s="863">
        <v>8.1</v>
      </c>
      <c r="G7" s="863">
        <v>8.1999999999999993</v>
      </c>
      <c r="H7" s="222">
        <v>8.2490000000000006</v>
      </c>
      <c r="I7" s="869">
        <v>8.3879999999999999</v>
      </c>
      <c r="J7" s="870" t="s">
        <v>14254</v>
      </c>
      <c r="K7" s="871">
        <v>8.33</v>
      </c>
      <c r="L7" s="871">
        <v>8.43</v>
      </c>
      <c r="M7" s="872">
        <v>8.74</v>
      </c>
    </row>
    <row r="8" spans="1:13" ht="24.95" customHeight="1">
      <c r="A8" s="862" t="s">
        <v>14255</v>
      </c>
      <c r="B8" s="863">
        <v>11.4</v>
      </c>
      <c r="C8" s="222">
        <v>11.548999999999999</v>
      </c>
      <c r="D8" s="864">
        <v>11.340999999999999</v>
      </c>
      <c r="E8" s="862" t="s">
        <v>14256</v>
      </c>
      <c r="F8" s="863">
        <v>10.7</v>
      </c>
      <c r="G8" s="863">
        <v>11</v>
      </c>
      <c r="H8" s="222">
        <v>10.962</v>
      </c>
      <c r="I8" s="869">
        <v>11.173999999999999</v>
      </c>
      <c r="J8" s="870" t="s">
        <v>14257</v>
      </c>
      <c r="K8" s="871">
        <v>10.72</v>
      </c>
      <c r="L8" s="871">
        <v>11.13</v>
      </c>
      <c r="M8" s="872">
        <v>11.13</v>
      </c>
    </row>
    <row r="9" spans="1:13" ht="24.95" customHeight="1">
      <c r="A9" s="862" t="s">
        <v>14258</v>
      </c>
      <c r="B9" s="863">
        <v>15</v>
      </c>
      <c r="C9" s="222">
        <v>15.054</v>
      </c>
      <c r="D9" s="864">
        <v>14.846</v>
      </c>
      <c r="E9" s="862" t="s">
        <v>14259</v>
      </c>
      <c r="F9" s="863">
        <v>14.2</v>
      </c>
      <c r="G9" s="863">
        <v>14.5</v>
      </c>
      <c r="H9" s="222">
        <v>14.448</v>
      </c>
      <c r="I9" s="869">
        <v>14.657999999999999</v>
      </c>
      <c r="J9" s="870" t="s">
        <v>14260</v>
      </c>
      <c r="K9" s="871">
        <v>14.27</v>
      </c>
      <c r="L9" s="871">
        <v>14.27</v>
      </c>
      <c r="M9" s="872">
        <v>14.68</v>
      </c>
    </row>
    <row r="10" spans="1:13" ht="24.95" customHeight="1">
      <c r="A10" s="862" t="s">
        <v>14261</v>
      </c>
      <c r="B10" s="863">
        <v>18.5</v>
      </c>
      <c r="C10" s="222">
        <v>18.773</v>
      </c>
      <c r="D10" s="864">
        <v>18.489000000000001</v>
      </c>
      <c r="E10" s="862" t="s">
        <v>14262</v>
      </c>
      <c r="F10" s="863">
        <v>17.600000000000001</v>
      </c>
      <c r="G10" s="863">
        <v>18</v>
      </c>
      <c r="H10" s="222">
        <v>17.978999999999999</v>
      </c>
      <c r="I10" s="869">
        <v>18.263000000000002</v>
      </c>
      <c r="J10" s="870" t="s">
        <v>14263</v>
      </c>
      <c r="K10" s="871">
        <v>17.48</v>
      </c>
      <c r="L10" s="871">
        <v>17.86</v>
      </c>
      <c r="M10" s="872">
        <v>18.260000000000002</v>
      </c>
    </row>
    <row r="11" spans="1:13" ht="24.95" customHeight="1">
      <c r="A11" s="862" t="s">
        <v>14264</v>
      </c>
      <c r="B11" s="863">
        <v>24</v>
      </c>
      <c r="C11" s="222">
        <v>24.259</v>
      </c>
      <c r="D11" s="864">
        <v>23.975000000000001</v>
      </c>
      <c r="E11" s="862" t="s">
        <v>14265</v>
      </c>
      <c r="F11" s="863">
        <v>23</v>
      </c>
      <c r="G11" s="863">
        <v>23.5</v>
      </c>
      <c r="H11" s="222">
        <v>23.378</v>
      </c>
      <c r="I11" s="869">
        <v>23.663</v>
      </c>
      <c r="J11" s="870" t="s">
        <v>14266</v>
      </c>
      <c r="K11" s="871">
        <v>22.63</v>
      </c>
      <c r="L11" s="871">
        <v>23.01</v>
      </c>
      <c r="M11" s="872">
        <v>23.42</v>
      </c>
    </row>
    <row r="12" spans="1:13" ht="24.95" customHeight="1">
      <c r="A12" s="862" t="s">
        <v>14267</v>
      </c>
      <c r="B12" s="863">
        <v>30.2</v>
      </c>
      <c r="C12" s="222">
        <v>30.471</v>
      </c>
      <c r="D12" s="864">
        <v>30.111000000000001</v>
      </c>
      <c r="E12" s="862" t="s">
        <v>14268</v>
      </c>
      <c r="F12" s="863">
        <v>29</v>
      </c>
      <c r="G12" s="863">
        <v>29.5</v>
      </c>
      <c r="H12" s="222">
        <v>29.459</v>
      </c>
      <c r="I12" s="869">
        <v>29.821999999999999</v>
      </c>
      <c r="J12" s="870" t="s">
        <v>14269</v>
      </c>
      <c r="K12" s="871">
        <v>28.58</v>
      </c>
      <c r="L12" s="871">
        <v>28.98</v>
      </c>
      <c r="M12" s="872">
        <v>29.36</v>
      </c>
    </row>
    <row r="13" spans="1:13" ht="24.95" customHeight="1">
      <c r="A13" s="862" t="s">
        <v>14270</v>
      </c>
      <c r="B13" s="863">
        <v>38.799999999999997</v>
      </c>
      <c r="C13" s="222">
        <v>39.131999999999998</v>
      </c>
      <c r="D13" s="864">
        <v>38.771999999999998</v>
      </c>
      <c r="E13" s="862" t="s">
        <v>14271</v>
      </c>
      <c r="F13" s="863">
        <v>37.5</v>
      </c>
      <c r="G13" s="863">
        <v>38</v>
      </c>
      <c r="H13" s="222">
        <v>37.975999999999999</v>
      </c>
      <c r="I13" s="869">
        <v>38.338999999999999</v>
      </c>
      <c r="J13" s="870" t="s">
        <v>14272</v>
      </c>
      <c r="K13" s="871">
        <v>37.31</v>
      </c>
      <c r="L13" s="871">
        <v>37.69</v>
      </c>
      <c r="M13" s="872">
        <v>38.1</v>
      </c>
    </row>
    <row r="14" spans="1:13" ht="24.95" customHeight="1">
      <c r="A14" s="862" t="s">
        <v>14273</v>
      </c>
      <c r="B14" s="863">
        <v>44.8</v>
      </c>
      <c r="C14" s="222">
        <v>45.024999999999999</v>
      </c>
      <c r="D14" s="864">
        <v>44.664999999999999</v>
      </c>
      <c r="E14" s="862" t="s">
        <v>14274</v>
      </c>
      <c r="F14" s="863">
        <v>43.4</v>
      </c>
      <c r="G14" s="863">
        <v>44</v>
      </c>
      <c r="H14" s="222">
        <v>43.869</v>
      </c>
      <c r="I14" s="869">
        <v>44.231999999999999</v>
      </c>
      <c r="J14" s="870" t="s">
        <v>14275</v>
      </c>
      <c r="K14" s="871">
        <v>43.66</v>
      </c>
      <c r="L14" s="871">
        <v>44.04</v>
      </c>
      <c r="M14" s="872">
        <v>44.45</v>
      </c>
    </row>
    <row r="15" spans="1:13" ht="24.95" customHeight="1">
      <c r="A15" s="865" t="s">
        <v>14276</v>
      </c>
      <c r="B15" s="866">
        <v>56.5</v>
      </c>
      <c r="C15" s="867">
        <v>56.835999999999999</v>
      </c>
      <c r="D15" s="868">
        <v>56.475999999999999</v>
      </c>
      <c r="E15" s="865" t="s">
        <v>14277</v>
      </c>
      <c r="F15" s="866">
        <v>54.9</v>
      </c>
      <c r="G15" s="866">
        <v>55.5</v>
      </c>
      <c r="H15" s="867">
        <v>55.411999999999999</v>
      </c>
      <c r="I15" s="873">
        <v>55.844000000000001</v>
      </c>
      <c r="J15" s="874" t="s">
        <v>14278</v>
      </c>
      <c r="K15" s="875">
        <v>55.58</v>
      </c>
      <c r="L15" s="875">
        <v>55.96</v>
      </c>
      <c r="M15" s="876">
        <v>56.36</v>
      </c>
    </row>
    <row r="16" spans="1:13" ht="21" customHeight="1"/>
    <row r="17" ht="21" customHeight="1"/>
    <row r="18" ht="21" customHeight="1"/>
    <row r="19" ht="21" customHeight="1"/>
    <row r="20" ht="21" customHeight="1"/>
    <row r="21" ht="21" customHeight="1"/>
    <row r="22" ht="21" customHeight="1"/>
    <row r="23" ht="21" customHeight="1"/>
  </sheetData>
  <mergeCells count="19">
    <mergeCell ref="A1:M1"/>
    <mergeCell ref="A2:D2"/>
    <mergeCell ref="E2:I2"/>
    <mergeCell ref="J2:M2"/>
    <mergeCell ref="C3:D3"/>
    <mergeCell ref="F3:G3"/>
    <mergeCell ref="K3:M3"/>
    <mergeCell ref="M4:M5"/>
    <mergeCell ref="K4:L4"/>
    <mergeCell ref="A3:A5"/>
    <mergeCell ref="B3:B5"/>
    <mergeCell ref="C4:C5"/>
    <mergeCell ref="D4:D5"/>
    <mergeCell ref="E3:E5"/>
    <mergeCell ref="F4:F5"/>
    <mergeCell ref="G4:G5"/>
    <mergeCell ref="H3:H5"/>
    <mergeCell ref="I3:I5"/>
    <mergeCell ref="J3:J5"/>
  </mergeCells>
  <phoneticPr fontId="214" type="noConversion"/>
  <pageMargins left="0.42916666666666697" right="0.33888888888888902" top="1.23888888888889" bottom="0.13888888888888901" header="0.5" footer="0.2"/>
  <pageSetup paperSize="9" orientation="landscape"/>
  <headerFooter scaleWithDoc="0" alignWithMargins="0"/>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159"/>
  <dimension ref="A1:G30"/>
  <sheetViews>
    <sheetView workbookViewId="0">
      <selection sqref="A1:G1"/>
    </sheetView>
  </sheetViews>
  <sheetFormatPr defaultColWidth="9" defaultRowHeight="14.25"/>
  <cols>
    <col min="1" max="1" width="21" style="844" customWidth="1"/>
    <col min="2" max="3" width="16.625" style="844" customWidth="1"/>
    <col min="4" max="4" width="17.625" style="844" customWidth="1"/>
    <col min="5" max="7" width="16.625" style="844" customWidth="1"/>
    <col min="8" max="16384" width="9" style="844"/>
  </cols>
  <sheetData>
    <row r="1" spans="1:7" ht="54" customHeight="1">
      <c r="A1" s="6095" t="s">
        <v>14045</v>
      </c>
      <c r="B1" s="6095"/>
      <c r="C1" s="6095"/>
      <c r="D1" s="6095"/>
      <c r="E1" s="6095"/>
      <c r="F1" s="6095"/>
      <c r="G1" s="6095"/>
    </row>
    <row r="2" spans="1:7" ht="32.25" customHeight="1">
      <c r="A2" s="6096" t="s">
        <v>49</v>
      </c>
      <c r="B2" s="6097"/>
      <c r="C2" s="6098"/>
      <c r="D2" s="6096" t="s">
        <v>14279</v>
      </c>
      <c r="E2" s="6098"/>
      <c r="F2" s="6096" t="s">
        <v>14280</v>
      </c>
      <c r="G2" s="6098"/>
    </row>
    <row r="3" spans="1:7" ht="18.75">
      <c r="A3" s="6087" t="s">
        <v>14218</v>
      </c>
      <c r="B3" s="6085" t="s">
        <v>10126</v>
      </c>
      <c r="C3" s="6086"/>
      <c r="D3" s="6088" t="s">
        <v>1183</v>
      </c>
      <c r="E3" s="6089" t="s">
        <v>14281</v>
      </c>
      <c r="F3" s="6088" t="s">
        <v>1183</v>
      </c>
      <c r="G3" s="6089" t="s">
        <v>14281</v>
      </c>
    </row>
    <row r="4" spans="1:7" ht="18.75">
      <c r="A4" s="6087"/>
      <c r="B4" s="845" t="s">
        <v>10127</v>
      </c>
      <c r="C4" s="846" t="s">
        <v>10128</v>
      </c>
      <c r="D4" s="6088"/>
      <c r="E4" s="6089"/>
      <c r="F4" s="6088"/>
      <c r="G4" s="6089"/>
    </row>
    <row r="5" spans="1:7" ht="21.6" customHeight="1">
      <c r="A5" s="849" t="s">
        <v>14282</v>
      </c>
      <c r="B5" s="850">
        <v>2.65</v>
      </c>
      <c r="C5" s="851">
        <v>2.6</v>
      </c>
      <c r="D5" s="849" t="s">
        <v>14283</v>
      </c>
      <c r="E5" s="852" t="s">
        <v>14284</v>
      </c>
      <c r="F5" s="849" t="s">
        <v>14285</v>
      </c>
      <c r="G5" s="852" t="s">
        <v>14286</v>
      </c>
    </row>
    <row r="6" spans="1:7" ht="21.6" customHeight="1">
      <c r="A6" s="849" t="s">
        <v>14287</v>
      </c>
      <c r="B6" s="850">
        <v>3.25</v>
      </c>
      <c r="C6" s="851">
        <v>3.2</v>
      </c>
      <c r="D6" s="849" t="s">
        <v>14105</v>
      </c>
      <c r="E6" s="852" t="s">
        <v>14288</v>
      </c>
      <c r="F6" s="849" t="s">
        <v>14289</v>
      </c>
      <c r="G6" s="852" t="s">
        <v>14290</v>
      </c>
    </row>
    <row r="7" spans="1:7" ht="21.6" customHeight="1">
      <c r="A7" s="849" t="s">
        <v>14291</v>
      </c>
      <c r="B7" s="850">
        <v>3.75</v>
      </c>
      <c r="C7" s="851">
        <v>3.7</v>
      </c>
      <c r="D7" s="849" t="s">
        <v>14109</v>
      </c>
      <c r="E7" s="852" t="s">
        <v>14292</v>
      </c>
      <c r="F7" s="849" t="s">
        <v>14293</v>
      </c>
      <c r="G7" s="852" t="s">
        <v>14294</v>
      </c>
    </row>
    <row r="8" spans="1:7" ht="21.6" customHeight="1">
      <c r="A8" s="849" t="s">
        <v>14295</v>
      </c>
      <c r="B8" s="850">
        <v>5.0999999999999996</v>
      </c>
      <c r="C8" s="851">
        <v>5</v>
      </c>
      <c r="D8" s="849" t="s">
        <v>14113</v>
      </c>
      <c r="E8" s="852" t="s">
        <v>14296</v>
      </c>
      <c r="F8" s="849" t="s">
        <v>14297</v>
      </c>
      <c r="G8" s="852" t="s">
        <v>14298</v>
      </c>
    </row>
    <row r="9" spans="1:7" ht="21.6" customHeight="1">
      <c r="A9" s="849" t="s">
        <v>14299</v>
      </c>
      <c r="B9" s="850">
        <v>6.6</v>
      </c>
      <c r="C9" s="851">
        <v>6.5</v>
      </c>
      <c r="D9" s="849" t="s">
        <v>14117</v>
      </c>
      <c r="E9" s="852" t="s">
        <v>14300</v>
      </c>
      <c r="F9" s="849" t="s">
        <v>14301</v>
      </c>
      <c r="G9" s="852" t="s">
        <v>14302</v>
      </c>
    </row>
    <row r="10" spans="1:7" ht="21.6" customHeight="1">
      <c r="A10" s="849" t="s">
        <v>14303</v>
      </c>
      <c r="B10" s="850">
        <v>8</v>
      </c>
      <c r="C10" s="851">
        <v>7.9</v>
      </c>
      <c r="D10" s="849" t="s">
        <v>14121</v>
      </c>
      <c r="E10" s="852" t="s">
        <v>14304</v>
      </c>
      <c r="F10" s="849" t="s">
        <v>14305</v>
      </c>
      <c r="G10" s="852" t="s">
        <v>14306</v>
      </c>
    </row>
    <row r="11" spans="1:7" ht="21.6" customHeight="1">
      <c r="A11" s="849" t="s">
        <v>14307</v>
      </c>
      <c r="B11" s="850">
        <v>9.4</v>
      </c>
      <c r="C11" s="851">
        <v>9.3000000000000007</v>
      </c>
      <c r="D11" s="849" t="s">
        <v>14125</v>
      </c>
      <c r="E11" s="852" t="s">
        <v>14308</v>
      </c>
      <c r="F11" s="849" t="s">
        <v>14309</v>
      </c>
      <c r="G11" s="852" t="s">
        <v>14310</v>
      </c>
    </row>
    <row r="12" spans="1:7" ht="21.6" customHeight="1">
      <c r="A12" s="849" t="s">
        <v>14311</v>
      </c>
      <c r="B12" s="850">
        <v>10.7</v>
      </c>
      <c r="C12" s="851">
        <v>10.5</v>
      </c>
      <c r="D12" s="849" t="s">
        <v>14128</v>
      </c>
      <c r="E12" s="852" t="s">
        <v>14312</v>
      </c>
      <c r="F12" s="849" t="s">
        <v>14313</v>
      </c>
      <c r="G12" s="852" t="s">
        <v>14314</v>
      </c>
    </row>
    <row r="13" spans="1:7" ht="21.6" customHeight="1">
      <c r="A13" s="849" t="s">
        <v>14315</v>
      </c>
      <c r="B13" s="850">
        <v>12.3</v>
      </c>
      <c r="C13" s="851">
        <v>12</v>
      </c>
      <c r="D13" s="849" t="s">
        <v>14132</v>
      </c>
      <c r="E13" s="852" t="s">
        <v>14316</v>
      </c>
      <c r="F13" s="849" t="s">
        <v>14317</v>
      </c>
      <c r="G13" s="852" t="s">
        <v>14318</v>
      </c>
    </row>
    <row r="14" spans="1:7" ht="21.6" customHeight="1">
      <c r="A14" s="849" t="s">
        <v>14319</v>
      </c>
      <c r="B14" s="850">
        <v>13.7</v>
      </c>
      <c r="C14" s="851">
        <v>13.5</v>
      </c>
      <c r="D14" s="849" t="s">
        <v>14136</v>
      </c>
      <c r="E14" s="852" t="s">
        <v>14320</v>
      </c>
      <c r="F14" s="849" t="s">
        <v>14321</v>
      </c>
      <c r="G14" s="852" t="s">
        <v>14322</v>
      </c>
    </row>
    <row r="15" spans="1:7" ht="21.6" customHeight="1">
      <c r="A15" s="849" t="s">
        <v>14323</v>
      </c>
      <c r="B15" s="850">
        <v>16.7</v>
      </c>
      <c r="C15" s="851">
        <v>16.5</v>
      </c>
      <c r="D15" s="849" t="s">
        <v>14148</v>
      </c>
      <c r="E15" s="852" t="s">
        <v>14324</v>
      </c>
      <c r="F15" s="849" t="s">
        <v>14325</v>
      </c>
      <c r="G15" s="852" t="s">
        <v>14326</v>
      </c>
    </row>
    <row r="16" spans="1:7" ht="21.6" customHeight="1">
      <c r="A16" s="849" t="s">
        <v>14327</v>
      </c>
      <c r="B16" s="850">
        <v>19.5</v>
      </c>
      <c r="C16" s="851">
        <v>19.3</v>
      </c>
      <c r="D16" s="849" t="s">
        <v>14140</v>
      </c>
      <c r="E16" s="852" t="s">
        <v>14328</v>
      </c>
      <c r="F16" s="849" t="s">
        <v>14329</v>
      </c>
      <c r="G16" s="852" t="s">
        <v>14330</v>
      </c>
    </row>
    <row r="17" spans="1:7" ht="21.6" customHeight="1">
      <c r="A17" s="849" t="s">
        <v>14331</v>
      </c>
      <c r="B17" s="850">
        <v>22.4</v>
      </c>
      <c r="C17" s="851">
        <v>22</v>
      </c>
      <c r="D17" s="847"/>
      <c r="E17" s="848"/>
      <c r="F17" s="849" t="s">
        <v>14332</v>
      </c>
      <c r="G17" s="852" t="s">
        <v>14333</v>
      </c>
    </row>
    <row r="18" spans="1:7" ht="21.6" customHeight="1">
      <c r="A18" s="849" t="s">
        <v>14334</v>
      </c>
      <c r="B18" s="850">
        <v>25</v>
      </c>
      <c r="C18" s="851">
        <v>24.8</v>
      </c>
      <c r="D18" s="847"/>
      <c r="E18" s="848"/>
      <c r="F18" s="849" t="s">
        <v>14335</v>
      </c>
      <c r="G18" s="852" t="s">
        <v>14336</v>
      </c>
    </row>
    <row r="19" spans="1:7" ht="21.6" customHeight="1">
      <c r="A19" s="849" t="s">
        <v>14337</v>
      </c>
      <c r="B19" s="850">
        <v>28.3</v>
      </c>
      <c r="C19" s="851">
        <v>28</v>
      </c>
      <c r="D19" s="847"/>
      <c r="E19" s="848"/>
      <c r="F19" s="849" t="s">
        <v>14338</v>
      </c>
      <c r="G19" s="852" t="s">
        <v>14339</v>
      </c>
    </row>
    <row r="20" spans="1:7" ht="21.6" customHeight="1">
      <c r="A20" s="847"/>
      <c r="B20" s="3"/>
      <c r="C20" s="848"/>
      <c r="D20" s="847"/>
      <c r="E20" s="848"/>
      <c r="F20" s="849" t="s">
        <v>14340</v>
      </c>
      <c r="G20" s="852" t="s">
        <v>14341</v>
      </c>
    </row>
    <row r="21" spans="1:7" ht="21.6" customHeight="1">
      <c r="A21" s="853"/>
      <c r="B21" s="854"/>
      <c r="C21" s="855"/>
      <c r="D21" s="853"/>
      <c r="E21" s="855"/>
      <c r="F21" s="856" t="s">
        <v>14342</v>
      </c>
      <c r="G21" s="857" t="s">
        <v>14343</v>
      </c>
    </row>
    <row r="22" spans="1:7" ht="21.6" customHeight="1"/>
    <row r="23" spans="1:7" ht="21.6" customHeight="1"/>
    <row r="24" spans="1:7" ht="21.6" customHeight="1"/>
    <row r="25" spans="1:7" ht="21.6" customHeight="1"/>
    <row r="26" spans="1:7" ht="21.6" customHeight="1"/>
    <row r="27" spans="1:7" ht="21.6" customHeight="1"/>
    <row r="28" spans="1:7" ht="21.6" customHeight="1"/>
    <row r="29" spans="1:7" ht="21.6" customHeight="1"/>
    <row r="30" spans="1:7" ht="21.6" customHeight="1"/>
  </sheetData>
  <mergeCells count="10">
    <mergeCell ref="A1:G1"/>
    <mergeCell ref="A2:C2"/>
    <mergeCell ref="D2:E2"/>
    <mergeCell ref="F2:G2"/>
    <mergeCell ref="B3:C3"/>
    <mergeCell ref="A3:A4"/>
    <mergeCell ref="D3:D4"/>
    <mergeCell ref="E3:E4"/>
    <mergeCell ref="F3:F4"/>
    <mergeCell ref="G3:G4"/>
  </mergeCells>
  <phoneticPr fontId="214" type="noConversion"/>
  <pageMargins left="0.75" right="0.75" top="0.69930555555555596" bottom="0.41875000000000001" header="0.5" footer="0.30902777777777801"/>
  <pageSetup paperSize="9" orientation="landscape"/>
  <headerFooter scaleWithDoc="0" alignWithMargins="0"/>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160"/>
  <dimension ref="A1:N27"/>
  <sheetViews>
    <sheetView zoomScale="115" zoomScaleNormal="115" workbookViewId="0">
      <selection sqref="A1:M1"/>
    </sheetView>
  </sheetViews>
  <sheetFormatPr defaultColWidth="9" defaultRowHeight="14.25"/>
  <cols>
    <col min="1" max="1" width="9" style="510"/>
    <col min="2" max="2" width="5.875" style="510" customWidth="1"/>
    <col min="3" max="6" width="9" style="510"/>
    <col min="7" max="7" width="11" style="510" customWidth="1"/>
    <col min="8" max="8" width="7.375" style="510" customWidth="1"/>
    <col min="9" max="9" width="10" style="510" customWidth="1"/>
    <col min="10" max="10" width="10.75" style="510" customWidth="1"/>
    <col min="11" max="11" width="9" style="510"/>
    <col min="12" max="12" width="17.375" style="510"/>
    <col min="13" max="13" width="9" style="510"/>
    <col min="14" max="14" width="7.25" style="510" customWidth="1"/>
    <col min="15" max="16384" width="9" style="510"/>
  </cols>
  <sheetData>
    <row r="1" spans="1:14" ht="22.5">
      <c r="A1" s="6099" t="s">
        <v>14344</v>
      </c>
      <c r="B1" s="6100"/>
      <c r="C1" s="6100"/>
      <c r="D1" s="6100"/>
      <c r="E1" s="6100"/>
      <c r="F1" s="6100"/>
      <c r="G1" s="6100"/>
      <c r="H1" s="6100"/>
      <c r="I1" s="6100"/>
      <c r="J1" s="6100"/>
      <c r="K1" s="6100"/>
      <c r="L1" s="6100"/>
      <c r="M1" s="6101"/>
    </row>
    <row r="2" spans="1:14">
      <c r="A2" s="797"/>
      <c r="B2" s="682"/>
      <c r="C2" s="682"/>
      <c r="D2" s="682"/>
      <c r="E2" s="682"/>
      <c r="F2" s="682"/>
      <c r="G2" s="682"/>
      <c r="H2" s="682"/>
      <c r="I2" s="682"/>
      <c r="J2" s="682"/>
      <c r="K2" s="682"/>
      <c r="L2" s="682"/>
      <c r="M2" s="832"/>
    </row>
    <row r="3" spans="1:14" ht="24.75">
      <c r="A3" s="6102" t="s">
        <v>2144</v>
      </c>
      <c r="B3" s="798" t="s">
        <v>464</v>
      </c>
      <c r="C3" s="6104" t="s">
        <v>14345</v>
      </c>
      <c r="D3" s="799"/>
      <c r="E3" s="800"/>
      <c r="F3" s="801"/>
      <c r="G3" s="802"/>
      <c r="H3" s="803"/>
      <c r="I3" s="6106" t="s">
        <v>14346</v>
      </c>
      <c r="J3" s="798" t="s">
        <v>14347</v>
      </c>
      <c r="K3" s="6108" t="s">
        <v>14348</v>
      </c>
      <c r="L3" s="801"/>
      <c r="M3" s="833"/>
      <c r="N3" s="682"/>
    </row>
    <row r="4" spans="1:14" ht="20.25">
      <c r="A4" s="6103"/>
      <c r="B4" s="804" t="s">
        <v>14349</v>
      </c>
      <c r="C4" s="6105"/>
      <c r="D4" s="805"/>
      <c r="E4" s="806"/>
      <c r="F4" s="682"/>
      <c r="G4" s="807"/>
      <c r="H4" s="808"/>
      <c r="I4" s="6107"/>
      <c r="J4" s="804" t="s">
        <v>1966</v>
      </c>
      <c r="K4" s="6109"/>
      <c r="L4" s="682"/>
      <c r="M4" s="832"/>
      <c r="N4" s="682"/>
    </row>
    <row r="5" spans="1:14" ht="20.25">
      <c r="A5" s="809" t="s">
        <v>14350</v>
      </c>
      <c r="B5" s="810"/>
      <c r="C5" s="811"/>
      <c r="D5" s="811"/>
      <c r="E5" s="812"/>
      <c r="F5" s="682"/>
      <c r="G5" s="813"/>
      <c r="H5" s="814"/>
      <c r="I5" s="682"/>
      <c r="J5" s="682"/>
      <c r="K5" s="682"/>
      <c r="L5" s="682"/>
      <c r="M5" s="832"/>
      <c r="N5" s="682"/>
    </row>
    <row r="6" spans="1:14" ht="24.75">
      <c r="A6" s="815" t="s">
        <v>14351</v>
      </c>
      <c r="B6" s="816"/>
      <c r="C6" s="816"/>
      <c r="D6" s="816"/>
      <c r="E6" s="812"/>
      <c r="F6" s="682"/>
      <c r="G6" s="813"/>
      <c r="H6" s="814"/>
      <c r="I6" s="834" t="s">
        <v>14352</v>
      </c>
      <c r="J6" s="805" t="s">
        <v>14353</v>
      </c>
      <c r="K6" s="806"/>
      <c r="L6" s="806" t="s">
        <v>14354</v>
      </c>
      <c r="M6" s="832"/>
      <c r="N6" s="682"/>
    </row>
    <row r="7" spans="1:14" ht="21.75">
      <c r="A7" s="815" t="s">
        <v>14355</v>
      </c>
      <c r="B7" s="816"/>
      <c r="C7" s="816"/>
      <c r="D7" s="816"/>
      <c r="E7" s="812"/>
      <c r="F7" s="812"/>
      <c r="G7" s="817"/>
      <c r="H7" s="818" t="s">
        <v>14356</v>
      </c>
      <c r="I7" s="812"/>
      <c r="J7" s="812"/>
      <c r="K7" s="812"/>
      <c r="L7" s="812"/>
      <c r="M7" s="832"/>
      <c r="N7" s="682"/>
    </row>
    <row r="8" spans="1:14" ht="21.75">
      <c r="A8" s="809" t="s">
        <v>14357</v>
      </c>
      <c r="B8" s="816"/>
      <c r="C8" s="816"/>
      <c r="D8" s="816"/>
      <c r="E8" s="812"/>
      <c r="F8" s="812"/>
      <c r="G8" s="817"/>
      <c r="H8" s="819" t="s">
        <v>14358</v>
      </c>
      <c r="I8" s="812"/>
      <c r="J8" s="812"/>
      <c r="K8" s="817"/>
      <c r="L8" s="812"/>
      <c r="M8" s="832"/>
      <c r="N8" s="682"/>
    </row>
    <row r="9" spans="1:14" ht="21.75">
      <c r="A9" s="820" t="s">
        <v>14359</v>
      </c>
      <c r="B9" s="821"/>
      <c r="C9" s="821"/>
      <c r="D9" s="821"/>
      <c r="E9" s="821"/>
      <c r="F9" s="821"/>
      <c r="G9" s="822"/>
      <c r="H9" s="823" t="s">
        <v>14360</v>
      </c>
      <c r="I9" s="821"/>
      <c r="J9" s="821"/>
      <c r="K9" s="821"/>
      <c r="L9" s="821"/>
      <c r="M9" s="835"/>
    </row>
    <row r="10" spans="1:14" ht="20.25">
      <c r="A10" s="824"/>
      <c r="B10" s="812"/>
      <c r="C10" s="812"/>
      <c r="D10" s="812"/>
      <c r="E10" s="812"/>
      <c r="F10" s="812"/>
      <c r="G10" s="812"/>
      <c r="H10" s="682"/>
      <c r="I10" s="812"/>
      <c r="J10" s="812"/>
      <c r="K10" s="812"/>
      <c r="L10" s="812"/>
      <c r="M10" s="832"/>
    </row>
    <row r="11" spans="1:14" ht="20.25">
      <c r="A11" s="824"/>
      <c r="B11" s="812"/>
      <c r="C11" s="812"/>
      <c r="D11" s="812"/>
      <c r="E11" s="812"/>
      <c r="F11" s="812"/>
      <c r="G11" s="812"/>
      <c r="H11" s="812"/>
      <c r="I11" s="812"/>
      <c r="J11" s="812"/>
      <c r="K11" s="812"/>
      <c r="L11" s="812"/>
      <c r="M11" s="832"/>
    </row>
    <row r="12" spans="1:14" ht="20.25">
      <c r="A12" s="824"/>
      <c r="B12" s="812"/>
      <c r="C12" s="812"/>
      <c r="D12" s="812"/>
      <c r="E12" s="812"/>
      <c r="F12" s="812"/>
      <c r="G12" s="812"/>
      <c r="H12" s="812"/>
      <c r="I12" s="812"/>
      <c r="J12" s="812"/>
      <c r="K12" s="812"/>
      <c r="L12" s="812"/>
      <c r="M12" s="832"/>
    </row>
    <row r="13" spans="1:14" ht="20.25">
      <c r="A13" s="825" t="s">
        <v>14361</v>
      </c>
      <c r="B13" s="682"/>
      <c r="C13" s="682"/>
      <c r="D13" s="682"/>
      <c r="E13" s="682"/>
      <c r="F13" s="682"/>
      <c r="G13" s="682"/>
      <c r="H13" s="682"/>
      <c r="I13" s="682"/>
      <c r="J13" s="682"/>
      <c r="K13" s="816"/>
      <c r="L13" s="812"/>
      <c r="M13" s="832"/>
    </row>
    <row r="14" spans="1:14" ht="21.75">
      <c r="A14" s="788" t="s">
        <v>2491</v>
      </c>
      <c r="B14" s="790" t="s">
        <v>464</v>
      </c>
      <c r="C14" s="790" t="s">
        <v>961</v>
      </c>
      <c r="D14" s="790" t="s">
        <v>14362</v>
      </c>
      <c r="E14" s="790" t="s">
        <v>14363</v>
      </c>
      <c r="F14" s="790" t="s">
        <v>14364</v>
      </c>
      <c r="G14" s="790" t="s">
        <v>1167</v>
      </c>
      <c r="H14" s="790" t="s">
        <v>1966</v>
      </c>
      <c r="I14" s="790" t="s">
        <v>14365</v>
      </c>
      <c r="J14" s="836" t="s">
        <v>13975</v>
      </c>
      <c r="K14" s="837" t="s">
        <v>14366</v>
      </c>
      <c r="L14" s="836" t="s">
        <v>2485</v>
      </c>
      <c r="M14" s="838" t="s">
        <v>14367</v>
      </c>
    </row>
    <row r="15" spans="1:14" ht="18.75">
      <c r="A15" s="788" t="s">
        <v>213</v>
      </c>
      <c r="B15" s="790" t="s">
        <v>1749</v>
      </c>
      <c r="C15" s="790" t="s">
        <v>14368</v>
      </c>
      <c r="D15" s="790" t="s">
        <v>14369</v>
      </c>
      <c r="E15" s="790" t="s">
        <v>14370</v>
      </c>
      <c r="F15" s="790" t="s">
        <v>14369</v>
      </c>
      <c r="G15" s="790" t="s">
        <v>309</v>
      </c>
      <c r="H15" s="790" t="s">
        <v>309</v>
      </c>
      <c r="I15" s="790" t="s">
        <v>309</v>
      </c>
      <c r="J15" s="790" t="s">
        <v>14369</v>
      </c>
      <c r="K15" s="790" t="s">
        <v>14369</v>
      </c>
      <c r="L15" s="790" t="s">
        <v>14371</v>
      </c>
      <c r="M15" s="839" t="s">
        <v>14371</v>
      </c>
    </row>
    <row r="16" spans="1:14" ht="20.25">
      <c r="A16" s="788" t="s">
        <v>13182</v>
      </c>
      <c r="B16" s="826">
        <v>8000</v>
      </c>
      <c r="C16" s="826">
        <v>80.040000000000006</v>
      </c>
      <c r="D16" s="826">
        <v>0.98099999999999998</v>
      </c>
      <c r="E16" s="827">
        <v>9530</v>
      </c>
      <c r="F16" s="826">
        <v>2</v>
      </c>
      <c r="G16" s="826">
        <v>850</v>
      </c>
      <c r="H16" s="828">
        <f>(E16/C16)^(1/2)</f>
        <v>10.91171238928</v>
      </c>
      <c r="I16" s="828">
        <f>F16*G16</f>
        <v>1700</v>
      </c>
      <c r="J16" s="836">
        <f>(F16*G16)/H16</f>
        <v>155.79589521348899</v>
      </c>
      <c r="K16" s="840"/>
      <c r="L16" s="836">
        <f>B16/(C16*D16)</f>
        <v>101.885856256377</v>
      </c>
      <c r="M16" s="841"/>
    </row>
    <row r="17" spans="1:13" ht="20.25">
      <c r="A17" s="815"/>
      <c r="B17" s="816"/>
      <c r="C17" s="816"/>
      <c r="D17" s="816"/>
      <c r="E17" s="816"/>
      <c r="F17" s="816"/>
      <c r="G17" s="816"/>
      <c r="H17" s="816"/>
      <c r="I17" s="816"/>
      <c r="J17" s="816"/>
      <c r="K17" s="816"/>
      <c r="L17" s="812"/>
      <c r="M17" s="832"/>
    </row>
    <row r="18" spans="1:13" ht="20.25">
      <c r="A18" s="829"/>
      <c r="B18" s="830"/>
      <c r="C18" s="830"/>
      <c r="D18" s="830"/>
      <c r="E18" s="830"/>
      <c r="F18" s="830"/>
      <c r="G18" s="830"/>
      <c r="H18" s="830"/>
      <c r="I18" s="830"/>
      <c r="J18" s="830"/>
      <c r="K18" s="830"/>
      <c r="L18" s="842"/>
      <c r="M18" s="843"/>
    </row>
    <row r="19" spans="1:13" ht="20.25">
      <c r="A19" s="783"/>
      <c r="B19" s="783"/>
      <c r="C19" s="783"/>
      <c r="D19" s="783"/>
      <c r="E19" s="783"/>
      <c r="F19" s="783"/>
      <c r="G19" s="783"/>
      <c r="H19" s="783"/>
      <c r="I19" s="783"/>
      <c r="J19" s="783"/>
      <c r="K19" s="783"/>
      <c r="L19" s="831"/>
    </row>
    <row r="20" spans="1:13" ht="20.25">
      <c r="A20" s="831"/>
      <c r="B20" s="831"/>
      <c r="C20" s="831"/>
      <c r="D20" s="831"/>
      <c r="E20" s="831"/>
      <c r="F20" s="831"/>
      <c r="G20" s="831"/>
      <c r="H20" s="831"/>
      <c r="I20" s="831"/>
      <c r="J20" s="831"/>
      <c r="K20" s="831"/>
      <c r="L20" s="831"/>
    </row>
    <row r="21" spans="1:13" ht="20.25">
      <c r="A21" s="831"/>
      <c r="B21" s="831"/>
      <c r="C21" s="831"/>
      <c r="D21" s="831"/>
      <c r="E21" s="831"/>
      <c r="F21" s="831"/>
      <c r="G21" s="831"/>
      <c r="H21" s="831"/>
      <c r="I21" s="831"/>
      <c r="J21" s="831"/>
      <c r="K21" s="831"/>
      <c r="L21" s="831"/>
    </row>
    <row r="22" spans="1:13" ht="20.25">
      <c r="A22" s="831"/>
      <c r="B22" s="831"/>
      <c r="C22" s="831"/>
      <c r="D22" s="831"/>
      <c r="E22" s="831"/>
      <c r="F22" s="831"/>
      <c r="G22" s="831"/>
      <c r="H22" s="831"/>
      <c r="I22" s="831"/>
      <c r="J22" s="831"/>
      <c r="K22" s="831"/>
      <c r="L22" s="831"/>
    </row>
    <row r="23" spans="1:13" ht="20.25">
      <c r="A23" s="831"/>
      <c r="B23" s="831"/>
      <c r="C23" s="831"/>
      <c r="D23" s="831"/>
      <c r="E23" s="831"/>
      <c r="F23" s="831"/>
      <c r="G23" s="831"/>
      <c r="H23" s="831"/>
      <c r="I23" s="831"/>
      <c r="J23" s="831"/>
      <c r="K23" s="831"/>
      <c r="L23" s="831"/>
    </row>
    <row r="24" spans="1:13" ht="20.25">
      <c r="A24" s="831"/>
      <c r="B24" s="831"/>
      <c r="C24" s="831"/>
      <c r="D24" s="831"/>
      <c r="E24" s="831"/>
      <c r="F24" s="831"/>
      <c r="G24" s="831"/>
      <c r="H24" s="831"/>
      <c r="I24" s="831"/>
      <c r="J24" s="831"/>
      <c r="K24" s="831"/>
      <c r="L24" s="831"/>
    </row>
    <row r="25" spans="1:13" ht="20.25">
      <c r="A25" s="831"/>
      <c r="B25" s="831"/>
      <c r="C25" s="831"/>
      <c r="D25" s="831"/>
      <c r="E25" s="831"/>
      <c r="F25" s="831"/>
      <c r="G25" s="831"/>
      <c r="H25" s="831"/>
      <c r="I25" s="831"/>
      <c r="J25" s="831"/>
      <c r="K25" s="831"/>
      <c r="L25" s="831"/>
    </row>
    <row r="26" spans="1:13" ht="20.25">
      <c r="A26" s="831"/>
      <c r="B26" s="831"/>
      <c r="C26" s="831"/>
      <c r="D26" s="831"/>
      <c r="E26" s="831"/>
      <c r="F26" s="831"/>
      <c r="G26" s="831"/>
      <c r="H26" s="831"/>
      <c r="I26" s="831"/>
      <c r="J26" s="831"/>
      <c r="K26" s="831"/>
      <c r="L26" s="831"/>
    </row>
    <row r="27" spans="1:13" ht="20.25">
      <c r="A27" s="831"/>
      <c r="B27" s="831"/>
      <c r="C27" s="831"/>
      <c r="D27" s="831"/>
      <c r="E27" s="831"/>
      <c r="F27" s="831"/>
      <c r="G27" s="831"/>
      <c r="H27" s="831"/>
      <c r="I27" s="831"/>
      <c r="J27" s="831"/>
      <c r="K27" s="831"/>
      <c r="L27" s="831"/>
    </row>
  </sheetData>
  <mergeCells count="5">
    <mergeCell ref="A1:M1"/>
    <mergeCell ref="A3:A4"/>
    <mergeCell ref="C3:C4"/>
    <mergeCell ref="I3:I4"/>
    <mergeCell ref="K3:K4"/>
  </mergeCells>
  <phoneticPr fontId="214" type="noConversion"/>
  <printOptions horizontalCentered="1"/>
  <pageMargins left="0.55000000000000004" right="0.55000000000000004" top="0.78888888888888897" bottom="0.78888888888888897" header="0.50902777777777797" footer="0.50902777777777797"/>
  <pageSetup paperSize="9" orientation="landscape"/>
  <headerFooter scaleWithDoc="0" alignWithMargins="0"/>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1"/>
  <dimension ref="A1:M23"/>
  <sheetViews>
    <sheetView workbookViewId="0">
      <selection sqref="A1:G1"/>
    </sheetView>
  </sheetViews>
  <sheetFormatPr defaultColWidth="9" defaultRowHeight="14.25"/>
  <cols>
    <col min="1" max="16384" width="9" style="510"/>
  </cols>
  <sheetData>
    <row r="1" spans="1:13" ht="31.5">
      <c r="A1" s="5940" t="s">
        <v>14372</v>
      </c>
      <c r="B1" s="5940"/>
      <c r="C1" s="5940"/>
      <c r="D1" s="5940"/>
      <c r="E1" s="5940"/>
      <c r="F1" s="5940"/>
      <c r="G1" s="5940"/>
    </row>
    <row r="2" spans="1:13" ht="22.5">
      <c r="A2" s="784"/>
    </row>
    <row r="3" spans="1:13" s="783" customFormat="1" ht="18.75">
      <c r="A3" s="6112" t="s">
        <v>13975</v>
      </c>
      <c r="B3" s="6110" t="s">
        <v>434</v>
      </c>
      <c r="C3" s="6110"/>
      <c r="D3" s="6114"/>
      <c r="E3" s="6117" t="s">
        <v>13975</v>
      </c>
      <c r="F3" s="6110" t="s">
        <v>434</v>
      </c>
      <c r="G3" s="6111"/>
    </row>
    <row r="4" spans="1:13" s="783" customFormat="1" ht="18.75">
      <c r="A4" s="6113"/>
      <c r="B4" s="785" t="s">
        <v>5866</v>
      </c>
      <c r="C4" s="785" t="s">
        <v>14373</v>
      </c>
      <c r="D4" s="6115"/>
      <c r="E4" s="6118"/>
      <c r="F4" s="785" t="s">
        <v>5866</v>
      </c>
      <c r="G4" s="786" t="s">
        <v>14373</v>
      </c>
      <c r="H4" s="787"/>
      <c r="I4" s="787"/>
      <c r="J4" s="787"/>
      <c r="K4" s="787"/>
      <c r="L4" s="787"/>
      <c r="M4" s="787"/>
    </row>
    <row r="5" spans="1:13" s="783" customFormat="1" ht="18.75">
      <c r="A5" s="788">
        <v>0</v>
      </c>
      <c r="B5" s="789">
        <v>1</v>
      </c>
      <c r="C5" s="789">
        <v>1</v>
      </c>
      <c r="D5" s="6115"/>
      <c r="E5" s="790">
        <v>130</v>
      </c>
      <c r="F5" s="789">
        <v>1</v>
      </c>
      <c r="G5" s="791">
        <v>1</v>
      </c>
      <c r="H5" s="792"/>
      <c r="I5" s="787"/>
      <c r="J5" s="787"/>
      <c r="K5" s="787"/>
      <c r="L5" s="787"/>
      <c r="M5" s="787"/>
    </row>
    <row r="6" spans="1:13" s="783" customFormat="1" ht="18.75">
      <c r="A6" s="788">
        <v>10</v>
      </c>
      <c r="B6" s="789">
        <v>0.995</v>
      </c>
      <c r="C6" s="789">
        <v>0.99299999999999999</v>
      </c>
      <c r="D6" s="6115"/>
      <c r="E6" s="790">
        <v>140</v>
      </c>
      <c r="F6" s="789">
        <v>0.995</v>
      </c>
      <c r="G6" s="791">
        <v>0.99299999999999999</v>
      </c>
      <c r="H6" s="792"/>
      <c r="I6" s="787"/>
      <c r="J6" s="787"/>
      <c r="K6" s="787"/>
      <c r="L6" s="787"/>
      <c r="M6" s="787"/>
    </row>
    <row r="7" spans="1:13" s="783" customFormat="1" ht="18.75">
      <c r="A7" s="788">
        <v>20</v>
      </c>
      <c r="B7" s="789">
        <v>0.98099999999999998</v>
      </c>
      <c r="C7" s="789">
        <v>0.97299999999999998</v>
      </c>
      <c r="D7" s="6115"/>
      <c r="E7" s="790">
        <v>150</v>
      </c>
      <c r="F7" s="789">
        <v>0.98099999999999998</v>
      </c>
      <c r="G7" s="791">
        <v>0.97299999999999998</v>
      </c>
      <c r="H7" s="792"/>
      <c r="I7" s="787"/>
      <c r="J7" s="787"/>
      <c r="K7" s="787"/>
      <c r="L7" s="787"/>
      <c r="M7" s="787"/>
    </row>
    <row r="8" spans="1:13" s="783" customFormat="1" ht="18.75">
      <c r="A8" s="788">
        <v>30</v>
      </c>
      <c r="B8" s="789">
        <v>0.95799999999999996</v>
      </c>
      <c r="C8" s="789">
        <v>0.94</v>
      </c>
      <c r="D8" s="6115"/>
      <c r="E8" s="790">
        <v>160</v>
      </c>
      <c r="F8" s="789">
        <v>0.95799999999999996</v>
      </c>
      <c r="G8" s="791">
        <v>0.94</v>
      </c>
      <c r="H8" s="792"/>
      <c r="I8" s="787"/>
      <c r="J8" s="787"/>
      <c r="K8" s="787"/>
      <c r="L8" s="787"/>
      <c r="M8" s="787"/>
    </row>
    <row r="9" spans="1:13" s="783" customFormat="1" ht="18.75">
      <c r="A9" s="788">
        <v>40</v>
      </c>
      <c r="B9" s="789">
        <v>0.92700000000000005</v>
      </c>
      <c r="C9" s="789">
        <v>0.89500000000000002</v>
      </c>
      <c r="D9" s="6115"/>
      <c r="E9" s="790">
        <v>170</v>
      </c>
      <c r="F9" s="789">
        <v>0.92700000000000005</v>
      </c>
      <c r="G9" s="791">
        <v>0.89500000000000002</v>
      </c>
      <c r="H9" s="792"/>
      <c r="I9" s="787"/>
      <c r="J9" s="787"/>
      <c r="K9" s="787"/>
      <c r="L9" s="787"/>
      <c r="M9" s="787"/>
    </row>
    <row r="10" spans="1:13" s="783" customFormat="1" ht="18.75">
      <c r="A10" s="788">
        <v>50</v>
      </c>
      <c r="B10" s="789">
        <v>0.88800000000000001</v>
      </c>
      <c r="C10" s="789">
        <v>0.84</v>
      </c>
      <c r="D10" s="6115"/>
      <c r="E10" s="790">
        <v>180</v>
      </c>
      <c r="F10" s="789">
        <v>0.88800000000000001</v>
      </c>
      <c r="G10" s="791">
        <v>0.84</v>
      </c>
      <c r="H10" s="792"/>
      <c r="I10" s="787"/>
      <c r="J10" s="787"/>
      <c r="K10" s="787"/>
      <c r="L10" s="787"/>
      <c r="M10" s="787"/>
    </row>
    <row r="11" spans="1:13" s="783" customFormat="1" ht="18.75">
      <c r="A11" s="788">
        <v>60</v>
      </c>
      <c r="B11" s="789">
        <v>0.84199999999999997</v>
      </c>
      <c r="C11" s="789">
        <v>0.77600000000000002</v>
      </c>
      <c r="D11" s="6115"/>
      <c r="E11" s="790">
        <v>190</v>
      </c>
      <c r="F11" s="789">
        <v>0.84199999999999997</v>
      </c>
      <c r="G11" s="791">
        <v>0.77600000000000002</v>
      </c>
      <c r="H11" s="792"/>
      <c r="I11" s="787"/>
      <c r="J11" s="787"/>
      <c r="K11" s="787"/>
      <c r="L11" s="787"/>
      <c r="M11" s="787"/>
    </row>
    <row r="12" spans="1:13" s="783" customFormat="1" ht="18.75">
      <c r="A12" s="788">
        <v>70</v>
      </c>
      <c r="B12" s="789">
        <v>0.78900000000000003</v>
      </c>
      <c r="C12" s="789">
        <v>0.70499999999999996</v>
      </c>
      <c r="D12" s="6115"/>
      <c r="E12" s="790">
        <v>200</v>
      </c>
      <c r="F12" s="789">
        <v>0.78900000000000003</v>
      </c>
      <c r="G12" s="791">
        <v>0.70499999999999996</v>
      </c>
      <c r="H12" s="792"/>
      <c r="I12" s="787"/>
      <c r="J12" s="787"/>
      <c r="K12" s="787"/>
      <c r="L12" s="787"/>
      <c r="M12" s="787"/>
    </row>
    <row r="13" spans="1:13" s="783" customFormat="1" ht="18.75">
      <c r="A13" s="788">
        <v>80</v>
      </c>
      <c r="B13" s="789">
        <v>0.73099999999999998</v>
      </c>
      <c r="C13" s="789">
        <v>0.627</v>
      </c>
      <c r="D13" s="6115"/>
      <c r="E13" s="790">
        <v>210</v>
      </c>
      <c r="F13" s="789">
        <v>0.73099999999999998</v>
      </c>
      <c r="G13" s="791">
        <v>0.627</v>
      </c>
      <c r="H13" s="792"/>
      <c r="I13" s="787"/>
      <c r="J13" s="787"/>
      <c r="K13" s="787"/>
      <c r="L13" s="787"/>
      <c r="M13" s="787"/>
    </row>
    <row r="14" spans="1:13" s="783" customFormat="1" ht="18.75">
      <c r="A14" s="788">
        <v>90</v>
      </c>
      <c r="B14" s="789">
        <v>0.66900000000000004</v>
      </c>
      <c r="C14" s="789">
        <v>0.54600000000000004</v>
      </c>
      <c r="D14" s="6115"/>
      <c r="E14" s="790">
        <v>220</v>
      </c>
      <c r="F14" s="789">
        <v>0.66900000000000004</v>
      </c>
      <c r="G14" s="791">
        <v>0.54600000000000004</v>
      </c>
      <c r="H14" s="792"/>
      <c r="I14" s="787"/>
      <c r="J14" s="787"/>
      <c r="K14" s="787"/>
      <c r="L14" s="787"/>
      <c r="M14" s="787"/>
    </row>
    <row r="15" spans="1:13" s="783" customFormat="1" ht="18.75">
      <c r="A15" s="788">
        <v>100</v>
      </c>
      <c r="B15" s="789">
        <v>0.60399999999999998</v>
      </c>
      <c r="C15" s="789">
        <v>0.46200000000000002</v>
      </c>
      <c r="D15" s="6115"/>
      <c r="E15" s="790">
        <v>230</v>
      </c>
      <c r="F15" s="789">
        <v>0.60399999999999998</v>
      </c>
      <c r="G15" s="791">
        <v>0.46200000000000002</v>
      </c>
      <c r="H15" s="792"/>
      <c r="I15" s="787"/>
      <c r="J15" s="787"/>
      <c r="K15" s="787"/>
      <c r="L15" s="787"/>
      <c r="M15" s="787"/>
    </row>
    <row r="16" spans="1:13" s="783" customFormat="1" ht="18.75">
      <c r="A16" s="788">
        <v>110</v>
      </c>
      <c r="B16" s="789">
        <v>0.53600000000000003</v>
      </c>
      <c r="C16" s="789">
        <v>0.38400000000000001</v>
      </c>
      <c r="D16" s="6115"/>
      <c r="E16" s="790">
        <v>240</v>
      </c>
      <c r="F16" s="789">
        <v>0.53600000000000003</v>
      </c>
      <c r="G16" s="791">
        <v>0.38400000000000001</v>
      </c>
      <c r="H16" s="792"/>
      <c r="I16" s="787"/>
      <c r="J16" s="787"/>
      <c r="K16" s="787"/>
      <c r="L16" s="787"/>
      <c r="M16" s="787"/>
    </row>
    <row r="17" spans="1:13" s="783" customFormat="1" ht="18.75">
      <c r="A17" s="793">
        <v>120</v>
      </c>
      <c r="B17" s="794">
        <v>0.46600000000000003</v>
      </c>
      <c r="C17" s="794">
        <v>0.32500000000000001</v>
      </c>
      <c r="D17" s="6116"/>
      <c r="E17" s="794">
        <v>250</v>
      </c>
      <c r="F17" s="794">
        <v>0.46600000000000003</v>
      </c>
      <c r="G17" s="795">
        <v>0.32500000000000001</v>
      </c>
      <c r="H17" s="787"/>
      <c r="I17" s="787"/>
      <c r="J17" s="787"/>
      <c r="K17" s="787"/>
      <c r="L17" s="787"/>
      <c r="M17" s="787"/>
    </row>
    <row r="18" spans="1:13" s="783" customFormat="1" ht="18.75">
      <c r="A18" s="787"/>
      <c r="B18" s="787"/>
      <c r="C18" s="787"/>
      <c r="D18" s="787"/>
      <c r="E18" s="787"/>
      <c r="F18" s="787"/>
      <c r="G18" s="787"/>
      <c r="H18" s="787"/>
      <c r="I18" s="787"/>
      <c r="J18" s="787"/>
      <c r="K18" s="787"/>
      <c r="L18" s="787"/>
      <c r="M18" s="787"/>
    </row>
    <row r="19" spans="1:13" s="783" customFormat="1" ht="18.75">
      <c r="A19" s="787"/>
      <c r="B19" s="787"/>
      <c r="C19" s="787"/>
      <c r="D19" s="787"/>
      <c r="E19" s="787"/>
      <c r="F19" s="787"/>
      <c r="G19" s="787"/>
      <c r="H19" s="787"/>
      <c r="I19" s="787"/>
      <c r="J19" s="787"/>
      <c r="K19" s="787"/>
      <c r="L19" s="787"/>
      <c r="M19" s="787"/>
    </row>
    <row r="20" spans="1:13">
      <c r="A20" s="796"/>
      <c r="B20" s="796"/>
      <c r="C20" s="796"/>
      <c r="D20" s="796"/>
      <c r="E20" s="796"/>
      <c r="F20" s="796"/>
      <c r="G20" s="796"/>
      <c r="H20" s="796"/>
      <c r="I20" s="796"/>
      <c r="J20" s="796"/>
      <c r="K20" s="796"/>
      <c r="L20" s="796"/>
      <c r="M20" s="796"/>
    </row>
    <row r="21" spans="1:13">
      <c r="A21" s="796"/>
      <c r="B21" s="796"/>
      <c r="C21" s="796"/>
      <c r="D21" s="796"/>
      <c r="E21" s="796"/>
      <c r="F21" s="796"/>
      <c r="G21" s="796"/>
      <c r="H21" s="796"/>
      <c r="I21" s="796"/>
      <c r="J21" s="796"/>
      <c r="K21" s="796"/>
      <c r="L21" s="796"/>
      <c r="M21" s="796"/>
    </row>
    <row r="22" spans="1:13">
      <c r="A22" s="796"/>
      <c r="B22" s="796"/>
      <c r="C22" s="796"/>
      <c r="D22" s="796"/>
      <c r="E22" s="796"/>
      <c r="F22" s="796"/>
      <c r="G22" s="796"/>
      <c r="H22" s="796"/>
      <c r="I22" s="796"/>
      <c r="J22" s="796"/>
      <c r="K22" s="796"/>
      <c r="L22" s="796"/>
      <c r="M22" s="796"/>
    </row>
    <row r="23" spans="1:13">
      <c r="A23" s="796"/>
      <c r="B23" s="796"/>
      <c r="C23" s="796"/>
      <c r="D23" s="796"/>
      <c r="E23" s="796"/>
      <c r="F23" s="796"/>
      <c r="G23" s="796"/>
      <c r="H23" s="796"/>
      <c r="I23" s="796"/>
      <c r="J23" s="796"/>
      <c r="K23" s="796"/>
      <c r="L23" s="796"/>
      <c r="M23" s="796"/>
    </row>
  </sheetData>
  <mergeCells count="6">
    <mergeCell ref="A1:G1"/>
    <mergeCell ref="B3:C3"/>
    <mergeCell ref="F3:G3"/>
    <mergeCell ref="A3:A4"/>
    <mergeCell ref="D3:D17"/>
    <mergeCell ref="E3:E4"/>
  </mergeCells>
  <phoneticPr fontId="214" type="noConversion"/>
  <printOptions horizontalCentered="1"/>
  <pageMargins left="0.75" right="0.75" top="0.97916666666666696" bottom="0.97916666666666696" header="0.50902777777777797" footer="0.50902777777777797"/>
  <pageSetup paperSize="9" orientation="portrait"/>
  <headerFooter scaleWithDoc="0" alignWithMargins="0"/>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2"/>
  <dimension ref="A1:O351"/>
  <sheetViews>
    <sheetView topLeftCell="A57" workbookViewId="0">
      <selection activeCell="A57" sqref="A57"/>
    </sheetView>
  </sheetViews>
  <sheetFormatPr defaultColWidth="9" defaultRowHeight="14.25"/>
  <cols>
    <col min="1" max="1" width="19.5" style="252" customWidth="1"/>
    <col min="2" max="2" width="6.25" style="252" customWidth="1"/>
    <col min="3" max="3" width="12.625" style="252" customWidth="1"/>
    <col min="4" max="4" width="6.25" style="252" customWidth="1"/>
    <col min="5" max="5" width="12.625" style="252" customWidth="1"/>
    <col min="6" max="6" width="6.75" style="252" customWidth="1"/>
    <col min="7" max="7" width="12.625" style="252" customWidth="1"/>
    <col min="8" max="8" width="6.25" style="252" customWidth="1"/>
    <col min="9" max="13" width="9.625" style="252" customWidth="1"/>
    <col min="14" max="15" width="8.75" style="252" customWidth="1"/>
  </cols>
  <sheetData>
    <row r="1" spans="1:11" ht="23.25" customHeight="1">
      <c r="A1" s="685"/>
      <c r="B1" s="686" t="s">
        <v>12522</v>
      </c>
      <c r="C1" s="687"/>
      <c r="D1" s="254"/>
      <c r="E1" s="254"/>
      <c r="F1" s="254"/>
      <c r="G1" s="254"/>
      <c r="H1" s="264" t="s">
        <v>2794</v>
      </c>
      <c r="I1" s="393"/>
      <c r="J1" s="394"/>
    </row>
    <row r="2" spans="1:11" ht="14.25" customHeight="1">
      <c r="A2" s="257" t="s">
        <v>14374</v>
      </c>
      <c r="B2" s="254"/>
      <c r="C2" s="254"/>
      <c r="D2" s="254"/>
      <c r="E2" s="254"/>
      <c r="F2" s="254"/>
      <c r="G2" s="254"/>
      <c r="H2" s="254"/>
    </row>
    <row r="3" spans="1:11" ht="14.25" customHeight="1">
      <c r="A3" s="257" t="s">
        <v>12524</v>
      </c>
      <c r="B3" s="254"/>
      <c r="C3" s="254"/>
      <c r="D3" s="254"/>
      <c r="E3" s="254"/>
      <c r="F3" s="254"/>
      <c r="G3" s="254"/>
      <c r="H3" s="254"/>
    </row>
    <row r="4" spans="1:11" ht="14.25" customHeight="1">
      <c r="A4" s="257" t="s">
        <v>12525</v>
      </c>
      <c r="B4" s="254"/>
      <c r="C4" s="254"/>
      <c r="D4" s="254"/>
      <c r="E4" s="254"/>
      <c r="F4" s="254"/>
      <c r="G4" s="254"/>
      <c r="H4" s="254"/>
    </row>
    <row r="5" spans="1:11" ht="14.25" customHeight="1">
      <c r="A5" s="256" t="s">
        <v>12526</v>
      </c>
      <c r="B5" s="254"/>
      <c r="C5" s="254"/>
      <c r="D5" s="254"/>
      <c r="E5" s="254"/>
      <c r="F5" s="254"/>
      <c r="G5" s="254"/>
      <c r="H5" s="254"/>
    </row>
    <row r="6" spans="1:11" ht="14.25" customHeight="1">
      <c r="A6" s="256" t="s">
        <v>4632</v>
      </c>
      <c r="B6" s="254"/>
      <c r="C6" s="254"/>
      <c r="D6" s="254"/>
      <c r="E6" s="254"/>
      <c r="F6" s="254"/>
      <c r="G6" s="254"/>
      <c r="H6" s="254"/>
    </row>
    <row r="7" spans="1:11" ht="14.25" customHeight="1">
      <c r="A7" s="688"/>
      <c r="B7" s="689"/>
      <c r="C7" s="689"/>
      <c r="D7" s="689"/>
      <c r="E7" s="689"/>
      <c r="F7" s="690"/>
      <c r="G7" s="691" t="s">
        <v>12527</v>
      </c>
      <c r="H7" s="689"/>
      <c r="I7" s="300"/>
      <c r="J7" s="300"/>
      <c r="K7" s="300"/>
    </row>
    <row r="8" spans="1:11" ht="14.25" customHeight="1">
      <c r="A8" s="260" t="s">
        <v>2802</v>
      </c>
      <c r="B8" s="254"/>
      <c r="C8" s="254"/>
      <c r="D8" s="254"/>
      <c r="E8" s="254"/>
      <c r="F8" s="261"/>
      <c r="G8" s="254"/>
      <c r="H8" s="254"/>
      <c r="I8" s="300"/>
      <c r="J8" s="300"/>
      <c r="K8" s="300"/>
    </row>
    <row r="9" spans="1:11" ht="15.75" customHeight="1">
      <c r="A9" s="692" t="s">
        <v>2803</v>
      </c>
      <c r="B9" s="689"/>
      <c r="C9" s="693"/>
      <c r="D9" s="689"/>
      <c r="E9" s="689"/>
      <c r="F9" s="691"/>
      <c r="G9" s="690"/>
      <c r="H9" s="689"/>
      <c r="I9" s="300"/>
      <c r="J9" s="300"/>
      <c r="K9" s="300"/>
    </row>
    <row r="10" spans="1:11" ht="15.75">
      <c r="A10" s="264" t="s">
        <v>2804</v>
      </c>
      <c r="B10" s="265"/>
      <c r="C10" s="281"/>
      <c r="D10" s="267"/>
      <c r="E10" s="264" t="s">
        <v>4634</v>
      </c>
      <c r="F10" s="268"/>
      <c r="G10" s="281">
        <v>10026</v>
      </c>
      <c r="H10" s="269"/>
      <c r="I10" s="300"/>
      <c r="J10" s="300"/>
      <c r="K10" s="300"/>
    </row>
    <row r="11" spans="1:11" ht="15.75" customHeight="1">
      <c r="A11" s="264" t="s">
        <v>2806</v>
      </c>
      <c r="B11" s="270" t="s">
        <v>2677</v>
      </c>
      <c r="C11" s="271">
        <v>30201</v>
      </c>
      <c r="D11" s="267"/>
      <c r="E11" s="272"/>
      <c r="F11" s="273" t="s">
        <v>2680</v>
      </c>
      <c r="G11" s="271">
        <v>30202</v>
      </c>
      <c r="H11" s="269"/>
      <c r="I11" s="300"/>
      <c r="J11" s="300"/>
      <c r="K11" s="300"/>
    </row>
    <row r="12" spans="1:11" ht="15.75" customHeight="1">
      <c r="A12" s="274" t="s">
        <v>2809</v>
      </c>
      <c r="B12" s="275"/>
      <c r="C12" s="694"/>
      <c r="D12" s="277"/>
      <c r="E12" s="274" t="s">
        <v>2810</v>
      </c>
      <c r="F12" s="278"/>
      <c r="G12" s="276"/>
      <c r="H12" s="277"/>
      <c r="I12" s="733"/>
      <c r="J12" s="398"/>
      <c r="K12" s="300"/>
    </row>
    <row r="13" spans="1:11" ht="15.75" customHeight="1">
      <c r="A13" s="291" t="s">
        <v>12528</v>
      </c>
      <c r="B13" s="280" t="str">
        <f>IF(C13="L","左旋",IF(C13="R","右旋","直齿"))</f>
        <v>右旋</v>
      </c>
      <c r="C13" s="287" t="s">
        <v>1966</v>
      </c>
      <c r="D13" s="288" t="str">
        <f>IF(OR(C13="",C13="L",C13="R"),"","错误！")</f>
        <v/>
      </c>
      <c r="E13" s="283" t="s">
        <v>12529</v>
      </c>
      <c r="F13" s="284"/>
      <c r="G13" s="298"/>
      <c r="H13" s="269"/>
      <c r="I13" s="300"/>
      <c r="J13" s="398"/>
      <c r="K13" s="300"/>
    </row>
    <row r="14" spans="1:11" ht="15.75" customHeight="1">
      <c r="A14" s="291" t="s">
        <v>12530</v>
      </c>
      <c r="B14" s="280" t="str">
        <f>IF(C14="L","左旋",IF(C14="R","右旋","直齿"))</f>
        <v>左旋</v>
      </c>
      <c r="C14" s="285" t="str">
        <f>IF(C13="L","R",IF(C13="R","L",""))</f>
        <v>L</v>
      </c>
      <c r="D14" s="288"/>
      <c r="E14" s="283"/>
      <c r="F14" s="284"/>
      <c r="G14" s="298"/>
      <c r="H14" s="269"/>
      <c r="I14" s="300"/>
      <c r="J14" s="398"/>
      <c r="K14" s="300"/>
    </row>
    <row r="15" spans="1:11" ht="15" customHeight="1">
      <c r="A15" s="291" t="s">
        <v>12531</v>
      </c>
      <c r="B15" s="292" t="s">
        <v>2815</v>
      </c>
      <c r="C15" s="266">
        <v>20</v>
      </c>
      <c r="D15" s="370"/>
      <c r="E15" s="283"/>
      <c r="F15" s="284"/>
      <c r="G15" s="298"/>
      <c r="H15" s="269"/>
      <c r="I15" s="300"/>
      <c r="J15" s="398"/>
      <c r="K15" s="300"/>
    </row>
    <row r="16" spans="1:11" ht="15" customHeight="1">
      <c r="A16" s="291" t="s">
        <v>12532</v>
      </c>
      <c r="B16" s="292" t="s">
        <v>2819</v>
      </c>
      <c r="C16" s="281">
        <v>1.5</v>
      </c>
      <c r="D16" s="311" t="s">
        <v>2820</v>
      </c>
      <c r="E16" s="283" t="str">
        <f>IF(C16&gt;10,"超出本程序设置范畴！","")</f>
        <v/>
      </c>
      <c r="F16" s="284"/>
      <c r="G16" s="433">
        <f t="shared" ref="G16:G22" si="0">C16</f>
        <v>1.5</v>
      </c>
      <c r="H16" s="269"/>
      <c r="I16" s="300"/>
      <c r="J16" s="398"/>
      <c r="K16" s="300"/>
    </row>
    <row r="17" spans="1:12" ht="15.75">
      <c r="A17" s="291" t="s">
        <v>12533</v>
      </c>
      <c r="B17" s="291" t="s">
        <v>4640</v>
      </c>
      <c r="C17" s="271"/>
      <c r="D17" s="318" t="str">
        <f>IF(C17="","注：如不输入，则默认 αn = 20 度","度")</f>
        <v>注：如不输入，则默认 αn = 20 度</v>
      </c>
      <c r="E17" s="283"/>
      <c r="F17" s="284"/>
      <c r="G17" s="298"/>
      <c r="H17" s="269"/>
      <c r="I17" s="300"/>
      <c r="J17" s="398"/>
      <c r="K17" s="300"/>
    </row>
    <row r="18" spans="1:12" ht="15.75">
      <c r="A18" s="309" t="s">
        <v>12534</v>
      </c>
      <c r="B18" s="291" t="s">
        <v>2824</v>
      </c>
      <c r="C18" s="271">
        <v>19.528300000000002</v>
      </c>
      <c r="D18" s="294" t="str">
        <f>IF(AND(C18=0,OR(C13="R",C13="L")),"错误！",IF(AND(C13="",C18&lt;&gt;0),"错误,βf 应等于零!","度"))</f>
        <v>度</v>
      </c>
      <c r="E18" s="283"/>
      <c r="F18" s="312"/>
      <c r="G18" s="312"/>
      <c r="H18" s="311"/>
      <c r="I18" s="300"/>
      <c r="J18" s="398"/>
      <c r="K18" s="300"/>
    </row>
    <row r="19" spans="1:12" ht="15.75">
      <c r="A19" s="309" t="s">
        <v>12535</v>
      </c>
      <c r="B19" s="292" t="s">
        <v>2534</v>
      </c>
      <c r="C19" s="271">
        <v>22</v>
      </c>
      <c r="D19" s="311" t="s">
        <v>2820</v>
      </c>
      <c r="E19" s="283"/>
      <c r="F19" s="284"/>
      <c r="G19" s="433">
        <f t="shared" si="0"/>
        <v>22</v>
      </c>
      <c r="H19" s="269"/>
      <c r="I19" s="300"/>
      <c r="J19" s="398"/>
      <c r="K19" s="300"/>
    </row>
    <row r="20" spans="1:12" ht="15.75">
      <c r="A20" s="309" t="s">
        <v>12536</v>
      </c>
      <c r="B20" s="292" t="s">
        <v>2831</v>
      </c>
      <c r="C20" s="271"/>
      <c r="D20" s="695" t="s">
        <v>4411</v>
      </c>
      <c r="E20" s="283"/>
      <c r="F20" s="284"/>
      <c r="G20" s="433"/>
      <c r="H20" s="269"/>
      <c r="I20" s="300"/>
      <c r="J20" s="398"/>
      <c r="K20" s="300"/>
    </row>
    <row r="21" spans="1:12" ht="15.75" hidden="1">
      <c r="A21" s="309"/>
      <c r="B21" s="292"/>
      <c r="C21" s="696">
        <f>IF(C20="",1,C20)</f>
        <v>1</v>
      </c>
      <c r="D21" s="695"/>
      <c r="E21" s="293"/>
      <c r="F21" s="284"/>
      <c r="G21" s="367">
        <f t="shared" si="0"/>
        <v>1</v>
      </c>
      <c r="H21" s="269"/>
      <c r="I21" s="300"/>
      <c r="J21" s="405"/>
      <c r="K21" s="300"/>
    </row>
    <row r="22" spans="1:12" ht="15.75">
      <c r="A22" s="309" t="s">
        <v>2833</v>
      </c>
      <c r="B22" s="292" t="s">
        <v>2834</v>
      </c>
      <c r="C22" s="271"/>
      <c r="D22" s="695"/>
      <c r="E22" s="293"/>
      <c r="F22" s="284"/>
      <c r="G22" s="367">
        <f t="shared" si="0"/>
        <v>0</v>
      </c>
      <c r="H22" s="269"/>
      <c r="I22" s="300"/>
      <c r="J22" s="300"/>
      <c r="K22" s="300"/>
    </row>
    <row r="23" spans="1:12" ht="15.75">
      <c r="A23" s="309" t="s">
        <v>12537</v>
      </c>
      <c r="B23" s="292" t="s">
        <v>2836</v>
      </c>
      <c r="C23" s="697"/>
      <c r="D23" s="695" t="s">
        <v>4652</v>
      </c>
      <c r="E23" s="293"/>
      <c r="F23" s="284"/>
      <c r="G23" s="289"/>
      <c r="H23" s="269"/>
      <c r="I23" s="300"/>
      <c r="J23" s="300"/>
      <c r="K23" s="300"/>
    </row>
    <row r="24" spans="1:12" ht="15.75" hidden="1">
      <c r="A24" s="309"/>
      <c r="B24" s="292"/>
      <c r="C24" s="698">
        <f>IF(C23="",0.25,C23)</f>
        <v>0.25</v>
      </c>
      <c r="D24" s="318"/>
      <c r="E24" s="293"/>
      <c r="F24" s="284"/>
      <c r="G24" s="367">
        <f>C24</f>
        <v>0.25</v>
      </c>
      <c r="H24" s="269"/>
      <c r="I24" s="300"/>
      <c r="J24" s="300"/>
      <c r="K24" s="300"/>
    </row>
    <row r="25" spans="1:12" ht="15.75">
      <c r="A25" s="279" t="s">
        <v>2840</v>
      </c>
      <c r="B25" s="292" t="s">
        <v>2852</v>
      </c>
      <c r="C25" s="271">
        <v>0</v>
      </c>
      <c r="D25" s="699"/>
      <c r="E25" s="700" t="str">
        <f>IF(C25="","",IF(C25&lt;C122,"根切！x1不能小于",""))</f>
        <v/>
      </c>
      <c r="F25" s="288" t="str">
        <f>IF(E25="","",C122)</f>
        <v/>
      </c>
      <c r="G25" s="255"/>
      <c r="H25" s="291"/>
    </row>
    <row r="26" spans="1:12" ht="15.75">
      <c r="A26" s="279" t="str">
        <f>IF(C25&lt;&gt;"","","法向变位系数")</f>
        <v/>
      </c>
      <c r="B26" s="323" t="str">
        <f>IF(C25&lt;&gt;"","","xn1")</f>
        <v/>
      </c>
      <c r="C26" s="697"/>
      <c r="D26" s="294" t="str">
        <f>IF(C26="","",IF(AND(C25&lt;&gt;"",C26&lt;&gt;""),"取消！",IF(C26&lt;C122/COS(C66),"    根切！xn1不能小于","")))</f>
        <v/>
      </c>
      <c r="E26" s="701"/>
      <c r="F26" s="288" t="str">
        <f>IF(OR(D26="",C25&lt;&gt;""),"",C122/COS(C66))</f>
        <v/>
      </c>
      <c r="G26" s="405"/>
      <c r="H26" s="297"/>
    </row>
    <row r="27" spans="1:12" s="62" customFormat="1" ht="15.75">
      <c r="A27" s="318" t="s">
        <v>12538</v>
      </c>
      <c r="B27" s="298"/>
      <c r="C27" s="435"/>
      <c r="D27" s="294"/>
      <c r="E27" s="702"/>
      <c r="F27" s="294"/>
      <c r="G27" s="311"/>
      <c r="H27" s="289"/>
      <c r="I27" s="734"/>
      <c r="J27" s="734"/>
      <c r="K27" s="734"/>
      <c r="L27" s="734"/>
    </row>
    <row r="28" spans="1:12" ht="15.75">
      <c r="A28" s="279" t="str">
        <f>IF(AND(C28="",C29&lt;&gt;""),"","安   装   距")</f>
        <v/>
      </c>
      <c r="B28" s="298" t="str">
        <f>IF(AND(C28="",C29&lt;&gt;""),"","a")</f>
        <v/>
      </c>
      <c r="C28" s="313"/>
      <c r="D28" s="311" t="str">
        <f>IF(AND(C28="",C29&lt;&gt;""),"","毫米")</f>
        <v/>
      </c>
      <c r="E28" s="283" t="str">
        <f>IF(AND(C28="",C29&lt;&gt;""),"","说明：安装距即齿轮轴线至齿条基准面的距离")</f>
        <v/>
      </c>
      <c r="F28" s="703"/>
      <c r="G28" s="312"/>
      <c r="H28" s="294"/>
      <c r="I28" s="283"/>
    </row>
    <row r="29" spans="1:12" ht="15.75">
      <c r="A29" s="704" t="str">
        <f>IF(C28&lt;&gt;"","","齿条分度线至基准面距离")</f>
        <v>齿条分度线至基准面距离</v>
      </c>
      <c r="B29" s="298"/>
      <c r="C29" s="705">
        <v>23.5</v>
      </c>
      <c r="D29" s="294" t="str">
        <f>IF(C29="","",IF(AND(C28&lt;&gt;"",C29&lt;&gt;""),"取消！","毫米"))</f>
        <v>毫米</v>
      </c>
      <c r="E29" s="283"/>
      <c r="F29" s="703"/>
      <c r="G29" s="312"/>
      <c r="H29" s="294"/>
      <c r="I29" s="283"/>
    </row>
    <row r="30" spans="1:12" ht="15.75">
      <c r="A30" s="352" t="str">
        <f>IF(AND(C28="",C29=""),"",IF(C28&lt;&gt;"","齿条节线至基准面距离","安    装    距"))</f>
        <v>安    装    距</v>
      </c>
      <c r="B30" s="298" t="str">
        <f>IF(A30="安    装    距","a","")</f>
        <v>a</v>
      </c>
      <c r="C30" s="351">
        <f>IF(AND(C28="",C29=""),"",IF(C28&lt;&gt;"",ROUND(C28-C72/2,3),ROUND(C29+C81*C16+C72/2,3)))</f>
        <v>39.415999999999997</v>
      </c>
      <c r="D30" s="328" t="str">
        <f>IF(A30="","","毫米")</f>
        <v>毫米</v>
      </c>
      <c r="E30" s="283" t="str">
        <f>IF(A30="","",IF(B30="a","说明：安装距即齿轮轴线至齿条基准面的距离","说明：齿条节线是与齿轮分度圆相切的线"))</f>
        <v>说明：安装距即齿轮轴线至齿条基准面的距离</v>
      </c>
      <c r="F30" s="703"/>
      <c r="G30" s="312"/>
      <c r="H30" s="294"/>
      <c r="I30" s="283"/>
    </row>
    <row r="31" spans="1:12" ht="15.75">
      <c r="A31" s="432" t="str">
        <f>IF(AND(C28="",C29=""),"",IF(AND(C28="",C29&lt;&gt;""),"齿条节线至基准面距离","齿条分度线至基准面距离"))</f>
        <v>齿条节线至基准面距离</v>
      </c>
      <c r="B31" s="298"/>
      <c r="C31" s="351">
        <f>IF(AND(C28="",C29=""),"",IF(AND(C28="",C29&lt;&gt;""),ROUND(C30-C72/2,3),ROUND(C30-C81*C16,3)))</f>
        <v>23.5</v>
      </c>
      <c r="D31" s="328" t="str">
        <f>IF(A31="","","毫米")</f>
        <v>毫米</v>
      </c>
      <c r="E31" s="283" t="str">
        <f>IF(AND(C28="",C29&lt;&gt;""),"说明：齿条节线是与齿轮分度圆相切的线","")</f>
        <v>说明：齿条节线是与齿轮分度圆相切的线</v>
      </c>
      <c r="F31" s="703"/>
      <c r="G31" s="312"/>
      <c r="H31" s="294"/>
      <c r="I31" s="283"/>
    </row>
    <row r="32" spans="1:12" ht="15.75">
      <c r="A32" s="401" t="s">
        <v>12539</v>
      </c>
      <c r="B32" s="333" t="s">
        <v>12540</v>
      </c>
      <c r="C32" s="313">
        <v>1000</v>
      </c>
      <c r="D32" s="335" t="s">
        <v>2820</v>
      </c>
      <c r="E32" s="706"/>
      <c r="F32" s="707"/>
      <c r="G32" s="275"/>
      <c r="H32" s="356"/>
    </row>
    <row r="33" spans="1:12" ht="15">
      <c r="A33" s="272" t="s">
        <v>2857</v>
      </c>
      <c r="B33" s="320"/>
      <c r="C33" s="313">
        <v>8</v>
      </c>
      <c r="D33" s="294" t="str">
        <f>IF(OR(C33=0,C33=3,C33=4,C33=5,C33=6,C33=7,C33=8),"","错误！")</f>
        <v/>
      </c>
      <c r="E33" s="701"/>
      <c r="F33" s="288"/>
      <c r="G33" s="321">
        <f t="shared" ref="G33:G35" si="1">C33</f>
        <v>8</v>
      </c>
      <c r="H33" s="291"/>
    </row>
    <row r="34" spans="1:12" ht="15">
      <c r="A34" s="272" t="s">
        <v>2858</v>
      </c>
      <c r="B34" s="320"/>
      <c r="C34" s="271">
        <v>7</v>
      </c>
      <c r="D34" s="294" t="str">
        <f>IF(AND(C33&lt;&gt;"",C34=0),"输入！",IF(OR(C34=0,C34=3,C34=4,C34=5,C34=6,C34=7,C34=8),"","错误！"))</f>
        <v/>
      </c>
      <c r="E34" s="701"/>
      <c r="F34" s="288"/>
      <c r="G34" s="321">
        <f t="shared" si="1"/>
        <v>7</v>
      </c>
      <c r="H34" s="291"/>
    </row>
    <row r="35" spans="1:12" ht="15">
      <c r="A35" s="386" t="s">
        <v>2859</v>
      </c>
      <c r="B35" s="708"/>
      <c r="C35" s="313">
        <v>7</v>
      </c>
      <c r="D35" s="356" t="str">
        <f>IF(AND(C33&lt;&gt;"",C35=0),"输入！",IF(OR(C35=0,C35=3,C35=4,C35=5,C35=6,C35=7,C35=8),"","错误！"))</f>
        <v/>
      </c>
      <c r="E35" s="709"/>
      <c r="F35" s="710"/>
      <c r="G35" s="711">
        <f t="shared" si="1"/>
        <v>7</v>
      </c>
      <c r="H35" s="332"/>
    </row>
    <row r="36" spans="1:12" s="62" customFormat="1" ht="15">
      <c r="A36" s="318" t="s">
        <v>12541</v>
      </c>
      <c r="B36" s="712"/>
      <c r="C36" s="435"/>
      <c r="D36" s="294"/>
      <c r="E36" s="702"/>
      <c r="F36" s="294"/>
      <c r="G36" s="367"/>
      <c r="H36" s="289"/>
      <c r="I36" s="734"/>
      <c r="J36" s="734"/>
      <c r="K36" s="734"/>
      <c r="L36" s="734"/>
    </row>
    <row r="37" spans="1:12" ht="15.75">
      <c r="A37" s="382" t="s">
        <v>12542</v>
      </c>
      <c r="B37" s="298"/>
      <c r="C37" s="266"/>
      <c r="D37" s="294" t="str">
        <f>IF(AND(C37&lt;&gt;"",OR(C33="",C34="",C35="",C45&lt;&gt;"")),"取消！",IF(OR(C37="",C37="C",C37="D",C37="E",C37="F",C37="G",C37="H",C37="J",C37="K",C37="L",C37="M",C37="N",C37="P",C37="R",C37="S"),"","错误！"))</f>
        <v/>
      </c>
      <c r="E37" s="318" t="s">
        <v>4664</v>
      </c>
      <c r="F37" s="292"/>
      <c r="G37" s="270"/>
      <c r="H37" s="318"/>
      <c r="I37" s="291"/>
      <c r="J37" s="735"/>
      <c r="K37" s="255"/>
      <c r="L37" s="291"/>
    </row>
    <row r="38" spans="1:12" ht="15.75">
      <c r="A38" s="382" t="s">
        <v>12543</v>
      </c>
      <c r="B38" s="298"/>
      <c r="C38" s="266"/>
      <c r="D38" s="294" t="str">
        <f>IF(AND(C38&lt;&gt;"",OR(C33="",C34="",C35="",C46&lt;&gt;"",)),"取消！",IF(OR(C38="",C38="C",C38="D",C38="E",C38="F",C38="G",C38="H",C38="J",C38="K",C38="L",C38="M",C38="N",C38="P",C38="R",C38="S"),"","错误！"))</f>
        <v/>
      </c>
      <c r="E38" s="713" t="s">
        <v>4665</v>
      </c>
      <c r="F38" s="292"/>
      <c r="G38" s="270"/>
      <c r="H38" s="318"/>
      <c r="I38" s="291"/>
      <c r="J38" s="735"/>
      <c r="K38" s="255"/>
      <c r="L38" s="291"/>
    </row>
    <row r="39" spans="1:12" ht="15.75">
      <c r="A39" s="382" t="s">
        <v>12544</v>
      </c>
      <c r="B39" s="298"/>
      <c r="C39" s="281"/>
      <c r="D39" s="294" t="str">
        <f>IF(AND(C39&lt;&gt;"",OR(C33="",C34="",C35="",C47&lt;&gt;"")),"取消！",IF(OR(C39="",C39="C",C39="D",C39="E",C39="F",C39="G",C39="H",C39="J",C39="K",C39="L",C39="M",C39="N",C39="P",C39="R",C39="S"),"","错误！"))</f>
        <v/>
      </c>
      <c r="E39" s="318"/>
      <c r="F39" s="292"/>
      <c r="G39" s="270"/>
      <c r="H39" s="318"/>
      <c r="I39" s="291"/>
      <c r="J39" s="735"/>
      <c r="K39" s="255"/>
      <c r="L39" s="291"/>
    </row>
    <row r="40" spans="1:12" ht="15.75">
      <c r="A40" s="386" t="s">
        <v>12545</v>
      </c>
      <c r="B40" s="333"/>
      <c r="C40" s="281"/>
      <c r="D40" s="356" t="str">
        <f>IF(AND(C40&lt;&gt;"",OR(C33="",C34="",C35="",C48&lt;&gt;"")),"取消！",IF(OR(C40="",C40="C",C40="D",C40="E",C40="F",C40="G",C40="H",C40="J",C40="K",C40="L",C40="M",C40="N",C40="P",C40="R",C40="S"),"","错误！"))</f>
        <v/>
      </c>
      <c r="E40" s="714"/>
      <c r="F40" s="292"/>
      <c r="G40" s="270"/>
      <c r="H40" s="318"/>
      <c r="I40" s="291"/>
      <c r="J40" s="735"/>
      <c r="K40" s="255"/>
      <c r="L40" s="291"/>
    </row>
    <row r="41" spans="1:12" ht="15.75">
      <c r="A41" s="279" t="s">
        <v>12546</v>
      </c>
      <c r="B41" s="298" t="s">
        <v>2885</v>
      </c>
      <c r="C41" s="351" t="str">
        <f>IF(OR(C37="",C38="",C39="",C40="",C33="",C34="",C35=""),"",C203/1000)</f>
        <v/>
      </c>
      <c r="D41" s="311" t="s">
        <v>2820</v>
      </c>
      <c r="E41" s="312"/>
      <c r="F41" s="298"/>
      <c r="G41" s="270"/>
      <c r="H41" s="311"/>
      <c r="I41" s="297"/>
      <c r="J41" s="279"/>
      <c r="K41" s="255"/>
      <c r="L41" s="291"/>
    </row>
    <row r="42" spans="1:12" ht="15.75">
      <c r="A42" s="401" t="s">
        <v>12547</v>
      </c>
      <c r="B42" s="333" t="s">
        <v>2886</v>
      </c>
      <c r="C42" s="715" t="str">
        <f>IF(OR(C37="",C38="",C39="",C40="",C33="",C34="",C35=""),"",C204/1000)</f>
        <v/>
      </c>
      <c r="D42" s="335" t="s">
        <v>2820</v>
      </c>
      <c r="E42" s="390" t="s">
        <v>2879</v>
      </c>
      <c r="F42" s="337"/>
      <c r="G42" s="338"/>
      <c r="H42" s="335"/>
      <c r="I42" s="297"/>
      <c r="J42" s="279"/>
      <c r="K42" s="255"/>
      <c r="L42" s="291"/>
    </row>
    <row r="43" spans="1:12" s="62" customFormat="1" ht="15.75">
      <c r="A43" s="318" t="s">
        <v>12548</v>
      </c>
      <c r="B43" s="298"/>
      <c r="C43" s="312"/>
      <c r="D43" s="311"/>
      <c r="E43" s="318"/>
      <c r="F43" s="328"/>
      <c r="G43" s="289"/>
      <c r="H43" s="311"/>
      <c r="I43" s="289"/>
      <c r="J43" s="312"/>
      <c r="K43" s="484"/>
      <c r="L43" s="302"/>
    </row>
    <row r="44" spans="1:12" s="62" customFormat="1" ht="15">
      <c r="A44" s="318" t="s">
        <v>12549</v>
      </c>
      <c r="B44" s="312"/>
      <c r="C44" s="312"/>
      <c r="D44" s="311"/>
      <c r="E44" s="318"/>
      <c r="F44" s="328"/>
      <c r="G44" s="289"/>
      <c r="H44" s="311"/>
      <c r="I44" s="289"/>
      <c r="J44" s="312"/>
      <c r="K44" s="484"/>
      <c r="L44" s="302"/>
    </row>
    <row r="45" spans="1:12" s="62" customFormat="1" ht="15">
      <c r="A45" s="352" t="s">
        <v>12550</v>
      </c>
      <c r="B45" s="312" t="s">
        <v>4666</v>
      </c>
      <c r="C45" s="313">
        <v>-0.1</v>
      </c>
      <c r="D45" s="311" t="s">
        <v>2820</v>
      </c>
      <c r="E45" s="318"/>
      <c r="F45" s="328"/>
      <c r="G45" s="289"/>
      <c r="H45" s="311"/>
      <c r="I45" s="289"/>
      <c r="J45" s="312"/>
      <c r="K45" s="484"/>
      <c r="L45" s="302"/>
    </row>
    <row r="46" spans="1:12" s="62" customFormat="1" ht="15">
      <c r="A46" s="352" t="s">
        <v>12551</v>
      </c>
      <c r="B46" s="312" t="s">
        <v>4667</v>
      </c>
      <c r="C46" s="271">
        <v>-0.2</v>
      </c>
      <c r="D46" s="311" t="s">
        <v>2820</v>
      </c>
      <c r="E46" s="318"/>
      <c r="F46" s="328"/>
      <c r="G46" s="289"/>
      <c r="H46" s="311"/>
      <c r="I46" s="289"/>
      <c r="J46" s="312"/>
      <c r="K46" s="484"/>
      <c r="L46" s="302"/>
    </row>
    <row r="47" spans="1:12" s="62" customFormat="1" ht="15">
      <c r="A47" s="352" t="s">
        <v>12552</v>
      </c>
      <c r="B47" s="312" t="s">
        <v>4668</v>
      </c>
      <c r="C47" s="271">
        <v>-0.15</v>
      </c>
      <c r="D47" s="311" t="s">
        <v>2820</v>
      </c>
      <c r="E47" s="318"/>
      <c r="F47" s="328"/>
      <c r="G47" s="289"/>
      <c r="H47" s="311"/>
      <c r="I47" s="289"/>
      <c r="J47" s="312"/>
      <c r="K47" s="484"/>
      <c r="L47" s="302"/>
    </row>
    <row r="48" spans="1:12" s="62" customFormat="1" ht="16.149999999999999" customHeight="1">
      <c r="A48" s="354" t="s">
        <v>12553</v>
      </c>
      <c r="B48" s="275" t="s">
        <v>4669</v>
      </c>
      <c r="C48" s="313">
        <v>-0.25</v>
      </c>
      <c r="D48" s="335" t="s">
        <v>2820</v>
      </c>
      <c r="E48" s="318"/>
      <c r="F48" s="328"/>
      <c r="G48" s="289"/>
      <c r="H48" s="311"/>
      <c r="I48" s="289"/>
      <c r="J48" s="312"/>
      <c r="K48" s="484"/>
      <c r="L48" s="302"/>
    </row>
    <row r="49" spans="1:12" s="62" customFormat="1" ht="16.149999999999999" customHeight="1">
      <c r="A49" s="279" t="s">
        <v>12546</v>
      </c>
      <c r="B49" s="298" t="s">
        <v>2885</v>
      </c>
      <c r="C49" s="351">
        <f>IF(OR(C45="",C46="",C47="",C48=""),"",ABS(C45+C47))</f>
        <v>0.25</v>
      </c>
      <c r="D49" s="311" t="s">
        <v>2820</v>
      </c>
      <c r="E49" s="318"/>
      <c r="F49" s="328"/>
      <c r="G49" s="289"/>
      <c r="H49" s="311"/>
      <c r="I49" s="289"/>
      <c r="J49" s="312"/>
      <c r="K49" s="484"/>
      <c r="L49" s="302"/>
    </row>
    <row r="50" spans="1:12" s="62" customFormat="1" ht="16.149999999999999" customHeight="1">
      <c r="A50" s="401" t="s">
        <v>12547</v>
      </c>
      <c r="B50" s="333" t="s">
        <v>2886</v>
      </c>
      <c r="C50" s="715">
        <f>IF(OR(C45="",C46="",C47="",C48=""),"",ABS(C46+C48))</f>
        <v>0.45</v>
      </c>
      <c r="D50" s="335" t="s">
        <v>2820</v>
      </c>
      <c r="E50" s="390"/>
      <c r="F50" s="337"/>
      <c r="G50" s="338"/>
      <c r="H50" s="335"/>
      <c r="I50" s="289"/>
      <c r="J50" s="312"/>
      <c r="K50" s="484"/>
      <c r="L50" s="302"/>
    </row>
    <row r="51" spans="1:12" ht="15.75">
      <c r="A51" s="716" t="s">
        <v>2887</v>
      </c>
      <c r="B51" s="298"/>
      <c r="C51" s="330" t="s">
        <v>12554</v>
      </c>
      <c r="D51" s="343"/>
      <c r="E51" s="717"/>
      <c r="F51" s="349"/>
      <c r="G51" s="330" t="s">
        <v>12555</v>
      </c>
      <c r="H51" s="311"/>
      <c r="I51" s="297"/>
      <c r="J51" s="279"/>
      <c r="K51" s="255"/>
      <c r="L51" s="291"/>
    </row>
    <row r="52" spans="1:12" ht="15.75">
      <c r="A52" s="484" t="s">
        <v>2890</v>
      </c>
      <c r="B52" s="718"/>
      <c r="C52" s="348" t="s">
        <v>2891</v>
      </c>
      <c r="D52" s="343"/>
      <c r="E52" s="719"/>
      <c r="F52" s="349"/>
      <c r="G52" s="717"/>
      <c r="H52" s="305"/>
      <c r="I52" s="297"/>
      <c r="J52" s="279"/>
      <c r="K52" s="255"/>
      <c r="L52" s="291"/>
    </row>
    <row r="53" spans="1:12">
      <c r="A53" s="382" t="s">
        <v>2892</v>
      </c>
      <c r="B53" s="279" t="s">
        <v>4672</v>
      </c>
      <c r="C53" s="720">
        <f>ROUND(C103,2)</f>
        <v>2.63</v>
      </c>
      <c r="D53" s="311" t="s">
        <v>2820</v>
      </c>
      <c r="E53" s="299"/>
      <c r="F53" s="279" t="s">
        <v>2894</v>
      </c>
      <c r="G53" s="720">
        <f>ROUND(G103,2)</f>
        <v>2.5099999999999998</v>
      </c>
      <c r="H53" s="311" t="s">
        <v>2820</v>
      </c>
      <c r="I53" s="297"/>
      <c r="J53" s="279"/>
      <c r="K53" s="255"/>
      <c r="L53" s="291"/>
    </row>
    <row r="54" spans="1:12">
      <c r="A54" s="382" t="s">
        <v>2895</v>
      </c>
      <c r="B54" s="401" t="s">
        <v>4673</v>
      </c>
      <c r="C54" s="313">
        <v>8</v>
      </c>
      <c r="D54" s="311" t="s">
        <v>2820</v>
      </c>
      <c r="E54" s="299"/>
      <c r="F54" s="279" t="s">
        <v>2897</v>
      </c>
      <c r="G54" s="705">
        <v>8</v>
      </c>
      <c r="H54" s="311" t="s">
        <v>2820</v>
      </c>
      <c r="I54" s="297"/>
      <c r="J54" s="279"/>
      <c r="K54" s="255"/>
      <c r="L54" s="291"/>
    </row>
    <row r="55" spans="1:12" ht="15">
      <c r="A55" s="434"/>
      <c r="B55" s="721" t="str">
        <f>IF(C54=0,"",IF(ROUND(C58,4)&lt;&gt;ROUND(C57,4),"单变量求解计算：",""))</f>
        <v>单变量求解计算：</v>
      </c>
      <c r="C55" s="374"/>
      <c r="D55" s="311"/>
      <c r="E55" s="299"/>
      <c r="F55" s="294"/>
      <c r="G55" s="435"/>
      <c r="H55" s="311"/>
      <c r="I55" s="297"/>
      <c r="J55" s="279"/>
      <c r="K55" s="255"/>
      <c r="L55" s="291"/>
    </row>
    <row r="56" spans="1:12" ht="15">
      <c r="A56" s="434"/>
      <c r="B56" s="722" t="str">
        <f>IF(C54=0,"",IF(ROUND(C58,4)&lt;&gt;ROUND(C57,4),"可变格",""))</f>
        <v>可变格</v>
      </c>
      <c r="C56" s="377">
        <v>0.52819922458463897</v>
      </c>
      <c r="D56" s="311"/>
      <c r="E56" s="299"/>
      <c r="F56" s="339"/>
      <c r="G56" s="367"/>
      <c r="H56" s="311"/>
      <c r="I56" s="297"/>
      <c r="J56" s="279"/>
      <c r="K56" s="255"/>
      <c r="L56" s="291"/>
    </row>
    <row r="57" spans="1:12">
      <c r="A57" s="434"/>
      <c r="B57" s="723" t="str">
        <f>IF(C54=0,"",IF(ROUND(C58,4)&lt;&gt;ROUND(C57,4),"目标格",""))</f>
        <v>目标格</v>
      </c>
      <c r="C57" s="379">
        <f>TAN(C56)-C56-C105</f>
        <v>-0.16758410047970401</v>
      </c>
      <c r="D57" s="311"/>
      <c r="E57" s="299"/>
      <c r="F57" s="339"/>
      <c r="G57" s="367"/>
      <c r="H57" s="311"/>
      <c r="I57" s="297"/>
      <c r="J57" s="279"/>
      <c r="K57" s="255"/>
      <c r="L57" s="291"/>
    </row>
    <row r="58" spans="1:12">
      <c r="A58" s="437"/>
      <c r="B58" s="724" t="str">
        <f>IF(C54=0,"",IF(ROUND(C58,4)&lt;&gt;ROUND(C57,4),"目标值",""))</f>
        <v>目标值</v>
      </c>
      <c r="C58" s="381">
        <f>IF(C54=0,"",0)</f>
        <v>0</v>
      </c>
      <c r="D58" s="335"/>
      <c r="E58" s="357"/>
      <c r="F58" s="473"/>
      <c r="G58" s="725"/>
      <c r="H58" s="335"/>
      <c r="I58" s="297"/>
      <c r="J58" s="279"/>
      <c r="K58" s="255"/>
      <c r="L58" s="291"/>
    </row>
    <row r="59" spans="1:12" ht="15.75">
      <c r="A59" s="726" t="s">
        <v>2898</v>
      </c>
      <c r="B59" s="323"/>
      <c r="C59" s="330" t="s">
        <v>12554</v>
      </c>
      <c r="D59" s="343"/>
      <c r="E59" s="717"/>
      <c r="F59" s="349"/>
      <c r="G59" s="330" t="s">
        <v>12555</v>
      </c>
      <c r="H59" s="311"/>
      <c r="I59" s="297"/>
      <c r="J59" s="279"/>
      <c r="K59" s="255"/>
      <c r="L59" s="291"/>
    </row>
    <row r="60" spans="1:12" ht="15.75">
      <c r="A60" s="312" t="s">
        <v>12556</v>
      </c>
      <c r="B60" s="718"/>
      <c r="C60" s="727" t="str">
        <f>D120</f>
        <v>齿顶未变尖</v>
      </c>
      <c r="D60" s="699" t="s">
        <v>12557</v>
      </c>
      <c r="E60" s="318">
        <f>ROUND(0.4*C16,2)</f>
        <v>0.6</v>
      </c>
      <c r="F60" s="728"/>
      <c r="G60" s="727" t="str">
        <f>H120</f>
        <v>齿顶未变尖</v>
      </c>
      <c r="H60" s="699" t="s">
        <v>12558</v>
      </c>
      <c r="I60" s="318">
        <f>ROUND(0.4*G16,2)</f>
        <v>0.6</v>
      </c>
      <c r="J60" s="279"/>
      <c r="K60" s="255"/>
      <c r="L60" s="291"/>
    </row>
    <row r="61" spans="1:12" ht="15.75">
      <c r="A61" s="401" t="s">
        <v>12559</v>
      </c>
      <c r="B61" s="729" t="s">
        <v>4162</v>
      </c>
      <c r="C61" s="715">
        <f>C119</f>
        <v>3.2309999999999999</v>
      </c>
      <c r="D61" s="730" t="s">
        <v>4163</v>
      </c>
      <c r="E61" s="275">
        <f>C117</f>
        <v>1.67</v>
      </c>
      <c r="F61" s="731" t="s">
        <v>4164</v>
      </c>
      <c r="G61" s="275">
        <f>C118</f>
        <v>1.5609999999999999</v>
      </c>
      <c r="H61" s="732"/>
      <c r="I61" s="318"/>
      <c r="J61" s="279"/>
      <c r="K61" s="255"/>
      <c r="L61" s="291"/>
    </row>
    <row r="62" spans="1:12" ht="15.75" hidden="1">
      <c r="A62" s="391" t="s">
        <v>2935</v>
      </c>
      <c r="B62" s="292"/>
      <c r="C62" s="330" t="s">
        <v>12554</v>
      </c>
      <c r="D62" s="343"/>
      <c r="E62" s="717"/>
      <c r="F62" s="349"/>
      <c r="G62" s="330" t="s">
        <v>12555</v>
      </c>
      <c r="H62" s="311"/>
      <c r="I62" s="294"/>
      <c r="J62" s="279"/>
      <c r="K62" s="255"/>
      <c r="L62" s="291"/>
    </row>
    <row r="63" spans="1:12" ht="15.75" hidden="1">
      <c r="A63" s="291" t="s">
        <v>12533</v>
      </c>
      <c r="B63" s="291" t="s">
        <v>4640</v>
      </c>
      <c r="C63" s="303">
        <f>IF(C17="",RADIANS(20),RADIANS(C17))</f>
        <v>0.34906585039886601</v>
      </c>
      <c r="D63" s="255" t="s">
        <v>2048</v>
      </c>
      <c r="E63" s="312">
        <f>TAN(C63)-C63</f>
        <v>1.4904383867336401E-2</v>
      </c>
      <c r="F63" s="255" t="s">
        <v>12560</v>
      </c>
      <c r="G63" s="299"/>
      <c r="H63" s="312"/>
      <c r="I63" s="311"/>
      <c r="J63" s="289"/>
      <c r="K63" s="410"/>
      <c r="L63" s="291"/>
    </row>
    <row r="64" spans="1:12" ht="15.75" hidden="1">
      <c r="A64" s="291"/>
      <c r="B64" s="291"/>
      <c r="C64" s="303">
        <f>IF(C17="",20,C17)</f>
        <v>20</v>
      </c>
      <c r="D64" s="311" t="s">
        <v>257</v>
      </c>
      <c r="E64" s="289">
        <f>ROUND(INT(C64)+INT((C64-INT(C64))*60)/100+((C64-INT(C64))*60-INT((C64-INT(C64))*60))*60/10000,4)</f>
        <v>20</v>
      </c>
      <c r="F64" s="311" t="s">
        <v>2938</v>
      </c>
      <c r="G64" s="299"/>
      <c r="H64" s="312"/>
      <c r="I64" s="311"/>
      <c r="J64" s="289"/>
      <c r="K64" s="410"/>
      <c r="L64" s="291"/>
    </row>
    <row r="65" spans="1:12" ht="15.75" hidden="1">
      <c r="A65" s="309" t="s">
        <v>12561</v>
      </c>
      <c r="B65" s="291" t="s">
        <v>12562</v>
      </c>
      <c r="C65" s="303">
        <f>ATAN(TAN(C63)/COS(C66))</f>
        <v>0.36854041096353302</v>
      </c>
      <c r="D65" s="255" t="s">
        <v>2048</v>
      </c>
      <c r="E65" s="312">
        <f>TAN(C65)-C65</f>
        <v>1.7644533127487101E-2</v>
      </c>
      <c r="F65" s="255" t="s">
        <v>12563</v>
      </c>
      <c r="G65" s="303"/>
      <c r="H65" s="255"/>
      <c r="I65" s="312"/>
      <c r="J65" s="255"/>
      <c r="K65" s="255"/>
      <c r="L65" s="291"/>
    </row>
    <row r="66" spans="1:12" ht="15.75" hidden="1">
      <c r="A66" s="314" t="s">
        <v>2823</v>
      </c>
      <c r="B66" s="291" t="s">
        <v>2824</v>
      </c>
      <c r="C66" s="303">
        <f>RADIANS(C18)</f>
        <v>0.34083313231720902</v>
      </c>
      <c r="D66" s="255" t="s">
        <v>2048</v>
      </c>
      <c r="E66" s="312"/>
      <c r="F66" s="291"/>
      <c r="G66" s="303"/>
      <c r="H66" s="410"/>
      <c r="I66" s="294"/>
      <c r="J66" s="279"/>
      <c r="K66" s="255"/>
      <c r="L66" s="291"/>
    </row>
    <row r="67" spans="1:12" ht="15.75" hidden="1">
      <c r="A67" s="314"/>
      <c r="B67" s="291"/>
      <c r="C67" s="303">
        <f>C18</f>
        <v>19.528300000000002</v>
      </c>
      <c r="D67" s="311" t="s">
        <v>257</v>
      </c>
      <c r="E67" s="302">
        <f>ROUND(INT(C67)+INT((C67-INT(C67))*60)/100+((C67-INT(C67))*60-INT((C67-INT(C67))*60))*60/10000,4)</f>
        <v>19.3142</v>
      </c>
      <c r="F67" s="311" t="s">
        <v>2938</v>
      </c>
      <c r="G67" s="303"/>
      <c r="H67" s="311"/>
      <c r="I67" s="302"/>
      <c r="J67" s="311"/>
      <c r="K67" s="255"/>
      <c r="L67" s="291"/>
    </row>
    <row r="68" spans="1:12" ht="15.75" hidden="1">
      <c r="A68" s="309" t="s">
        <v>2942</v>
      </c>
      <c r="B68" s="291" t="s">
        <v>2943</v>
      </c>
      <c r="C68" s="303">
        <f>ATAN(C73*TAN(C66)/C72)</f>
        <v>0.34083313231720902</v>
      </c>
      <c r="D68" s="255" t="s">
        <v>2048</v>
      </c>
      <c r="E68" s="294"/>
      <c r="F68" s="294"/>
      <c r="G68" s="299"/>
      <c r="H68" s="311"/>
      <c r="I68" s="294"/>
      <c r="J68" s="279"/>
      <c r="K68" s="255"/>
      <c r="L68" s="291"/>
    </row>
    <row r="69" spans="1:12" ht="15.75" hidden="1">
      <c r="A69" s="309" t="s">
        <v>2944</v>
      </c>
      <c r="B69" s="291" t="s">
        <v>12564</v>
      </c>
      <c r="C69" s="303">
        <f>ATAN(C74*TAN(C66)/C72)</f>
        <v>0.319522560562571</v>
      </c>
      <c r="D69" s="255" t="s">
        <v>2048</v>
      </c>
      <c r="E69" s="294"/>
      <c r="F69" s="294"/>
      <c r="G69" s="303"/>
      <c r="H69" s="311"/>
      <c r="I69" s="294"/>
      <c r="J69" s="279"/>
      <c r="K69" s="255"/>
      <c r="L69" s="291"/>
    </row>
    <row r="70" spans="1:12" ht="15.75" hidden="1">
      <c r="A70" s="309" t="s">
        <v>2946</v>
      </c>
      <c r="B70" s="291" t="s">
        <v>12565</v>
      </c>
      <c r="C70" s="303">
        <f>ATAN(C86*TAN(C66)/C72)</f>
        <v>0.37020739694170102</v>
      </c>
      <c r="D70" s="255" t="s">
        <v>2048</v>
      </c>
      <c r="E70" s="294"/>
      <c r="F70" s="294"/>
      <c r="G70" s="299"/>
      <c r="H70" s="311"/>
      <c r="I70" s="294"/>
      <c r="J70" s="279"/>
      <c r="K70" s="255"/>
      <c r="L70" s="291"/>
    </row>
    <row r="71" spans="1:12" ht="15.75" hidden="1">
      <c r="A71" s="309" t="s">
        <v>12566</v>
      </c>
      <c r="B71" s="292" t="s">
        <v>2951</v>
      </c>
      <c r="C71" s="303">
        <f>C16/COS(C66)</f>
        <v>1.5915516204351401</v>
      </c>
      <c r="D71" s="311" t="s">
        <v>2820</v>
      </c>
      <c r="E71" s="294"/>
      <c r="F71" s="294"/>
      <c r="G71" s="346">
        <f>C71</f>
        <v>1.5915516204351401</v>
      </c>
      <c r="H71" s="311"/>
      <c r="I71" s="744"/>
      <c r="J71" s="279"/>
      <c r="K71" s="255"/>
      <c r="L71" s="291"/>
    </row>
    <row r="72" spans="1:12" ht="15.75" hidden="1">
      <c r="A72" s="291" t="s">
        <v>12567</v>
      </c>
      <c r="B72" s="303" t="s">
        <v>2953</v>
      </c>
      <c r="C72" s="302">
        <f>C15*C71</f>
        <v>31.8310324087028</v>
      </c>
      <c r="D72" s="311" t="s">
        <v>2820</v>
      </c>
      <c r="E72" s="405"/>
      <c r="F72" s="292"/>
      <c r="G72" s="302"/>
      <c r="H72" s="311"/>
      <c r="I72" s="744"/>
      <c r="J72" s="279"/>
      <c r="K72" s="405"/>
      <c r="L72" s="291"/>
    </row>
    <row r="73" spans="1:12" ht="15.75" hidden="1">
      <c r="A73" s="291" t="s">
        <v>12568</v>
      </c>
      <c r="B73" s="303" t="s">
        <v>2956</v>
      </c>
      <c r="C73" s="302">
        <f>C72</f>
        <v>31.8310324087028</v>
      </c>
      <c r="D73" s="311" t="s">
        <v>2820</v>
      </c>
      <c r="E73" s="302"/>
      <c r="F73" s="385" t="s">
        <v>12569</v>
      </c>
      <c r="G73" s="302">
        <f>IF(C28&lt;&gt;"",C31,C29)</f>
        <v>23.5</v>
      </c>
      <c r="H73" s="311" t="s">
        <v>2820</v>
      </c>
      <c r="I73" s="736"/>
      <c r="J73" s="279"/>
      <c r="K73" s="405"/>
      <c r="L73" s="291"/>
    </row>
    <row r="74" spans="1:12" ht="15.75" hidden="1">
      <c r="A74" s="291" t="s">
        <v>12570</v>
      </c>
      <c r="B74" s="303" t="s">
        <v>2959</v>
      </c>
      <c r="C74" s="302">
        <f>C72*COS(C65)</f>
        <v>29.693711070331201</v>
      </c>
      <c r="D74" s="311" t="s">
        <v>2820</v>
      </c>
      <c r="E74" s="302"/>
      <c r="F74" s="453" t="s">
        <v>12571</v>
      </c>
      <c r="G74" s="302">
        <f>IF(C28&lt;&gt;"",C30,C31)</f>
        <v>23.5</v>
      </c>
      <c r="H74" s="311" t="s">
        <v>2820</v>
      </c>
      <c r="I74" s="736"/>
      <c r="J74" s="279"/>
      <c r="K74" s="405"/>
      <c r="L74" s="291"/>
    </row>
    <row r="75" spans="1:12" ht="15.75" hidden="1">
      <c r="A75" s="291" t="s">
        <v>12572</v>
      </c>
      <c r="B75" s="291" t="s">
        <v>12573</v>
      </c>
      <c r="C75" s="302">
        <f>C65</f>
        <v>0.36854041096353302</v>
      </c>
      <c r="D75" s="255" t="s">
        <v>2048</v>
      </c>
      <c r="E75" s="302">
        <f>DEGREES(C75)</f>
        <v>21.115810128227402</v>
      </c>
      <c r="F75" s="311" t="s">
        <v>257</v>
      </c>
      <c r="G75" s="302">
        <f>ROUND(INT(E75)+INT((E75-INT(E75))*60)/100+((E75-INT(E75))*60-INT((E75-INT(E75))*60))*60/10000,4)</f>
        <v>21.0657</v>
      </c>
      <c r="H75" s="311" t="s">
        <v>2938</v>
      </c>
      <c r="I75" s="736"/>
      <c r="J75" s="279"/>
      <c r="K75" s="405"/>
      <c r="L75" s="291"/>
    </row>
    <row r="76" spans="1:12" ht="15.75" hidden="1">
      <c r="A76" s="291" t="s">
        <v>12574</v>
      </c>
      <c r="B76" s="291" t="s">
        <v>12575</v>
      </c>
      <c r="C76" s="302">
        <f>ATAN(TAN(C75)*COS(C66))</f>
        <v>0.34906585039886601</v>
      </c>
      <c r="D76" s="255" t="s">
        <v>2048</v>
      </c>
      <c r="E76" s="302">
        <f>DEGREES(C76)</f>
        <v>20</v>
      </c>
      <c r="F76" s="311" t="s">
        <v>257</v>
      </c>
      <c r="G76" s="302">
        <f>ROUND(INT(E76)+INT((E76-INT(E76))*60)/100+((E76-INT(E76))*60-INT((E76-INT(E76))*60))*60/10000,4)</f>
        <v>20</v>
      </c>
      <c r="H76" s="311" t="s">
        <v>2938</v>
      </c>
      <c r="I76" s="736"/>
      <c r="J76" s="279"/>
      <c r="K76" s="405"/>
      <c r="L76" s="291"/>
    </row>
    <row r="77" spans="1:12" ht="15.75" hidden="1">
      <c r="A77" s="292" t="s">
        <v>12576</v>
      </c>
      <c r="B77" s="303" t="s">
        <v>2967</v>
      </c>
      <c r="C77" s="302">
        <f>PI()*C16</f>
        <v>4.7123889803846897</v>
      </c>
      <c r="D77" s="311" t="s">
        <v>2820</v>
      </c>
      <c r="E77" s="302"/>
      <c r="F77" s="291"/>
      <c r="G77" s="302"/>
      <c r="H77" s="291"/>
      <c r="I77" s="736"/>
      <c r="J77" s="745"/>
      <c r="K77" s="405"/>
      <c r="L77" s="291"/>
    </row>
    <row r="78" spans="1:12" ht="15.75" hidden="1">
      <c r="A78" s="292" t="s">
        <v>12577</v>
      </c>
      <c r="B78" s="303" t="s">
        <v>2969</v>
      </c>
      <c r="C78" s="302">
        <f>PI()*C71</f>
        <v>5.0000068785679597</v>
      </c>
      <c r="D78" s="311" t="s">
        <v>2820</v>
      </c>
      <c r="E78" s="302"/>
      <c r="F78" s="291"/>
      <c r="G78" s="302"/>
      <c r="H78" s="291"/>
      <c r="I78" s="736"/>
      <c r="J78" s="745"/>
      <c r="K78" s="405"/>
      <c r="L78" s="291"/>
    </row>
    <row r="79" spans="1:12" ht="15.75" hidden="1">
      <c r="A79" s="292" t="s">
        <v>12578</v>
      </c>
      <c r="B79" s="303" t="s">
        <v>2971</v>
      </c>
      <c r="C79" s="302">
        <f>C74*PI()/C15</f>
        <v>4.6642772278185296</v>
      </c>
      <c r="D79" s="311" t="s">
        <v>2820</v>
      </c>
      <c r="E79" s="316">
        <f>C78*COS(C65)</f>
        <v>4.6642772278185296</v>
      </c>
      <c r="F79" s="347" t="s">
        <v>2820</v>
      </c>
      <c r="G79" s="302"/>
      <c r="H79" s="291"/>
      <c r="I79" s="736"/>
      <c r="J79" s="745"/>
      <c r="K79" s="405"/>
      <c r="L79" s="291"/>
    </row>
    <row r="80" spans="1:12" ht="15.75" hidden="1">
      <c r="A80" s="309" t="s">
        <v>2840</v>
      </c>
      <c r="B80" s="303" t="s">
        <v>2972</v>
      </c>
      <c r="C80" s="302">
        <f>IF(C25="",C26*COS(C66),C25)</f>
        <v>0</v>
      </c>
      <c r="D80" s="311"/>
      <c r="E80" s="302"/>
      <c r="F80" s="303"/>
      <c r="G80" s="302"/>
      <c r="H80" s="291"/>
      <c r="I80" s="736"/>
      <c r="J80" s="745"/>
      <c r="K80" s="746"/>
      <c r="L80" s="291"/>
    </row>
    <row r="81" spans="1:12" ht="15.75" hidden="1">
      <c r="A81" s="309" t="s">
        <v>2974</v>
      </c>
      <c r="B81" s="303" t="s">
        <v>2975</v>
      </c>
      <c r="C81" s="302">
        <f>IF(C26="",ROUND(C80/COS(C66),5),C26)</f>
        <v>0</v>
      </c>
      <c r="D81" s="311"/>
      <c r="E81" s="302"/>
      <c r="F81" s="303"/>
      <c r="G81" s="302"/>
      <c r="H81" s="291"/>
      <c r="I81" s="736"/>
      <c r="J81" s="745"/>
      <c r="K81" s="746"/>
      <c r="L81" s="291"/>
    </row>
    <row r="82" spans="1:12" ht="15.75" hidden="1">
      <c r="A82" s="279" t="s">
        <v>12579</v>
      </c>
      <c r="B82" s="298" t="s">
        <v>1874</v>
      </c>
      <c r="C82" s="302">
        <f>IF(C28&lt;&gt;"",C28,C30)</f>
        <v>39.415999999999997</v>
      </c>
      <c r="D82" s="311" t="s">
        <v>2820</v>
      </c>
      <c r="E82" s="405" t="s">
        <v>12580</v>
      </c>
      <c r="F82" s="303"/>
      <c r="G82" s="736"/>
      <c r="H82" s="291"/>
      <c r="I82" s="736"/>
      <c r="J82" s="745"/>
      <c r="K82" s="746"/>
      <c r="L82" s="291"/>
    </row>
    <row r="83" spans="1:12" ht="15.75" hidden="1">
      <c r="A83" s="291" t="s">
        <v>12581</v>
      </c>
      <c r="B83" s="292" t="s">
        <v>2982</v>
      </c>
      <c r="C83" s="291">
        <f>C16*(C21+C81)</f>
        <v>1.5</v>
      </c>
      <c r="D83" s="311" t="s">
        <v>2820</v>
      </c>
      <c r="E83" s="302"/>
      <c r="F83" s="292" t="s">
        <v>2983</v>
      </c>
      <c r="G83" s="291">
        <f>C16*C21</f>
        <v>1.5</v>
      </c>
      <c r="H83" s="311" t="s">
        <v>2820</v>
      </c>
      <c r="I83" s="736"/>
      <c r="J83" s="745"/>
      <c r="K83" s="746"/>
      <c r="L83" s="291"/>
    </row>
    <row r="84" spans="1:12" ht="15.75" hidden="1">
      <c r="A84" s="291" t="s">
        <v>12582</v>
      </c>
      <c r="B84" s="292" t="s">
        <v>2985</v>
      </c>
      <c r="C84" s="292">
        <f>C16*(C21+C24-C81)</f>
        <v>1.875</v>
      </c>
      <c r="D84" s="311" t="s">
        <v>2820</v>
      </c>
      <c r="E84" s="302"/>
      <c r="F84" s="292" t="s">
        <v>2986</v>
      </c>
      <c r="G84" s="291">
        <f>C16*(C21+C24)</f>
        <v>1.875</v>
      </c>
      <c r="H84" s="311" t="s">
        <v>2820</v>
      </c>
      <c r="I84" s="736"/>
      <c r="J84" s="745"/>
      <c r="K84" s="746"/>
      <c r="L84" s="291"/>
    </row>
    <row r="85" spans="1:12" ht="15.75" hidden="1">
      <c r="A85" s="291" t="s">
        <v>12583</v>
      </c>
      <c r="B85" s="292" t="s">
        <v>1866</v>
      </c>
      <c r="C85" s="291">
        <f>C83+C84</f>
        <v>3.375</v>
      </c>
      <c r="D85" s="311" t="s">
        <v>2820</v>
      </c>
      <c r="E85" s="302"/>
      <c r="F85" s="292"/>
      <c r="G85" s="321">
        <f>G83+G84</f>
        <v>3.375</v>
      </c>
      <c r="H85" s="311"/>
      <c r="I85" s="736"/>
      <c r="J85" s="745"/>
      <c r="K85" s="746"/>
      <c r="L85" s="291"/>
    </row>
    <row r="86" spans="1:12" ht="15.75" hidden="1">
      <c r="A86" s="291" t="s">
        <v>12584</v>
      </c>
      <c r="B86" s="303" t="s">
        <v>2989</v>
      </c>
      <c r="C86" s="291">
        <f>C72+2*C83</f>
        <v>34.831032408702796</v>
      </c>
      <c r="D86" s="311" t="s">
        <v>2820</v>
      </c>
      <c r="E86" s="302"/>
      <c r="F86" s="385" t="s">
        <v>12585</v>
      </c>
      <c r="G86" s="291">
        <f>G73+G83</f>
        <v>25</v>
      </c>
      <c r="H86" s="311" t="s">
        <v>2820</v>
      </c>
      <c r="I86" s="438"/>
      <c r="J86" s="745"/>
      <c r="K86" s="746"/>
      <c r="L86" s="291"/>
    </row>
    <row r="87" spans="1:12" ht="15.75" hidden="1">
      <c r="A87" s="272" t="s">
        <v>2991</v>
      </c>
      <c r="B87" s="303" t="s">
        <v>2992</v>
      </c>
      <c r="C87" s="291">
        <f>C86-2*C22*C16</f>
        <v>34.831032408702796</v>
      </c>
      <c r="D87" s="311" t="s">
        <v>2820</v>
      </c>
      <c r="E87" s="302"/>
      <c r="F87" s="303"/>
      <c r="G87" s="291"/>
      <c r="H87" s="311"/>
      <c r="I87" s="438"/>
      <c r="J87" s="745"/>
      <c r="K87" s="746"/>
      <c r="L87" s="291"/>
    </row>
    <row r="88" spans="1:12" ht="15.75" hidden="1">
      <c r="A88" s="291" t="s">
        <v>12586</v>
      </c>
      <c r="B88" s="303" t="s">
        <v>2995</v>
      </c>
      <c r="C88" s="291">
        <f>C72-2*C84</f>
        <v>28.0810324087028</v>
      </c>
      <c r="D88" s="311" t="s">
        <v>2820</v>
      </c>
      <c r="E88" s="302"/>
      <c r="F88" s="385" t="s">
        <v>12587</v>
      </c>
      <c r="G88" s="291">
        <f>G73-G84</f>
        <v>21.625</v>
      </c>
      <c r="H88" s="311" t="s">
        <v>2820</v>
      </c>
      <c r="I88" s="438"/>
      <c r="J88" s="745"/>
      <c r="K88" s="746"/>
      <c r="L88" s="291"/>
    </row>
    <row r="89" spans="1:12" ht="15.75" hidden="1">
      <c r="A89" s="309" t="s">
        <v>12588</v>
      </c>
      <c r="B89" s="292" t="s">
        <v>2998</v>
      </c>
      <c r="C89" s="291">
        <f>C71*(PI()/2+2*C80*TAN(C65))</f>
        <v>2.5000034392839798</v>
      </c>
      <c r="D89" s="311" t="s">
        <v>2820</v>
      </c>
      <c r="E89" s="302"/>
      <c r="F89" s="292" t="s">
        <v>2999</v>
      </c>
      <c r="G89" s="291">
        <f>G71*PI()-C89</f>
        <v>2.5000034392839798</v>
      </c>
      <c r="H89" s="311" t="s">
        <v>2820</v>
      </c>
      <c r="I89" s="438"/>
      <c r="J89" s="745"/>
      <c r="K89" s="746"/>
      <c r="L89" s="291"/>
    </row>
    <row r="90" spans="1:12" ht="15.75" hidden="1">
      <c r="A90" s="309" t="s">
        <v>12589</v>
      </c>
      <c r="B90" s="292" t="s">
        <v>3001</v>
      </c>
      <c r="C90" s="291">
        <f>ROUND(0.5*(SQRT(C87^2-C74^2)-SQRT(C72^2-C74^2))+(C20-C81)*C16/SIN(C65),3)</f>
        <v>3.37</v>
      </c>
      <c r="D90" s="311"/>
      <c r="E90" s="302"/>
      <c r="F90" s="292"/>
      <c r="G90" s="291"/>
      <c r="H90" s="311"/>
      <c r="I90" s="438"/>
      <c r="J90" s="745"/>
      <c r="K90" s="746"/>
      <c r="L90" s="291"/>
    </row>
    <row r="91" spans="1:12" hidden="1">
      <c r="A91" s="272" t="s">
        <v>3005</v>
      </c>
      <c r="B91" s="291" t="s">
        <v>4698</v>
      </c>
      <c r="C91" s="291">
        <f>ACOS(C74/C87)</f>
        <v>0.55003285616772901</v>
      </c>
      <c r="D91" s="367">
        <f>TAN(C91)-C91</f>
        <v>6.3117564766648898E-2</v>
      </c>
      <c r="E91" s="302"/>
      <c r="F91" s="291"/>
      <c r="G91" s="291"/>
      <c r="H91" s="367"/>
      <c r="I91" s="404"/>
      <c r="J91" s="745"/>
      <c r="K91" s="746"/>
      <c r="L91" s="291"/>
    </row>
    <row r="92" spans="1:12" ht="15.75" hidden="1">
      <c r="A92" s="309" t="s">
        <v>12590</v>
      </c>
      <c r="B92" s="292" t="s">
        <v>3009</v>
      </c>
      <c r="C92" s="302">
        <f>C89*C86/C72-C86*(D91-E65)</f>
        <v>1.15175024955761</v>
      </c>
      <c r="D92" s="311" t="s">
        <v>2820</v>
      </c>
      <c r="E92" s="737"/>
      <c r="F92" s="292" t="s">
        <v>4182</v>
      </c>
      <c r="G92" s="302">
        <f>G89-2*G83*TAN(C65)</f>
        <v>1.3414486070109199</v>
      </c>
      <c r="H92" s="311" t="s">
        <v>2820</v>
      </c>
      <c r="I92" s="747"/>
      <c r="J92" s="745"/>
      <c r="K92" s="746"/>
      <c r="L92" s="291"/>
    </row>
    <row r="93" spans="1:12" ht="15.75" hidden="1">
      <c r="A93" s="291" t="s">
        <v>12591</v>
      </c>
      <c r="B93" s="292" t="s">
        <v>3012</v>
      </c>
      <c r="C93" s="302">
        <f>C16*(COS(C63)*(PI()*(C94-0.5)+D94*E63)+2*C81*SIN(C63))</f>
        <v>11.5679060051642</v>
      </c>
      <c r="D93" s="311" t="s">
        <v>2820</v>
      </c>
      <c r="E93" s="270">
        <f>C15/COS(C66)^3</f>
        <v>23.890124103707699</v>
      </c>
      <c r="F93" s="292"/>
      <c r="G93" s="302"/>
      <c r="H93" s="311"/>
      <c r="I93" s="404"/>
      <c r="J93" s="745"/>
      <c r="K93" s="748"/>
      <c r="L93" s="291"/>
    </row>
    <row r="94" spans="1:12" ht="15.75" hidden="1" customHeight="1">
      <c r="A94" s="291" t="s">
        <v>12592</v>
      </c>
      <c r="B94" s="292" t="s">
        <v>3015</v>
      </c>
      <c r="C94" s="302">
        <f>ROUND(D94/PI()*ACOS(D94*COS(C63)/(D94+2*C81))+0.5,0)</f>
        <v>3</v>
      </c>
      <c r="D94" s="367">
        <f>C15*E65/E63</f>
        <v>23.676970862453199</v>
      </c>
      <c r="E94" s="270"/>
      <c r="F94" s="292"/>
      <c r="G94" s="302"/>
      <c r="H94" s="367"/>
      <c r="I94" s="404"/>
      <c r="J94" s="745"/>
      <c r="K94" s="748"/>
      <c r="L94" s="291"/>
    </row>
    <row r="95" spans="1:12" ht="15.75" hidden="1" customHeight="1">
      <c r="A95" s="292" t="s">
        <v>12593</v>
      </c>
      <c r="B95" s="292"/>
      <c r="C95" s="302" t="str">
        <f>IF(C19&gt;C93*SIN(C69)+5*COS(C69),"可以测量","不能测量！")</f>
        <v>可以测量</v>
      </c>
      <c r="D95" s="367"/>
      <c r="E95" s="270"/>
      <c r="F95" s="292"/>
      <c r="G95" s="302"/>
      <c r="H95" s="367"/>
      <c r="I95" s="404"/>
      <c r="J95" s="745"/>
      <c r="K95" s="748"/>
      <c r="L95" s="291"/>
    </row>
    <row r="96" spans="1:12" ht="15.75" hidden="1" customHeight="1">
      <c r="A96" s="291" t="s">
        <v>12591</v>
      </c>
      <c r="B96" s="292" t="s">
        <v>3018</v>
      </c>
      <c r="C96" s="302">
        <f>C16*(COS(C63)*(PI()*(C97-0.5)+D94*E63)+2*C81*SIN(C63))</f>
        <v>15.9961031563045</v>
      </c>
      <c r="D96" s="311" t="s">
        <v>2820</v>
      </c>
      <c r="E96" s="270"/>
      <c r="F96" s="292"/>
      <c r="G96" s="302"/>
      <c r="H96" s="367"/>
      <c r="I96" s="404"/>
      <c r="J96" s="745"/>
      <c r="K96" s="748"/>
      <c r="L96" s="291"/>
    </row>
    <row r="97" spans="1:12" ht="15.75" hidden="1" customHeight="1">
      <c r="A97" s="291" t="s">
        <v>12592</v>
      </c>
      <c r="B97" s="292" t="s">
        <v>3020</v>
      </c>
      <c r="C97" s="302">
        <f>C94+1</f>
        <v>4</v>
      </c>
      <c r="D97" s="367"/>
      <c r="E97" s="270"/>
      <c r="F97" s="292"/>
      <c r="G97" s="302"/>
      <c r="H97" s="367"/>
      <c r="I97" s="404"/>
      <c r="J97" s="745"/>
      <c r="K97" s="748"/>
      <c r="L97" s="291"/>
    </row>
    <row r="98" spans="1:12" ht="15.75" hidden="1" customHeight="1">
      <c r="A98" s="292" t="s">
        <v>12594</v>
      </c>
      <c r="B98" s="292"/>
      <c r="C98" s="302" t="str">
        <f>IF(C19&gt;C96*SIN(C69)+5*COS(C69),"可以测量","不能测量！")</f>
        <v>可以测量</v>
      </c>
      <c r="D98" s="367"/>
      <c r="E98" s="270"/>
      <c r="F98" s="292"/>
      <c r="G98" s="302"/>
      <c r="H98" s="367"/>
      <c r="I98" s="404"/>
      <c r="J98" s="745"/>
      <c r="K98" s="748"/>
      <c r="L98" s="291"/>
    </row>
    <row r="99" spans="1:12" ht="15.75" hidden="1">
      <c r="A99" s="279" t="s">
        <v>12595</v>
      </c>
      <c r="B99" s="323" t="s">
        <v>3026</v>
      </c>
      <c r="C99" s="289">
        <f>C16*COS(C63)^2*(PI()/2+2*C81*TAN(C63))</f>
        <v>2.0805720931558702</v>
      </c>
      <c r="D99" s="311" t="s">
        <v>2820</v>
      </c>
      <c r="E99" s="738"/>
      <c r="F99" s="323"/>
      <c r="G99" s="289"/>
      <c r="H99" s="311"/>
      <c r="I99" s="738"/>
      <c r="J99" s="749"/>
      <c r="K99" s="750"/>
      <c r="L99" s="291"/>
    </row>
    <row r="100" spans="1:12" ht="15.75" hidden="1">
      <c r="A100" s="279" t="s">
        <v>12596</v>
      </c>
      <c r="B100" s="323" t="s">
        <v>3029</v>
      </c>
      <c r="C100" s="289">
        <f>C83-C99/2*TAN(C63)</f>
        <v>1.1213668439231701</v>
      </c>
      <c r="D100" s="311" t="s">
        <v>2820</v>
      </c>
      <c r="E100" s="367"/>
      <c r="F100" s="323"/>
      <c r="G100" s="289"/>
      <c r="H100" s="311"/>
      <c r="I100" s="367"/>
      <c r="J100" s="751"/>
      <c r="K100" s="750"/>
      <c r="L100" s="367"/>
    </row>
    <row r="101" spans="1:12" ht="15.75" hidden="1">
      <c r="A101" s="279" t="s">
        <v>12597</v>
      </c>
      <c r="B101" s="323" t="s">
        <v>3032</v>
      </c>
      <c r="C101" s="289">
        <f>C16*E93*SIN(PI()/(2*E93)+2*C81*TAN(C63)/E93)</f>
        <v>2.3544971497819098</v>
      </c>
      <c r="D101" s="311" t="s">
        <v>2820</v>
      </c>
      <c r="E101" s="367"/>
      <c r="F101" s="323" t="s">
        <v>3033</v>
      </c>
      <c r="G101" s="312">
        <f>PI()/2*C16+2*G81*C16*TAN(C63)</f>
        <v>2.35619449019234</v>
      </c>
      <c r="H101" s="311" t="s">
        <v>2820</v>
      </c>
      <c r="I101" s="367"/>
      <c r="J101" s="751"/>
      <c r="K101" s="750"/>
      <c r="L101" s="367"/>
    </row>
    <row r="102" spans="1:12" ht="15.75" hidden="1">
      <c r="A102" s="279" t="s">
        <v>12598</v>
      </c>
      <c r="B102" s="323" t="s">
        <v>3036</v>
      </c>
      <c r="C102" s="289">
        <f>C83+0.5*C16*E93*(1-COS(PI()/(2*E93)+2*C81*TAN(C63)/E93))</f>
        <v>1.5387165053041101</v>
      </c>
      <c r="D102" s="311" t="s">
        <v>2820</v>
      </c>
      <c r="E102" s="367"/>
      <c r="F102" s="323" t="s">
        <v>3037</v>
      </c>
      <c r="G102" s="289">
        <f>G83</f>
        <v>1.5</v>
      </c>
      <c r="H102" s="311" t="s">
        <v>2820</v>
      </c>
      <c r="I102" s="367"/>
      <c r="J102" s="751"/>
      <c r="K102" s="750"/>
      <c r="L102" s="367"/>
    </row>
    <row r="103" spans="1:12" ht="15.75" hidden="1">
      <c r="A103" s="279"/>
      <c r="B103" s="323" t="s">
        <v>2893</v>
      </c>
      <c r="C103" s="289">
        <f>C112*SIN(C115)/COS(C113+C115)*COS(C69)</f>
        <v>2.6294696255827499</v>
      </c>
      <c r="D103" s="311"/>
      <c r="E103" s="367"/>
      <c r="F103" s="323" t="s">
        <v>3046</v>
      </c>
      <c r="G103" s="289">
        <f>(PI()*C16-G101)/COS(C63)</f>
        <v>2.50740980409291</v>
      </c>
      <c r="H103" s="311"/>
      <c r="I103" s="367"/>
      <c r="J103" s="751"/>
      <c r="K103" s="750"/>
      <c r="L103" s="367"/>
    </row>
    <row r="104" spans="1:12" ht="15.75" hidden="1">
      <c r="A104" s="352" t="s">
        <v>3047</v>
      </c>
      <c r="B104" s="323" t="s">
        <v>2896</v>
      </c>
      <c r="C104" s="289">
        <f>C54</f>
        <v>8</v>
      </c>
      <c r="D104" s="311" t="s">
        <v>2820</v>
      </c>
      <c r="E104" s="367"/>
      <c r="F104" s="323" t="s">
        <v>3048</v>
      </c>
      <c r="G104" s="289">
        <f>G54</f>
        <v>8</v>
      </c>
      <c r="H104" s="311" t="s">
        <v>2820</v>
      </c>
      <c r="I104" s="367"/>
      <c r="J104" s="751"/>
      <c r="K104" s="750"/>
      <c r="L104" s="321"/>
    </row>
    <row r="105" spans="1:12" ht="15.75" hidden="1">
      <c r="A105" s="352"/>
      <c r="B105" s="739" t="s">
        <v>12599</v>
      </c>
      <c r="C105" s="289">
        <f>E65+C104/(C16*C15*COS(C63))+2*C81*TAN(C63)/C15-PI()/(2*C15)</f>
        <v>0.22288545611465199</v>
      </c>
      <c r="D105" s="311"/>
      <c r="E105" s="367"/>
      <c r="F105" s="739"/>
      <c r="G105" s="289"/>
      <c r="H105" s="311"/>
      <c r="I105" s="367"/>
      <c r="J105" s="751"/>
      <c r="K105" s="750"/>
      <c r="L105" s="321"/>
    </row>
    <row r="106" spans="1:12" ht="15.75" hidden="1">
      <c r="A106" s="352"/>
      <c r="B106" s="740" t="s">
        <v>4703</v>
      </c>
      <c r="C106" s="298">
        <f>C56</f>
        <v>0.52819922458463897</v>
      </c>
      <c r="D106" s="255" t="s">
        <v>2048</v>
      </c>
      <c r="E106" s="367"/>
      <c r="F106" s="740"/>
      <c r="G106" s="298"/>
      <c r="H106" s="255"/>
      <c r="I106" s="367"/>
      <c r="J106" s="751"/>
      <c r="K106" s="750"/>
      <c r="L106" s="321"/>
    </row>
    <row r="107" spans="1:12" ht="15.75" hidden="1">
      <c r="A107" s="352"/>
      <c r="B107" s="323" t="s">
        <v>3056</v>
      </c>
      <c r="C107" s="289">
        <f>C72/2*COS(C65)/COS(C106)</f>
        <v>17.189510369576599</v>
      </c>
      <c r="D107" s="311"/>
      <c r="E107" s="367"/>
      <c r="F107" s="323"/>
      <c r="G107" s="289"/>
      <c r="H107" s="311"/>
      <c r="I107" s="367"/>
      <c r="J107" s="751"/>
      <c r="K107" s="750"/>
      <c r="L107" s="321"/>
    </row>
    <row r="108" spans="1:12" ht="15.75" hidden="1">
      <c r="A108" s="352"/>
      <c r="B108" s="323"/>
      <c r="C108" s="289">
        <f>2*C107*COS(PI()/(2*C15))+C104</f>
        <v>42.2730416916324</v>
      </c>
      <c r="D108" s="311"/>
      <c r="E108" s="312">
        <f>2*C107+C104</f>
        <v>42.379020739153098</v>
      </c>
      <c r="F108" s="323"/>
      <c r="G108" s="289"/>
      <c r="H108" s="311"/>
      <c r="I108" s="312"/>
      <c r="J108" s="751"/>
      <c r="K108" s="750"/>
      <c r="L108" s="321"/>
    </row>
    <row r="109" spans="1:12" ht="15.75" hidden="1">
      <c r="A109" s="352" t="s">
        <v>3060</v>
      </c>
      <c r="B109" s="323" t="s">
        <v>3061</v>
      </c>
      <c r="C109" s="289">
        <f>IF(ODD(C15)-C15=0,C108,E108)</f>
        <v>42.379020739153098</v>
      </c>
      <c r="D109" s="311" t="s">
        <v>2820</v>
      </c>
      <c r="E109" s="367"/>
      <c r="F109" s="385" t="s">
        <v>12600</v>
      </c>
      <c r="G109" s="289">
        <f>G54/2+G54/2*SIN(C63)+(G54*COS(C63)-(PI()*C16-G101))/(2*TAN(C63))+G73</f>
        <v>35.958422021828902</v>
      </c>
      <c r="H109" s="311" t="s">
        <v>2820</v>
      </c>
      <c r="I109" s="349"/>
      <c r="J109" s="751"/>
      <c r="K109" s="750"/>
      <c r="L109" s="367"/>
    </row>
    <row r="110" spans="1:12" ht="15.75" hidden="1">
      <c r="A110" s="279"/>
      <c r="B110" s="289" t="s">
        <v>3064</v>
      </c>
      <c r="C110" s="312">
        <f>ATAN(TAN(C56)-C104/C74*COS(C69))</f>
        <v>0.31668979210710702</v>
      </c>
      <c r="D110" s="323"/>
      <c r="E110" s="289"/>
      <c r="F110" s="289"/>
      <c r="G110" s="289"/>
      <c r="H110" s="311"/>
      <c r="I110" s="349"/>
      <c r="J110" s="751"/>
      <c r="K110" s="750"/>
      <c r="L110" s="302"/>
    </row>
    <row r="111" spans="1:12" ht="15.75" hidden="1">
      <c r="A111" s="279" t="s">
        <v>12601</v>
      </c>
      <c r="B111" s="298" t="s">
        <v>4196</v>
      </c>
      <c r="C111" s="312">
        <f>C74/COS(C110)</f>
        <v>31.2476078535603</v>
      </c>
      <c r="D111" s="311" t="s">
        <v>2820</v>
      </c>
      <c r="E111" s="385"/>
      <c r="F111" s="385" t="s">
        <v>12602</v>
      </c>
      <c r="G111" s="289">
        <f>(G54*COS(C63)-(PI()*C16-G101))/(2*TAN(C63))+G73</f>
        <v>30.5903414485262</v>
      </c>
      <c r="H111" s="311" t="s">
        <v>2820</v>
      </c>
      <c r="I111" s="744"/>
      <c r="J111" s="751"/>
      <c r="K111" s="750"/>
      <c r="L111" s="302"/>
    </row>
    <row r="112" spans="1:12" ht="15.75" hidden="1">
      <c r="A112" s="279"/>
      <c r="B112" s="298" t="s">
        <v>4198</v>
      </c>
      <c r="C112" s="312">
        <f>C72+2*C81*C16</f>
        <v>31.8310324087028</v>
      </c>
      <c r="D112" s="323"/>
      <c r="E112" s="289"/>
      <c r="F112" s="323"/>
      <c r="G112" s="289"/>
      <c r="H112" s="311"/>
      <c r="I112" s="752"/>
      <c r="J112" s="751"/>
      <c r="K112" s="750"/>
      <c r="L112" s="302"/>
    </row>
    <row r="113" spans="1:12" ht="15.75" hidden="1">
      <c r="A113" s="279"/>
      <c r="B113" s="291" t="s">
        <v>4200</v>
      </c>
      <c r="C113" s="289">
        <f>ACOS(C74/C112)</f>
        <v>0.36854041096353402</v>
      </c>
      <c r="D113" s="350">
        <f>TAN(C113)-C113</f>
        <v>1.7644533127487198E-2</v>
      </c>
      <c r="E113" s="289"/>
      <c r="F113" s="291"/>
      <c r="G113" s="289"/>
      <c r="H113" s="350"/>
      <c r="I113" s="752"/>
      <c r="J113" s="751"/>
      <c r="K113" s="750"/>
      <c r="L113" s="302"/>
    </row>
    <row r="114" spans="1:12" ht="15.75" hidden="1">
      <c r="A114" s="382"/>
      <c r="B114" s="323" t="s">
        <v>4202</v>
      </c>
      <c r="C114" s="289">
        <f>C89*C112/C72-C112*(D113-E65)</f>
        <v>2.5000034392839798</v>
      </c>
      <c r="D114" s="289"/>
      <c r="E114" s="367"/>
      <c r="F114" s="298"/>
      <c r="G114" s="289"/>
      <c r="H114" s="289"/>
      <c r="I114" s="752"/>
      <c r="J114" s="751"/>
      <c r="K114" s="750"/>
      <c r="L114" s="302"/>
    </row>
    <row r="115" spans="1:12" ht="15.75" hidden="1">
      <c r="A115" s="741"/>
      <c r="B115" s="332" t="s">
        <v>4204</v>
      </c>
      <c r="C115" s="338">
        <f>(PI()*C112/C15-C114)/C112</f>
        <v>7.8539816339744897E-2</v>
      </c>
      <c r="D115" s="338"/>
      <c r="E115" s="742"/>
      <c r="F115" s="332"/>
      <c r="G115" s="338"/>
      <c r="H115" s="338"/>
      <c r="I115" s="753"/>
      <c r="J115" s="751"/>
      <c r="K115" s="750"/>
      <c r="L115" s="291"/>
    </row>
    <row r="116" spans="1:12" ht="15.75" hidden="1">
      <c r="A116" s="743" t="s">
        <v>2898</v>
      </c>
      <c r="B116" s="292"/>
      <c r="C116" s="289"/>
      <c r="D116" s="289"/>
      <c r="E116" s="289"/>
      <c r="F116" s="292"/>
      <c r="G116" s="289"/>
      <c r="H116" s="289"/>
      <c r="I116" s="753"/>
      <c r="J116" s="751"/>
      <c r="K116" s="750"/>
      <c r="L116" s="291"/>
    </row>
    <row r="117" spans="1:12" ht="15" hidden="1">
      <c r="A117" s="312" t="s">
        <v>3067</v>
      </c>
      <c r="B117" s="291" t="s">
        <v>3068</v>
      </c>
      <c r="C117" s="289">
        <f>ROUND(1/(2*PI())*(C15*(TAN(C91)-TAN(C65))+2*C21/(SIN(C65)*COS(C65))),3)</f>
        <v>1.67</v>
      </c>
      <c r="D117" s="289"/>
      <c r="E117" s="289"/>
      <c r="F117" s="291"/>
      <c r="G117" s="289"/>
      <c r="H117" s="289"/>
      <c r="I117" s="753"/>
      <c r="J117" s="751"/>
      <c r="K117" s="750"/>
      <c r="L117" s="291"/>
    </row>
    <row r="118" spans="1:12" ht="15" hidden="1">
      <c r="A118" s="312" t="s">
        <v>3070</v>
      </c>
      <c r="B118" s="291" t="s">
        <v>3071</v>
      </c>
      <c r="C118" s="289">
        <f>ROUND(C19*SIN(C66)/(PI()*C16),3)</f>
        <v>1.5609999999999999</v>
      </c>
      <c r="D118" s="289"/>
      <c r="E118" s="289"/>
      <c r="F118" s="291"/>
      <c r="G118" s="289"/>
      <c r="H118" s="289"/>
      <c r="I118" s="753"/>
      <c r="J118" s="751"/>
      <c r="K118" s="750"/>
      <c r="L118" s="291"/>
    </row>
    <row r="119" spans="1:12" ht="15" hidden="1">
      <c r="A119" s="275" t="s">
        <v>3073</v>
      </c>
      <c r="B119" s="332" t="s">
        <v>2449</v>
      </c>
      <c r="C119" s="338">
        <f>ROUND(C117+C118,3)</f>
        <v>3.2309999999999999</v>
      </c>
      <c r="D119" s="475"/>
      <c r="E119" s="338"/>
      <c r="F119" s="332"/>
      <c r="G119" s="338"/>
      <c r="H119" s="338"/>
      <c r="I119" s="753"/>
      <c r="J119" s="751"/>
      <c r="K119" s="750"/>
      <c r="L119" s="291"/>
    </row>
    <row r="120" spans="1:12" ht="15" hidden="1">
      <c r="A120" s="312" t="s">
        <v>4208</v>
      </c>
      <c r="B120" s="297"/>
      <c r="C120" s="289">
        <f>ROUND(C92*COS(C70)/C16,2)</f>
        <v>0.72</v>
      </c>
      <c r="D120" s="294" t="str">
        <f>IF(C120&lt;0.4,"齿顶变尖 ！","齿顶未变尖")</f>
        <v>齿顶未变尖</v>
      </c>
      <c r="E120" s="289"/>
      <c r="F120" s="297"/>
      <c r="G120" s="289">
        <f>ROUND(G92*COS(C70)/C16,2)</f>
        <v>0.83</v>
      </c>
      <c r="H120" s="294" t="str">
        <f>IF(G120&lt;0.4,"齿顶变尖 ！","齿顶未变尖")</f>
        <v>齿顶未变尖</v>
      </c>
      <c r="I120" s="753"/>
      <c r="J120" s="751"/>
      <c r="K120" s="750"/>
      <c r="L120" s="291"/>
    </row>
    <row r="121" spans="1:12" ht="15" hidden="1">
      <c r="A121" s="339" t="s">
        <v>3083</v>
      </c>
      <c r="B121" s="382" t="s">
        <v>3084</v>
      </c>
      <c r="C121" s="289">
        <f>INT(2*C21/SIN(C65)^2)</f>
        <v>15</v>
      </c>
      <c r="D121" s="305"/>
      <c r="E121" s="289"/>
      <c r="F121" s="297"/>
      <c r="G121" s="289"/>
      <c r="H121" s="305"/>
      <c r="I121" s="753"/>
      <c r="J121" s="751"/>
      <c r="K121" s="750"/>
      <c r="L121" s="291"/>
    </row>
    <row r="122" spans="1:12" ht="15" hidden="1">
      <c r="A122" s="473" t="s">
        <v>3086</v>
      </c>
      <c r="B122" s="386" t="s">
        <v>3087</v>
      </c>
      <c r="C122" s="338">
        <f>ROUND(C21*(C121-C15)/C121,3)</f>
        <v>-0.33300000000000002</v>
      </c>
      <c r="D122" s="356" t="str">
        <f>IF(C25&gt;=C122,"不根切","根切 ！")</f>
        <v>不根切</v>
      </c>
      <c r="E122" s="338"/>
      <c r="F122" s="386"/>
      <c r="G122" s="338"/>
      <c r="H122" s="356"/>
      <c r="I122" s="753"/>
      <c r="J122" s="751"/>
      <c r="K122" s="750"/>
      <c r="L122" s="291"/>
    </row>
    <row r="123" spans="1:12" ht="15.75" hidden="1">
      <c r="A123" s="743" t="s">
        <v>3088</v>
      </c>
      <c r="B123" s="298"/>
      <c r="C123" s="289"/>
      <c r="D123" s="350"/>
      <c r="E123" s="289"/>
      <c r="F123" s="323"/>
      <c r="G123" s="289"/>
      <c r="H123" s="350"/>
      <c r="I123" s="754"/>
      <c r="J123" s="751"/>
      <c r="K123" s="750"/>
      <c r="L123" s="291"/>
    </row>
    <row r="124" spans="1:12" ht="15.75" hidden="1">
      <c r="A124" s="339" t="s">
        <v>4710</v>
      </c>
      <c r="B124" s="292" t="s">
        <v>4711</v>
      </c>
      <c r="C124" s="289">
        <f>ROUND(0.5*SQRT(C72^2-C74^2)+(C20-C81)*C16/SIN(C65),3)</f>
        <v>5.734</v>
      </c>
      <c r="D124" s="311" t="s">
        <v>2820</v>
      </c>
      <c r="E124" s="289"/>
      <c r="F124" s="292"/>
      <c r="G124" s="289"/>
      <c r="H124" s="311"/>
      <c r="I124" s="753"/>
      <c r="J124" s="751"/>
      <c r="K124" s="750"/>
      <c r="L124" s="291"/>
    </row>
    <row r="125" spans="1:12" ht="15.75" hidden="1">
      <c r="A125" s="339" t="s">
        <v>4712</v>
      </c>
      <c r="B125" s="292" t="s">
        <v>4713</v>
      </c>
      <c r="C125" s="289">
        <f>SQRT((C87/2)^2-(C74/2)^2)</f>
        <v>9.1033557209386995</v>
      </c>
      <c r="D125" s="311" t="s">
        <v>2820</v>
      </c>
      <c r="E125" s="289"/>
      <c r="F125" s="292"/>
      <c r="G125" s="289"/>
      <c r="H125" s="311"/>
      <c r="I125" s="753"/>
      <c r="J125" s="751"/>
      <c r="K125" s="750"/>
      <c r="L125" s="291"/>
    </row>
    <row r="126" spans="1:12" ht="15.75" hidden="1">
      <c r="A126" s="279" t="s">
        <v>12603</v>
      </c>
      <c r="B126" s="291" t="s">
        <v>4715</v>
      </c>
      <c r="C126" s="289">
        <f>DEGREES(C124/(C74/2))</f>
        <v>22.128187275067301</v>
      </c>
      <c r="D126" s="311" t="s">
        <v>257</v>
      </c>
      <c r="E126" s="289">
        <f t="shared" ref="E126:E129" si="2">ROUND(INT(C126)+INT((C126-INT(C126))*60)/100+((C126-INT(C126))*60-INT((C126-INT(C126))*60))*60/10000,4)</f>
        <v>22.074100000000001</v>
      </c>
      <c r="F126" s="311" t="s">
        <v>2938</v>
      </c>
      <c r="G126" s="289"/>
      <c r="H126" s="311"/>
      <c r="I126" s="289"/>
      <c r="J126" s="410"/>
      <c r="K126" s="750"/>
      <c r="L126" s="291"/>
    </row>
    <row r="127" spans="1:12" ht="15.75" hidden="1">
      <c r="A127" s="279" t="s">
        <v>12604</v>
      </c>
      <c r="B127" s="291" t="s">
        <v>4717</v>
      </c>
      <c r="C127" s="289">
        <f>DEGREES(C125/(C74/2))</f>
        <v>35.130931326209698</v>
      </c>
      <c r="D127" s="311" t="s">
        <v>257</v>
      </c>
      <c r="E127" s="289">
        <f t="shared" si="2"/>
        <v>35.075099999999999</v>
      </c>
      <c r="F127" s="311" t="s">
        <v>2938</v>
      </c>
      <c r="G127" s="289"/>
      <c r="H127" s="311"/>
      <c r="I127" s="289"/>
      <c r="J127" s="410"/>
      <c r="K127" s="750"/>
      <c r="L127" s="291"/>
    </row>
    <row r="128" spans="1:12" s="684" customFormat="1" ht="15" hidden="1">
      <c r="A128" s="279" t="s">
        <v>4222</v>
      </c>
      <c r="B128" s="291" t="s">
        <v>4718</v>
      </c>
      <c r="C128" s="289">
        <f>C126+1/3*(C127-C126)</f>
        <v>26.462435292114801</v>
      </c>
      <c r="D128" s="311" t="s">
        <v>257</v>
      </c>
      <c r="E128" s="289">
        <f t="shared" si="2"/>
        <v>26.2745</v>
      </c>
      <c r="F128" s="311" t="s">
        <v>2938</v>
      </c>
      <c r="G128" s="289"/>
      <c r="H128" s="311"/>
      <c r="I128" s="289"/>
      <c r="J128" s="410"/>
      <c r="K128" s="750"/>
      <c r="L128" s="291"/>
    </row>
    <row r="129" spans="1:12" ht="15" hidden="1">
      <c r="A129" s="401"/>
      <c r="B129" s="332" t="s">
        <v>4719</v>
      </c>
      <c r="C129" s="338">
        <f>C126+2/3*(C127-C126)</f>
        <v>30.796683309162201</v>
      </c>
      <c r="D129" s="335" t="s">
        <v>257</v>
      </c>
      <c r="E129" s="338">
        <f t="shared" si="2"/>
        <v>30.474799999999998</v>
      </c>
      <c r="F129" s="335" t="s">
        <v>2938</v>
      </c>
      <c r="G129" s="338"/>
      <c r="H129" s="335"/>
      <c r="I129" s="289"/>
      <c r="J129" s="410"/>
      <c r="K129" s="750"/>
      <c r="L129" s="297"/>
    </row>
    <row r="130" spans="1:12" ht="15.75" hidden="1" customHeight="1">
      <c r="A130" s="743" t="s">
        <v>3187</v>
      </c>
      <c r="B130" s="291"/>
      <c r="C130" s="289"/>
      <c r="D130" s="289"/>
      <c r="E130" s="289"/>
      <c r="F130" s="291"/>
      <c r="G130" s="289"/>
      <c r="H130" s="750"/>
      <c r="I130" s="753"/>
      <c r="J130" s="757"/>
      <c r="K130" s="339"/>
      <c r="L130" s="291"/>
    </row>
    <row r="131" spans="1:12" ht="15.75" hidden="1">
      <c r="A131" s="279" t="s">
        <v>3188</v>
      </c>
      <c r="B131" s="298"/>
      <c r="C131" s="312">
        <f>PI()*C72/2</f>
        <v>50.000068785679602</v>
      </c>
      <c r="D131" s="350"/>
      <c r="E131" s="279" t="s">
        <v>12605</v>
      </c>
      <c r="F131" s="298" t="s">
        <v>1167</v>
      </c>
      <c r="G131" s="289">
        <f>C32</f>
        <v>1000</v>
      </c>
      <c r="H131" s="289"/>
      <c r="I131" s="753"/>
      <c r="J131" s="757"/>
      <c r="K131" s="339"/>
      <c r="L131" s="291"/>
    </row>
    <row r="132" spans="1:12" ht="15.75" hidden="1">
      <c r="A132" s="279" t="s">
        <v>3190</v>
      </c>
      <c r="B132" s="298" t="s">
        <v>3191</v>
      </c>
      <c r="C132" s="312">
        <f>IF(AND(C131&gt;20,C131&lt;=32,C33=3),5,IF(AND(C131&gt;32,C131&lt;=50,C33=3),5.5,IF(AND(C131&gt;50,C131&lt;=80,C33=3),6,IF(AND(C131&gt;80,C131&lt;=160,C33=3),8,IF(AND(C131&gt;160,C131&lt;=315,C33=3),11,IF(AND(C131&gt;315,C131&lt;=630,C33=3),16,IF(AND(C131&gt;630,C131&lt;=1000,C33=3),20,C133)))))))</f>
        <v>50</v>
      </c>
      <c r="D132" s="350"/>
      <c r="E132" s="299"/>
      <c r="F132" s="323" t="s">
        <v>3192</v>
      </c>
      <c r="G132" s="312">
        <f>IF(AND(G131&lt;=32,C33=3),6,IF(AND(G131&gt;32,G131&lt;=50,C33=3),6.5,IF(AND(G131&gt;50,G131&lt;=80,C33=3),7,IF(AND(G131&gt;80,G131&lt;=160,C33=3),10,IF(AND(G131&gt;160,G131&lt;=315,C33=3),13,IF(AND(G131&gt;315,G131&lt;=630,C33=3),18,IF(AND(G131&gt;630,G131&lt;=1000,C33=3),24,G133)))))))</f>
        <v>190</v>
      </c>
      <c r="H132" s="289"/>
      <c r="I132" s="753"/>
      <c r="J132" s="757"/>
      <c r="K132" s="339"/>
      <c r="L132" s="291"/>
    </row>
    <row r="133" spans="1:12" ht="15.75" hidden="1">
      <c r="A133" s="279"/>
      <c r="B133" s="298"/>
      <c r="C133" s="367">
        <f>IF(AND(C131&gt;20,C131&lt;=32,C33=4),8,IF(AND(C131&gt;32,C131&lt;=50,C33=4),9,IF(AND(C131&gt;50,C131&lt;=80,C33=4),10,IF(AND(C131&gt;80,C131&lt;=160,C33=4),12,IF(AND(C131&gt;160,C131&lt;=315,C33=4),18,IF(AND(C131&gt;315,C131&lt;=630,C33=4),25,IF(AND(C131&gt;630,C131&lt;=1000,C33=4),32,C134)))))))</f>
        <v>50</v>
      </c>
      <c r="D133" s="350"/>
      <c r="E133" s="299"/>
      <c r="F133" s="323"/>
      <c r="G133" s="367">
        <f>IF(AND(G131&lt;=32,C33=4),10,IF(AND(G131&gt;32,G131&lt;=50,C33=4),11,IF(AND(G131&gt;50,G131&lt;=80,C33=4),12,IF(AND(G131&gt;80,G131&lt;=160,C33=4),15,IF(AND(G131&gt;160,G131&lt;=315,C33=4),20,IF(AND(G131&gt;315,G131&lt;=630,C33=4),30,IF(AND(G131&gt;630,G131&lt;=1000,C33=4),40,G134)))))))</f>
        <v>190</v>
      </c>
      <c r="H133" s="289"/>
      <c r="I133" s="753"/>
      <c r="J133" s="757"/>
      <c r="K133" s="339"/>
      <c r="L133" s="291"/>
    </row>
    <row r="134" spans="1:12" ht="15.75" hidden="1">
      <c r="A134" s="411"/>
      <c r="B134" s="298"/>
      <c r="C134" s="367">
        <f>IF(AND(C131&gt;20,C131&lt;=32,C33=5),12,IF(AND(C131&gt;32,C131&lt;=50,C33=5),14,IF(AND(C131&gt;50,C131&lt;=80,C33=5),16,IF(AND(C131&gt;80,C131&lt;=160,C33=5),20,IF(AND(C131&gt;160,C131&lt;=315,C33=5),28,IF(AND(C131&gt;315,C131&lt;=630,C33=5),40,IF(AND(C131&gt;630,C131&lt;=1000,C33=5),50,C135)))))))</f>
        <v>50</v>
      </c>
      <c r="D134" s="350"/>
      <c r="E134" s="299"/>
      <c r="F134" s="323"/>
      <c r="G134" s="367">
        <f>IF(AND(G131&lt;=32,C33=5),15,IF(AND(G131&gt;32,G131&lt;=50,C33=5),17,IF(AND(G131&gt;50,G131&lt;=80,C33=5),20,IF(AND(G131&gt;80,G131&lt;=160,C33=5),24,IF(AND(G131&gt;160,G131&lt;=315,C33=5),35,IF(AND(G131&gt;315,G131&lt;=630,C33=5),50,IF(AND(G131&gt;630,G131&lt;=1000,C33=5),60,G135)))))))</f>
        <v>190</v>
      </c>
      <c r="H134" s="289"/>
      <c r="I134" s="753"/>
      <c r="J134" s="757"/>
      <c r="K134" s="339"/>
      <c r="L134" s="291"/>
    </row>
    <row r="135" spans="1:12" ht="15" hidden="1">
      <c r="A135" s="411"/>
      <c r="B135" s="312"/>
      <c r="C135" s="367">
        <f>IF(AND(C131&gt;20,C131&lt;=32,C33=6),20,IF(AND(C131&gt;32,C131&lt;=50,C33=6),22,IF(AND(C131&gt;50,C131&lt;=80,C33=6),25,IF(AND(C131&gt;80,C131&lt;=160,C33=6),32,IF(AND(C131&gt;160,C131&lt;=315,C33=6),45,IF(AND(C131&gt;315,C131&lt;=630,C33=6),63,IF(AND(C131&gt;630,C131&lt;=1000,C33=6),80,C136)))))))</f>
        <v>50</v>
      </c>
      <c r="D135" s="350"/>
      <c r="E135" s="299"/>
      <c r="F135" s="297"/>
      <c r="G135" s="367">
        <f>IF(AND(G131&lt;=32,C33=6),24,IF(AND(G131&gt;32,G131&lt;=50,C33=6),27,IF(AND(G131&gt;50,G131&lt;=80,C33=6),30,IF(AND(G131&gt;80,G131&lt;=160,C33=6),40,IF(AND(G131&gt;160,G131&lt;=315,C33=6),55,IF(AND(G131&gt;315,G131&lt;=630,C33=6),75,IF(AND(G131&gt;630,G131&lt;=1000,C33=6),95,G136)))))))</f>
        <v>190</v>
      </c>
      <c r="H135" s="289"/>
      <c r="I135" s="753"/>
      <c r="J135" s="757"/>
      <c r="K135" s="339"/>
      <c r="L135" s="291"/>
    </row>
    <row r="136" spans="1:12" ht="15" hidden="1">
      <c r="A136" s="411"/>
      <c r="B136" s="312"/>
      <c r="C136" s="367">
        <f>IF(AND(C131&gt;20,C131&lt;=32,C33=7),28,IF(AND(C131&gt;32,C131&lt;=50,C33=7),32,IF(AND(C131&gt;50,C131&lt;=80,C33=7),36,IF(AND(C131&gt;80,C131&lt;=160,C33=7),45,IF(AND(C131&gt;160,C131&lt;=315,C33=7),63,IF(AND(C131&gt;315,C131&lt;=630,C33=7),90,IF(AND(C131&gt;630,C131&lt;=1000,C33=7),112,C137)))))))</f>
        <v>50</v>
      </c>
      <c r="D136" s="350"/>
      <c r="E136" s="299"/>
      <c r="F136" s="297"/>
      <c r="G136" s="367">
        <f>IF(AND(G131&lt;=32,C33=7),35,IF(AND(G131&gt;32,G131&lt;=50,C33=7),40,IF(AND(G131&gt;50,G131&lt;=80,C33=7),45,IF(AND(G131&gt;80,G131&lt;=160,C33=7),55,IF(AND(G131&gt;160,G131&lt;=315,C33=7),75,IF(AND(G131&gt;315,G131&lt;=630,C33=7),110,IF(AND(G131&gt;630,G131&lt;=1000,C33=7),135,G137)))))))</f>
        <v>190</v>
      </c>
      <c r="H136" s="289"/>
      <c r="I136" s="753"/>
      <c r="J136" s="757"/>
      <c r="K136" s="339"/>
      <c r="L136" s="291"/>
    </row>
    <row r="137" spans="1:12" ht="15" hidden="1">
      <c r="A137" s="279"/>
      <c r="B137" s="312"/>
      <c r="C137" s="367">
        <f>IF(AND(C131&gt;20,C131&lt;=32,C33=8),40,IF(AND(C131&gt;32,C131&lt;=50,C33=8),45,IF(AND(C131&gt;50,C131&lt;=80,C33=8),50,IF(AND(C131&gt;80,C131&lt;=160,C33=8),63,IF(AND(C131&gt;160,C131&lt;=315,C33=8),90,IF(AND(C131&gt;315,C131&lt;=630,C33=8),125,IF(AND(C131&gt;630,C131&lt;=1000,C33=8),160,"*")))))))</f>
        <v>50</v>
      </c>
      <c r="D137" s="350"/>
      <c r="E137" s="299"/>
      <c r="F137" s="297"/>
      <c r="G137" s="367">
        <f>IF(AND(G131&lt;=32,C33=8),50,IF(AND(G131&gt;32,G131&lt;=50,C33=8),56,IF(AND(G131&gt;50,G131&lt;=80,C33=8),63,IF(AND(G131&gt;80,G131&lt;=160,C33=8),75,IF(AND(G131&gt;160,G131&lt;=315,C33=8),105,IF(AND(G131&gt;315,G131&lt;=630,C33=8),150,IF(AND(G131&gt;630,G131&lt;=1000,C33=8),190,"*")))))))</f>
        <v>190</v>
      </c>
      <c r="H137" s="289"/>
      <c r="I137" s="753"/>
      <c r="J137" s="757"/>
      <c r="K137" s="339"/>
      <c r="L137" s="291"/>
    </row>
    <row r="138" spans="1:12" ht="15.75" hidden="1">
      <c r="A138" s="352" t="s">
        <v>3193</v>
      </c>
      <c r="B138" s="298" t="s">
        <v>3194</v>
      </c>
      <c r="C138" s="312">
        <f>IF(AND(C72&lt;=125,C16&gt;=1,C16&lt;=3.5,C33=3),6,IF(AND(C72&lt;=125,C16&gt;3.5,C16&lt;=6.3,C33=3),7,IF(AND(C72&lt;=125,C16&gt;6.3,C16&lt;=10,C33=3),8,IF(AND(C72&gt;125,C72&lt;=400,C16&gt;=1,C16&lt;=3.5,C33=3),9,IF(AND(C72&gt;125,C72&lt;=400,C16&gt;3.5,C16&lt;=6.3,C33=3),10,IF(AND(C72&gt;125,C72&lt;=400,C16&gt;6.3,C16&lt;=10,C33=3),11,C139))))))</f>
        <v>45</v>
      </c>
      <c r="D138" s="350"/>
      <c r="E138" s="352" t="s">
        <v>12606</v>
      </c>
      <c r="F138" s="298" t="s">
        <v>3195</v>
      </c>
      <c r="G138" s="312">
        <f>IF(AND(G16&gt;=1,G16&lt;=3.5,G33=3),6,IF(AND(G16&gt;3.5,G16&lt;=6.3,G33=3),8,IF(AND(G16&gt;6.3,G16&lt;=10,G33=3),9,G140)))</f>
        <v>45</v>
      </c>
      <c r="H138" s="289"/>
      <c r="I138" s="753"/>
      <c r="J138" s="757"/>
      <c r="K138" s="339"/>
      <c r="L138" s="291"/>
    </row>
    <row r="139" spans="1:12" ht="15" hidden="1">
      <c r="A139" s="279"/>
      <c r="B139" s="312"/>
      <c r="C139" s="367">
        <f>IF(AND(C72&gt;400,C72&lt;=800,C16&gt;=1,C16&lt;=3.5,C33=3),11,IF(AND(C72&gt;400,C72&lt;=800,C16&gt;3.5,C16&lt;=6.3,C33=3),13,IF(AND(C72&gt;400,C72&lt;=800,C16&gt;6.3,C16&lt;=10,C33=3),14,IF(AND(C72&gt;800,C72&lt;=1600,C16&gt;=1,C16&lt;=3.5,C33=3),13,IF(AND(C72&gt;800,C72&lt;=1600,C16&gt;3.5,C16&lt;=6.3,C33=3),14,IF(AND(C72&gt;800,C72&lt;=1600,C16&gt;6.3,C16&lt;=10,C33=3),16,C140))))))</f>
        <v>45</v>
      </c>
      <c r="D139" s="350"/>
      <c r="E139" s="299"/>
      <c r="F139" s="297"/>
      <c r="G139" s="367"/>
      <c r="H139" s="289"/>
      <c r="I139" s="753"/>
      <c r="J139" s="757"/>
      <c r="K139" s="339"/>
      <c r="L139" s="291"/>
    </row>
    <row r="140" spans="1:12" ht="15" hidden="1">
      <c r="A140" s="279"/>
      <c r="B140" s="312"/>
      <c r="C140" s="367">
        <f>IF(AND(C72&lt;=125,C16&gt;=1,C16&lt;=3.5,C33=4),10,IF(AND(C72&lt;=125,C16&gt;3.5,C16&lt;=6.3,C33=4),11,IF(AND(C72&lt;=125,C16&gt;6.3,C16&lt;=10,C33=4),13,IF(AND(C72&gt;125,C72&lt;=400,C16&gt;=1,C16&lt;=3.5,C33=4),15,IF(AND(C72&gt;125,C72&lt;=400,C16&gt;3.5,C16&lt;=6.3,C33=4),16,IF(AND(C72&gt;125,C72&lt;=400,C16&gt;6.3,C16&lt;=10,C33=4),18,C141))))))</f>
        <v>45</v>
      </c>
      <c r="D140" s="350"/>
      <c r="E140" s="299"/>
      <c r="F140" s="297"/>
      <c r="G140" s="367">
        <f>IF(AND(G16&gt;=1,G16&lt;=3.5,G33=4),7,IF(AND(G16&gt;3.5,G16&lt;=6.3,G33=4),13,IF(AND(G16&gt;6.3,G16&lt;=10,G33=4),15,G142)))</f>
        <v>45</v>
      </c>
      <c r="H140" s="289"/>
      <c r="I140" s="753"/>
      <c r="J140" s="757"/>
      <c r="K140" s="339"/>
      <c r="L140" s="291"/>
    </row>
    <row r="141" spans="1:12" ht="15" hidden="1">
      <c r="A141" s="279"/>
      <c r="B141" s="312"/>
      <c r="C141" s="367">
        <f>IF(AND(C72&gt;400,C72&lt;=800,C16&gt;=1,C16&lt;=3.5,C33=4),18,IF(AND(C72&gt;400,C72&lt;=800,C16&gt;3.5,C16&lt;=6.3,C33=4),20,IF(AND(C72&gt;400,C72&lt;=800,C16&gt;6.3,C16&lt;=10,C33=4),22,IF(AND(C72&gt;800,C72&lt;=1600,C16&gt;=1,C16&lt;=3.5,C33=4),20,IF(AND(C72&gt;800,C72&lt;=1600,C16&gt;3.5,C16&lt;=6.3,C33=4),22,IF(AND(C72&gt;800,C72&lt;=1600,C16&gt;6.3,C16&lt;=10,C33=4),25,C142))))))</f>
        <v>45</v>
      </c>
      <c r="D141" s="350"/>
      <c r="E141" s="299"/>
      <c r="F141" s="297"/>
      <c r="G141" s="367"/>
      <c r="H141" s="289"/>
      <c r="I141" s="753"/>
      <c r="J141" s="757"/>
      <c r="K141" s="339"/>
      <c r="L141" s="291"/>
    </row>
    <row r="142" spans="1:12" ht="15" hidden="1">
      <c r="A142" s="279"/>
      <c r="B142" s="312"/>
      <c r="C142" s="367">
        <f>IF(AND(C72&lt;=125,C16&gt;=1,C16&lt;=3.5,C33=5),16,IF(AND(C72&lt;=125,C16&gt;3.5,C16&lt;=6.3,C33=5),18,IF(AND(C72&lt;=125,C16&gt;6.3,C16&lt;=10,C33=5),20,IF(AND(C72&gt;125,C72&lt;=400,C16&gt;=1,C16&lt;=3.5,C33=5),22,IF(AND(C72&gt;125,C72&lt;=400,C16&gt;3.5,C16&lt;=6.3,C33=5),25,IF(AND(C72&gt;125,C72&lt;=400,C16&gt;6.3,C16&lt;=10,C33=5),28,C143))))))</f>
        <v>45</v>
      </c>
      <c r="D142" s="350"/>
      <c r="E142" s="299"/>
      <c r="F142" s="297"/>
      <c r="G142" s="367">
        <f>IF(AND(G16&gt;=1,G16&lt;=3.5,G33=5),14,IF(AND(G16&gt;3.5,G16&lt;=6.3,G33=5),21,IF(AND(G16&gt;6.3,G16&lt;=10,G33=5),24,G144)))</f>
        <v>45</v>
      </c>
      <c r="H142" s="289"/>
      <c r="I142" s="753"/>
      <c r="J142" s="757"/>
      <c r="K142" s="339"/>
      <c r="L142" s="291"/>
    </row>
    <row r="143" spans="1:12" ht="15" hidden="1">
      <c r="A143" s="279"/>
      <c r="B143" s="312"/>
      <c r="C143" s="367">
        <f>IF(AND(C72&gt;400,C72&lt;=800,C16&gt;=1,C16&lt;=3.5,C33=5),28,IF(AND(C72&gt;400,C72&lt;=800,C16&gt;3.5,C16&lt;=6.3,C33=5),32,IF(AND(C72&gt;400,C72&lt;=800,C16&gt;6.3,C16&lt;=10,C33=5),36,IF(AND(C72&gt;800,C72&lt;=1600,C16&gt;=1,C16&lt;=3.5,C33=5),32,IF(AND(C72&gt;800,C72&lt;=1600,C16&gt;3.5,C16&lt;=6.3,C33=5),36,IF(AND(C72&gt;800,C72&lt;=1600,C16&gt;6.5,C16&lt;=10,C33=5),40,C144))))))</f>
        <v>45</v>
      </c>
      <c r="D143" s="350"/>
      <c r="E143" s="299"/>
      <c r="F143" s="297"/>
      <c r="G143" s="367"/>
      <c r="H143" s="289"/>
      <c r="I143" s="753"/>
      <c r="J143" s="757"/>
      <c r="K143" s="339"/>
      <c r="L143" s="291"/>
    </row>
    <row r="144" spans="1:12" ht="15" hidden="1">
      <c r="A144" s="279"/>
      <c r="B144" s="312"/>
      <c r="C144" s="367">
        <f>IF(AND(C72&lt;=125,C16&gt;=1,C16&lt;=3.5,C33=6),25,IF(AND(C72&lt;=125,C16&gt;3.5,C16&lt;=6.3,C33=6),28,IF(AND(C72&lt;=125,C16&gt;6.3,C16&lt;=10,C33=6),32,IF(AND(C72&gt;125,C72&lt;=400,C16&gt;=1,C16&lt;=3.5,C33=6),36,IF(AND(C72&gt;125,C72&lt;=400,C16&gt;3.5,C16&lt;=6.3,C33=6),40,IF(AND(C72&gt;125,C72&lt;=400,C16&gt;6.3,C16&lt;=10,C33=6),45,C145))))))</f>
        <v>45</v>
      </c>
      <c r="D144" s="350"/>
      <c r="E144" s="299"/>
      <c r="F144" s="297"/>
      <c r="G144" s="367">
        <f>IF(AND(G16&gt;=1,G16&lt;=3.5,G33=6),24,IF(AND(G16&gt;3.5,G16&lt;=6.3,G33=6),34,IF(AND(G16&gt;6.3,G16&lt;=10,G33=6),38,G146)))</f>
        <v>45</v>
      </c>
      <c r="H144" s="289"/>
      <c r="I144" s="753"/>
      <c r="J144" s="757"/>
      <c r="K144" s="339"/>
      <c r="L144" s="291"/>
    </row>
    <row r="145" spans="1:12" ht="15" hidden="1">
      <c r="A145" s="279"/>
      <c r="B145" s="312"/>
      <c r="C145" s="367">
        <f>IF(AND(C72&gt;400,C72&lt;=800,C16&gt;=1,C16&lt;=3.5,C33=6),45,IF(AND(C72&gt;400,C72&lt;=800,C16&gt;3.5,C16&lt;=6.3,C33=6),50,IF(AND(C72&gt;400,C72&lt;=800,C16&gt;6.3,C16&lt;=10,C33=6),56,IF(AND(C72&gt;800,C72&lt;=1600,C16&gt;=1,C16&lt;=3.5,C33=6),50,IF(AND(C72&gt;800,C72&lt;=1600,C16&gt;3.5,C16&lt;=6.3,C33=6),56,IF(AND(C72&gt;800,C72&lt;=1600,C16&gt;6.3,C16&lt;=10,C33=6),63,C146))))))</f>
        <v>45</v>
      </c>
      <c r="D145" s="350"/>
      <c r="E145" s="299"/>
      <c r="F145" s="297"/>
      <c r="G145" s="367"/>
      <c r="H145" s="289"/>
      <c r="I145" s="753"/>
      <c r="J145" s="757"/>
      <c r="K145" s="339"/>
      <c r="L145" s="291"/>
    </row>
    <row r="146" spans="1:12" ht="15" hidden="1">
      <c r="A146" s="279"/>
      <c r="B146" s="312"/>
      <c r="C146" s="367">
        <f>IF(AND(C72&lt;=125,C16&gt;=1,C16&lt;=3.5,C33=7),36,IF(AND(C72&lt;=125,C16&gt;3.5,C16&lt;=6.3,C33=7),40,IF(AND(C72&lt;=125,C16&gt;6.3,C16&lt;=10,C33=7),45,IF(AND(C72&gt;125,C72&lt;=400,C16&gt;=1,C16&lt;=3.5,C33=7),50,IF(AND(C72&gt;125,C72&lt;=400,C16&gt;3.5,C16&lt;=6.3,C33=7),56,IF(AND(C72&gt;125,C72&lt;=400,C16&gt;6.3,C16&lt;=10,C33=7),63,C147))))))</f>
        <v>45</v>
      </c>
      <c r="D146" s="350"/>
      <c r="E146" s="299"/>
      <c r="F146" s="297"/>
      <c r="G146" s="367">
        <f>IF(AND(G16&gt;=1,G16&lt;=3.5,G33=7),32,IF(AND(G16&gt;3.5,G16&lt;=6.3,G33=7),45,IF(AND(G16&gt;6.3,G16&lt;=10,G33=7),55,G148)))</f>
        <v>45</v>
      </c>
      <c r="H146" s="289"/>
      <c r="I146" s="753"/>
      <c r="J146" s="757"/>
      <c r="K146" s="339"/>
      <c r="L146" s="291"/>
    </row>
    <row r="147" spans="1:12" ht="15" hidden="1">
      <c r="A147" s="279"/>
      <c r="B147" s="312"/>
      <c r="C147" s="367">
        <f>IF(AND(C72&gt;400,C72&lt;=800,C16&gt;=1,C16&lt;=3.5,C33=7),63,IF(AND(C72&gt;400,C72&lt;=800,C16&gt;3.5,C16&lt;=6.3,C33=7),71,IF(AND(C72&gt;400,C72&lt;=800,C16&gt;6.3,C16&lt;=10,C33=7),80,IF(AND(C72&gt;800,C72&lt;=1600,C16&gt;=1,C16&lt;=3.5,C33=7),71,IF(AND(C72&gt;800,C72&lt;=1600,C16&gt;3.5,C16&lt;=6.3,C33=7),80,IF(AND(C72&gt;800,C72&lt;=1600,C16&gt;6.3,C16&lt;=10,C33=7),90,C148))))))</f>
        <v>45</v>
      </c>
      <c r="D147" s="350"/>
      <c r="E147" s="299"/>
      <c r="F147" s="297"/>
      <c r="G147" s="367"/>
      <c r="H147" s="289"/>
      <c r="I147" s="753"/>
      <c r="J147" s="757"/>
      <c r="K147" s="339"/>
      <c r="L147" s="291"/>
    </row>
    <row r="148" spans="1:12" ht="15" hidden="1">
      <c r="A148" s="279"/>
      <c r="B148" s="312"/>
      <c r="C148" s="367">
        <f>IF(AND(C72&lt;=125,C16&gt;=1,C16&lt;=3.5,C33=8),45,IF(AND(C72&lt;=125,C16&gt;3.5,C16&lt;=6.3,C33=8),50,IF(AND(C72&lt;=125,C16&gt;6.3,C16&lt;=10,C33=8),56,IF(AND(C72&gt;125,C72&lt;=400,C16&gt;=1,C16&lt;=3.5,C33=8),63,IF(AND(C72&gt;125,C72&lt;=400,C16&gt;3.5,C16&lt;=6.3,C33=8),71,IF(AND(C72&gt;125,C72&lt;=400,C16&gt;6.3,C16&lt;=10,C33=8),80,C149))))))</f>
        <v>45</v>
      </c>
      <c r="D148" s="350"/>
      <c r="E148" s="299"/>
      <c r="F148" s="297"/>
      <c r="G148" s="367">
        <f>IF(AND(G16&gt;=1,G16&lt;=3.5,G33=8),45,IF(AND(G16&gt;3.5,G16&lt;=6.3,G33=8),65,IF(AND(G16&gt;6.3,G16&lt;=10,G33=8),75,"*")))</f>
        <v>45</v>
      </c>
      <c r="H148" s="289"/>
      <c r="I148" s="753"/>
      <c r="J148" s="757"/>
      <c r="K148" s="339"/>
      <c r="L148" s="291"/>
    </row>
    <row r="149" spans="1:12" ht="15" hidden="1">
      <c r="A149" s="279"/>
      <c r="B149" s="312"/>
      <c r="C149" s="367" t="str">
        <f>IF(AND(C72&gt;400,C72&lt;=800,C16&gt;=1,C16&lt;=3.5,C33=8),80,IF(AND(C72&gt;400,C72&lt;=800,C16&gt;3.5,C16&lt;=6.3,C33=8),90,IF(AND(C72&gt;400,C72&lt;=800,C16&gt;6.3,C16&lt;=10,C33=8),100,IF(AND(C72&gt;800,C72&lt;=1600,C16&gt;=1,C16&lt;=3.5,C33=8),90,IF(AND(C72&gt;800,C72&lt;=1600,C16&gt;3.5,C16&lt;=6.3,C33=8),100,IF(AND(C72&gt;800,C72&lt;=1600,C16&gt;6.3,C16&lt;=10,C33=8),112,"*"))))))</f>
        <v>*</v>
      </c>
      <c r="D149" s="350"/>
      <c r="E149" s="299"/>
      <c r="F149" s="297"/>
      <c r="G149" s="367"/>
      <c r="H149" s="289"/>
      <c r="I149" s="753"/>
      <c r="J149" s="757"/>
      <c r="K149" s="339"/>
      <c r="L149" s="291"/>
    </row>
    <row r="150" spans="1:12" ht="15.75" hidden="1">
      <c r="A150" s="382" t="s">
        <v>3196</v>
      </c>
      <c r="B150" s="298" t="s">
        <v>3197</v>
      </c>
      <c r="C150" s="312">
        <f>IF(AND(C72&lt;=125,C33=3),5,IF(AND(C72&lt;=125,C33=4),8,IF(AND(C72&lt;=125,C33=5),12,IF(AND(C72&lt;=125,C33=6),20,IF(AND(C72&lt;=125,C33=7),28,IF(AND(C72&lt;=125,C33=8),40,C151))))))</f>
        <v>40</v>
      </c>
      <c r="D150" s="350"/>
      <c r="E150" s="299"/>
      <c r="F150" s="323"/>
      <c r="G150" s="312"/>
      <c r="H150" s="289"/>
      <c r="I150" s="753"/>
      <c r="J150" s="757"/>
      <c r="K150" s="339"/>
      <c r="L150" s="291"/>
    </row>
    <row r="151" spans="1:12" ht="15" hidden="1">
      <c r="A151" s="279"/>
      <c r="B151" s="312"/>
      <c r="C151" s="367" t="str">
        <f>IF(AND(C72&gt;125,C72&lt;=400,C33=3),6.5,IF(AND(C72&gt;125,C72&lt;=400,C33=4),10,IF(AND(C72&gt;125,C72&lt;=400,C33=5),16,IF(AND(C72&gt;125,C72&lt;=400,C33=6),25,IF(AND(C72&gt;125,C72&lt;=400,C33=7),36,IF(AND(C72&gt;125,C72&lt;=400,C33=8),50,C152))))))</f>
        <v>*</v>
      </c>
      <c r="D151" s="350"/>
      <c r="E151" s="299"/>
      <c r="F151" s="297"/>
      <c r="G151" s="367"/>
      <c r="H151" s="289"/>
      <c r="I151" s="753"/>
      <c r="J151" s="757"/>
      <c r="K151" s="339"/>
      <c r="L151" s="291"/>
    </row>
    <row r="152" spans="1:12" ht="15" hidden="1">
      <c r="A152" s="279"/>
      <c r="B152" s="312"/>
      <c r="C152" s="367" t="str">
        <f>IF(AND(C72&gt;400,C72&lt;=800,C33=3),8,IF(AND(C72&gt;400,C72&lt;=800,C33=4),12,IF(AND(C72&gt;400,C72&lt;=800,C33=5),20,IF(AND(C72&gt;400,C72&lt;=800,C33=6),32,IF(AND(C72&gt;400,C72&lt;=800,C33=7),45,IF(AND(C72&gt;400,C72&lt;=800,C33=8),63,C153))))))</f>
        <v>*</v>
      </c>
      <c r="D152" s="350"/>
      <c r="E152" s="299"/>
      <c r="F152" s="297"/>
      <c r="G152" s="367"/>
      <c r="H152" s="289"/>
      <c r="I152" s="753"/>
      <c r="J152" s="757"/>
      <c r="K152" s="339"/>
      <c r="L152" s="291"/>
    </row>
    <row r="153" spans="1:12" ht="15" hidden="1">
      <c r="A153" s="279"/>
      <c r="B153" s="312"/>
      <c r="C153" s="367" t="str">
        <f>IF(AND(C72&gt;800,C72&lt;=1600,C33=3),10,IF(AND(C72&gt;800,C72&lt;=1600,C33=4),16,IF(AND(C72&gt;800,C72&lt;=1600,C33=5),25,IF(AND(C72&gt;800,C72&lt;=1600,C33=6),40,IF(AND(C72&gt;800,C72&lt;=1600,C33=7),56,IF(AND(C72&gt;800,C72&lt;=1600,C33=8),80,"*"))))))</f>
        <v>*</v>
      </c>
      <c r="D153" s="350"/>
      <c r="E153" s="299"/>
      <c r="F153" s="297"/>
      <c r="G153" s="367"/>
      <c r="H153" s="289"/>
      <c r="I153" s="753"/>
      <c r="J153" s="757"/>
      <c r="K153" s="339"/>
      <c r="L153" s="291"/>
    </row>
    <row r="154" spans="1:12" ht="15.75" hidden="1">
      <c r="A154" s="279" t="s">
        <v>3199</v>
      </c>
      <c r="B154" s="323" t="s">
        <v>12607</v>
      </c>
      <c r="C154" s="312">
        <f>IF(AND(C72&lt;=125,C16&gt;=1,C16&lt;=3.5,C34=3),2.5,IF(AND(C72&lt;=125,C16&gt;3.5,C16&lt;=6.3,C34=3),3.2,IF(AND(C72&lt;=125,C16&gt;6.3,C16&lt;=10,C34=3),3.6,IF(AND(C72&gt;125,C72&lt;=400,C16&gt;=1,C16&lt;=3.5,C34=3),2.8,IF(AND(C72&gt;125,C72&lt;=400,C16&gt;3.5,C16&lt;=6.3,C34=3),3.6,IF(AND(C72&gt;125,C72&lt;=400,C16&gt;6.3,C16&lt;=10,C34=3),4,C155))))))</f>
        <v>14</v>
      </c>
      <c r="D154" s="350"/>
      <c r="E154" s="312"/>
      <c r="F154" s="323" t="s">
        <v>3201</v>
      </c>
      <c r="G154" s="312">
        <f>IF(AND(G16&gt;=1,G16&lt;=3.5,G33=3),2.5,IF(AND(G16&gt;3.5,G16&lt;=6.3,G33=3),3.6,IF(AND(G16&gt;6.3,G16&lt;=10,G33=3),4,G156)))</f>
        <v>20</v>
      </c>
      <c r="H154" s="289"/>
      <c r="I154" s="753"/>
      <c r="J154" s="757"/>
      <c r="K154" s="339"/>
      <c r="L154" s="291"/>
    </row>
    <row r="155" spans="1:12" ht="15.75" hidden="1">
      <c r="A155" s="279"/>
      <c r="B155" s="323"/>
      <c r="C155" s="367">
        <f>IF(AND(C72&gt;400,C72&lt;=800,C16&gt;=1,C16&lt;=3.5,C34=3),3.2,IF(AND(C72&gt;400,C72&lt;=800,C16&gt;3.5,C16&lt;=6.3,C34=3),3.6,IF(AND(C72&gt;400,C72&lt;=800,C16&gt;6.3,C16&lt;=10,C34=3),4.5,IF(AND(C72&gt;800,C72&lt;=1600,C16&gt;=1,C16&lt;=3.5,C34=3),3.6,IF(AND(C72&gt;800,C72&lt;=1600,C16&gt;3.5,C16&lt;=6.3,C34=3),4,IF(AND(C72&gt;800,C72&lt;=1600,C16&gt;6.3,C16&lt;=10,C34=3),4.5,C156))))))</f>
        <v>14</v>
      </c>
      <c r="D155" s="755"/>
      <c r="E155" s="367"/>
      <c r="F155" s="756"/>
      <c r="G155" s="367"/>
      <c r="H155" s="289"/>
      <c r="I155" s="753"/>
      <c r="J155" s="757"/>
      <c r="K155" s="339"/>
      <c r="L155" s="291"/>
    </row>
    <row r="156" spans="1:12" ht="15.75" hidden="1">
      <c r="A156" s="279"/>
      <c r="B156" s="323"/>
      <c r="C156" s="367">
        <f>IF(AND(C72&lt;=125,C16&gt;=1,C16&lt;=3.5,C34=4),4,IF(AND(C72&lt;=125,C16&gt;3.5,C16&lt;=6.3,C34=4),5,IF(AND(C72&lt;=125,C16&gt;6.3,C16&lt;=10,C34=4),5.5,IF(AND(C72&gt;125,C72&lt;=400,C16&gt;=1,C16&lt;=3.5,C34=4),4.5,IF(AND(C72&gt;125,C72&lt;=400,C16&gt;3.5,C16&lt;=6.3,C34=4),5.5,IF(AND(C72&gt;125,C72&lt;=400,C16&gt;6.3,C16&lt;=10,C34=4),6,C157))))))</f>
        <v>14</v>
      </c>
      <c r="D156" s="755"/>
      <c r="E156" s="367"/>
      <c r="F156" s="756"/>
      <c r="G156" s="367">
        <f>IF(AND(G16&gt;=1,G16&lt;=3.5,G33=4),4,IF(AND(G16&gt;3.5,G16&lt;=6.3,G33=4),5.5,IF(AND(G16&gt;6.3,G16&lt;=10,G33=4),6,G158)))</f>
        <v>20</v>
      </c>
      <c r="H156" s="289"/>
      <c r="I156" s="753"/>
      <c r="J156" s="757"/>
      <c r="K156" s="339"/>
      <c r="L156" s="291"/>
    </row>
    <row r="157" spans="1:12" ht="15.75" hidden="1">
      <c r="A157" s="279"/>
      <c r="B157" s="323"/>
      <c r="C157" s="367">
        <f>IF(AND(C72&gt;400,C72&lt;=800,C16&gt;=1,C16&lt;=3.5,C34=4),5,IF(AND(C72&gt;400,C72&lt;=800,C16&gt;3.5,C16&lt;=6.3,C34=4),5.5,IF(AND(C72&gt;400,C72&lt;=800,C16&gt;6.3,C16&lt;=10,C34=4),7,IF(AND(C72&gt;800,C72&lt;=1600,C16&gt;=1,C16&lt;=3.5,C34=4),5.5,IF(AND(C72&gt;800,C72&lt;=1600,C16&gt;3.5,C16&lt;=6.3,C34=4),6,IF(AND(C72&gt;800,C72&lt;=1600,C16&gt;6.3,C16&lt;=10,C34=4),7,C158))))))</f>
        <v>14</v>
      </c>
      <c r="D157" s="755"/>
      <c r="E157" s="367"/>
      <c r="F157" s="756"/>
      <c r="G157" s="367"/>
      <c r="H157" s="289"/>
      <c r="I157" s="753"/>
      <c r="J157" s="757"/>
      <c r="K157" s="339"/>
      <c r="L157" s="291"/>
    </row>
    <row r="158" spans="1:12" ht="15" hidden="1">
      <c r="A158" s="279"/>
      <c r="B158" s="312"/>
      <c r="C158" s="367">
        <f>IF(AND(C72&lt;=125,C16&gt;=1,C16&lt;=3.5,C34=5),6,IF(AND(C72&lt;=125,C16&gt;3.5,C16&lt;=6.3,C34=5),8,IF(AND(C72&lt;=125,C16&gt;6.3,C16&lt;=10,C34=5),9,IF(AND(C72&gt;125,C72&lt;=400,C16&gt;=1,C16&lt;=3.5,C34=5),7,IF(AND(C72&gt;125,C72&lt;=400,C16&gt;3.5,C16&lt;=6.3,C34=5),9,IF(AND(C72&gt;125,C72&lt;=400,C16&gt;6.3,C16&lt;=10,C34=5),10,C159))))))</f>
        <v>14</v>
      </c>
      <c r="D158" s="350"/>
      <c r="E158" s="299"/>
      <c r="F158" s="297"/>
      <c r="G158" s="367">
        <f>IF(AND(G16&gt;=1,G16&lt;=3.5,G33=5),6,IF(AND(G16&gt;3.5,G16&lt;=6.3,G33=5),9,IF(AND(G16&gt;6.3,G16&lt;=10,G33=5),10,G160)))</f>
        <v>20</v>
      </c>
      <c r="H158" s="289"/>
      <c r="I158" s="753"/>
      <c r="J158" s="757"/>
      <c r="K158" s="339"/>
      <c r="L158" s="291"/>
    </row>
    <row r="159" spans="1:12" ht="15.75" hidden="1">
      <c r="A159" s="279"/>
      <c r="B159" s="323"/>
      <c r="C159" s="367">
        <f>IF(AND(C72&gt;400,C72&lt;=800,C16&gt;=1,C16&lt;=3.5,C34=5),8,IF(AND(C72&gt;400,C72&lt;=800,C16&gt;3.5,C16&lt;=6.3,C34=5),9,IF(AND(C72&gt;400,C72&lt;=800,C16&gt;6.3,C16&lt;=10,C34=5),11,IF(AND(C72&gt;800,C72&lt;=1600,C16&gt;=1,C16&lt;=3.5,C34=5),9,IF(AND(C72&gt;800,C72&lt;=1600,C16&gt;3.5,C16&lt;=6.3,C34=5),10,IF(AND(C72&gt;800,C72&lt;=1600,C16&gt;6.3,C16&lt;=10,C34=5),11,C160))))))</f>
        <v>14</v>
      </c>
      <c r="D159" s="350"/>
      <c r="E159" s="299"/>
      <c r="F159" s="323"/>
      <c r="G159" s="367"/>
      <c r="H159" s="289"/>
      <c r="I159" s="753"/>
      <c r="J159" s="757"/>
      <c r="K159" s="339"/>
      <c r="L159" s="291"/>
    </row>
    <row r="160" spans="1:12" ht="15.75" hidden="1">
      <c r="A160" s="279"/>
      <c r="B160" s="323"/>
      <c r="C160" s="367">
        <f>IF(AND(C72&lt;=125,C16&gt;=1,C16&lt;=3.5,C34=6),10,IF(AND(C72&lt;=125,C16&gt;3.5,C16&lt;=6.3,C34=6),13,IF(AND(C72&lt;=125,C16&gt;6.3,C16&lt;=10,C34=6),14,IF(AND(C72&gt;125,C72&lt;=400,C16&gt;=1,C16&lt;=3.5,C34=6),11,IF(AND(C72&gt;125,C72&lt;=400,C16&gt;3.5,C16&lt;=6.3,C34=6),14,IF(AND(C72&gt;125,C72&lt;=400,C16&gt;6.3,C16&lt;=10,C34=6),16,C161))))))</f>
        <v>14</v>
      </c>
      <c r="D160" s="350"/>
      <c r="E160" s="299"/>
      <c r="F160" s="323"/>
      <c r="G160" s="367">
        <f>IF(AND(G16&gt;=1,G16&lt;=3.5,G33=6),10,IF(AND(G16&gt;3.5,G16&lt;=6.3,G33=6),14,IF(AND(G16&gt;6.3,G16&lt;=10,G33=6),16,G162)))</f>
        <v>20</v>
      </c>
      <c r="H160" s="289"/>
      <c r="I160" s="753"/>
      <c r="J160" s="757"/>
      <c r="K160" s="339"/>
      <c r="L160" s="291"/>
    </row>
    <row r="161" spans="1:12" ht="15.75" hidden="1">
      <c r="A161" s="279"/>
      <c r="B161" s="323"/>
      <c r="C161" s="367">
        <f>IF(AND(C72&gt;400,C72&lt;=800,C16&gt;=1,C16&lt;=3.5,C34=6),13,IF(AND(C72&gt;400,C72&lt;=800,C16&gt;3.5,C16&lt;=6.3,C34=6),14,IF(AND(C72&gt;400,C72&lt;=800,C16&gt;6.3,C16&lt;=10,C34=6),18,IF(AND(C72&gt;800,C72&lt;=1600,C16&gt;=1,C16&lt;=3.5,C34=6),14,IF(AND(C72&gt;800,C72&lt;=1600,C16&gt;3.5,C16&lt;=6.3,C34=6),16,IF(AND(C72&gt;800,C72&lt;=1600,C16&gt;6.3,C16&lt;=10,C34=6),18,C162))))))</f>
        <v>14</v>
      </c>
      <c r="D161" s="350"/>
      <c r="E161" s="299"/>
      <c r="F161" s="323"/>
      <c r="G161" s="367"/>
      <c r="H161" s="289"/>
      <c r="I161" s="753"/>
      <c r="J161" s="757"/>
      <c r="K161" s="339"/>
      <c r="L161" s="291"/>
    </row>
    <row r="162" spans="1:12" ht="15.75" hidden="1">
      <c r="A162" s="279"/>
      <c r="B162" s="323"/>
      <c r="C162" s="367">
        <f>IF(AND(C72&lt;=125,C16&gt;=1,C16&lt;=3.5,C34=7),14,IF(AND(C72&lt;=125,C16&gt;3.5,C16&lt;=6.3,C34=7),18,IF(AND(C72&lt;=125,C16&gt;6.3,C16&lt;=10,C34=7),20,IF(AND(C72&gt;125,C72&lt;=400,C16&gt;=1,C16&lt;=3.5,C34=7),16,IF(AND(C72&gt;125,C72&lt;=400,C16&gt;3.5,C16&lt;=6.3,C34=7),20,IF(AND(C72&gt;125,C72&lt;=400,C16&gt;6.3,C16&lt;=10,C34=7),22,C163))))))</f>
        <v>14</v>
      </c>
      <c r="D162" s="350"/>
      <c r="E162" s="299"/>
      <c r="F162" s="323"/>
      <c r="G162" s="367">
        <f>IF(AND(G16&gt;=1,G16&lt;=3.5,G33=7),14,IF(AND(G16&gt;3.5,G16&lt;=6.3,G33=7),20,IF(AND(G16&gt;6.3,G16&lt;=10,G33=7),22,G164)))</f>
        <v>20</v>
      </c>
      <c r="H162" s="289"/>
      <c r="I162" s="753"/>
      <c r="J162" s="757"/>
      <c r="K162" s="339"/>
      <c r="L162" s="291"/>
    </row>
    <row r="163" spans="1:12" ht="15.75" hidden="1">
      <c r="A163" s="279"/>
      <c r="B163" s="323"/>
      <c r="C163" s="367" t="str">
        <f>IF(AND(C72&gt;400,C72&lt;=800,C16&gt;=1,C16&lt;=3.5,C34=7),18,IF(AND(C72&gt;400,C72&lt;=800,C16&gt;3.5,C16&lt;=6.3,C34=7),20,IF(AND(C72&gt;400,C72&lt;=800,C16&gt;6.3,C16&lt;=10,C34=7),25,IF(AND(C72&gt;800,C72&lt;=1600,C16&gt;=1,C16&lt;=3.5,C34=7),20,IF(AND(C72&gt;800,C72&lt;=1600,C16&gt;3.5,C16&lt;=6.3,C34=7),22,IF(AND(C72&gt;800,C72&lt;=1600,C16&gt;6.3,C16&lt;=10,C34=7),25,C164))))))</f>
        <v>*</v>
      </c>
      <c r="D163" s="350"/>
      <c r="E163" s="299"/>
      <c r="F163" s="323"/>
      <c r="G163" s="367"/>
      <c r="H163" s="289"/>
      <c r="I163" s="753"/>
      <c r="J163" s="757"/>
      <c r="K163" s="339"/>
      <c r="L163" s="291"/>
    </row>
    <row r="164" spans="1:12" ht="15.75" hidden="1">
      <c r="A164" s="279"/>
      <c r="B164" s="323"/>
      <c r="C164" s="367" t="str">
        <f>IF(AND(C72&lt;=125,C16&gt;=1,C16&lt;=3.5,C34=8),20,IF(AND(C72&lt;=125,C16&gt;3.5,C16&lt;=6.3,C34=8),25,IF(AND(C72&lt;=125,C16&gt;6.3,C16&lt;=10,C34=8),28,IF(AND(C72&gt;125,C72&lt;=400,C16&gt;=1,C16&lt;=3.5,C34=8),22,IF(AND(C72&gt;125,C72&lt;=400,C16&gt;3.5,C16&lt;=6.3,C34=8),28,IF(AND(C72&gt;125,C72&lt;=400,C16&gt;6.3,C16&lt;=10,C34=8),32,C165))))))</f>
        <v>*</v>
      </c>
      <c r="D164" s="350"/>
      <c r="E164" s="299"/>
      <c r="F164" s="323"/>
      <c r="G164" s="367">
        <f>IF(AND(G16&gt;=1,G16&lt;=3.5,G33=8),20,IF(AND(G16&gt;3.5,G16&lt;=6.3,G33=8),28,IF(AND(G16&gt;6.3,G16&lt;=10,G33=8),32,"*")))</f>
        <v>20</v>
      </c>
      <c r="H164" s="289"/>
      <c r="I164" s="753"/>
      <c r="J164" s="757"/>
      <c r="K164" s="339"/>
      <c r="L164" s="291"/>
    </row>
    <row r="165" spans="1:12" ht="15.75" hidden="1">
      <c r="A165" s="279"/>
      <c r="B165" s="323"/>
      <c r="C165" s="367" t="str">
        <f>IF(AND(C72&gt;400,C72&lt;=800,C16&gt;=1,C16&lt;=3.5,C34=8),25,IF(AND(C72&gt;400,C72&lt;=800,C16&gt;3.5,C16&lt;=6.3,C34=8),28,IF(AND(C72&gt;400,C72&lt;=800,C16&gt;6.3,C16&lt;=10,C34=8),36,IF(AND(C72&gt;800,C72&lt;=1600,C16&gt;=1,C16&lt;=3.5,C34=8),28,IF(AND(C72&gt;800,C72&lt;=1600,C16&gt;3.5,C16&lt;=6.3,C34=8),32,IF(AND(C72&gt;800,C72&lt;=1600,C16&gt;6.3,C16&lt;=10,C34=8),36,"*"))))))</f>
        <v>*</v>
      </c>
      <c r="D165" s="350"/>
      <c r="E165" s="299"/>
      <c r="F165" s="323"/>
      <c r="G165" s="367"/>
      <c r="H165" s="289"/>
      <c r="I165" s="753"/>
      <c r="J165" s="757"/>
      <c r="K165" s="339"/>
      <c r="L165" s="291"/>
    </row>
    <row r="166" spans="1:12" ht="15.75" hidden="1">
      <c r="A166" s="279" t="s">
        <v>3202</v>
      </c>
      <c r="B166" s="323" t="s">
        <v>12608</v>
      </c>
      <c r="C166" s="312">
        <f>IF(AND(C72&lt;=125,C16&gt;=1,C16&lt;=3.5,C34=3),2.4,IF(AND(C72&lt;=125,C16&gt;3.5,C16&lt;=6.3,C34=3),3,IF(AND(C72&lt;=125,C16&gt;6.3,C16&lt;=10,C34=3),3.2,IF(AND(C72&gt;125,C72&lt;=400,C16&gt;=1,C16&lt;=3.5,C34=3),2.4,IF(AND(C72&gt;125,C72&lt;=400,C16&gt;3.5,C16&lt;=6.3,C34=3),3.2,IF(AND(C72&gt;125,C72&lt;=400,C16&gt;6.3,C16&lt;=10,C34=3),3.6,C167))))))</f>
        <v>13</v>
      </c>
      <c r="D166" s="312"/>
      <c r="E166" s="299"/>
      <c r="F166" s="323"/>
      <c r="G166" s="312"/>
      <c r="H166" s="289"/>
      <c r="I166" s="753"/>
      <c r="J166" s="757"/>
      <c r="K166" s="339"/>
      <c r="L166" s="291"/>
    </row>
    <row r="167" spans="1:12" ht="15.75" hidden="1">
      <c r="A167" s="279"/>
      <c r="B167" s="323"/>
      <c r="C167" s="367">
        <f>IF(AND(C72&gt;400,C72&lt;=800,C16&gt;=1,C16&lt;=3.5,C34=3),3,IF(AND(C72&gt;400,C72&lt;=800,C16&gt;3.5,C16&lt;=6.3,C34=3),3.2,IF(AND(C72&gt;400,C72&lt;=800,C16&gt;6.3,C16&lt;=10,C34=3),4.2,IF(AND(C72&gt;800,C72&lt;=1600,C16&gt;=1,C16&lt;=3.5,C34=3),3.2,IF(AND(C72&gt;800,C72&lt;=1600,C16&gt;3.5,C16&lt;=6.3,C34=3),3.6,IF(AND(C72&gt;800,C72&lt;=1600,C16&gt;6.3,C16&lt;=10,C34=3),4.2,C168))))))</f>
        <v>13</v>
      </c>
      <c r="D167" s="312"/>
      <c r="E167" s="299"/>
      <c r="F167" s="323"/>
      <c r="G167" s="367"/>
      <c r="H167" s="289"/>
      <c r="I167" s="753"/>
      <c r="J167" s="757"/>
      <c r="K167" s="339"/>
      <c r="L167" s="291"/>
    </row>
    <row r="168" spans="1:12" ht="15.75" hidden="1">
      <c r="A168" s="279"/>
      <c r="B168" s="323"/>
      <c r="C168" s="367">
        <f>IF(AND(C72&lt;=125,C16&gt;=1,C16&lt;=3.5,C34=4),3.6,IF(AND(C72&lt;=125,C16&gt;3.5,C16&lt;=6.3,C34=4),4.5,IF(AND(C72&lt;=125,C16&gt;6.3,C16&lt;=10,C34=4),5,IF(AND(C72&gt;125,C72&lt;=400,C16&gt;=1,C16&lt;=3.5,C34=4),4.2,IF(AND(C72&gt;125,C72&lt;=400,C16&gt;3.5,C16&lt;=6.3,C34=4),5,IF(AND(C72&gt;125,C72&lt;=400,C16&gt;6.3,C16&lt;=10,C34=4),5.5,C169))))))</f>
        <v>13</v>
      </c>
      <c r="D168" s="350"/>
      <c r="E168" s="299"/>
      <c r="F168" s="323"/>
      <c r="G168" s="367"/>
      <c r="H168" s="289"/>
      <c r="I168" s="753"/>
      <c r="J168" s="757"/>
      <c r="K168" s="339"/>
      <c r="L168" s="291"/>
    </row>
    <row r="169" spans="1:12" ht="15.75" hidden="1">
      <c r="A169" s="323" t="s">
        <v>3205</v>
      </c>
      <c r="B169" s="323"/>
      <c r="C169" s="367">
        <f>IF(AND(C72&gt;400,C72&lt;=800,C16&gt;=1,C16&lt;=3.5,C34=4),4.5,IF(AND(C72&gt;400,C72&lt;=800,C16&gt;3.5,C16&lt;=6.3,C34=4),5,IF(AND(C72&gt;400,C72&lt;=800,C16&gt;6.3,C16&lt;=10,C34=4),6.5,IF(AND(C72&gt;800,C72&lt;=1600,C16&gt;=1,C16&lt;=3.5,C34=4),5,IF(AND(C72&gt;800,C72&lt;=1600,C16&gt;3.5,C16&lt;=6.3,C34=4),5.5,IF(AND(C72&gt;800,C72&lt;=1600,C16&gt;6.3,C16&lt;=10,C34=4),6.5,C170))))))</f>
        <v>13</v>
      </c>
      <c r="D169" s="350"/>
      <c r="E169" s="299"/>
      <c r="F169" s="323"/>
      <c r="G169" s="367"/>
      <c r="H169" s="289"/>
      <c r="I169" s="753"/>
      <c r="J169" s="757"/>
      <c r="K169" s="339"/>
      <c r="L169" s="291"/>
    </row>
    <row r="170" spans="1:12" ht="15.75" hidden="1">
      <c r="A170" s="279"/>
      <c r="B170" s="323"/>
      <c r="C170" s="367">
        <f>IF(AND(C72&lt;=125,C16&gt;=1,C16&lt;=3.5,C34=5),5,IF(AND(C72&lt;=125,C16&gt;3.5,C16&lt;=6.3,C34=5),7,IF(AND(C72&lt;=125,C16&gt;6.3,C16&lt;=10,C34=5),8,IF(AND(C72&gt;125,C72&lt;=400,C16&gt;=1,C16&lt;=3.5,C34=5),6,IF(AND(C72&gt;125,C72&lt;=400,C16&gt;3.5,C16&lt;=6.3,C34=5),8,IF(AND(C72&gt;125,C72&lt;=400,C16&gt;6.3,C16&lt;=10,C34=5),9,C171))))))</f>
        <v>13</v>
      </c>
      <c r="D170" s="350"/>
      <c r="E170" s="299"/>
      <c r="F170" s="323"/>
      <c r="G170" s="367"/>
      <c r="H170" s="289"/>
      <c r="I170" s="753"/>
      <c r="J170" s="757"/>
      <c r="K170" s="339"/>
      <c r="L170" s="291"/>
    </row>
    <row r="171" spans="1:12" ht="15.75" hidden="1">
      <c r="A171" s="279"/>
      <c r="B171" s="323"/>
      <c r="C171" s="367">
        <f>IF(AND(C72&gt;400,C72&lt;=800,C16&gt;=1,C16&lt;=3.5,C34=5),7,IF(AND(C72&gt;400,C72&lt;=800,C16&gt;3.5,C16&lt;=6.3,C34=5),8,IF(AND(C72&gt;400,C72&lt;=800,C16&gt;6.3,C16&lt;=10,C34=5),10,IF(AND(C72&gt;800,C72&lt;=1600,C16&gt;=1,C16&lt;=3.5,C34=5),8,IF(AND(C72&gt;800,C72&lt;=1600,C16&gt;3.5,C16&lt;=6.3,C34=5),9,IF(AND(C72&gt;800,C72&lt;=1600,C16&gt;6.3,C16&lt;=10,C34=5),10,C172))))))</f>
        <v>13</v>
      </c>
      <c r="D171" s="350"/>
      <c r="E171" s="299"/>
      <c r="F171" s="323"/>
      <c r="G171" s="367"/>
      <c r="H171" s="289"/>
      <c r="I171" s="753"/>
      <c r="J171" s="757"/>
      <c r="K171" s="339"/>
      <c r="L171" s="291"/>
    </row>
    <row r="172" spans="1:12" ht="15.75" hidden="1">
      <c r="A172" s="411"/>
      <c r="B172" s="754"/>
      <c r="C172" s="367">
        <f>IF(AND(C72&lt;=125,C16&gt;=1,C16&lt;=3.5,C34=6),9,IF(AND(C72&lt;=125,C16&gt;3.5,C16&lt;=6.3,C34=6),11,IF(AND(C72&lt;=125,C16&gt;6.3,C16&lt;=10,C34=6),13,IF(AND(C72&gt;125,C72&lt;=400,C16&gt;=1,C16&lt;=3.5,C34=6),10,IF(AND(C72&gt;125,C72&lt;=400,C16&gt;3.5,C16&lt;=6.3,C34=6),13,IF(AND(C72&gt;125,C72&lt;=400,C16&gt;6.3,C16&lt;=10,C34=6),14,C173))))))</f>
        <v>13</v>
      </c>
      <c r="D172" s="350"/>
      <c r="E172" s="299"/>
      <c r="F172" s="323"/>
      <c r="G172" s="367"/>
      <c r="H172" s="289"/>
      <c r="I172" s="753"/>
      <c r="J172" s="757"/>
      <c r="K172" s="339"/>
      <c r="L172" s="291"/>
    </row>
    <row r="173" spans="1:12" ht="15.75" hidden="1">
      <c r="A173" s="411"/>
      <c r="B173" s="754"/>
      <c r="C173" s="367">
        <f>IF(AND(C72&gt;400,C72&lt;=800,C16&gt;=1,C16&lt;=3.5,C34=6),11,IF(AND(C72&gt;400,C72&lt;=800,C16&gt;3.5,C16&lt;=6.3,C34=6),13,IF(AND(C72&gt;400,C72&lt;=800,C16&gt;6.3,C16&lt;=10,C34=6),16,IF(AND(C72&gt;800,C72&lt;=1600,C16&gt;=1,C16&lt;=3.5,C34=6),13,IF(AND(C72&gt;800,C72&lt;=1600,C16&gt;3.5,C16&lt;=6.3,C34=6),14,IF(AND(C72&gt;800,C72&lt;=1600,C16&gt;6.3,C16&lt;=10,C34=6),16,C174))))))</f>
        <v>13</v>
      </c>
      <c r="D173" s="350"/>
      <c r="E173" s="299"/>
      <c r="F173" s="323"/>
      <c r="G173" s="367"/>
      <c r="H173" s="289"/>
      <c r="I173" s="753"/>
      <c r="J173" s="757"/>
      <c r="K173" s="339"/>
      <c r="L173" s="291"/>
    </row>
    <row r="174" spans="1:12" ht="15.75" hidden="1">
      <c r="A174" s="411"/>
      <c r="B174" s="754"/>
      <c r="C174" s="367">
        <f>IF(AND(C72&lt;=125,C16&gt;=1,C16&lt;=3.5,C34=7),13,IF(AND(C72&lt;=125,C16&gt;3.5,C16&lt;=6.3,C34=7),16,IF(AND(C72&lt;=125,C16&gt;6.3,C16&lt;=10,C34=7),18,IF(AND(C72&gt;125,C72&lt;=400,C16&gt;=1,C16&lt;=3.5,C34=7),14,IF(AND(C72&gt;125,C72&lt;=400,C16&gt;3.5,C16&lt;=6.3,C34=7),18,IF(AND(C72&gt;125,C72&lt;=400,C16&gt;6.3,C16&lt;=10,C34=7),20,C175))))))</f>
        <v>13</v>
      </c>
      <c r="D174" s="350"/>
      <c r="E174" s="299"/>
      <c r="F174" s="323"/>
      <c r="G174" s="367"/>
      <c r="H174" s="289"/>
      <c r="I174" s="753"/>
      <c r="J174" s="757"/>
      <c r="K174" s="339"/>
      <c r="L174" s="291"/>
    </row>
    <row r="175" spans="1:12" ht="15.75" hidden="1">
      <c r="A175" s="411"/>
      <c r="B175" s="754"/>
      <c r="C175" s="367" t="str">
        <f>IF(AND(C72&gt;400,C72&lt;=800,C16&gt;=1,C16&lt;=3.5,C34=7),16,IF(AND(C72&gt;400,C72&lt;=800,C16&gt;3.5,C16&lt;=6.3,C34=7),18,IF(AND(C72&gt;400,C72&lt;=800,C16&gt;6.3,C16&lt;=10,C34=7),22,IF(AND(C72&gt;800,C72&lt;=1600,C16&gt;=1,C16&lt;=3.5,C34=7),18,IF(AND(C72&gt;800,C72&lt;=1600,C16&gt;3.5,C16&lt;=6.3,C34=7),20,IF(AND(C72&gt;800,C72&lt;=1600,C16&gt;6.3,C16&lt;=10,C34=7),22,C176))))))</f>
        <v>*</v>
      </c>
      <c r="D175" s="350"/>
      <c r="E175" s="299"/>
      <c r="F175" s="323"/>
      <c r="G175" s="367"/>
      <c r="H175" s="289"/>
      <c r="I175" s="753"/>
      <c r="J175" s="757"/>
      <c r="K175" s="339"/>
      <c r="L175" s="291"/>
    </row>
    <row r="176" spans="1:12" ht="15.75" hidden="1">
      <c r="A176" s="411"/>
      <c r="B176" s="754"/>
      <c r="C176" s="367" t="str">
        <f>IF(AND(C72&lt;=125,C16&gt;=1,C16&lt;=3.5,C34=8),18,IF(AND(C72&lt;=125,C16&gt;3.5,C16&lt;=6.3,C34=8),22,IF(AND(C72&lt;=125,C16&gt;6.3,C16&lt;=10,C34=8),25,IF(AND(C72&gt;125,C72&lt;=400,C16&gt;=1,C16&lt;=3.5,C34=8),20,IF(AND(C72&gt;125,C72&lt;=400,C16&gt;3.5,C16&lt;=6.3,C34=8),25,IF(AND(C72&gt;125,C72&lt;=400,C16&gt;6.3,C16&lt;=10,C34=8),30,C177))))))</f>
        <v>*</v>
      </c>
      <c r="D176" s="350"/>
      <c r="E176" s="299"/>
      <c r="F176" s="323"/>
      <c r="G176" s="367"/>
      <c r="H176" s="289"/>
      <c r="I176" s="753"/>
      <c r="J176" s="757"/>
      <c r="K176" s="339"/>
      <c r="L176" s="291"/>
    </row>
    <row r="177" spans="1:12" ht="15.75" hidden="1">
      <c r="A177" s="411"/>
      <c r="B177" s="754"/>
      <c r="C177" s="367" t="str">
        <f>IF(AND(C72&gt;400,C72&lt;=800,C16&gt;=1,C16&lt;=3.5,C34=8),22,IF(AND(C72&gt;400,C72&lt;=800,C16&gt;3.5,C16&lt;=6.3,C34=8),25,IF(AND(C72&gt;400,C72&lt;=800,C16&gt;6.3,C16&lt;=10,C34=8),32,IF(AND(C72&gt;800,C72&lt;=1600,C16&gt;=1,C16&lt;=3.5,C34=8),25,IF(AND(C72&gt;800,C72&lt;=1600,C16&gt;3.5,C16&lt;=6.3,C34=8),30,IF(AND(C72&gt;800,C72&lt;=1600,C16&gt;6.3,C16&lt;=10,C34=8),32,"*"))))))</f>
        <v>*</v>
      </c>
      <c r="D177" s="350"/>
      <c r="E177" s="299"/>
      <c r="F177" s="323"/>
      <c r="G177" s="367"/>
      <c r="H177" s="289"/>
      <c r="I177" s="753"/>
      <c r="J177" s="757"/>
      <c r="K177" s="339"/>
      <c r="L177" s="291"/>
    </row>
    <row r="178" spans="1:12" ht="15.75" hidden="1">
      <c r="A178" s="279" t="s">
        <v>12609</v>
      </c>
      <c r="B178" s="298" t="s">
        <v>3207</v>
      </c>
      <c r="C178" s="312">
        <f>IF(AND(C72&lt;=125,C16&gt;=1,C16&lt;=3.5,C34=3),3.6,IF(AND(C72&lt;=125,C16&gt;3.5,C16&lt;=6.3,C34=3),4,IF(AND(C72&lt;=125,C16&gt;6.3,C16&lt;=10,C34=3),4.5,IF(AND(C72&gt;125,C72&lt;=400,C16&gt;=1,C16&lt;=3.5,C34=3),4,IF(AND(C72&gt;125,C72&lt;=400,C16&gt;3.5,C16&lt;=6.3,C34=3),4.5,IF(AND(C72&gt;125,C72&lt;=400,C16&gt;6.3,C16&lt;=10,C34=3),5,C179))))))</f>
        <v>11</v>
      </c>
      <c r="D178" s="350"/>
      <c r="E178" s="299"/>
      <c r="F178" s="298" t="s">
        <v>3208</v>
      </c>
      <c r="G178" s="312">
        <f>IF(AND(G16&gt;=1,G16&lt;=3.5,G33=3),3,IF(AND(G16&gt;3.5,G16&lt;=6.3,G33=3),4.5,IF(AND(G16&gt;6.3,G16&lt;=10,G33=3),5,G180)))</f>
        <v>25</v>
      </c>
      <c r="H178" s="289"/>
      <c r="I178" s="753"/>
      <c r="J178" s="757"/>
      <c r="K178" s="339"/>
      <c r="L178" s="291"/>
    </row>
    <row r="179" spans="1:12" ht="15" hidden="1">
      <c r="A179" s="411"/>
      <c r="B179" s="350"/>
      <c r="C179" s="367">
        <f>IF(AND(C72&gt;400,C72&lt;=800,C16&gt;=1,C16&lt;=3.5,C34=3),4.5,IF(AND(C72&gt;400,C72&lt;=800,C16&gt;3.5,C16&lt;=6.3,C34=3),5,IF(AND(C72&gt;400,C72&lt;=800,C16&gt;6.3,C16&lt;=10,C34=3),5.5,IF(AND(C72&gt;800,C72&lt;=1600,C16&gt;=1,C16&lt;=3.5,C34=3),5.5,IF(AND(C72&gt;800,C72&lt;=1600,C16&gt;3.5,C16&lt;=6.3,C34=3),6,IF(AND(C72&gt;800,C72&lt;=1600,C16&gt;6.3,C16&lt;=10,C34=3),6.5,C180))))))</f>
        <v>11</v>
      </c>
      <c r="D179" s="350"/>
      <c r="E179" s="299"/>
      <c r="F179" s="349"/>
      <c r="G179" s="367"/>
      <c r="H179" s="289"/>
      <c r="I179" s="753"/>
      <c r="J179" s="757"/>
      <c r="K179" s="339"/>
      <c r="L179" s="291"/>
    </row>
    <row r="180" spans="1:12" ht="15" hidden="1">
      <c r="A180" s="411"/>
      <c r="B180" s="350"/>
      <c r="C180" s="367">
        <f>IF(AND(C72&lt;=125,C16&gt;=1,C16&lt;=3.5,C34=4),4.8,IF(AND(C72&lt;=125,C16&gt;3.5,C16&lt;=6.3,C34=4),5.3,IF(AND(C72&lt;=125,C16&gt;6.3,C16&lt;=10,C34=4),6,IF(AND(C72&gt;125,C72&lt;=400,C16&gt;=1,C16&lt;=3.5,C34=4),5.3,IF(AND(C72&gt;125,C72&lt;=400,C16&gt;3.5,C16&lt;=6.3,C34=4),6,IF(AND(C72&gt;125,C72&lt;=400,C16&gt;6.3,C16&lt;=10,C34=4),6.5,C181))))))</f>
        <v>11</v>
      </c>
      <c r="D180" s="350"/>
      <c r="E180" s="299"/>
      <c r="F180" s="349"/>
      <c r="G180" s="367">
        <f>IF(AND(G16&gt;=1,G16&lt;=3.5,G33=4),5,IF(AND(G16&gt;3.5,G16&lt;=6.3,G33=4),7,IF(AND(G16&gt;6.3,G16&lt;=10,G33=4),8,G182)))</f>
        <v>25</v>
      </c>
      <c r="H180" s="289"/>
      <c r="I180" s="753"/>
      <c r="J180" s="757"/>
      <c r="K180" s="339"/>
      <c r="L180" s="291"/>
    </row>
    <row r="181" spans="1:12" ht="15" hidden="1">
      <c r="A181" s="350"/>
      <c r="B181" s="350"/>
      <c r="C181" s="367">
        <f>IF(AND(C72&gt;400,C72&lt;=800,C16&gt;=1,C16&lt;=3.5,C34=4),6.5,IF(AND(C72&gt;400,C72&lt;=800,C16&gt;3.5,C16&lt;=6.3,C34=4),7,IF(AND(C72&gt;400,C72&lt;=800,C16&gt;6.3,C16&lt;=10,C34=4),7.5,IF(AND(C72&gt;800,C72&lt;=1600,C16&gt;=1,C16&lt;=3.5,C34=4),8,IF(AND(C72&gt;800,C72&lt;=1600,C16&gt;3.5,C16&lt;=6.3,C34=4),9,IF(AND(C72&gt;800,C72&lt;=1600,C16&gt;6.3,C16&lt;=10,C34=4),9.5,C182))))))</f>
        <v>11</v>
      </c>
      <c r="D181" s="350"/>
      <c r="E181" s="299"/>
      <c r="F181" s="349"/>
      <c r="G181" s="367"/>
      <c r="H181" s="289"/>
      <c r="I181" s="753"/>
      <c r="J181" s="757"/>
      <c r="K181" s="339"/>
      <c r="L181" s="291"/>
    </row>
    <row r="182" spans="1:12" ht="15" hidden="1">
      <c r="A182" s="350"/>
      <c r="B182" s="350"/>
      <c r="C182" s="367">
        <f>IF(AND(C72&lt;=125,C16&gt;=1,C16&lt;=3.5,C34=5),6,IF(AND(C72&lt;=125,C16&gt;3.5,C16&lt;=6.3,C34=5),7,IF(AND(C72&lt;=125,C16&gt;6.3,C16&lt;=10,C34=5),8,IF(AND(C72&gt;125,C72&lt;=400,C16&gt;=1,C16&lt;=3.5,C34=5),7,IF(AND(C72&gt;125,C72&lt;=400,C16&gt;3.5,C16&lt;=6.3,C34=5),8,IF(AND(C72&gt;125,C72&lt;=400,C16&gt;6.3,C16&lt;=10,C34=5),9,C183))))))</f>
        <v>11</v>
      </c>
      <c r="D182" s="350"/>
      <c r="E182" s="299"/>
      <c r="F182" s="349"/>
      <c r="G182" s="367">
        <f>IF(AND(G16&gt;=1,G16&lt;=3.5,G33=5),7.5,IF(AND(G16&gt;3.5,G16&lt;=6.3,G33=5),10,IF(AND(G16&gt;6.3,G16&lt;=10,G33=5),12,G184)))</f>
        <v>25</v>
      </c>
      <c r="H182" s="289"/>
      <c r="I182" s="753"/>
      <c r="J182" s="757"/>
      <c r="K182" s="339"/>
      <c r="L182" s="291"/>
    </row>
    <row r="183" spans="1:12" ht="15" hidden="1">
      <c r="A183" s="350"/>
      <c r="B183" s="350"/>
      <c r="C183" s="367">
        <f>IF(AND(C72&gt;400,C72&lt;=800,C16&gt;=1,C16&lt;=3.5,C34=5),9,IF(AND(C72&gt;400,C72&lt;=800,C16&gt;3.5,C16&lt;=6.3,C34=5),10,IF(AND(C72&gt;400,C72&lt;=800,C16&gt;6.3,C16&lt;=11,C34=5),11,IF(AND(C72&gt;800,C72&lt;=1600,C16&gt;=1,C16&lt;=3.5,C34=5),11,IF(AND(C72&gt;800,C72&lt;=1600,C16&gt;3.5,C16&lt;=6.3,C34=5),13,IF(AND(C72&gt;800,C72&lt;=1600,C16&gt;6.3,C16&lt;=10,C34=5),14,C184))))))</f>
        <v>11</v>
      </c>
      <c r="D183" s="350"/>
      <c r="E183" s="299"/>
      <c r="F183" s="349"/>
      <c r="G183" s="367"/>
      <c r="H183" s="289"/>
      <c r="I183" s="753"/>
      <c r="J183" s="757"/>
      <c r="K183" s="339"/>
      <c r="L183" s="291"/>
    </row>
    <row r="184" spans="1:12" ht="15" hidden="1">
      <c r="A184" s="350"/>
      <c r="B184" s="350"/>
      <c r="C184" s="367">
        <f>IF(AND(C72&lt;=125,C16&gt;=1,C16&lt;=3.5,C34=6),8,IF(AND(C72&lt;=125,C16&gt;3.5,C16&lt;=6.3,C34=6),10,IF(AND(C72&lt;=125,C16&gt;6.3,C16&lt;=10,C34=6),12,IF(AND(C72&gt;125,C72&lt;=400,C16&gt;=1,C16&lt;=3.5,C34=6),9,IF(AND(C72&gt;125,C72&lt;=400,C16&gt;3.5,C16&lt;=6.3,C34=6),10,IF(AND(C72&gt;125,C72&lt;=400,C16&gt;6.3,C16&lt;=10,C34=6),13,C185))))))</f>
        <v>11</v>
      </c>
      <c r="D184" s="350"/>
      <c r="E184" s="299"/>
      <c r="F184" s="349"/>
      <c r="G184" s="367">
        <f>IF(AND(G16&gt;=1,G16&lt;=3.5,G33=6),12,IF(AND(G16&gt;3.5,G16&lt;=6.3,G33=6),17,IF(AND(G16&gt;6.3,G16&lt;=10,G33=6),20,G186)))</f>
        <v>25</v>
      </c>
      <c r="H184" s="289"/>
      <c r="I184" s="753"/>
      <c r="J184" s="757"/>
      <c r="K184" s="339"/>
      <c r="L184" s="291"/>
    </row>
    <row r="185" spans="1:12" ht="15" hidden="1">
      <c r="A185" s="350"/>
      <c r="B185" s="350"/>
      <c r="C185" s="367">
        <f>IF(AND(C72&gt;400,C72&lt;=800,C16&gt;=1,C16&lt;=3.5,C34=6),12,IF(AND(C72&gt;400,C72&lt;=800,C16&gt;3.5,C16&lt;=6.3,C34=6),14,IF(AND(C72&gt;400,C72&lt;=800,C16&gt;6.3,C16&lt;=10,C34=6),16,IF(AND(C72&gt;800,C72&lt;=1600,C16&gt;=1,C16&lt;=3.5,C34=6),17,IF(AND(C72&gt;800,C72&lt;=1600,C16&gt;3.5,C16&lt;=6.3,C34=6),18,IF(AND(C72&gt;800,C72&lt;=1600,C16&gt;6.3,C16&lt;=10,C34=6),20,C186))))))</f>
        <v>11</v>
      </c>
      <c r="D185" s="350"/>
      <c r="E185" s="299"/>
      <c r="F185" s="349"/>
      <c r="G185" s="367"/>
      <c r="H185" s="289"/>
      <c r="I185" s="753"/>
      <c r="J185" s="757"/>
      <c r="K185" s="339"/>
      <c r="L185" s="291"/>
    </row>
    <row r="186" spans="1:12" ht="15" hidden="1">
      <c r="A186" s="350"/>
      <c r="B186" s="350"/>
      <c r="C186" s="367">
        <f>IF(AND(C72&lt;=125,C16&gt;=1,C16&lt;=3.5,C34=7),11,IF(AND(C72&lt;=125,C16&gt;3.5,C16&lt;=6.3,C34=7),14,IF(AND(C72&lt;=125,C16&gt;6.3,C16&lt;=10,C34=7),17,IF(AND(C72&gt;125,C72&lt;=400,C16&gt;=1,C16&lt;=3.5,C34=7),13,IF(AND(C72&gt;125,C72&lt;=400,C16&gt;3.5,C16&lt;=6.3,C34=7),16,IF(AND(C72&gt;125,C72&lt;=400,C16&gt;6.3,C16&lt;=10,C34=7),19,C187))))))</f>
        <v>11</v>
      </c>
      <c r="D186" s="350"/>
      <c r="E186" s="299"/>
      <c r="F186" s="349"/>
      <c r="G186" s="367">
        <f>IF(AND(G16&gt;=1,G16&lt;=3.5,G33=7),18,IF(AND(G16&gt;3.5,G16&lt;=6.3,G33=7),24,IF(AND(G16&gt;6.3,G16&lt;=10,G33=7),28,G188)))</f>
        <v>25</v>
      </c>
      <c r="H186" s="289"/>
      <c r="I186" s="753"/>
      <c r="J186" s="757"/>
      <c r="K186" s="339"/>
      <c r="L186" s="291"/>
    </row>
    <row r="187" spans="1:12" ht="15" hidden="1">
      <c r="A187" s="350"/>
      <c r="B187" s="350"/>
      <c r="C187" s="367" t="str">
        <f>IF(AND(C72&gt;400,C72&lt;=800,C16&gt;=1,C16&lt;=3.5,C34=7),17,IF(AND(C72&gt;400,C72&lt;=800,C16&gt;3.5,C16&lt;=6.3,C34=7),20,IF(AND(C72&gt;400,C72&lt;=800,C16&gt;6.3,C16&lt;=10,C34=7),24,IF(AND(C72&gt;800,C72&lt;=1600,C16&gt;=1,C16&lt;=3.5,C34=7),24,IF(AND(C72&gt;800,C72&lt;=1600,C16&gt;3.5,C16&lt;=6.3,C34=7),28,IF(AND(C72&gt;800,C72&lt;=1600,C16&gt;6.3,C16&lt;=10,C34=7),30,C188))))))</f>
        <v>*</v>
      </c>
      <c r="D187" s="350"/>
      <c r="E187" s="299"/>
      <c r="F187" s="349"/>
      <c r="G187" s="367"/>
      <c r="H187" s="289"/>
      <c r="I187" s="753"/>
      <c r="J187" s="757"/>
      <c r="K187" s="339"/>
      <c r="L187" s="291"/>
    </row>
    <row r="188" spans="1:12" ht="15" hidden="1">
      <c r="A188" s="350"/>
      <c r="B188" s="350"/>
      <c r="C188" s="367" t="str">
        <f>IF(AND(C72&lt;=125,C16&gt;=1,C16&lt;=3.5,C34=8),14,IF(AND(C72&lt;=125,C16&gt;3.5,C16&lt;=6.3,C34=8),20,IF(AND(C72&lt;=125,C16&gt;6.3,C16&lt;=10,C34=8),22,IF(AND(C72&gt;125,C72&lt;=400,C16&gt;=1,C16&lt;=3.5,C34=8),18,IF(AND(C72&gt;125,C72&lt;=400,C16&gt;3.5,C16&lt;=6.3,C34=8),22,IF(AND(C72&gt;125,C72&lt;=400,C16&gt;6.3,C16&lt;=10,C34=8),28,C189))))))</f>
        <v>*</v>
      </c>
      <c r="D188" s="350"/>
      <c r="E188" s="299"/>
      <c r="F188" s="349"/>
      <c r="G188" s="367">
        <f>IF(AND(G16&gt;=1,G16&lt;=3.5,G33=8),25,IF(AND(G16&gt;3.5,G16&lt;=6.3,G33=8),34,IF(AND(G16&gt;6.3,G16&lt;=10,G33=8),40,"*")))</f>
        <v>25</v>
      </c>
      <c r="H188" s="289"/>
      <c r="I188" s="753"/>
      <c r="J188" s="757"/>
      <c r="K188" s="339"/>
      <c r="L188" s="291"/>
    </row>
    <row r="189" spans="1:12" ht="15" hidden="1">
      <c r="A189" s="350"/>
      <c r="B189" s="350"/>
      <c r="C189" s="367" t="str">
        <f>IF(AND(C72&gt;400,C72&lt;=800,C16&gt;=1,C16&lt;=3.5,C34=8),25,IF(AND(C72&gt;400,C72&lt;=800,C16&gt;3.5,C16&lt;=6.3,C34=8),28,IF(AND(C72&gt;400,C72&lt;=800,C16&gt;6.3,C16&lt;=10,C34=8),36,IF(AND(C72&gt;800,C72&lt;=1600,C16&gt;=1,C16&lt;=3.5,C34=8),36,IF(AND(C72&gt;800,C72&lt;=1600,C16&gt;3.5,C16&lt;=6.3,C34=8),40,IF(AND(C72&gt;800,C72&lt;=1600,C16&gt;6.3,C16&lt;=10,C34=8),45,"*"))))))</f>
        <v>*</v>
      </c>
      <c r="D189" s="350"/>
      <c r="E189" s="299"/>
      <c r="F189" s="349"/>
      <c r="G189" s="367"/>
      <c r="H189" s="289"/>
      <c r="I189" s="753"/>
      <c r="J189" s="757"/>
      <c r="K189" s="339"/>
      <c r="L189" s="291"/>
    </row>
    <row r="190" spans="1:12" ht="15.75" hidden="1">
      <c r="A190" s="279" t="s">
        <v>12610</v>
      </c>
      <c r="B190" s="309" t="s">
        <v>4722</v>
      </c>
      <c r="C190" s="312">
        <f>IF(AND(C19&lt;=40,C35=3),4.5,IF(AND(C19&gt;40,C19&lt;=100,C35=3),6,IF(AND(C19&gt;100,C19&lt;=160,C35=3),8,IF(AND(C19&gt;160,C19&lt;=250,C35=3),10,C191))))</f>
        <v>11</v>
      </c>
      <c r="D190" s="350"/>
      <c r="E190" s="299"/>
      <c r="F190" s="309"/>
      <c r="G190" s="367"/>
      <c r="H190" s="289"/>
      <c r="I190" s="753"/>
      <c r="J190" s="757"/>
      <c r="K190" s="339"/>
      <c r="L190" s="291"/>
    </row>
    <row r="191" spans="1:12" ht="15" hidden="1">
      <c r="A191" s="350"/>
      <c r="B191" s="350"/>
      <c r="C191" s="367">
        <f>IF(AND(C19&lt;=40,C35=4),5.5,IF(AND(C19&gt;40,C19&lt;=100,C35=4),8,IF(AND(C19&gt;100,C19&lt;=160,C35=4),10,IF(AND(C19&gt;160,C19&lt;=250,C35=4),12,C192))))</f>
        <v>11</v>
      </c>
      <c r="D191" s="350"/>
      <c r="E191" s="299"/>
      <c r="F191" s="349"/>
      <c r="G191" s="367"/>
      <c r="H191" s="289"/>
      <c r="I191" s="753"/>
      <c r="J191" s="757"/>
      <c r="K191" s="339"/>
      <c r="L191" s="291"/>
    </row>
    <row r="192" spans="1:12" ht="15" hidden="1">
      <c r="A192" s="350"/>
      <c r="B192" s="350"/>
      <c r="C192" s="367">
        <f>IF(AND(C19&lt;=40,C35=5),7,IF(AND(C19&gt;40,C19&lt;=100,C35=5),10,IF(AND(C19&gt;100,C19&lt;=160,C35=5),12,IF(AND(C19&gt;160,C19&lt;=250,C35=5),16,C193))))</f>
        <v>11</v>
      </c>
      <c r="D192" s="350"/>
      <c r="E192" s="299"/>
      <c r="F192" s="349"/>
      <c r="G192" s="367"/>
      <c r="H192" s="289"/>
      <c r="I192" s="753"/>
      <c r="J192" s="757"/>
      <c r="K192" s="339"/>
      <c r="L192" s="291"/>
    </row>
    <row r="193" spans="1:12" ht="15" hidden="1">
      <c r="A193" s="350"/>
      <c r="B193" s="350"/>
      <c r="C193" s="367">
        <f>IF(AND(C19&lt;=40,C35=6),9,IF(AND(C19&gt;40,C19&lt;=100,C35=6),12,IF(AND(C19&gt;100,C19&lt;=160,C35=6),16,IF(AND(C19&gt;160,C19&lt;=250,C35=6),19,C194))))</f>
        <v>11</v>
      </c>
      <c r="D193" s="350"/>
      <c r="E193" s="299"/>
      <c r="F193" s="349"/>
      <c r="G193" s="367"/>
      <c r="H193" s="289"/>
      <c r="I193" s="753"/>
      <c r="J193" s="757"/>
      <c r="K193" s="339"/>
      <c r="L193" s="291"/>
    </row>
    <row r="194" spans="1:12" ht="15" hidden="1">
      <c r="A194" s="350"/>
      <c r="B194" s="350"/>
      <c r="C194" s="367">
        <f>IF(AND(C19&lt;=40,C35=7),11,IF(AND(C19&gt;40,C19&lt;=100,C35=7),16,IF(AND(C19&gt;100,C19&lt;=160,C35=7),20,IF(AND(C19&gt;160,C19&lt;=250,C35=7),24,C195))))</f>
        <v>11</v>
      </c>
      <c r="D194" s="350"/>
      <c r="E194" s="299"/>
      <c r="F194" s="349"/>
      <c r="G194" s="367"/>
      <c r="H194" s="289"/>
      <c r="I194" s="753"/>
      <c r="J194" s="757"/>
      <c r="K194" s="339"/>
      <c r="L194" s="291"/>
    </row>
    <row r="195" spans="1:12" ht="15" hidden="1">
      <c r="A195" s="350"/>
      <c r="B195" s="350"/>
      <c r="C195" s="367" t="str">
        <f>IF(AND(C19&lt;=40,C35=8),18,IF(AND(C19&gt;40,C19&lt;=100,C35=8),25,IF(AND(C19&gt;100,C19&lt;=160,C35=8),32,IF(AND(C19&gt;160,C19&lt;=250,C35=8),38,"*"))))</f>
        <v>*</v>
      </c>
      <c r="D195" s="350"/>
      <c r="E195" s="299"/>
      <c r="F195" s="349"/>
      <c r="G195" s="367"/>
      <c r="H195" s="289"/>
      <c r="I195" s="753"/>
      <c r="J195" s="757"/>
      <c r="K195" s="339"/>
      <c r="L195" s="291"/>
    </row>
    <row r="196" spans="1:12" ht="15.75" hidden="1">
      <c r="A196" s="312" t="s">
        <v>12611</v>
      </c>
      <c r="B196" s="311" t="s">
        <v>3212</v>
      </c>
      <c r="C196" s="312">
        <f>IF(C35=3,65,IF(C35=4,60,IF(C35=5,55,IF(C35=6,50,IF(C35=7,45,IF(C35=8,30,"*"))))))</f>
        <v>45</v>
      </c>
      <c r="D196" s="367"/>
      <c r="E196" s="299"/>
      <c r="F196" s="349"/>
      <c r="G196" s="367"/>
      <c r="H196" s="289"/>
      <c r="I196" s="753"/>
      <c r="J196" s="757"/>
      <c r="K196" s="339"/>
      <c r="L196" s="291"/>
    </row>
    <row r="197" spans="1:12" ht="15" hidden="1">
      <c r="A197" s="312"/>
      <c r="B197" s="311" t="s">
        <v>3213</v>
      </c>
      <c r="C197" s="312">
        <f>IF(C35=3,95,IF(C35=4,90,IF(C35=5,80,IF(C35=6,70,IF(C35=7,60,IF(C35=8,40,"*"))))))</f>
        <v>60</v>
      </c>
      <c r="D197" s="350"/>
      <c r="E197" s="299"/>
      <c r="F197" s="349"/>
      <c r="G197" s="367"/>
      <c r="H197" s="289"/>
      <c r="I197" s="753"/>
      <c r="J197" s="757"/>
      <c r="K197" s="339"/>
      <c r="L197" s="291"/>
    </row>
    <row r="198" spans="1:12" ht="15.75" hidden="1">
      <c r="A198" s="289" t="s">
        <v>12612</v>
      </c>
      <c r="B198" s="298" t="s">
        <v>3221</v>
      </c>
      <c r="C198" s="312">
        <f>ROUND(C132+C178,0)</f>
        <v>61</v>
      </c>
      <c r="D198" s="350"/>
      <c r="E198" s="299"/>
      <c r="F198" s="298" t="s">
        <v>3222</v>
      </c>
      <c r="G198" s="312">
        <f>ROUND(G132+G178,0)</f>
        <v>215</v>
      </c>
      <c r="H198" s="289"/>
      <c r="I198" s="753"/>
      <c r="J198" s="750"/>
      <c r="K198" s="289"/>
      <c r="L198" s="291"/>
    </row>
    <row r="199" spans="1:12" ht="15.75" hidden="1">
      <c r="A199" s="462" t="s">
        <v>3223</v>
      </c>
      <c r="B199" s="298" t="s">
        <v>3224</v>
      </c>
      <c r="C199" s="312">
        <f>ROUND(0.6*(C154+C178),0)</f>
        <v>15</v>
      </c>
      <c r="D199" s="350"/>
      <c r="E199" s="299"/>
      <c r="F199" s="298" t="s">
        <v>3225</v>
      </c>
      <c r="G199" s="312">
        <f>IF(AND(G16&gt;=1,G16&lt;=3.5,G33=3),5.5,IF(AND(G16&gt;3.5,G16&lt;=6.3,G33=3),8,IF(AND(G16&gt;6.3,G16&lt;=10,G33=3),9,H199)))</f>
        <v>45</v>
      </c>
      <c r="H199" s="367">
        <f>IF(AND(G16&gt;=1,G16&lt;=3.5,G33=4),9,IF(AND(G16&gt;3.5,G16&lt;=6.3,G33=4),12,IF(AND(G16&gt;6.3,G16&lt;=10,G33=4),14,I199)))</f>
        <v>45</v>
      </c>
      <c r="I199" s="756">
        <f>IF(AND(G16&gt;=1,G16&lt;=3.5,G33=5),14,IF(AND(G16&gt;3.5,G16&lt;=6.3,G33=5),19,IF(AND(G16&gt;6.3,G16&lt;=10,G33=5),22,J199)))</f>
        <v>45</v>
      </c>
      <c r="J199" s="367">
        <f>IF(AND(G16&gt;=1,G16&lt;=3.5,G33=6),22,IF(AND(G16&gt;3.5,G16&lt;=6.3,G33=6),30,IF(AND(G16&gt;6.3,G16&lt;=10,G33=6),36,K199)))</f>
        <v>45</v>
      </c>
      <c r="K199" s="367">
        <f>IF(AND(G16&gt;=1,G16&lt;=3.5,G33=7),32,IF(AND(G16&gt;3.5,G16&lt;=6.3,G33=7),45,IF(AND(G16&gt;6.3,G16&lt;=10,G33=7),50,L199)))</f>
        <v>45</v>
      </c>
      <c r="L199" s="321">
        <f>IF(AND(G16&gt;=1,G16&lt;=3.5,G33=8),45,IF(AND(G16&gt;3.5,G16&lt;=6.3,G33=8),63,IF(AND(G16&gt;6.3,G16&lt;=10,G33=8),70,"*")))</f>
        <v>45</v>
      </c>
    </row>
    <row r="200" spans="1:12" ht="15.75" hidden="1">
      <c r="A200" s="289" t="s">
        <v>12613</v>
      </c>
      <c r="B200" s="298" t="s">
        <v>3227</v>
      </c>
      <c r="C200" s="312">
        <f>IF(C45&lt;&gt;"",C45,D203/1000)</f>
        <v>-0.1</v>
      </c>
      <c r="D200" s="350"/>
      <c r="E200" s="299"/>
      <c r="F200" s="298" t="s">
        <v>3228</v>
      </c>
      <c r="G200" s="312">
        <f>IF(C47&lt;&gt;"",C47,D205/1000)</f>
        <v>-0.15</v>
      </c>
      <c r="H200" s="289"/>
      <c r="I200" s="323"/>
      <c r="J200" s="750"/>
      <c r="K200" s="289"/>
      <c r="L200" s="291"/>
    </row>
    <row r="201" spans="1:12" ht="15.75" hidden="1">
      <c r="A201" s="289" t="s">
        <v>12614</v>
      </c>
      <c r="B201" s="298" t="s">
        <v>3230</v>
      </c>
      <c r="C201" s="312">
        <f>IF(C46&lt;&gt;"",C46,D204/1000)</f>
        <v>-0.2</v>
      </c>
      <c r="D201" s="350"/>
      <c r="E201" s="299"/>
      <c r="F201" s="298" t="s">
        <v>3231</v>
      </c>
      <c r="G201" s="312">
        <f>IF(C48&lt;&gt;"",C48,D206/1000)</f>
        <v>-0.25</v>
      </c>
      <c r="H201" s="289"/>
      <c r="I201" s="323"/>
      <c r="J201" s="750"/>
      <c r="K201" s="289"/>
      <c r="L201" s="291"/>
    </row>
    <row r="202" spans="1:12" ht="15.75" hidden="1">
      <c r="A202" s="309" t="s">
        <v>12615</v>
      </c>
      <c r="B202" s="298" t="s">
        <v>3233</v>
      </c>
      <c r="C202" s="312">
        <f>ABS(C200-C201)</f>
        <v>0.1</v>
      </c>
      <c r="D202" s="350"/>
      <c r="E202" s="299"/>
      <c r="F202" s="298" t="s">
        <v>3234</v>
      </c>
      <c r="G202" s="312">
        <f>ABS(G200-G201)</f>
        <v>0.1</v>
      </c>
      <c r="H202" s="289"/>
      <c r="I202" s="323"/>
      <c r="J202" s="750"/>
      <c r="K202" s="289"/>
      <c r="L202" s="291"/>
    </row>
    <row r="203" spans="1:12" ht="15.75" hidden="1">
      <c r="A203" s="294"/>
      <c r="B203" s="298" t="s">
        <v>2885</v>
      </c>
      <c r="C203" s="312" t="e">
        <f>ABS(D203+D205)</f>
        <v>#VALUE!</v>
      </c>
      <c r="D203" s="367" t="str">
        <f>IF(F203="C",C154,IF(F203="D",0,IF(F203="E",-2*C154,IF(F203="F",-4*C154,IF(F203="G",-6*C154,IF(F203="H",-8*C154,IF(F203="J",-10*C154,E203)))))))</f>
        <v>*</v>
      </c>
      <c r="E203" s="367" t="str">
        <f>IF(F203="K",-12*C154,IF(F203="L",-16*C154,IF(F203="M",-20*C154,IF(F203="N",-25*C154,IF(F203="P",-32*C154,IF(F203="R",-40*C154,IF(F203="S",-50*C154,"*")))))))</f>
        <v>*</v>
      </c>
      <c r="F203" s="433">
        <f t="shared" ref="F203:F206" si="3">C37</f>
        <v>0</v>
      </c>
      <c r="G203" s="294"/>
      <c r="H203" s="289"/>
      <c r="I203" s="323"/>
      <c r="J203" s="750"/>
      <c r="K203" s="289"/>
      <c r="L203" s="291"/>
    </row>
    <row r="204" spans="1:12" ht="15.75" hidden="1">
      <c r="A204" s="294"/>
      <c r="B204" s="298" t="s">
        <v>2886</v>
      </c>
      <c r="C204" s="312" t="e">
        <f>ABS(D204+D206)</f>
        <v>#VALUE!</v>
      </c>
      <c r="D204" s="367" t="str">
        <f>IF(F204="C",C154,IF(F204="D",0,IF(F204="E",-2*C154,IF(F204="F",-4*C154,IF(F204="G",-6*C154,IF(F204="H",-8*C154,IF(F204="J",-10*C154,E204)))))))</f>
        <v>*</v>
      </c>
      <c r="E204" s="367" t="str">
        <f>IF(F204="K",-12*C154,IF(F204="L",-16*C154,IF(F204="M",-20*C154,IF(F204="N",-25*C154,IF(F204="P",-32*C154,IF(F204="R",-40*C154,IF(F204="S",-50*C154,"*")))))))</f>
        <v>*</v>
      </c>
      <c r="F204" s="433">
        <f t="shared" si="3"/>
        <v>0</v>
      </c>
      <c r="G204" s="294"/>
      <c r="H204" s="289"/>
      <c r="I204" s="323"/>
      <c r="J204" s="750"/>
      <c r="K204" s="289"/>
      <c r="L204" s="291"/>
    </row>
    <row r="205" spans="1:12" ht="15.75" hidden="1">
      <c r="A205" s="294"/>
      <c r="B205" s="298"/>
      <c r="C205" s="312"/>
      <c r="D205" s="367" t="str">
        <f>IF(F205="C",G154,IF(F205="D",0,IF(F205="E",-2*G154,IF(F205="F",-4*G154,IF(F205="G",-6*G154,IF(F205="H",-8*G154,IF(F205="J",-10*G154,E205)))))))</f>
        <v>*</v>
      </c>
      <c r="E205" s="367" t="str">
        <f>IF(F205="K",-12*G154,IF(F205="L",-16*G154,IF(F205="M",-20*G154,IF(F205="N",-25*G154,IF(F205="P",-32*G154,IF(F205="R",-40*G154,IF(F205="S",-50*G154,"*")))))))</f>
        <v>*</v>
      </c>
      <c r="F205" s="433">
        <f t="shared" si="3"/>
        <v>0</v>
      </c>
      <c r="G205" s="294"/>
      <c r="H205" s="289"/>
      <c r="I205" s="323"/>
      <c r="J205" s="750"/>
      <c r="K205" s="289"/>
      <c r="L205" s="291"/>
    </row>
    <row r="206" spans="1:12" ht="15.75" hidden="1">
      <c r="A206" s="758"/>
      <c r="B206" s="298"/>
      <c r="C206" s="312"/>
      <c r="D206" s="367" t="str">
        <f>IF(F206="C",G154,IF(F206="D",0,IF(F206="E",-2*G154,IF(F206="F",-4*G154,IF(F206="G",-6*G154,IF(F206="H",-8*G154,IF(F206="J",-10*G154,E206)))))))</f>
        <v>*</v>
      </c>
      <c r="E206" s="367" t="str">
        <f>IF(F206="K",-12*G154,IF(F206="L",-16*G154,IF(F206="M",-20*G154,IF(F206="N",-25*G154,IF(F206="P",-32*G154,IF(F206="R",-40*G154,IF(F206="S",-50*G154,"*")))))))</f>
        <v>*</v>
      </c>
      <c r="F206" s="433">
        <f t="shared" si="3"/>
        <v>0</v>
      </c>
      <c r="G206" s="294"/>
      <c r="H206" s="289"/>
      <c r="I206" s="323"/>
      <c r="J206" s="750"/>
      <c r="K206" s="289"/>
      <c r="L206" s="291"/>
    </row>
    <row r="207" spans="1:12" ht="15.75" hidden="1">
      <c r="A207" s="405" t="s">
        <v>4233</v>
      </c>
      <c r="B207" s="298"/>
      <c r="C207" s="312"/>
      <c r="D207" s="367"/>
      <c r="E207" s="367"/>
      <c r="F207" s="433"/>
      <c r="G207" s="294"/>
      <c r="H207" s="289"/>
      <c r="I207" s="323"/>
      <c r="J207" s="750"/>
      <c r="K207" s="289"/>
      <c r="L207" s="291"/>
    </row>
    <row r="208" spans="1:12" ht="15.75" hidden="1">
      <c r="A208" s="372"/>
      <c r="B208" s="298" t="s">
        <v>3257</v>
      </c>
      <c r="C208" s="312">
        <f>ROUND(C200*COS(C63)-0.72*C138/1000*SIN(C63),3)</f>
        <v>-0.105</v>
      </c>
      <c r="D208" s="367"/>
      <c r="E208" s="367"/>
      <c r="F208" s="433"/>
      <c r="G208" s="312"/>
      <c r="H208" s="289"/>
      <c r="I208" s="323"/>
      <c r="J208" s="750"/>
      <c r="K208" s="289"/>
      <c r="L208" s="291"/>
    </row>
    <row r="209" spans="1:12" ht="15.75" hidden="1">
      <c r="A209" s="382"/>
      <c r="B209" s="298" t="s">
        <v>3259</v>
      </c>
      <c r="C209" s="312">
        <f>ROUND(C201*COS(C63)+0.72*C138/1000*SIN(C63),3)</f>
        <v>-0.17699999999999999</v>
      </c>
      <c r="D209" s="367"/>
      <c r="E209" s="367"/>
      <c r="F209" s="433"/>
      <c r="G209" s="312"/>
      <c r="H209" s="289"/>
      <c r="I209" s="323"/>
      <c r="J209" s="750"/>
      <c r="K209" s="289"/>
      <c r="L209" s="291"/>
    </row>
    <row r="210" spans="1:12" ht="15.75" hidden="1">
      <c r="A210" s="382"/>
      <c r="B210" s="298" t="s">
        <v>3261</v>
      </c>
      <c r="C210" s="312">
        <f>C208-C209</f>
        <v>7.1999999999999995E-2</v>
      </c>
      <c r="D210" s="367"/>
      <c r="E210" s="367"/>
      <c r="F210" s="433"/>
      <c r="G210" s="312"/>
      <c r="H210" s="289"/>
      <c r="I210" s="323"/>
      <c r="J210" s="750"/>
      <c r="K210" s="289"/>
      <c r="L210" s="291"/>
    </row>
    <row r="211" spans="1:12" ht="15.75" hidden="1">
      <c r="A211" s="405" t="s">
        <v>4236</v>
      </c>
      <c r="B211" s="298"/>
      <c r="C211" s="312"/>
      <c r="D211" s="367"/>
      <c r="E211" s="367"/>
      <c r="F211" s="433"/>
      <c r="G211" s="312"/>
      <c r="H211" s="289"/>
      <c r="I211" s="323"/>
      <c r="J211" s="750"/>
      <c r="K211" s="289"/>
      <c r="L211" s="291"/>
    </row>
    <row r="212" spans="1:12" ht="15.75" hidden="1">
      <c r="A212" s="372"/>
      <c r="B212" s="298" t="s">
        <v>3263</v>
      </c>
      <c r="C212" s="312">
        <f>IF(ODD((C15)-C15)=0,D212,E212)</f>
        <v>-0.219</v>
      </c>
      <c r="D212" s="367">
        <f>ROUND(C208/(SIN(C106)*COS(C69)),3)</f>
        <v>-0.219</v>
      </c>
      <c r="E212" s="367">
        <f>ROUND(C208/(SIN(C106)*COS(C69))*COS(PI()/(2*C15)),3)</f>
        <v>-0.219</v>
      </c>
      <c r="F212" s="433"/>
      <c r="G212" s="312">
        <f>ROUND(G54/2+G54/2*SIN(C63)+(G54*COS(C63)-(PI()*C16-(G101+G200)))/(2*TAN(C63))+G73-G109,3)</f>
        <v>-0.20599999999999999</v>
      </c>
      <c r="H212" s="367"/>
      <c r="I212" s="370"/>
      <c r="J212" s="770"/>
      <c r="K212" s="289"/>
      <c r="L212" s="291"/>
    </row>
    <row r="213" spans="1:12" ht="15.75" hidden="1">
      <c r="A213" s="382"/>
      <c r="B213" s="298" t="s">
        <v>3265</v>
      </c>
      <c r="C213" s="312">
        <f>IF(ODD((C15)-C15)=0,D213,E213)</f>
        <v>-0.36899999999999999</v>
      </c>
      <c r="D213" s="367">
        <f>ROUND(C209/(SIN(C106)*COS(C69)),3)</f>
        <v>-0.37</v>
      </c>
      <c r="E213" s="367">
        <f>ROUND(C209/(SIN(C106)*COS(C69))*COS(PI()/(2*C15)),3)</f>
        <v>-0.36899999999999999</v>
      </c>
      <c r="F213" s="433"/>
      <c r="G213" s="312">
        <f>ROUND(G54/2+G54/2*SIN(C63)+(G54*COS(C63)-(PI()*C16-(G101+G201)))/(2*TAN(C63))+G73-G109,3)</f>
        <v>-0.34300000000000003</v>
      </c>
      <c r="H213" s="367"/>
      <c r="I213" s="370"/>
      <c r="J213" s="750"/>
      <c r="K213" s="289"/>
      <c r="L213" s="291"/>
    </row>
    <row r="214" spans="1:12" ht="15.75" hidden="1">
      <c r="A214" s="382"/>
      <c r="B214" s="298" t="s">
        <v>3267</v>
      </c>
      <c r="C214" s="312">
        <f>C212-C213</f>
        <v>0.15</v>
      </c>
      <c r="D214" s="367"/>
      <c r="E214" s="367"/>
      <c r="F214" s="433"/>
      <c r="G214" s="312"/>
      <c r="H214" s="289"/>
      <c r="I214" s="323"/>
      <c r="J214" s="750"/>
      <c r="K214" s="289"/>
      <c r="L214" s="291"/>
    </row>
    <row r="215" spans="1:12" ht="15.75" hidden="1">
      <c r="A215" s="759" t="s">
        <v>12616</v>
      </c>
      <c r="B215" s="298" t="s">
        <v>3269</v>
      </c>
      <c r="C215" s="312">
        <f>C190</f>
        <v>11</v>
      </c>
      <c r="D215" s="367"/>
      <c r="E215" s="367"/>
      <c r="F215" s="298"/>
      <c r="G215" s="294"/>
      <c r="H215" s="289"/>
      <c r="I215" s="323"/>
      <c r="J215" s="750"/>
      <c r="K215" s="289"/>
      <c r="L215" s="291"/>
    </row>
    <row r="216" spans="1:12" ht="15.75" hidden="1">
      <c r="A216" s="760" t="s">
        <v>3270</v>
      </c>
      <c r="B216" s="298" t="s">
        <v>3271</v>
      </c>
      <c r="C216" s="312">
        <f>C190/2</f>
        <v>5.5</v>
      </c>
      <c r="D216" s="367"/>
      <c r="E216" s="367"/>
      <c r="F216" s="298"/>
      <c r="G216" s="294"/>
      <c r="H216" s="289"/>
      <c r="I216" s="323"/>
      <c r="J216" s="750"/>
      <c r="K216" s="289"/>
      <c r="L216" s="291"/>
    </row>
    <row r="217" spans="1:12" ht="15.75" hidden="1">
      <c r="A217" s="279" t="s">
        <v>12617</v>
      </c>
      <c r="B217" s="323" t="s">
        <v>12618</v>
      </c>
      <c r="C217" s="312">
        <f>IF(AND(C82&gt;18,C82&lt;=30,C34&lt;=4),6.5,IF(AND(C82&gt;18,C82&lt;=30,C34&lt;=6),10.5,IF(AND(C82&gt;18,C82&lt;=30,C34&lt;=8),16.5,IF(AND(C82&gt;30,C82&lt;=50,C34&lt;=4),8,IF(AND(C82&gt;30,C82&lt;=50,C34&lt;=6),12.5,IF(AND(C82&gt;30,C82&lt;=50,C34&lt;=8),19.5,D217))))))</f>
        <v>19.5</v>
      </c>
      <c r="D217" s="367" t="str">
        <f>IF(AND(C82&gt;50,C82&lt;=80,C34&lt;=4),9.5,IF(AND(C82&gt;50,C82&lt;=80,C34&lt;=6),15,IF(AND(C82&gt;50,C82&lt;=80,C34&lt;=8),23,IF(AND(C82&gt;80,C82&lt;=120,C34&lt;=4),11,IF(AND(C82&gt;80,C82&lt;=120,C34&lt;=6),17.5,IF(AND(C82&gt;80,C82&lt;=120,C34&lt;=8),27,E217))))))</f>
        <v>*</v>
      </c>
      <c r="E217" s="367" t="str">
        <f>IF(AND(C82&gt;120,C82&lt;=180,C34&lt;=4),12.5,IF(AND(C82&gt;120,C82&lt;=180,C34&lt;=6),20,IF(AND(C82&gt;120,C82&lt;=180,C34&lt;=8),31.5,IF(AND(C82&gt;180,C82&lt;=250,C34&lt;=4),14.5,IF(AND(C82&gt;180,C82&lt;=250,C34&lt;=6),23,IF(AND(C82&gt;180,C82&lt;=250,C34&lt;=8),36,F217))))))</f>
        <v>*</v>
      </c>
      <c r="F217" s="367" t="str">
        <f>IF(AND(C82&gt;250,C82&lt;=315,C34&lt;=4),16,IF(AND(C82&gt;250,C82&lt;=315,C34&lt;=6),26,IF(AND(C82&gt;250,C82&lt;=315,C34&lt;=8),40.5,IF(AND(C82&gt;315,C82&lt;=400,C34&lt;=4),18,IF(AND(C82&gt;315,C82&lt;=400,C34&lt;=6),28.5,IF(AND(C82&gt;315,C82&lt;=400,C34&lt;=8),44.5,"*"))))))</f>
        <v>*</v>
      </c>
      <c r="G217" s="367"/>
      <c r="H217" s="367"/>
      <c r="I217" s="323"/>
      <c r="J217" s="750"/>
      <c r="K217" s="289"/>
      <c r="L217" s="291"/>
    </row>
    <row r="218" spans="1:12" ht="15.75" hidden="1">
      <c r="A218" s="761" t="s">
        <v>12619</v>
      </c>
      <c r="B218" s="298"/>
      <c r="C218" s="312">
        <f>IF(AND(C33&lt;=C34,C33&lt;=C35),C33,IF(C34&lt;=C35,C34,C35))</f>
        <v>7</v>
      </c>
      <c r="D218" s="367"/>
      <c r="E218" s="367"/>
      <c r="F218" s="433"/>
      <c r="G218" s="367">
        <f>C218</f>
        <v>7</v>
      </c>
      <c r="H218" s="367"/>
      <c r="I218" s="323"/>
      <c r="J218" s="750"/>
      <c r="K218" s="289"/>
      <c r="L218" s="291"/>
    </row>
    <row r="219" spans="1:12" ht="15.75" hidden="1">
      <c r="A219" s="350" t="s">
        <v>3275</v>
      </c>
      <c r="B219" s="298"/>
      <c r="C219" s="312"/>
      <c r="D219" s="367"/>
      <c r="E219" s="367"/>
      <c r="F219" s="298"/>
      <c r="G219" s="294"/>
      <c r="H219" s="289"/>
      <c r="I219" s="323"/>
      <c r="J219" s="750"/>
      <c r="K219" s="289"/>
      <c r="L219" s="291"/>
    </row>
    <row r="220" spans="1:12" ht="15.75" hidden="1">
      <c r="A220" s="312" t="s">
        <v>3276</v>
      </c>
      <c r="B220" s="322"/>
      <c r="C220" s="312" t="str">
        <f>IF(C218=3,"IT4",IF(C218=4,"IT4",IF(C218=5,"IT5",IF(C218=6,"IT6",IF(C218=7,"IT7",IF(C218=8,"IT7",))))))</f>
        <v>IT7</v>
      </c>
      <c r="D220" s="367"/>
      <c r="E220" s="367"/>
      <c r="F220" s="298"/>
      <c r="G220" s="294"/>
      <c r="H220" s="289"/>
      <c r="I220" s="323"/>
      <c r="J220" s="750"/>
      <c r="K220" s="289"/>
      <c r="L220" s="291"/>
    </row>
    <row r="221" spans="1:12" ht="15.75" hidden="1">
      <c r="A221" s="312" t="s">
        <v>3277</v>
      </c>
      <c r="B221" s="463"/>
      <c r="C221" s="312" t="str">
        <f>IF(C218=3,"IT4",IF(C218=4,"IT4",IF(C218=5,"IT5",IF(C218=6,"IT5",IF(C218=7,"IT6",IF(C218=8,"IT7"))))))</f>
        <v>IT6</v>
      </c>
      <c r="D221" s="367"/>
      <c r="E221" s="367"/>
      <c r="F221" s="298"/>
      <c r="G221" s="294"/>
      <c r="H221" s="289"/>
      <c r="I221" s="323"/>
      <c r="J221" s="750"/>
      <c r="K221" s="289"/>
      <c r="L221" s="291"/>
    </row>
    <row r="222" spans="1:12" ht="15.75" hidden="1">
      <c r="A222" s="312" t="s">
        <v>3278</v>
      </c>
      <c r="B222" s="463"/>
      <c r="C222" s="312" t="str">
        <f>IF(C218&lt;=5,"IT7",IF(C218&gt;5,"IT8"))</f>
        <v>IT8</v>
      </c>
      <c r="D222" s="367"/>
      <c r="E222" s="463" t="s">
        <v>12620</v>
      </c>
      <c r="F222" s="298">
        <f>0.1*C16</f>
        <v>0.15</v>
      </c>
      <c r="G222" s="294"/>
      <c r="H222" s="289"/>
      <c r="I222" s="323"/>
      <c r="J222" s="750"/>
      <c r="K222" s="289"/>
      <c r="L222" s="291"/>
    </row>
    <row r="223" spans="1:12" ht="15.75" hidden="1">
      <c r="A223" s="760" t="s">
        <v>3280</v>
      </c>
      <c r="B223" s="298"/>
      <c r="C223" s="312">
        <f>IF(AND(C72&lt;=125,OR(C218=3,C218=4)),7,IF(AND(C72&lt;=125,OR(C218=5,C218=6)),11,IF(AND(C72&lt;=125,OR(C218=7,C218=8)),18,IF(AND(C72&gt;125,C72&lt;=400,OR(C218=3,C218=4)),9,IF(AND(C72&gt;125,C72&lt;=400,OR(C218=5,C218=6)),14,IF(AND(C72&gt;125,C72&lt;=400,OR(C218=7,C218=8)),22,D223))))))</f>
        <v>18</v>
      </c>
      <c r="D223" s="367" t="str">
        <f>IF(AND(C72&gt;400,C72&lt;=800,OR(C218=3,C218=4)),12,IF(AND(C72&gt;400,C72&lt;=800,OR(C218=5,C218=6)),20,IF(AND(C72&gt;400,C72&lt;=800,OR(C218=7,C218=8)),32,IF(AND(C72&gt;800,C72&lt;=1600,OR(C218=3,C218=4)),18,IF(AND(C72&gt;800,C72&lt;=1600,OR(C218=5,C218=6)),28,IF(AND(C72&gt;800,C72&lt;=1600,OR(C218=7,C218=8)),45,"*"))))))</f>
        <v>*</v>
      </c>
      <c r="E223" s="367"/>
      <c r="F223" s="298"/>
      <c r="G223" s="312">
        <f>IF(AND(G72&lt;=125,OR(G218=3,G218=4)),7,IF(AND(G72&lt;=125,OR(G218=5,G218=6)),11,IF(AND(G72&lt;=125,OR(G218=7,G218=8)),18,IF(AND(G72&gt;125,G72&lt;=400,OR(G218=3,G218=4)),9,IF(AND(G72&gt;125,G72&lt;=400,OR(G218=5,G218=6)),14,IF(AND(G72&gt;125,G72&lt;=400,OR(G218=7,G218=8)),22,H223))))))</f>
        <v>18</v>
      </c>
      <c r="H223" s="367" t="str">
        <f>IF(AND(G72&gt;400,G72&lt;=800,OR(G218=3,G218=4)),12,IF(AND(G72&gt;400,G72&lt;=800,OR(G218=5,G218=6)),20,IF(AND(G72&gt;400,G72&lt;=800,OR(G218=7,G218=8)),32,IF(AND(G72&gt;800,G72&lt;=1600,OR(G218=3,G218=4)),18,IF(AND(G72&gt;800,G72&lt;=1600,OR(G218=5,G218=6)),28,IF(AND(G72&gt;800,G72&lt;=1600,OR(G218=7,G218=8)),45,"*"))))))</f>
        <v>*</v>
      </c>
      <c r="I223" s="323"/>
      <c r="J223" s="750"/>
      <c r="K223" s="289"/>
      <c r="L223" s="291"/>
    </row>
    <row r="224" spans="1:12" ht="15.75" hidden="1">
      <c r="A224" s="382"/>
      <c r="B224" s="350"/>
      <c r="C224" s="312"/>
      <c r="D224" s="350"/>
      <c r="E224" s="312"/>
      <c r="F224" s="430"/>
      <c r="G224" s="312"/>
      <c r="H224" s="289"/>
      <c r="I224" s="323"/>
      <c r="J224" s="750"/>
      <c r="K224" s="289"/>
      <c r="L224" s="291"/>
    </row>
    <row r="225" spans="1:12" ht="15">
      <c r="A225" s="439"/>
      <c r="B225" s="440"/>
      <c r="C225" s="441"/>
      <c r="D225" s="442"/>
      <c r="E225" s="441"/>
      <c r="F225" s="443"/>
      <c r="G225" s="441"/>
      <c r="H225" s="443"/>
      <c r="I225" s="312"/>
      <c r="J225" s="367"/>
      <c r="K225" s="289"/>
      <c r="L225" s="291"/>
    </row>
    <row r="226" spans="1:12" ht="15.75">
      <c r="A226" s="444" t="s">
        <v>12621</v>
      </c>
      <c r="B226" s="445"/>
      <c r="C226" s="446"/>
      <c r="D226" s="447"/>
      <c r="E226" s="447"/>
      <c r="F226" s="447"/>
      <c r="G226" s="446"/>
      <c r="H226" s="448"/>
      <c r="I226" s="312"/>
      <c r="J226" s="367"/>
      <c r="K226" s="367"/>
      <c r="L226" s="291"/>
    </row>
    <row r="227" spans="1:12" ht="22.15" customHeight="1">
      <c r="A227" s="762"/>
      <c r="B227" s="686" t="s">
        <v>12622</v>
      </c>
      <c r="C227" s="763"/>
      <c r="D227" s="291"/>
      <c r="E227" s="291"/>
      <c r="F227" s="291"/>
      <c r="G227" s="264" t="str">
        <f>H1</f>
        <v>编号：</v>
      </c>
      <c r="H227" s="449" t="str">
        <f>IF(I1=0,"",I1)</f>
        <v/>
      </c>
      <c r="I227" s="289"/>
      <c r="J227" s="289"/>
      <c r="K227" s="289"/>
      <c r="L227" s="291"/>
    </row>
    <row r="228" spans="1:12" ht="15.75">
      <c r="A228" s="453" t="s">
        <v>2804</v>
      </c>
      <c r="B228" s="265"/>
      <c r="C228" s="361" t="str">
        <f t="shared" ref="C228:C230" si="4">IF(C10=0,"",C10)</f>
        <v/>
      </c>
      <c r="D228" s="265"/>
      <c r="E228" s="453" t="s">
        <v>4634</v>
      </c>
      <c r="F228" s="268"/>
      <c r="G228" s="330">
        <f t="shared" ref="G228:G230" si="5">IF(G10=0,"",G10)</f>
        <v>10026</v>
      </c>
      <c r="H228" s="267"/>
      <c r="I228" s="289"/>
      <c r="J228" s="289"/>
      <c r="K228" s="289"/>
      <c r="L228" s="291"/>
    </row>
    <row r="229" spans="1:12">
      <c r="A229" s="453" t="s">
        <v>2806</v>
      </c>
      <c r="B229" s="273"/>
      <c r="C229" s="330">
        <f t="shared" si="4"/>
        <v>30201</v>
      </c>
      <c r="D229" s="265"/>
      <c r="E229" s="454"/>
      <c r="F229" s="273"/>
      <c r="G229" s="330">
        <f t="shared" si="5"/>
        <v>30202</v>
      </c>
      <c r="H229" s="267"/>
      <c r="I229" s="289"/>
      <c r="J229" s="289"/>
      <c r="K229" s="289"/>
      <c r="L229" s="291"/>
    </row>
    <row r="230" spans="1:12" ht="15.75">
      <c r="A230" s="453" t="s">
        <v>3282</v>
      </c>
      <c r="B230" s="312"/>
      <c r="C230" s="298" t="str">
        <f t="shared" si="4"/>
        <v/>
      </c>
      <c r="D230" s="455"/>
      <c r="E230" s="453" t="s">
        <v>2810</v>
      </c>
      <c r="F230" s="284"/>
      <c r="G230" s="298" t="str">
        <f t="shared" si="5"/>
        <v/>
      </c>
      <c r="H230" s="267"/>
      <c r="I230" s="289"/>
      <c r="J230" s="289"/>
      <c r="K230" s="289"/>
      <c r="L230" s="291"/>
    </row>
    <row r="231" spans="1:12" ht="15.75">
      <c r="A231" s="456" t="s">
        <v>3283</v>
      </c>
      <c r="B231" s="312"/>
      <c r="C231" s="333"/>
      <c r="D231" s="764"/>
      <c r="E231" s="765"/>
      <c r="F231" s="278"/>
      <c r="G231" s="333"/>
      <c r="H231" s="267"/>
      <c r="I231" s="289"/>
      <c r="J231" s="289"/>
      <c r="K231" s="289"/>
      <c r="L231" s="291"/>
    </row>
    <row r="232" spans="1:12" ht="15.75">
      <c r="A232" s="457" t="s">
        <v>3284</v>
      </c>
      <c r="B232" s="458"/>
      <c r="C232" s="457" t="s">
        <v>12554</v>
      </c>
      <c r="D232" s="766"/>
      <c r="E232" s="767"/>
      <c r="F232" s="768"/>
      <c r="G232" s="457" t="s">
        <v>12555</v>
      </c>
      <c r="H232" s="459"/>
      <c r="I232" s="289"/>
      <c r="J232" s="289"/>
      <c r="K232" s="289"/>
      <c r="L232" s="291"/>
    </row>
    <row r="233" spans="1:12">
      <c r="A233" s="461" t="s">
        <v>3285</v>
      </c>
      <c r="B233" s="339"/>
      <c r="C233" s="435"/>
      <c r="D233" s="339"/>
      <c r="E233" s="289"/>
      <c r="F233" s="339"/>
      <c r="G233" s="435"/>
      <c r="H233" s="339"/>
      <c r="I233" s="289"/>
      <c r="J233" s="289"/>
      <c r="K233" s="289"/>
      <c r="L233" s="291"/>
    </row>
    <row r="234" spans="1:12" ht="15.75" customHeight="1">
      <c r="A234" s="297" t="s">
        <v>12623</v>
      </c>
      <c r="B234" s="298" t="s">
        <v>1139</v>
      </c>
      <c r="C234" s="312">
        <f>C15</f>
        <v>20</v>
      </c>
      <c r="D234" s="298"/>
      <c r="E234" s="289"/>
      <c r="F234" s="298"/>
      <c r="G234" s="312"/>
      <c r="H234" s="289"/>
      <c r="I234" s="289"/>
      <c r="J234" s="289"/>
      <c r="K234" s="289"/>
      <c r="L234" s="291"/>
    </row>
    <row r="235" spans="1:12" ht="15.75" customHeight="1">
      <c r="A235" s="297" t="s">
        <v>12624</v>
      </c>
      <c r="B235" s="298" t="s">
        <v>2819</v>
      </c>
      <c r="C235" s="289"/>
      <c r="D235" s="311"/>
      <c r="E235" s="312">
        <v>2</v>
      </c>
      <c r="F235" s="311" t="s">
        <v>2820</v>
      </c>
      <c r="G235" s="312"/>
      <c r="H235" s="289"/>
      <c r="I235" s="289"/>
      <c r="J235" s="289"/>
      <c r="K235" s="289"/>
      <c r="L235" s="291"/>
    </row>
    <row r="236" spans="1:12" ht="15.75" customHeight="1">
      <c r="A236" s="297" t="s">
        <v>12625</v>
      </c>
      <c r="B236" s="289" t="s">
        <v>4640</v>
      </c>
      <c r="C236" s="289"/>
      <c r="D236" s="311"/>
      <c r="E236" s="312">
        <f>E64</f>
        <v>20</v>
      </c>
      <c r="F236" s="311" t="s">
        <v>2938</v>
      </c>
      <c r="G236" s="312"/>
      <c r="H236" s="289"/>
      <c r="I236" s="289"/>
      <c r="J236" s="302"/>
      <c r="K236" s="289"/>
      <c r="L236" s="291"/>
    </row>
    <row r="237" spans="1:12" ht="15.75" customHeight="1">
      <c r="A237" s="309" t="s">
        <v>12626</v>
      </c>
      <c r="B237" s="289" t="str">
        <f>B18</f>
        <v>βf</v>
      </c>
      <c r="C237" s="289"/>
      <c r="D237" s="311"/>
      <c r="E237" s="312">
        <f>E67</f>
        <v>19.3142</v>
      </c>
      <c r="F237" s="311" t="s">
        <v>2938</v>
      </c>
      <c r="G237" s="312"/>
      <c r="H237" s="289"/>
      <c r="I237" s="289"/>
      <c r="J237" s="302"/>
      <c r="K237" s="289"/>
      <c r="L237" s="291"/>
    </row>
    <row r="238" spans="1:12" ht="15.75" customHeight="1">
      <c r="A238" s="297" t="s">
        <v>12627</v>
      </c>
      <c r="B238" s="298" t="s">
        <v>2534</v>
      </c>
      <c r="C238" s="289"/>
      <c r="D238" s="311"/>
      <c r="E238" s="312">
        <f>C19</f>
        <v>22</v>
      </c>
      <c r="F238" s="311" t="s">
        <v>2820</v>
      </c>
      <c r="G238" s="312"/>
      <c r="H238" s="289"/>
      <c r="I238" s="289"/>
      <c r="J238" s="302"/>
      <c r="K238" s="289"/>
      <c r="L238" s="291"/>
    </row>
    <row r="239" spans="1:12" ht="15.75" customHeight="1">
      <c r="A239" s="309" t="s">
        <v>12628</v>
      </c>
      <c r="B239" s="292" t="s">
        <v>2831</v>
      </c>
      <c r="C239" s="289"/>
      <c r="D239" s="311"/>
      <c r="E239" s="312">
        <f>C21</f>
        <v>1</v>
      </c>
      <c r="F239" s="311"/>
      <c r="G239" s="312"/>
      <c r="H239" s="289"/>
      <c r="I239" s="289"/>
      <c r="J239" s="302"/>
      <c r="K239" s="289"/>
      <c r="L239" s="291"/>
    </row>
    <row r="240" spans="1:12" ht="15.75" customHeight="1">
      <c r="A240" s="309" t="s">
        <v>12629</v>
      </c>
      <c r="B240" s="292" t="s">
        <v>2834</v>
      </c>
      <c r="C240" s="289"/>
      <c r="D240" s="311"/>
      <c r="E240" s="312">
        <f>C22</f>
        <v>0</v>
      </c>
      <c r="F240" s="311"/>
      <c r="G240" s="312"/>
      <c r="H240" s="289"/>
      <c r="I240" s="289"/>
      <c r="J240" s="302"/>
      <c r="K240" s="289"/>
      <c r="L240" s="291"/>
    </row>
    <row r="241" spans="1:12" ht="15.75" customHeight="1">
      <c r="A241" s="309" t="s">
        <v>12537</v>
      </c>
      <c r="B241" s="292" t="s">
        <v>2836</v>
      </c>
      <c r="C241" s="289"/>
      <c r="D241" s="311"/>
      <c r="E241" s="312">
        <f>C24</f>
        <v>0.25</v>
      </c>
      <c r="F241" s="311"/>
      <c r="G241" s="312"/>
      <c r="H241" s="289"/>
      <c r="I241" s="289"/>
      <c r="J241" s="302"/>
      <c r="K241" s="289"/>
      <c r="L241" s="291"/>
    </row>
    <row r="242" spans="1:12" ht="15.75" customHeight="1">
      <c r="A242" s="297" t="s">
        <v>12630</v>
      </c>
      <c r="B242" s="298" t="s">
        <v>3294</v>
      </c>
      <c r="C242" s="289"/>
      <c r="D242" s="311"/>
      <c r="E242" s="289">
        <f>2*C21+C24</f>
        <v>2.25</v>
      </c>
      <c r="F242" s="298"/>
      <c r="G242" s="312"/>
      <c r="H242" s="289"/>
      <c r="I242" s="289"/>
      <c r="J242" s="302"/>
      <c r="K242" s="289"/>
      <c r="L242" s="291"/>
    </row>
    <row r="243" spans="1:12" ht="15.75" customHeight="1">
      <c r="A243" s="279" t="s">
        <v>12631</v>
      </c>
      <c r="B243" s="312" t="s">
        <v>1874</v>
      </c>
      <c r="C243" s="311"/>
      <c r="D243" s="311"/>
      <c r="E243" s="289">
        <f>C82</f>
        <v>39.415999999999997</v>
      </c>
      <c r="F243" s="311" t="s">
        <v>12632</v>
      </c>
      <c r="G243" s="312"/>
      <c r="H243" s="289"/>
      <c r="I243" s="289"/>
      <c r="J243" s="302"/>
      <c r="K243" s="289"/>
      <c r="L243" s="291"/>
    </row>
    <row r="244" spans="1:12" ht="15.75" customHeight="1">
      <c r="A244" s="297" t="s">
        <v>12633</v>
      </c>
      <c r="B244" s="298" t="s">
        <v>407</v>
      </c>
      <c r="C244" s="289">
        <f>C80</f>
        <v>0</v>
      </c>
      <c r="D244" s="311"/>
      <c r="E244" s="289"/>
      <c r="F244" s="298"/>
      <c r="G244" s="289"/>
      <c r="H244" s="289"/>
      <c r="I244" s="289"/>
      <c r="J244" s="302"/>
      <c r="K244" s="289"/>
      <c r="L244" s="291"/>
    </row>
    <row r="245" spans="1:12" ht="15.75" customHeight="1">
      <c r="A245" s="297" t="s">
        <v>12634</v>
      </c>
      <c r="B245" s="298" t="s">
        <v>3299</v>
      </c>
      <c r="C245" s="312">
        <f>C81</f>
        <v>0</v>
      </c>
      <c r="D245" s="311"/>
      <c r="E245" s="289"/>
      <c r="F245" s="298"/>
      <c r="G245" s="312"/>
      <c r="H245" s="289"/>
      <c r="I245" s="289"/>
      <c r="J245" s="302"/>
      <c r="K245" s="255"/>
      <c r="L245" s="291"/>
    </row>
    <row r="246" spans="1:12" ht="15.75" customHeight="1">
      <c r="A246" s="297" t="s">
        <v>12635</v>
      </c>
      <c r="B246" s="298" t="s">
        <v>411</v>
      </c>
      <c r="C246" s="289">
        <f>ROUND(C72,3)</f>
        <v>31.831</v>
      </c>
      <c r="D246" s="311" t="s">
        <v>2820</v>
      </c>
      <c r="E246" s="289"/>
      <c r="F246" s="385" t="s">
        <v>12569</v>
      </c>
      <c r="G246" s="289">
        <f>G73</f>
        <v>23.5</v>
      </c>
      <c r="H246" s="311" t="s">
        <v>2820</v>
      </c>
      <c r="I246" s="378"/>
      <c r="J246" s="302"/>
      <c r="K246" s="255"/>
      <c r="L246" s="291"/>
    </row>
    <row r="247" spans="1:12" ht="15.75" customHeight="1">
      <c r="A247" s="297" t="s">
        <v>14375</v>
      </c>
      <c r="B247" s="298" t="s">
        <v>3302</v>
      </c>
      <c r="C247" s="289">
        <f>ROUND(C74,3)</f>
        <v>29.693999999999999</v>
      </c>
      <c r="D247" s="311" t="s">
        <v>2820</v>
      </c>
      <c r="E247" s="289"/>
      <c r="F247" s="385" t="s">
        <v>12571</v>
      </c>
      <c r="G247" s="289">
        <f>G74</f>
        <v>23.5</v>
      </c>
      <c r="H247" s="311" t="s">
        <v>2820</v>
      </c>
      <c r="I247" s="378"/>
      <c r="J247" s="302"/>
      <c r="K247" s="255"/>
      <c r="L247" s="291"/>
    </row>
    <row r="248" spans="1:12" ht="15.75" customHeight="1">
      <c r="A248" s="297" t="s">
        <v>12637</v>
      </c>
      <c r="B248" s="298" t="s">
        <v>3304</v>
      </c>
      <c r="C248" s="289">
        <f>ROUND(C86,3)</f>
        <v>34.831000000000003</v>
      </c>
      <c r="D248" s="311" t="s">
        <v>2820</v>
      </c>
      <c r="E248" s="289"/>
      <c r="F248" s="385" t="s">
        <v>12585</v>
      </c>
      <c r="G248" s="289">
        <f>ROUND(G86,3)</f>
        <v>25</v>
      </c>
      <c r="H248" s="311" t="s">
        <v>2820</v>
      </c>
      <c r="I248" s="378"/>
      <c r="J248" s="302"/>
      <c r="K248" s="255"/>
      <c r="L248" s="291"/>
    </row>
    <row r="249" spans="1:12" ht="15.75" customHeight="1">
      <c r="A249" s="297" t="s">
        <v>12638</v>
      </c>
      <c r="B249" s="298" t="s">
        <v>3306</v>
      </c>
      <c r="C249" s="289">
        <f>ROUND(C88,3)</f>
        <v>28.081</v>
      </c>
      <c r="D249" s="311" t="s">
        <v>2820</v>
      </c>
      <c r="E249" s="289"/>
      <c r="F249" s="385" t="s">
        <v>12587</v>
      </c>
      <c r="G249" s="289">
        <f>ROUND(G88,3)</f>
        <v>21.625</v>
      </c>
      <c r="H249" s="311" t="s">
        <v>2820</v>
      </c>
      <c r="I249" s="378"/>
      <c r="J249" s="302"/>
      <c r="K249" s="255"/>
      <c r="L249" s="291"/>
    </row>
    <row r="250" spans="1:12" ht="15.75" customHeight="1">
      <c r="A250" s="297" t="s">
        <v>12639</v>
      </c>
      <c r="B250" s="298" t="s">
        <v>3308</v>
      </c>
      <c r="C250" s="289">
        <f t="shared" ref="C250:C252" si="6">ROUND(C83,3)</f>
        <v>1.5</v>
      </c>
      <c r="D250" s="311" t="s">
        <v>2820</v>
      </c>
      <c r="E250" s="289"/>
      <c r="F250" s="298"/>
      <c r="G250" s="289">
        <f>ROUND(G83,3)</f>
        <v>1.5</v>
      </c>
      <c r="H250" s="311" t="s">
        <v>2820</v>
      </c>
      <c r="I250" s="378"/>
      <c r="J250" s="302"/>
      <c r="K250" s="255"/>
      <c r="L250" s="291"/>
    </row>
    <row r="251" spans="1:12" ht="15.75" customHeight="1">
      <c r="A251" s="297" t="s">
        <v>12640</v>
      </c>
      <c r="B251" s="298" t="s">
        <v>3310</v>
      </c>
      <c r="C251" s="289">
        <f t="shared" si="6"/>
        <v>1.875</v>
      </c>
      <c r="D251" s="311" t="s">
        <v>2820</v>
      </c>
      <c r="E251" s="289"/>
      <c r="F251" s="298"/>
      <c r="G251" s="289">
        <f>ROUND(G84,3)</f>
        <v>1.875</v>
      </c>
      <c r="H251" s="311" t="s">
        <v>2820</v>
      </c>
      <c r="I251" s="378"/>
      <c r="J251" s="302"/>
      <c r="K251" s="255"/>
      <c r="L251" s="291"/>
    </row>
    <row r="252" spans="1:12" ht="15.75" customHeight="1">
      <c r="A252" s="297" t="s">
        <v>12641</v>
      </c>
      <c r="B252" s="298" t="s">
        <v>3312</v>
      </c>
      <c r="C252" s="289">
        <f t="shared" si="6"/>
        <v>3.375</v>
      </c>
      <c r="D252" s="311" t="s">
        <v>2820</v>
      </c>
      <c r="E252" s="289"/>
      <c r="F252" s="311"/>
      <c r="G252" s="289">
        <f>ROUND(C85,3)</f>
        <v>3.375</v>
      </c>
      <c r="H252" s="311" t="s">
        <v>2820</v>
      </c>
      <c r="I252" s="378"/>
      <c r="J252" s="302"/>
      <c r="K252" s="255"/>
      <c r="L252" s="291"/>
    </row>
    <row r="253" spans="1:12" ht="15.75" customHeight="1">
      <c r="A253" s="309" t="s">
        <v>12642</v>
      </c>
      <c r="B253" s="292" t="s">
        <v>3314</v>
      </c>
      <c r="C253" s="289">
        <f>ROUND(C89,3)</f>
        <v>2.5</v>
      </c>
      <c r="D253" s="311" t="s">
        <v>2820</v>
      </c>
      <c r="E253" s="289"/>
      <c r="F253" s="311"/>
      <c r="G253" s="289">
        <f>ROUND(G89,3)</f>
        <v>2.5</v>
      </c>
      <c r="H253" s="311" t="s">
        <v>2820</v>
      </c>
      <c r="I253" s="378"/>
      <c r="J253" s="302"/>
      <c r="K253" s="255"/>
      <c r="L253" s="291"/>
    </row>
    <row r="254" spans="1:12" ht="15.75" customHeight="1">
      <c r="A254" s="401"/>
      <c r="B254" s="387"/>
      <c r="C254" s="338"/>
      <c r="D254" s="335"/>
      <c r="E254" s="338"/>
      <c r="F254" s="335"/>
      <c r="G254" s="338"/>
      <c r="H254" s="335"/>
      <c r="I254" s="378"/>
      <c r="J254" s="302"/>
      <c r="K254" s="255"/>
      <c r="L254" s="291"/>
    </row>
    <row r="255" spans="1:12" ht="15.75" customHeight="1">
      <c r="A255" s="769" t="s">
        <v>3315</v>
      </c>
      <c r="B255" s="292"/>
      <c r="C255" s="289"/>
      <c r="D255" s="311"/>
      <c r="E255" s="289"/>
      <c r="F255" s="311"/>
      <c r="G255" s="289"/>
      <c r="H255" s="311"/>
      <c r="I255" s="378"/>
      <c r="J255" s="302"/>
      <c r="K255" s="255"/>
      <c r="L255" s="291"/>
    </row>
    <row r="256" spans="1:12" ht="15.75" customHeight="1">
      <c r="A256" s="291" t="s">
        <v>12643</v>
      </c>
      <c r="B256" s="292" t="s">
        <v>3317</v>
      </c>
      <c r="C256" s="289">
        <f>ROUND(C93,3)</f>
        <v>11.568</v>
      </c>
      <c r="D256" s="311" t="s">
        <v>2820</v>
      </c>
      <c r="E256" s="289"/>
      <c r="F256" s="311"/>
      <c r="G256" s="289"/>
      <c r="H256" s="311"/>
      <c r="I256" s="378"/>
      <c r="J256" s="302"/>
      <c r="K256" s="255"/>
      <c r="L256" s="291"/>
    </row>
    <row r="257" spans="1:12" ht="15.75" customHeight="1">
      <c r="A257" s="291" t="s">
        <v>12644</v>
      </c>
      <c r="B257" s="292" t="s">
        <v>3319</v>
      </c>
      <c r="C257" s="289">
        <f>C94</f>
        <v>3</v>
      </c>
      <c r="D257" s="311"/>
      <c r="E257" s="289"/>
      <c r="F257" s="311"/>
      <c r="G257" s="289"/>
      <c r="H257" s="311"/>
      <c r="I257" s="378"/>
      <c r="J257" s="302"/>
      <c r="K257" s="255"/>
      <c r="L257" s="291"/>
    </row>
    <row r="258" spans="1:12" ht="15.75" customHeight="1">
      <c r="A258" s="292" t="s">
        <v>12645</v>
      </c>
      <c r="B258" s="292"/>
      <c r="C258" s="289" t="str">
        <f>C95</f>
        <v>可以测量</v>
      </c>
      <c r="D258" s="311"/>
      <c r="E258" s="289"/>
      <c r="F258" s="311"/>
      <c r="G258" s="289"/>
      <c r="H258" s="311"/>
      <c r="I258" s="378"/>
      <c r="J258" s="302"/>
      <c r="K258" s="297"/>
      <c r="L258" s="298"/>
    </row>
    <row r="259" spans="1:12" ht="15.75" customHeight="1">
      <c r="A259" s="279" t="s">
        <v>12646</v>
      </c>
      <c r="B259" s="323" t="s">
        <v>3326</v>
      </c>
      <c r="C259" s="289">
        <f t="shared" ref="C259:C262" si="7">ROUND(C99,3)</f>
        <v>2.081</v>
      </c>
      <c r="D259" s="311" t="s">
        <v>2820</v>
      </c>
      <c r="E259" s="311"/>
      <c r="F259" s="298"/>
      <c r="G259" s="289"/>
      <c r="H259" s="311"/>
      <c r="I259" s="378"/>
      <c r="J259" s="302"/>
      <c r="K259" s="297"/>
      <c r="L259" s="298"/>
    </row>
    <row r="260" spans="1:12" ht="15.75" customHeight="1">
      <c r="A260" s="279" t="s">
        <v>12647</v>
      </c>
      <c r="B260" s="323" t="s">
        <v>3328</v>
      </c>
      <c r="C260" s="289">
        <f t="shared" si="7"/>
        <v>1.121</v>
      </c>
      <c r="D260" s="311" t="s">
        <v>2820</v>
      </c>
      <c r="E260" s="289"/>
      <c r="F260" s="298"/>
      <c r="G260" s="289"/>
      <c r="H260" s="311"/>
      <c r="I260" s="302"/>
      <c r="J260" s="302"/>
      <c r="K260" s="291"/>
      <c r="L260" s="291"/>
    </row>
    <row r="261" spans="1:12" ht="15.75" customHeight="1">
      <c r="A261" s="297" t="s">
        <v>12648</v>
      </c>
      <c r="B261" s="298" t="s">
        <v>3322</v>
      </c>
      <c r="C261" s="289">
        <f t="shared" si="7"/>
        <v>2.3540000000000001</v>
      </c>
      <c r="D261" s="311" t="s">
        <v>2820</v>
      </c>
      <c r="E261" s="289"/>
      <c r="F261" s="298"/>
      <c r="G261" s="289">
        <f>ROUND(G101,3)</f>
        <v>2.3559999999999999</v>
      </c>
      <c r="H261" s="311" t="s">
        <v>2820</v>
      </c>
      <c r="I261" s="302"/>
      <c r="J261" s="302"/>
      <c r="K261" s="291"/>
      <c r="L261" s="291"/>
    </row>
    <row r="262" spans="1:12" ht="15.75" customHeight="1">
      <c r="A262" s="297" t="s">
        <v>12649</v>
      </c>
      <c r="B262" s="298" t="s">
        <v>3324</v>
      </c>
      <c r="C262" s="289">
        <f t="shared" si="7"/>
        <v>1.5389999999999999</v>
      </c>
      <c r="D262" s="311" t="s">
        <v>2820</v>
      </c>
      <c r="E262" s="289"/>
      <c r="F262" s="298"/>
      <c r="G262" s="289">
        <f>ROUND(G102,3)</f>
        <v>1.5</v>
      </c>
      <c r="H262" s="311" t="s">
        <v>2820</v>
      </c>
      <c r="I262" s="302"/>
      <c r="J262" s="302"/>
      <c r="K262" s="291"/>
      <c r="L262" s="291"/>
    </row>
    <row r="263" spans="1:12" ht="15.75" customHeight="1">
      <c r="A263" s="279" t="s">
        <v>3047</v>
      </c>
      <c r="B263" s="323" t="s">
        <v>3329</v>
      </c>
      <c r="C263" s="289" t="str">
        <f>IF(OR(C54=0,B55&lt;&gt;""),"",C104)</f>
        <v/>
      </c>
      <c r="D263" s="311" t="s">
        <v>2820</v>
      </c>
      <c r="E263" s="289"/>
      <c r="F263" s="298"/>
      <c r="G263" s="289">
        <f>IF(OR(G54=0,F55&lt;&gt;""),"",G104)</f>
        <v>8</v>
      </c>
      <c r="H263" s="311" t="s">
        <v>2820</v>
      </c>
      <c r="I263" s="302"/>
      <c r="J263" s="302"/>
      <c r="K263" s="291"/>
      <c r="L263" s="291"/>
    </row>
    <row r="264" spans="1:12" ht="15.75" customHeight="1">
      <c r="A264" s="279" t="s">
        <v>3060</v>
      </c>
      <c r="B264" s="323" t="s">
        <v>235</v>
      </c>
      <c r="C264" s="289" t="str">
        <f>IF(OR(C54=0,B55&lt;&gt;""),"",ROUND(C109,3))</f>
        <v/>
      </c>
      <c r="D264" s="311" t="s">
        <v>2820</v>
      </c>
      <c r="E264" s="289"/>
      <c r="F264" s="385" t="s">
        <v>12600</v>
      </c>
      <c r="G264" s="289">
        <f>IF(OR(G54=0,F55&lt;&gt;""),"",ROUND(G109,3))</f>
        <v>35.957999999999998</v>
      </c>
      <c r="H264" s="311" t="s">
        <v>2820</v>
      </c>
      <c r="I264" s="302"/>
      <c r="J264" s="302"/>
      <c r="K264" s="291"/>
      <c r="L264" s="291"/>
    </row>
    <row r="265" spans="1:12" ht="15.75" customHeight="1">
      <c r="A265" s="279" t="s">
        <v>12650</v>
      </c>
      <c r="B265" s="298" t="s">
        <v>3331</v>
      </c>
      <c r="C265" s="289" t="str">
        <f>IF(OR(C54=0,B55&lt;&gt;""),"",ROUND(C111,2))</f>
        <v/>
      </c>
      <c r="D265" s="311" t="s">
        <v>2820</v>
      </c>
      <c r="E265" s="385"/>
      <c r="F265" s="385" t="s">
        <v>12602</v>
      </c>
      <c r="G265" s="289">
        <f>IF(OR(G54=0,F55&lt;&gt;""),"",ROUND(G111,2))</f>
        <v>30.59</v>
      </c>
      <c r="H265" s="311" t="s">
        <v>2820</v>
      </c>
      <c r="I265" s="302"/>
      <c r="J265" s="302"/>
      <c r="K265" s="291"/>
      <c r="L265" s="291"/>
    </row>
    <row r="266" spans="1:12" ht="15.75" customHeight="1">
      <c r="A266" s="354"/>
      <c r="B266" s="387"/>
      <c r="C266" s="338"/>
      <c r="D266" s="335"/>
      <c r="E266" s="338"/>
      <c r="F266" s="333"/>
      <c r="G266" s="275"/>
      <c r="H266" s="335"/>
      <c r="I266" s="302"/>
      <c r="J266" s="302"/>
      <c r="K266" s="291"/>
      <c r="L266" s="291"/>
    </row>
    <row r="267" spans="1:12" ht="15.75" customHeight="1">
      <c r="A267" s="461" t="s">
        <v>3332</v>
      </c>
      <c r="B267" s="298"/>
      <c r="C267" s="289"/>
      <c r="D267" s="311"/>
      <c r="E267" s="289"/>
      <c r="F267" s="298"/>
      <c r="G267" s="312"/>
      <c r="H267" s="311"/>
      <c r="I267" s="302"/>
      <c r="J267" s="302"/>
      <c r="K267" s="291"/>
      <c r="L267" s="291"/>
    </row>
    <row r="268" spans="1:12" ht="15.75" customHeight="1">
      <c r="A268" s="462" t="s">
        <v>4710</v>
      </c>
      <c r="B268" s="292" t="s">
        <v>4731</v>
      </c>
      <c r="C268" s="289">
        <f>ROUND(C124,3)</f>
        <v>5.734</v>
      </c>
      <c r="D268" s="311" t="s">
        <v>2820</v>
      </c>
      <c r="E268" s="289"/>
      <c r="F268" s="298"/>
      <c r="G268" s="289"/>
      <c r="H268" s="311"/>
      <c r="I268" s="302"/>
      <c r="J268" s="302"/>
      <c r="K268" s="291"/>
      <c r="L268" s="291"/>
    </row>
    <row r="269" spans="1:12" ht="15.75" customHeight="1">
      <c r="A269" s="462" t="s">
        <v>4712</v>
      </c>
      <c r="B269" s="292" t="s">
        <v>4732</v>
      </c>
      <c r="C269" s="289">
        <f>ROUND(C125,3)</f>
        <v>9.1029999999999998</v>
      </c>
      <c r="D269" s="311" t="s">
        <v>2820</v>
      </c>
      <c r="E269" s="289"/>
      <c r="F269" s="298"/>
      <c r="G269" s="289"/>
      <c r="H269" s="311"/>
      <c r="I269" s="302"/>
      <c r="J269" s="302"/>
      <c r="K269" s="291"/>
      <c r="L269" s="291"/>
    </row>
    <row r="270" spans="1:12" ht="15.75" customHeight="1">
      <c r="A270" s="279" t="s">
        <v>12651</v>
      </c>
      <c r="B270" s="291" t="s">
        <v>4734</v>
      </c>
      <c r="C270" s="289">
        <f t="shared" ref="C270:C273" si="8">E126</f>
        <v>22.074100000000001</v>
      </c>
      <c r="D270" s="311" t="s">
        <v>2938</v>
      </c>
      <c r="E270" s="289"/>
      <c r="F270" s="298"/>
      <c r="G270" s="289"/>
      <c r="H270" s="311"/>
      <c r="I270" s="302"/>
      <c r="J270" s="302"/>
      <c r="K270" s="291"/>
      <c r="L270" s="291"/>
    </row>
    <row r="271" spans="1:12" ht="15.75" customHeight="1">
      <c r="A271" s="279" t="s">
        <v>12652</v>
      </c>
      <c r="B271" s="291" t="s">
        <v>4736</v>
      </c>
      <c r="C271" s="289">
        <f t="shared" si="8"/>
        <v>35.075099999999999</v>
      </c>
      <c r="D271" s="311" t="s">
        <v>2938</v>
      </c>
      <c r="E271" s="289"/>
      <c r="F271" s="298"/>
      <c r="G271" s="289"/>
      <c r="H271" s="311"/>
      <c r="I271" s="302"/>
      <c r="J271" s="302"/>
      <c r="K271" s="291"/>
      <c r="L271" s="291"/>
    </row>
    <row r="272" spans="1:12" ht="15.75" customHeight="1">
      <c r="A272" s="279" t="s">
        <v>12653</v>
      </c>
      <c r="B272" s="291" t="s">
        <v>12654</v>
      </c>
      <c r="C272" s="289">
        <f t="shared" si="8"/>
        <v>26.2745</v>
      </c>
      <c r="D272" s="311" t="s">
        <v>2938</v>
      </c>
      <c r="E272" s="289"/>
      <c r="F272" s="298"/>
      <c r="G272" s="289"/>
      <c r="H272" s="311"/>
      <c r="I272" s="302"/>
      <c r="J272" s="302"/>
      <c r="K272" s="291"/>
      <c r="L272" s="291"/>
    </row>
    <row r="273" spans="1:12" ht="15.75" customHeight="1">
      <c r="A273" s="401"/>
      <c r="B273" s="332" t="s">
        <v>12655</v>
      </c>
      <c r="C273" s="338">
        <f t="shared" si="8"/>
        <v>30.474799999999998</v>
      </c>
      <c r="D273" s="335" t="s">
        <v>2938</v>
      </c>
      <c r="E273" s="338"/>
      <c r="F273" s="333"/>
      <c r="G273" s="338"/>
      <c r="H273" s="335"/>
      <c r="I273" s="302"/>
      <c r="J273" s="302"/>
      <c r="K273" s="291"/>
      <c r="L273" s="291"/>
    </row>
    <row r="274" spans="1:12" ht="15.75" customHeight="1">
      <c r="A274" s="461" t="s">
        <v>4370</v>
      </c>
      <c r="B274" s="311"/>
      <c r="C274" s="435"/>
      <c r="D274" s="343"/>
      <c r="E274" s="717"/>
      <c r="F274" s="349"/>
      <c r="G274" s="435"/>
      <c r="H274" s="311"/>
      <c r="I274" s="302"/>
      <c r="J274" s="302"/>
      <c r="K274" s="291"/>
      <c r="L274" s="291"/>
    </row>
    <row r="275" spans="1:12" ht="15.75" customHeight="1">
      <c r="A275" s="297" t="s">
        <v>12656</v>
      </c>
      <c r="B275" s="472" t="s">
        <v>4372</v>
      </c>
      <c r="C275" s="289"/>
      <c r="D275" s="350"/>
      <c r="E275" s="289">
        <f>C119</f>
        <v>3.2309999999999999</v>
      </c>
      <c r="F275" s="472"/>
      <c r="G275" s="312"/>
      <c r="H275" s="305"/>
      <c r="I275" s="302"/>
      <c r="J275" s="302"/>
      <c r="K275" s="291"/>
      <c r="L275" s="291"/>
    </row>
    <row r="276" spans="1:12" ht="15.75" customHeight="1">
      <c r="A276" s="289" t="s">
        <v>12657</v>
      </c>
      <c r="B276" s="297"/>
      <c r="C276" s="462" t="str">
        <f>D122</f>
        <v>不根切</v>
      </c>
      <c r="D276" s="760"/>
      <c r="E276" s="462"/>
      <c r="F276" s="771"/>
      <c r="G276" s="462"/>
      <c r="H276" s="305"/>
      <c r="I276" s="302"/>
      <c r="J276" s="302"/>
      <c r="K276" s="291"/>
      <c r="L276" s="291"/>
    </row>
    <row r="277" spans="1:12" ht="15.75" customHeight="1">
      <c r="A277" s="312" t="s">
        <v>12658</v>
      </c>
      <c r="B277" s="297"/>
      <c r="C277" s="462" t="str">
        <f>D120</f>
        <v>齿顶未变尖</v>
      </c>
      <c r="D277" s="760"/>
      <c r="E277" s="462"/>
      <c r="F277" s="771"/>
      <c r="G277" s="462" t="str">
        <f>H120</f>
        <v>齿顶未变尖</v>
      </c>
      <c r="H277" s="305"/>
      <c r="I277" s="302"/>
      <c r="J277" s="302"/>
      <c r="K277" s="291"/>
      <c r="L277" s="291"/>
    </row>
    <row r="278" spans="1:12" ht="15.75" customHeight="1">
      <c r="A278" s="473"/>
      <c r="B278" s="338"/>
      <c r="C278" s="474"/>
      <c r="D278" s="335"/>
      <c r="E278" s="474"/>
      <c r="F278" s="772"/>
      <c r="G278" s="475"/>
      <c r="H278" s="335"/>
      <c r="I278" s="302"/>
      <c r="J278" s="302"/>
      <c r="K278" s="291"/>
      <c r="L278" s="291"/>
    </row>
    <row r="279" spans="1:12" ht="15.75" customHeight="1">
      <c r="A279" s="461" t="s">
        <v>3333</v>
      </c>
      <c r="B279" s="311"/>
      <c r="C279" s="760" t="str">
        <f>IF(OR(C33="",C34="",C35=""),"             （未输入精度等级）","（按 GB10095—88 渐开线圆柱齿轮 精度，GB10096—88 齿条精度）")</f>
        <v>（按 GB10095—88 渐开线圆柱齿轮 精度，GB10096—88 齿条精度）</v>
      </c>
      <c r="D279" s="343"/>
      <c r="E279" s="717"/>
      <c r="F279" s="349"/>
      <c r="G279" s="435"/>
      <c r="H279" s="311"/>
      <c r="I279" s="302"/>
      <c r="J279" s="302"/>
      <c r="K279" s="291"/>
      <c r="L279" s="291"/>
    </row>
    <row r="280" spans="1:12" ht="15.75" customHeight="1">
      <c r="A280" s="289" t="s">
        <v>12659</v>
      </c>
      <c r="B280" s="435" t="s">
        <v>3335</v>
      </c>
      <c r="C280" s="435"/>
      <c r="D280" s="312"/>
      <c r="E280" s="312">
        <f>IF(OR(C33=0,C34=0,C35=0),"",C33)</f>
        <v>8</v>
      </c>
      <c r="F280" s="312"/>
      <c r="G280" s="435"/>
      <c r="H280" s="311"/>
      <c r="I280" s="289"/>
      <c r="J280" s="302"/>
      <c r="K280" s="291"/>
      <c r="L280" s="291"/>
    </row>
    <row r="281" spans="1:12" ht="15.75" customHeight="1">
      <c r="A281" s="434"/>
      <c r="B281" s="435" t="s">
        <v>3336</v>
      </c>
      <c r="C281" s="435"/>
      <c r="D281" s="312"/>
      <c r="E281" s="312">
        <f>IF(OR(C33=0,C34=0,C35=0),"",C34)</f>
        <v>7</v>
      </c>
      <c r="F281" s="350"/>
      <c r="G281" s="435"/>
      <c r="H281" s="311"/>
      <c r="I281" s="302"/>
      <c r="J281" s="302"/>
      <c r="K281" s="291"/>
      <c r="L281" s="291"/>
    </row>
    <row r="282" spans="1:12" ht="15.75" customHeight="1">
      <c r="A282" s="434"/>
      <c r="B282" s="435" t="s">
        <v>3337</v>
      </c>
      <c r="C282" s="435"/>
      <c r="D282" s="312"/>
      <c r="E282" s="312">
        <f>IF(OR(C33=0,C34=0,C35=0),"",C35)</f>
        <v>7</v>
      </c>
      <c r="F282" s="312"/>
      <c r="G282" s="435"/>
      <c r="H282" s="311"/>
      <c r="I282" s="302"/>
      <c r="J282" s="302"/>
      <c r="K282" s="291"/>
      <c r="L282" s="291"/>
    </row>
    <row r="283" spans="1:12" ht="15.75" customHeight="1">
      <c r="A283" s="352" t="s">
        <v>3338</v>
      </c>
      <c r="B283" s="339" t="s">
        <v>937</v>
      </c>
      <c r="C283" s="298" t="str">
        <f>IF(OR(C33=0,C34=0,C35=0,C45&lt;&gt;""),"",F203)</f>
        <v/>
      </c>
      <c r="D283" s="328"/>
      <c r="E283" s="285"/>
      <c r="F283" s="328"/>
      <c r="G283" s="298" t="str">
        <f>IF(OR(C33=0,C34=0,C35=0,C47&lt;&gt;""),"",F205)</f>
        <v/>
      </c>
      <c r="H283" s="311"/>
      <c r="I283" s="302"/>
      <c r="J283" s="302"/>
      <c r="K283" s="291"/>
      <c r="L283" s="291"/>
    </row>
    <row r="284" spans="1:12" ht="15.75" customHeight="1">
      <c r="A284" s="352"/>
      <c r="B284" s="339" t="s">
        <v>938</v>
      </c>
      <c r="C284" s="298" t="str">
        <f>IF(OR(C33=0,C34=0,C35=0,C46&lt;&gt;""),"",F204)</f>
        <v/>
      </c>
      <c r="D284" s="328"/>
      <c r="E284" s="285"/>
      <c r="F284" s="328"/>
      <c r="G284" s="298" t="str">
        <f>IF(OR(C33=0,C34=0,C35=0,C48&lt;&gt;""),"",F206)</f>
        <v/>
      </c>
      <c r="H284" s="311"/>
      <c r="I284" s="302"/>
      <c r="J284" s="302"/>
      <c r="K284" s="291"/>
      <c r="L284" s="291"/>
    </row>
    <row r="285" spans="1:12" ht="15.75" customHeight="1">
      <c r="A285" s="289" t="s">
        <v>12613</v>
      </c>
      <c r="B285" s="298" t="s">
        <v>3339</v>
      </c>
      <c r="C285" s="289">
        <f>IF(OR(C33=0,C34=0,C35=0),"",C200)</f>
        <v>-0.1</v>
      </c>
      <c r="D285" s="311" t="s">
        <v>2820</v>
      </c>
      <c r="E285" s="289"/>
      <c r="F285" s="298"/>
      <c r="G285" s="289">
        <f>IF(OR(C33=0,C34=0,C35=0),"",G200)</f>
        <v>-0.15</v>
      </c>
      <c r="H285" s="311" t="s">
        <v>2820</v>
      </c>
      <c r="I285" s="302"/>
      <c r="J285" s="302"/>
      <c r="K285" s="291"/>
      <c r="L285" s="291"/>
    </row>
    <row r="286" spans="1:12" ht="15.75" customHeight="1">
      <c r="A286" s="289" t="s">
        <v>12614</v>
      </c>
      <c r="B286" s="298" t="s">
        <v>3340</v>
      </c>
      <c r="C286" s="289">
        <f>IF(OR(C33=0,C34=0,C35=0),"",C201)</f>
        <v>-0.2</v>
      </c>
      <c r="D286" s="311" t="s">
        <v>2820</v>
      </c>
      <c r="E286" s="289"/>
      <c r="F286" s="298"/>
      <c r="G286" s="289">
        <f>IF(OR(C33=0,C34=0,C35=0),"",G201)</f>
        <v>-0.25</v>
      </c>
      <c r="H286" s="311" t="s">
        <v>2820</v>
      </c>
      <c r="I286" s="302"/>
      <c r="J286" s="302"/>
      <c r="K286" s="291"/>
      <c r="L286" s="291"/>
    </row>
    <row r="287" spans="1:12" ht="15.75" customHeight="1">
      <c r="A287" s="289" t="s">
        <v>12660</v>
      </c>
      <c r="B287" s="298" t="s">
        <v>3342</v>
      </c>
      <c r="C287" s="289">
        <f>IF(OR(C33=0,C34=0,C35=0),"",C202)</f>
        <v>0.1</v>
      </c>
      <c r="D287" s="311" t="s">
        <v>2820</v>
      </c>
      <c r="E287" s="289"/>
      <c r="F287" s="298"/>
      <c r="G287" s="289">
        <f>IF(OR(C33=0,C34=0,C35=0),"",G202)</f>
        <v>0.1</v>
      </c>
      <c r="H287" s="311" t="s">
        <v>2820</v>
      </c>
      <c r="I287" s="302"/>
      <c r="J287" s="302"/>
      <c r="K287" s="291"/>
      <c r="L287" s="291"/>
    </row>
    <row r="288" spans="1:12" ht="15.75" customHeight="1">
      <c r="A288" s="279" t="s">
        <v>12661</v>
      </c>
      <c r="B288" s="298" t="s">
        <v>3344</v>
      </c>
      <c r="C288" s="289"/>
      <c r="D288" s="311"/>
      <c r="E288" s="289">
        <f>IF(OR(C33=0,C34=0,C35=0),"",ABS(C285+G285))</f>
        <v>0.25</v>
      </c>
      <c r="F288" s="311" t="s">
        <v>2820</v>
      </c>
      <c r="G288" s="289"/>
      <c r="H288" s="311"/>
      <c r="I288" s="302"/>
      <c r="J288" s="302"/>
      <c r="K288" s="291"/>
      <c r="L288" s="291"/>
    </row>
    <row r="289" spans="1:12" ht="15.75" customHeight="1">
      <c r="A289" s="279" t="s">
        <v>12662</v>
      </c>
      <c r="B289" s="298" t="s">
        <v>3346</v>
      </c>
      <c r="C289" s="289"/>
      <c r="D289" s="311"/>
      <c r="E289" s="289">
        <f>IF(OR(C33=0,C34=0,C35=0),"",ABS(C286+G286))</f>
        <v>0.45</v>
      </c>
      <c r="F289" s="311" t="s">
        <v>2820</v>
      </c>
      <c r="G289" s="289"/>
      <c r="H289" s="311"/>
      <c r="I289" s="302"/>
      <c r="J289" s="302"/>
      <c r="K289" s="291"/>
      <c r="L289" s="291"/>
    </row>
    <row r="290" spans="1:12" ht="15.75" customHeight="1">
      <c r="A290" s="405" t="s">
        <v>4233</v>
      </c>
      <c r="B290" s="298"/>
      <c r="C290" s="289"/>
      <c r="D290" s="311"/>
      <c r="E290" s="289"/>
      <c r="F290" s="311"/>
      <c r="G290" s="289"/>
      <c r="H290" s="311"/>
      <c r="I290" s="302"/>
      <c r="J290" s="302"/>
      <c r="K290" s="291"/>
      <c r="L290" s="291"/>
    </row>
    <row r="291" spans="1:12" ht="15.75" customHeight="1">
      <c r="A291" s="323" t="s">
        <v>4234</v>
      </c>
      <c r="B291" s="298" t="s">
        <v>3257</v>
      </c>
      <c r="C291" s="289">
        <f>IF(OR(C33=0,C34=0,C35=0),"",C208)</f>
        <v>-0.105</v>
      </c>
      <c r="D291" s="311" t="s">
        <v>2820</v>
      </c>
      <c r="E291" s="289"/>
      <c r="F291" s="311"/>
      <c r="G291" s="289"/>
      <c r="H291" s="311"/>
      <c r="I291" s="302"/>
      <c r="J291" s="302"/>
      <c r="K291" s="291"/>
      <c r="L291" s="291"/>
    </row>
    <row r="292" spans="1:12" ht="15.75" customHeight="1">
      <c r="A292" s="382"/>
      <c r="B292" s="298" t="s">
        <v>3259</v>
      </c>
      <c r="C292" s="289">
        <f>IF(OR(C33=0,C34=0,C35=0),"",C209)</f>
        <v>-0.17699999999999999</v>
      </c>
      <c r="D292" s="311" t="s">
        <v>2820</v>
      </c>
      <c r="E292" s="289"/>
      <c r="F292" s="311"/>
      <c r="G292" s="289"/>
      <c r="H292" s="311"/>
      <c r="I292" s="302"/>
      <c r="J292" s="302"/>
      <c r="K292" s="291"/>
      <c r="L292" s="291"/>
    </row>
    <row r="293" spans="1:12" ht="15.75" customHeight="1">
      <c r="A293" s="382"/>
      <c r="B293" s="298" t="s">
        <v>3261</v>
      </c>
      <c r="C293" s="289">
        <f>IF(OR(C33=0,C34=0,C35=0),"",C210)</f>
        <v>7.1999999999999995E-2</v>
      </c>
      <c r="D293" s="311" t="s">
        <v>2820</v>
      </c>
      <c r="E293" s="289"/>
      <c r="F293" s="311"/>
      <c r="G293" s="289"/>
      <c r="H293" s="311"/>
      <c r="I293" s="302"/>
      <c r="J293" s="302"/>
      <c r="K293" s="291"/>
      <c r="L293" s="291"/>
    </row>
    <row r="294" spans="1:12" ht="15.75" customHeight="1">
      <c r="A294" s="405" t="s">
        <v>4236</v>
      </c>
      <c r="B294" s="773"/>
      <c r="C294" s="299"/>
      <c r="D294" s="294"/>
      <c r="E294" s="289"/>
      <c r="F294" s="311"/>
      <c r="G294" s="299"/>
      <c r="H294" s="294"/>
      <c r="I294" s="302"/>
      <c r="J294" s="302"/>
      <c r="K294" s="291"/>
      <c r="L294" s="291"/>
    </row>
    <row r="295" spans="1:12" ht="15.75" customHeight="1">
      <c r="A295" s="323" t="s">
        <v>4234</v>
      </c>
      <c r="B295" s="298" t="s">
        <v>3263</v>
      </c>
      <c r="C295" s="289">
        <f>IF(OR(C33=0,C34=0,C35=0),"",C212)</f>
        <v>-0.219</v>
      </c>
      <c r="D295" s="311" t="s">
        <v>2820</v>
      </c>
      <c r="E295" s="289"/>
      <c r="F295" s="311"/>
      <c r="G295" s="289">
        <f>IF(OR(C33=0,C34=0,C35=0),"",G212)</f>
        <v>-0.20599999999999999</v>
      </c>
      <c r="H295" s="311" t="s">
        <v>2820</v>
      </c>
      <c r="I295" s="302"/>
      <c r="J295" s="302"/>
      <c r="K295" s="291"/>
      <c r="L295" s="291"/>
    </row>
    <row r="296" spans="1:12" ht="15.75" customHeight="1">
      <c r="A296" s="382"/>
      <c r="B296" s="298" t="s">
        <v>3265</v>
      </c>
      <c r="C296" s="289">
        <f>IF(OR(C33=0,C34=0,C35=0),"",C213)</f>
        <v>-0.36899999999999999</v>
      </c>
      <c r="D296" s="311" t="s">
        <v>2820</v>
      </c>
      <c r="E296" s="289"/>
      <c r="F296" s="311"/>
      <c r="G296" s="289">
        <f>IF(OR(C33=0,C34=0,C35=0),"",G213)</f>
        <v>-0.34300000000000003</v>
      </c>
      <c r="H296" s="311" t="s">
        <v>2820</v>
      </c>
      <c r="I296" s="302"/>
      <c r="J296" s="302"/>
      <c r="K296" s="291"/>
      <c r="L296" s="291"/>
    </row>
    <row r="297" spans="1:12" ht="15.75" customHeight="1">
      <c r="A297" s="382"/>
      <c r="B297" s="298" t="s">
        <v>3267</v>
      </c>
      <c r="C297" s="289">
        <f>IF(OR(C33=0,C34=0,C35=0),"",C214)</f>
        <v>0.15</v>
      </c>
      <c r="D297" s="311" t="s">
        <v>2820</v>
      </c>
      <c r="E297" s="289"/>
      <c r="F297" s="311"/>
      <c r="G297" s="289">
        <f>IF(OR(C33=0,C34=0,C35=0),"",G214)</f>
        <v>0</v>
      </c>
      <c r="H297" s="311" t="s">
        <v>2820</v>
      </c>
      <c r="I297" s="302"/>
      <c r="J297" s="302"/>
      <c r="K297" s="291"/>
      <c r="L297" s="291"/>
    </row>
    <row r="298" spans="1:12" ht="15.75" customHeight="1">
      <c r="A298" s="289" t="s">
        <v>12612</v>
      </c>
      <c r="B298" s="298" t="s">
        <v>3347</v>
      </c>
      <c r="C298" s="289">
        <f>IF(OR(C33=0,C34=0,C35=0),"",C198/1000)</f>
        <v>6.0999999999999999E-2</v>
      </c>
      <c r="D298" s="311" t="s">
        <v>2820</v>
      </c>
      <c r="E298" s="289"/>
      <c r="F298" s="298"/>
      <c r="G298" s="289">
        <f>IF(OR(C33=0,C34=0,C35=0),"",G198/1000)</f>
        <v>0.215</v>
      </c>
      <c r="H298" s="311" t="s">
        <v>2820</v>
      </c>
      <c r="I298" s="302"/>
      <c r="J298" s="302"/>
      <c r="K298" s="291"/>
      <c r="L298" s="291"/>
    </row>
    <row r="299" spans="1:12" ht="15.75" customHeight="1">
      <c r="A299" s="462" t="s">
        <v>3223</v>
      </c>
      <c r="B299" s="298" t="s">
        <v>3348</v>
      </c>
      <c r="C299" s="289">
        <f>IF(OR(C33=0,C34=0,C35=0),"",C199/1000)</f>
        <v>1.4999999999999999E-2</v>
      </c>
      <c r="D299" s="311" t="s">
        <v>2820</v>
      </c>
      <c r="E299" s="289"/>
      <c r="F299" s="298"/>
      <c r="G299" s="289">
        <f>IF(OR(C33=0,C34=0,C35=0),"",G199/1000)</f>
        <v>4.4999999999999998E-2</v>
      </c>
      <c r="H299" s="311" t="s">
        <v>2820</v>
      </c>
      <c r="I299" s="302"/>
      <c r="J299" s="302"/>
      <c r="K299" s="291"/>
      <c r="L299" s="291"/>
    </row>
    <row r="300" spans="1:12" ht="15.75" customHeight="1">
      <c r="A300" s="297" t="s">
        <v>12663</v>
      </c>
      <c r="B300" s="298" t="s">
        <v>3352</v>
      </c>
      <c r="C300" s="289">
        <f>IF(OR(C33=0,C34=0,C35=0),"",C132/1000)</f>
        <v>0.05</v>
      </c>
      <c r="D300" s="311" t="s">
        <v>2820</v>
      </c>
      <c r="E300" s="478"/>
      <c r="F300" s="298"/>
      <c r="G300" s="289">
        <f>IF(OR(C33=0,C34=0,C35=0),"",G132/1000)</f>
        <v>0.19</v>
      </c>
      <c r="H300" s="311" t="s">
        <v>2820</v>
      </c>
      <c r="I300" s="302"/>
      <c r="J300" s="302"/>
      <c r="K300" s="291"/>
      <c r="L300" s="291"/>
    </row>
    <row r="301" spans="1:12" ht="15.75" customHeight="1">
      <c r="A301" s="297" t="s">
        <v>14376</v>
      </c>
      <c r="B301" s="298" t="s">
        <v>3354</v>
      </c>
      <c r="C301" s="289">
        <f>IF(OR(C33=0,C34=0,C35=0),"",C154/1000)</f>
        <v>1.4E-2</v>
      </c>
      <c r="D301" s="311" t="s">
        <v>2820</v>
      </c>
      <c r="E301" s="478"/>
      <c r="F301" s="298"/>
      <c r="G301" s="289">
        <f>IF(OR(C33=0,C34=0,C35=0),"",G154/1000)</f>
        <v>0.02</v>
      </c>
      <c r="H301" s="311" t="s">
        <v>2820</v>
      </c>
      <c r="I301" s="302"/>
      <c r="J301" s="302"/>
      <c r="K301" s="291"/>
      <c r="L301" s="291"/>
    </row>
    <row r="302" spans="1:12" ht="15.75" customHeight="1">
      <c r="A302" s="279" t="s">
        <v>12665</v>
      </c>
      <c r="B302" s="323" t="s">
        <v>12666</v>
      </c>
      <c r="C302" s="289">
        <f>IF(OR(C33=0,C34=0,C35=0),"",C166/1000)</f>
        <v>1.2999999999999999E-2</v>
      </c>
      <c r="D302" s="311" t="s">
        <v>2820</v>
      </c>
      <c r="E302" s="478"/>
      <c r="F302" s="298"/>
      <c r="G302" s="289"/>
      <c r="H302" s="311"/>
      <c r="I302" s="302"/>
      <c r="J302" s="302"/>
      <c r="K302" s="291"/>
      <c r="L302" s="291"/>
    </row>
    <row r="303" spans="1:12" ht="15.75" customHeight="1">
      <c r="A303" s="279" t="s">
        <v>12667</v>
      </c>
      <c r="B303" s="298" t="s">
        <v>3356</v>
      </c>
      <c r="C303" s="289">
        <f>IF(OR(C33=0,C34=0,C35=0),"",C178/1000)</f>
        <v>1.0999999999999999E-2</v>
      </c>
      <c r="D303" s="311" t="s">
        <v>2820</v>
      </c>
      <c r="E303" s="478"/>
      <c r="F303" s="298"/>
      <c r="G303" s="289">
        <f>IF(OR(C33=0,C34=0,C35=0),"",G178/1000)</f>
        <v>2.5000000000000001E-2</v>
      </c>
      <c r="H303" s="311" t="s">
        <v>2820</v>
      </c>
      <c r="I303" s="302"/>
      <c r="J303" s="302"/>
      <c r="K303" s="291"/>
      <c r="L303" s="291"/>
    </row>
    <row r="304" spans="1:12" ht="15.75" customHeight="1">
      <c r="A304" s="279" t="s">
        <v>12668</v>
      </c>
      <c r="B304" s="309" t="s">
        <v>4722</v>
      </c>
      <c r="C304" s="289"/>
      <c r="D304" s="311"/>
      <c r="E304" s="289">
        <f>IF(OR(C33=0,C34=0,C35=0),"",C190/1000)</f>
        <v>1.0999999999999999E-2</v>
      </c>
      <c r="F304" s="311" t="s">
        <v>2820</v>
      </c>
      <c r="G304" s="289"/>
      <c r="H304" s="311"/>
      <c r="I304" s="302"/>
      <c r="J304" s="302"/>
      <c r="K304" s="291"/>
      <c r="L304" s="291"/>
    </row>
    <row r="305" spans="1:12" ht="15.75">
      <c r="A305" s="312" t="s">
        <v>12611</v>
      </c>
      <c r="B305" s="311" t="s">
        <v>3212</v>
      </c>
      <c r="C305" s="289"/>
      <c r="D305" s="322"/>
      <c r="E305" s="774">
        <f>IF(OR(C33=0,C34=0,C35=0),"",C196/100)</f>
        <v>0.45</v>
      </c>
      <c r="F305" s="322"/>
      <c r="G305" s="477"/>
      <c r="H305" s="478"/>
      <c r="I305" s="302"/>
      <c r="J305" s="302"/>
      <c r="K305" s="291"/>
      <c r="L305" s="291"/>
    </row>
    <row r="306" spans="1:12" ht="15.75" customHeight="1">
      <c r="A306" s="312"/>
      <c r="B306" s="311" t="s">
        <v>3213</v>
      </c>
      <c r="C306" s="289"/>
      <c r="D306" s="322"/>
      <c r="E306" s="774">
        <f>IF(OR(C33=0,C34=0,C35=0),"",C197/100)</f>
        <v>0.6</v>
      </c>
      <c r="F306" s="322"/>
      <c r="G306" s="477"/>
      <c r="H306" s="478"/>
      <c r="I306" s="302"/>
      <c r="J306" s="302"/>
      <c r="K306" s="291"/>
      <c r="L306" s="291"/>
    </row>
    <row r="307" spans="1:12" ht="15.75" customHeight="1">
      <c r="A307" s="326" t="s">
        <v>3268</v>
      </c>
      <c r="B307" s="298" t="s">
        <v>3269</v>
      </c>
      <c r="C307" s="289"/>
      <c r="D307" s="322"/>
      <c r="E307" s="312">
        <f>IF(OR(C33=0,C34=0,C35=0),"",C215/1000)</f>
        <v>1.0999999999999999E-2</v>
      </c>
      <c r="F307" s="311" t="s">
        <v>2820</v>
      </c>
      <c r="G307" s="477"/>
      <c r="H307" s="478"/>
      <c r="I307" s="781"/>
      <c r="J307" s="302"/>
      <c r="K307" s="291"/>
      <c r="L307" s="291"/>
    </row>
    <row r="308" spans="1:12" ht="15.75" customHeight="1">
      <c r="A308" s="339" t="s">
        <v>3270</v>
      </c>
      <c r="B308" s="298" t="s">
        <v>3271</v>
      </c>
      <c r="C308" s="289"/>
      <c r="D308" s="322"/>
      <c r="E308" s="312">
        <f>IF(OR(C33=0,C34=0,C35=0),"",C216/1000)</f>
        <v>5.4999999999999997E-3</v>
      </c>
      <c r="F308" s="311" t="s">
        <v>2820</v>
      </c>
      <c r="G308" s="477"/>
      <c r="H308" s="478"/>
      <c r="I308" s="302"/>
      <c r="J308" s="302"/>
      <c r="K308" s="291"/>
      <c r="L308" s="291"/>
    </row>
    <row r="309" spans="1:12" ht="15.75" customHeight="1">
      <c r="A309" s="279" t="s">
        <v>12617</v>
      </c>
      <c r="B309" s="323" t="s">
        <v>12618</v>
      </c>
      <c r="C309" s="289"/>
      <c r="D309" s="322"/>
      <c r="E309" s="312">
        <f>IF(OR(C33=0,C34=0,C35=0),"",C217/1000)</f>
        <v>1.95E-2</v>
      </c>
      <c r="F309" s="311" t="s">
        <v>2820</v>
      </c>
      <c r="G309" s="477"/>
      <c r="H309" s="478"/>
      <c r="I309" s="302"/>
      <c r="J309" s="302"/>
      <c r="K309" s="291"/>
      <c r="L309" s="291"/>
    </row>
    <row r="310" spans="1:12">
      <c r="A310" s="350" t="s">
        <v>3275</v>
      </c>
      <c r="B310" s="289"/>
      <c r="C310" s="289"/>
      <c r="D310" s="311"/>
      <c r="E310" s="478"/>
      <c r="F310" s="478"/>
      <c r="G310" s="289"/>
      <c r="H310" s="311"/>
      <c r="I310" s="302"/>
      <c r="J310" s="302"/>
      <c r="K310" s="291"/>
      <c r="L310" s="291"/>
    </row>
    <row r="311" spans="1:12" ht="15.75" customHeight="1">
      <c r="A311" s="312" t="s">
        <v>3276</v>
      </c>
      <c r="B311" s="339"/>
      <c r="C311" s="289" t="str">
        <f>IF(OR(C33=0,C34=0,C35=0),"",C220)</f>
        <v>IT7</v>
      </c>
      <c r="D311" s="350" t="str">
        <f>IF(OR(C33=0,C34=0,C35=0),"","GB 1800—79")</f>
        <v>GB 1800—79</v>
      </c>
      <c r="E311" s="289"/>
      <c r="F311" s="350"/>
      <c r="G311" s="289"/>
      <c r="H311" s="311"/>
      <c r="I311" s="302"/>
      <c r="J311" s="302"/>
      <c r="K311" s="291"/>
      <c r="L311" s="291"/>
    </row>
    <row r="312" spans="1:12" ht="15.75" customHeight="1">
      <c r="A312" s="312" t="s">
        <v>3277</v>
      </c>
      <c r="B312" s="339"/>
      <c r="C312" s="289" t="str">
        <f>IF(OR(C33=0,C34=0,C35=0),"",C221)</f>
        <v>IT6</v>
      </c>
      <c r="D312" s="350" t="str">
        <f>IF(OR(C33=0,C34=0,C35=0),"","GB 1800—79")</f>
        <v>GB 1800—79</v>
      </c>
      <c r="E312" s="289"/>
      <c r="F312" s="350"/>
      <c r="G312" s="289"/>
      <c r="H312" s="311"/>
      <c r="I312" s="302"/>
      <c r="J312" s="302"/>
      <c r="K312" s="291"/>
      <c r="L312" s="291"/>
    </row>
    <row r="313" spans="1:12" ht="15.75" customHeight="1">
      <c r="A313" s="350" t="s">
        <v>12669</v>
      </c>
      <c r="B313" s="311"/>
      <c r="C313" s="289" t="str">
        <f>IF(OR(C33=0,C34=0,C35=0),"",C222)</f>
        <v>IT8</v>
      </c>
      <c r="D313" s="350" t="str">
        <f>IF(OR(C33=0,C34=0,C35=0),"","GB 1800—79")</f>
        <v>GB 1800—79</v>
      </c>
      <c r="E313" s="289"/>
      <c r="F313" s="350"/>
      <c r="G313" s="289"/>
      <c r="H313" s="311"/>
      <c r="I313" s="302"/>
      <c r="J313" s="302"/>
      <c r="K313" s="291"/>
      <c r="L313" s="291"/>
    </row>
    <row r="314" spans="1:12" ht="15.75" customHeight="1">
      <c r="A314" s="337" t="s">
        <v>12670</v>
      </c>
      <c r="B314" s="311"/>
      <c r="C314" s="775" t="str">
        <f>IF(OR(C33=0,C34=0,C35=0),"",E222)</f>
        <v>IT11， 但不大于</v>
      </c>
      <c r="D314" s="730">
        <f>IF(OR(C33=0,C34=0,C35=0),"",F222)</f>
        <v>0.15</v>
      </c>
      <c r="E314" s="335" t="str">
        <f>IF(OR(C33=0,C34=0,C35=0),"","毫米")</f>
        <v>毫米</v>
      </c>
      <c r="F314" s="275"/>
      <c r="G314" s="337"/>
      <c r="H314" s="335"/>
      <c r="I314" s="302"/>
      <c r="J314" s="302"/>
      <c r="K314" s="291"/>
      <c r="L314" s="291"/>
    </row>
    <row r="315" spans="1:12" ht="15.75" customHeight="1">
      <c r="A315" s="399" t="s">
        <v>12671</v>
      </c>
      <c r="B315" s="776">
        <f>IF(OR(C33=0,C34=0,C35=0),"",IF(OR(E280&lt;&gt;E281,E280&lt;&gt;E282),E280,""))</f>
        <v>8</v>
      </c>
      <c r="C315" s="777">
        <f>IF(OR(C33=0,C34=0,C35=0),"",IF(OR(E280&lt;&gt;E281,E280&lt;&gt;E282),-E281,""))</f>
        <v>-7</v>
      </c>
      <c r="D315" s="778">
        <f>IF(OR(C33=0,C34=0,C35=0),"",IF(OR(E280&lt;&gt;E281,E280&lt;&gt;E282),-E282,E282))</f>
        <v>-7</v>
      </c>
      <c r="E315" s="777">
        <f>IF(OR(C33=0,C34=0,C35=0),"",IF(C45&lt;&gt;"",C45,F203))</f>
        <v>-0.1</v>
      </c>
      <c r="F315" s="778" t="str">
        <f>IF(OR(C33=0,C34=0,C35=0,C46&lt;&gt;""),"",F204)</f>
        <v/>
      </c>
      <c r="G315" s="461" t="str">
        <f>IF(OR(C33=0,C34=0,C35=0),"","GB 10096—88")</f>
        <v>GB 10096—88</v>
      </c>
      <c r="H315" s="779"/>
      <c r="I315" s="782"/>
      <c r="J315" s="302"/>
      <c r="K315" s="291"/>
      <c r="L315" s="291"/>
    </row>
    <row r="316" spans="1:12" ht="15.75" customHeight="1">
      <c r="A316" s="399"/>
      <c r="B316" s="780"/>
      <c r="C316" s="435"/>
      <c r="D316" s="461"/>
      <c r="E316" s="435">
        <f>IF(OR(C33=0,C34=0,C35=0),"",IF(C46&lt;&gt;"",C46,""))</f>
        <v>-0.2</v>
      </c>
      <c r="F316" s="461"/>
      <c r="G316" s="461"/>
      <c r="H316" s="350"/>
      <c r="I316" s="782"/>
      <c r="J316" s="302"/>
      <c r="K316" s="291"/>
      <c r="L316" s="291"/>
    </row>
    <row r="317" spans="1:12" ht="15.75" customHeight="1">
      <c r="A317" s="279" t="s">
        <v>12672</v>
      </c>
      <c r="B317" s="780">
        <f>IF(OR(C33=0,C34=0,C35=0),"",IF(OR(E280&lt;&gt;E281,E280&lt;&gt;E282),E280,""))</f>
        <v>8</v>
      </c>
      <c r="C317" s="435">
        <f>IF(OR(C33=0,C34=0,C35=0),"",IF(OR(E280&lt;&gt;E281,E280&lt;&gt;E282),-E281,""))</f>
        <v>-7</v>
      </c>
      <c r="D317" s="461">
        <f>IF(OR(C33=0,C34=0,C35=0),"",IF(OR(E280&lt;&gt;E281,E280&lt;&gt;E282),-E282,E282))</f>
        <v>-7</v>
      </c>
      <c r="E317" s="435">
        <f>IF(OR(C33=0,C34=0,C35=0),"",IF(C47&lt;&gt;"",C47,F205))</f>
        <v>-0.15</v>
      </c>
      <c r="F317" s="461" t="str">
        <f>IF(OR(C33=0,C34=0,C35=0,C48&lt;&gt;""),"",F206)</f>
        <v/>
      </c>
      <c r="G317" s="461" t="str">
        <f>IF(OR(C33=0,C34=0,C35=0),"","GB 10096—88")</f>
        <v>GB 10096—88</v>
      </c>
      <c r="H317" s="350"/>
      <c r="I317" s="782"/>
      <c r="J317" s="302"/>
      <c r="K317" s="291"/>
      <c r="L317" s="291"/>
    </row>
    <row r="318" spans="1:12" ht="15.75" customHeight="1">
      <c r="A318" s="279"/>
      <c r="B318" s="780"/>
      <c r="C318" s="435"/>
      <c r="D318" s="461"/>
      <c r="E318" s="435">
        <f>IF(OR(C33=0,C34=0,C35=0),"",IF(C48&lt;&gt;"",C48,""))</f>
        <v>-0.25</v>
      </c>
      <c r="F318" s="461"/>
      <c r="G318" s="461"/>
      <c r="H318" s="350"/>
      <c r="I318" s="782"/>
      <c r="J318" s="302"/>
      <c r="K318" s="291"/>
      <c r="L318" s="291"/>
    </row>
    <row r="319" spans="1:12" ht="15.75" customHeight="1">
      <c r="A319" s="401"/>
      <c r="B319" s="278"/>
      <c r="C319" s="275"/>
      <c r="D319" s="730"/>
      <c r="E319" s="275" t="str">
        <f>IF(OR(C33=0,C34=0,C35=0),"",IF(C45&lt;&gt;"","注：齿厚上、下偏差两边加括号",""))</f>
        <v>注：齿厚上、下偏差两边加括号</v>
      </c>
      <c r="F319" s="730"/>
      <c r="G319" s="275"/>
      <c r="H319" s="335"/>
      <c r="I319" s="302"/>
      <c r="J319" s="302"/>
      <c r="K319" s="485"/>
      <c r="L319" s="291"/>
    </row>
    <row r="320" spans="1:12" ht="15.75" customHeight="1">
      <c r="A320" s="288" t="s">
        <v>12673</v>
      </c>
      <c r="B320" s="311"/>
      <c r="C320" s="289"/>
      <c r="D320" s="311"/>
      <c r="E320" s="493"/>
      <c r="F320" s="478"/>
      <c r="G320" s="289"/>
      <c r="H320" s="311"/>
      <c r="I320" s="302"/>
      <c r="J320" s="302"/>
      <c r="K320" s="291"/>
      <c r="L320" s="291"/>
    </row>
    <row r="321" ht="15.75" customHeight="1"/>
    <row r="322" ht="15.75" customHeight="1"/>
    <row r="323" ht="15.75" customHeight="1"/>
    <row r="324" ht="15.75" customHeight="1"/>
    <row r="327" ht="15" customHeight="1"/>
    <row r="332" ht="15.75" customHeight="1"/>
    <row r="333" ht="15.75" customHeight="1"/>
    <row r="334" ht="15.75" customHeight="1"/>
    <row r="342" ht="15" customHeight="1"/>
    <row r="345" ht="15.75" customHeight="1"/>
    <row r="346" ht="15.75" customHeight="1"/>
    <row r="347" ht="15.75" customHeight="1"/>
    <row r="348" ht="15.75" customHeight="1"/>
    <row r="349" ht="15.75" customHeight="1"/>
    <row r="350" ht="15.75" customHeight="1"/>
    <row r="351" ht="15.75" customHeight="1"/>
  </sheetData>
  <phoneticPr fontId="214" type="noConversion"/>
  <pageMargins left="0.75" right="0.75" top="1" bottom="1" header="0.5" footer="0.5"/>
  <headerFooter scaleWithDoc="0" alignWithMargins="0"/>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3"/>
  <dimension ref="A1:I93"/>
  <sheetViews>
    <sheetView workbookViewId="0">
      <pane ySplit="4" topLeftCell="A5" activePane="bottomLeft" state="frozen"/>
      <selection pane="bottomLeft" sqref="A1:H1"/>
    </sheetView>
  </sheetViews>
  <sheetFormatPr defaultColWidth="9" defaultRowHeight="14.25"/>
  <cols>
    <col min="1" max="1" width="11.125" style="510" customWidth="1"/>
    <col min="2" max="2" width="16.5" style="510" customWidth="1"/>
    <col min="3" max="4" width="10.5" style="510"/>
    <col min="5" max="5" width="11.125" style="510"/>
    <col min="6" max="6" width="11.375" style="510"/>
    <col min="7" max="7" width="9.125" style="510" customWidth="1"/>
    <col min="8" max="8" width="7" style="510" customWidth="1"/>
    <col min="9" max="16384" width="9" style="510"/>
  </cols>
  <sheetData>
    <row r="1" spans="1:8" ht="22.5">
      <c r="A1" s="6030" t="s">
        <v>27</v>
      </c>
      <c r="B1" s="6030"/>
      <c r="C1" s="6030"/>
      <c r="D1" s="6030"/>
      <c r="E1" s="6030"/>
      <c r="F1" s="6030"/>
      <c r="G1" s="6030"/>
      <c r="H1" s="6030"/>
    </row>
    <row r="3" spans="1:8">
      <c r="A3" s="6019" t="s">
        <v>13819</v>
      </c>
      <c r="B3" s="6019" t="s">
        <v>13820</v>
      </c>
      <c r="C3" s="6019" t="s">
        <v>13821</v>
      </c>
      <c r="D3" s="6019"/>
      <c r="E3" s="6019" t="s">
        <v>159</v>
      </c>
      <c r="F3" s="6019"/>
      <c r="G3" s="6019" t="s">
        <v>13822</v>
      </c>
      <c r="H3" s="6019"/>
    </row>
    <row r="4" spans="1:8">
      <c r="A4" s="6020"/>
      <c r="B4" s="6020"/>
      <c r="C4" s="678" t="s">
        <v>13823</v>
      </c>
      <c r="D4" s="678" t="s">
        <v>13824</v>
      </c>
      <c r="E4" s="678" t="s">
        <v>13825</v>
      </c>
      <c r="F4" s="678" t="s">
        <v>13826</v>
      </c>
      <c r="G4" s="678" t="s">
        <v>13827</v>
      </c>
      <c r="H4" s="678" t="s">
        <v>13828</v>
      </c>
    </row>
    <row r="5" spans="1:8">
      <c r="A5" s="6023" t="s">
        <v>13829</v>
      </c>
      <c r="B5" s="6024"/>
      <c r="C5" s="6024"/>
      <c r="D5" s="6024"/>
      <c r="E5" s="6024"/>
      <c r="F5" s="6024"/>
      <c r="G5" s="6024"/>
      <c r="H5" s="6025"/>
    </row>
    <row r="6" spans="1:8">
      <c r="A6" s="6020">
        <v>45</v>
      </c>
      <c r="B6" s="6020" t="s">
        <v>13830</v>
      </c>
      <c r="C6" s="679" t="s">
        <v>13831</v>
      </c>
      <c r="D6" s="679" t="s">
        <v>13832</v>
      </c>
      <c r="E6" s="679">
        <v>588</v>
      </c>
      <c r="F6" s="679">
        <v>294</v>
      </c>
      <c r="G6" s="680" t="s">
        <v>13833</v>
      </c>
      <c r="H6" s="6020"/>
    </row>
    <row r="7" spans="1:8">
      <c r="A7" s="6021"/>
      <c r="B7" s="6021"/>
      <c r="C7" s="680" t="s">
        <v>13834</v>
      </c>
      <c r="D7" s="680" t="s">
        <v>13835</v>
      </c>
      <c r="E7" s="680">
        <v>569</v>
      </c>
      <c r="F7" s="680">
        <v>284</v>
      </c>
      <c r="G7" s="680" t="s">
        <v>13836</v>
      </c>
      <c r="H7" s="6021"/>
    </row>
    <row r="8" spans="1:8">
      <c r="A8" s="6021"/>
      <c r="B8" s="6021"/>
      <c r="C8" s="680" t="s">
        <v>13837</v>
      </c>
      <c r="D8" s="680" t="s">
        <v>13838</v>
      </c>
      <c r="E8" s="680">
        <v>549</v>
      </c>
      <c r="F8" s="680">
        <v>275</v>
      </c>
      <c r="G8" s="680" t="s">
        <v>13836</v>
      </c>
      <c r="H8" s="6021"/>
    </row>
    <row r="9" spans="1:8">
      <c r="A9" s="6021"/>
      <c r="B9" s="6022"/>
      <c r="C9" s="680" t="s">
        <v>13839</v>
      </c>
      <c r="D9" s="680" t="s">
        <v>13840</v>
      </c>
      <c r="E9" s="680">
        <v>530</v>
      </c>
      <c r="F9" s="680">
        <v>265</v>
      </c>
      <c r="G9" s="680" t="s">
        <v>13841</v>
      </c>
      <c r="H9" s="6021"/>
    </row>
    <row r="10" spans="1:8">
      <c r="A10" s="6021"/>
      <c r="B10" s="6020" t="s">
        <v>13842</v>
      </c>
      <c r="C10" s="679" t="s">
        <v>13831</v>
      </c>
      <c r="D10" s="679" t="s">
        <v>13832</v>
      </c>
      <c r="E10" s="680">
        <v>647</v>
      </c>
      <c r="F10" s="680">
        <v>373</v>
      </c>
      <c r="G10" s="680" t="s">
        <v>13843</v>
      </c>
      <c r="H10" s="6021"/>
    </row>
    <row r="11" spans="1:8">
      <c r="A11" s="6021"/>
      <c r="B11" s="6021"/>
      <c r="C11" s="680" t="s">
        <v>13834</v>
      </c>
      <c r="D11" s="680" t="s">
        <v>13835</v>
      </c>
      <c r="E11" s="680">
        <v>628</v>
      </c>
      <c r="F11" s="680">
        <v>343</v>
      </c>
      <c r="G11" s="680" t="s">
        <v>13844</v>
      </c>
      <c r="H11" s="6021"/>
    </row>
    <row r="12" spans="1:8">
      <c r="A12" s="6021"/>
      <c r="B12" s="6022"/>
      <c r="C12" s="680" t="s">
        <v>13837</v>
      </c>
      <c r="D12" s="680" t="s">
        <v>13838</v>
      </c>
      <c r="E12" s="680">
        <v>608</v>
      </c>
      <c r="F12" s="680">
        <v>314</v>
      </c>
      <c r="G12" s="680" t="s">
        <v>13845</v>
      </c>
      <c r="H12" s="6022"/>
    </row>
    <row r="13" spans="1:8">
      <c r="A13" s="6022"/>
      <c r="B13" s="514" t="s">
        <v>13846</v>
      </c>
      <c r="C13" s="6026"/>
      <c r="D13" s="6027"/>
      <c r="E13" s="6027"/>
      <c r="F13" s="6027"/>
      <c r="G13" s="6028"/>
      <c r="H13" s="680" t="s">
        <v>13847</v>
      </c>
    </row>
    <row r="14" spans="1:8">
      <c r="A14" s="6020" t="s">
        <v>3511</v>
      </c>
      <c r="B14" s="6020" t="s">
        <v>13842</v>
      </c>
      <c r="C14" s="679" t="s">
        <v>13831</v>
      </c>
      <c r="D14" s="679" t="s">
        <v>13832</v>
      </c>
      <c r="E14" s="680">
        <v>785</v>
      </c>
      <c r="F14" s="680">
        <v>510</v>
      </c>
      <c r="G14" s="680" t="s">
        <v>13843</v>
      </c>
      <c r="H14" s="6020"/>
    </row>
    <row r="15" spans="1:8">
      <c r="A15" s="6021"/>
      <c r="B15" s="6021"/>
      <c r="C15" s="680" t="s">
        <v>13834</v>
      </c>
      <c r="D15" s="680" t="s">
        <v>13835</v>
      </c>
      <c r="E15" s="680">
        <v>735</v>
      </c>
      <c r="F15" s="680">
        <v>441</v>
      </c>
      <c r="G15" s="680" t="s">
        <v>13848</v>
      </c>
      <c r="H15" s="6021"/>
    </row>
    <row r="16" spans="1:8">
      <c r="A16" s="6021"/>
      <c r="B16" s="6021"/>
      <c r="C16" s="680" t="s">
        <v>13849</v>
      </c>
      <c r="D16" s="680" t="s">
        <v>13850</v>
      </c>
      <c r="E16" s="680">
        <v>686</v>
      </c>
      <c r="F16" s="680">
        <v>392</v>
      </c>
      <c r="G16" s="680" t="s">
        <v>13844</v>
      </c>
      <c r="H16" s="6021"/>
    </row>
    <row r="17" spans="1:8">
      <c r="A17" s="6021"/>
      <c r="B17" s="6022"/>
      <c r="C17" s="680" t="s">
        <v>13851</v>
      </c>
      <c r="D17" s="680" t="s">
        <v>13852</v>
      </c>
      <c r="E17" s="680">
        <v>637</v>
      </c>
      <c r="F17" s="680">
        <v>373</v>
      </c>
      <c r="G17" s="680" t="s">
        <v>13853</v>
      </c>
      <c r="H17" s="6022"/>
    </row>
    <row r="18" spans="1:8">
      <c r="A18" s="6022"/>
      <c r="B18" s="514" t="s">
        <v>13846</v>
      </c>
      <c r="C18" s="6026"/>
      <c r="D18" s="6027"/>
      <c r="E18" s="6027"/>
      <c r="F18" s="6027"/>
      <c r="G18" s="6028"/>
      <c r="H18" s="680" t="s">
        <v>13854</v>
      </c>
    </row>
    <row r="19" spans="1:8">
      <c r="A19" s="6020" t="s">
        <v>3515</v>
      </c>
      <c r="B19" s="6020" t="s">
        <v>13842</v>
      </c>
      <c r="C19" s="679" t="s">
        <v>13831</v>
      </c>
      <c r="D19" s="679" t="s">
        <v>13832</v>
      </c>
      <c r="E19" s="680">
        <v>785</v>
      </c>
      <c r="F19" s="680">
        <v>510</v>
      </c>
      <c r="G19" s="680" t="s">
        <v>13843</v>
      </c>
      <c r="H19" s="6020"/>
    </row>
    <row r="20" spans="1:8">
      <c r="A20" s="6021"/>
      <c r="B20" s="6021"/>
      <c r="C20" s="680" t="s">
        <v>13855</v>
      </c>
      <c r="D20" s="680" t="s">
        <v>13856</v>
      </c>
      <c r="E20" s="680">
        <v>735</v>
      </c>
      <c r="F20" s="680">
        <v>461</v>
      </c>
      <c r="G20" s="680" t="s">
        <v>13848</v>
      </c>
      <c r="H20" s="6021"/>
    </row>
    <row r="21" spans="1:8">
      <c r="A21" s="6021"/>
      <c r="B21" s="6021"/>
      <c r="C21" s="680" t="s">
        <v>13857</v>
      </c>
      <c r="D21" s="680" t="s">
        <v>13858</v>
      </c>
      <c r="E21" s="680">
        <v>686</v>
      </c>
      <c r="F21" s="680">
        <v>441</v>
      </c>
      <c r="G21" s="680" t="s">
        <v>13844</v>
      </c>
      <c r="H21" s="6021"/>
    </row>
    <row r="22" spans="1:8">
      <c r="A22" s="6021"/>
      <c r="B22" s="6022"/>
      <c r="C22" s="680" t="s">
        <v>13837</v>
      </c>
      <c r="D22" s="680" t="s">
        <v>13838</v>
      </c>
      <c r="E22" s="680">
        <v>637</v>
      </c>
      <c r="F22" s="680">
        <v>373</v>
      </c>
      <c r="G22" s="680" t="s">
        <v>13853</v>
      </c>
      <c r="H22" s="6022"/>
    </row>
    <row r="23" spans="1:8">
      <c r="A23" s="6022"/>
      <c r="B23" s="514" t="s">
        <v>13846</v>
      </c>
      <c r="C23" s="6026"/>
      <c r="D23" s="6027"/>
      <c r="E23" s="6027"/>
      <c r="F23" s="6027"/>
      <c r="G23" s="6028"/>
      <c r="H23" s="680" t="s">
        <v>13854</v>
      </c>
    </row>
    <row r="24" spans="1:8">
      <c r="A24" s="6020" t="s">
        <v>13859</v>
      </c>
      <c r="B24" s="6020" t="s">
        <v>13842</v>
      </c>
      <c r="C24" s="679" t="s">
        <v>13831</v>
      </c>
      <c r="D24" s="679" t="s">
        <v>13832</v>
      </c>
      <c r="E24" s="680">
        <v>834</v>
      </c>
      <c r="F24" s="680">
        <v>539</v>
      </c>
      <c r="G24" s="680" t="s">
        <v>13843</v>
      </c>
      <c r="H24" s="6020"/>
    </row>
    <row r="25" spans="1:8">
      <c r="A25" s="6021"/>
      <c r="B25" s="6021"/>
      <c r="C25" s="680" t="s">
        <v>13855</v>
      </c>
      <c r="D25" s="680" t="s">
        <v>13856</v>
      </c>
      <c r="E25" s="680">
        <v>735</v>
      </c>
      <c r="F25" s="680">
        <v>490</v>
      </c>
      <c r="G25" s="680" t="s">
        <v>13848</v>
      </c>
      <c r="H25" s="6021"/>
    </row>
    <row r="26" spans="1:8">
      <c r="A26" s="6021"/>
      <c r="B26" s="6022"/>
      <c r="C26" s="680" t="s">
        <v>13857</v>
      </c>
      <c r="D26" s="680" t="s">
        <v>13858</v>
      </c>
      <c r="E26" s="680">
        <v>686</v>
      </c>
      <c r="F26" s="680">
        <v>441</v>
      </c>
      <c r="G26" s="680" t="s">
        <v>13860</v>
      </c>
      <c r="H26" s="6022"/>
    </row>
    <row r="27" spans="1:8">
      <c r="A27" s="6022"/>
      <c r="B27" s="514" t="s">
        <v>13846</v>
      </c>
      <c r="C27" s="6026"/>
      <c r="D27" s="6027"/>
      <c r="E27" s="6027"/>
      <c r="F27" s="6027"/>
      <c r="G27" s="6028"/>
      <c r="H27" s="680" t="s">
        <v>13861</v>
      </c>
    </row>
    <row r="28" spans="1:8">
      <c r="A28" s="6020" t="s">
        <v>3521</v>
      </c>
      <c r="B28" s="6020" t="s">
        <v>13842</v>
      </c>
      <c r="C28" s="679" t="s">
        <v>13862</v>
      </c>
      <c r="D28" s="679" t="s">
        <v>13831</v>
      </c>
      <c r="E28" s="680">
        <v>735</v>
      </c>
      <c r="F28" s="680">
        <v>490</v>
      </c>
      <c r="G28" s="680" t="s">
        <v>13863</v>
      </c>
      <c r="H28" s="6020"/>
    </row>
    <row r="29" spans="1:8">
      <c r="A29" s="6021"/>
      <c r="B29" s="6022"/>
      <c r="C29" s="680" t="s">
        <v>13857</v>
      </c>
      <c r="D29" s="680" t="s">
        <v>13858</v>
      </c>
      <c r="E29" s="680">
        <v>686</v>
      </c>
      <c r="F29" s="680">
        <v>441</v>
      </c>
      <c r="G29" s="680" t="s">
        <v>13863</v>
      </c>
      <c r="H29" s="6022"/>
    </row>
    <row r="30" spans="1:8">
      <c r="A30" s="6022"/>
      <c r="B30" s="514" t="s">
        <v>13846</v>
      </c>
      <c r="C30" s="6026"/>
      <c r="D30" s="6027"/>
      <c r="E30" s="6027"/>
      <c r="F30" s="6027"/>
      <c r="G30" s="6028"/>
      <c r="H30" s="680" t="s">
        <v>13854</v>
      </c>
    </row>
    <row r="31" spans="1:8">
      <c r="A31" s="6020" t="s">
        <v>13864</v>
      </c>
      <c r="B31" s="6020" t="s">
        <v>13842</v>
      </c>
      <c r="C31" s="679" t="s">
        <v>13831</v>
      </c>
      <c r="D31" s="679" t="s">
        <v>13832</v>
      </c>
      <c r="E31" s="680">
        <v>735</v>
      </c>
      <c r="F31" s="680">
        <v>588</v>
      </c>
      <c r="G31" s="680" t="s">
        <v>13843</v>
      </c>
      <c r="H31" s="6020"/>
    </row>
    <row r="32" spans="1:8">
      <c r="A32" s="6021"/>
      <c r="B32" s="6021"/>
      <c r="C32" s="680" t="s">
        <v>13834</v>
      </c>
      <c r="D32" s="680" t="s">
        <v>13835</v>
      </c>
      <c r="E32" s="680">
        <v>686</v>
      </c>
      <c r="F32" s="680">
        <v>539</v>
      </c>
      <c r="G32" s="680" t="s">
        <v>13848</v>
      </c>
      <c r="H32" s="6021"/>
    </row>
    <row r="33" spans="1:8">
      <c r="A33" s="6021"/>
      <c r="B33" s="6021"/>
      <c r="C33" s="680" t="s">
        <v>13837</v>
      </c>
      <c r="D33" s="680" t="s">
        <v>13838</v>
      </c>
      <c r="E33" s="680">
        <v>637</v>
      </c>
      <c r="F33" s="680">
        <v>490</v>
      </c>
      <c r="G33" s="680" t="s">
        <v>13865</v>
      </c>
      <c r="H33" s="6021"/>
    </row>
    <row r="34" spans="1:8">
      <c r="A34" s="6021"/>
      <c r="B34" s="6022"/>
      <c r="C34" s="680" t="s">
        <v>13839</v>
      </c>
      <c r="D34" s="680" t="s">
        <v>13840</v>
      </c>
      <c r="E34" s="680">
        <v>588</v>
      </c>
      <c r="F34" s="680">
        <v>392</v>
      </c>
      <c r="G34" s="680" t="s">
        <v>13866</v>
      </c>
      <c r="H34" s="6022"/>
    </row>
    <row r="35" spans="1:8">
      <c r="A35" s="6022"/>
      <c r="B35" s="514" t="s">
        <v>13846</v>
      </c>
      <c r="C35" s="6026"/>
      <c r="D35" s="6027"/>
      <c r="E35" s="6027"/>
      <c r="F35" s="6027"/>
      <c r="G35" s="6028"/>
      <c r="H35" s="680" t="s">
        <v>13854</v>
      </c>
    </row>
    <row r="36" spans="1:8">
      <c r="A36" s="6020" t="s">
        <v>13867</v>
      </c>
      <c r="B36" s="6020" t="s">
        <v>13868</v>
      </c>
      <c r="C36" s="679" t="s">
        <v>13862</v>
      </c>
      <c r="D36" s="679" t="s">
        <v>13831</v>
      </c>
      <c r="E36" s="680">
        <v>863</v>
      </c>
      <c r="F36" s="680">
        <v>686</v>
      </c>
      <c r="G36" s="680" t="s">
        <v>13869</v>
      </c>
      <c r="H36" s="6020"/>
    </row>
    <row r="37" spans="1:8">
      <c r="A37" s="6021"/>
      <c r="B37" s="6021"/>
      <c r="C37" s="680" t="s">
        <v>13870</v>
      </c>
      <c r="D37" s="680" t="s">
        <v>13855</v>
      </c>
      <c r="E37" s="680">
        <v>814</v>
      </c>
      <c r="F37" s="680">
        <v>637</v>
      </c>
      <c r="G37" s="680" t="s">
        <v>13863</v>
      </c>
      <c r="H37" s="6021"/>
    </row>
    <row r="38" spans="1:8">
      <c r="A38" s="6021"/>
      <c r="B38" s="6022"/>
      <c r="C38" s="680" t="s">
        <v>13871</v>
      </c>
      <c r="D38" s="680" t="s">
        <v>13857</v>
      </c>
      <c r="E38" s="680">
        <v>765</v>
      </c>
      <c r="F38" s="680">
        <v>588</v>
      </c>
      <c r="G38" s="680" t="s">
        <v>13872</v>
      </c>
      <c r="H38" s="6022"/>
    </row>
    <row r="39" spans="1:8">
      <c r="A39" s="6022"/>
      <c r="B39" s="514" t="s">
        <v>13846</v>
      </c>
      <c r="C39" s="6026"/>
      <c r="D39" s="6027"/>
      <c r="E39" s="6027"/>
      <c r="F39" s="6027"/>
      <c r="G39" s="6028"/>
      <c r="H39" s="680" t="s">
        <v>13873</v>
      </c>
    </row>
    <row r="40" spans="1:8">
      <c r="A40" s="6020" t="s">
        <v>3552</v>
      </c>
      <c r="B40" s="6020" t="s">
        <v>13842</v>
      </c>
      <c r="C40" s="679" t="s">
        <v>13831</v>
      </c>
      <c r="D40" s="679" t="s">
        <v>13832</v>
      </c>
      <c r="E40" s="680">
        <v>735</v>
      </c>
      <c r="F40" s="680">
        <v>539</v>
      </c>
      <c r="G40" s="680" t="s">
        <v>13863</v>
      </c>
      <c r="H40" s="6020"/>
    </row>
    <row r="41" spans="1:8">
      <c r="A41" s="6021"/>
      <c r="B41" s="6021"/>
      <c r="C41" s="680" t="s">
        <v>13874</v>
      </c>
      <c r="D41" s="680" t="s">
        <v>13875</v>
      </c>
      <c r="E41" s="680">
        <v>686</v>
      </c>
      <c r="F41" s="680">
        <v>490</v>
      </c>
      <c r="G41" s="680" t="s">
        <v>13863</v>
      </c>
      <c r="H41" s="6021"/>
    </row>
    <row r="42" spans="1:8">
      <c r="A42" s="6021"/>
      <c r="B42" s="6021"/>
      <c r="C42" s="680" t="s">
        <v>13876</v>
      </c>
      <c r="D42" s="680" t="s">
        <v>13877</v>
      </c>
      <c r="E42" s="680">
        <v>637</v>
      </c>
      <c r="F42" s="680">
        <v>441</v>
      </c>
      <c r="G42" s="680" t="s">
        <v>13878</v>
      </c>
      <c r="H42" s="6021"/>
    </row>
    <row r="43" spans="1:8">
      <c r="A43" s="6021"/>
      <c r="B43" s="6022"/>
      <c r="C43" s="680" t="s">
        <v>13879</v>
      </c>
      <c r="D43" s="680" t="s">
        <v>13880</v>
      </c>
      <c r="E43" s="680">
        <v>588</v>
      </c>
      <c r="F43" s="680">
        <v>343</v>
      </c>
      <c r="G43" s="680" t="s">
        <v>13844</v>
      </c>
      <c r="H43" s="6022"/>
    </row>
    <row r="44" spans="1:8">
      <c r="A44" s="6022"/>
      <c r="B44" s="514" t="s">
        <v>13846</v>
      </c>
      <c r="C44" s="6026"/>
      <c r="D44" s="6027"/>
      <c r="E44" s="6027"/>
      <c r="F44" s="6027"/>
      <c r="G44" s="6028"/>
      <c r="H44" s="680" t="s">
        <v>13881</v>
      </c>
    </row>
    <row r="45" spans="1:8">
      <c r="A45" s="6020" t="s">
        <v>3605</v>
      </c>
      <c r="B45" s="6020" t="s">
        <v>13842</v>
      </c>
      <c r="C45" s="679" t="s">
        <v>13831</v>
      </c>
      <c r="D45" s="679" t="s">
        <v>13832</v>
      </c>
      <c r="E45" s="680">
        <v>735</v>
      </c>
      <c r="F45" s="680">
        <v>539</v>
      </c>
      <c r="G45" s="680" t="s">
        <v>13882</v>
      </c>
      <c r="H45" s="6020"/>
    </row>
    <row r="46" spans="1:8">
      <c r="A46" s="6021"/>
      <c r="B46" s="6021"/>
      <c r="C46" s="680" t="s">
        <v>13874</v>
      </c>
      <c r="D46" s="680" t="s">
        <v>13875</v>
      </c>
      <c r="E46" s="680">
        <v>686</v>
      </c>
      <c r="F46" s="680">
        <v>490</v>
      </c>
      <c r="G46" s="680" t="s">
        <v>13882</v>
      </c>
      <c r="H46" s="6021"/>
    </row>
    <row r="47" spans="1:8">
      <c r="A47" s="6021"/>
      <c r="B47" s="6021"/>
      <c r="C47" s="680" t="s">
        <v>13876</v>
      </c>
      <c r="D47" s="680" t="s">
        <v>13877</v>
      </c>
      <c r="E47" s="680">
        <v>637</v>
      </c>
      <c r="F47" s="680">
        <v>441</v>
      </c>
      <c r="G47" s="680" t="s">
        <v>13882</v>
      </c>
      <c r="H47" s="6021"/>
    </row>
    <row r="48" spans="1:8">
      <c r="A48" s="6021"/>
      <c r="B48" s="6022"/>
      <c r="C48" s="680" t="s">
        <v>13879</v>
      </c>
      <c r="D48" s="680" t="s">
        <v>13880</v>
      </c>
      <c r="E48" s="680">
        <v>588</v>
      </c>
      <c r="F48" s="680">
        <v>392</v>
      </c>
      <c r="G48" s="680" t="s">
        <v>13882</v>
      </c>
      <c r="H48" s="6022"/>
    </row>
    <row r="49" spans="1:9">
      <c r="A49" s="6022"/>
      <c r="B49" s="514" t="s">
        <v>13846</v>
      </c>
      <c r="C49" s="6026"/>
      <c r="D49" s="6027"/>
      <c r="E49" s="6027"/>
      <c r="F49" s="6027"/>
      <c r="G49" s="6028"/>
      <c r="H49" s="680" t="s">
        <v>13883</v>
      </c>
    </row>
    <row r="50" spans="1:9">
      <c r="A50" s="681"/>
      <c r="B50" s="681"/>
      <c r="C50" s="681"/>
      <c r="D50" s="681"/>
      <c r="E50" s="681"/>
      <c r="F50" s="681"/>
      <c r="G50" s="681"/>
      <c r="H50" s="682"/>
      <c r="I50" s="682"/>
    </row>
    <row r="51" spans="1:9">
      <c r="A51" s="681"/>
      <c r="B51" s="681"/>
      <c r="C51" s="681"/>
      <c r="D51" s="681"/>
      <c r="E51" s="681"/>
      <c r="F51" s="681"/>
      <c r="G51" s="681"/>
      <c r="H51" s="682"/>
      <c r="I51" s="682"/>
    </row>
    <row r="52" spans="1:9">
      <c r="A52" s="6019" t="s">
        <v>13819</v>
      </c>
      <c r="B52" s="6019" t="s">
        <v>13820</v>
      </c>
      <c r="C52" s="6019" t="s">
        <v>13821</v>
      </c>
      <c r="D52" s="6019"/>
      <c r="E52" s="6019" t="s">
        <v>159</v>
      </c>
      <c r="F52" s="6019"/>
      <c r="G52" s="6019" t="s">
        <v>13822</v>
      </c>
      <c r="H52" s="6019"/>
    </row>
    <row r="53" spans="1:9">
      <c r="A53" s="6019"/>
      <c r="B53" s="6019"/>
      <c r="C53" s="514" t="s">
        <v>13823</v>
      </c>
      <c r="D53" s="514" t="s">
        <v>13824</v>
      </c>
      <c r="E53" s="514" t="s">
        <v>13825</v>
      </c>
      <c r="F53" s="514" t="s">
        <v>13826</v>
      </c>
      <c r="G53" s="514" t="s">
        <v>13827</v>
      </c>
      <c r="H53" s="514" t="s">
        <v>13828</v>
      </c>
    </row>
    <row r="54" spans="1:9">
      <c r="A54" s="6023" t="s">
        <v>13884</v>
      </c>
      <c r="B54" s="6024"/>
      <c r="C54" s="6024"/>
      <c r="D54" s="6024"/>
      <c r="E54" s="6024"/>
      <c r="F54" s="6024"/>
      <c r="G54" s="6024"/>
      <c r="H54" s="6025"/>
    </row>
    <row r="55" spans="1:9">
      <c r="A55" s="6020" t="s">
        <v>3532</v>
      </c>
      <c r="B55" s="514" t="s">
        <v>13885</v>
      </c>
      <c r="C55" s="679" t="s">
        <v>13886</v>
      </c>
      <c r="D55" s="680"/>
      <c r="E55" s="680">
        <v>637</v>
      </c>
      <c r="F55" s="680">
        <v>392</v>
      </c>
      <c r="G55" s="680"/>
      <c r="H55" s="680" t="s">
        <v>13887</v>
      </c>
    </row>
    <row r="56" spans="1:9">
      <c r="A56" s="6022"/>
      <c r="B56" s="514" t="s">
        <v>13888</v>
      </c>
      <c r="C56" s="6026"/>
      <c r="D56" s="6027"/>
      <c r="E56" s="6027"/>
      <c r="F56" s="6027"/>
      <c r="G56" s="6028"/>
      <c r="H56" s="680" t="s">
        <v>13889</v>
      </c>
    </row>
    <row r="57" spans="1:9">
      <c r="A57" s="6020" t="s">
        <v>13890</v>
      </c>
      <c r="B57" s="514" t="s">
        <v>13885</v>
      </c>
      <c r="C57" s="680">
        <v>15</v>
      </c>
      <c r="D57" s="680"/>
      <c r="E57" s="680">
        <v>1079</v>
      </c>
      <c r="F57" s="680">
        <v>834</v>
      </c>
      <c r="G57" s="680"/>
      <c r="H57" s="680" t="s">
        <v>13887</v>
      </c>
    </row>
    <row r="58" spans="1:9">
      <c r="A58" s="6022"/>
      <c r="B58" s="514" t="s">
        <v>13888</v>
      </c>
      <c r="C58" s="6026"/>
      <c r="D58" s="6027"/>
      <c r="E58" s="6027"/>
      <c r="F58" s="6027"/>
      <c r="G58" s="6028"/>
      <c r="H58" s="680" t="s">
        <v>13891</v>
      </c>
    </row>
    <row r="59" spans="1:9">
      <c r="A59" s="680" t="s">
        <v>13892</v>
      </c>
      <c r="B59" s="514" t="s">
        <v>13885</v>
      </c>
      <c r="C59" s="680">
        <v>15</v>
      </c>
      <c r="D59" s="680"/>
      <c r="E59" s="680">
        <v>1177</v>
      </c>
      <c r="F59" s="680">
        <v>883</v>
      </c>
      <c r="G59" s="680"/>
      <c r="H59" s="680" t="s">
        <v>13887</v>
      </c>
    </row>
    <row r="60" spans="1:9">
      <c r="A60" s="683" t="s">
        <v>13893</v>
      </c>
      <c r="B60" s="514" t="s">
        <v>13894</v>
      </c>
      <c r="C60" s="680">
        <v>30</v>
      </c>
      <c r="D60" s="680"/>
      <c r="E60" s="680">
        <v>981</v>
      </c>
      <c r="F60" s="680">
        <v>834</v>
      </c>
      <c r="G60" s="680">
        <v>229</v>
      </c>
      <c r="H60" s="680" t="s">
        <v>13895</v>
      </c>
    </row>
    <row r="61" spans="1:9">
      <c r="A61" s="680" t="s">
        <v>13896</v>
      </c>
      <c r="B61" s="514" t="s">
        <v>13885</v>
      </c>
      <c r="C61" s="680">
        <v>15</v>
      </c>
      <c r="D61" s="680"/>
      <c r="E61" s="680">
        <v>1079</v>
      </c>
      <c r="F61" s="680">
        <v>883</v>
      </c>
      <c r="G61" s="680"/>
      <c r="H61" s="680" t="s">
        <v>13887</v>
      </c>
    </row>
    <row r="62" spans="1:9">
      <c r="A62" s="6024" t="s">
        <v>13897</v>
      </c>
      <c r="B62" s="6024"/>
      <c r="C62" s="6024"/>
      <c r="D62" s="6024"/>
      <c r="E62" s="6024"/>
      <c r="F62" s="6024"/>
      <c r="G62" s="6024"/>
      <c r="H62" s="6025"/>
    </row>
    <row r="63" spans="1:9">
      <c r="A63" s="680" t="s">
        <v>13898</v>
      </c>
      <c r="B63" s="514" t="s">
        <v>13899</v>
      </c>
      <c r="C63" s="680"/>
      <c r="D63" s="680"/>
      <c r="E63" s="680">
        <v>570</v>
      </c>
      <c r="F63" s="680">
        <v>310</v>
      </c>
      <c r="G63" s="680" t="s">
        <v>13900</v>
      </c>
      <c r="H63" s="680"/>
    </row>
    <row r="64" spans="1:9">
      <c r="A64" s="680" t="s">
        <v>13901</v>
      </c>
      <c r="B64" s="514" t="s">
        <v>13899</v>
      </c>
      <c r="C64" s="680"/>
      <c r="D64" s="680"/>
      <c r="E64" s="680">
        <v>640</v>
      </c>
      <c r="F64" s="680">
        <v>340</v>
      </c>
      <c r="G64" s="680" t="s">
        <v>13902</v>
      </c>
      <c r="H64" s="680"/>
    </row>
    <row r="65" spans="1:8">
      <c r="A65" s="6019" t="s">
        <v>13903</v>
      </c>
      <c r="B65" s="514" t="s">
        <v>13904</v>
      </c>
      <c r="C65" s="680"/>
      <c r="D65" s="680"/>
      <c r="E65" s="680">
        <v>588</v>
      </c>
      <c r="F65" s="680">
        <v>392</v>
      </c>
      <c r="G65" s="680" t="s">
        <v>13905</v>
      </c>
      <c r="H65" s="680"/>
    </row>
    <row r="66" spans="1:8">
      <c r="A66" s="6019"/>
      <c r="B66" s="514" t="s">
        <v>13842</v>
      </c>
      <c r="C66" s="680"/>
      <c r="D66" s="680"/>
      <c r="E66" s="680">
        <v>834</v>
      </c>
      <c r="F66" s="680">
        <v>686</v>
      </c>
      <c r="G66" s="680" t="s">
        <v>13869</v>
      </c>
      <c r="H66" s="680"/>
    </row>
    <row r="67" spans="1:8">
      <c r="A67" s="6019" t="s">
        <v>13906</v>
      </c>
      <c r="B67" s="514" t="s">
        <v>13904</v>
      </c>
      <c r="C67" s="680"/>
      <c r="D67" s="680"/>
      <c r="E67" s="680">
        <v>569</v>
      </c>
      <c r="F67" s="680">
        <v>343</v>
      </c>
      <c r="G67" s="680" t="s">
        <v>13907</v>
      </c>
      <c r="H67" s="680"/>
    </row>
    <row r="68" spans="1:8">
      <c r="A68" s="6019"/>
      <c r="B68" s="514" t="s">
        <v>13842</v>
      </c>
      <c r="C68" s="680"/>
      <c r="D68" s="680"/>
      <c r="E68" s="680">
        <v>637</v>
      </c>
      <c r="F68" s="680">
        <v>412</v>
      </c>
      <c r="G68" s="680" t="s">
        <v>13908</v>
      </c>
      <c r="H68" s="680"/>
    </row>
    <row r="69" spans="1:8">
      <c r="A69" s="6019" t="s">
        <v>13909</v>
      </c>
      <c r="B69" s="514" t="s">
        <v>13904</v>
      </c>
      <c r="C69" s="680"/>
      <c r="D69" s="680"/>
      <c r="E69" s="680">
        <v>588</v>
      </c>
      <c r="F69" s="680">
        <v>373</v>
      </c>
      <c r="G69" s="680" t="s">
        <v>13907</v>
      </c>
      <c r="H69" s="680"/>
    </row>
    <row r="70" spans="1:8">
      <c r="A70" s="6019"/>
      <c r="B70" s="514" t="s">
        <v>13842</v>
      </c>
      <c r="C70" s="680"/>
      <c r="D70" s="680"/>
      <c r="E70" s="680">
        <v>637</v>
      </c>
      <c r="F70" s="680">
        <v>441</v>
      </c>
      <c r="G70" s="680" t="s">
        <v>13908</v>
      </c>
      <c r="H70" s="680"/>
    </row>
    <row r="71" spans="1:8">
      <c r="A71" s="514" t="s">
        <v>13910</v>
      </c>
      <c r="B71" s="514" t="s">
        <v>13904</v>
      </c>
      <c r="C71" s="680"/>
      <c r="D71" s="680"/>
      <c r="E71" s="680">
        <v>686</v>
      </c>
      <c r="F71" s="680">
        <v>441</v>
      </c>
      <c r="G71" s="680" t="s">
        <v>13844</v>
      </c>
      <c r="H71" s="680"/>
    </row>
    <row r="72" spans="1:8">
      <c r="A72" s="6019" t="s">
        <v>13911</v>
      </c>
      <c r="B72" s="514" t="s">
        <v>13904</v>
      </c>
      <c r="C72" s="680"/>
      <c r="D72" s="680"/>
      <c r="E72" s="680">
        <v>628</v>
      </c>
      <c r="F72" s="680">
        <v>343</v>
      </c>
      <c r="G72" s="680" t="s">
        <v>13912</v>
      </c>
      <c r="H72" s="680"/>
    </row>
    <row r="73" spans="1:8">
      <c r="A73" s="6019"/>
      <c r="B73" s="514" t="s">
        <v>13842</v>
      </c>
      <c r="C73" s="680"/>
      <c r="D73" s="680"/>
      <c r="E73" s="680">
        <v>686</v>
      </c>
      <c r="F73" s="680">
        <v>471</v>
      </c>
      <c r="G73" s="680" t="s">
        <v>13913</v>
      </c>
      <c r="H73" s="680"/>
    </row>
    <row r="74" spans="1:8">
      <c r="A74" s="6019" t="s">
        <v>13914</v>
      </c>
      <c r="B74" s="514" t="s">
        <v>13904</v>
      </c>
      <c r="C74" s="680"/>
      <c r="D74" s="680"/>
      <c r="E74" s="680">
        <v>588</v>
      </c>
      <c r="F74" s="680">
        <v>392</v>
      </c>
      <c r="G74" s="680" t="s">
        <v>13915</v>
      </c>
      <c r="H74" s="680"/>
    </row>
    <row r="75" spans="1:8">
      <c r="A75" s="6019"/>
      <c r="B75" s="514" t="s">
        <v>13842</v>
      </c>
      <c r="C75" s="680"/>
      <c r="D75" s="680"/>
      <c r="E75" s="680">
        <v>686</v>
      </c>
      <c r="F75" s="680">
        <v>539</v>
      </c>
      <c r="G75" s="680" t="s">
        <v>13915</v>
      </c>
      <c r="H75" s="680"/>
    </row>
    <row r="76" spans="1:8">
      <c r="A76" s="6019" t="s">
        <v>13916</v>
      </c>
      <c r="B76" s="514" t="s">
        <v>13904</v>
      </c>
      <c r="C76" s="680"/>
      <c r="D76" s="680"/>
      <c r="E76" s="680">
        <v>686</v>
      </c>
      <c r="F76" s="680">
        <v>343</v>
      </c>
      <c r="G76" s="680" t="s">
        <v>13907</v>
      </c>
      <c r="H76" s="680"/>
    </row>
    <row r="77" spans="1:8">
      <c r="A77" s="6019"/>
      <c r="B77" s="514" t="s">
        <v>13842</v>
      </c>
      <c r="C77" s="680"/>
      <c r="D77" s="680"/>
      <c r="E77" s="680">
        <v>785</v>
      </c>
      <c r="F77" s="680">
        <v>588</v>
      </c>
      <c r="G77" s="680" t="s">
        <v>13917</v>
      </c>
      <c r="H77" s="680"/>
    </row>
    <row r="78" spans="1:8">
      <c r="A78" s="6029" t="s">
        <v>13918</v>
      </c>
      <c r="B78" s="6029"/>
      <c r="C78" s="6029"/>
      <c r="D78" s="6029"/>
      <c r="E78" s="6029"/>
      <c r="F78" s="6029"/>
      <c r="G78" s="6029"/>
      <c r="H78" s="6029"/>
    </row>
    <row r="79" spans="1:8">
      <c r="A79" s="6019" t="s">
        <v>13919</v>
      </c>
      <c r="B79" s="6019"/>
      <c r="C79" s="6019"/>
      <c r="D79" s="680" t="s">
        <v>13920</v>
      </c>
      <c r="E79" s="680">
        <v>270</v>
      </c>
      <c r="F79" s="680"/>
      <c r="G79" s="680" t="s">
        <v>13921</v>
      </c>
      <c r="H79" s="6019"/>
    </row>
    <row r="80" spans="1:8">
      <c r="A80" s="6019"/>
      <c r="B80" s="6019"/>
      <c r="C80" s="6019"/>
      <c r="D80" s="680" t="s">
        <v>13922</v>
      </c>
      <c r="E80" s="680">
        <v>240</v>
      </c>
      <c r="F80" s="680"/>
      <c r="G80" s="680" t="s">
        <v>13923</v>
      </c>
      <c r="H80" s="6019"/>
    </row>
    <row r="81" spans="1:8">
      <c r="A81" s="6019"/>
      <c r="B81" s="6019"/>
      <c r="C81" s="6019"/>
      <c r="D81" s="680" t="s">
        <v>13924</v>
      </c>
      <c r="E81" s="680">
        <v>220</v>
      </c>
      <c r="F81" s="680"/>
      <c r="G81" s="680" t="s">
        <v>13925</v>
      </c>
      <c r="H81" s="6019"/>
    </row>
    <row r="82" spans="1:8">
      <c r="A82" s="6019"/>
      <c r="B82" s="6019"/>
      <c r="C82" s="6019"/>
      <c r="D82" s="680" t="s">
        <v>13926</v>
      </c>
      <c r="E82" s="680">
        <v>200</v>
      </c>
      <c r="F82" s="680"/>
      <c r="G82" s="680" t="s">
        <v>13927</v>
      </c>
      <c r="H82" s="6019"/>
    </row>
    <row r="83" spans="1:8">
      <c r="A83" s="6019" t="s">
        <v>13928</v>
      </c>
      <c r="B83" s="6019"/>
      <c r="C83" s="6019"/>
      <c r="D83" s="680" t="s">
        <v>13922</v>
      </c>
      <c r="E83" s="680">
        <v>200</v>
      </c>
      <c r="F83" s="680"/>
      <c r="G83" s="680" t="s">
        <v>13929</v>
      </c>
      <c r="H83" s="6019"/>
    </row>
    <row r="84" spans="1:8">
      <c r="A84" s="6019"/>
      <c r="B84" s="6019"/>
      <c r="C84" s="6019"/>
      <c r="D84" s="680" t="s">
        <v>13924</v>
      </c>
      <c r="E84" s="680">
        <v>250</v>
      </c>
      <c r="F84" s="680"/>
      <c r="G84" s="680" t="s">
        <v>13930</v>
      </c>
      <c r="H84" s="6019"/>
    </row>
    <row r="85" spans="1:8">
      <c r="A85" s="6019"/>
      <c r="B85" s="6019"/>
      <c r="C85" s="6019"/>
      <c r="D85" s="680" t="s">
        <v>13926</v>
      </c>
      <c r="E85" s="680">
        <v>230</v>
      </c>
      <c r="F85" s="680"/>
      <c r="G85" s="680" t="s">
        <v>13931</v>
      </c>
      <c r="H85" s="6019"/>
    </row>
    <row r="86" spans="1:8">
      <c r="A86" s="6019" t="s">
        <v>13932</v>
      </c>
      <c r="B86" s="6019"/>
      <c r="C86" s="6019"/>
      <c r="D86" s="680" t="s">
        <v>13922</v>
      </c>
      <c r="E86" s="680">
        <v>340</v>
      </c>
      <c r="F86" s="680"/>
      <c r="G86" s="680" t="s">
        <v>13933</v>
      </c>
      <c r="H86" s="6020"/>
    </row>
    <row r="87" spans="1:8">
      <c r="A87" s="6019"/>
      <c r="B87" s="6019"/>
      <c r="C87" s="6019"/>
      <c r="D87" s="680" t="s">
        <v>13924</v>
      </c>
      <c r="E87" s="680">
        <v>290</v>
      </c>
      <c r="F87" s="680"/>
      <c r="G87" s="680" t="s">
        <v>13929</v>
      </c>
      <c r="H87" s="6021"/>
    </row>
    <row r="88" spans="1:8">
      <c r="A88" s="6019"/>
      <c r="B88" s="6019"/>
      <c r="C88" s="6019"/>
      <c r="D88" s="680" t="s">
        <v>13926</v>
      </c>
      <c r="E88" s="680">
        <v>260</v>
      </c>
      <c r="F88" s="680"/>
      <c r="G88" s="680" t="s">
        <v>13934</v>
      </c>
      <c r="H88" s="6022"/>
    </row>
    <row r="89" spans="1:8">
      <c r="A89" s="514" t="s">
        <v>13935</v>
      </c>
      <c r="B89" s="680"/>
      <c r="C89" s="680"/>
      <c r="D89" s="680"/>
      <c r="E89" s="680">
        <v>500</v>
      </c>
      <c r="F89" s="680">
        <v>320</v>
      </c>
      <c r="G89" s="680" t="s">
        <v>13936</v>
      </c>
      <c r="H89" s="680"/>
    </row>
    <row r="90" spans="1:8">
      <c r="A90" s="514" t="s">
        <v>13937</v>
      </c>
      <c r="B90" s="680"/>
      <c r="C90" s="680"/>
      <c r="D90" s="680"/>
      <c r="E90" s="680">
        <v>600</v>
      </c>
      <c r="F90" s="680">
        <v>370</v>
      </c>
      <c r="G90" s="680" t="s">
        <v>13938</v>
      </c>
      <c r="H90" s="680"/>
    </row>
    <row r="91" spans="1:8">
      <c r="A91" s="514" t="s">
        <v>13939</v>
      </c>
      <c r="B91" s="680"/>
      <c r="C91" s="680"/>
      <c r="D91" s="680"/>
      <c r="E91" s="680">
        <v>700</v>
      </c>
      <c r="F91" s="680">
        <v>420</v>
      </c>
      <c r="G91" s="680" t="s">
        <v>13940</v>
      </c>
      <c r="H91" s="680"/>
    </row>
    <row r="92" spans="1:8">
      <c r="A92" s="514" t="s">
        <v>13941</v>
      </c>
      <c r="B92" s="680"/>
      <c r="C92" s="680"/>
      <c r="D92" s="680"/>
      <c r="E92" s="680">
        <v>800</v>
      </c>
      <c r="F92" s="680">
        <v>480</v>
      </c>
      <c r="G92" s="680" t="s">
        <v>13942</v>
      </c>
      <c r="H92" s="680"/>
    </row>
    <row r="93" spans="1:8">
      <c r="A93" s="514" t="s">
        <v>13943</v>
      </c>
      <c r="B93" s="680"/>
      <c r="C93" s="680"/>
      <c r="D93" s="680"/>
      <c r="E93" s="680">
        <v>900</v>
      </c>
      <c r="F93" s="680">
        <v>600</v>
      </c>
      <c r="G93" s="680" t="s">
        <v>13944</v>
      </c>
      <c r="H93" s="680"/>
    </row>
  </sheetData>
  <mergeCells count="74">
    <mergeCell ref="A1:H1"/>
    <mergeCell ref="C3:D3"/>
    <mergeCell ref="E3:F3"/>
    <mergeCell ref="G3:H3"/>
    <mergeCell ref="A5:H5"/>
    <mergeCell ref="A3:A4"/>
    <mergeCell ref="C13:G13"/>
    <mergeCell ref="C18:G18"/>
    <mergeCell ref="C23:G23"/>
    <mergeCell ref="C27:G27"/>
    <mergeCell ref="C30:G30"/>
    <mergeCell ref="A69:A70"/>
    <mergeCell ref="A72:A73"/>
    <mergeCell ref="A74:A75"/>
    <mergeCell ref="A76:A77"/>
    <mergeCell ref="C35:G35"/>
    <mergeCell ref="C39:G39"/>
    <mergeCell ref="C44:G44"/>
    <mergeCell ref="C49:G49"/>
    <mergeCell ref="C52:D52"/>
    <mergeCell ref="E52:F52"/>
    <mergeCell ref="G52:H52"/>
    <mergeCell ref="A6:A13"/>
    <mergeCell ref="A14:A18"/>
    <mergeCell ref="A19:A23"/>
    <mergeCell ref="A24:A27"/>
    <mergeCell ref="A28:A30"/>
    <mergeCell ref="A31:A35"/>
    <mergeCell ref="A36:A39"/>
    <mergeCell ref="A40:A44"/>
    <mergeCell ref="A45:A49"/>
    <mergeCell ref="A52:A53"/>
    <mergeCell ref="A79:A82"/>
    <mergeCell ref="A83:A85"/>
    <mergeCell ref="A86:A88"/>
    <mergeCell ref="B3:B4"/>
    <mergeCell ref="B6:B9"/>
    <mergeCell ref="B10:B12"/>
    <mergeCell ref="B14:B17"/>
    <mergeCell ref="B19:B22"/>
    <mergeCell ref="B24:B26"/>
    <mergeCell ref="B28:B29"/>
    <mergeCell ref="B31:B34"/>
    <mergeCell ref="B36:B38"/>
    <mergeCell ref="B40:B43"/>
    <mergeCell ref="B45:B48"/>
    <mergeCell ref="B52:B53"/>
    <mergeCell ref="B79:B82"/>
    <mergeCell ref="B83:B85"/>
    <mergeCell ref="B86:B88"/>
    <mergeCell ref="C79:C82"/>
    <mergeCell ref="C83:C85"/>
    <mergeCell ref="C86:C88"/>
    <mergeCell ref="H6:H12"/>
    <mergeCell ref="H14:H17"/>
    <mergeCell ref="H19:H22"/>
    <mergeCell ref="H24:H26"/>
    <mergeCell ref="H28:H29"/>
    <mergeCell ref="H83:H85"/>
    <mergeCell ref="H86:H88"/>
    <mergeCell ref="H31:H34"/>
    <mergeCell ref="H36:H38"/>
    <mergeCell ref="H40:H43"/>
    <mergeCell ref="H45:H48"/>
    <mergeCell ref="H79:H82"/>
    <mergeCell ref="A54:H54"/>
    <mergeCell ref="C56:G56"/>
    <mergeCell ref="C58:G58"/>
    <mergeCell ref="A62:H62"/>
    <mergeCell ref="A78:H78"/>
    <mergeCell ref="A55:A56"/>
    <mergeCell ref="A57:A58"/>
    <mergeCell ref="A65:A66"/>
    <mergeCell ref="A67:A68"/>
  </mergeCells>
  <phoneticPr fontId="214" type="noConversion"/>
  <printOptions horizontalCentered="1"/>
  <pageMargins left="0.55000000000000004" right="0.34930555555555598" top="0.58888888888888902" bottom="0.58888888888888902" header="0.50902777777777797" footer="0.50902777777777797"/>
  <pageSetup paperSize="9" orientation="portrait"/>
  <headerFooter scaleWithDoc="0" alignWithMargins="0">
    <oddFooter>&amp;C第 &amp;P 页，共 &amp;N 页</oddFooter>
  </headerFooter>
  <rowBreaks count="1" manualBreakCount="1">
    <brk id="51" max="7" man="1"/>
  </rowBreaks>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4"/>
  <dimension ref="A1:J23"/>
  <sheetViews>
    <sheetView workbookViewId="0">
      <selection sqref="A1:E1"/>
    </sheetView>
  </sheetViews>
  <sheetFormatPr defaultColWidth="9" defaultRowHeight="14.25"/>
  <cols>
    <col min="1" max="1" width="3.875" style="105" customWidth="1"/>
    <col min="2" max="2" width="16.625" style="105" customWidth="1"/>
    <col min="3" max="3" width="6" style="105" customWidth="1"/>
    <col min="4" max="4" width="9" style="231"/>
    <col min="5" max="5" width="9.5" style="231" customWidth="1"/>
    <col min="6" max="16384" width="9" style="105"/>
  </cols>
  <sheetData>
    <row r="1" spans="1:10" ht="22.5" customHeight="1">
      <c r="A1" s="6018" t="s">
        <v>14377</v>
      </c>
      <c r="B1" s="6018"/>
      <c r="C1" s="6018"/>
      <c r="D1" s="6018"/>
      <c r="E1" s="6018"/>
    </row>
    <row r="2" spans="1:10">
      <c r="A2" s="660"/>
      <c r="B2" s="661" t="s">
        <v>1931</v>
      </c>
      <c r="C2" s="661" t="s">
        <v>1932</v>
      </c>
      <c r="D2" s="661" t="s">
        <v>14378</v>
      </c>
      <c r="E2" s="662" t="s">
        <v>14379</v>
      </c>
    </row>
    <row r="3" spans="1:10" ht="15.75">
      <c r="A3" s="6121" t="s">
        <v>14380</v>
      </c>
      <c r="B3" s="663" t="s">
        <v>1855</v>
      </c>
      <c r="C3" s="664" t="s">
        <v>408</v>
      </c>
      <c r="D3" s="6126">
        <v>0.8</v>
      </c>
      <c r="E3" s="6127"/>
    </row>
    <row r="4" spans="1:10" ht="15.75">
      <c r="A4" s="6122"/>
      <c r="B4" s="663" t="s">
        <v>1131</v>
      </c>
      <c r="C4" s="664" t="s">
        <v>395</v>
      </c>
      <c r="D4" s="665">
        <v>25</v>
      </c>
      <c r="E4" s="666">
        <v>25</v>
      </c>
    </row>
    <row r="5" spans="1:10" ht="15.75">
      <c r="A5" s="6122"/>
      <c r="B5" s="663" t="s">
        <v>13961</v>
      </c>
      <c r="C5" s="664" t="s">
        <v>1155</v>
      </c>
      <c r="D5" s="6126">
        <v>11.27</v>
      </c>
      <c r="E5" s="6127"/>
    </row>
    <row r="6" spans="1:10">
      <c r="A6" s="6122"/>
      <c r="B6" s="663" t="s">
        <v>4069</v>
      </c>
      <c r="C6" s="667" t="s">
        <v>964</v>
      </c>
      <c r="D6" s="6126">
        <v>20</v>
      </c>
      <c r="E6" s="6127"/>
    </row>
    <row r="7" spans="1:10">
      <c r="A7" s="6123"/>
      <c r="B7" s="663" t="s">
        <v>13759</v>
      </c>
      <c r="C7" s="663" t="s">
        <v>407</v>
      </c>
      <c r="D7" s="665"/>
      <c r="E7" s="666">
        <v>0</v>
      </c>
    </row>
    <row r="8" spans="1:10" ht="15.75">
      <c r="A8" s="6124" t="s">
        <v>14381</v>
      </c>
      <c r="B8" s="668" t="s">
        <v>1132</v>
      </c>
      <c r="C8" s="669" t="s">
        <v>411</v>
      </c>
      <c r="D8" s="670">
        <f>D3*D5</f>
        <v>9.016</v>
      </c>
      <c r="E8" s="671">
        <f>D3*E4</f>
        <v>20</v>
      </c>
    </row>
    <row r="9" spans="1:10" ht="15.75">
      <c r="A9" s="6124"/>
      <c r="B9" s="668" t="s">
        <v>1914</v>
      </c>
      <c r="C9" s="669" t="s">
        <v>14382</v>
      </c>
      <c r="D9" s="670">
        <f>D3*D5+2*E7*D3</f>
        <v>9.016</v>
      </c>
      <c r="E9" s="671">
        <f>E8</f>
        <v>20</v>
      </c>
      <c r="J9" s="677"/>
    </row>
    <row r="10" spans="1:10" ht="15.75">
      <c r="A10" s="6124"/>
      <c r="B10" s="668" t="s">
        <v>1860</v>
      </c>
      <c r="C10" s="669" t="s">
        <v>1861</v>
      </c>
      <c r="D10" s="670">
        <f>D3*1</f>
        <v>0.8</v>
      </c>
      <c r="E10" s="671">
        <f>(1+E7)*D3</f>
        <v>0.8</v>
      </c>
    </row>
    <row r="11" spans="1:10" ht="15.75">
      <c r="A11" s="6124"/>
      <c r="B11" s="668" t="s">
        <v>1863</v>
      </c>
      <c r="C11" s="669" t="s">
        <v>1864</v>
      </c>
      <c r="D11" s="670">
        <f>(1+0.2)*D3</f>
        <v>0.96</v>
      </c>
      <c r="E11" s="671">
        <f>(1+0.2-E7)*D3</f>
        <v>0.96</v>
      </c>
    </row>
    <row r="12" spans="1:10" ht="15.75">
      <c r="A12" s="6124"/>
      <c r="B12" s="668" t="s">
        <v>4073</v>
      </c>
      <c r="C12" s="669" t="s">
        <v>1866</v>
      </c>
      <c r="D12" s="6119">
        <f>(2*1+0.2)*D3</f>
        <v>1.76</v>
      </c>
      <c r="E12" s="6120"/>
    </row>
    <row r="13" spans="1:10" ht="15.75">
      <c r="A13" s="6124"/>
      <c r="B13" s="668" t="s">
        <v>1134</v>
      </c>
      <c r="C13" s="669" t="s">
        <v>1869</v>
      </c>
      <c r="D13" s="670">
        <f>D8+2*D10</f>
        <v>10.616</v>
      </c>
      <c r="E13" s="671">
        <f>E8+2*E10</f>
        <v>21.6</v>
      </c>
    </row>
    <row r="14" spans="1:10" ht="15.75">
      <c r="A14" s="6124"/>
      <c r="B14" s="668" t="s">
        <v>1133</v>
      </c>
      <c r="C14" s="669" t="s">
        <v>1871</v>
      </c>
      <c r="D14" s="670">
        <f>D8-2*D11</f>
        <v>7.0960000000000001</v>
      </c>
      <c r="E14" s="671">
        <f>E8-2*E11</f>
        <v>18.079999999999998</v>
      </c>
    </row>
    <row r="15" spans="1:10" ht="15.75">
      <c r="A15" s="6124"/>
      <c r="B15" s="668" t="s">
        <v>14383</v>
      </c>
      <c r="C15" s="670" t="s">
        <v>14384</v>
      </c>
      <c r="D15" s="6119">
        <f>ATAN(D4/D5)*180/PI()</f>
        <v>65.734148321495098</v>
      </c>
      <c r="E15" s="6120"/>
    </row>
    <row r="16" spans="1:10" ht="15.75">
      <c r="A16" s="6124"/>
      <c r="B16" s="668" t="s">
        <v>14385</v>
      </c>
      <c r="C16" s="669" t="s">
        <v>1858</v>
      </c>
      <c r="D16" s="6119">
        <f>PI()*D3</f>
        <v>2.5132741228718301</v>
      </c>
      <c r="E16" s="6120"/>
    </row>
    <row r="17" spans="1:5" ht="15.75">
      <c r="A17" s="6124"/>
      <c r="B17" s="668" t="s">
        <v>14386</v>
      </c>
      <c r="C17" s="669" t="s">
        <v>14387</v>
      </c>
      <c r="D17" s="669" t="s">
        <v>14388</v>
      </c>
      <c r="E17" s="671">
        <f>E13+2*D3</f>
        <v>23.2</v>
      </c>
    </row>
    <row r="18" spans="1:5" ht="15.75">
      <c r="A18" s="6124"/>
      <c r="B18" s="668" t="s">
        <v>14389</v>
      </c>
      <c r="C18" s="669" t="s">
        <v>808</v>
      </c>
      <c r="D18" s="670"/>
      <c r="E18" s="671">
        <f>D8/2-D3</f>
        <v>3.7080000000000002</v>
      </c>
    </row>
    <row r="19" spans="1:5" ht="15.75">
      <c r="A19" s="6124"/>
      <c r="B19" s="668" t="s">
        <v>14390</v>
      </c>
      <c r="C19" s="669" t="s">
        <v>803</v>
      </c>
      <c r="D19" s="670"/>
      <c r="E19" s="671">
        <f>D8/2+1.2*D3</f>
        <v>5.468</v>
      </c>
    </row>
    <row r="20" spans="1:5" ht="15.75">
      <c r="A20" s="6124"/>
      <c r="B20" s="668" t="s">
        <v>14391</v>
      </c>
      <c r="C20" s="669" t="s">
        <v>2534</v>
      </c>
      <c r="D20" s="669" t="s">
        <v>14392</v>
      </c>
      <c r="E20" s="671">
        <f>0.75*D13</f>
        <v>7.9619999999999997</v>
      </c>
    </row>
    <row r="21" spans="1:5" ht="15.75">
      <c r="A21" s="6124"/>
      <c r="B21" s="668" t="s">
        <v>14393</v>
      </c>
      <c r="C21" s="669" t="s">
        <v>14394</v>
      </c>
      <c r="D21" s="670"/>
      <c r="E21" s="672" t="s">
        <v>14395</v>
      </c>
    </row>
    <row r="22" spans="1:5" ht="15.75">
      <c r="A22" s="6124"/>
      <c r="B22" s="668" t="s">
        <v>1873</v>
      </c>
      <c r="C22" s="669" t="s">
        <v>14396</v>
      </c>
      <c r="D22" s="6119">
        <f>D3*(D5+E4+2*E7)/2</f>
        <v>14.507999999999999</v>
      </c>
      <c r="E22" s="6120"/>
    </row>
    <row r="23" spans="1:5" ht="15.75">
      <c r="A23" s="6125"/>
      <c r="B23" s="673" t="s">
        <v>13759</v>
      </c>
      <c r="C23" s="674" t="s">
        <v>407</v>
      </c>
      <c r="D23" s="675"/>
      <c r="E23" s="676">
        <f>1/D3*(D22-D3/2*(D5+E4))</f>
        <v>0</v>
      </c>
    </row>
  </sheetData>
  <mergeCells count="10">
    <mergeCell ref="A1:E1"/>
    <mergeCell ref="D3:E3"/>
    <mergeCell ref="D5:E5"/>
    <mergeCell ref="D6:E6"/>
    <mergeCell ref="D12:E12"/>
    <mergeCell ref="D15:E15"/>
    <mergeCell ref="D16:E16"/>
    <mergeCell ref="D22:E22"/>
    <mergeCell ref="A3:A7"/>
    <mergeCell ref="A8:A23"/>
  </mergeCells>
  <phoneticPr fontId="214" type="noConversion"/>
  <pageMargins left="0.75" right="0.75" top="1" bottom="1" header="0.5" footer="0.5"/>
  <headerFooter alignWithMargins="0"/>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5"/>
  <dimension ref="A1:R48"/>
  <sheetViews>
    <sheetView workbookViewId="0">
      <selection activeCell="M1" sqref="M1"/>
    </sheetView>
  </sheetViews>
  <sheetFormatPr defaultColWidth="9" defaultRowHeight="14.25"/>
  <cols>
    <col min="1" max="1" width="10.5" style="105" customWidth="1"/>
    <col min="2" max="2" width="6.25" style="105" customWidth="1"/>
    <col min="3" max="3" width="12.25" style="105" customWidth="1"/>
    <col min="4" max="4" width="10.75" style="105" customWidth="1"/>
    <col min="5" max="5" width="20.625" style="105" customWidth="1"/>
    <col min="6" max="7" width="12.625" style="105" customWidth="1"/>
    <col min="8" max="8" width="9.25" style="105" customWidth="1"/>
    <col min="9" max="9" width="15.5" style="105" customWidth="1"/>
    <col min="10" max="10" width="13" style="105" customWidth="1"/>
    <col min="11" max="11" width="9" style="105"/>
    <col min="12" max="12" width="15.75" style="105" customWidth="1"/>
    <col min="13" max="13" width="14.375" style="105" customWidth="1"/>
    <col min="14" max="14" width="17.625" style="105" customWidth="1"/>
    <col min="15" max="15" width="9" style="105"/>
    <col min="16" max="16" width="6.5" style="105" customWidth="1"/>
    <col min="17" max="17" width="13.875" style="105" customWidth="1"/>
    <col min="18" max="18" width="12.125" style="105" customWidth="1"/>
    <col min="19" max="16384" width="9" style="105"/>
  </cols>
  <sheetData>
    <row r="1" spans="1:18">
      <c r="A1" s="520" t="s">
        <v>1131</v>
      </c>
      <c r="B1" s="633" t="s">
        <v>1139</v>
      </c>
      <c r="C1" s="522">
        <v>2</v>
      </c>
      <c r="D1" s="6152" t="s">
        <v>14397</v>
      </c>
      <c r="E1" s="6152"/>
      <c r="F1" s="6152"/>
      <c r="G1" s="6152" t="s">
        <v>14398</v>
      </c>
      <c r="H1" s="6152"/>
      <c r="I1" s="6152"/>
      <c r="J1" s="6152" t="s">
        <v>14399</v>
      </c>
      <c r="K1" s="6152"/>
      <c r="L1" s="6152"/>
    </row>
    <row r="2" spans="1:18" ht="15.75">
      <c r="A2" s="524" t="s">
        <v>1855</v>
      </c>
      <c r="B2" s="634" t="s">
        <v>408</v>
      </c>
      <c r="C2" s="526">
        <v>27</v>
      </c>
      <c r="D2" s="6153" t="s">
        <v>14400</v>
      </c>
      <c r="E2" s="6154"/>
      <c r="F2" s="6155"/>
      <c r="G2" s="635" t="s">
        <v>14401</v>
      </c>
      <c r="H2" s="543"/>
      <c r="I2" s="598"/>
      <c r="J2" s="635" t="s">
        <v>14401</v>
      </c>
      <c r="K2" s="543"/>
      <c r="L2" s="598"/>
    </row>
    <row r="3" spans="1:18" ht="27" customHeight="1">
      <c r="A3" s="524" t="s">
        <v>13759</v>
      </c>
      <c r="B3" s="634" t="s">
        <v>3801</v>
      </c>
      <c r="C3" s="526">
        <v>0</v>
      </c>
      <c r="D3" s="6156" t="s">
        <v>14402</v>
      </c>
      <c r="E3" s="6157"/>
      <c r="F3" s="6158"/>
      <c r="G3" s="6159" t="s">
        <v>14403</v>
      </c>
      <c r="H3" s="5068"/>
      <c r="I3" s="6160"/>
      <c r="J3" s="6159" t="s">
        <v>14403</v>
      </c>
      <c r="K3" s="5068"/>
      <c r="L3" s="6160"/>
    </row>
    <row r="4" spans="1:18" ht="15.75">
      <c r="A4" s="524" t="s">
        <v>14404</v>
      </c>
      <c r="B4" s="634" t="s">
        <v>3319</v>
      </c>
      <c r="C4" s="531">
        <v>5</v>
      </c>
      <c r="D4" s="6140" t="s">
        <v>14405</v>
      </c>
      <c r="E4" s="6141"/>
      <c r="F4" s="532"/>
      <c r="G4" s="637" t="s">
        <v>14406</v>
      </c>
      <c r="H4" s="638" t="s">
        <v>3329</v>
      </c>
      <c r="I4" s="526">
        <v>8.25</v>
      </c>
      <c r="J4" s="637" t="s">
        <v>14406</v>
      </c>
      <c r="K4" s="638" t="s">
        <v>3329</v>
      </c>
      <c r="L4" s="526">
        <v>5</v>
      </c>
      <c r="M4" s="527" t="s">
        <v>14407</v>
      </c>
      <c r="N4" s="528" t="s">
        <v>14408</v>
      </c>
      <c r="Q4" s="509"/>
      <c r="R4" s="509"/>
    </row>
    <row r="5" spans="1:18" ht="15.75">
      <c r="A5" s="524" t="s">
        <v>4069</v>
      </c>
      <c r="B5" s="634" t="s">
        <v>964</v>
      </c>
      <c r="C5" s="526">
        <v>20</v>
      </c>
      <c r="D5" s="535" t="s">
        <v>14409</v>
      </c>
      <c r="E5" s="536" t="s">
        <v>4069</v>
      </c>
      <c r="F5" s="530">
        <f>C5</f>
        <v>20</v>
      </c>
      <c r="G5" s="535"/>
      <c r="H5" s="639" t="s">
        <v>14410</v>
      </c>
      <c r="I5" s="530">
        <f>F12+I4/(C12*COS(F11))+(2*C3*F8)/C1-PI()/(2*C1)</f>
        <v>-0.60791106429073605</v>
      </c>
      <c r="J5" s="535"/>
      <c r="K5" s="639" t="s">
        <v>14410</v>
      </c>
      <c r="L5" s="530">
        <f>F12-L4/(C1*F19)+PI()/(2*C1)+2*C3*F8/C1</f>
        <v>0.70176756833182996</v>
      </c>
      <c r="M5" s="529">
        <v>1.2221819E-2</v>
      </c>
      <c r="N5" s="530">
        <v>20</v>
      </c>
      <c r="Q5" s="659"/>
      <c r="R5" s="659"/>
    </row>
    <row r="6" spans="1:18" ht="15.75">
      <c r="A6" s="537" t="s">
        <v>10331</v>
      </c>
      <c r="B6" s="640" t="s">
        <v>13067</v>
      </c>
      <c r="C6" s="539">
        <v>0</v>
      </c>
      <c r="D6" s="540" t="s">
        <v>14411</v>
      </c>
      <c r="E6" s="536" t="s">
        <v>14412</v>
      </c>
      <c r="F6" s="534">
        <f>(F5/180)*PI()</f>
        <v>0.34906585039886601</v>
      </c>
      <c r="G6" s="535"/>
      <c r="H6" s="536"/>
      <c r="I6" s="534">
        <f t="shared" ref="I6:M6" si="0">(I5*3)^(1/3)-I5*3/7.9</f>
        <v>-0.99091106866595502</v>
      </c>
      <c r="J6" s="535"/>
      <c r="K6" s="536"/>
      <c r="L6" s="534">
        <f t="shared" si="0"/>
        <v>1.01516210819743</v>
      </c>
      <c r="M6" s="533">
        <f t="shared" si="0"/>
        <v>0.32757364727866101</v>
      </c>
      <c r="N6" s="534">
        <f>(N5/180)*PI()</f>
        <v>0.34906585039886601</v>
      </c>
      <c r="Q6" s="582"/>
      <c r="R6" s="582"/>
    </row>
    <row r="7" spans="1:18" ht="15.75">
      <c r="A7" s="542" t="s">
        <v>14413</v>
      </c>
      <c r="B7" s="543"/>
      <c r="C7" s="544">
        <f>(C5/180)*F15</f>
        <v>0.22222222222222199</v>
      </c>
      <c r="D7" s="535" t="s">
        <v>14414</v>
      </c>
      <c r="E7" s="536" t="s">
        <v>14415</v>
      </c>
      <c r="F7" s="534">
        <f>TAN(F6)-F6</f>
        <v>1.4904383867336401E-2</v>
      </c>
      <c r="G7" s="535"/>
      <c r="H7" s="536"/>
      <c r="I7" s="534">
        <f t="shared" ref="I7:M7" si="1">TAN(I6)</f>
        <v>-1.52670714589517</v>
      </c>
      <c r="J7" s="535"/>
      <c r="K7" s="536"/>
      <c r="L7" s="534">
        <f t="shared" si="1"/>
        <v>1.61060609244262</v>
      </c>
      <c r="M7" s="533">
        <f t="shared" si="1"/>
        <v>0.33981609304641502</v>
      </c>
      <c r="N7" s="534">
        <f>TAN(N6)-N6</f>
        <v>1.4904383867336401E-2</v>
      </c>
      <c r="Q7" s="582"/>
      <c r="R7" s="582"/>
    </row>
    <row r="8" spans="1:18" ht="15.75">
      <c r="A8" s="546" t="s">
        <v>14416</v>
      </c>
      <c r="B8" s="547"/>
      <c r="C8" s="548">
        <f>(2*C3*F8)/PI()</f>
        <v>0</v>
      </c>
      <c r="D8" s="549" t="s">
        <v>14417</v>
      </c>
      <c r="E8" s="536" t="s">
        <v>14418</v>
      </c>
      <c r="F8" s="534">
        <f>TAN(F6)</f>
        <v>0.36397023426620201</v>
      </c>
      <c r="G8" s="535"/>
      <c r="H8" s="536"/>
      <c r="I8" s="534">
        <f t="shared" ref="I8:M8" si="2">(I7)^2</f>
        <v>2.3308347093273598</v>
      </c>
      <c r="J8" s="535"/>
      <c r="K8" s="536"/>
      <c r="L8" s="534">
        <f t="shared" si="2"/>
        <v>2.5940519850132899</v>
      </c>
      <c r="M8" s="533">
        <f t="shared" si="2"/>
        <v>0.11547497709333</v>
      </c>
      <c r="N8" s="541"/>
      <c r="Q8" s="582"/>
      <c r="R8" s="625"/>
    </row>
    <row r="9" spans="1:18" ht="15.75">
      <c r="A9" s="552" t="s">
        <v>462</v>
      </c>
      <c r="B9" s="553" t="s">
        <v>14404</v>
      </c>
      <c r="C9" s="554">
        <f>C7+0.5+C8</f>
        <v>0.72222222222222199</v>
      </c>
      <c r="D9" s="540" t="s">
        <v>14419</v>
      </c>
      <c r="E9" s="536" t="s">
        <v>14420</v>
      </c>
      <c r="F9" s="534">
        <f>C6*PI()/180</f>
        <v>0</v>
      </c>
      <c r="G9" s="535"/>
      <c r="H9" s="536"/>
      <c r="I9" s="534">
        <f t="shared" ref="I9:M9" si="3">(I5+I6-I7)/I8+I6</f>
        <v>-1.02185062296937</v>
      </c>
      <c r="J9" s="535"/>
      <c r="K9" s="536"/>
      <c r="L9" s="534">
        <f t="shared" si="3"/>
        <v>1.05614956130203</v>
      </c>
      <c r="M9" s="533">
        <f t="shared" si="3"/>
        <v>0.32739502184591701</v>
      </c>
      <c r="N9" s="545"/>
      <c r="Q9" s="582"/>
      <c r="R9" s="509"/>
    </row>
    <row r="10" spans="1:18" ht="16.5" customHeight="1">
      <c r="A10" s="641" t="s">
        <v>14421</v>
      </c>
      <c r="B10" s="642" t="s">
        <v>14422</v>
      </c>
      <c r="C10" s="643">
        <f>F19*(F16+F17+F18)</f>
        <v>359.44026837739102</v>
      </c>
      <c r="D10" s="549" t="s">
        <v>14423</v>
      </c>
      <c r="E10" s="536" t="s">
        <v>14424</v>
      </c>
      <c r="F10" s="534">
        <f>COS(F9)</f>
        <v>1</v>
      </c>
      <c r="G10" s="4963" t="s">
        <v>14425</v>
      </c>
      <c r="H10" s="5044" t="s">
        <v>14426</v>
      </c>
      <c r="I10" s="4963">
        <f t="shared" ref="I10:M10" si="4">I9*180/(PI())</f>
        <v>-58.547727988958997</v>
      </c>
      <c r="J10" s="4963" t="s">
        <v>14425</v>
      </c>
      <c r="K10" s="5044" t="s">
        <v>14426</v>
      </c>
      <c r="L10" s="4963">
        <f t="shared" si="4"/>
        <v>60.512912397199699</v>
      </c>
      <c r="M10" s="550">
        <f t="shared" si="4"/>
        <v>18.7583529853644</v>
      </c>
      <c r="N10" s="551"/>
      <c r="Q10" s="582"/>
      <c r="R10" s="509"/>
    </row>
    <row r="11" spans="1:18" ht="15" customHeight="1">
      <c r="A11" s="563" t="s">
        <v>14427</v>
      </c>
      <c r="B11" s="644" t="s">
        <v>14428</v>
      </c>
      <c r="C11" s="565">
        <f>C2/F10</f>
        <v>27</v>
      </c>
      <c r="D11" s="540" t="s">
        <v>14429</v>
      </c>
      <c r="E11" s="561" t="s">
        <v>14430</v>
      </c>
      <c r="F11" s="562">
        <f>ATAN(F13)</f>
        <v>0.34906585039886601</v>
      </c>
      <c r="G11" s="4963"/>
      <c r="H11" s="5044"/>
      <c r="I11" s="4963"/>
      <c r="J11" s="4963"/>
      <c r="K11" s="5044"/>
      <c r="L11" s="4963"/>
    </row>
    <row r="12" spans="1:18" ht="15.75" customHeight="1">
      <c r="A12" s="563" t="s">
        <v>1132</v>
      </c>
      <c r="B12" s="644" t="s">
        <v>411</v>
      </c>
      <c r="C12" s="565">
        <f>C1*C11</f>
        <v>54</v>
      </c>
      <c r="D12" s="535" t="s">
        <v>14431</v>
      </c>
      <c r="E12" s="536" t="s">
        <v>14432</v>
      </c>
      <c r="F12" s="534">
        <f>TAN(F11)-F11</f>
        <v>1.4904383867336401E-2</v>
      </c>
      <c r="G12" s="549" t="s">
        <v>14433</v>
      </c>
      <c r="H12" s="536"/>
      <c r="I12" s="600"/>
      <c r="J12" s="549" t="s">
        <v>14434</v>
      </c>
      <c r="K12" s="536"/>
      <c r="L12" s="600"/>
    </row>
    <row r="13" spans="1:18" ht="15" customHeight="1">
      <c r="A13" s="563" t="s">
        <v>1860</v>
      </c>
      <c r="B13" s="644" t="s">
        <v>1861</v>
      </c>
      <c r="C13" s="565">
        <f>1*C2</f>
        <v>27</v>
      </c>
      <c r="D13" s="549" t="s">
        <v>14435</v>
      </c>
      <c r="E13" s="566"/>
      <c r="F13" s="534">
        <f>F8/F10</f>
        <v>0.36397023426620201</v>
      </c>
      <c r="G13" s="645" t="s">
        <v>14436</v>
      </c>
      <c r="H13" s="646" t="s">
        <v>14437</v>
      </c>
      <c r="I13" s="655">
        <f>C12*COS(F6)/COS(I10*PI()/180)+I4</f>
        <v>105.499053908733</v>
      </c>
      <c r="J13" s="645" t="s">
        <v>14436</v>
      </c>
      <c r="K13" s="646" t="s">
        <v>14437</v>
      </c>
      <c r="L13" s="655">
        <f>C11*C1*COS(F11)/(COS(L10*PI()/180))-L4</f>
        <v>98.089347383551498</v>
      </c>
    </row>
    <row r="14" spans="1:18" ht="15.75" customHeight="1">
      <c r="A14" s="563" t="s">
        <v>1134</v>
      </c>
      <c r="B14" s="644" t="s">
        <v>1869</v>
      </c>
      <c r="C14" s="565">
        <f>C12+2*C2*(1+C3)-2*C11*C18</f>
        <v>108</v>
      </c>
      <c r="D14" s="535" t="s">
        <v>14438</v>
      </c>
      <c r="E14" s="536" t="s">
        <v>14439</v>
      </c>
      <c r="F14" s="534">
        <f>(F11*180)/PI()</f>
        <v>20</v>
      </c>
      <c r="G14" s="549" t="s">
        <v>14440</v>
      </c>
      <c r="H14" s="536"/>
      <c r="I14" s="600"/>
      <c r="J14" s="549" t="s">
        <v>14441</v>
      </c>
      <c r="K14" s="536"/>
      <c r="L14" s="600"/>
    </row>
    <row r="15" spans="1:18" ht="15.75">
      <c r="A15" s="563" t="s">
        <v>1863</v>
      </c>
      <c r="B15" s="644" t="s">
        <v>1864</v>
      </c>
      <c r="C15" s="565">
        <f>1.25*C2</f>
        <v>33.75</v>
      </c>
      <c r="D15" s="549" t="s">
        <v>14442</v>
      </c>
      <c r="E15" s="536" t="s">
        <v>14443</v>
      </c>
      <c r="F15" s="534">
        <f>C1*(F12/F7)</f>
        <v>2</v>
      </c>
      <c r="G15" s="647" t="s">
        <v>14444</v>
      </c>
      <c r="H15" s="648" t="s">
        <v>14445</v>
      </c>
      <c r="I15" s="656">
        <f>C12*COS(F6)/COS(I10*PI()/180)*COS(90/C1*PI()/180)+I4</f>
        <v>77.015465482841407</v>
      </c>
      <c r="J15" s="647" t="s">
        <v>14444</v>
      </c>
      <c r="K15" s="648" t="s">
        <v>14445</v>
      </c>
      <c r="L15" s="656">
        <f>C11*C1*COS(F11)/(COS(L10*PI()/180))*(COS((90/C1)*(PI()/180)))-L4</f>
        <v>67.895176603004899</v>
      </c>
    </row>
    <row r="16" spans="1:18" ht="15.75">
      <c r="A16" s="563" t="s">
        <v>1133</v>
      </c>
      <c r="B16" s="644" t="s">
        <v>1871</v>
      </c>
      <c r="C16" s="565">
        <f>C12-2*C2*(1.25-C3)</f>
        <v>-13.5</v>
      </c>
      <c r="D16" s="568" t="s">
        <v>14446</v>
      </c>
      <c r="E16" s="561"/>
      <c r="F16" s="534">
        <f>PI()*(C4-0.5)</f>
        <v>14.137166941154099</v>
      </c>
      <c r="G16" s="6142" t="s">
        <v>14447</v>
      </c>
      <c r="H16" s="6143"/>
      <c r="I16" s="6143"/>
      <c r="J16" s="6143"/>
    </row>
    <row r="17" spans="1:10" ht="15.75">
      <c r="A17" s="563" t="s">
        <v>4073</v>
      </c>
      <c r="B17" s="644" t="s">
        <v>1866</v>
      </c>
      <c r="C17" s="565">
        <f>(C14-C16)/2</f>
        <v>60.75</v>
      </c>
      <c r="D17" s="549" t="s">
        <v>14448</v>
      </c>
      <c r="E17" s="536"/>
      <c r="F17" s="534">
        <f>F15*F7</f>
        <v>2.9808767734672899E-2</v>
      </c>
      <c r="G17" s="6144" t="s">
        <v>14449</v>
      </c>
      <c r="H17" s="6145"/>
      <c r="I17" s="6146"/>
      <c r="J17" s="582"/>
    </row>
    <row r="18" spans="1:10" ht="13.5" customHeight="1">
      <c r="A18" s="569" t="s">
        <v>13757</v>
      </c>
      <c r="B18" s="649" t="s">
        <v>14450</v>
      </c>
      <c r="C18" s="571">
        <v>0</v>
      </c>
      <c r="D18" s="549" t="s">
        <v>14451</v>
      </c>
      <c r="E18" s="536"/>
      <c r="F18" s="573">
        <f>2*C3*F8</f>
        <v>0</v>
      </c>
      <c r="G18" s="650" t="s">
        <v>1855</v>
      </c>
      <c r="H18" s="651" t="s">
        <v>14452</v>
      </c>
      <c r="I18" s="643">
        <f>C2</f>
        <v>27</v>
      </c>
    </row>
    <row r="19" spans="1:10" ht="15.75">
      <c r="A19" s="6147" t="s">
        <v>14453</v>
      </c>
      <c r="B19" s="6148"/>
      <c r="C19" s="6149"/>
      <c r="D19" s="574" t="s">
        <v>14454</v>
      </c>
      <c r="E19" s="575"/>
      <c r="F19" s="576">
        <f>C2*COS(F6)</f>
        <v>25.3717007612195</v>
      </c>
      <c r="G19" s="650" t="s">
        <v>14455</v>
      </c>
      <c r="H19" s="651" t="s">
        <v>462</v>
      </c>
      <c r="I19" s="643">
        <v>1</v>
      </c>
      <c r="J19" s="231"/>
    </row>
    <row r="20" spans="1:10" ht="15.75">
      <c r="A20" s="6150" t="s">
        <v>14456</v>
      </c>
      <c r="B20" s="6151"/>
      <c r="C20" s="578">
        <v>35</v>
      </c>
      <c r="G20" s="650" t="s">
        <v>10331</v>
      </c>
      <c r="H20" s="642" t="s">
        <v>13067</v>
      </c>
      <c r="I20" s="643">
        <f>C6</f>
        <v>0</v>
      </c>
      <c r="J20" s="567"/>
    </row>
    <row r="21" spans="1:10">
      <c r="A21" s="579"/>
      <c r="B21" s="580" t="s">
        <v>14457</v>
      </c>
      <c r="C21" s="581">
        <f>SIN(F9)*C10</f>
        <v>0</v>
      </c>
      <c r="G21" s="568" t="s">
        <v>14420</v>
      </c>
      <c r="H21" s="652" t="s">
        <v>14458</v>
      </c>
      <c r="I21" s="657">
        <f>I20*PI()/180</f>
        <v>0</v>
      </c>
      <c r="J21" s="231"/>
    </row>
    <row r="22" spans="1:10" ht="12.75" customHeight="1">
      <c r="G22" s="568"/>
      <c r="H22" s="652" t="s">
        <v>14459</v>
      </c>
      <c r="I22" s="657">
        <f>SIN(I21)</f>
        <v>0</v>
      </c>
      <c r="J22" s="567"/>
    </row>
    <row r="23" spans="1:10">
      <c r="G23" s="653" t="s">
        <v>14460</v>
      </c>
      <c r="H23" s="654" t="s">
        <v>14461</v>
      </c>
      <c r="I23" s="658">
        <f>(9*I22)/(I18*I19)</f>
        <v>0</v>
      </c>
      <c r="J23" s="231"/>
    </row>
    <row r="25" spans="1:10" ht="22.5">
      <c r="A25" s="6134" t="s">
        <v>14462</v>
      </c>
      <c r="B25" s="6134"/>
      <c r="C25" s="6134"/>
      <c r="D25" s="6134"/>
      <c r="E25" s="6134"/>
      <c r="F25" s="6134"/>
      <c r="G25" s="6134"/>
      <c r="H25" s="6134"/>
      <c r="I25" s="6134"/>
      <c r="J25" s="6134"/>
    </row>
    <row r="26" spans="1:10" ht="15.75">
      <c r="A26" s="6137" t="s">
        <v>14463</v>
      </c>
      <c r="B26" s="6132" t="s">
        <v>14464</v>
      </c>
      <c r="C26" s="6132" t="s">
        <v>14465</v>
      </c>
      <c r="D26" s="583" t="s">
        <v>14466</v>
      </c>
      <c r="E26" s="6135" t="s">
        <v>14467</v>
      </c>
      <c r="F26" s="6135"/>
      <c r="G26" s="6135"/>
      <c r="H26" s="6135"/>
      <c r="I26" s="6135"/>
      <c r="J26" s="6136"/>
    </row>
    <row r="27" spans="1:10" ht="20.25">
      <c r="A27" s="6138"/>
      <c r="B27" s="6133"/>
      <c r="C27" s="6133"/>
      <c r="D27" s="584" t="s">
        <v>14468</v>
      </c>
      <c r="E27" s="4963" t="s">
        <v>14469</v>
      </c>
      <c r="F27" s="4963" t="s">
        <v>14470</v>
      </c>
      <c r="G27" s="4963" t="s">
        <v>14471</v>
      </c>
      <c r="H27" s="4963" t="s">
        <v>14472</v>
      </c>
      <c r="I27" s="4963" t="s">
        <v>14473</v>
      </c>
      <c r="J27" s="4963" t="s">
        <v>14474</v>
      </c>
    </row>
    <row r="28" spans="1:10" ht="29.25" customHeight="1">
      <c r="A28" s="6139"/>
      <c r="B28" s="4963"/>
      <c r="C28" s="4963"/>
      <c r="D28" s="585" t="s">
        <v>14475</v>
      </c>
      <c r="E28" s="4963"/>
      <c r="F28" s="4963"/>
      <c r="G28" s="4963"/>
      <c r="H28" s="4963"/>
      <c r="I28" s="4963"/>
      <c r="J28" s="4963"/>
    </row>
    <row r="29" spans="1:10" ht="15.75">
      <c r="A29" s="6128">
        <v>6</v>
      </c>
      <c r="B29" s="4963" t="s">
        <v>14476</v>
      </c>
      <c r="C29" s="4963" t="s">
        <v>14477</v>
      </c>
      <c r="D29" s="586" t="s">
        <v>14478</v>
      </c>
      <c r="E29" s="587">
        <v>80</v>
      </c>
      <c r="F29" s="587">
        <v>95</v>
      </c>
      <c r="G29" s="587">
        <v>115</v>
      </c>
      <c r="H29" s="587">
        <v>140</v>
      </c>
      <c r="I29" s="587">
        <v>160</v>
      </c>
      <c r="J29" s="605">
        <v>210</v>
      </c>
    </row>
    <row r="30" spans="1:10" ht="15.75">
      <c r="A30" s="6129"/>
      <c r="B30" s="5044"/>
      <c r="C30" s="5044"/>
      <c r="D30" s="536" t="s">
        <v>14479</v>
      </c>
      <c r="E30" s="589">
        <v>80</v>
      </c>
      <c r="F30" s="589">
        <v>95</v>
      </c>
      <c r="G30" s="589">
        <v>115</v>
      </c>
      <c r="H30" s="589">
        <v>140</v>
      </c>
      <c r="I30" s="589">
        <v>160</v>
      </c>
      <c r="J30" s="606">
        <v>210</v>
      </c>
    </row>
    <row r="31" spans="1:10" ht="15.75">
      <c r="A31" s="6129"/>
      <c r="B31" s="5044"/>
      <c r="C31" s="5044"/>
      <c r="D31" s="536" t="s">
        <v>14480</v>
      </c>
      <c r="E31" s="590" t="s">
        <v>5908</v>
      </c>
      <c r="F31" s="589">
        <v>95</v>
      </c>
      <c r="G31" s="589">
        <v>120</v>
      </c>
      <c r="H31" s="589">
        <v>140</v>
      </c>
      <c r="I31" s="589">
        <v>160</v>
      </c>
      <c r="J31" s="606">
        <v>210</v>
      </c>
    </row>
    <row r="32" spans="1:10" ht="15.75">
      <c r="A32" s="6129"/>
      <c r="B32" s="5044"/>
      <c r="C32" s="5044"/>
      <c r="D32" s="536" t="s">
        <v>14481</v>
      </c>
      <c r="E32" s="590" t="s">
        <v>5908</v>
      </c>
      <c r="F32" s="590" t="s">
        <v>5908</v>
      </c>
      <c r="G32" s="589">
        <v>120</v>
      </c>
      <c r="H32" s="591">
        <v>140</v>
      </c>
      <c r="I32" s="589">
        <v>160</v>
      </c>
      <c r="J32" s="606">
        <v>210</v>
      </c>
    </row>
    <row r="33" spans="1:10" ht="15.75">
      <c r="A33" s="6130"/>
      <c r="B33" s="4963"/>
      <c r="C33" s="585" t="s">
        <v>14482</v>
      </c>
      <c r="D33" s="585" t="s">
        <v>14483</v>
      </c>
      <c r="E33" s="592">
        <v>34</v>
      </c>
      <c r="F33" s="592">
        <v>40</v>
      </c>
      <c r="G33" s="592">
        <v>40</v>
      </c>
      <c r="H33" s="592">
        <v>45</v>
      </c>
      <c r="I33" s="592">
        <v>50</v>
      </c>
      <c r="J33" s="607">
        <v>50</v>
      </c>
    </row>
    <row r="34" spans="1:10" ht="15.75">
      <c r="A34" s="6128">
        <v>7</v>
      </c>
      <c r="B34" s="4963" t="s">
        <v>14476</v>
      </c>
      <c r="C34" s="4963" t="s">
        <v>14477</v>
      </c>
      <c r="D34" s="586" t="s">
        <v>14478</v>
      </c>
      <c r="E34" s="587">
        <v>85</v>
      </c>
      <c r="F34" s="587">
        <v>105</v>
      </c>
      <c r="G34" s="587">
        <v>130</v>
      </c>
      <c r="H34" s="587">
        <v>150</v>
      </c>
      <c r="I34" s="587">
        <v>170</v>
      </c>
      <c r="J34" s="605">
        <v>220</v>
      </c>
    </row>
    <row r="35" spans="1:10" ht="15.75">
      <c r="A35" s="6129"/>
      <c r="B35" s="5044"/>
      <c r="C35" s="5044"/>
      <c r="D35" s="536" t="s">
        <v>14479</v>
      </c>
      <c r="E35" s="589">
        <v>85</v>
      </c>
      <c r="F35" s="589">
        <v>105</v>
      </c>
      <c r="G35" s="589">
        <v>130</v>
      </c>
      <c r="H35" s="589">
        <v>150</v>
      </c>
      <c r="I35" s="589">
        <v>190</v>
      </c>
      <c r="J35" s="606">
        <v>220</v>
      </c>
    </row>
    <row r="36" spans="1:10" ht="15.75">
      <c r="A36" s="6129"/>
      <c r="B36" s="5044"/>
      <c r="C36" s="5044"/>
      <c r="D36" s="536" t="s">
        <v>14480</v>
      </c>
      <c r="E36" s="590" t="s">
        <v>5908</v>
      </c>
      <c r="F36" s="589">
        <v>110</v>
      </c>
      <c r="G36" s="589">
        <v>130</v>
      </c>
      <c r="H36" s="589">
        <v>160</v>
      </c>
      <c r="I36" s="589">
        <v>190</v>
      </c>
      <c r="J36" s="606">
        <v>240</v>
      </c>
    </row>
    <row r="37" spans="1:10" ht="15.75">
      <c r="A37" s="6129"/>
      <c r="B37" s="5044"/>
      <c r="C37" s="5044"/>
      <c r="D37" s="536" t="s">
        <v>14481</v>
      </c>
      <c r="E37" s="590" t="s">
        <v>5908</v>
      </c>
      <c r="F37" s="590" t="s">
        <v>5908</v>
      </c>
      <c r="G37" s="589">
        <v>130</v>
      </c>
      <c r="H37" s="589">
        <v>160</v>
      </c>
      <c r="I37" s="589">
        <v>190</v>
      </c>
      <c r="J37" s="606">
        <v>240</v>
      </c>
    </row>
    <row r="38" spans="1:10" ht="15.75">
      <c r="A38" s="6130"/>
      <c r="B38" s="4963"/>
      <c r="C38" s="585" t="s">
        <v>14482</v>
      </c>
      <c r="D38" s="585" t="s">
        <v>14483</v>
      </c>
      <c r="E38" s="593">
        <v>38</v>
      </c>
      <c r="F38" s="593">
        <v>50</v>
      </c>
      <c r="G38" s="592">
        <v>50</v>
      </c>
      <c r="H38" s="592">
        <v>55</v>
      </c>
      <c r="I38" s="592">
        <v>70</v>
      </c>
      <c r="J38" s="607">
        <v>70</v>
      </c>
    </row>
    <row r="39" spans="1:10" ht="15.75">
      <c r="A39" s="6128">
        <v>8</v>
      </c>
      <c r="B39" s="4963" t="s">
        <v>14476</v>
      </c>
      <c r="C39" s="4963" t="s">
        <v>14477</v>
      </c>
      <c r="D39" s="586" t="s">
        <v>14478</v>
      </c>
      <c r="E39" s="594">
        <v>95</v>
      </c>
      <c r="F39" s="594">
        <v>115</v>
      </c>
      <c r="G39" s="587">
        <v>140</v>
      </c>
      <c r="H39" s="587">
        <v>170</v>
      </c>
      <c r="I39" s="587">
        <v>200</v>
      </c>
      <c r="J39" s="605">
        <v>240</v>
      </c>
    </row>
    <row r="40" spans="1:10" ht="15.75">
      <c r="A40" s="6129"/>
      <c r="B40" s="5044"/>
      <c r="C40" s="5044"/>
      <c r="D40" s="536" t="s">
        <v>14479</v>
      </c>
      <c r="E40" s="590">
        <v>100</v>
      </c>
      <c r="F40" s="590">
        <v>115</v>
      </c>
      <c r="G40" s="589">
        <v>140</v>
      </c>
      <c r="H40" s="589">
        <v>170</v>
      </c>
      <c r="I40" s="589">
        <v>200</v>
      </c>
      <c r="J40" s="606">
        <v>240</v>
      </c>
    </row>
    <row r="41" spans="1:10" ht="15.75">
      <c r="A41" s="6129"/>
      <c r="B41" s="5044"/>
      <c r="C41" s="5044"/>
      <c r="D41" s="536" t="s">
        <v>14480</v>
      </c>
      <c r="E41" s="590" t="s">
        <v>5908</v>
      </c>
      <c r="F41" s="590">
        <v>120</v>
      </c>
      <c r="G41" s="589">
        <v>140</v>
      </c>
      <c r="H41" s="589">
        <v>170</v>
      </c>
      <c r="I41" s="589">
        <v>210</v>
      </c>
      <c r="J41" s="606">
        <v>240</v>
      </c>
    </row>
    <row r="42" spans="1:10" ht="15.75">
      <c r="A42" s="6129"/>
      <c r="B42" s="5044"/>
      <c r="C42" s="5044"/>
      <c r="D42" s="536" t="s">
        <v>14481</v>
      </c>
      <c r="E42" s="590" t="s">
        <v>5908</v>
      </c>
      <c r="F42" s="590" t="s">
        <v>5908</v>
      </c>
      <c r="G42" s="589">
        <v>150</v>
      </c>
      <c r="H42" s="589">
        <v>180</v>
      </c>
      <c r="I42" s="589">
        <v>210</v>
      </c>
      <c r="J42" s="606">
        <v>240</v>
      </c>
    </row>
    <row r="43" spans="1:10" ht="15.75">
      <c r="A43" s="6130"/>
      <c r="B43" s="4963"/>
      <c r="C43" s="585" t="s">
        <v>14482</v>
      </c>
      <c r="D43" s="585" t="s">
        <v>14483</v>
      </c>
      <c r="E43" s="593">
        <v>48</v>
      </c>
      <c r="F43" s="593">
        <v>70</v>
      </c>
      <c r="G43" s="592">
        <v>70</v>
      </c>
      <c r="H43" s="592">
        <v>80</v>
      </c>
      <c r="I43" s="592">
        <v>90</v>
      </c>
      <c r="J43" s="607">
        <v>90</v>
      </c>
    </row>
    <row r="44" spans="1:10" ht="15.75">
      <c r="A44" s="6128">
        <v>9</v>
      </c>
      <c r="B44" s="4963" t="s">
        <v>14476</v>
      </c>
      <c r="C44" s="4963" t="s">
        <v>14477</v>
      </c>
      <c r="D44" s="586" t="s">
        <v>14479</v>
      </c>
      <c r="E44" s="594">
        <v>115</v>
      </c>
      <c r="F44" s="594">
        <v>140</v>
      </c>
      <c r="G44" s="587">
        <v>160</v>
      </c>
      <c r="H44" s="587">
        <v>190</v>
      </c>
      <c r="I44" s="587">
        <v>240</v>
      </c>
      <c r="J44" s="605">
        <v>280</v>
      </c>
    </row>
    <row r="45" spans="1:10" ht="15.75">
      <c r="A45" s="6129"/>
      <c r="B45" s="5044"/>
      <c r="C45" s="5044"/>
      <c r="D45" s="536" t="s">
        <v>14480</v>
      </c>
      <c r="E45" s="590" t="s">
        <v>5908</v>
      </c>
      <c r="F45" s="590">
        <v>150</v>
      </c>
      <c r="G45" s="589">
        <v>160</v>
      </c>
      <c r="H45" s="589">
        <v>200</v>
      </c>
      <c r="I45" s="589">
        <v>240</v>
      </c>
      <c r="J45" s="606">
        <v>280</v>
      </c>
    </row>
    <row r="46" spans="1:10" ht="15.75">
      <c r="A46" s="6129"/>
      <c r="B46" s="5044"/>
      <c r="C46" s="5044"/>
      <c r="D46" s="536" t="s">
        <v>14481</v>
      </c>
      <c r="E46" s="590" t="s">
        <v>5908</v>
      </c>
      <c r="F46" s="590" t="s">
        <v>5908</v>
      </c>
      <c r="G46" s="589">
        <v>180</v>
      </c>
      <c r="H46" s="589">
        <v>210</v>
      </c>
      <c r="I46" s="589">
        <v>240</v>
      </c>
      <c r="J46" s="606">
        <v>280</v>
      </c>
    </row>
    <row r="47" spans="1:10">
      <c r="A47" s="6129"/>
      <c r="B47" s="5044"/>
      <c r="C47" s="5044"/>
      <c r="D47" s="536"/>
      <c r="E47" s="536"/>
      <c r="F47" s="536"/>
      <c r="G47" s="536"/>
      <c r="H47" s="536"/>
      <c r="I47" s="536"/>
      <c r="J47" s="600"/>
    </row>
    <row r="48" spans="1:10" ht="15.75">
      <c r="A48" s="6131"/>
      <c r="B48" s="4963"/>
      <c r="C48" s="575" t="s">
        <v>14482</v>
      </c>
      <c r="D48" s="575" t="s">
        <v>14484</v>
      </c>
      <c r="E48" s="595">
        <v>65</v>
      </c>
      <c r="F48" s="596">
        <v>95</v>
      </c>
      <c r="G48" s="595">
        <v>95</v>
      </c>
      <c r="H48" s="595">
        <v>115</v>
      </c>
      <c r="I48" s="595">
        <v>140</v>
      </c>
      <c r="J48" s="608">
        <v>140</v>
      </c>
    </row>
  </sheetData>
  <mergeCells count="41">
    <mergeCell ref="D1:F1"/>
    <mergeCell ref="G1:I1"/>
    <mergeCell ref="J1:L1"/>
    <mergeCell ref="D2:F2"/>
    <mergeCell ref="D3:F3"/>
    <mergeCell ref="G3:I3"/>
    <mergeCell ref="J3:L3"/>
    <mergeCell ref="D4:E4"/>
    <mergeCell ref="G16:J16"/>
    <mergeCell ref="G17:I17"/>
    <mergeCell ref="A19:C19"/>
    <mergeCell ref="A20:B20"/>
    <mergeCell ref="H10:H11"/>
    <mergeCell ref="I10:I11"/>
    <mergeCell ref="J10:J11"/>
    <mergeCell ref="A39:A43"/>
    <mergeCell ref="A44:A48"/>
    <mergeCell ref="B26:B28"/>
    <mergeCell ref="B29:B33"/>
    <mergeCell ref="B34:B38"/>
    <mergeCell ref="B39:B43"/>
    <mergeCell ref="B44:B48"/>
    <mergeCell ref="A26:A28"/>
    <mergeCell ref="A29:A33"/>
    <mergeCell ref="A34:A38"/>
    <mergeCell ref="K10:K11"/>
    <mergeCell ref="L10:L11"/>
    <mergeCell ref="C39:C42"/>
    <mergeCell ref="C44:C47"/>
    <mergeCell ref="E27:E28"/>
    <mergeCell ref="F27:F28"/>
    <mergeCell ref="G10:G11"/>
    <mergeCell ref="G27:G28"/>
    <mergeCell ref="A25:J25"/>
    <mergeCell ref="E26:J26"/>
    <mergeCell ref="C26:C28"/>
    <mergeCell ref="C29:C32"/>
    <mergeCell ref="C34:C37"/>
    <mergeCell ref="H27:H28"/>
    <mergeCell ref="I27:I28"/>
    <mergeCell ref="J27:J28"/>
  </mergeCells>
  <phoneticPr fontId="214" type="noConversion"/>
  <pageMargins left="0.75" right="0.75" top="1" bottom="1" header="0.5" footer="0.5"/>
  <pageSetup paperSize="9" orientation="portrait"/>
  <headerFooter alignWithMargins="0"/>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66"/>
  <dimension ref="A1:P34"/>
  <sheetViews>
    <sheetView workbookViewId="0">
      <selection activeCell="M1" sqref="M1"/>
    </sheetView>
  </sheetViews>
  <sheetFormatPr defaultColWidth="9" defaultRowHeight="14.25"/>
  <cols>
    <col min="1" max="1" width="5.5" style="105" customWidth="1"/>
    <col min="2" max="2" width="12.5" style="105" customWidth="1"/>
    <col min="3" max="3" width="5.625" style="105" customWidth="1"/>
    <col min="4" max="4" width="12.75" style="105" customWidth="1"/>
    <col min="5" max="5" width="3.5" style="105" customWidth="1"/>
    <col min="6" max="6" width="12.5" style="105" customWidth="1"/>
    <col min="7" max="7" width="5.75" style="105" customWidth="1"/>
    <col min="8" max="8" width="11.875" style="105" customWidth="1"/>
    <col min="9" max="9" width="5.5" style="105" customWidth="1"/>
    <col min="10" max="10" width="13.25" style="105" customWidth="1"/>
    <col min="11" max="11" width="4.25" style="105" customWidth="1"/>
    <col min="12" max="12" width="11.875" style="105" customWidth="1"/>
    <col min="13" max="13" width="9" style="105"/>
    <col min="14" max="14" width="14.875" style="105" customWidth="1"/>
    <col min="15" max="15" width="18.25" style="105" customWidth="1"/>
    <col min="16" max="16384" width="9" style="105"/>
  </cols>
  <sheetData>
    <row r="1" spans="1:16" ht="15.75">
      <c r="A1" s="4963" t="s">
        <v>14485</v>
      </c>
      <c r="B1" s="4963"/>
      <c r="C1" s="4963"/>
      <c r="D1" s="4963"/>
      <c r="E1" s="4963" t="s">
        <v>14486</v>
      </c>
      <c r="F1" s="4963"/>
      <c r="G1" s="4963" t="s">
        <v>14487</v>
      </c>
      <c r="H1" s="4963"/>
      <c r="I1" s="4963"/>
      <c r="J1" s="4963"/>
      <c r="K1" s="4963" t="s">
        <v>14488</v>
      </c>
      <c r="L1" s="4963"/>
    </row>
    <row r="2" spans="1:16">
      <c r="A2" s="620" t="s">
        <v>395</v>
      </c>
      <c r="B2" s="621">
        <v>26</v>
      </c>
      <c r="C2" s="627" t="s">
        <v>395</v>
      </c>
      <c r="D2" s="628">
        <f>B2*1</f>
        <v>26</v>
      </c>
      <c r="E2" s="620" t="s">
        <v>395</v>
      </c>
      <c r="F2" s="621">
        <v>26</v>
      </c>
      <c r="G2" s="620" t="s">
        <v>395</v>
      </c>
      <c r="H2" s="621">
        <v>25</v>
      </c>
      <c r="I2" s="627" t="s">
        <v>395</v>
      </c>
      <c r="J2" s="628">
        <f>H2*1</f>
        <v>25</v>
      </c>
      <c r="K2" s="620" t="s">
        <v>395</v>
      </c>
      <c r="L2" s="621">
        <v>25</v>
      </c>
      <c r="N2" s="620" t="s">
        <v>14421</v>
      </c>
      <c r="O2" s="621">
        <v>44.662799999999997</v>
      </c>
      <c r="P2" s="4963" t="s">
        <v>14489</v>
      </c>
    </row>
    <row r="3" spans="1:16">
      <c r="A3" s="609" t="s">
        <v>408</v>
      </c>
      <c r="B3" s="613">
        <v>0.5</v>
      </c>
      <c r="C3" s="629" t="s">
        <v>408</v>
      </c>
      <c r="D3" s="612">
        <f>B3*1</f>
        <v>0.5</v>
      </c>
      <c r="E3" s="609" t="s">
        <v>408</v>
      </c>
      <c r="F3" s="613">
        <v>0.5</v>
      </c>
      <c r="G3" s="609" t="s">
        <v>408</v>
      </c>
      <c r="H3" s="613">
        <v>1.5</v>
      </c>
      <c r="I3" s="629" t="s">
        <v>408</v>
      </c>
      <c r="J3" s="612">
        <f>H3*1</f>
        <v>1.5</v>
      </c>
      <c r="K3" s="609" t="s">
        <v>408</v>
      </c>
      <c r="L3" s="613">
        <v>1.5</v>
      </c>
      <c r="N3" s="609" t="s">
        <v>1855</v>
      </c>
      <c r="O3" s="613">
        <v>4</v>
      </c>
      <c r="P3" s="4963"/>
    </row>
    <row r="4" spans="1:16">
      <c r="A4" s="609" t="s">
        <v>964</v>
      </c>
      <c r="B4" s="613">
        <v>20</v>
      </c>
      <c r="C4" s="629" t="s">
        <v>964</v>
      </c>
      <c r="D4" s="612">
        <f>B4*1</f>
        <v>20</v>
      </c>
      <c r="E4" s="609" t="s">
        <v>964</v>
      </c>
      <c r="F4" s="613">
        <v>20</v>
      </c>
      <c r="G4" s="609" t="s">
        <v>964</v>
      </c>
      <c r="H4" s="613">
        <v>30</v>
      </c>
      <c r="I4" s="629" t="s">
        <v>964</v>
      </c>
      <c r="J4" s="612">
        <f>H4*1</f>
        <v>30</v>
      </c>
      <c r="K4" s="609" t="s">
        <v>964</v>
      </c>
      <c r="L4" s="613">
        <v>30</v>
      </c>
      <c r="N4" s="609" t="s">
        <v>4069</v>
      </c>
      <c r="O4" s="613">
        <v>20</v>
      </c>
      <c r="P4" s="4963"/>
    </row>
    <row r="5" spans="1:16">
      <c r="A5" s="609" t="s">
        <v>3329</v>
      </c>
      <c r="B5" s="613">
        <v>0.86599999999999999</v>
      </c>
      <c r="C5" s="629" t="s">
        <v>3329</v>
      </c>
      <c r="D5" s="612">
        <v>0.86599999999999999</v>
      </c>
      <c r="E5" s="609" t="s">
        <v>3329</v>
      </c>
      <c r="F5" s="613">
        <v>0.72399999999999998</v>
      </c>
      <c r="G5" s="609" t="s">
        <v>3329</v>
      </c>
      <c r="H5" s="613">
        <v>2.8860000000000001</v>
      </c>
      <c r="I5" s="629" t="s">
        <v>3329</v>
      </c>
      <c r="J5" s="612">
        <f>H5*1</f>
        <v>2.8860000000000001</v>
      </c>
      <c r="K5" s="609" t="s">
        <v>3329</v>
      </c>
      <c r="L5" s="613">
        <v>2.8860000000000001</v>
      </c>
      <c r="N5" s="622" t="s">
        <v>3205</v>
      </c>
      <c r="O5" s="545">
        <f>(O4/180)*PI()</f>
        <v>0.34906585039886601</v>
      </c>
      <c r="P5" s="4963"/>
    </row>
    <row r="6" spans="1:16" ht="15.75">
      <c r="A6" s="614" t="s">
        <v>14490</v>
      </c>
      <c r="B6" s="613">
        <v>1.0766703811</v>
      </c>
      <c r="C6" s="614" t="s">
        <v>14491</v>
      </c>
      <c r="D6" s="613">
        <v>1.1039134580000001</v>
      </c>
      <c r="E6" s="614" t="s">
        <v>235</v>
      </c>
      <c r="F6" s="613">
        <v>14.363</v>
      </c>
      <c r="G6" s="614" t="s">
        <v>14490</v>
      </c>
      <c r="H6" s="613">
        <v>2.2930000000000001</v>
      </c>
      <c r="I6" s="614" t="s">
        <v>14491</v>
      </c>
      <c r="J6" s="613">
        <v>2.258</v>
      </c>
      <c r="K6" s="609" t="s">
        <v>235</v>
      </c>
      <c r="L6" s="613">
        <v>41.807240520000001</v>
      </c>
      <c r="N6" s="622" t="s">
        <v>14408</v>
      </c>
      <c r="O6" s="545">
        <f>TAN(O5)-O5</f>
        <v>1.4904383867336401E-2</v>
      </c>
      <c r="P6" s="4963"/>
    </row>
    <row r="7" spans="1:16">
      <c r="A7" s="588"/>
      <c r="B7" s="545">
        <f t="shared" ref="B7:F7" si="0">(B4/180)*PI()</f>
        <v>0.34906585039886601</v>
      </c>
      <c r="C7" s="588"/>
      <c r="D7" s="545">
        <f t="shared" si="0"/>
        <v>0.34906585039886601</v>
      </c>
      <c r="E7" s="588"/>
      <c r="F7" s="545">
        <f t="shared" si="0"/>
        <v>0.34906585039886601</v>
      </c>
      <c r="G7" s="588"/>
      <c r="H7" s="545">
        <f t="shared" ref="H7:L7" si="1">(H4/180)*PI()</f>
        <v>0.52359877559829904</v>
      </c>
      <c r="I7" s="588"/>
      <c r="J7" s="545">
        <f t="shared" si="1"/>
        <v>0.52359877559829904</v>
      </c>
      <c r="K7" s="588"/>
      <c r="L7" s="545">
        <f t="shared" si="1"/>
        <v>0.52359877559829904</v>
      </c>
      <c r="N7" s="609" t="s">
        <v>14404</v>
      </c>
      <c r="O7" s="613">
        <v>4</v>
      </c>
      <c r="P7" s="4963"/>
    </row>
    <row r="8" spans="1:16">
      <c r="A8" s="588"/>
      <c r="B8" s="545">
        <f>TAN(B7)-B7</f>
        <v>1.4904383867336401E-2</v>
      </c>
      <c r="C8" s="588"/>
      <c r="D8" s="545">
        <f>TAN(D7)-D7</f>
        <v>1.4904383867336401E-2</v>
      </c>
      <c r="E8" s="588"/>
      <c r="F8" s="545">
        <f>(F2*F3*COS(F7))/(F6-F5)</f>
        <v>0.89566713616957305</v>
      </c>
      <c r="G8" s="588"/>
      <c r="H8" s="545">
        <f>TAN(H7)-H7</f>
        <v>5.3751493591326902E-2</v>
      </c>
      <c r="I8" s="588"/>
      <c r="J8" s="545">
        <f>TAN(J7)-J7</f>
        <v>5.3751493591326902E-2</v>
      </c>
      <c r="K8" s="588"/>
      <c r="L8" s="545">
        <f>90/L2</f>
        <v>3.6</v>
      </c>
      <c r="N8" s="609" t="s">
        <v>1131</v>
      </c>
      <c r="O8" s="613">
        <v>28</v>
      </c>
      <c r="P8" s="4963"/>
    </row>
    <row r="9" spans="1:16">
      <c r="A9" s="588"/>
      <c r="B9" s="545">
        <f>RADIANS(B4)</f>
        <v>0.34906585039886601</v>
      </c>
      <c r="C9" s="588"/>
      <c r="D9" s="545">
        <f>RADIANS(D4)</f>
        <v>0.34906585039886601</v>
      </c>
      <c r="E9" s="588"/>
      <c r="F9" s="545">
        <f>ACOS(F8)</f>
        <v>0.46086727347027601</v>
      </c>
      <c r="G9" s="588"/>
      <c r="H9" s="545">
        <f>RADIANS(H4)</f>
        <v>0.52359877559829904</v>
      </c>
      <c r="I9" s="588"/>
      <c r="J9" s="545">
        <f>RADIANS(J4)</f>
        <v>0.52359877559829904</v>
      </c>
      <c r="K9" s="588"/>
      <c r="L9" s="545">
        <f>(L8/180)*PI()</f>
        <v>6.2831853071795896E-2</v>
      </c>
      <c r="N9" s="622" t="s">
        <v>3205</v>
      </c>
      <c r="O9" s="545">
        <f>(PI()*(O7-0.5)+O8*O6)*COS(O5)*O3</f>
        <v>42.898460505509298</v>
      </c>
      <c r="P9" s="4963"/>
    </row>
    <row r="10" spans="1:16">
      <c r="A10" s="588"/>
      <c r="B10" s="545">
        <f>(B5)/(B2*B3*COS(B9))</f>
        <v>7.0890611612626095E-2</v>
      </c>
      <c r="C10" s="588"/>
      <c r="D10" s="545">
        <f>(D5)/(D2*D3*COS(D9))</f>
        <v>7.0890611612626095E-2</v>
      </c>
      <c r="E10" s="588"/>
      <c r="F10" s="545">
        <f>TAN(F9)-F9</f>
        <v>3.5662122894959902E-2</v>
      </c>
      <c r="G10" s="588"/>
      <c r="H10" s="545">
        <f>(H5)/(H2*H3*COS(H9))</f>
        <v>8.8865753433667205E-2</v>
      </c>
      <c r="I10" s="588"/>
      <c r="J10" s="545">
        <f>(J5)/(J2*J3*COS(J9))</f>
        <v>8.8865753433667205E-2</v>
      </c>
      <c r="K10" s="588"/>
      <c r="L10" s="545">
        <f>COS(L9)</f>
        <v>0.998026728428272</v>
      </c>
      <c r="N10" s="622"/>
      <c r="O10" s="545">
        <f>O2-O9</f>
        <v>1.7643394944906901</v>
      </c>
      <c r="P10" s="4963"/>
    </row>
    <row r="11" spans="1:16">
      <c r="A11" s="588"/>
      <c r="B11" s="545">
        <f>B6/(B2*B3)</f>
        <v>8.2820798546153804E-2</v>
      </c>
      <c r="C11" s="588"/>
      <c r="D11" s="545">
        <f>D6/(D2*D3)</f>
        <v>8.4916419846153807E-2</v>
      </c>
      <c r="E11" s="588"/>
      <c r="F11" s="545">
        <f>F5/(F2*F3*COS(F7))</f>
        <v>5.9266515944043099E-2</v>
      </c>
      <c r="G11" s="588"/>
      <c r="H11" s="545">
        <f>H6/(H2*H3)</f>
        <v>6.1146666666666703E-2</v>
      </c>
      <c r="I11" s="588"/>
      <c r="J11" s="545">
        <f>J6/(J2*J3)</f>
        <v>6.0213333333333299E-2</v>
      </c>
      <c r="K11" s="588" t="s">
        <v>3205</v>
      </c>
      <c r="L11" s="545">
        <f>(L2*L3*COS(L7)*COS(L9))/(L6-L5)</f>
        <v>0.83275528566845802</v>
      </c>
      <c r="N11" s="623" t="s">
        <v>13759</v>
      </c>
      <c r="O11" s="624">
        <f>O10/(2*O3*SIN(O5))</f>
        <v>0.64482294717167499</v>
      </c>
      <c r="P11" s="4963"/>
    </row>
    <row r="12" spans="1:16">
      <c r="A12" s="588"/>
      <c r="B12" s="545">
        <f t="shared" ref="B12:F12" si="2">PI()/B2</f>
        <v>0.12083048667653</v>
      </c>
      <c r="C12" s="588"/>
      <c r="D12" s="545">
        <f t="shared" si="2"/>
        <v>0.12083048667653</v>
      </c>
      <c r="E12" s="588"/>
      <c r="F12" s="545">
        <f t="shared" si="2"/>
        <v>0.12083048667653</v>
      </c>
      <c r="G12" s="588"/>
      <c r="H12" s="545">
        <f>PI()/H2</f>
        <v>0.12566370614359201</v>
      </c>
      <c r="I12" s="588"/>
      <c r="J12" s="545">
        <f>PI()/J2</f>
        <v>0.12566370614359201</v>
      </c>
      <c r="K12" s="588"/>
      <c r="L12" s="545">
        <f>ACOS(L11)</f>
        <v>0.58673044822457499</v>
      </c>
      <c r="N12" s="615" t="s">
        <v>14492</v>
      </c>
      <c r="O12" s="616">
        <f>PI()*O3/2+2*O11*O3*TAN(O5)</f>
        <v>8.1607561803179696</v>
      </c>
      <c r="P12" s="4963"/>
    </row>
    <row r="13" spans="1:16">
      <c r="A13" s="588"/>
      <c r="B13" s="545">
        <f>B10+B8+B11-B12</f>
        <v>4.7785307349585901E-2</v>
      </c>
      <c r="C13" s="588"/>
      <c r="D13" s="545">
        <f>D10+D8+D11-D12</f>
        <v>4.9880928649585897E-2</v>
      </c>
      <c r="E13" s="588"/>
      <c r="F13" s="545">
        <f>TAN(F7)-F7</f>
        <v>1.4904383867336401E-2</v>
      </c>
      <c r="G13" s="588"/>
      <c r="H13" s="545">
        <f>H10+H8+H11-H12</f>
        <v>7.8100207548069095E-2</v>
      </c>
      <c r="I13" s="588"/>
      <c r="J13" s="545">
        <f>J10+J8+J11-J12</f>
        <v>7.7166874214735698E-2</v>
      </c>
      <c r="K13" s="588"/>
      <c r="L13" s="545">
        <f>TAN(L12)-L12</f>
        <v>7.8100216882313903E-2</v>
      </c>
    </row>
    <row r="14" spans="1:16">
      <c r="A14" s="588"/>
      <c r="B14" s="545">
        <f>(B13*3)^(1/3)-B13*3/7.9</f>
        <v>0.50521932781824097</v>
      </c>
      <c r="C14" s="588"/>
      <c r="D14" s="545">
        <f>(D13*3)^(1/3)-D13*3/7.9</f>
        <v>0.511965050566492</v>
      </c>
      <c r="E14" s="615" t="s">
        <v>471</v>
      </c>
      <c r="F14" s="616">
        <f>(F10-F11-F13+F12)*F2*F3</f>
        <v>1.07018222688144</v>
      </c>
      <c r="G14" s="588"/>
      <c r="H14" s="545">
        <f>(H13*3)^(1/3)-H13*3/7.9</f>
        <v>0.58682948534464197</v>
      </c>
      <c r="I14" s="588"/>
      <c r="J14" s="545">
        <f>(J13*3)^(1/3)-J13*3/7.9</f>
        <v>0.58471829701799805</v>
      </c>
      <c r="K14" s="588"/>
      <c r="L14" s="545">
        <f>PI()/L2</f>
        <v>0.12566370614359201</v>
      </c>
    </row>
    <row r="15" spans="1:16">
      <c r="A15" s="588"/>
      <c r="B15" s="545">
        <f>TAN(B14)</f>
        <v>0.55309894798633097</v>
      </c>
      <c r="C15" s="588"/>
      <c r="D15" s="545">
        <f>TAN(D14)</f>
        <v>0.56194143767243099</v>
      </c>
      <c r="E15" s="509"/>
      <c r="F15" s="509"/>
      <c r="G15" s="588"/>
      <c r="H15" s="545">
        <f>TAN(H14)</f>
        <v>0.66497348601974404</v>
      </c>
      <c r="I15" s="588"/>
      <c r="J15" s="545">
        <f>TAN(J14)</f>
        <v>0.66193301583295105</v>
      </c>
      <c r="K15" s="588"/>
      <c r="L15" s="545">
        <f>TAN(L7)-L7</f>
        <v>5.3751493591326902E-2</v>
      </c>
    </row>
    <row r="16" spans="1:16">
      <c r="A16" s="588"/>
      <c r="B16" s="545">
        <f>(B15)^2</f>
        <v>0.305918446263586</v>
      </c>
      <c r="C16" s="588"/>
      <c r="D16" s="545">
        <f>(D15)^2</f>
        <v>0.315778179373358</v>
      </c>
      <c r="E16" s="509"/>
      <c r="F16" s="509"/>
      <c r="G16" s="588"/>
      <c r="H16" s="545">
        <f>(H15)^2</f>
        <v>0.44218973710925102</v>
      </c>
      <c r="I16" s="588"/>
      <c r="J16" s="545">
        <f>(J15)^2</f>
        <v>0.43815531744970598</v>
      </c>
      <c r="K16" s="588"/>
      <c r="L16" s="545">
        <f>L5/(L2*L3*COS(L7))</f>
        <v>8.8865753433667205E-2</v>
      </c>
    </row>
    <row r="17" spans="1:12">
      <c r="A17" s="588"/>
      <c r="B17" s="545">
        <f>(B13+B14-B15)/B16+B14</f>
        <v>0.504911033827945</v>
      </c>
      <c r="C17" s="588"/>
      <c r="D17" s="545">
        <f>(D13+D14-D15)/D16+D14</f>
        <v>0.51166275464299904</v>
      </c>
      <c r="E17" s="509"/>
      <c r="F17" s="509"/>
      <c r="G17" s="588"/>
      <c r="H17" s="545">
        <f>(H13+H14-H15)/H16+H14</f>
        <v>0.58673044838526101</v>
      </c>
      <c r="I17" s="588"/>
      <c r="J17" s="545">
        <f>(J13+J14-J15)/J16+J14</f>
        <v>0.58460910149232104</v>
      </c>
      <c r="K17" s="615" t="s">
        <v>471</v>
      </c>
      <c r="L17" s="616">
        <f>(L13+L14-L15-L16)*L2*L3</f>
        <v>2.29300035003418</v>
      </c>
    </row>
    <row r="18" spans="1:12">
      <c r="A18" s="588" t="s">
        <v>14493</v>
      </c>
      <c r="B18" s="545">
        <f>B17*180/(PI())</f>
        <v>28.929271267928399</v>
      </c>
      <c r="C18" s="588" t="s">
        <v>14493</v>
      </c>
      <c r="D18" s="545">
        <f>D17*180/(PI())</f>
        <v>29.316116375081599</v>
      </c>
      <c r="E18" s="509"/>
      <c r="F18" s="509"/>
      <c r="G18" s="588" t="s">
        <v>14493</v>
      </c>
      <c r="H18" s="545">
        <f>H17*180/(PI())</f>
        <v>33.617178404293803</v>
      </c>
      <c r="I18" s="588" t="s">
        <v>14493</v>
      </c>
      <c r="J18" s="545">
        <f>J17*180/(PI())</f>
        <v>33.495634180445201</v>
      </c>
    </row>
    <row r="19" spans="1:12">
      <c r="A19" s="588"/>
      <c r="B19" s="545">
        <f>RADIANS(B18)</f>
        <v>0.504911033827945</v>
      </c>
      <c r="C19" s="588"/>
      <c r="D19" s="545">
        <f>RADIANS(D18)</f>
        <v>0.51166275464299904</v>
      </c>
      <c r="E19" s="509"/>
      <c r="F19" s="509"/>
      <c r="G19" s="588"/>
      <c r="H19" s="545">
        <f>RADIANS(H18)</f>
        <v>0.58673044838526101</v>
      </c>
      <c r="I19" s="588"/>
      <c r="J19" s="545">
        <f>RADIANS(J18)</f>
        <v>0.58460910149232104</v>
      </c>
    </row>
    <row r="20" spans="1:12" ht="15.75">
      <c r="A20" s="630" t="s">
        <v>14494</v>
      </c>
      <c r="B20" s="631">
        <f>(B2*B3*COS(B9))/(COS(B19))+B5</f>
        <v>14.8236778142183</v>
      </c>
      <c r="C20" s="632" t="s">
        <v>14495</v>
      </c>
      <c r="D20" s="616">
        <f>(D2*D3*COS(D9))/(COS(D19))+D5</f>
        <v>14.876278230941599</v>
      </c>
      <c r="E20" s="619"/>
      <c r="F20" s="619"/>
      <c r="G20" s="588"/>
      <c r="H20" s="545">
        <f>90/H2</f>
        <v>3.6</v>
      </c>
      <c r="I20" s="588"/>
      <c r="J20" s="545">
        <f>90/J2</f>
        <v>3.6</v>
      </c>
    </row>
    <row r="21" spans="1:12" ht="16.5" customHeight="1">
      <c r="A21" s="509"/>
      <c r="B21" s="509"/>
      <c r="G21" s="588"/>
      <c r="H21" s="545">
        <f>RADIANS(H20)</f>
        <v>6.2831853071795896E-2</v>
      </c>
      <c r="I21" s="588"/>
      <c r="J21" s="545">
        <f>RADIANS(J20)</f>
        <v>6.2831853071795896E-2</v>
      </c>
    </row>
    <row r="22" spans="1:12" ht="15.75">
      <c r="A22" s="625"/>
      <c r="B22" s="619"/>
      <c r="G22" s="632" t="s">
        <v>14494</v>
      </c>
      <c r="H22" s="616">
        <f>(H2*H3*COS(H7)*COS(H21))/COS(H19)+H5</f>
        <v>41.807240524157898</v>
      </c>
      <c r="I22" s="632" t="s">
        <v>14495</v>
      </c>
      <c r="J22" s="616">
        <f>(J2*J3*COS(J7)*COS(J21))/COS(J19)+J5</f>
        <v>41.752513156260697</v>
      </c>
    </row>
    <row r="23" spans="1:12" ht="15.75" customHeight="1">
      <c r="A23" s="625"/>
      <c r="B23" s="619"/>
    </row>
    <row r="24" spans="1:12" ht="16.5" customHeight="1">
      <c r="A24" s="625"/>
      <c r="B24" s="619"/>
    </row>
    <row r="25" spans="1:12">
      <c r="A25" s="625"/>
      <c r="B25" s="619"/>
    </row>
    <row r="26" spans="1:12">
      <c r="A26" s="625"/>
      <c r="B26" s="619"/>
    </row>
    <row r="27" spans="1:12">
      <c r="A27" s="509"/>
      <c r="B27" s="509"/>
    </row>
    <row r="28" spans="1:12">
      <c r="A28" s="509"/>
      <c r="B28" s="509"/>
    </row>
    <row r="29" spans="1:12">
      <c r="A29" s="509"/>
      <c r="B29" s="509"/>
    </row>
    <row r="30" spans="1:12">
      <c r="A30" s="509"/>
      <c r="B30" s="509"/>
    </row>
    <row r="31" spans="1:12">
      <c r="A31" s="509"/>
      <c r="B31" s="509"/>
    </row>
    <row r="32" spans="1:12">
      <c r="A32" s="509"/>
      <c r="B32" s="509"/>
    </row>
    <row r="33" spans="1:2">
      <c r="A33" s="509"/>
      <c r="B33" s="509"/>
    </row>
    <row r="34" spans="1:2" ht="22.5">
      <c r="A34" s="626"/>
      <c r="B34" s="619"/>
    </row>
  </sheetData>
  <mergeCells count="5">
    <mergeCell ref="A1:D1"/>
    <mergeCell ref="E1:F1"/>
    <mergeCell ref="G1:J1"/>
    <mergeCell ref="K1:L1"/>
    <mergeCell ref="P2:P12"/>
  </mergeCells>
  <phoneticPr fontId="214" type="noConversion"/>
  <pageMargins left="0.75" right="0.75" top="1" bottom="1" header="0.5" footer="0.5"/>
  <headerFooter alignWithMargins="0"/>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Sheet167"/>
  <dimension ref="A1:R36"/>
  <sheetViews>
    <sheetView workbookViewId="0"/>
  </sheetViews>
  <sheetFormatPr defaultColWidth="9" defaultRowHeight="14.25"/>
  <cols>
    <col min="1" max="1" width="5.125" style="105" customWidth="1"/>
    <col min="2" max="2" width="12.375" style="105" customWidth="1"/>
    <col min="3" max="3" width="12.875" style="105" customWidth="1"/>
    <col min="4" max="4" width="12.625" style="105" customWidth="1"/>
    <col min="5" max="5" width="3.875" style="105" customWidth="1"/>
    <col min="6" max="6" width="15.625" style="105" customWidth="1"/>
    <col min="7" max="7" width="5.375" style="105" customWidth="1"/>
    <col min="8" max="8" width="12.125" style="105" customWidth="1"/>
    <col min="9" max="9" width="5.625" style="105" customWidth="1"/>
    <col min="10" max="10" width="12.375" style="105" customWidth="1"/>
    <col min="11" max="11" width="3.625" style="105" customWidth="1"/>
    <col min="12" max="12" width="14.375" style="105" customWidth="1"/>
    <col min="13" max="13" width="4.375" style="105" customWidth="1"/>
    <col min="14" max="14" width="15.625" style="105" customWidth="1"/>
    <col min="15" max="15" width="3.375" style="105" customWidth="1"/>
    <col min="16" max="16" width="15" style="105" customWidth="1"/>
    <col min="17" max="17" width="3.25" style="105" customWidth="1"/>
    <col min="18" max="18" width="15.125" style="105" customWidth="1"/>
    <col min="19" max="16384" width="9" style="105"/>
  </cols>
  <sheetData>
    <row r="1" spans="1:18" ht="25.5" customHeight="1"/>
    <row r="2" spans="1:18">
      <c r="A2" s="4963" t="s">
        <v>14496</v>
      </c>
      <c r="B2" s="4963"/>
      <c r="C2" s="4963"/>
      <c r="D2" s="4963"/>
      <c r="E2" s="4963" t="s">
        <v>14497</v>
      </c>
      <c r="F2" s="4963"/>
      <c r="G2" s="4963" t="s">
        <v>14498</v>
      </c>
      <c r="H2" s="4963"/>
      <c r="I2" s="4963"/>
      <c r="J2" s="4963"/>
      <c r="K2" s="4963" t="s">
        <v>14499</v>
      </c>
      <c r="L2" s="4963"/>
      <c r="M2" s="509"/>
      <c r="N2" s="509"/>
      <c r="O2" s="141"/>
      <c r="P2" s="141"/>
      <c r="Q2" s="141"/>
      <c r="R2" s="509"/>
    </row>
    <row r="3" spans="1:18">
      <c r="A3" s="609" t="s">
        <v>395</v>
      </c>
      <c r="B3" s="610">
        <v>25</v>
      </c>
      <c r="C3" s="611" t="s">
        <v>395</v>
      </c>
      <c r="D3" s="612">
        <f t="shared" ref="D3:D6" si="0">B3*1</f>
        <v>25</v>
      </c>
      <c r="E3" s="609" t="s">
        <v>395</v>
      </c>
      <c r="F3" s="613">
        <v>72</v>
      </c>
      <c r="G3" s="609" t="s">
        <v>395</v>
      </c>
      <c r="H3" s="610">
        <v>23</v>
      </c>
      <c r="I3" s="611" t="s">
        <v>395</v>
      </c>
      <c r="J3" s="612">
        <f t="shared" ref="J3:J6" si="1">H3*1</f>
        <v>23</v>
      </c>
      <c r="K3" s="609" t="s">
        <v>395</v>
      </c>
      <c r="L3" s="613">
        <v>23</v>
      </c>
      <c r="M3" s="625"/>
      <c r="N3" s="619"/>
      <c r="O3" s="141"/>
      <c r="P3" s="141"/>
      <c r="Q3" s="625"/>
      <c r="R3" s="619"/>
    </row>
    <row r="4" spans="1:18">
      <c r="A4" s="609" t="s">
        <v>408</v>
      </c>
      <c r="B4" s="610">
        <v>1.5</v>
      </c>
      <c r="C4" s="611" t="s">
        <v>408</v>
      </c>
      <c r="D4" s="612">
        <f t="shared" si="0"/>
        <v>1.5</v>
      </c>
      <c r="E4" s="609" t="s">
        <v>408</v>
      </c>
      <c r="F4" s="613">
        <v>3</v>
      </c>
      <c r="G4" s="609" t="s">
        <v>408</v>
      </c>
      <c r="H4" s="610">
        <v>2</v>
      </c>
      <c r="I4" s="611" t="s">
        <v>408</v>
      </c>
      <c r="J4" s="612">
        <f t="shared" si="1"/>
        <v>2</v>
      </c>
      <c r="K4" s="609" t="s">
        <v>408</v>
      </c>
      <c r="L4" s="613">
        <v>2</v>
      </c>
      <c r="M4" s="625"/>
      <c r="N4" s="619"/>
      <c r="O4" s="141"/>
      <c r="P4" s="141"/>
      <c r="Q4" s="625"/>
      <c r="R4" s="619"/>
    </row>
    <row r="5" spans="1:18">
      <c r="A5" s="609" t="s">
        <v>964</v>
      </c>
      <c r="B5" s="610">
        <v>30</v>
      </c>
      <c r="C5" s="611" t="s">
        <v>964</v>
      </c>
      <c r="D5" s="612">
        <f t="shared" si="0"/>
        <v>30</v>
      </c>
      <c r="E5" s="609" t="s">
        <v>964</v>
      </c>
      <c r="F5" s="613">
        <v>25</v>
      </c>
      <c r="G5" s="609" t="s">
        <v>964</v>
      </c>
      <c r="H5" s="610">
        <v>30</v>
      </c>
      <c r="I5" s="611" t="s">
        <v>964</v>
      </c>
      <c r="J5" s="612">
        <f t="shared" si="1"/>
        <v>30</v>
      </c>
      <c r="K5" s="609" t="s">
        <v>964</v>
      </c>
      <c r="L5" s="613">
        <v>30</v>
      </c>
      <c r="M5" s="625"/>
      <c r="N5" s="619"/>
      <c r="O5" s="141"/>
      <c r="P5" s="141"/>
      <c r="Q5" s="625"/>
      <c r="R5" s="619"/>
    </row>
    <row r="6" spans="1:18">
      <c r="A6" s="609" t="s">
        <v>3329</v>
      </c>
      <c r="B6" s="610">
        <v>2.5950000000000002</v>
      </c>
      <c r="C6" s="611" t="s">
        <v>3329</v>
      </c>
      <c r="D6" s="612">
        <f t="shared" si="0"/>
        <v>2.5950000000000002</v>
      </c>
      <c r="E6" s="609" t="s">
        <v>3329</v>
      </c>
      <c r="F6" s="613">
        <v>5.05</v>
      </c>
      <c r="G6" s="609" t="s">
        <v>3329</v>
      </c>
      <c r="H6" s="610">
        <v>3.49</v>
      </c>
      <c r="I6" s="611" t="s">
        <v>3329</v>
      </c>
      <c r="J6" s="612">
        <f t="shared" si="1"/>
        <v>3.49</v>
      </c>
      <c r="K6" s="609" t="s">
        <v>3329</v>
      </c>
      <c r="L6" s="613">
        <v>3.49</v>
      </c>
      <c r="M6" s="625"/>
      <c r="N6" s="619"/>
      <c r="O6" s="141"/>
      <c r="P6" s="141"/>
      <c r="Q6" s="625"/>
      <c r="R6" s="619"/>
    </row>
    <row r="7" spans="1:18" ht="15.75">
      <c r="A7" s="609" t="s">
        <v>14500</v>
      </c>
      <c r="B7" s="610">
        <v>3.1819999999999999</v>
      </c>
      <c r="C7" s="611" t="s">
        <v>14501</v>
      </c>
      <c r="D7" s="613">
        <v>3.1819999999999999</v>
      </c>
      <c r="E7" s="614" t="s">
        <v>235</v>
      </c>
      <c r="F7" s="613">
        <v>208.40799999999999</v>
      </c>
      <c r="G7" s="609" t="s">
        <v>14500</v>
      </c>
      <c r="H7" s="610">
        <v>3.1819999999999999</v>
      </c>
      <c r="I7" s="611" t="s">
        <v>14501</v>
      </c>
      <c r="J7" s="613">
        <v>3.1819999999999999</v>
      </c>
      <c r="K7" s="614" t="s">
        <v>235</v>
      </c>
      <c r="L7" s="613">
        <v>42.76537742</v>
      </c>
      <c r="M7" s="625"/>
      <c r="N7" s="619"/>
      <c r="O7" s="141"/>
      <c r="P7" s="141"/>
      <c r="Q7" s="625"/>
      <c r="R7" s="619"/>
    </row>
    <row r="8" spans="1:18">
      <c r="A8" s="588"/>
      <c r="B8" s="500">
        <f t="shared" ref="B8:F8" si="2">(B5/180)*PI()</f>
        <v>0.52359877559829904</v>
      </c>
      <c r="C8" s="500"/>
      <c r="D8" s="545">
        <f t="shared" si="2"/>
        <v>0.52359877559829904</v>
      </c>
      <c r="E8" s="588"/>
      <c r="F8" s="545">
        <f t="shared" si="2"/>
        <v>0.43633231299858199</v>
      </c>
      <c r="G8" s="588"/>
      <c r="H8" s="500">
        <f t="shared" ref="H8:L8" si="3">(H5/180)*PI()</f>
        <v>0.52359877559829904</v>
      </c>
      <c r="I8" s="500"/>
      <c r="J8" s="545">
        <f t="shared" si="3"/>
        <v>0.52359877559829904</v>
      </c>
      <c r="K8" s="588"/>
      <c r="L8" s="545">
        <f t="shared" si="3"/>
        <v>0.52359877559829904</v>
      </c>
      <c r="M8" s="509"/>
      <c r="N8" s="509"/>
      <c r="O8" s="141"/>
      <c r="P8" s="141"/>
      <c r="Q8" s="509"/>
      <c r="R8" s="509"/>
    </row>
    <row r="9" spans="1:18">
      <c r="A9" s="588"/>
      <c r="B9" s="500">
        <f>TAN(B8)-B8</f>
        <v>5.3751493591326902E-2</v>
      </c>
      <c r="C9" s="500"/>
      <c r="D9" s="545">
        <f>TAN(D8)-D8</f>
        <v>5.3751493591326902E-2</v>
      </c>
      <c r="E9" s="588"/>
      <c r="F9" s="545">
        <f>(F4*F3*COS(F8))/(F7+F6)</f>
        <v>0.91710070365091201</v>
      </c>
      <c r="G9" s="588"/>
      <c r="H9" s="500">
        <f>TAN(H8)-H8</f>
        <v>5.3751493591326902E-2</v>
      </c>
      <c r="I9" s="500"/>
      <c r="J9" s="545">
        <f>TAN(J8)-J8</f>
        <v>5.3751493591326902E-2</v>
      </c>
      <c r="K9" s="588"/>
      <c r="L9" s="545">
        <f>90/L3</f>
        <v>3.9130434782608701</v>
      </c>
      <c r="M9" s="509"/>
      <c r="N9" s="509"/>
      <c r="O9" s="141"/>
      <c r="P9" s="141"/>
      <c r="Q9" s="509"/>
      <c r="R9" s="509"/>
    </row>
    <row r="10" spans="1:18">
      <c r="A10" s="588"/>
      <c r="B10" s="500">
        <f>B7/(B3*B4)</f>
        <v>8.4853333333333295E-2</v>
      </c>
      <c r="C10" s="500"/>
      <c r="D10" s="545">
        <f>D7/(D3*D4)</f>
        <v>8.4853333333333295E-2</v>
      </c>
      <c r="E10" s="588"/>
      <c r="F10" s="545">
        <f>ACOS(F9)</f>
        <v>0.41005047046371701</v>
      </c>
      <c r="G10" s="588"/>
      <c r="H10" s="500">
        <f>H7/(H3*H4)</f>
        <v>6.9173913043478294E-2</v>
      </c>
      <c r="I10" s="500"/>
      <c r="J10" s="545">
        <f>J7/(J3*J4)</f>
        <v>6.9173913043478294E-2</v>
      </c>
      <c r="K10" s="588"/>
      <c r="L10" s="545">
        <f>(L9/180)*PI()</f>
        <v>6.82954924693433E-2</v>
      </c>
      <c r="M10" s="509"/>
      <c r="N10" s="509"/>
      <c r="O10" s="141"/>
      <c r="P10" s="141"/>
      <c r="Q10" s="509"/>
      <c r="R10" s="509"/>
    </row>
    <row r="11" spans="1:18">
      <c r="A11" s="588"/>
      <c r="B11" s="500">
        <f>RADIANS(B5)</f>
        <v>0.52359877559829904</v>
      </c>
      <c r="C11" s="500"/>
      <c r="D11" s="545">
        <f>RADIANS(D5)</f>
        <v>0.52359877559829904</v>
      </c>
      <c r="E11" s="588"/>
      <c r="F11" s="545">
        <f>TAN(F10)-F10</f>
        <v>2.4640740003043698E-2</v>
      </c>
      <c r="G11" s="588"/>
      <c r="H11" s="500">
        <f>RADIANS(H5)</f>
        <v>0.52359877559829904</v>
      </c>
      <c r="I11" s="500"/>
      <c r="J11" s="545">
        <f>RADIANS(J5)</f>
        <v>0.52359877559829904</v>
      </c>
      <c r="K11" s="588"/>
      <c r="L11" s="545">
        <f>COS(L10)</f>
        <v>0.99766876919053904</v>
      </c>
      <c r="M11" s="509"/>
      <c r="N11" s="509"/>
      <c r="O11" s="141"/>
      <c r="P11" s="141"/>
      <c r="Q11" s="509"/>
      <c r="R11" s="509"/>
    </row>
    <row r="12" spans="1:18">
      <c r="A12" s="588"/>
      <c r="B12" s="500">
        <f>(B6)/(B3*B4*COS(B11))</f>
        <v>7.9905277255844204E-2</v>
      </c>
      <c r="C12" s="500"/>
      <c r="D12" s="545">
        <f>(D6)/(D3*D4*COS(D11))</f>
        <v>7.9905277255844204E-2</v>
      </c>
      <c r="E12" s="588"/>
      <c r="F12" s="545">
        <f>F6/(F3*F4*COS(F8))</f>
        <v>2.5796567086854599E-2</v>
      </c>
      <c r="G12" s="588"/>
      <c r="H12" s="500">
        <f>(H6)/(H3*H4*COS(H11))</f>
        <v>8.7606627803121506E-2</v>
      </c>
      <c r="I12" s="500"/>
      <c r="J12" s="545">
        <f>(J6)/(J3*J4*COS(J11))</f>
        <v>8.7606627803121506E-2</v>
      </c>
      <c r="K12" s="588"/>
      <c r="L12" s="545">
        <f>(L3*L4*COS(L8)*COS(L10))/(L7+L6)</f>
        <v>0.85923629113353395</v>
      </c>
      <c r="M12" s="509"/>
      <c r="N12" s="509"/>
      <c r="O12" s="141"/>
      <c r="P12" s="141"/>
      <c r="Q12" s="509"/>
      <c r="R12" s="509"/>
    </row>
    <row r="13" spans="1:18">
      <c r="A13" s="588"/>
      <c r="B13" s="500">
        <f>B10+B9-B12</f>
        <v>5.8699549668815999E-2</v>
      </c>
      <c r="C13" s="500"/>
      <c r="D13" s="545">
        <f>D10+D9-D12</f>
        <v>5.8699549668815999E-2</v>
      </c>
      <c r="E13" s="588"/>
      <c r="F13" s="545">
        <f>TAN(F8)-F8</f>
        <v>2.99753451564162E-2</v>
      </c>
      <c r="G13" s="588"/>
      <c r="H13" s="500">
        <f>H10+H9-H12</f>
        <v>3.5318778831683703E-2</v>
      </c>
      <c r="I13" s="500"/>
      <c r="J13" s="545">
        <f>J10+J9-J12</f>
        <v>3.5318778831683703E-2</v>
      </c>
      <c r="K13" s="588"/>
      <c r="L13" s="545">
        <f>ACOS(L12)</f>
        <v>0.53702137774111403</v>
      </c>
      <c r="M13" s="509"/>
      <c r="N13" s="509"/>
      <c r="O13" s="141"/>
      <c r="P13" s="141"/>
      <c r="Q13" s="509"/>
      <c r="R13" s="509"/>
    </row>
    <row r="14" spans="1:18">
      <c r="A14" s="588"/>
      <c r="B14" s="500">
        <f>(B13*3)^(1/3)-B13*3/7.9</f>
        <v>0.53822158228399497</v>
      </c>
      <c r="C14" s="500"/>
      <c r="D14" s="545">
        <f>(D13*3)^(1/3)-D13*3/7.9</f>
        <v>0.53822158228399497</v>
      </c>
      <c r="E14" s="615" t="s">
        <v>2510</v>
      </c>
      <c r="F14" s="616">
        <f>(F11+F12-F13)*(F3*F4)</f>
        <v>4.41978377763213</v>
      </c>
      <c r="G14" s="588"/>
      <c r="H14" s="500">
        <f>(H13*3)^(1/3)-H13*3/7.9</f>
        <v>0.45978516364556798</v>
      </c>
      <c r="I14" s="500"/>
      <c r="J14" s="545">
        <f>(J13*3)^(1/3)-J13*3/7.9</f>
        <v>0.45978516364556798</v>
      </c>
      <c r="K14" s="588"/>
      <c r="L14" s="545">
        <f>TAN(L13)-L13</f>
        <v>5.8366561275606903E-2</v>
      </c>
      <c r="M14" s="509"/>
      <c r="N14" s="509"/>
      <c r="O14" s="141"/>
      <c r="P14" s="141"/>
      <c r="Q14" s="509"/>
      <c r="R14" s="509"/>
    </row>
    <row r="15" spans="1:18" ht="22.5">
      <c r="A15" s="588"/>
      <c r="B15" s="500">
        <f>TAN(B14)</f>
        <v>0.59701476351414695</v>
      </c>
      <c r="C15" s="500"/>
      <c r="D15" s="545">
        <f>TAN(D14)</f>
        <v>0.59701476351414695</v>
      </c>
      <c r="E15" s="509"/>
      <c r="F15" s="509"/>
      <c r="G15" s="588"/>
      <c r="H15" s="500">
        <f>TAN(H14)</f>
        <v>0.49518122546964199</v>
      </c>
      <c r="I15" s="500"/>
      <c r="J15" s="545">
        <f>TAN(J14)</f>
        <v>0.49518122546964199</v>
      </c>
      <c r="K15" s="588"/>
      <c r="L15" s="545">
        <f>L6/(L3*L4*COS(L8))</f>
        <v>8.7606627803121506E-2</v>
      </c>
      <c r="M15" s="626"/>
      <c r="N15" s="619"/>
      <c r="O15" s="141"/>
      <c r="P15" s="141"/>
      <c r="Q15" s="509"/>
      <c r="R15" s="509"/>
    </row>
    <row r="16" spans="1:18">
      <c r="A16" s="588"/>
      <c r="B16" s="500">
        <f>(B15)^2</f>
        <v>0.35642662785385298</v>
      </c>
      <c r="C16" s="500"/>
      <c r="D16" s="545">
        <f>(D15)^2</f>
        <v>0.35642662785385298</v>
      </c>
      <c r="E16" s="509"/>
      <c r="F16" s="509"/>
      <c r="G16" s="588"/>
      <c r="H16" s="500">
        <f>(H15)^2</f>
        <v>0.24520444605761699</v>
      </c>
      <c r="I16" s="500"/>
      <c r="J16" s="545">
        <f>(J15)^2</f>
        <v>0.24520444605761699</v>
      </c>
      <c r="K16" s="588" t="s">
        <v>3205</v>
      </c>
      <c r="L16" s="545">
        <f>TAN(L8)-L8</f>
        <v>5.3751493591326902E-2</v>
      </c>
      <c r="M16" s="141"/>
      <c r="N16" s="141"/>
      <c r="O16" s="141"/>
      <c r="P16" s="141"/>
      <c r="Q16" s="509"/>
      <c r="R16" s="509"/>
    </row>
    <row r="17" spans="1:18">
      <c r="A17" s="588"/>
      <c r="B17" s="500">
        <f>(B13+B14-B15)/B16+B14</f>
        <v>0.53795888709228101</v>
      </c>
      <c r="C17" s="500"/>
      <c r="D17" s="545">
        <f>(D13+D14-D15)/D16+D14</f>
        <v>0.53795888709228101</v>
      </c>
      <c r="E17" s="509"/>
      <c r="F17" s="509"/>
      <c r="G17" s="588"/>
      <c r="H17" s="500">
        <f>(H13+H14-H15)/H16+H14</f>
        <v>0.45946998586786603</v>
      </c>
      <c r="I17" s="500"/>
      <c r="J17" s="545">
        <f>(J13+J14-J15)/J16+J14</f>
        <v>0.45946998586786603</v>
      </c>
      <c r="K17" s="615" t="s">
        <v>2510</v>
      </c>
      <c r="L17" s="616">
        <f>(L14-L16+L15)*(L3*L4)</f>
        <v>4.2421979924204702</v>
      </c>
      <c r="M17" s="141"/>
      <c r="N17" s="141"/>
      <c r="O17" s="141"/>
      <c r="P17" s="141"/>
      <c r="Q17" s="509"/>
      <c r="R17" s="509"/>
    </row>
    <row r="18" spans="1:18" ht="22.5">
      <c r="A18" s="588" t="s">
        <v>14502</v>
      </c>
      <c r="B18" s="500">
        <f>B17*180/(PI())</f>
        <v>30.822773781942502</v>
      </c>
      <c r="C18" s="500" t="s">
        <v>14502</v>
      </c>
      <c r="D18" s="545">
        <f>D17*180/(PI())</f>
        <v>30.822773781942502</v>
      </c>
      <c r="E18" s="509"/>
      <c r="F18" s="509"/>
      <c r="G18" s="588" t="s">
        <v>14493</v>
      </c>
      <c r="H18" s="500">
        <f>H17*180/(PI())</f>
        <v>26.325691003164302</v>
      </c>
      <c r="I18" s="500" t="s">
        <v>14493</v>
      </c>
      <c r="J18" s="545">
        <f>J17*180/(PI())</f>
        <v>26.325691003164302</v>
      </c>
      <c r="M18" s="141"/>
      <c r="N18" s="141"/>
      <c r="O18" s="509"/>
      <c r="P18" s="509"/>
      <c r="Q18" s="626"/>
      <c r="R18" s="619"/>
    </row>
    <row r="19" spans="1:18">
      <c r="A19" s="588"/>
      <c r="B19" s="500">
        <f>RADIANS(B18)</f>
        <v>0.53795888709228101</v>
      </c>
      <c r="C19" s="500"/>
      <c r="D19" s="545">
        <f>RADIANS(D18)</f>
        <v>0.53795888709228101</v>
      </c>
      <c r="E19" s="509"/>
      <c r="F19" s="509"/>
      <c r="G19" s="588"/>
      <c r="H19" s="500">
        <f>RADIANS(H18)</f>
        <v>0.45946998586786603</v>
      </c>
      <c r="I19" s="500"/>
      <c r="J19" s="545">
        <f>RADIANS(J18)</f>
        <v>0.45946998586786603</v>
      </c>
      <c r="O19" s="231"/>
      <c r="P19" s="231"/>
      <c r="Q19" s="231"/>
      <c r="R19" s="231"/>
    </row>
    <row r="20" spans="1:18">
      <c r="A20" s="588"/>
      <c r="B20" s="500">
        <f>RADIANS(B5)</f>
        <v>0.52359877559829904</v>
      </c>
      <c r="C20" s="500"/>
      <c r="D20" s="545">
        <f>RADIANS(D5)</f>
        <v>0.52359877559829904</v>
      </c>
      <c r="E20" s="509"/>
      <c r="F20" s="509"/>
      <c r="G20" s="588"/>
      <c r="H20" s="500">
        <f>RADIANS(H5)</f>
        <v>0.52359877559829904</v>
      </c>
      <c r="I20" s="500"/>
      <c r="J20" s="545">
        <f>RADIANS(J5)</f>
        <v>0.52359877559829904</v>
      </c>
      <c r="O20" s="231"/>
      <c r="P20" s="231"/>
      <c r="Q20" s="231"/>
      <c r="R20" s="231"/>
    </row>
    <row r="21" spans="1:18">
      <c r="A21" s="615" t="s">
        <v>14494</v>
      </c>
      <c r="B21" s="617">
        <f>(B3*B4*COS(B20))/(COS(B19))-B6</f>
        <v>35.222425626638902</v>
      </c>
      <c r="C21" s="618" t="s">
        <v>14495</v>
      </c>
      <c r="D21" s="616">
        <f>(D3*D4*COS(D20))/(COS(D19))-D6</f>
        <v>35.222425626638902</v>
      </c>
      <c r="E21" s="619"/>
      <c r="F21" s="619"/>
      <c r="G21" s="588" t="s">
        <v>3205</v>
      </c>
      <c r="H21" s="500">
        <f>90/H3</f>
        <v>3.9130434782608701</v>
      </c>
      <c r="I21" s="500" t="s">
        <v>3205</v>
      </c>
      <c r="J21" s="545">
        <f>90/J3</f>
        <v>3.9130434782608701</v>
      </c>
      <c r="O21" s="231"/>
      <c r="P21" s="231"/>
      <c r="Q21" s="231"/>
      <c r="R21" s="231"/>
    </row>
    <row r="22" spans="1:18">
      <c r="A22" s="231"/>
      <c r="B22" s="231"/>
      <c r="C22" s="231"/>
      <c r="D22" s="231"/>
      <c r="E22" s="231"/>
      <c r="F22" s="231"/>
      <c r="G22" s="588"/>
      <c r="H22" s="500">
        <f>RADIANS(H21)</f>
        <v>6.82954924693433E-2</v>
      </c>
      <c r="I22" s="500"/>
      <c r="J22" s="545">
        <f>RADIANS(J21)</f>
        <v>6.82954924693433E-2</v>
      </c>
      <c r="O22" s="231"/>
      <c r="P22" s="231"/>
      <c r="Q22" s="231"/>
      <c r="R22" s="231"/>
    </row>
    <row r="23" spans="1:18">
      <c r="A23" s="231"/>
      <c r="B23" s="231"/>
      <c r="C23" s="231"/>
      <c r="D23" s="231"/>
      <c r="E23" s="231"/>
      <c r="F23" s="231"/>
      <c r="G23" s="615" t="s">
        <v>14494</v>
      </c>
      <c r="H23" s="617">
        <f>(H3*H4*COS(H20)*COS(H22))/(COS(H19))-H6</f>
        <v>40.853239621237002</v>
      </c>
      <c r="I23" s="618" t="s">
        <v>14495</v>
      </c>
      <c r="J23" s="616">
        <f>(J3*J4*COS(J20)*COS(J22))/(COS(J19))-J6</f>
        <v>40.853239621237002</v>
      </c>
      <c r="O23" s="231"/>
      <c r="P23" s="231"/>
      <c r="Q23" s="231"/>
      <c r="R23" s="231"/>
    </row>
    <row r="24" spans="1:18">
      <c r="O24" s="231"/>
      <c r="P24" s="231"/>
      <c r="Q24" s="231"/>
      <c r="R24" s="231"/>
    </row>
    <row r="25" spans="1:18">
      <c r="O25" s="231"/>
      <c r="P25" s="231"/>
      <c r="Q25" s="231"/>
      <c r="R25" s="231"/>
    </row>
    <row r="26" spans="1:18">
      <c r="B26" s="620" t="s">
        <v>14421</v>
      </c>
      <c r="C26" s="621">
        <v>44.662799999999997</v>
      </c>
      <c r="D26" s="4963" t="s">
        <v>14489</v>
      </c>
    </row>
    <row r="27" spans="1:18">
      <c r="B27" s="609" t="s">
        <v>1855</v>
      </c>
      <c r="C27" s="613">
        <v>4</v>
      </c>
      <c r="D27" s="4963"/>
    </row>
    <row r="28" spans="1:18">
      <c r="B28" s="609" t="s">
        <v>4069</v>
      </c>
      <c r="C28" s="613">
        <v>20</v>
      </c>
      <c r="D28" s="4963"/>
    </row>
    <row r="29" spans="1:18">
      <c r="B29" s="622" t="s">
        <v>3205</v>
      </c>
      <c r="C29" s="545">
        <f>(C28/180)*PI()</f>
        <v>0.34906585039886601</v>
      </c>
      <c r="D29" s="4963"/>
    </row>
    <row r="30" spans="1:18">
      <c r="B30" s="622" t="s">
        <v>14408</v>
      </c>
      <c r="C30" s="545">
        <f>TAN(C29)-C29</f>
        <v>1.4904383867336401E-2</v>
      </c>
      <c r="D30" s="4963"/>
    </row>
    <row r="31" spans="1:18">
      <c r="B31" s="609" t="s">
        <v>14404</v>
      </c>
      <c r="C31" s="613">
        <v>4</v>
      </c>
      <c r="D31" s="4963"/>
    </row>
    <row r="32" spans="1:18">
      <c r="B32" s="609" t="s">
        <v>1131</v>
      </c>
      <c r="C32" s="613">
        <v>28</v>
      </c>
      <c r="D32" s="4963"/>
    </row>
    <row r="33" spans="2:4">
      <c r="B33" s="622" t="s">
        <v>3205</v>
      </c>
      <c r="C33" s="545">
        <f>(PI()*(C31-0.5)+C32*C30)*COS(C29)*C27</f>
        <v>42.898460505509298</v>
      </c>
      <c r="D33" s="4963"/>
    </row>
    <row r="34" spans="2:4">
      <c r="B34" s="622"/>
      <c r="C34" s="545">
        <f>C26-C33</f>
        <v>1.7643394944906901</v>
      </c>
      <c r="D34" s="4963"/>
    </row>
    <row r="35" spans="2:4">
      <c r="B35" s="623" t="s">
        <v>13759</v>
      </c>
      <c r="C35" s="624">
        <f>C34/(2*C27*SIN(C29))</f>
        <v>0.64482294717167499</v>
      </c>
      <c r="D35" s="4963"/>
    </row>
    <row r="36" spans="2:4">
      <c r="B36" s="615" t="s">
        <v>14492</v>
      </c>
      <c r="C36" s="616">
        <f>PI()*C27/2+2*C35*C27*TAN(C29)</f>
        <v>8.1607561803179696</v>
      </c>
      <c r="D36" s="4963"/>
    </row>
  </sheetData>
  <mergeCells count="5">
    <mergeCell ref="A2:D2"/>
    <mergeCell ref="E2:F2"/>
    <mergeCell ref="G2:J2"/>
    <mergeCell ref="K2:L2"/>
    <mergeCell ref="D26:D36"/>
  </mergeCells>
  <phoneticPr fontId="214" type="noConversion"/>
  <pageMargins left="0.75" right="0.75" top="1" bottom="1" header="0.5" footer="0.5"/>
  <headerFooter alignWithMargins="0"/>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68"/>
  <dimension ref="A1:K52"/>
  <sheetViews>
    <sheetView workbookViewId="0">
      <selection activeCell="G10" sqref="G10"/>
    </sheetView>
  </sheetViews>
  <sheetFormatPr defaultColWidth="9" defaultRowHeight="14.25"/>
  <cols>
    <col min="1" max="1" width="15.125" style="105" customWidth="1"/>
    <col min="2" max="2" width="23.875" style="105" customWidth="1"/>
    <col min="3" max="3" width="40.875" style="105" customWidth="1"/>
    <col min="4" max="4" width="32" style="105" customWidth="1"/>
    <col min="5" max="5" width="20.875" style="105" customWidth="1"/>
    <col min="6" max="6" width="14" style="105" customWidth="1"/>
    <col min="7" max="7" width="14.625" style="105" customWidth="1"/>
    <col min="8" max="8" width="12.75" style="105" customWidth="1"/>
    <col min="9" max="9" width="10.875" style="105" customWidth="1"/>
    <col min="10" max="10" width="11.875" style="105" customWidth="1"/>
    <col min="11" max="11" width="6.125" style="105" customWidth="1"/>
    <col min="12" max="12" width="22.75" style="105" customWidth="1"/>
    <col min="13" max="13" width="40.875" style="105" customWidth="1"/>
    <col min="14" max="14" width="23" style="105" customWidth="1"/>
    <col min="15" max="16384" width="9" style="105"/>
  </cols>
  <sheetData>
    <row r="1" spans="1:11">
      <c r="A1" s="520" t="s">
        <v>1131</v>
      </c>
      <c r="B1" s="521" t="s">
        <v>1139</v>
      </c>
      <c r="C1" s="522">
        <v>52</v>
      </c>
      <c r="D1" s="6152" t="s">
        <v>14503</v>
      </c>
      <c r="E1" s="6152"/>
      <c r="F1" s="6152"/>
    </row>
    <row r="2" spans="1:11" ht="16.5" customHeight="1">
      <c r="A2" s="524" t="s">
        <v>1855</v>
      </c>
      <c r="B2" s="525" t="s">
        <v>408</v>
      </c>
      <c r="C2" s="526">
        <v>2.5</v>
      </c>
      <c r="D2" s="4963" t="s">
        <v>14504</v>
      </c>
      <c r="E2" s="4963"/>
      <c r="F2" s="4963"/>
      <c r="G2" s="527" t="s">
        <v>14407</v>
      </c>
      <c r="H2" s="528" t="s">
        <v>14408</v>
      </c>
      <c r="I2" s="582"/>
    </row>
    <row r="3" spans="1:11" ht="25.5">
      <c r="A3" s="524" t="s">
        <v>13759</v>
      </c>
      <c r="B3" s="525" t="s">
        <v>3801</v>
      </c>
      <c r="C3" s="526">
        <v>0</v>
      </c>
      <c r="D3" s="6140" t="s">
        <v>14402</v>
      </c>
      <c r="E3" s="6141"/>
      <c r="F3" s="4963"/>
      <c r="G3" s="529">
        <v>1.4904384E-2</v>
      </c>
      <c r="H3" s="530">
        <v>20</v>
      </c>
      <c r="I3" s="582"/>
    </row>
    <row r="4" spans="1:11" ht="15.75">
      <c r="A4" s="524" t="s">
        <v>14404</v>
      </c>
      <c r="B4" s="525" t="s">
        <v>3319</v>
      </c>
      <c r="C4" s="531">
        <v>7</v>
      </c>
      <c r="D4" s="6140" t="s">
        <v>14405</v>
      </c>
      <c r="E4" s="6141"/>
      <c r="F4" s="532"/>
      <c r="G4" s="533">
        <f>(G3*3)^(1/3)-G3*3/7.9</f>
        <v>0.34927205753297302</v>
      </c>
      <c r="H4" s="534">
        <f>(H3/180)*PI()</f>
        <v>0.34906585039886601</v>
      </c>
      <c r="I4" s="582"/>
    </row>
    <row r="5" spans="1:11" ht="15.75">
      <c r="A5" s="524" t="s">
        <v>4069</v>
      </c>
      <c r="B5" s="525" t="s">
        <v>964</v>
      </c>
      <c r="C5" s="526">
        <v>20</v>
      </c>
      <c r="D5" s="535" t="s">
        <v>14409</v>
      </c>
      <c r="E5" s="536" t="s">
        <v>4069</v>
      </c>
      <c r="F5" s="530">
        <v>20</v>
      </c>
      <c r="G5" s="533">
        <f>TAN(G4)</f>
        <v>0.36420377608392102</v>
      </c>
      <c r="H5" s="534">
        <f>TAN(H4)-H4</f>
        <v>1.4904383867336401E-2</v>
      </c>
      <c r="I5" s="582"/>
      <c r="J5" s="105" t="s">
        <v>14505</v>
      </c>
    </row>
    <row r="6" spans="1:11" ht="15.75">
      <c r="A6" s="537" t="s">
        <v>10331</v>
      </c>
      <c r="B6" s="538" t="s">
        <v>13067</v>
      </c>
      <c r="C6" s="539">
        <v>0</v>
      </c>
      <c r="D6" s="540" t="s">
        <v>14411</v>
      </c>
      <c r="E6" s="536" t="s">
        <v>14412</v>
      </c>
      <c r="F6" s="534">
        <f>(F5/180)*PI()</f>
        <v>0.34906585039886601</v>
      </c>
      <c r="G6" s="533">
        <f>(G5)^2</f>
        <v>0.13264439051378701</v>
      </c>
      <c r="H6" s="541"/>
      <c r="I6" s="582"/>
    </row>
    <row r="7" spans="1:11" ht="15.75">
      <c r="A7" s="542" t="s">
        <v>14413</v>
      </c>
      <c r="B7" s="543"/>
      <c r="C7" s="544">
        <f>(C5/180)*F15</f>
        <v>5.7777777777777803</v>
      </c>
      <c r="D7" s="535" t="s">
        <v>14414</v>
      </c>
      <c r="E7" s="536" t="s">
        <v>14415</v>
      </c>
      <c r="F7" s="534">
        <f>TAN(F6)-F6</f>
        <v>1.4904383867336401E-2</v>
      </c>
      <c r="G7" s="533">
        <f>(G3+G4-G5)/G6+G4</f>
        <v>0.34906598360219798</v>
      </c>
      <c r="H7" s="545"/>
    </row>
    <row r="8" spans="1:11" ht="15.75">
      <c r="A8" s="546" t="s">
        <v>14416</v>
      </c>
      <c r="B8" s="547"/>
      <c r="C8" s="548">
        <f>(2*C3*F8)/PI()</f>
        <v>0</v>
      </c>
      <c r="D8" s="549" t="s">
        <v>14417</v>
      </c>
      <c r="E8" s="536" t="s">
        <v>14418</v>
      </c>
      <c r="F8" s="534">
        <f>TAN(F6)</f>
        <v>0.36397023426620201</v>
      </c>
      <c r="G8" s="550">
        <f>G7*180/(PI())</f>
        <v>20.000007631988801</v>
      </c>
      <c r="H8" s="551"/>
      <c r="J8" s="582"/>
      <c r="K8" s="509"/>
    </row>
    <row r="9" spans="1:11" ht="15.75">
      <c r="A9" s="552" t="s">
        <v>462</v>
      </c>
      <c r="B9" s="553" t="s">
        <v>14404</v>
      </c>
      <c r="C9" s="554">
        <f>C7+0.5+C8</f>
        <v>6.2777777777777803</v>
      </c>
      <c r="D9" s="540" t="s">
        <v>14419</v>
      </c>
      <c r="E9" s="536" t="s">
        <v>14420</v>
      </c>
      <c r="F9" s="534">
        <f>C6*PI()/180</f>
        <v>0</v>
      </c>
      <c r="J9" s="582"/>
      <c r="K9" s="509"/>
    </row>
    <row r="10" spans="1:11" ht="15.75">
      <c r="A10" s="555" t="s">
        <v>14421</v>
      </c>
      <c r="B10" s="556" t="s">
        <v>14422</v>
      </c>
      <c r="C10" s="557">
        <f>F19*(F16+F17+F18)</f>
        <v>49.7928559438947</v>
      </c>
      <c r="D10" s="549" t="s">
        <v>14423</v>
      </c>
      <c r="E10" s="536" t="s">
        <v>14424</v>
      </c>
      <c r="F10" s="534">
        <f>COS(F9)</f>
        <v>1</v>
      </c>
      <c r="J10" s="582"/>
      <c r="K10" s="509"/>
    </row>
    <row r="11" spans="1:11" ht="15.75">
      <c r="A11" s="558" t="s">
        <v>14427</v>
      </c>
      <c r="B11" s="559" t="s">
        <v>14428</v>
      </c>
      <c r="C11" s="560">
        <f>C2/F10</f>
        <v>2.5</v>
      </c>
      <c r="D11" s="540" t="s">
        <v>14429</v>
      </c>
      <c r="E11" s="561" t="s">
        <v>14430</v>
      </c>
      <c r="F11" s="562">
        <f>ATAN(F13)</f>
        <v>0.34906585039886601</v>
      </c>
    </row>
    <row r="12" spans="1:11">
      <c r="A12" s="563" t="s">
        <v>1132</v>
      </c>
      <c r="B12" s="564" t="s">
        <v>411</v>
      </c>
      <c r="C12" s="565">
        <f>C1*C11</f>
        <v>130</v>
      </c>
      <c r="D12" s="535" t="s">
        <v>14431</v>
      </c>
      <c r="E12" s="536" t="s">
        <v>14432</v>
      </c>
      <c r="F12" s="534">
        <f>TAN(F11)-F11</f>
        <v>1.4904383867336401E-2</v>
      </c>
      <c r="H12" s="231"/>
      <c r="I12" s="231"/>
      <c r="J12" s="231"/>
    </row>
    <row r="13" spans="1:11" ht="15.75">
      <c r="A13" s="563" t="s">
        <v>1860</v>
      </c>
      <c r="B13" s="564" t="s">
        <v>1861</v>
      </c>
      <c r="C13" s="565">
        <f>1*C2</f>
        <v>2.5</v>
      </c>
      <c r="D13" s="549" t="s">
        <v>14435</v>
      </c>
      <c r="E13" s="566"/>
      <c r="F13" s="534">
        <f>F8/F10</f>
        <v>0.36397023426620201</v>
      </c>
      <c r="H13" s="567"/>
      <c r="I13" s="567"/>
      <c r="J13" s="567"/>
    </row>
    <row r="14" spans="1:11" ht="15.75">
      <c r="A14" s="563" t="s">
        <v>1134</v>
      </c>
      <c r="B14" s="564" t="s">
        <v>1869</v>
      </c>
      <c r="C14" s="565">
        <f>C12+2*C2*(1+C3)-2*C11*C18</f>
        <v>135</v>
      </c>
      <c r="D14" s="535" t="s">
        <v>14438</v>
      </c>
      <c r="E14" s="536" t="s">
        <v>14506</v>
      </c>
      <c r="F14" s="534">
        <f>(F11*180)/PI()</f>
        <v>20</v>
      </c>
      <c r="H14" s="231"/>
      <c r="I14" s="231"/>
      <c r="J14" s="231"/>
    </row>
    <row r="15" spans="1:11" ht="15.75">
      <c r="A15" s="563" t="s">
        <v>1863</v>
      </c>
      <c r="B15" s="564" t="s">
        <v>1864</v>
      </c>
      <c r="C15" s="565">
        <f>1.25*C2</f>
        <v>3.125</v>
      </c>
      <c r="D15" s="549" t="s">
        <v>14442</v>
      </c>
      <c r="E15" s="536" t="s">
        <v>14443</v>
      </c>
      <c r="F15" s="534">
        <f>C1*(F12/F7)</f>
        <v>52</v>
      </c>
      <c r="H15" s="231"/>
      <c r="I15" s="231"/>
      <c r="J15" s="567"/>
    </row>
    <row r="16" spans="1:11" ht="15.75">
      <c r="A16" s="563" t="s">
        <v>1133</v>
      </c>
      <c r="B16" s="564" t="s">
        <v>1871</v>
      </c>
      <c r="C16" s="565">
        <f>C12-2*C2*(1.25-C3)</f>
        <v>123.75</v>
      </c>
      <c r="D16" s="568" t="s">
        <v>14446</v>
      </c>
      <c r="E16" s="561"/>
      <c r="F16" s="534">
        <f>PI()*(C4-0.5)</f>
        <v>20.4203522483337</v>
      </c>
      <c r="H16" s="231"/>
      <c r="I16" s="231"/>
      <c r="J16" s="231"/>
    </row>
    <row r="17" spans="1:10" ht="15.75">
      <c r="A17" s="569" t="s">
        <v>4073</v>
      </c>
      <c r="B17" s="570" t="s">
        <v>1866</v>
      </c>
      <c r="C17" s="571">
        <f>(C14-C16)/2</f>
        <v>5.625</v>
      </c>
      <c r="D17" s="549" t="s">
        <v>14448</v>
      </c>
      <c r="E17" s="536"/>
      <c r="F17" s="534">
        <f>F15*F7</f>
        <v>0.77502796110149497</v>
      </c>
    </row>
    <row r="18" spans="1:10" ht="15.75">
      <c r="A18" s="564" t="s">
        <v>13757</v>
      </c>
      <c r="B18" s="572" t="s">
        <v>14450</v>
      </c>
      <c r="C18" s="565">
        <v>0</v>
      </c>
      <c r="D18" s="549" t="s">
        <v>14451</v>
      </c>
      <c r="E18" s="536"/>
      <c r="F18" s="573">
        <f>2*C3*F8</f>
        <v>0</v>
      </c>
    </row>
    <row r="19" spans="1:10" ht="15.75">
      <c r="A19" s="6147" t="s">
        <v>14453</v>
      </c>
      <c r="B19" s="6148"/>
      <c r="C19" s="6149"/>
      <c r="D19" s="574" t="s">
        <v>14454</v>
      </c>
      <c r="E19" s="575"/>
      <c r="F19" s="576">
        <f>C2*COS(F6)</f>
        <v>2.34923155196477</v>
      </c>
    </row>
    <row r="20" spans="1:10" ht="15.75">
      <c r="A20" s="542" t="s">
        <v>14507</v>
      </c>
      <c r="B20" s="577" t="s">
        <v>14508</v>
      </c>
      <c r="C20" s="578">
        <v>35</v>
      </c>
    </row>
    <row r="21" spans="1:10">
      <c r="A21" s="579"/>
      <c r="B21" s="580" t="s">
        <v>14457</v>
      </c>
      <c r="C21" s="581">
        <f>SIN(F9)*C10</f>
        <v>0</v>
      </c>
    </row>
    <row r="22" spans="1:10">
      <c r="A22" s="141"/>
      <c r="B22" s="582"/>
    </row>
    <row r="23" spans="1:10" ht="22.5">
      <c r="A23" s="6134" t="s">
        <v>14462</v>
      </c>
      <c r="B23" s="6134"/>
      <c r="C23" s="6134"/>
      <c r="D23" s="6134"/>
      <c r="E23" s="6134"/>
      <c r="F23" s="6134"/>
      <c r="G23" s="6134"/>
      <c r="H23" s="6134"/>
      <c r="I23" s="6134"/>
      <c r="J23" s="6134"/>
    </row>
    <row r="24" spans="1:10" ht="15.75">
      <c r="A24" s="6137" t="s">
        <v>14463</v>
      </c>
      <c r="B24" s="6132" t="s">
        <v>14464</v>
      </c>
      <c r="C24" s="6132" t="s">
        <v>14465</v>
      </c>
      <c r="D24" s="583" t="s">
        <v>14466</v>
      </c>
      <c r="E24" s="6135" t="s">
        <v>14467</v>
      </c>
      <c r="F24" s="6135"/>
      <c r="G24" s="6135"/>
      <c r="H24" s="6135"/>
      <c r="I24" s="6135"/>
      <c r="J24" s="6136"/>
    </row>
    <row r="25" spans="1:10" ht="20.25">
      <c r="A25" s="6138"/>
      <c r="B25" s="6133"/>
      <c r="C25" s="6133"/>
      <c r="D25" s="584" t="s">
        <v>14468</v>
      </c>
      <c r="E25" s="4963" t="s">
        <v>14469</v>
      </c>
      <c r="F25" s="4963" t="s">
        <v>14470</v>
      </c>
      <c r="G25" s="4963" t="s">
        <v>14471</v>
      </c>
      <c r="H25" s="4963" t="s">
        <v>14472</v>
      </c>
      <c r="I25" s="4963" t="s">
        <v>14473</v>
      </c>
      <c r="J25" s="4963" t="s">
        <v>14474</v>
      </c>
    </row>
    <row r="26" spans="1:10" ht="30" customHeight="1">
      <c r="A26" s="6139"/>
      <c r="B26" s="4963"/>
      <c r="C26" s="4963"/>
      <c r="D26" s="585" t="s">
        <v>14475</v>
      </c>
      <c r="E26" s="4963"/>
      <c r="F26" s="4963"/>
      <c r="G26" s="4963"/>
      <c r="H26" s="4963"/>
      <c r="I26" s="4963"/>
      <c r="J26" s="4963"/>
    </row>
    <row r="27" spans="1:10" ht="15.75">
      <c r="A27" s="6128">
        <v>6</v>
      </c>
      <c r="B27" s="4963" t="s">
        <v>14476</v>
      </c>
      <c r="C27" s="4963" t="s">
        <v>14477</v>
      </c>
      <c r="D27" s="586" t="s">
        <v>14478</v>
      </c>
      <c r="E27" s="587">
        <v>80</v>
      </c>
      <c r="F27" s="587">
        <v>95</v>
      </c>
      <c r="G27" s="587">
        <v>115</v>
      </c>
      <c r="H27" s="587">
        <v>140</v>
      </c>
      <c r="I27" s="587">
        <v>160</v>
      </c>
      <c r="J27" s="605">
        <v>210</v>
      </c>
    </row>
    <row r="28" spans="1:10" ht="15.75">
      <c r="A28" s="6129"/>
      <c r="B28" s="5044"/>
      <c r="C28" s="5044"/>
      <c r="D28" s="536" t="s">
        <v>14479</v>
      </c>
      <c r="E28" s="589">
        <v>80</v>
      </c>
      <c r="F28" s="589">
        <v>95</v>
      </c>
      <c r="G28" s="589">
        <v>115</v>
      </c>
      <c r="H28" s="589">
        <v>140</v>
      </c>
      <c r="I28" s="589">
        <v>160</v>
      </c>
      <c r="J28" s="606">
        <v>210</v>
      </c>
    </row>
    <row r="29" spans="1:10" ht="15.75">
      <c r="A29" s="6129"/>
      <c r="B29" s="5044"/>
      <c r="C29" s="5044"/>
      <c r="D29" s="536" t="s">
        <v>14480</v>
      </c>
      <c r="E29" s="590" t="s">
        <v>5908</v>
      </c>
      <c r="F29" s="589">
        <v>95</v>
      </c>
      <c r="G29" s="589">
        <v>120</v>
      </c>
      <c r="H29" s="589">
        <v>140</v>
      </c>
      <c r="I29" s="589">
        <v>160</v>
      </c>
      <c r="J29" s="606">
        <v>210</v>
      </c>
    </row>
    <row r="30" spans="1:10" ht="15.75">
      <c r="A30" s="6129"/>
      <c r="B30" s="5044"/>
      <c r="C30" s="5044"/>
      <c r="D30" s="536" t="s">
        <v>14481</v>
      </c>
      <c r="E30" s="590" t="s">
        <v>5908</v>
      </c>
      <c r="F30" s="590" t="s">
        <v>5908</v>
      </c>
      <c r="G30" s="589">
        <v>120</v>
      </c>
      <c r="H30" s="591">
        <v>140</v>
      </c>
      <c r="I30" s="589">
        <v>160</v>
      </c>
      <c r="J30" s="606">
        <v>210</v>
      </c>
    </row>
    <row r="31" spans="1:10" ht="15.75">
      <c r="A31" s="6130"/>
      <c r="B31" s="4963"/>
      <c r="C31" s="585" t="s">
        <v>14482</v>
      </c>
      <c r="D31" s="585" t="s">
        <v>14483</v>
      </c>
      <c r="E31" s="592">
        <v>34</v>
      </c>
      <c r="F31" s="592">
        <v>40</v>
      </c>
      <c r="G31" s="592">
        <v>40</v>
      </c>
      <c r="H31" s="592">
        <v>45</v>
      </c>
      <c r="I31" s="592">
        <v>50</v>
      </c>
      <c r="J31" s="607">
        <v>50</v>
      </c>
    </row>
    <row r="32" spans="1:10" ht="15.75">
      <c r="A32" s="6128">
        <v>7</v>
      </c>
      <c r="B32" s="4963" t="s">
        <v>14476</v>
      </c>
      <c r="C32" s="4963" t="s">
        <v>14477</v>
      </c>
      <c r="D32" s="586" t="s">
        <v>14478</v>
      </c>
      <c r="E32" s="587">
        <v>85</v>
      </c>
      <c r="F32" s="587">
        <v>105</v>
      </c>
      <c r="G32" s="587">
        <v>130</v>
      </c>
      <c r="H32" s="587">
        <v>150</v>
      </c>
      <c r="I32" s="587">
        <v>170</v>
      </c>
      <c r="J32" s="605">
        <v>220</v>
      </c>
    </row>
    <row r="33" spans="1:10" ht="15.75">
      <c r="A33" s="6129"/>
      <c r="B33" s="5044"/>
      <c r="C33" s="5044"/>
      <c r="D33" s="536" t="s">
        <v>14479</v>
      </c>
      <c r="E33" s="589">
        <v>85</v>
      </c>
      <c r="F33" s="589">
        <v>105</v>
      </c>
      <c r="G33" s="589">
        <v>130</v>
      </c>
      <c r="H33" s="589">
        <v>150</v>
      </c>
      <c r="I33" s="589">
        <v>190</v>
      </c>
      <c r="J33" s="606">
        <v>220</v>
      </c>
    </row>
    <row r="34" spans="1:10" ht="15.75">
      <c r="A34" s="6129"/>
      <c r="B34" s="5044"/>
      <c r="C34" s="5044"/>
      <c r="D34" s="536" t="s">
        <v>14480</v>
      </c>
      <c r="E34" s="590" t="s">
        <v>5908</v>
      </c>
      <c r="F34" s="589">
        <v>110</v>
      </c>
      <c r="G34" s="589">
        <v>130</v>
      </c>
      <c r="H34" s="589">
        <v>160</v>
      </c>
      <c r="I34" s="589">
        <v>190</v>
      </c>
      <c r="J34" s="606">
        <v>240</v>
      </c>
    </row>
    <row r="35" spans="1:10" ht="15.75">
      <c r="A35" s="6129"/>
      <c r="B35" s="5044"/>
      <c r="C35" s="5044"/>
      <c r="D35" s="536" t="s">
        <v>14481</v>
      </c>
      <c r="E35" s="590" t="s">
        <v>5908</v>
      </c>
      <c r="F35" s="590" t="s">
        <v>5908</v>
      </c>
      <c r="G35" s="589">
        <v>130</v>
      </c>
      <c r="H35" s="589">
        <v>160</v>
      </c>
      <c r="I35" s="589">
        <v>190</v>
      </c>
      <c r="J35" s="606">
        <v>240</v>
      </c>
    </row>
    <row r="36" spans="1:10" ht="15.75">
      <c r="A36" s="6130"/>
      <c r="B36" s="4963"/>
      <c r="C36" s="585" t="s">
        <v>14482</v>
      </c>
      <c r="D36" s="585" t="s">
        <v>14483</v>
      </c>
      <c r="E36" s="593">
        <v>38</v>
      </c>
      <c r="F36" s="593">
        <v>50</v>
      </c>
      <c r="G36" s="592">
        <v>50</v>
      </c>
      <c r="H36" s="592">
        <v>55</v>
      </c>
      <c r="I36" s="592">
        <v>70</v>
      </c>
      <c r="J36" s="607">
        <v>70</v>
      </c>
    </row>
    <row r="37" spans="1:10" ht="15.75">
      <c r="A37" s="6128">
        <v>8</v>
      </c>
      <c r="B37" s="4963" t="s">
        <v>14476</v>
      </c>
      <c r="C37" s="4963" t="s">
        <v>14477</v>
      </c>
      <c r="D37" s="586" t="s">
        <v>14478</v>
      </c>
      <c r="E37" s="594">
        <v>95</v>
      </c>
      <c r="F37" s="594">
        <v>115</v>
      </c>
      <c r="G37" s="587">
        <v>140</v>
      </c>
      <c r="H37" s="587">
        <v>170</v>
      </c>
      <c r="I37" s="587">
        <v>200</v>
      </c>
      <c r="J37" s="605">
        <v>240</v>
      </c>
    </row>
    <row r="38" spans="1:10" ht="15.75">
      <c r="A38" s="6129"/>
      <c r="B38" s="5044"/>
      <c r="C38" s="5044"/>
      <c r="D38" s="536" t="s">
        <v>14479</v>
      </c>
      <c r="E38" s="590">
        <v>100</v>
      </c>
      <c r="F38" s="590">
        <v>115</v>
      </c>
      <c r="G38" s="589">
        <v>140</v>
      </c>
      <c r="H38" s="589">
        <v>170</v>
      </c>
      <c r="I38" s="589">
        <v>200</v>
      </c>
      <c r="J38" s="606">
        <v>240</v>
      </c>
    </row>
    <row r="39" spans="1:10" ht="15.75">
      <c r="A39" s="6129"/>
      <c r="B39" s="5044"/>
      <c r="C39" s="5044"/>
      <c r="D39" s="536" t="s">
        <v>14480</v>
      </c>
      <c r="E39" s="590" t="s">
        <v>5908</v>
      </c>
      <c r="F39" s="590">
        <v>120</v>
      </c>
      <c r="G39" s="589">
        <v>140</v>
      </c>
      <c r="H39" s="589">
        <v>170</v>
      </c>
      <c r="I39" s="589">
        <v>210</v>
      </c>
      <c r="J39" s="606">
        <v>240</v>
      </c>
    </row>
    <row r="40" spans="1:10" ht="15.75">
      <c r="A40" s="6129"/>
      <c r="B40" s="5044"/>
      <c r="C40" s="5044"/>
      <c r="D40" s="536" t="s">
        <v>14481</v>
      </c>
      <c r="E40" s="590" t="s">
        <v>5908</v>
      </c>
      <c r="F40" s="590" t="s">
        <v>5908</v>
      </c>
      <c r="G40" s="589">
        <v>150</v>
      </c>
      <c r="H40" s="589">
        <v>180</v>
      </c>
      <c r="I40" s="589">
        <v>210</v>
      </c>
      <c r="J40" s="606">
        <v>240</v>
      </c>
    </row>
    <row r="41" spans="1:10" ht="15.75">
      <c r="A41" s="6130"/>
      <c r="B41" s="4963"/>
      <c r="C41" s="585" t="s">
        <v>14482</v>
      </c>
      <c r="D41" s="585" t="s">
        <v>14483</v>
      </c>
      <c r="E41" s="593">
        <v>48</v>
      </c>
      <c r="F41" s="593">
        <v>70</v>
      </c>
      <c r="G41" s="592">
        <v>70</v>
      </c>
      <c r="H41" s="592">
        <v>80</v>
      </c>
      <c r="I41" s="592">
        <v>90</v>
      </c>
      <c r="J41" s="607">
        <v>90</v>
      </c>
    </row>
    <row r="42" spans="1:10" ht="15.75">
      <c r="A42" s="6128">
        <v>9</v>
      </c>
      <c r="B42" s="4963" t="s">
        <v>14476</v>
      </c>
      <c r="C42" s="4963" t="s">
        <v>14477</v>
      </c>
      <c r="D42" s="586" t="s">
        <v>14479</v>
      </c>
      <c r="E42" s="594">
        <v>115</v>
      </c>
      <c r="F42" s="594">
        <v>140</v>
      </c>
      <c r="G42" s="587">
        <v>160</v>
      </c>
      <c r="H42" s="587">
        <v>190</v>
      </c>
      <c r="I42" s="587">
        <v>240</v>
      </c>
      <c r="J42" s="605">
        <v>280</v>
      </c>
    </row>
    <row r="43" spans="1:10" ht="15.75">
      <c r="A43" s="6129"/>
      <c r="B43" s="5044"/>
      <c r="C43" s="5044"/>
      <c r="D43" s="536" t="s">
        <v>14480</v>
      </c>
      <c r="E43" s="590" t="s">
        <v>5908</v>
      </c>
      <c r="F43" s="590">
        <v>150</v>
      </c>
      <c r="G43" s="589">
        <v>160</v>
      </c>
      <c r="H43" s="589">
        <v>200</v>
      </c>
      <c r="I43" s="589">
        <v>240</v>
      </c>
      <c r="J43" s="606">
        <v>280</v>
      </c>
    </row>
    <row r="44" spans="1:10" ht="15.75">
      <c r="A44" s="6129"/>
      <c r="B44" s="5044"/>
      <c r="C44" s="5044"/>
      <c r="D44" s="536" t="s">
        <v>14481</v>
      </c>
      <c r="E44" s="590" t="s">
        <v>5908</v>
      </c>
      <c r="F44" s="590" t="s">
        <v>5908</v>
      </c>
      <c r="G44" s="589">
        <v>180</v>
      </c>
      <c r="H44" s="589">
        <v>210</v>
      </c>
      <c r="I44" s="589">
        <v>240</v>
      </c>
      <c r="J44" s="606">
        <v>280</v>
      </c>
    </row>
    <row r="45" spans="1:10">
      <c r="A45" s="6129"/>
      <c r="B45" s="5044"/>
      <c r="C45" s="5044"/>
      <c r="D45" s="536"/>
      <c r="E45" s="536"/>
      <c r="F45" s="536"/>
      <c r="G45" s="536"/>
      <c r="H45" s="536"/>
      <c r="I45" s="536"/>
      <c r="J45" s="600"/>
    </row>
    <row r="46" spans="1:10" ht="15.75">
      <c r="A46" s="6131"/>
      <c r="B46" s="4963"/>
      <c r="C46" s="575" t="s">
        <v>14482</v>
      </c>
      <c r="D46" s="575" t="s">
        <v>14484</v>
      </c>
      <c r="E46" s="595">
        <v>65</v>
      </c>
      <c r="F46" s="596">
        <v>95</v>
      </c>
      <c r="G46" s="595">
        <v>95</v>
      </c>
      <c r="H46" s="595">
        <v>115</v>
      </c>
      <c r="I46" s="595">
        <v>140</v>
      </c>
      <c r="J46" s="608">
        <v>140</v>
      </c>
    </row>
    <row r="48" spans="1:10">
      <c r="C48" s="105" t="s">
        <v>14509</v>
      </c>
    </row>
    <row r="49" spans="1:4">
      <c r="A49" s="542" t="s">
        <v>14510</v>
      </c>
      <c r="B49" s="543" t="s">
        <v>14511</v>
      </c>
      <c r="C49" s="597" t="s">
        <v>14512</v>
      </c>
      <c r="D49" s="598" t="s">
        <v>14513</v>
      </c>
    </row>
    <row r="50" spans="1:4" ht="15">
      <c r="A50" s="535" t="s">
        <v>14514</v>
      </c>
      <c r="B50" s="599" t="s">
        <v>14515</v>
      </c>
      <c r="C50" s="536" t="s">
        <v>14516</v>
      </c>
      <c r="D50" s="600" t="s">
        <v>14517</v>
      </c>
    </row>
    <row r="51" spans="1:4" ht="15.75">
      <c r="A51" s="535" t="s">
        <v>14518</v>
      </c>
      <c r="B51" s="561" t="s">
        <v>14519</v>
      </c>
      <c r="C51" s="601" t="s">
        <v>14520</v>
      </c>
      <c r="D51" s="602" t="s">
        <v>14521</v>
      </c>
    </row>
    <row r="52" spans="1:4" ht="15.75">
      <c r="A52" s="579" t="s">
        <v>14522</v>
      </c>
      <c r="B52" s="603" t="s">
        <v>14523</v>
      </c>
      <c r="C52" s="575" t="s">
        <v>14524</v>
      </c>
      <c r="D52" s="604" t="s">
        <v>14525</v>
      </c>
    </row>
  </sheetData>
  <mergeCells count="28">
    <mergeCell ref="D1:F1"/>
    <mergeCell ref="D2:F2"/>
    <mergeCell ref="D3:F3"/>
    <mergeCell ref="D4:E4"/>
    <mergeCell ref="A19:C19"/>
    <mergeCell ref="A23:J23"/>
    <mergeCell ref="E24:J24"/>
    <mergeCell ref="A24:A26"/>
    <mergeCell ref="A27:A31"/>
    <mergeCell ref="A32:A36"/>
    <mergeCell ref="C24:C26"/>
    <mergeCell ref="C27:C30"/>
    <mergeCell ref="C32:C35"/>
    <mergeCell ref="H25:H26"/>
    <mergeCell ref="I25:I26"/>
    <mergeCell ref="J25:J26"/>
    <mergeCell ref="A37:A41"/>
    <mergeCell ref="A42:A46"/>
    <mergeCell ref="B24:B26"/>
    <mergeCell ref="B27:B31"/>
    <mergeCell ref="B32:B36"/>
    <mergeCell ref="B37:B41"/>
    <mergeCell ref="B42:B46"/>
    <mergeCell ref="C37:C40"/>
    <mergeCell ref="C42:C45"/>
    <mergeCell ref="E25:E26"/>
    <mergeCell ref="F25:F26"/>
    <mergeCell ref="G25:G26"/>
  </mergeCells>
  <phoneticPr fontId="214" type="noConversion"/>
  <pageMargins left="0.75" right="0.75" top="1" bottom="1" header="0.5" footer="0.5"/>
  <pageSetup paperSize="9" orientation="portrait" horizontalDpi="180" verticalDpi="180"/>
  <headerFooter alignWithMargins="0"/>
  <drawing r:id="rId1"/>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codeName="Sheet169"/>
  <dimension ref="A1:F20"/>
  <sheetViews>
    <sheetView workbookViewId="0">
      <selection activeCell="G1" sqref="G1"/>
    </sheetView>
  </sheetViews>
  <sheetFormatPr defaultColWidth="9" defaultRowHeight="14.25"/>
  <cols>
    <col min="1" max="1" width="10.875" style="510" customWidth="1"/>
    <col min="2" max="4" width="10.625" style="510" customWidth="1"/>
    <col min="5" max="5" width="13.625" style="511" customWidth="1"/>
    <col min="6" max="7" width="10.625" style="510" customWidth="1"/>
    <col min="8" max="16384" width="9" style="510"/>
  </cols>
  <sheetData>
    <row r="1" spans="1:6">
      <c r="A1" s="4963" t="s">
        <v>153</v>
      </c>
      <c r="B1" s="4963"/>
      <c r="C1" s="4963"/>
      <c r="D1" s="4963"/>
      <c r="E1" s="4963"/>
      <c r="F1" s="4963"/>
    </row>
    <row r="2" spans="1:6" ht="14.25" customHeight="1">
      <c r="A2" s="512"/>
      <c r="B2" s="512"/>
      <c r="C2" s="512"/>
      <c r="D2" s="512"/>
      <c r="E2" s="512"/>
      <c r="F2" s="512"/>
    </row>
    <row r="3" spans="1:6" ht="32.1" customHeight="1">
      <c r="A3" s="513" t="s">
        <v>1043</v>
      </c>
      <c r="B3" s="514" t="s">
        <v>1044</v>
      </c>
      <c r="C3" s="514" t="s">
        <v>1045</v>
      </c>
      <c r="D3" s="514" t="s">
        <v>1046</v>
      </c>
      <c r="E3" s="515" t="s">
        <v>1047</v>
      </c>
      <c r="F3" s="514" t="s">
        <v>1048</v>
      </c>
    </row>
    <row r="4" spans="1:6" ht="15.95" customHeight="1">
      <c r="A4" s="516" t="s">
        <v>1049</v>
      </c>
      <c r="B4" s="514" t="s">
        <v>1050</v>
      </c>
      <c r="C4" s="514" t="s">
        <v>1051</v>
      </c>
      <c r="D4" s="516" t="s">
        <v>1052</v>
      </c>
      <c r="E4" s="517" t="s">
        <v>1053</v>
      </c>
      <c r="F4" s="514" t="s">
        <v>1054</v>
      </c>
    </row>
    <row r="5" spans="1:6" ht="15.95" customHeight="1">
      <c r="A5" s="514">
        <f>C5*8</f>
        <v>40</v>
      </c>
      <c r="B5" s="518">
        <v>3</v>
      </c>
      <c r="C5" s="518">
        <v>5</v>
      </c>
      <c r="D5" s="514">
        <v>7</v>
      </c>
      <c r="E5" s="519">
        <f>((A5-C5)*COS((3.1415926/180)*D5)-C5)/2</f>
        <v>14.8695576581678</v>
      </c>
      <c r="F5" s="518">
        <f>1.5*C5</f>
        <v>7.5</v>
      </c>
    </row>
    <row r="6" spans="1:6" ht="15.95" customHeight="1"/>
    <row r="7" spans="1:6" ht="15.95" customHeight="1"/>
    <row r="8" spans="1:6" ht="15.95" customHeight="1"/>
    <row r="9" spans="1:6" ht="15.95" customHeight="1"/>
    <row r="10" spans="1:6" ht="15.95" customHeight="1"/>
    <row r="11" spans="1:6" ht="15.95" customHeight="1"/>
    <row r="12" spans="1:6" ht="15.95" customHeight="1"/>
    <row r="13" spans="1:6" ht="15.95" customHeight="1"/>
    <row r="14" spans="1:6" ht="15.95" customHeight="1"/>
    <row r="15" spans="1:6" ht="15.95" customHeight="1"/>
    <row r="16" spans="1:6" ht="15.95" customHeight="1"/>
    <row r="17" spans="1:1" ht="15.95" customHeight="1"/>
    <row r="18" spans="1:1" ht="15.95" customHeight="1"/>
    <row r="19" spans="1:1" ht="15.95" customHeight="1">
      <c r="A19" s="510" t="s">
        <v>1055</v>
      </c>
    </row>
    <row r="20" spans="1:1" ht="15.95" customHeight="1">
      <c r="A20" s="510" t="s">
        <v>1056</v>
      </c>
    </row>
  </sheetData>
  <mergeCells count="1">
    <mergeCell ref="A1:F1"/>
  </mergeCells>
  <phoneticPr fontId="214" type="noConversion"/>
  <pageMargins left="0.75" right="0.75" top="1" bottom="1" header="0.5" footer="0.5"/>
  <pageSetup paperSize="9" orientation="portrait"/>
  <headerFooter scaleWithDoc="0" alignWithMargins="0"/>
  <drawing r:id="rId1"/>
  <legacyDrawing r:id="rId2"/>
  <oleObjects>
    <mc:AlternateContent xmlns:mc="http://schemas.openxmlformats.org/markup-compatibility/2006">
      <mc:Choice Requires="x14">
        <oleObject progId="AutoCAD.Drawing.14" shapeId="1232897" r:id="rId3">
          <objectPr defaultSize="0" altText="" r:id="rId4">
            <anchor moveWithCells="1">
              <from>
                <xdr:col>0</xdr:col>
                <xdr:colOff>609600</xdr:colOff>
                <xdr:row>5</xdr:row>
                <xdr:rowOff>76200</xdr:rowOff>
              </from>
              <to>
                <xdr:col>5</xdr:col>
                <xdr:colOff>0</xdr:colOff>
                <xdr:row>17</xdr:row>
                <xdr:rowOff>38100</xdr:rowOff>
              </to>
            </anchor>
          </objectPr>
        </oleObject>
      </mc:Choice>
      <mc:Fallback>
        <oleObject progId="AutoCAD.Drawing.14" shapeId="1232897" r:id="rId3"/>
      </mc:Fallback>
    </mc:AlternateContent>
  </oleObject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0"/>
  <dimension ref="A1:K244"/>
  <sheetViews>
    <sheetView workbookViewId="0">
      <selection sqref="A1:I1"/>
    </sheetView>
  </sheetViews>
  <sheetFormatPr defaultColWidth="9" defaultRowHeight="14.25"/>
  <cols>
    <col min="1" max="1" width="5.125" style="105" customWidth="1"/>
    <col min="2" max="2" width="14.875" style="105" customWidth="1"/>
    <col min="3" max="3" width="10.125" style="105" customWidth="1"/>
    <col min="4" max="4" width="10" style="105" customWidth="1"/>
    <col min="5" max="5" width="11.25" style="105" customWidth="1"/>
    <col min="6" max="6" width="11.75" style="105" customWidth="1"/>
    <col min="7" max="7" width="11" style="105" customWidth="1"/>
    <col min="8" max="8" width="12.125" style="105" customWidth="1"/>
    <col min="9" max="9" width="9" style="105"/>
    <col min="10" max="10" width="19.125" style="105" customWidth="1"/>
    <col min="11" max="16384" width="9" style="105"/>
  </cols>
  <sheetData>
    <row r="1" spans="1:11" ht="67.5" customHeight="1">
      <c r="A1" s="4963" t="s">
        <v>30</v>
      </c>
      <c r="B1" s="4963"/>
      <c r="C1" s="4963"/>
      <c r="D1" s="4963"/>
      <c r="E1" s="4963"/>
      <c r="F1" s="4963"/>
      <c r="G1" s="4963"/>
      <c r="H1" s="4963"/>
      <c r="I1" s="4963"/>
    </row>
    <row r="2" spans="1:11" ht="49.5" customHeight="1">
      <c r="A2" s="494" t="s">
        <v>216</v>
      </c>
      <c r="B2" s="495" t="s">
        <v>437</v>
      </c>
      <c r="C2" s="495" t="s">
        <v>14526</v>
      </c>
      <c r="D2" s="495" t="s">
        <v>14527</v>
      </c>
      <c r="E2" s="495" t="s">
        <v>14528</v>
      </c>
      <c r="F2" s="495" t="s">
        <v>14529</v>
      </c>
      <c r="G2" s="495" t="s">
        <v>14530</v>
      </c>
      <c r="H2" s="495" t="s">
        <v>14531</v>
      </c>
      <c r="I2" s="495" t="s">
        <v>14532</v>
      </c>
      <c r="J2" s="504" t="s">
        <v>14533</v>
      </c>
    </row>
    <row r="3" spans="1:11" ht="24.95" customHeight="1">
      <c r="A3" s="496">
        <v>1</v>
      </c>
      <c r="B3" s="497" t="s">
        <v>14534</v>
      </c>
      <c r="C3" s="498">
        <v>0.75</v>
      </c>
      <c r="D3" s="498">
        <v>1</v>
      </c>
      <c r="E3" s="498">
        <v>1.8</v>
      </c>
      <c r="F3" s="498">
        <v>2825</v>
      </c>
      <c r="G3" s="498">
        <v>75</v>
      </c>
      <c r="H3" s="498">
        <v>0.84</v>
      </c>
      <c r="I3" s="505">
        <v>17</v>
      </c>
      <c r="J3" s="231">
        <f t="shared" ref="J3:J66" si="0">9550*C3/F3</f>
        <v>2.5353982300885001</v>
      </c>
    </row>
    <row r="4" spans="1:11" ht="24.95" customHeight="1">
      <c r="A4" s="499">
        <v>2</v>
      </c>
      <c r="B4" s="494" t="s">
        <v>14535</v>
      </c>
      <c r="C4" s="500">
        <v>1.1000000000000001</v>
      </c>
      <c r="D4" s="500">
        <v>1.5</v>
      </c>
      <c r="E4" s="500">
        <v>2.5</v>
      </c>
      <c r="F4" s="500">
        <v>2825</v>
      </c>
      <c r="G4" s="500">
        <v>77</v>
      </c>
      <c r="H4" s="500">
        <v>0.86</v>
      </c>
      <c r="I4" s="506">
        <v>18</v>
      </c>
      <c r="J4" s="231">
        <f t="shared" si="0"/>
        <v>3.7185840707964601</v>
      </c>
    </row>
    <row r="5" spans="1:11" ht="24.95" customHeight="1">
      <c r="A5" s="499">
        <v>3</v>
      </c>
      <c r="B5" s="494" t="s">
        <v>14536</v>
      </c>
      <c r="C5" s="500">
        <v>1.5</v>
      </c>
      <c r="D5" s="500">
        <v>2</v>
      </c>
      <c r="E5" s="500">
        <v>3.4</v>
      </c>
      <c r="F5" s="500">
        <v>2840</v>
      </c>
      <c r="G5" s="500">
        <v>78</v>
      </c>
      <c r="H5" s="500">
        <v>0.85</v>
      </c>
      <c r="I5" s="506">
        <v>22</v>
      </c>
      <c r="J5" s="231">
        <f t="shared" si="0"/>
        <v>5.0440140845070403</v>
      </c>
    </row>
    <row r="6" spans="1:11" ht="24.95" customHeight="1">
      <c r="A6" s="499">
        <v>4</v>
      </c>
      <c r="B6" s="494" t="s">
        <v>14537</v>
      </c>
      <c r="C6" s="500">
        <v>2.2000000000000002</v>
      </c>
      <c r="D6" s="500">
        <v>3</v>
      </c>
      <c r="E6" s="500">
        <v>4.8</v>
      </c>
      <c r="F6" s="500">
        <v>2840</v>
      </c>
      <c r="G6" s="500">
        <v>80.5</v>
      </c>
      <c r="H6" s="500">
        <v>0.86</v>
      </c>
      <c r="I6" s="506">
        <v>27</v>
      </c>
      <c r="J6" s="231">
        <f t="shared" si="0"/>
        <v>7.3978873239436602</v>
      </c>
    </row>
    <row r="7" spans="1:11" ht="24.95" customHeight="1">
      <c r="A7" s="499">
        <v>5</v>
      </c>
      <c r="B7" s="494" t="s">
        <v>14538</v>
      </c>
      <c r="C7" s="500">
        <v>3</v>
      </c>
      <c r="D7" s="500">
        <v>4</v>
      </c>
      <c r="E7" s="500">
        <v>6.4</v>
      </c>
      <c r="F7" s="500">
        <v>2880</v>
      </c>
      <c r="G7" s="500">
        <v>82</v>
      </c>
      <c r="H7" s="500">
        <v>0.87</v>
      </c>
      <c r="I7" s="506">
        <v>37</v>
      </c>
      <c r="J7" s="231">
        <f t="shared" si="0"/>
        <v>9.9479166666666696</v>
      </c>
      <c r="K7" s="141"/>
    </row>
    <row r="8" spans="1:11" ht="24.95" customHeight="1">
      <c r="A8" s="499">
        <v>6</v>
      </c>
      <c r="B8" s="494" t="s">
        <v>14539</v>
      </c>
      <c r="C8" s="500">
        <v>4</v>
      </c>
      <c r="D8" s="500">
        <v>5.5</v>
      </c>
      <c r="E8" s="500">
        <v>8.1999999999999993</v>
      </c>
      <c r="F8" s="500">
        <v>2890</v>
      </c>
      <c r="G8" s="500">
        <v>85.5</v>
      </c>
      <c r="H8" s="500">
        <v>0.87</v>
      </c>
      <c r="I8" s="506">
        <v>46</v>
      </c>
      <c r="J8" s="231">
        <f t="shared" si="0"/>
        <v>13.217993079584801</v>
      </c>
    </row>
    <row r="9" spans="1:11" ht="24.95" customHeight="1">
      <c r="A9" s="499">
        <v>7</v>
      </c>
      <c r="B9" s="494" t="s">
        <v>14540</v>
      </c>
      <c r="C9" s="500">
        <v>5.5</v>
      </c>
      <c r="D9" s="500">
        <v>7.5</v>
      </c>
      <c r="E9" s="500">
        <v>11</v>
      </c>
      <c r="F9" s="500">
        <v>2900</v>
      </c>
      <c r="G9" s="500">
        <v>85.5</v>
      </c>
      <c r="H9" s="500">
        <v>0.88</v>
      </c>
      <c r="I9" s="506">
        <v>68</v>
      </c>
      <c r="J9" s="231">
        <f t="shared" si="0"/>
        <v>18.112068965517199</v>
      </c>
    </row>
    <row r="10" spans="1:11" ht="24.95" customHeight="1">
      <c r="A10" s="499">
        <v>8</v>
      </c>
      <c r="B10" s="494" t="s">
        <v>14541</v>
      </c>
      <c r="C10" s="500">
        <v>7.5</v>
      </c>
      <c r="D10" s="500">
        <v>10</v>
      </c>
      <c r="E10" s="500">
        <v>15</v>
      </c>
      <c r="F10" s="500">
        <v>2900</v>
      </c>
      <c r="G10" s="500">
        <v>86.2</v>
      </c>
      <c r="H10" s="500">
        <v>0.88</v>
      </c>
      <c r="I10" s="506">
        <v>74</v>
      </c>
      <c r="J10" s="231">
        <f t="shared" si="0"/>
        <v>24.698275862069</v>
      </c>
    </row>
    <row r="11" spans="1:11" ht="24.95" customHeight="1">
      <c r="A11" s="499">
        <v>9</v>
      </c>
      <c r="B11" s="494" t="s">
        <v>14542</v>
      </c>
      <c r="C11" s="500">
        <v>11</v>
      </c>
      <c r="D11" s="500">
        <v>15</v>
      </c>
      <c r="E11" s="500">
        <v>21.8</v>
      </c>
      <c r="F11" s="500">
        <v>2930</v>
      </c>
      <c r="G11" s="500">
        <v>87.2</v>
      </c>
      <c r="H11" s="500">
        <v>0.88</v>
      </c>
      <c r="I11" s="506">
        <v>116</v>
      </c>
      <c r="J11" s="231">
        <f t="shared" si="0"/>
        <v>35.853242320819099</v>
      </c>
    </row>
    <row r="12" spans="1:11" ht="24.95" customHeight="1">
      <c r="A12" s="499">
        <v>10</v>
      </c>
      <c r="B12" s="494" t="s">
        <v>14543</v>
      </c>
      <c r="C12" s="500">
        <v>15</v>
      </c>
      <c r="D12" s="500">
        <v>20</v>
      </c>
      <c r="E12" s="500">
        <v>29.3</v>
      </c>
      <c r="F12" s="500">
        <v>2930</v>
      </c>
      <c r="G12" s="500">
        <v>88.2</v>
      </c>
      <c r="H12" s="500">
        <v>0.88</v>
      </c>
      <c r="I12" s="506">
        <v>132</v>
      </c>
      <c r="J12" s="231">
        <f t="shared" si="0"/>
        <v>48.890784982935202</v>
      </c>
    </row>
    <row r="13" spans="1:11" ht="24.95" customHeight="1">
      <c r="A13" s="499">
        <v>11</v>
      </c>
      <c r="B13" s="494" t="s">
        <v>14544</v>
      </c>
      <c r="C13" s="500">
        <v>18.5</v>
      </c>
      <c r="D13" s="500">
        <v>25</v>
      </c>
      <c r="E13" s="500">
        <v>35.5</v>
      </c>
      <c r="F13" s="500">
        <v>2930</v>
      </c>
      <c r="G13" s="500">
        <v>89</v>
      </c>
      <c r="H13" s="500">
        <v>0.89</v>
      </c>
      <c r="I13" s="506">
        <v>151</v>
      </c>
      <c r="J13" s="231">
        <f t="shared" si="0"/>
        <v>60.2986348122867</v>
      </c>
    </row>
    <row r="14" spans="1:11" ht="24.95" customHeight="1">
      <c r="A14" s="499">
        <v>12</v>
      </c>
      <c r="B14" s="494" t="s">
        <v>14545</v>
      </c>
      <c r="C14" s="500">
        <v>22</v>
      </c>
      <c r="D14" s="500">
        <v>30</v>
      </c>
      <c r="E14" s="500">
        <v>42.2</v>
      </c>
      <c r="F14" s="500">
        <v>2940</v>
      </c>
      <c r="G14" s="500">
        <v>89</v>
      </c>
      <c r="H14" s="500">
        <v>0.89</v>
      </c>
      <c r="I14" s="506">
        <v>172</v>
      </c>
      <c r="J14" s="231">
        <f t="shared" si="0"/>
        <v>71.4625850340136</v>
      </c>
    </row>
    <row r="15" spans="1:11" ht="24.95" customHeight="1">
      <c r="A15" s="499">
        <v>13</v>
      </c>
      <c r="B15" s="494" t="s">
        <v>14546</v>
      </c>
      <c r="C15" s="500">
        <v>30</v>
      </c>
      <c r="D15" s="500">
        <v>40</v>
      </c>
      <c r="E15" s="500">
        <v>56.9</v>
      </c>
      <c r="F15" s="500">
        <v>2950</v>
      </c>
      <c r="G15" s="500">
        <v>90</v>
      </c>
      <c r="H15" s="500">
        <v>0.89</v>
      </c>
      <c r="I15" s="506">
        <v>240</v>
      </c>
      <c r="J15" s="231">
        <f t="shared" si="0"/>
        <v>97.118644067796595</v>
      </c>
    </row>
    <row r="16" spans="1:11" ht="24.95" customHeight="1">
      <c r="A16" s="499">
        <v>14</v>
      </c>
      <c r="B16" s="494" t="s">
        <v>14547</v>
      </c>
      <c r="C16" s="500">
        <v>37</v>
      </c>
      <c r="D16" s="500">
        <v>50</v>
      </c>
      <c r="E16" s="500">
        <v>69.8</v>
      </c>
      <c r="F16" s="500">
        <v>2950</v>
      </c>
      <c r="G16" s="500">
        <v>90.5</v>
      </c>
      <c r="H16" s="500">
        <v>0.89</v>
      </c>
      <c r="I16" s="506">
        <v>260</v>
      </c>
      <c r="J16" s="231">
        <f t="shared" si="0"/>
        <v>119.77966101694901</v>
      </c>
    </row>
    <row r="17" spans="1:10" ht="24.95" customHeight="1">
      <c r="A17" s="499">
        <v>15</v>
      </c>
      <c r="B17" s="494" t="s">
        <v>14548</v>
      </c>
      <c r="C17" s="500">
        <v>45</v>
      </c>
      <c r="D17" s="500">
        <v>61</v>
      </c>
      <c r="E17" s="500">
        <v>84</v>
      </c>
      <c r="F17" s="500">
        <v>2970</v>
      </c>
      <c r="G17" s="500">
        <v>91.5</v>
      </c>
      <c r="H17" s="500">
        <v>0.89</v>
      </c>
      <c r="I17" s="506">
        <v>310</v>
      </c>
      <c r="J17" s="231">
        <f t="shared" si="0"/>
        <v>144.69696969697</v>
      </c>
    </row>
    <row r="18" spans="1:10" ht="24.95" customHeight="1">
      <c r="A18" s="499">
        <v>16</v>
      </c>
      <c r="B18" s="494" t="s">
        <v>14549</v>
      </c>
      <c r="C18" s="500">
        <v>55</v>
      </c>
      <c r="D18" s="500">
        <v>75</v>
      </c>
      <c r="E18" s="500">
        <v>102.6</v>
      </c>
      <c r="F18" s="500">
        <v>2970</v>
      </c>
      <c r="G18" s="500">
        <v>91.5</v>
      </c>
      <c r="H18" s="500">
        <v>0.89</v>
      </c>
      <c r="I18" s="506">
        <v>400</v>
      </c>
      <c r="J18" s="231">
        <f t="shared" si="0"/>
        <v>176.85185185185199</v>
      </c>
    </row>
    <row r="19" spans="1:10" ht="24.95" customHeight="1">
      <c r="A19" s="499">
        <v>17</v>
      </c>
      <c r="B19" s="494" t="s">
        <v>14550</v>
      </c>
      <c r="C19" s="500">
        <v>75</v>
      </c>
      <c r="D19" s="500">
        <v>102</v>
      </c>
      <c r="E19" s="500">
        <v>139.19999999999999</v>
      </c>
      <c r="F19" s="500">
        <v>2970</v>
      </c>
      <c r="G19" s="500">
        <v>92</v>
      </c>
      <c r="H19" s="500">
        <v>0.89</v>
      </c>
      <c r="I19" s="506">
        <v>544</v>
      </c>
      <c r="J19" s="231">
        <f t="shared" si="0"/>
        <v>241.161616161616</v>
      </c>
    </row>
    <row r="20" spans="1:10" ht="24.95" customHeight="1">
      <c r="A20" s="499">
        <v>18</v>
      </c>
      <c r="B20" s="494" t="s">
        <v>14551</v>
      </c>
      <c r="C20" s="500">
        <v>90</v>
      </c>
      <c r="D20" s="500">
        <v>122.5</v>
      </c>
      <c r="E20" s="500">
        <v>166.1</v>
      </c>
      <c r="F20" s="500">
        <v>2970</v>
      </c>
      <c r="G20" s="500">
        <v>92.5</v>
      </c>
      <c r="H20" s="500">
        <v>0.89</v>
      </c>
      <c r="I20" s="506">
        <v>620</v>
      </c>
      <c r="J20" s="231">
        <f t="shared" si="0"/>
        <v>289.39393939393898</v>
      </c>
    </row>
    <row r="21" spans="1:10" ht="24.95" customHeight="1">
      <c r="A21" s="499">
        <v>19</v>
      </c>
      <c r="B21" s="494" t="s">
        <v>14552</v>
      </c>
      <c r="C21" s="500">
        <v>110</v>
      </c>
      <c r="D21" s="500">
        <v>150</v>
      </c>
      <c r="E21" s="500">
        <v>2.2999999999999998</v>
      </c>
      <c r="F21" s="500">
        <v>2980</v>
      </c>
      <c r="G21" s="500">
        <v>92.5</v>
      </c>
      <c r="H21" s="500">
        <v>0.89</v>
      </c>
      <c r="I21" s="506">
        <v>980</v>
      </c>
      <c r="J21" s="231">
        <f t="shared" si="0"/>
        <v>352.51677852349002</v>
      </c>
    </row>
    <row r="22" spans="1:10" ht="24.95" customHeight="1">
      <c r="A22" s="499">
        <v>20</v>
      </c>
      <c r="B22" s="494" t="s">
        <v>14553</v>
      </c>
      <c r="C22" s="500">
        <v>132</v>
      </c>
      <c r="D22" s="500">
        <v>180</v>
      </c>
      <c r="E22" s="500">
        <v>242.3</v>
      </c>
      <c r="F22" s="500">
        <v>2980</v>
      </c>
      <c r="G22" s="500">
        <v>93</v>
      </c>
      <c r="H22" s="500">
        <v>0.89</v>
      </c>
      <c r="I22" s="506">
        <v>1080</v>
      </c>
      <c r="J22" s="231">
        <f t="shared" si="0"/>
        <v>423.020134228188</v>
      </c>
    </row>
    <row r="23" spans="1:10" ht="24.95" customHeight="1">
      <c r="A23" s="499">
        <v>21</v>
      </c>
      <c r="B23" s="494" t="s">
        <v>14554</v>
      </c>
      <c r="C23" s="500">
        <v>160</v>
      </c>
      <c r="D23" s="500">
        <v>218</v>
      </c>
      <c r="E23" s="500">
        <v>292</v>
      </c>
      <c r="F23" s="500">
        <v>2980</v>
      </c>
      <c r="G23" s="500">
        <v>93.5</v>
      </c>
      <c r="H23" s="500">
        <v>0.89</v>
      </c>
      <c r="I23" s="506">
        <v>1160</v>
      </c>
      <c r="J23" s="231">
        <f t="shared" si="0"/>
        <v>512.75167785234896</v>
      </c>
    </row>
    <row r="24" spans="1:10" ht="24.95" customHeight="1">
      <c r="A24" s="499">
        <v>22</v>
      </c>
      <c r="B24" s="494" t="s">
        <v>14555</v>
      </c>
      <c r="C24" s="500">
        <v>200</v>
      </c>
      <c r="D24" s="500">
        <v>272</v>
      </c>
      <c r="E24" s="500">
        <v>365.2</v>
      </c>
      <c r="F24" s="500">
        <v>2980</v>
      </c>
      <c r="G24" s="500">
        <v>93.5</v>
      </c>
      <c r="H24" s="500">
        <v>0.89</v>
      </c>
      <c r="I24" s="506">
        <v>1190</v>
      </c>
      <c r="J24" s="231">
        <f t="shared" si="0"/>
        <v>640.939597315436</v>
      </c>
    </row>
    <row r="25" spans="1:10" ht="24.95" customHeight="1">
      <c r="A25" s="499">
        <v>23</v>
      </c>
      <c r="B25" s="494" t="s">
        <v>14556</v>
      </c>
      <c r="C25" s="500">
        <v>220</v>
      </c>
      <c r="D25" s="500">
        <v>299</v>
      </c>
      <c r="E25" s="500">
        <v>396.7</v>
      </c>
      <c r="F25" s="500">
        <v>2981</v>
      </c>
      <c r="G25" s="500">
        <v>94.2</v>
      </c>
      <c r="H25" s="500">
        <v>0.89</v>
      </c>
      <c r="I25" s="506">
        <v>1750</v>
      </c>
      <c r="J25" s="231">
        <f t="shared" si="0"/>
        <v>704.79704797047998</v>
      </c>
    </row>
    <row r="26" spans="1:10" ht="24.95" customHeight="1">
      <c r="A26" s="499">
        <v>24</v>
      </c>
      <c r="B26" s="494" t="s">
        <v>14557</v>
      </c>
      <c r="C26" s="500">
        <v>250</v>
      </c>
      <c r="D26" s="500">
        <v>340</v>
      </c>
      <c r="E26" s="500">
        <v>446.6</v>
      </c>
      <c r="F26" s="500">
        <v>2981</v>
      </c>
      <c r="G26" s="500">
        <v>94.5</v>
      </c>
      <c r="H26" s="500">
        <v>0.9</v>
      </c>
      <c r="I26" s="506">
        <v>1770</v>
      </c>
      <c r="J26" s="231">
        <f t="shared" si="0"/>
        <v>800.90573633009103</v>
      </c>
    </row>
    <row r="27" spans="1:10" ht="24.95" customHeight="1">
      <c r="A27" s="499">
        <v>25</v>
      </c>
      <c r="B27" s="494" t="s">
        <v>14558</v>
      </c>
      <c r="C27" s="500">
        <v>280</v>
      </c>
      <c r="D27" s="500">
        <v>381</v>
      </c>
      <c r="E27" s="500">
        <v>499.2</v>
      </c>
      <c r="F27" s="500">
        <v>2981</v>
      </c>
      <c r="G27" s="500">
        <v>94.7</v>
      </c>
      <c r="H27" s="500">
        <v>0.9</v>
      </c>
      <c r="I27" s="506">
        <v>1830</v>
      </c>
      <c r="J27" s="231">
        <f t="shared" si="0"/>
        <v>897.01442468970095</v>
      </c>
    </row>
    <row r="28" spans="1:10" ht="24.95" customHeight="1">
      <c r="A28" s="501">
        <v>26</v>
      </c>
      <c r="B28" s="502" t="s">
        <v>14559</v>
      </c>
      <c r="C28" s="503">
        <v>315</v>
      </c>
      <c r="D28" s="503">
        <v>429</v>
      </c>
      <c r="E28" s="503">
        <v>559.79999999999995</v>
      </c>
      <c r="F28" s="503">
        <v>2981</v>
      </c>
      <c r="G28" s="503">
        <v>95</v>
      </c>
      <c r="H28" s="503">
        <v>0.9</v>
      </c>
      <c r="I28" s="507">
        <v>1900</v>
      </c>
      <c r="J28" s="231">
        <f t="shared" si="0"/>
        <v>1009.14122777591</v>
      </c>
    </row>
    <row r="29" spans="1:10" ht="24.95" customHeight="1">
      <c r="A29" s="496">
        <v>27</v>
      </c>
      <c r="B29" s="497" t="s">
        <v>14560</v>
      </c>
      <c r="C29" s="498">
        <v>0.55000000000000004</v>
      </c>
      <c r="D29" s="498">
        <v>0.75</v>
      </c>
      <c r="E29" s="498">
        <v>1.5</v>
      </c>
      <c r="F29" s="498">
        <v>1390</v>
      </c>
      <c r="G29" s="498">
        <v>73</v>
      </c>
      <c r="H29" s="498">
        <v>0.76</v>
      </c>
      <c r="I29" s="505">
        <v>17</v>
      </c>
      <c r="J29" s="231">
        <f t="shared" si="0"/>
        <v>3.77877697841727</v>
      </c>
    </row>
    <row r="30" spans="1:10" ht="24.95" customHeight="1">
      <c r="A30" s="499">
        <v>28</v>
      </c>
      <c r="B30" s="494" t="s">
        <v>14561</v>
      </c>
      <c r="C30" s="500">
        <v>0.75</v>
      </c>
      <c r="D30" s="500">
        <v>1</v>
      </c>
      <c r="E30" s="500">
        <v>2</v>
      </c>
      <c r="F30" s="500">
        <v>1390</v>
      </c>
      <c r="G30" s="500">
        <v>74.5</v>
      </c>
      <c r="H30" s="500">
        <v>0.76</v>
      </c>
      <c r="I30" s="506">
        <v>18</v>
      </c>
      <c r="J30" s="231">
        <f t="shared" si="0"/>
        <v>5.1528776978417303</v>
      </c>
    </row>
    <row r="31" spans="1:10" ht="24.95" customHeight="1">
      <c r="A31" s="499">
        <v>29</v>
      </c>
      <c r="B31" s="494" t="s">
        <v>14562</v>
      </c>
      <c r="C31" s="500">
        <v>1.1000000000000001</v>
      </c>
      <c r="D31" s="500">
        <v>1.5</v>
      </c>
      <c r="E31" s="500">
        <v>2.7</v>
      </c>
      <c r="F31" s="500">
        <v>1400</v>
      </c>
      <c r="G31" s="500">
        <v>78</v>
      </c>
      <c r="H31" s="500">
        <v>0.78</v>
      </c>
      <c r="I31" s="506">
        <v>23</v>
      </c>
      <c r="J31" s="231">
        <f t="shared" si="0"/>
        <v>7.5035714285714299</v>
      </c>
    </row>
    <row r="32" spans="1:10" ht="24.95" customHeight="1">
      <c r="A32" s="499">
        <v>30</v>
      </c>
      <c r="B32" s="494" t="s">
        <v>14563</v>
      </c>
      <c r="C32" s="500">
        <v>1.5</v>
      </c>
      <c r="D32" s="500">
        <v>2</v>
      </c>
      <c r="E32" s="500">
        <v>3.7</v>
      </c>
      <c r="F32" s="500">
        <v>1400</v>
      </c>
      <c r="G32" s="500">
        <v>79</v>
      </c>
      <c r="H32" s="500">
        <v>0.79</v>
      </c>
      <c r="I32" s="506">
        <v>27</v>
      </c>
      <c r="J32" s="231">
        <f t="shared" si="0"/>
        <v>10.2321428571429</v>
      </c>
    </row>
    <row r="33" spans="1:10" ht="24.95" customHeight="1">
      <c r="A33" s="499">
        <v>31</v>
      </c>
      <c r="B33" s="494" t="s">
        <v>14564</v>
      </c>
      <c r="C33" s="500">
        <v>2.2000000000000002</v>
      </c>
      <c r="D33" s="500">
        <v>3</v>
      </c>
      <c r="E33" s="500">
        <v>5</v>
      </c>
      <c r="F33" s="500">
        <v>1420</v>
      </c>
      <c r="G33" s="500">
        <v>81</v>
      </c>
      <c r="H33" s="500">
        <v>0.82</v>
      </c>
      <c r="I33" s="506">
        <v>36</v>
      </c>
      <c r="J33" s="231">
        <f t="shared" si="0"/>
        <v>14.795774647887299</v>
      </c>
    </row>
    <row r="34" spans="1:10" ht="24.95" customHeight="1">
      <c r="A34" s="499">
        <v>32</v>
      </c>
      <c r="B34" s="494" t="s">
        <v>14565</v>
      </c>
      <c r="C34" s="500">
        <v>3</v>
      </c>
      <c r="D34" s="500">
        <v>4</v>
      </c>
      <c r="E34" s="500">
        <v>6.8</v>
      </c>
      <c r="F34" s="500">
        <v>1420</v>
      </c>
      <c r="G34" s="500">
        <v>82.5</v>
      </c>
      <c r="H34" s="500">
        <v>0.81</v>
      </c>
      <c r="I34" s="506">
        <v>40</v>
      </c>
      <c r="J34" s="231">
        <f t="shared" si="0"/>
        <v>20.1760563380282</v>
      </c>
    </row>
    <row r="35" spans="1:10" ht="24.95" customHeight="1">
      <c r="A35" s="499">
        <v>33</v>
      </c>
      <c r="B35" s="494" t="s">
        <v>14566</v>
      </c>
      <c r="C35" s="500">
        <v>4</v>
      </c>
      <c r="D35" s="500">
        <v>5.5</v>
      </c>
      <c r="E35" s="500">
        <v>8.8000000000000007</v>
      </c>
      <c r="F35" s="500">
        <v>1440</v>
      </c>
      <c r="G35" s="500">
        <v>84.5</v>
      </c>
      <c r="H35" s="500">
        <v>0.82</v>
      </c>
      <c r="I35" s="506">
        <v>50</v>
      </c>
      <c r="J35" s="231">
        <f t="shared" si="0"/>
        <v>26.5277777777778</v>
      </c>
    </row>
    <row r="36" spans="1:10" ht="24.95" customHeight="1">
      <c r="A36" s="499">
        <v>34</v>
      </c>
      <c r="B36" s="494" t="s">
        <v>14567</v>
      </c>
      <c r="C36" s="500">
        <v>5.5</v>
      </c>
      <c r="D36" s="500">
        <v>7.5</v>
      </c>
      <c r="E36" s="500">
        <v>11.6</v>
      </c>
      <c r="F36" s="500">
        <v>1440</v>
      </c>
      <c r="G36" s="500">
        <v>85.5</v>
      </c>
      <c r="H36" s="500">
        <v>0.84</v>
      </c>
      <c r="I36" s="506">
        <v>70</v>
      </c>
      <c r="J36" s="231">
        <f t="shared" si="0"/>
        <v>36.4756944444444</v>
      </c>
    </row>
    <row r="37" spans="1:10" ht="24.95" customHeight="1">
      <c r="A37" s="499">
        <v>35</v>
      </c>
      <c r="B37" s="494" t="s">
        <v>14568</v>
      </c>
      <c r="C37" s="500">
        <v>7.5</v>
      </c>
      <c r="D37" s="500">
        <v>10</v>
      </c>
      <c r="E37" s="500">
        <v>15.4</v>
      </c>
      <c r="F37" s="500">
        <v>1440</v>
      </c>
      <c r="G37" s="500">
        <v>87</v>
      </c>
      <c r="H37" s="500">
        <v>0.85</v>
      </c>
      <c r="I37" s="506">
        <v>86</v>
      </c>
      <c r="J37" s="231">
        <f t="shared" si="0"/>
        <v>49.7395833333333</v>
      </c>
    </row>
    <row r="38" spans="1:10" ht="24.95" customHeight="1">
      <c r="A38" s="499">
        <v>36</v>
      </c>
      <c r="B38" s="494" t="s">
        <v>14569</v>
      </c>
      <c r="C38" s="500">
        <v>11</v>
      </c>
      <c r="D38" s="500">
        <v>15</v>
      </c>
      <c r="E38" s="500">
        <v>22.6</v>
      </c>
      <c r="F38" s="500">
        <v>1460</v>
      </c>
      <c r="G38" s="500">
        <v>88</v>
      </c>
      <c r="H38" s="500">
        <v>0.84</v>
      </c>
      <c r="I38" s="506">
        <v>126</v>
      </c>
      <c r="J38" s="231">
        <f t="shared" si="0"/>
        <v>71.952054794520507</v>
      </c>
    </row>
    <row r="39" spans="1:10" ht="24.95" customHeight="1">
      <c r="A39" s="499">
        <v>37</v>
      </c>
      <c r="B39" s="494" t="s">
        <v>14570</v>
      </c>
      <c r="C39" s="500">
        <v>15</v>
      </c>
      <c r="D39" s="500">
        <v>20</v>
      </c>
      <c r="E39" s="500">
        <v>30.3</v>
      </c>
      <c r="F39" s="500">
        <v>1460</v>
      </c>
      <c r="G39" s="500">
        <v>88.5</v>
      </c>
      <c r="H39" s="500">
        <v>0.85</v>
      </c>
      <c r="I39" s="506">
        <v>146</v>
      </c>
      <c r="J39" s="231">
        <f t="shared" si="0"/>
        <v>98.116438356164394</v>
      </c>
    </row>
    <row r="40" spans="1:10" ht="24.95" customHeight="1">
      <c r="A40" s="499">
        <v>38</v>
      </c>
      <c r="B40" s="494" t="s">
        <v>14571</v>
      </c>
      <c r="C40" s="500">
        <v>18.5</v>
      </c>
      <c r="D40" s="500">
        <v>25</v>
      </c>
      <c r="E40" s="500">
        <v>35.9</v>
      </c>
      <c r="F40" s="500">
        <v>1470</v>
      </c>
      <c r="G40" s="500">
        <v>91</v>
      </c>
      <c r="H40" s="500">
        <v>0.86</v>
      </c>
      <c r="I40" s="506">
        <v>172</v>
      </c>
      <c r="J40" s="231">
        <f t="shared" si="0"/>
        <v>120.187074829932</v>
      </c>
    </row>
    <row r="41" spans="1:10" ht="24.95" customHeight="1">
      <c r="A41" s="499">
        <v>39</v>
      </c>
      <c r="B41" s="494" t="s">
        <v>14572</v>
      </c>
      <c r="C41" s="500">
        <v>22</v>
      </c>
      <c r="D41" s="500">
        <v>30</v>
      </c>
      <c r="E41" s="500">
        <v>42.5</v>
      </c>
      <c r="F41" s="500">
        <v>1470</v>
      </c>
      <c r="G41" s="500">
        <v>91.5</v>
      </c>
      <c r="H41" s="500">
        <v>0.86</v>
      </c>
      <c r="I41" s="506">
        <v>196</v>
      </c>
      <c r="J41" s="231">
        <f t="shared" si="0"/>
        <v>142.925170068027</v>
      </c>
    </row>
    <row r="42" spans="1:10" ht="24.95" customHeight="1">
      <c r="A42" s="499">
        <v>40</v>
      </c>
      <c r="B42" s="494" t="s">
        <v>14573</v>
      </c>
      <c r="C42" s="500">
        <v>30</v>
      </c>
      <c r="D42" s="500">
        <v>40</v>
      </c>
      <c r="E42" s="500">
        <v>56.8</v>
      </c>
      <c r="F42" s="500">
        <v>1470</v>
      </c>
      <c r="G42" s="500">
        <v>92.2</v>
      </c>
      <c r="H42" s="500">
        <v>0.87</v>
      </c>
      <c r="I42" s="506">
        <v>270</v>
      </c>
      <c r="J42" s="231">
        <f t="shared" si="0"/>
        <v>194.89795918367301</v>
      </c>
    </row>
    <row r="43" spans="1:10" ht="24.95" customHeight="1">
      <c r="A43" s="499">
        <v>41</v>
      </c>
      <c r="B43" s="494" t="s">
        <v>14574</v>
      </c>
      <c r="C43" s="500">
        <v>37</v>
      </c>
      <c r="D43" s="500">
        <v>50</v>
      </c>
      <c r="E43" s="500">
        <v>70.400000000000006</v>
      </c>
      <c r="F43" s="500">
        <v>1480</v>
      </c>
      <c r="G43" s="500">
        <v>91.8</v>
      </c>
      <c r="H43" s="500">
        <v>0.87</v>
      </c>
      <c r="I43" s="506">
        <v>300</v>
      </c>
      <c r="J43" s="231">
        <f t="shared" si="0"/>
        <v>238.75</v>
      </c>
    </row>
    <row r="44" spans="1:10" ht="24.95" customHeight="1">
      <c r="A44" s="499">
        <v>42</v>
      </c>
      <c r="B44" s="494" t="s">
        <v>14575</v>
      </c>
      <c r="C44" s="500">
        <v>45</v>
      </c>
      <c r="D44" s="500">
        <v>61</v>
      </c>
      <c r="E44" s="500">
        <v>84.2</v>
      </c>
      <c r="F44" s="500">
        <v>1480</v>
      </c>
      <c r="G44" s="500">
        <v>92.3</v>
      </c>
      <c r="H44" s="500">
        <v>0.88</v>
      </c>
      <c r="I44" s="506">
        <v>320</v>
      </c>
      <c r="J44" s="231">
        <f t="shared" si="0"/>
        <v>290.37162162162201</v>
      </c>
    </row>
    <row r="45" spans="1:10" ht="24.95" customHeight="1">
      <c r="A45" s="499">
        <v>43</v>
      </c>
      <c r="B45" s="494" t="s">
        <v>14576</v>
      </c>
      <c r="C45" s="500">
        <v>55</v>
      </c>
      <c r="D45" s="500">
        <v>75</v>
      </c>
      <c r="E45" s="500">
        <v>102.6</v>
      </c>
      <c r="F45" s="500">
        <v>1480</v>
      </c>
      <c r="G45" s="500">
        <v>92.6</v>
      </c>
      <c r="H45" s="500">
        <v>0.88</v>
      </c>
      <c r="I45" s="506">
        <v>427</v>
      </c>
      <c r="J45" s="231">
        <f t="shared" si="0"/>
        <v>354.89864864864899</v>
      </c>
    </row>
    <row r="46" spans="1:10" ht="24.95" customHeight="1">
      <c r="A46" s="499">
        <v>44</v>
      </c>
      <c r="B46" s="494" t="s">
        <v>14577</v>
      </c>
      <c r="C46" s="500">
        <v>75</v>
      </c>
      <c r="D46" s="500">
        <v>102</v>
      </c>
      <c r="E46" s="500">
        <v>139.69999999999999</v>
      </c>
      <c r="F46" s="500">
        <v>1480</v>
      </c>
      <c r="G46" s="500">
        <v>92.7</v>
      </c>
      <c r="H46" s="500">
        <v>0.88</v>
      </c>
      <c r="I46" s="506">
        <v>562</v>
      </c>
      <c r="J46" s="231">
        <f t="shared" si="0"/>
        <v>483.95270270270299</v>
      </c>
    </row>
    <row r="47" spans="1:10" ht="24.95" customHeight="1">
      <c r="A47" s="499">
        <v>45</v>
      </c>
      <c r="B47" s="494" t="s">
        <v>14578</v>
      </c>
      <c r="C47" s="500">
        <v>90</v>
      </c>
      <c r="D47" s="500">
        <v>122.5</v>
      </c>
      <c r="E47" s="500">
        <v>164.3</v>
      </c>
      <c r="F47" s="500">
        <v>1480</v>
      </c>
      <c r="G47" s="500">
        <v>93.5</v>
      </c>
      <c r="H47" s="500">
        <v>0.89</v>
      </c>
      <c r="I47" s="506">
        <v>667</v>
      </c>
      <c r="J47" s="231">
        <f t="shared" si="0"/>
        <v>580.743243243243</v>
      </c>
    </row>
    <row r="48" spans="1:10" ht="24.95" customHeight="1">
      <c r="A48" s="499">
        <v>46</v>
      </c>
      <c r="B48" s="494" t="s">
        <v>14579</v>
      </c>
      <c r="C48" s="500">
        <v>110</v>
      </c>
      <c r="D48" s="500">
        <v>150</v>
      </c>
      <c r="E48" s="500">
        <v>201</v>
      </c>
      <c r="F48" s="500">
        <v>1480</v>
      </c>
      <c r="G48" s="500">
        <v>93.5</v>
      </c>
      <c r="H48" s="500">
        <v>0.89</v>
      </c>
      <c r="I48" s="506">
        <v>1000</v>
      </c>
      <c r="J48" s="231">
        <f t="shared" si="0"/>
        <v>709.79729729729695</v>
      </c>
    </row>
    <row r="49" spans="1:10" ht="24.95" customHeight="1">
      <c r="A49" s="499">
        <v>47</v>
      </c>
      <c r="B49" s="494" t="s">
        <v>14580</v>
      </c>
      <c r="C49" s="500">
        <v>132</v>
      </c>
      <c r="D49" s="500">
        <v>180</v>
      </c>
      <c r="E49" s="500">
        <v>240</v>
      </c>
      <c r="F49" s="500">
        <v>1490</v>
      </c>
      <c r="G49" s="500">
        <v>94</v>
      </c>
      <c r="H49" s="500">
        <v>0.89</v>
      </c>
      <c r="I49" s="506">
        <v>1100</v>
      </c>
      <c r="J49" s="231">
        <f t="shared" si="0"/>
        <v>846.040268456376</v>
      </c>
    </row>
    <row r="50" spans="1:10" ht="24.95" customHeight="1">
      <c r="A50" s="499">
        <v>48</v>
      </c>
      <c r="B50" s="494" t="s">
        <v>14581</v>
      </c>
      <c r="C50" s="500">
        <v>160</v>
      </c>
      <c r="D50" s="500">
        <v>218</v>
      </c>
      <c r="E50" s="500">
        <v>289</v>
      </c>
      <c r="F50" s="500">
        <v>1490</v>
      </c>
      <c r="G50" s="500">
        <v>94.5</v>
      </c>
      <c r="H50" s="500">
        <v>0.89</v>
      </c>
      <c r="I50" s="506">
        <v>1160</v>
      </c>
      <c r="J50" s="231">
        <f t="shared" si="0"/>
        <v>1025.5033557047</v>
      </c>
    </row>
    <row r="51" spans="1:10" ht="24.95" customHeight="1">
      <c r="A51" s="499">
        <v>49</v>
      </c>
      <c r="B51" s="494" t="s">
        <v>14582</v>
      </c>
      <c r="C51" s="500">
        <v>200</v>
      </c>
      <c r="D51" s="500">
        <v>272</v>
      </c>
      <c r="E51" s="500">
        <v>361</v>
      </c>
      <c r="F51" s="500">
        <v>1490</v>
      </c>
      <c r="G51" s="500">
        <v>94.5</v>
      </c>
      <c r="H51" s="500">
        <v>0.89</v>
      </c>
      <c r="I51" s="506">
        <v>1270</v>
      </c>
      <c r="J51" s="231">
        <f t="shared" si="0"/>
        <v>1281.87919463087</v>
      </c>
    </row>
    <row r="52" spans="1:10" ht="24.95" customHeight="1">
      <c r="A52" s="499">
        <v>50</v>
      </c>
      <c r="B52" s="494" t="s">
        <v>14583</v>
      </c>
      <c r="C52" s="500">
        <v>220</v>
      </c>
      <c r="D52" s="500">
        <v>299</v>
      </c>
      <c r="E52" s="500">
        <v>407</v>
      </c>
      <c r="F52" s="500">
        <v>1489</v>
      </c>
      <c r="G52" s="500">
        <v>94.4</v>
      </c>
      <c r="H52" s="500">
        <v>0.87</v>
      </c>
      <c r="I52" s="506">
        <v>1790</v>
      </c>
      <c r="J52" s="231">
        <f t="shared" si="0"/>
        <v>1411.0141034251201</v>
      </c>
    </row>
    <row r="53" spans="1:10" ht="24.95" customHeight="1">
      <c r="A53" s="499">
        <v>51</v>
      </c>
      <c r="B53" s="494" t="s">
        <v>14584</v>
      </c>
      <c r="C53" s="500">
        <v>250</v>
      </c>
      <c r="D53" s="500">
        <v>340</v>
      </c>
      <c r="E53" s="500">
        <v>461</v>
      </c>
      <c r="F53" s="500">
        <v>1489</v>
      </c>
      <c r="G53" s="500">
        <v>94.7</v>
      </c>
      <c r="H53" s="500">
        <v>0.87</v>
      </c>
      <c r="I53" s="506">
        <v>1800</v>
      </c>
      <c r="J53" s="231">
        <f t="shared" si="0"/>
        <v>1603.4251175285401</v>
      </c>
    </row>
    <row r="54" spans="1:10" ht="24.95" customHeight="1">
      <c r="A54" s="499">
        <v>52</v>
      </c>
      <c r="B54" s="494" t="s">
        <v>14585</v>
      </c>
      <c r="C54" s="500">
        <v>280</v>
      </c>
      <c r="D54" s="500">
        <v>381</v>
      </c>
      <c r="E54" s="500">
        <v>515.29999999999995</v>
      </c>
      <c r="F54" s="500">
        <v>1489</v>
      </c>
      <c r="G54" s="500">
        <v>94.9</v>
      </c>
      <c r="H54" s="500">
        <v>0.87</v>
      </c>
      <c r="I54" s="506">
        <v>1880</v>
      </c>
      <c r="J54" s="231">
        <f t="shared" si="0"/>
        <v>1795.8361316319699</v>
      </c>
    </row>
    <row r="55" spans="1:10" ht="24.95" customHeight="1">
      <c r="A55" s="499">
        <v>53</v>
      </c>
      <c r="B55" s="502" t="s">
        <v>14586</v>
      </c>
      <c r="C55" s="503">
        <v>315</v>
      </c>
      <c r="D55" s="503">
        <v>429</v>
      </c>
      <c r="E55" s="503">
        <v>577.9</v>
      </c>
      <c r="F55" s="503">
        <v>1489</v>
      </c>
      <c r="G55" s="503">
        <v>95.2</v>
      </c>
      <c r="H55" s="503">
        <v>0.87</v>
      </c>
      <c r="I55" s="507">
        <v>1940</v>
      </c>
      <c r="J55" s="231">
        <f t="shared" si="0"/>
        <v>2020.31564808596</v>
      </c>
    </row>
    <row r="56" spans="1:10" ht="24.95" customHeight="1">
      <c r="A56" s="499">
        <v>54</v>
      </c>
      <c r="B56" s="497" t="s">
        <v>14587</v>
      </c>
      <c r="C56" s="498">
        <v>0.75</v>
      </c>
      <c r="D56" s="498">
        <v>1</v>
      </c>
      <c r="E56" s="498">
        <v>2.2000000000000002</v>
      </c>
      <c r="F56" s="498">
        <v>910</v>
      </c>
      <c r="G56" s="498">
        <v>72.5</v>
      </c>
      <c r="H56" s="498">
        <v>0.7</v>
      </c>
      <c r="I56" s="505">
        <v>23</v>
      </c>
      <c r="J56" s="231">
        <f t="shared" si="0"/>
        <v>7.8708791208791196</v>
      </c>
    </row>
    <row r="57" spans="1:10" ht="24.95" customHeight="1">
      <c r="A57" s="499">
        <v>55</v>
      </c>
      <c r="B57" s="494" t="s">
        <v>14588</v>
      </c>
      <c r="C57" s="500">
        <v>1.1000000000000001</v>
      </c>
      <c r="D57" s="500">
        <v>1.5</v>
      </c>
      <c r="E57" s="500">
        <v>3.2</v>
      </c>
      <c r="F57" s="500">
        <v>910</v>
      </c>
      <c r="G57" s="500">
        <v>73.5</v>
      </c>
      <c r="H57" s="500">
        <v>0.72</v>
      </c>
      <c r="I57" s="506">
        <v>27</v>
      </c>
      <c r="J57" s="231">
        <f t="shared" si="0"/>
        <v>11.543956043955999</v>
      </c>
    </row>
    <row r="58" spans="1:10" ht="24.95" customHeight="1">
      <c r="A58" s="499">
        <v>56</v>
      </c>
      <c r="B58" s="494" t="s">
        <v>14589</v>
      </c>
      <c r="C58" s="500">
        <v>1.5</v>
      </c>
      <c r="D58" s="500">
        <v>2</v>
      </c>
      <c r="E58" s="500">
        <v>4</v>
      </c>
      <c r="F58" s="500">
        <v>940</v>
      </c>
      <c r="G58" s="500">
        <v>77.5</v>
      </c>
      <c r="H58" s="500">
        <v>0.74</v>
      </c>
      <c r="I58" s="506">
        <v>36</v>
      </c>
      <c r="J58" s="231">
        <f t="shared" si="0"/>
        <v>15.239361702127701</v>
      </c>
    </row>
    <row r="59" spans="1:10" ht="24.95" customHeight="1">
      <c r="A59" s="499">
        <v>57</v>
      </c>
      <c r="B59" s="494" t="s">
        <v>14590</v>
      </c>
      <c r="C59" s="500">
        <v>2.2000000000000002</v>
      </c>
      <c r="D59" s="500">
        <v>3</v>
      </c>
      <c r="E59" s="500">
        <v>5.6</v>
      </c>
      <c r="F59" s="500">
        <v>940</v>
      </c>
      <c r="G59" s="500">
        <v>80.5</v>
      </c>
      <c r="H59" s="500">
        <v>0.74</v>
      </c>
      <c r="I59" s="506">
        <v>46</v>
      </c>
      <c r="J59" s="231">
        <f t="shared" si="0"/>
        <v>22.351063829787201</v>
      </c>
    </row>
    <row r="60" spans="1:10" ht="24.95" customHeight="1">
      <c r="A60" s="499">
        <v>58</v>
      </c>
      <c r="B60" s="494" t="s">
        <v>14591</v>
      </c>
      <c r="C60" s="500">
        <v>3</v>
      </c>
      <c r="D60" s="500">
        <v>4</v>
      </c>
      <c r="E60" s="500">
        <v>7.2</v>
      </c>
      <c r="F60" s="500">
        <v>960</v>
      </c>
      <c r="G60" s="500">
        <v>83</v>
      </c>
      <c r="H60" s="500">
        <v>0.76</v>
      </c>
      <c r="I60" s="506">
        <v>67</v>
      </c>
      <c r="J60" s="231">
        <f t="shared" si="0"/>
        <v>29.84375</v>
      </c>
    </row>
    <row r="61" spans="1:10" ht="24.95" customHeight="1">
      <c r="A61" s="499">
        <v>59</v>
      </c>
      <c r="B61" s="494" t="s">
        <v>14592</v>
      </c>
      <c r="C61" s="500">
        <v>4</v>
      </c>
      <c r="D61" s="500">
        <v>5.5</v>
      </c>
      <c r="E61" s="500">
        <v>9.4</v>
      </c>
      <c r="F61" s="500">
        <v>960</v>
      </c>
      <c r="G61" s="500">
        <v>84</v>
      </c>
      <c r="H61" s="500">
        <v>0.77</v>
      </c>
      <c r="I61" s="506">
        <v>77</v>
      </c>
      <c r="J61" s="231">
        <f t="shared" si="0"/>
        <v>39.7916666666667</v>
      </c>
    </row>
    <row r="62" spans="1:10" ht="24.95" customHeight="1">
      <c r="A62" s="499">
        <v>60</v>
      </c>
      <c r="B62" s="494" t="s">
        <v>14593</v>
      </c>
      <c r="C62" s="500">
        <v>5.5</v>
      </c>
      <c r="D62" s="500">
        <v>7.5</v>
      </c>
      <c r="E62" s="500">
        <v>12.6</v>
      </c>
      <c r="F62" s="500">
        <v>960</v>
      </c>
      <c r="G62" s="500">
        <v>85.3</v>
      </c>
      <c r="H62" s="500">
        <v>0.78</v>
      </c>
      <c r="I62" s="506">
        <v>87</v>
      </c>
      <c r="J62" s="231">
        <f t="shared" si="0"/>
        <v>54.7135416666667</v>
      </c>
    </row>
    <row r="63" spans="1:10" ht="24.95" customHeight="1">
      <c r="A63" s="499">
        <v>61</v>
      </c>
      <c r="B63" s="494" t="s">
        <v>14594</v>
      </c>
      <c r="C63" s="500">
        <v>7.5</v>
      </c>
      <c r="D63" s="500">
        <v>10</v>
      </c>
      <c r="E63" s="500">
        <v>17</v>
      </c>
      <c r="F63" s="500">
        <v>970</v>
      </c>
      <c r="G63" s="500">
        <v>86</v>
      </c>
      <c r="H63" s="500">
        <v>0.78</v>
      </c>
      <c r="I63" s="506">
        <v>120</v>
      </c>
      <c r="J63" s="231">
        <f t="shared" si="0"/>
        <v>73.840206185566998</v>
      </c>
    </row>
    <row r="64" spans="1:10" ht="24.95" customHeight="1">
      <c r="A64" s="499">
        <v>62</v>
      </c>
      <c r="B64" s="494" t="s">
        <v>14595</v>
      </c>
      <c r="C64" s="500">
        <v>11</v>
      </c>
      <c r="D64" s="500">
        <v>15</v>
      </c>
      <c r="E64" s="500">
        <v>24.6</v>
      </c>
      <c r="F64" s="500">
        <v>970</v>
      </c>
      <c r="G64" s="500">
        <v>87</v>
      </c>
      <c r="H64" s="500">
        <v>0.78</v>
      </c>
      <c r="I64" s="506">
        <v>146</v>
      </c>
      <c r="J64" s="231">
        <f t="shared" si="0"/>
        <v>108.29896907216499</v>
      </c>
    </row>
    <row r="65" spans="1:10" ht="24.95" customHeight="1">
      <c r="A65" s="499">
        <v>63</v>
      </c>
      <c r="B65" s="494" t="s">
        <v>14596</v>
      </c>
      <c r="C65" s="500">
        <v>15</v>
      </c>
      <c r="D65" s="500">
        <v>20</v>
      </c>
      <c r="E65" s="500">
        <v>31.4</v>
      </c>
      <c r="F65" s="500">
        <v>970</v>
      </c>
      <c r="G65" s="500">
        <v>89.5</v>
      </c>
      <c r="H65" s="500">
        <v>0.81</v>
      </c>
      <c r="I65" s="506">
        <v>183</v>
      </c>
      <c r="J65" s="231">
        <f t="shared" si="0"/>
        <v>147.680412371134</v>
      </c>
    </row>
    <row r="66" spans="1:10" ht="24.95" customHeight="1">
      <c r="A66" s="499">
        <v>64</v>
      </c>
      <c r="B66" s="494" t="s">
        <v>14597</v>
      </c>
      <c r="C66" s="500">
        <v>18.5</v>
      </c>
      <c r="D66" s="500">
        <v>25</v>
      </c>
      <c r="E66" s="500">
        <v>37.700000000000003</v>
      </c>
      <c r="F66" s="500">
        <v>970</v>
      </c>
      <c r="G66" s="500">
        <v>89.8</v>
      </c>
      <c r="H66" s="500">
        <v>0.83</v>
      </c>
      <c r="I66" s="506">
        <v>220</v>
      </c>
      <c r="J66" s="231">
        <f t="shared" si="0"/>
        <v>182.13917525773201</v>
      </c>
    </row>
    <row r="67" spans="1:10" ht="24.95" customHeight="1">
      <c r="A67" s="499">
        <v>65</v>
      </c>
      <c r="B67" s="494" t="s">
        <v>14598</v>
      </c>
      <c r="C67" s="500">
        <v>22</v>
      </c>
      <c r="D67" s="500">
        <v>30</v>
      </c>
      <c r="E67" s="500">
        <v>44.6</v>
      </c>
      <c r="F67" s="500">
        <v>970</v>
      </c>
      <c r="G67" s="500">
        <v>90.2</v>
      </c>
      <c r="H67" s="500">
        <v>0.83</v>
      </c>
      <c r="I67" s="506">
        <v>250</v>
      </c>
      <c r="J67" s="231">
        <f t="shared" ref="J67:J103" si="1">9550*C67/F67</f>
        <v>216.59793814432999</v>
      </c>
    </row>
    <row r="68" spans="1:10" ht="24.95" customHeight="1">
      <c r="A68" s="499">
        <v>66</v>
      </c>
      <c r="B68" s="494" t="s">
        <v>14599</v>
      </c>
      <c r="C68" s="500">
        <v>30</v>
      </c>
      <c r="D68" s="500">
        <v>40</v>
      </c>
      <c r="E68" s="500">
        <v>59.5</v>
      </c>
      <c r="F68" s="500">
        <v>980</v>
      </c>
      <c r="G68" s="500">
        <v>90.2</v>
      </c>
      <c r="H68" s="500">
        <v>0.85</v>
      </c>
      <c r="I68" s="506">
        <v>300</v>
      </c>
      <c r="J68" s="231">
        <f t="shared" si="1"/>
        <v>292.34693877551001</v>
      </c>
    </row>
    <row r="69" spans="1:10" ht="24.95" customHeight="1">
      <c r="A69" s="499">
        <v>67</v>
      </c>
      <c r="B69" s="494" t="s">
        <v>14600</v>
      </c>
      <c r="C69" s="500">
        <v>37</v>
      </c>
      <c r="D69" s="500">
        <v>50</v>
      </c>
      <c r="E69" s="500">
        <v>72</v>
      </c>
      <c r="F69" s="500">
        <v>980</v>
      </c>
      <c r="G69" s="500">
        <v>90.8</v>
      </c>
      <c r="H69" s="500">
        <v>0.86</v>
      </c>
      <c r="I69" s="506">
        <v>410</v>
      </c>
      <c r="J69" s="231">
        <f t="shared" si="1"/>
        <v>360.56122448979602</v>
      </c>
    </row>
    <row r="70" spans="1:10" ht="24.95" customHeight="1">
      <c r="A70" s="499">
        <v>68</v>
      </c>
      <c r="B70" s="494" t="s">
        <v>14601</v>
      </c>
      <c r="C70" s="500">
        <v>45</v>
      </c>
      <c r="D70" s="500">
        <v>61</v>
      </c>
      <c r="E70" s="500">
        <v>85.4</v>
      </c>
      <c r="F70" s="500">
        <v>980</v>
      </c>
      <c r="G70" s="500">
        <v>92</v>
      </c>
      <c r="H70" s="500">
        <v>0.87</v>
      </c>
      <c r="I70" s="506">
        <v>536</v>
      </c>
      <c r="J70" s="231">
        <f t="shared" si="1"/>
        <v>438.52040816326502</v>
      </c>
    </row>
    <row r="71" spans="1:10" ht="24.95" customHeight="1">
      <c r="A71" s="499">
        <v>69</v>
      </c>
      <c r="B71" s="494" t="s">
        <v>14602</v>
      </c>
      <c r="C71" s="500">
        <v>55</v>
      </c>
      <c r="D71" s="500">
        <v>75</v>
      </c>
      <c r="E71" s="500">
        <v>104.4</v>
      </c>
      <c r="F71" s="500">
        <v>980</v>
      </c>
      <c r="G71" s="500">
        <v>92</v>
      </c>
      <c r="H71" s="500">
        <v>0.87</v>
      </c>
      <c r="I71" s="506">
        <v>595</v>
      </c>
      <c r="J71" s="231">
        <f t="shared" si="1"/>
        <v>535.96938775510205</v>
      </c>
    </row>
    <row r="72" spans="1:10" ht="24.95" customHeight="1">
      <c r="A72" s="499">
        <v>70</v>
      </c>
      <c r="B72" s="494" t="s">
        <v>14603</v>
      </c>
      <c r="C72" s="500">
        <v>75</v>
      </c>
      <c r="D72" s="500">
        <v>102</v>
      </c>
      <c r="E72" s="500">
        <v>141</v>
      </c>
      <c r="F72" s="500">
        <v>990</v>
      </c>
      <c r="G72" s="500">
        <v>92.8</v>
      </c>
      <c r="H72" s="500">
        <v>0.87</v>
      </c>
      <c r="I72" s="506">
        <v>1000</v>
      </c>
      <c r="J72" s="231">
        <f t="shared" si="1"/>
        <v>723.48484848484895</v>
      </c>
    </row>
    <row r="73" spans="1:10" ht="24.95" customHeight="1">
      <c r="A73" s="499">
        <v>71</v>
      </c>
      <c r="B73" s="494" t="s">
        <v>14604</v>
      </c>
      <c r="C73" s="500">
        <v>90</v>
      </c>
      <c r="D73" s="500">
        <v>122.5</v>
      </c>
      <c r="E73" s="500">
        <v>168.6</v>
      </c>
      <c r="F73" s="500">
        <v>990</v>
      </c>
      <c r="G73" s="500">
        <v>93.2</v>
      </c>
      <c r="H73" s="500">
        <v>0.87</v>
      </c>
      <c r="I73" s="506">
        <v>1080</v>
      </c>
      <c r="J73" s="231">
        <f t="shared" si="1"/>
        <v>868.18181818181802</v>
      </c>
    </row>
    <row r="74" spans="1:10" ht="24.95" customHeight="1">
      <c r="A74" s="499">
        <v>72</v>
      </c>
      <c r="B74" s="494" t="s">
        <v>14605</v>
      </c>
      <c r="C74" s="500">
        <v>110</v>
      </c>
      <c r="D74" s="500">
        <v>150</v>
      </c>
      <c r="E74" s="500">
        <v>205.5</v>
      </c>
      <c r="F74" s="500">
        <v>990</v>
      </c>
      <c r="G74" s="500">
        <v>93.5</v>
      </c>
      <c r="H74" s="500">
        <v>0.87</v>
      </c>
      <c r="I74" s="506">
        <v>1150</v>
      </c>
      <c r="J74" s="231">
        <f t="shared" si="1"/>
        <v>1061.1111111111099</v>
      </c>
    </row>
    <row r="75" spans="1:10" ht="24.95" customHeight="1">
      <c r="A75" s="499">
        <v>73</v>
      </c>
      <c r="B75" s="494" t="s">
        <v>14606</v>
      </c>
      <c r="C75" s="500">
        <v>132</v>
      </c>
      <c r="D75" s="500">
        <v>180</v>
      </c>
      <c r="E75" s="500">
        <v>245.6</v>
      </c>
      <c r="F75" s="500">
        <v>990</v>
      </c>
      <c r="G75" s="500">
        <v>93.8</v>
      </c>
      <c r="H75" s="500">
        <v>0.87</v>
      </c>
      <c r="I75" s="506">
        <v>1210</v>
      </c>
      <c r="J75" s="231">
        <f t="shared" si="1"/>
        <v>1273.3333333333301</v>
      </c>
    </row>
    <row r="76" spans="1:10" ht="24.95" customHeight="1">
      <c r="A76" s="499">
        <v>74</v>
      </c>
      <c r="B76" s="494" t="s">
        <v>14607</v>
      </c>
      <c r="C76" s="500">
        <v>160</v>
      </c>
      <c r="D76" s="500">
        <v>218</v>
      </c>
      <c r="E76" s="500">
        <v>300.39999999999998</v>
      </c>
      <c r="F76" s="500">
        <v>990</v>
      </c>
      <c r="G76" s="500">
        <v>94.1</v>
      </c>
      <c r="H76" s="500">
        <v>0.86</v>
      </c>
      <c r="I76" s="506">
        <v>1590</v>
      </c>
      <c r="J76" s="231">
        <f t="shared" si="1"/>
        <v>1543.43434343434</v>
      </c>
    </row>
    <row r="77" spans="1:10" ht="24.95" customHeight="1">
      <c r="A77" s="499">
        <v>75</v>
      </c>
      <c r="B77" s="494" t="s">
        <v>14608</v>
      </c>
      <c r="C77" s="500">
        <v>185</v>
      </c>
      <c r="D77" s="500">
        <v>272</v>
      </c>
      <c r="E77" s="500">
        <v>346.6</v>
      </c>
      <c r="F77" s="500">
        <v>990</v>
      </c>
      <c r="G77" s="500">
        <v>94.3</v>
      </c>
      <c r="H77" s="500">
        <v>0.86</v>
      </c>
      <c r="I77" s="506">
        <v>1670</v>
      </c>
      <c r="J77" s="231">
        <f t="shared" si="1"/>
        <v>1784.59595959596</v>
      </c>
    </row>
    <row r="78" spans="1:10" ht="24.95" customHeight="1">
      <c r="A78" s="499">
        <v>76</v>
      </c>
      <c r="B78" s="494" t="s">
        <v>14609</v>
      </c>
      <c r="C78" s="500">
        <v>200</v>
      </c>
      <c r="D78" s="500">
        <v>299</v>
      </c>
      <c r="E78" s="500">
        <v>374.7</v>
      </c>
      <c r="F78" s="500">
        <v>990</v>
      </c>
      <c r="G78" s="500">
        <v>94.3</v>
      </c>
      <c r="H78" s="500">
        <v>0.86</v>
      </c>
      <c r="I78" s="506">
        <v>1750</v>
      </c>
      <c r="J78" s="231">
        <f t="shared" si="1"/>
        <v>1929.29292929293</v>
      </c>
    </row>
    <row r="79" spans="1:10" ht="24.95" customHeight="1">
      <c r="A79" s="499">
        <v>77</v>
      </c>
      <c r="B79" s="494" t="s">
        <v>14610</v>
      </c>
      <c r="C79" s="500">
        <v>220</v>
      </c>
      <c r="D79" s="500">
        <v>340</v>
      </c>
      <c r="E79" s="500">
        <v>411.3</v>
      </c>
      <c r="F79" s="500">
        <v>991</v>
      </c>
      <c r="G79" s="500">
        <v>94.5</v>
      </c>
      <c r="H79" s="500">
        <v>0.86</v>
      </c>
      <c r="I79" s="506">
        <v>1870</v>
      </c>
      <c r="J79" s="231">
        <f t="shared" si="1"/>
        <v>2120.0807265388498</v>
      </c>
    </row>
    <row r="80" spans="1:10" ht="24.95" customHeight="1">
      <c r="A80" s="499">
        <v>78</v>
      </c>
      <c r="B80" s="502" t="s">
        <v>14611</v>
      </c>
      <c r="C80" s="503">
        <v>250</v>
      </c>
      <c r="D80" s="503">
        <v>381</v>
      </c>
      <c r="E80" s="503">
        <v>466.4</v>
      </c>
      <c r="F80" s="503">
        <v>991</v>
      </c>
      <c r="G80" s="503">
        <v>94.7</v>
      </c>
      <c r="H80" s="503">
        <v>0.86</v>
      </c>
      <c r="I80" s="507">
        <v>1990</v>
      </c>
      <c r="J80" s="231">
        <f t="shared" si="1"/>
        <v>2409.18264379415</v>
      </c>
    </row>
    <row r="81" spans="1:10" ht="24.95" customHeight="1">
      <c r="A81" s="499">
        <v>79</v>
      </c>
      <c r="B81" s="497" t="s">
        <v>14612</v>
      </c>
      <c r="C81" s="498">
        <v>2.2000000000000002</v>
      </c>
      <c r="D81" s="498">
        <v>3</v>
      </c>
      <c r="E81" s="498">
        <v>5.6</v>
      </c>
      <c r="F81" s="498">
        <v>710</v>
      </c>
      <c r="G81" s="498">
        <v>80.5</v>
      </c>
      <c r="H81" s="498">
        <v>0.71</v>
      </c>
      <c r="I81" s="505">
        <v>65</v>
      </c>
      <c r="J81" s="231">
        <f t="shared" si="1"/>
        <v>29.591549295774598</v>
      </c>
    </row>
    <row r="82" spans="1:10" ht="24.95" customHeight="1">
      <c r="A82" s="499">
        <v>80</v>
      </c>
      <c r="B82" s="494" t="s">
        <v>14613</v>
      </c>
      <c r="C82" s="500">
        <v>3</v>
      </c>
      <c r="D82" s="500">
        <v>4</v>
      </c>
      <c r="E82" s="500">
        <v>7.7</v>
      </c>
      <c r="F82" s="500">
        <v>710</v>
      </c>
      <c r="G82" s="500">
        <v>82</v>
      </c>
      <c r="H82" s="500">
        <v>0.72</v>
      </c>
      <c r="I82" s="506">
        <v>76</v>
      </c>
      <c r="J82" s="231">
        <f t="shared" si="1"/>
        <v>40.352112676056301</v>
      </c>
    </row>
    <row r="83" spans="1:10" ht="24.95" customHeight="1">
      <c r="A83" s="499">
        <v>81</v>
      </c>
      <c r="B83" s="494" t="s">
        <v>14614</v>
      </c>
      <c r="C83" s="500">
        <v>4</v>
      </c>
      <c r="D83" s="500">
        <v>5.5</v>
      </c>
      <c r="E83" s="500">
        <v>9.9</v>
      </c>
      <c r="F83" s="500">
        <v>720</v>
      </c>
      <c r="G83" s="500">
        <v>84</v>
      </c>
      <c r="H83" s="500">
        <v>0.73</v>
      </c>
      <c r="I83" s="506">
        <v>110</v>
      </c>
      <c r="J83" s="231">
        <f t="shared" si="1"/>
        <v>53.0555555555556</v>
      </c>
    </row>
    <row r="84" spans="1:10" ht="24.95" customHeight="1">
      <c r="A84" s="499">
        <v>82</v>
      </c>
      <c r="B84" s="494" t="s">
        <v>14615</v>
      </c>
      <c r="C84" s="500">
        <v>5.5</v>
      </c>
      <c r="D84" s="500">
        <v>7.5</v>
      </c>
      <c r="E84" s="500">
        <v>13.3</v>
      </c>
      <c r="F84" s="500">
        <v>720</v>
      </c>
      <c r="G84" s="500">
        <v>85</v>
      </c>
      <c r="H84" s="500">
        <v>0.74</v>
      </c>
      <c r="I84" s="506">
        <v>110</v>
      </c>
      <c r="J84" s="231">
        <f t="shared" si="1"/>
        <v>72.9513888888889</v>
      </c>
    </row>
    <row r="85" spans="1:10" ht="24.95" customHeight="1">
      <c r="A85" s="499">
        <v>83</v>
      </c>
      <c r="B85" s="494" t="s">
        <v>14616</v>
      </c>
      <c r="C85" s="500">
        <v>7.5</v>
      </c>
      <c r="D85" s="500">
        <v>10</v>
      </c>
      <c r="E85" s="500">
        <v>17.100000000000001</v>
      </c>
      <c r="F85" s="500">
        <v>720</v>
      </c>
      <c r="G85" s="500">
        <v>86</v>
      </c>
      <c r="H85" s="500">
        <v>0.75</v>
      </c>
      <c r="I85" s="506">
        <v>140</v>
      </c>
      <c r="J85" s="231">
        <f t="shared" si="1"/>
        <v>99.4791666666667</v>
      </c>
    </row>
    <row r="86" spans="1:10" ht="24.95" customHeight="1">
      <c r="A86" s="499">
        <v>84</v>
      </c>
      <c r="B86" s="494" t="s">
        <v>14617</v>
      </c>
      <c r="C86" s="500">
        <v>11</v>
      </c>
      <c r="D86" s="500">
        <v>15</v>
      </c>
      <c r="E86" s="500">
        <v>24.8</v>
      </c>
      <c r="F86" s="500">
        <v>730</v>
      </c>
      <c r="G86" s="500">
        <v>87.5</v>
      </c>
      <c r="H86" s="500">
        <v>0.77</v>
      </c>
      <c r="I86" s="506">
        <v>185</v>
      </c>
      <c r="J86" s="231">
        <f t="shared" si="1"/>
        <v>143.90410958904101</v>
      </c>
    </row>
    <row r="87" spans="1:10" ht="24.95" customHeight="1">
      <c r="A87" s="499">
        <v>85</v>
      </c>
      <c r="B87" s="494" t="s">
        <v>14618</v>
      </c>
      <c r="C87" s="500">
        <v>15</v>
      </c>
      <c r="D87" s="500">
        <v>20</v>
      </c>
      <c r="E87" s="500">
        <v>34</v>
      </c>
      <c r="F87" s="500">
        <v>730</v>
      </c>
      <c r="G87" s="500">
        <v>88</v>
      </c>
      <c r="H87" s="500">
        <v>0.76</v>
      </c>
      <c r="I87" s="506">
        <v>235</v>
      </c>
      <c r="J87" s="231">
        <f t="shared" si="1"/>
        <v>196.23287671232899</v>
      </c>
    </row>
    <row r="88" spans="1:10" ht="24.95" customHeight="1">
      <c r="A88" s="499">
        <v>86</v>
      </c>
      <c r="B88" s="494" t="s">
        <v>14619</v>
      </c>
      <c r="C88" s="500">
        <v>18.5</v>
      </c>
      <c r="D88" s="500">
        <v>25</v>
      </c>
      <c r="E88" s="500">
        <v>41.3</v>
      </c>
      <c r="F88" s="500">
        <v>730</v>
      </c>
      <c r="G88" s="500">
        <v>89.5</v>
      </c>
      <c r="H88" s="500">
        <v>0.76</v>
      </c>
      <c r="I88" s="506">
        <v>276</v>
      </c>
      <c r="J88" s="231">
        <f t="shared" si="1"/>
        <v>242.02054794520501</v>
      </c>
    </row>
    <row r="89" spans="1:10" ht="24.95" customHeight="1">
      <c r="A89" s="499">
        <v>87</v>
      </c>
      <c r="B89" s="494" t="s">
        <v>14620</v>
      </c>
      <c r="C89" s="500">
        <v>22</v>
      </c>
      <c r="D89" s="500">
        <v>30</v>
      </c>
      <c r="E89" s="500">
        <v>47.6</v>
      </c>
      <c r="F89" s="500">
        <v>730</v>
      </c>
      <c r="G89" s="500">
        <v>90</v>
      </c>
      <c r="H89" s="500">
        <v>0.78</v>
      </c>
      <c r="I89" s="506">
        <v>303</v>
      </c>
      <c r="J89" s="231">
        <f t="shared" si="1"/>
        <v>287.80821917808203</v>
      </c>
    </row>
    <row r="90" spans="1:10" ht="24.95" customHeight="1">
      <c r="A90" s="499">
        <v>88</v>
      </c>
      <c r="B90" s="494" t="s">
        <v>14621</v>
      </c>
      <c r="C90" s="500">
        <v>30</v>
      </c>
      <c r="D90" s="500">
        <v>40</v>
      </c>
      <c r="E90" s="500">
        <v>63</v>
      </c>
      <c r="F90" s="500">
        <v>730</v>
      </c>
      <c r="G90" s="500">
        <v>90.5</v>
      </c>
      <c r="H90" s="500">
        <v>0.8</v>
      </c>
      <c r="I90" s="506">
        <v>402</v>
      </c>
      <c r="J90" s="231">
        <f t="shared" si="1"/>
        <v>392.46575342465798</v>
      </c>
    </row>
    <row r="91" spans="1:10" ht="24.95" customHeight="1">
      <c r="A91" s="499">
        <v>89</v>
      </c>
      <c r="B91" s="494" t="s">
        <v>14622</v>
      </c>
      <c r="C91" s="500">
        <v>37</v>
      </c>
      <c r="D91" s="500">
        <v>50</v>
      </c>
      <c r="E91" s="500">
        <v>78.2</v>
      </c>
      <c r="F91" s="500">
        <v>740</v>
      </c>
      <c r="G91" s="500">
        <v>91</v>
      </c>
      <c r="H91" s="500">
        <v>0.79</v>
      </c>
      <c r="I91" s="506">
        <v>520</v>
      </c>
      <c r="J91" s="231">
        <f t="shared" si="1"/>
        <v>477.5</v>
      </c>
    </row>
    <row r="92" spans="1:10" ht="24.95" customHeight="1">
      <c r="A92" s="499">
        <v>90</v>
      </c>
      <c r="B92" s="494" t="s">
        <v>14623</v>
      </c>
      <c r="C92" s="500">
        <v>45</v>
      </c>
      <c r="D92" s="500">
        <v>61</v>
      </c>
      <c r="E92" s="500">
        <v>93.2</v>
      </c>
      <c r="F92" s="500">
        <v>730</v>
      </c>
      <c r="G92" s="500">
        <v>91.7</v>
      </c>
      <c r="H92" s="500">
        <v>0.8</v>
      </c>
      <c r="I92" s="506">
        <v>592</v>
      </c>
      <c r="J92" s="231">
        <f t="shared" si="1"/>
        <v>588.69863013698603</v>
      </c>
    </row>
    <row r="93" spans="1:10" ht="24.95" customHeight="1">
      <c r="A93" s="499">
        <v>91</v>
      </c>
      <c r="B93" s="494" t="s">
        <v>14624</v>
      </c>
      <c r="C93" s="500">
        <v>55</v>
      </c>
      <c r="D93" s="500">
        <v>75</v>
      </c>
      <c r="E93" s="500">
        <v>113.5</v>
      </c>
      <c r="F93" s="500">
        <v>740</v>
      </c>
      <c r="G93" s="500">
        <v>92</v>
      </c>
      <c r="H93" s="500">
        <v>0.8</v>
      </c>
      <c r="I93" s="506">
        <v>1100</v>
      </c>
      <c r="J93" s="231">
        <f t="shared" si="1"/>
        <v>709.79729729729695</v>
      </c>
    </row>
    <row r="94" spans="1:10" ht="24.95" customHeight="1">
      <c r="A94" s="499">
        <v>92</v>
      </c>
      <c r="B94" s="494" t="s">
        <v>14625</v>
      </c>
      <c r="C94" s="500">
        <v>75</v>
      </c>
      <c r="D94" s="500">
        <v>102</v>
      </c>
      <c r="E94" s="500">
        <v>152</v>
      </c>
      <c r="F94" s="500">
        <v>740</v>
      </c>
      <c r="G94" s="500">
        <v>92.5</v>
      </c>
      <c r="H94" s="500">
        <v>0.81</v>
      </c>
      <c r="I94" s="506">
        <v>1160</v>
      </c>
      <c r="J94" s="231">
        <f t="shared" si="1"/>
        <v>967.90540540540496</v>
      </c>
    </row>
    <row r="95" spans="1:10" ht="24.95" customHeight="1">
      <c r="A95" s="499">
        <v>93</v>
      </c>
      <c r="B95" s="494" t="s">
        <v>14626</v>
      </c>
      <c r="C95" s="500">
        <v>90</v>
      </c>
      <c r="D95" s="500">
        <v>122.5</v>
      </c>
      <c r="E95" s="500">
        <v>179</v>
      </c>
      <c r="F95" s="500">
        <v>740</v>
      </c>
      <c r="G95" s="500">
        <v>93</v>
      </c>
      <c r="H95" s="500">
        <v>0.82</v>
      </c>
      <c r="I95" s="506">
        <v>1230</v>
      </c>
      <c r="J95" s="231">
        <f t="shared" si="1"/>
        <v>1161.4864864864901</v>
      </c>
    </row>
    <row r="96" spans="1:10" ht="24.95" customHeight="1">
      <c r="A96" s="499">
        <v>94</v>
      </c>
      <c r="B96" s="494" t="s">
        <v>14627</v>
      </c>
      <c r="C96" s="500">
        <v>110</v>
      </c>
      <c r="D96" s="500">
        <v>150</v>
      </c>
      <c r="E96" s="500">
        <v>218.5</v>
      </c>
      <c r="F96" s="500">
        <v>740</v>
      </c>
      <c r="G96" s="500">
        <v>93.3</v>
      </c>
      <c r="H96" s="500">
        <v>0.82</v>
      </c>
      <c r="I96" s="506">
        <v>1380</v>
      </c>
      <c r="J96" s="231">
        <f t="shared" si="1"/>
        <v>1419.59459459459</v>
      </c>
    </row>
    <row r="97" spans="1:10" ht="24.95" customHeight="1">
      <c r="A97" s="499">
        <v>95</v>
      </c>
      <c r="B97" s="494" t="s">
        <v>14628</v>
      </c>
      <c r="C97" s="500">
        <v>132</v>
      </c>
      <c r="D97" s="500">
        <v>180</v>
      </c>
      <c r="E97" s="500">
        <v>264</v>
      </c>
      <c r="F97" s="500">
        <v>742</v>
      </c>
      <c r="G97" s="500">
        <v>93.8</v>
      </c>
      <c r="H97" s="500">
        <v>0.81</v>
      </c>
      <c r="I97" s="506">
        <v>1660</v>
      </c>
      <c r="J97" s="231">
        <f t="shared" si="1"/>
        <v>1698.9218328841</v>
      </c>
    </row>
    <row r="98" spans="1:10" ht="24.95" customHeight="1">
      <c r="A98" s="499">
        <v>96</v>
      </c>
      <c r="B98" s="494" t="s">
        <v>14629</v>
      </c>
      <c r="C98" s="500">
        <v>160</v>
      </c>
      <c r="D98" s="500">
        <v>218</v>
      </c>
      <c r="E98" s="500">
        <v>319.3</v>
      </c>
      <c r="F98" s="500">
        <v>742</v>
      </c>
      <c r="G98" s="500">
        <v>94</v>
      </c>
      <c r="H98" s="500">
        <v>0.81</v>
      </c>
      <c r="I98" s="506">
        <v>1740</v>
      </c>
      <c r="J98" s="231">
        <f t="shared" si="1"/>
        <v>2059.29919137466</v>
      </c>
    </row>
    <row r="99" spans="1:10" ht="24.95" customHeight="1">
      <c r="A99" s="499">
        <v>97</v>
      </c>
      <c r="B99" s="494" t="s">
        <v>14630</v>
      </c>
      <c r="C99" s="500">
        <v>185</v>
      </c>
      <c r="D99" s="500">
        <v>272</v>
      </c>
      <c r="E99" s="500">
        <v>368.4</v>
      </c>
      <c r="F99" s="500">
        <v>742</v>
      </c>
      <c r="G99" s="500">
        <v>94.2</v>
      </c>
      <c r="H99" s="500">
        <v>0.81</v>
      </c>
      <c r="I99" s="506">
        <v>1880</v>
      </c>
      <c r="J99" s="231">
        <f t="shared" si="1"/>
        <v>2381.0646900269498</v>
      </c>
    </row>
    <row r="100" spans="1:10" ht="24.95" customHeight="1">
      <c r="A100" s="499">
        <v>98</v>
      </c>
      <c r="B100" s="502" t="s">
        <v>14631</v>
      </c>
      <c r="C100" s="503">
        <v>200</v>
      </c>
      <c r="D100" s="503">
        <v>299</v>
      </c>
      <c r="E100" s="503">
        <v>397.8</v>
      </c>
      <c r="F100" s="503">
        <v>742</v>
      </c>
      <c r="G100" s="503">
        <v>94.3</v>
      </c>
      <c r="H100" s="503">
        <v>0.81</v>
      </c>
      <c r="I100" s="507">
        <v>1980</v>
      </c>
      <c r="J100" s="231">
        <f t="shared" si="1"/>
        <v>2574.1239892183298</v>
      </c>
    </row>
    <row r="101" spans="1:10" ht="24.95" customHeight="1">
      <c r="A101" s="499">
        <v>99</v>
      </c>
      <c r="B101" s="497" t="s">
        <v>14632</v>
      </c>
      <c r="C101" s="498">
        <v>90</v>
      </c>
      <c r="D101" s="498">
        <v>122.5</v>
      </c>
      <c r="E101" s="508">
        <v>191</v>
      </c>
      <c r="F101" s="498">
        <v>592</v>
      </c>
      <c r="G101" s="498">
        <v>93</v>
      </c>
      <c r="H101" s="498">
        <v>0.77</v>
      </c>
      <c r="I101" s="505">
        <v>1590</v>
      </c>
      <c r="J101" s="231">
        <f t="shared" si="1"/>
        <v>1451.8581081081099</v>
      </c>
    </row>
    <row r="102" spans="1:10" ht="24.95" customHeight="1">
      <c r="A102" s="499">
        <v>100</v>
      </c>
      <c r="B102" s="494" t="s">
        <v>14633</v>
      </c>
      <c r="C102" s="500">
        <v>110</v>
      </c>
      <c r="D102" s="500">
        <v>150</v>
      </c>
      <c r="E102" s="500">
        <v>229.9</v>
      </c>
      <c r="F102" s="500">
        <v>592</v>
      </c>
      <c r="G102" s="500">
        <v>93.2</v>
      </c>
      <c r="H102" s="500">
        <v>0.78</v>
      </c>
      <c r="I102" s="506">
        <v>1720</v>
      </c>
      <c r="J102" s="231">
        <f t="shared" si="1"/>
        <v>1774.4932432432399</v>
      </c>
    </row>
    <row r="103" spans="1:10" ht="24.95" customHeight="1">
      <c r="A103" s="499">
        <v>101</v>
      </c>
      <c r="B103" s="502" t="s">
        <v>14634</v>
      </c>
      <c r="C103" s="503">
        <v>132</v>
      </c>
      <c r="D103" s="503">
        <v>180</v>
      </c>
      <c r="E103" s="503">
        <v>275</v>
      </c>
      <c r="F103" s="503">
        <v>592</v>
      </c>
      <c r="G103" s="503">
        <v>93.5</v>
      </c>
      <c r="H103" s="503">
        <v>0.78</v>
      </c>
      <c r="I103" s="507">
        <v>1890</v>
      </c>
      <c r="J103" s="231">
        <f t="shared" si="1"/>
        <v>2129.3918918918898</v>
      </c>
    </row>
    <row r="104" spans="1:10" ht="24.95" customHeight="1">
      <c r="E104" s="509"/>
    </row>
    <row r="105" spans="1:10" ht="24.95" customHeight="1">
      <c r="E105" s="141"/>
    </row>
    <row r="106" spans="1:10" ht="24.95" customHeight="1"/>
    <row r="107" spans="1:10" ht="24.95" customHeight="1"/>
    <row r="108" spans="1:10" ht="24.95" customHeight="1"/>
    <row r="109" spans="1:10" ht="24.95" customHeight="1"/>
    <row r="110" spans="1:10" ht="24.95" customHeight="1"/>
    <row r="111" spans="1:10" ht="24.95" customHeight="1"/>
    <row r="112" spans="1:10" ht="24.95" customHeight="1"/>
    <row r="113" ht="24.95" customHeight="1"/>
    <row r="114" ht="24.95" customHeight="1"/>
    <row r="115" ht="24.95" customHeight="1"/>
    <row r="116" ht="24.95" customHeight="1"/>
    <row r="117" ht="24.95" customHeight="1"/>
    <row r="118" ht="24.95" customHeight="1"/>
    <row r="119" ht="24.95" customHeight="1"/>
    <row r="120" ht="24.95" customHeight="1"/>
    <row r="121" ht="24.95" customHeight="1"/>
    <row r="122" ht="24.95" customHeight="1"/>
    <row r="123" ht="24.95" customHeight="1"/>
    <row r="124" ht="24.95" customHeight="1"/>
    <row r="125" ht="24.95" customHeight="1"/>
    <row r="126" ht="24.95" customHeight="1"/>
    <row r="127" ht="24.95" customHeight="1"/>
    <row r="128" ht="24.95" customHeight="1"/>
    <row r="129" ht="24.95" customHeight="1"/>
    <row r="130" ht="24.95" customHeight="1"/>
    <row r="131" ht="24.95" customHeight="1"/>
    <row r="132" ht="24.95" customHeight="1"/>
    <row r="133" ht="24.95" customHeight="1"/>
    <row r="134" ht="24.95" customHeight="1"/>
    <row r="135" ht="24.95" customHeight="1"/>
    <row r="136" ht="24.95" customHeight="1"/>
    <row r="137" ht="24.95" customHeight="1"/>
    <row r="138" ht="24.95" customHeight="1"/>
    <row r="139" ht="24.95" customHeight="1"/>
    <row r="140" ht="24.95" customHeight="1"/>
    <row r="141" ht="24.95" customHeight="1"/>
    <row r="142" ht="24.95" customHeight="1"/>
    <row r="143" ht="24.95" customHeight="1"/>
    <row r="144" ht="24.95" customHeight="1"/>
    <row r="145" ht="24.95" customHeight="1"/>
    <row r="146" ht="24.95" customHeight="1"/>
    <row r="147" ht="24.95" customHeight="1"/>
    <row r="148" ht="24.95" customHeight="1"/>
    <row r="149" ht="24.95" customHeight="1"/>
    <row r="150" ht="24.95" customHeight="1"/>
    <row r="151" ht="24.95" customHeight="1"/>
    <row r="152" ht="24.95" customHeight="1"/>
    <row r="153" ht="24.95" customHeight="1"/>
    <row r="154" ht="24.95" customHeight="1"/>
    <row r="155" ht="24.95" customHeight="1"/>
    <row r="156" ht="24.95" customHeight="1"/>
    <row r="157" ht="24.95" customHeight="1"/>
    <row r="158" ht="24.95" customHeight="1"/>
    <row r="159" ht="24.95" customHeight="1"/>
    <row r="160" ht="24.95" customHeight="1"/>
    <row r="161" ht="24.95" customHeight="1"/>
    <row r="162" ht="24.95" customHeight="1"/>
    <row r="163" ht="24.95" customHeight="1"/>
    <row r="164" ht="24.95" customHeight="1"/>
    <row r="165" ht="24.95" customHeight="1"/>
    <row r="166" ht="24.95" customHeight="1"/>
    <row r="167" ht="24.95" customHeight="1"/>
    <row r="168" ht="24.95" customHeight="1"/>
    <row r="169" ht="24.95" customHeight="1"/>
    <row r="170" ht="24.95" customHeight="1"/>
    <row r="171" ht="24.95" customHeight="1"/>
    <row r="172" ht="24.95" customHeight="1"/>
    <row r="173" ht="24.95" customHeight="1"/>
    <row r="174" ht="24.95" customHeight="1"/>
    <row r="175" ht="24.95" customHeight="1"/>
    <row r="176" ht="24.95" customHeight="1"/>
    <row r="177" ht="24.95" customHeight="1"/>
    <row r="178" ht="24.95" customHeight="1"/>
    <row r="179" ht="24.95" customHeight="1"/>
    <row r="180" ht="24.95" customHeight="1"/>
    <row r="181" ht="24.95" customHeight="1"/>
    <row r="182" ht="24.95" customHeight="1"/>
    <row r="183" ht="24.95" customHeight="1"/>
    <row r="184" ht="24.95" customHeight="1"/>
    <row r="185" ht="24.95" customHeight="1"/>
    <row r="186" ht="24.95" customHeight="1"/>
    <row r="187" ht="24.95" customHeight="1"/>
    <row r="188" ht="24.95" customHeight="1"/>
    <row r="189" ht="24.95" customHeight="1"/>
    <row r="190" ht="24.95" customHeight="1"/>
    <row r="191" ht="24.95" customHeight="1"/>
    <row r="192" ht="24.95" customHeight="1"/>
    <row r="193" ht="24.95" customHeight="1"/>
    <row r="194" ht="24.95" customHeight="1"/>
    <row r="195" ht="24.95" customHeight="1"/>
    <row r="196" ht="24.95" customHeight="1"/>
    <row r="197" ht="24.95" customHeight="1"/>
    <row r="198" ht="24.95" customHeight="1"/>
    <row r="199" ht="24.95" customHeight="1"/>
    <row r="200" ht="24.95" customHeight="1"/>
    <row r="201" ht="24.95" customHeight="1"/>
    <row r="202" ht="24.95" customHeight="1"/>
    <row r="203" ht="24.95" customHeight="1"/>
    <row r="204" ht="24.95" customHeight="1"/>
    <row r="205" ht="24.95" customHeight="1"/>
    <row r="206" ht="24.95" customHeight="1"/>
    <row r="207" ht="24.95" customHeight="1"/>
    <row r="208" ht="24.95" customHeight="1"/>
    <row r="209" ht="24.95" customHeight="1"/>
    <row r="210" ht="24.95" customHeight="1"/>
    <row r="211" ht="24.95" customHeight="1"/>
    <row r="212" ht="24.95" customHeight="1"/>
    <row r="213" ht="24.95" customHeight="1"/>
    <row r="214" ht="24.95" customHeight="1"/>
    <row r="215" ht="24.95" customHeight="1"/>
    <row r="216" ht="24.95" customHeight="1"/>
    <row r="217" ht="24.95" customHeight="1"/>
    <row r="218" ht="24.95" customHeight="1"/>
    <row r="219" ht="24.95" customHeight="1"/>
    <row r="220" ht="24.95" customHeight="1"/>
    <row r="221" ht="24.95" customHeight="1"/>
    <row r="222" ht="24.95" customHeight="1"/>
    <row r="223" ht="24.95" customHeight="1"/>
    <row r="224" ht="24.95" customHeight="1"/>
    <row r="225" ht="24.95" customHeight="1"/>
    <row r="226" ht="24.95" customHeight="1"/>
    <row r="227" ht="24.95" customHeight="1"/>
    <row r="228" ht="24.95" customHeight="1"/>
    <row r="229" ht="24.95" customHeight="1"/>
    <row r="230" ht="24.95" customHeight="1"/>
    <row r="231" ht="24.95" customHeight="1"/>
    <row r="232" ht="24.95" customHeight="1"/>
    <row r="233" ht="24.95" customHeight="1"/>
    <row r="234" ht="24.95" customHeight="1"/>
    <row r="235" ht="24.95" customHeight="1"/>
    <row r="236" ht="24.95" customHeight="1"/>
    <row r="237" ht="24.95" customHeight="1"/>
    <row r="238" ht="24.95" customHeight="1"/>
    <row r="239" ht="24.95" customHeight="1"/>
    <row r="240" ht="24.95" customHeight="1"/>
    <row r="241" ht="24.95" customHeight="1"/>
    <row r="242" ht="24.95" customHeight="1"/>
    <row r="243" ht="24.95" customHeight="1"/>
    <row r="244" ht="24.95" customHeight="1"/>
  </sheetData>
  <mergeCells count="1">
    <mergeCell ref="A1:I1"/>
  </mergeCells>
  <phoneticPr fontId="214" type="noConversion"/>
  <pageMargins left="0.66944444444444495" right="0.66944444444444495" top="0.58888888888888902" bottom="0.58888888888888902" header="0.30902777777777801" footer="0.27916666666666701"/>
  <pageSetup paperSize="9" scale="85" orientation="portrait"/>
  <headerFooter alignWithMargins="0"/>
  <drawing r:id="rId1"/>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codeName="Sheet171"/>
  <dimension ref="A1:Q337"/>
  <sheetViews>
    <sheetView zoomScale="115" zoomScaleNormal="115" workbookViewId="0"/>
  </sheetViews>
  <sheetFormatPr defaultColWidth="9" defaultRowHeight="14.25"/>
  <cols>
    <col min="1" max="1" width="17.5" style="252" customWidth="1"/>
    <col min="2" max="2" width="5.625" style="252" customWidth="1"/>
    <col min="3" max="3" width="12.625" style="252" customWidth="1"/>
    <col min="4" max="4" width="6.375" style="252" customWidth="1"/>
    <col min="5" max="5" width="12.625" style="252" customWidth="1"/>
    <col min="6" max="6" width="6.375" style="252" customWidth="1"/>
    <col min="7" max="7" width="12.625" style="252" customWidth="1"/>
    <col min="8" max="8" width="6.375" style="252" customWidth="1"/>
    <col min="9" max="9" width="5.5" style="252" customWidth="1"/>
    <col min="10" max="10" width="5.75" style="252" customWidth="1"/>
    <col min="11" max="11" width="11.625" style="252" customWidth="1"/>
    <col min="12" max="12" width="5.625" style="252" customWidth="1"/>
    <col min="13" max="13" width="11.25" style="252" customWidth="1"/>
    <col min="14" max="14" width="5.625" style="252" customWidth="1"/>
    <col min="15" max="15" width="13.75" style="252"/>
    <col min="16" max="16" width="5.625" customWidth="1"/>
    <col min="17" max="17" width="12.625"/>
  </cols>
  <sheetData>
    <row r="1" spans="1:11" ht="23.25" customHeight="1">
      <c r="A1" s="253"/>
      <c r="B1" s="254"/>
      <c r="C1" s="253" t="s">
        <v>14635</v>
      </c>
      <c r="D1" s="254"/>
      <c r="E1" s="254"/>
      <c r="F1" s="254"/>
      <c r="G1" s="254"/>
      <c r="H1" s="255" t="s">
        <v>2794</v>
      </c>
      <c r="I1" s="393">
        <v>16</v>
      </c>
      <c r="J1" s="394" t="s">
        <v>2795</v>
      </c>
    </row>
    <row r="2" spans="1:11" ht="14.25" customHeight="1">
      <c r="A2" s="256" t="s">
        <v>14636</v>
      </c>
      <c r="B2" s="254"/>
      <c r="C2" s="254"/>
      <c r="D2" s="254"/>
      <c r="E2" s="254"/>
      <c r="F2" s="254"/>
      <c r="G2" s="254"/>
      <c r="H2" s="254"/>
    </row>
    <row r="3" spans="1:11" ht="14.25" customHeight="1">
      <c r="A3" s="257" t="s">
        <v>14637</v>
      </c>
      <c r="B3" s="254"/>
      <c r="C3" s="254"/>
      <c r="D3" s="254"/>
      <c r="E3" s="254"/>
      <c r="F3" s="254"/>
      <c r="G3" s="254"/>
      <c r="H3" s="254"/>
    </row>
    <row r="4" spans="1:11" ht="14.25" customHeight="1">
      <c r="A4" s="257" t="s">
        <v>14638</v>
      </c>
      <c r="B4" s="254"/>
      <c r="C4" s="254"/>
      <c r="D4" s="254"/>
      <c r="E4" s="254"/>
      <c r="F4" s="254"/>
      <c r="G4" s="254"/>
      <c r="H4" s="254"/>
    </row>
    <row r="5" spans="1:11" ht="14.25" customHeight="1">
      <c r="A5" s="257" t="s">
        <v>14639</v>
      </c>
      <c r="B5" s="254"/>
      <c r="C5" s="254"/>
      <c r="D5" s="254"/>
      <c r="E5" s="254"/>
      <c r="F5" s="254"/>
      <c r="G5" s="254"/>
      <c r="H5" s="254"/>
    </row>
    <row r="6" spans="1:11" ht="14.25" customHeight="1">
      <c r="A6" s="256" t="s">
        <v>14640</v>
      </c>
      <c r="B6" s="254"/>
      <c r="C6" s="254"/>
      <c r="D6" s="254"/>
      <c r="E6" s="254"/>
      <c r="F6" s="254"/>
      <c r="G6" s="254"/>
      <c r="H6" s="254"/>
    </row>
    <row r="7" spans="1:11" ht="14.25" customHeight="1">
      <c r="A7" s="256" t="s">
        <v>14641</v>
      </c>
      <c r="B7" s="254"/>
      <c r="C7" s="254"/>
      <c r="D7" s="254"/>
      <c r="E7" s="254"/>
      <c r="F7" s="254"/>
      <c r="G7" s="254"/>
      <c r="H7" s="254"/>
    </row>
    <row r="8" spans="1:11" ht="14.25" customHeight="1">
      <c r="A8" s="258"/>
      <c r="B8" s="254"/>
      <c r="C8" s="254"/>
      <c r="D8" s="254"/>
      <c r="E8" s="254"/>
      <c r="F8" s="259"/>
      <c r="G8" s="259" t="s">
        <v>14642</v>
      </c>
      <c r="H8" s="254"/>
    </row>
    <row r="9" spans="1:11" ht="14.25" customHeight="1">
      <c r="A9" s="260" t="s">
        <v>14643</v>
      </c>
      <c r="B9" s="254"/>
      <c r="C9" s="254"/>
      <c r="D9" s="254"/>
      <c r="E9" s="254"/>
      <c r="F9" s="261"/>
      <c r="G9" s="254"/>
      <c r="H9" s="254"/>
    </row>
    <row r="10" spans="1:11" ht="15.75" customHeight="1">
      <c r="A10" s="262" t="s">
        <v>14644</v>
      </c>
      <c r="B10" s="254"/>
      <c r="C10" s="263"/>
      <c r="D10" s="254"/>
      <c r="E10" s="254"/>
      <c r="F10" s="261"/>
      <c r="G10" s="259"/>
      <c r="H10" s="254"/>
    </row>
    <row r="11" spans="1:11" ht="15.75">
      <c r="A11" s="264" t="s">
        <v>2804</v>
      </c>
      <c r="B11" s="265"/>
      <c r="C11" s="266"/>
      <c r="D11" s="267"/>
      <c r="E11" s="264" t="s">
        <v>4634</v>
      </c>
      <c r="F11" s="268"/>
      <c r="G11" s="266">
        <v>10026</v>
      </c>
      <c r="H11" s="269"/>
    </row>
    <row r="12" spans="1:11">
      <c r="A12" s="264" t="s">
        <v>2806</v>
      </c>
      <c r="B12" s="270" t="s">
        <v>2677</v>
      </c>
      <c r="C12" s="271">
        <v>30201</v>
      </c>
      <c r="D12" s="267"/>
      <c r="E12" s="272"/>
      <c r="F12" s="273" t="s">
        <v>2680</v>
      </c>
      <c r="G12" s="271">
        <v>30202</v>
      </c>
      <c r="H12" s="269"/>
    </row>
    <row r="13" spans="1:11" ht="15" customHeight="1">
      <c r="A13" s="274" t="s">
        <v>2809</v>
      </c>
      <c r="B13" s="275"/>
      <c r="C13" s="276"/>
      <c r="D13" s="277"/>
      <c r="E13" s="274" t="s">
        <v>2810</v>
      </c>
      <c r="F13" s="278"/>
      <c r="G13" s="276"/>
      <c r="H13" s="277"/>
      <c r="I13" s="395"/>
      <c r="J13" s="396"/>
      <c r="K13" s="397"/>
    </row>
    <row r="14" spans="1:11" ht="15" customHeight="1">
      <c r="A14" s="279" t="s">
        <v>14645</v>
      </c>
      <c r="B14" s="280" t="str">
        <f>IF(C14=1,"直齿",IF(AND(C14=0,C24&lt;&gt;0),"弧齿","零度齿"))</f>
        <v>弧齿</v>
      </c>
      <c r="C14" s="281"/>
      <c r="D14" s="282" t="str">
        <f>IF(OR(C14=1,C14=0),"","错误！")</f>
        <v/>
      </c>
      <c r="E14" s="283" t="s">
        <v>14646</v>
      </c>
      <c r="F14" s="284"/>
      <c r="G14" s="285"/>
      <c r="H14" s="269"/>
      <c r="I14" s="300"/>
      <c r="J14" s="398"/>
    </row>
    <row r="15" spans="1:11" ht="15" customHeight="1">
      <c r="A15" s="279" t="str">
        <f>IF(C14=1,""," 小 轮 旋 向 ")</f>
        <v>小 轮 旋 向</v>
      </c>
      <c r="B15" s="286" t="str">
        <f>IF(C15="L","左旋",IF(C15="R","右旋",""))</f>
        <v>右旋</v>
      </c>
      <c r="C15" s="287" t="s">
        <v>453</v>
      </c>
      <c r="D15" s="288" t="str">
        <f>IF(AND(C14=1,C15&lt;&gt;0),"取消！",IF(OR(AND(C14=1,C15=0),AND(C14=0,C15="L"),AND(C14=0,C15="R")),"",IF(AND(C14=0,C15=0),"输入！","错误！")))</f>
        <v/>
      </c>
      <c r="E15" s="283" t="str">
        <f>IF(C14=1,"","注：左旋输入 L， 右旋输入 R")</f>
        <v>注：左旋输入 L， 右旋输入 R</v>
      </c>
      <c r="F15" s="284"/>
      <c r="G15" s="289"/>
      <c r="H15" s="269"/>
      <c r="I15" s="300"/>
      <c r="J15" s="300"/>
    </row>
    <row r="16" spans="1:11" ht="15" customHeight="1">
      <c r="A16" s="279" t="str">
        <f>IF(C14=1,""," 大 轮 旋 向 ")</f>
        <v>大 轮 旋 向</v>
      </c>
      <c r="B16" s="286" t="str">
        <f>IF(C16="L","左旋",IF(C16="R","右旋",""))</f>
        <v>左旋</v>
      </c>
      <c r="C16" s="285" t="str">
        <f>IF(C15=0,"",IF(C15="L","R","L"))</f>
        <v>L</v>
      </c>
      <c r="D16" s="290"/>
      <c r="E16" s="283"/>
      <c r="F16" s="284"/>
      <c r="G16" s="289"/>
      <c r="H16" s="269"/>
      <c r="I16" s="300"/>
      <c r="J16" s="300"/>
    </row>
    <row r="17" spans="1:15" ht="15" customHeight="1">
      <c r="A17" s="291" t="s">
        <v>14647</v>
      </c>
      <c r="B17" s="292" t="s">
        <v>4654</v>
      </c>
      <c r="C17" s="266">
        <v>13</v>
      </c>
      <c r="D17" s="290"/>
      <c r="E17" s="293"/>
      <c r="F17" s="284"/>
      <c r="G17" s="289"/>
      <c r="H17" s="269"/>
      <c r="I17" s="300"/>
      <c r="J17" s="300"/>
    </row>
    <row r="18" spans="1:15" ht="15" customHeight="1">
      <c r="A18" s="291" t="s">
        <v>14648</v>
      </c>
      <c r="B18" s="292" t="s">
        <v>4655</v>
      </c>
      <c r="C18" s="281">
        <v>24</v>
      </c>
      <c r="D18" s="290"/>
      <c r="E18" s="293"/>
      <c r="F18" s="284"/>
      <c r="G18" s="289"/>
      <c r="H18" s="269"/>
      <c r="I18" s="300"/>
      <c r="J18" s="300"/>
    </row>
    <row r="19" spans="1:15" ht="15" customHeight="1">
      <c r="A19" s="291" t="s">
        <v>14649</v>
      </c>
      <c r="B19" s="292" t="s">
        <v>408</v>
      </c>
      <c r="C19" s="287">
        <v>7.5</v>
      </c>
      <c r="D19" s="294" t="str">
        <f>IF(C19&lt;G19,"毫米","超过本程序设置最大模数，应少于")</f>
        <v>毫米</v>
      </c>
      <c r="E19" s="293"/>
      <c r="F19" s="284"/>
      <c r="G19" s="295" t="str">
        <f>IF(C19&lt;=H22,"",H22)</f>
        <v/>
      </c>
      <c r="H19" s="269"/>
      <c r="I19" s="300"/>
      <c r="J19" s="300"/>
    </row>
    <row r="20" spans="1:15" ht="15.75" hidden="1" customHeight="1">
      <c r="A20" s="291"/>
      <c r="B20" s="292"/>
      <c r="C20" s="296">
        <f>IF(C17=0,25,C17)</f>
        <v>13</v>
      </c>
      <c r="D20" s="290" t="str">
        <f>IF(C20&gt;=12,"","本程序设置最少齿数为 12")</f>
        <v/>
      </c>
      <c r="E20" s="297"/>
      <c r="F20" s="298"/>
      <c r="G20" s="299"/>
      <c r="H20" s="300"/>
      <c r="I20" s="254"/>
    </row>
    <row r="21" spans="1:15" s="251" customFormat="1" ht="15.75" hidden="1" customHeight="1">
      <c r="A21" s="291"/>
      <c r="B21" s="292"/>
      <c r="C21" s="296">
        <f>IF(C18=0,25,C18)</f>
        <v>24</v>
      </c>
      <c r="D21" s="301" t="str">
        <f>IF(G118&gt;400,"超过本程序设置最大直径，应少于","")</f>
        <v/>
      </c>
      <c r="E21" s="302"/>
      <c r="F21" s="303"/>
      <c r="G21" s="295" t="str">
        <f>IF(D21="","",ROUNDDOWN(400*C64/(C85*C22),0))</f>
        <v/>
      </c>
      <c r="H21" s="291"/>
      <c r="I21" s="323"/>
      <c r="J21" s="254"/>
      <c r="K21" s="254"/>
      <c r="L21" s="254"/>
      <c r="M21" s="254"/>
      <c r="N21" s="254"/>
      <c r="O21" s="254"/>
    </row>
    <row r="22" spans="1:15" ht="15.75" hidden="1" customHeight="1">
      <c r="A22" s="291"/>
      <c r="B22" s="292"/>
      <c r="C22" s="304">
        <f>IF(C19=0,5,C19)</f>
        <v>7.5</v>
      </c>
      <c r="D22" s="305"/>
      <c r="E22" s="306"/>
      <c r="F22" s="307"/>
      <c r="G22" s="295"/>
      <c r="H22" s="308">
        <f>ROUND(10*C64/(C85*COS(J24)),3)</f>
        <v>15.077</v>
      </c>
      <c r="I22" s="323"/>
      <c r="J22" s="279"/>
      <c r="K22" s="399"/>
      <c r="L22" s="291"/>
    </row>
    <row r="23" spans="1:15" ht="15.75">
      <c r="A23" s="291" t="s">
        <v>12533</v>
      </c>
      <c r="B23" s="309" t="s">
        <v>2822</v>
      </c>
      <c r="C23" s="310">
        <v>20</v>
      </c>
      <c r="D23" s="311" t="s">
        <v>257</v>
      </c>
      <c r="E23" s="312" t="s">
        <v>14650</v>
      </c>
      <c r="F23" s="297" t="s">
        <v>14651</v>
      </c>
      <c r="G23" s="313">
        <v>90</v>
      </c>
      <c r="H23" s="255" t="s">
        <v>257</v>
      </c>
      <c r="I23" s="321" t="s">
        <v>14652</v>
      </c>
      <c r="J23" s="370">
        <f>RADIANS(C23)</f>
        <v>0.34906585039886601</v>
      </c>
      <c r="K23" s="400" t="s">
        <v>2048</v>
      </c>
      <c r="L23" s="291"/>
    </row>
    <row r="24" spans="1:15" ht="15.75">
      <c r="A24" s="314" t="str">
        <f>IF(C14=1,"","中 点 螺 旋 角")</f>
        <v>中 点 螺 旋 角</v>
      </c>
      <c r="B24" s="292" t="str">
        <f>IF(C14=1,"","βm")</f>
        <v>βm</v>
      </c>
      <c r="C24" s="310">
        <v>39</v>
      </c>
      <c r="D24" s="294" t="str">
        <f>IF(AND(C14=1,C24&lt;&gt;0),"取消！",IF(C14=0,"度",""))</f>
        <v>度</v>
      </c>
      <c r="E24" s="315" t="s">
        <v>2024</v>
      </c>
      <c r="F24" s="292" t="s">
        <v>14653</v>
      </c>
      <c r="G24" s="310">
        <v>6.8999999999999999E-3</v>
      </c>
      <c r="H24" s="316">
        <f>0.39*(1-C20*COS(C71)/(C21*COS(C70)))</f>
        <v>0.275572916666667</v>
      </c>
      <c r="I24" s="321" t="s">
        <v>14654</v>
      </c>
      <c r="J24" s="370">
        <f>RADIANS(C24)</f>
        <v>0.68067840827778803</v>
      </c>
      <c r="K24" s="400" t="s">
        <v>2048</v>
      </c>
      <c r="L24" s="291"/>
    </row>
    <row r="25" spans="1:15" ht="15.75">
      <c r="A25" s="309" t="s">
        <v>14655</v>
      </c>
      <c r="B25" s="292" t="s">
        <v>4427</v>
      </c>
      <c r="C25" s="317">
        <f>IF(ROUND(0.3*C64,1)&gt;10*C22,10*C22,ROUND(0.3*C64,1))</f>
        <v>30.7</v>
      </c>
      <c r="D25" s="311" t="s">
        <v>2820</v>
      </c>
      <c r="E25" s="315" t="s">
        <v>14656</v>
      </c>
      <c r="F25" s="292" t="s">
        <v>14657</v>
      </c>
      <c r="G25" s="302">
        <f>ROUND(IF(C14=1,H25,IF(C24&gt;0,H24,H25)),4)</f>
        <v>0.27560000000000001</v>
      </c>
      <c r="H25" s="316">
        <f>0.46*(1-C20*COS(C71)/(C21*COS(C70)))</f>
        <v>0.32503472222222202</v>
      </c>
      <c r="I25" s="291"/>
      <c r="J25" s="279"/>
      <c r="K25" s="255"/>
      <c r="L25" s="291"/>
    </row>
    <row r="26" spans="1:15" ht="15.75">
      <c r="A26" s="309" t="s">
        <v>14658</v>
      </c>
      <c r="B26" s="292" t="s">
        <v>2534</v>
      </c>
      <c r="C26" s="313">
        <v>30</v>
      </c>
      <c r="D26" s="318" t="str">
        <f>IF(C26=0,"注：如不输入，则默认齿宽的参考值 b0。","毫米")</f>
        <v>毫米</v>
      </c>
      <c r="E26" s="319"/>
      <c r="F26" s="292"/>
      <c r="G26" s="302"/>
      <c r="H26" s="316"/>
      <c r="I26" s="291"/>
      <c r="J26" s="279"/>
      <c r="K26" s="255"/>
      <c r="L26" s="291"/>
    </row>
    <row r="27" spans="1:15" ht="15.75" hidden="1">
      <c r="A27" s="309"/>
      <c r="B27" s="292"/>
      <c r="C27" s="296">
        <f>IF(C26=0,C25,C26)</f>
        <v>30</v>
      </c>
      <c r="D27" s="318"/>
      <c r="E27" s="319"/>
      <c r="F27" s="292"/>
      <c r="G27" s="302"/>
      <c r="H27" s="316"/>
      <c r="I27" s="291"/>
      <c r="J27" s="279"/>
      <c r="K27" s="255"/>
      <c r="L27" s="291"/>
    </row>
    <row r="28" spans="1:15" ht="15.75">
      <c r="A28" s="272" t="s">
        <v>2857</v>
      </c>
      <c r="B28" s="320"/>
      <c r="C28" s="313">
        <v>7</v>
      </c>
      <c r="D28" s="305" t="str">
        <f t="shared" ref="D28:D30" si="0">IF(OR(C28=5,C28=6,C28=7,C28=8),"","错误！")</f>
        <v/>
      </c>
      <c r="E28" s="289" t="s">
        <v>14659</v>
      </c>
      <c r="F28" s="298" t="s">
        <v>407</v>
      </c>
      <c r="G28" s="289">
        <f>IF(C14=1,2.2,IF(C24&gt;0,1.888,H28))</f>
        <v>1.8879999999999999</v>
      </c>
      <c r="H28" s="321">
        <f>ROUND(2.188+0.05/C22,3)</f>
        <v>2.1949999999999998</v>
      </c>
      <c r="I28" s="291"/>
      <c r="J28" s="279"/>
      <c r="K28" s="255"/>
      <c r="L28" s="291"/>
    </row>
    <row r="29" spans="1:15" ht="15.75">
      <c r="A29" s="272" t="s">
        <v>2858</v>
      </c>
      <c r="B29" s="320"/>
      <c r="C29" s="271">
        <v>6</v>
      </c>
      <c r="D29" s="305" t="str">
        <f t="shared" si="0"/>
        <v/>
      </c>
      <c r="E29" s="322" t="s">
        <v>4054</v>
      </c>
      <c r="F29" s="298" t="s">
        <v>14660</v>
      </c>
      <c r="G29" s="289">
        <f>IF(C14=1,2,IF(C24&gt;0,1.7,2))</f>
        <v>1.7</v>
      </c>
      <c r="H29" s="291"/>
      <c r="I29" s="291"/>
      <c r="J29" s="279"/>
      <c r="K29" s="255"/>
      <c r="L29" s="291"/>
    </row>
    <row r="30" spans="1:15" ht="15.75">
      <c r="A30" s="272" t="s">
        <v>2859</v>
      </c>
      <c r="B30" s="320"/>
      <c r="C30" s="271">
        <v>6</v>
      </c>
      <c r="D30" s="305" t="str">
        <f t="shared" si="0"/>
        <v/>
      </c>
      <c r="E30" s="289" t="s">
        <v>14661</v>
      </c>
      <c r="F30" s="323" t="s">
        <v>1866</v>
      </c>
      <c r="G30" s="324">
        <f>ROUND(G28*C22,3)</f>
        <v>14.16</v>
      </c>
      <c r="H30" s="311" t="s">
        <v>2820</v>
      </c>
      <c r="I30" s="297"/>
      <c r="J30" s="279"/>
      <c r="K30" s="255"/>
      <c r="L30" s="291"/>
    </row>
    <row r="31" spans="1:15" ht="15.75">
      <c r="A31" s="314" t="s">
        <v>14662</v>
      </c>
      <c r="B31" s="320"/>
      <c r="C31" s="281" t="s">
        <v>9733</v>
      </c>
      <c r="D31" s="305" t="str">
        <f>IF(OR(C31="a",C31="b",C31="c",C31="d",C31="e",C31="h"),"","错误！")</f>
        <v/>
      </c>
      <c r="E31" s="289" t="s">
        <v>14663</v>
      </c>
      <c r="F31" s="298" t="s">
        <v>14664</v>
      </c>
      <c r="G31" s="302">
        <f>ROUND(G29*C22,3)</f>
        <v>12.75</v>
      </c>
      <c r="H31" s="311" t="s">
        <v>2820</v>
      </c>
      <c r="I31" s="297"/>
      <c r="J31" s="279"/>
      <c r="K31" s="255"/>
      <c r="L31" s="291"/>
    </row>
    <row r="32" spans="1:15" ht="15.75">
      <c r="A32" s="314" t="s">
        <v>14665</v>
      </c>
      <c r="B32" s="320"/>
      <c r="C32" s="325" t="s">
        <v>1957</v>
      </c>
      <c r="D32" s="305" t="str">
        <f>IF(OR(C32="A",C32="B",C32="C",C32="D",C32="H"),"","错误！")</f>
        <v/>
      </c>
      <c r="E32" s="289" t="s">
        <v>14666</v>
      </c>
      <c r="F32" s="326" t="s">
        <v>4657</v>
      </c>
      <c r="G32" s="302">
        <f>ROUND(C21/C20,4)</f>
        <v>1.8462000000000001</v>
      </c>
      <c r="H32" s="311"/>
      <c r="I32" s="297"/>
      <c r="J32" s="279"/>
      <c r="K32" s="255"/>
      <c r="L32" s="291"/>
    </row>
    <row r="33" spans="1:12" ht="15.75">
      <c r="A33" s="255" t="s">
        <v>14667</v>
      </c>
      <c r="B33" s="320"/>
      <c r="C33" s="327">
        <f>ROUND(C62-2*C68*COS(C70)-C22,0)</f>
        <v>80</v>
      </c>
      <c r="D33" s="311" t="s">
        <v>2820</v>
      </c>
      <c r="E33" s="322"/>
      <c r="F33" s="328"/>
      <c r="G33" s="316" t="str">
        <f>C31</f>
        <v>c</v>
      </c>
      <c r="H33" s="311"/>
      <c r="I33" s="297"/>
      <c r="J33" s="279"/>
      <c r="K33" s="255"/>
      <c r="L33" s="291"/>
    </row>
    <row r="34" spans="1:12" ht="15.75">
      <c r="A34" s="314" t="s">
        <v>14668</v>
      </c>
      <c r="B34" s="292"/>
      <c r="C34" s="325">
        <v>25</v>
      </c>
      <c r="D34" s="311" t="s">
        <v>2820</v>
      </c>
      <c r="E34" s="322"/>
      <c r="F34" s="328"/>
      <c r="G34" s="316" t="str">
        <f>C32</f>
        <v>C</v>
      </c>
      <c r="H34" s="311"/>
      <c r="I34" s="297"/>
      <c r="J34" s="279"/>
      <c r="K34" s="255"/>
      <c r="L34" s="291"/>
    </row>
    <row r="35" spans="1:12" ht="15.75">
      <c r="A35" s="255" t="s">
        <v>14669</v>
      </c>
      <c r="B35" s="292"/>
      <c r="C35" s="327">
        <f>ROUND(C63-2*C69*COS(C71)-C22,0)</f>
        <v>163</v>
      </c>
      <c r="D35" s="311" t="s">
        <v>2820</v>
      </c>
      <c r="E35" s="329"/>
      <c r="F35" s="328"/>
      <c r="G35" s="330"/>
      <c r="H35" s="311"/>
      <c r="I35" s="297"/>
      <c r="J35" s="279"/>
      <c r="K35" s="255"/>
      <c r="L35" s="291"/>
    </row>
    <row r="36" spans="1:12" ht="15.75">
      <c r="A36" s="329" t="s">
        <v>14670</v>
      </c>
      <c r="B36" s="292"/>
      <c r="C36" s="325">
        <v>320</v>
      </c>
      <c r="D36" s="311" t="s">
        <v>2820</v>
      </c>
      <c r="E36" s="329"/>
      <c r="F36" s="328"/>
      <c r="G36" s="331"/>
      <c r="H36" s="311"/>
      <c r="I36" s="297"/>
      <c r="J36" s="279"/>
      <c r="K36" s="255"/>
      <c r="L36" s="291"/>
    </row>
    <row r="37" spans="1:12" ht="15.75">
      <c r="A37" s="279" t="s">
        <v>12546</v>
      </c>
      <c r="B37" s="323" t="s">
        <v>3344</v>
      </c>
      <c r="C37" s="327">
        <f>C145/1000</f>
        <v>7.3999999999999996E-2</v>
      </c>
      <c r="D37" s="311" t="s">
        <v>2820</v>
      </c>
      <c r="E37" s="322"/>
      <c r="F37" s="328"/>
      <c r="G37" s="302"/>
      <c r="H37" s="311"/>
      <c r="I37" s="297"/>
      <c r="J37" s="279"/>
      <c r="K37" s="255"/>
      <c r="L37" s="291"/>
    </row>
    <row r="38" spans="1:12" ht="15.75">
      <c r="A38" s="279" t="s">
        <v>12547</v>
      </c>
      <c r="B38" s="323" t="s">
        <v>3346</v>
      </c>
      <c r="C38" s="327">
        <f>C160/1000</f>
        <v>0.318</v>
      </c>
      <c r="D38" s="311" t="s">
        <v>2820</v>
      </c>
      <c r="E38" s="318" t="s">
        <v>14671</v>
      </c>
      <c r="F38" s="328"/>
      <c r="G38" s="302"/>
      <c r="H38" s="311"/>
      <c r="I38" s="297"/>
      <c r="J38" s="279"/>
      <c r="K38" s="255"/>
      <c r="L38" s="291"/>
    </row>
    <row r="39" spans="1:12" ht="15.75">
      <c r="A39" s="332" t="s">
        <v>14672</v>
      </c>
      <c r="B39" s="333" t="s">
        <v>14673</v>
      </c>
      <c r="C39" s="334">
        <f>ROUND(C64,4)</f>
        <v>102.35509999999999</v>
      </c>
      <c r="D39" s="335" t="s">
        <v>2820</v>
      </c>
      <c r="E39" s="336"/>
      <c r="F39" s="337"/>
      <c r="G39" s="338"/>
      <c r="H39" s="335"/>
      <c r="I39" s="332"/>
      <c r="J39" s="401"/>
      <c r="K39" s="255"/>
      <c r="L39" s="291"/>
    </row>
    <row r="40" spans="1:12" ht="15.75">
      <c r="A40" s="339" t="str">
        <f>IF(C14=1,"","刀盘名义直径参考值")</f>
        <v>刀盘名义直径参考值</v>
      </c>
      <c r="B40" s="303" t="str">
        <f>IF(C14=1,"","Dc0")</f>
        <v>Dc0</v>
      </c>
      <c r="C40" s="340">
        <f>IF(OR(C14=1,C88="*"),"",C88/25.4)</f>
        <v>7.5</v>
      </c>
      <c r="D40" s="311" t="str">
        <f t="shared" ref="D40:H40" si="1">IF(C40="","","英寸")</f>
        <v>英寸</v>
      </c>
      <c r="E40" s="341" t="str">
        <f>IF(OR(C14=1,E88="*",E88=C88),"",E88/25.4)</f>
        <v/>
      </c>
      <c r="F40" s="311" t="str">
        <f t="shared" si="1"/>
        <v/>
      </c>
      <c r="G40" s="341" t="str">
        <f>IF(OR(C14=1,G88="*",G88=E88),"",G88/25.4)</f>
        <v/>
      </c>
      <c r="H40" s="311" t="str">
        <f t="shared" si="1"/>
        <v/>
      </c>
      <c r="I40" s="297"/>
      <c r="J40" s="344"/>
      <c r="K40" s="255"/>
      <c r="L40" s="291"/>
    </row>
    <row r="41" spans="1:12" ht="15.75">
      <c r="A41" s="339"/>
      <c r="B41" s="303"/>
      <c r="C41" s="342" t="str">
        <f>IF(C14=1,"",IF(AND(C88="*",E88="*",G88="*"),"说明：选不出合适的标准刀盘，须修改齿轮有关参数！",IF(OR(C88&gt;0,E88&gt;0,G88&gt;0),"说明：按照以上显示的刀盘直径，在下行输入选定的刀盘直径。","")))</f>
        <v>说明：按照以上显示的刀盘直径，在下行输入选定的刀盘直径。</v>
      </c>
      <c r="D41" s="311"/>
      <c r="E41" s="343"/>
      <c r="F41" s="311"/>
      <c r="G41" s="344"/>
      <c r="H41" s="311"/>
      <c r="I41" s="297"/>
      <c r="J41" s="344"/>
      <c r="K41" s="255"/>
      <c r="L41" s="291"/>
    </row>
    <row r="42" spans="1:12" ht="15.75">
      <c r="A42" s="339" t="str">
        <f>IF(C14=1,"","刀盘名义直径选定值")</f>
        <v>刀盘名义直径选定值</v>
      </c>
      <c r="B42" s="303" t="str">
        <f>IF(C14=1,"","Dc")</f>
        <v>Dc</v>
      </c>
      <c r="C42" s="345"/>
      <c r="D42" s="294" t="str">
        <f>IF(C14=1,"",IF(AND(C42=0,C40&lt;&gt;""),"注：如不输入，则默认上面的参考值（Dc0最左面的数值）。",IF(AND(C40="",E40="",G40="",C42&lt;&gt;0),"取消！",IF(OR(AND(C40&lt;&gt;"",C42=C40),AND(E40&lt;&gt;"",C42=E40),AND(G40&lt;&gt;"",C42=G40)),"英寸","错误！"))))</f>
        <v>注：如不输入，则默认上面的参考值（Dc0最左面的数值）。</v>
      </c>
      <c r="E42" s="343"/>
      <c r="F42" s="311"/>
      <c r="G42" s="344"/>
      <c r="H42" s="311"/>
      <c r="I42" s="402"/>
      <c r="J42" s="344"/>
      <c r="K42" s="255"/>
      <c r="L42" s="291"/>
    </row>
    <row r="43" spans="1:12" ht="15.75" hidden="1">
      <c r="A43" s="312"/>
      <c r="B43" s="346" t="str">
        <f>IF(C14=1,"","Dc")</f>
        <v>Dc</v>
      </c>
      <c r="C43" s="346">
        <f>IF(C14=1,0,IF(AND(C14=0,C42=0),C40*25.4,C42*25.4))</f>
        <v>190.5</v>
      </c>
      <c r="D43" s="347" t="str">
        <f>IF(C43=0,"","毫米")</f>
        <v>毫米</v>
      </c>
      <c r="E43" s="289"/>
      <c r="F43" s="311"/>
      <c r="G43" s="348"/>
      <c r="H43" s="311"/>
      <c r="I43" s="297"/>
      <c r="J43" s="403"/>
      <c r="K43" s="255"/>
      <c r="L43" s="291"/>
    </row>
    <row r="44" spans="1:12" ht="15.75">
      <c r="A44" s="279" t="s">
        <v>14674</v>
      </c>
      <c r="B44" s="349" t="s">
        <v>4162</v>
      </c>
      <c r="C44" s="327">
        <f>ROUND(J112,3)</f>
        <v>1.714</v>
      </c>
      <c r="D44" s="350" t="s">
        <v>4163</v>
      </c>
      <c r="E44" s="351">
        <f>ROUND(J111,3)</f>
        <v>1.2210000000000001</v>
      </c>
      <c r="F44" s="349" t="s">
        <v>4164</v>
      </c>
      <c r="G44" s="312">
        <f>ROUND(J103,3)</f>
        <v>1.2030000000000001</v>
      </c>
      <c r="H44" s="294" t="str">
        <f>IF(OR(AND(C14=1,C44&lt;1.25),AND(C14=0,C24=0,C44&lt;1.25),AND(C14=0,C24&gt;0,C44&lt;2,E44&lt;1.25)),"较小！","")</f>
        <v>较小！</v>
      </c>
      <c r="I44" s="297"/>
      <c r="J44" s="279"/>
      <c r="K44" s="255"/>
      <c r="L44" s="291"/>
    </row>
    <row r="45" spans="1:12" ht="15.75">
      <c r="A45" s="352" t="str">
        <f>IF(C14=1,"","大 端 螺 旋 角")</f>
        <v>大 端 螺 旋 角</v>
      </c>
      <c r="B45" s="291" t="str">
        <f>IF(C14=1,"","βa")</f>
        <v>βa</v>
      </c>
      <c r="C45" s="327">
        <f>IF(C14=1,"",J89)</f>
        <v>43.045299999999997</v>
      </c>
      <c r="D45" s="353" t="str">
        <f>IF(C14=1,"","度.分秒")</f>
        <v>度.分秒</v>
      </c>
      <c r="E45" s="289"/>
      <c r="F45" s="299"/>
      <c r="G45" s="299"/>
      <c r="H45" s="311"/>
      <c r="I45" s="297"/>
      <c r="J45" s="279"/>
      <c r="K45" s="255"/>
      <c r="L45" s="291"/>
    </row>
    <row r="46" spans="1:12" ht="15.75">
      <c r="A46" s="354" t="str">
        <f>IF(C14=1,"","小 端 螺 旋 角")</f>
        <v>小 端 螺 旋 角</v>
      </c>
      <c r="B46" s="332" t="str">
        <f>IF(C14=1,"","βi")</f>
        <v>βi</v>
      </c>
      <c r="C46" s="334">
        <f>IF(C14=1,"",J92)</f>
        <v>35.521999999999998</v>
      </c>
      <c r="D46" s="355" t="str">
        <f>IF(C14=1,"","度.分秒")</f>
        <v>度.分秒</v>
      </c>
      <c r="E46" s="356" t="str">
        <f>IF(C46&gt;C45,"小端螺旋角大于大端螺旋角，出现反向收缩！","")</f>
        <v/>
      </c>
      <c r="F46" s="357"/>
      <c r="G46" s="357"/>
      <c r="H46" s="335"/>
      <c r="I46" s="332"/>
      <c r="J46" s="401"/>
      <c r="K46" s="255"/>
      <c r="L46" s="291"/>
    </row>
    <row r="47" spans="1:12" ht="15.75">
      <c r="A47" s="279" t="s">
        <v>14675</v>
      </c>
      <c r="B47" s="358"/>
      <c r="C47" s="325">
        <v>1</v>
      </c>
      <c r="D47" s="359" t="str">
        <f>IF(OR(C47=0,C47=1,C47=2,C47=3,C47=4,C47=5,C47=6,C47=7),"","错误！")</f>
        <v/>
      </c>
      <c r="E47" s="360" t="s">
        <v>14676</v>
      </c>
      <c r="F47" s="299"/>
      <c r="G47" s="299"/>
      <c r="H47" s="311"/>
      <c r="I47" s="297"/>
      <c r="J47" s="279"/>
      <c r="K47" s="255"/>
      <c r="L47" s="291"/>
    </row>
    <row r="48" spans="1:12" ht="15.75">
      <c r="A48" s="279"/>
      <c r="B48" s="358"/>
      <c r="C48" s="361"/>
      <c r="D48" s="362"/>
      <c r="E48" s="363" t="s">
        <v>14677</v>
      </c>
      <c r="F48" s="299"/>
      <c r="G48" s="299"/>
      <c r="H48" s="311"/>
      <c r="I48" s="297"/>
      <c r="J48" s="279"/>
      <c r="K48" s="255"/>
      <c r="L48" s="291"/>
    </row>
    <row r="49" spans="1:12" ht="15.75">
      <c r="A49" s="364"/>
      <c r="B49" s="358"/>
      <c r="C49" s="361"/>
      <c r="D49" s="362"/>
      <c r="E49" s="363" t="s">
        <v>14678</v>
      </c>
      <c r="F49" s="299"/>
      <c r="G49" s="299"/>
      <c r="H49" s="311"/>
      <c r="I49" s="297"/>
      <c r="J49" s="279"/>
      <c r="K49" s="255"/>
      <c r="L49" s="291"/>
    </row>
    <row r="50" spans="1:12" ht="15.75">
      <c r="A50" s="279" t="str">
        <f>IF(C47=0,"","支承形式代码")</f>
        <v>支承形式代码</v>
      </c>
      <c r="B50" s="358"/>
      <c r="C50" s="266">
        <v>2</v>
      </c>
      <c r="D50" s="362" t="str">
        <f>IF(AND(C47=0,C50&lt;&gt;0),"取消！",IF(AND(C47&lt;&gt;0,C50=0),"输入？",IF(OR(C50=0,C50=1,C50=2,C50=3),"","错误！")))</f>
        <v/>
      </c>
      <c r="E50" s="360" t="str">
        <f>IF(C47=0,"","说明：1—大小轮都是两端支承， 2—一个是两端支承，另一个是悬臂， 3—两者都是悬臂")</f>
        <v>说明：1—大小轮都是两端支承， 2—一个是两端支承，另一个是悬臂， 3—两者都是悬臂</v>
      </c>
      <c r="F50" s="299"/>
      <c r="G50" s="299"/>
      <c r="H50" s="311"/>
      <c r="I50" s="297"/>
      <c r="J50" s="279"/>
      <c r="K50" s="255"/>
      <c r="L50" s="291"/>
    </row>
    <row r="51" spans="1:12" ht="15.75">
      <c r="A51" s="279" t="str">
        <f>IF(C47=0,"","小轮名义转矩")</f>
        <v>小轮名义转矩</v>
      </c>
      <c r="B51" s="292" t="str">
        <f>IF(C47=0,"","T1")</f>
        <v>T1</v>
      </c>
      <c r="C51" s="281">
        <v>250</v>
      </c>
      <c r="D51" s="365" t="str">
        <f>IF(AND(C47=0,C51=0),"",IF(AND(C47=0,C51&lt;&gt;0),"取消！","N·m"))</f>
        <v>N·m</v>
      </c>
      <c r="E51" s="366" t="s">
        <v>14679</v>
      </c>
      <c r="F51" s="367" t="s">
        <v>10161</v>
      </c>
      <c r="G51" s="367">
        <f>IF(C51=0,C52,ROUND(C51*C54/9549,2))</f>
        <v>26.18</v>
      </c>
      <c r="H51" s="368" t="s">
        <v>2315</v>
      </c>
      <c r="I51" s="297"/>
      <c r="J51" s="279"/>
      <c r="K51" s="255"/>
      <c r="L51" s="291"/>
    </row>
    <row r="52" spans="1:12" ht="15.75">
      <c r="A52" s="279" t="str">
        <f>IF(AND(C47&lt;&gt;0,C51=0),"小轮名义功率","")</f>
        <v/>
      </c>
      <c r="B52" s="292" t="str">
        <f>IF(AND(C47&lt;&gt;0,C51=0),"P1","")</f>
        <v/>
      </c>
      <c r="C52" s="325"/>
      <c r="D52" s="365" t="str">
        <f>IF(AND(C47&lt;&gt;0,C51=0,C52=0),"输入？",IF(OR(AND(C47=0,C52&lt;&gt;0),AND(C47&lt;&gt;0,C51&lt;&gt;0,C52&lt;&gt;0)),"取消！",IF(C52&lt;&gt;0,"kW","")))</f>
        <v/>
      </c>
      <c r="E52" s="369" t="str">
        <f>IF(OR(C47=0,C51&lt;&gt;0),"","小轮名义转矩")</f>
        <v/>
      </c>
      <c r="F52" s="367" t="s">
        <v>3877</v>
      </c>
      <c r="G52" s="367" t="str">
        <f>IF(C47=0,"",IF(C51&lt;&gt;0,"",C53))</f>
        <v/>
      </c>
      <c r="H52" s="347" t="str">
        <f>IF(OR(C47=0,C51&lt;&gt;0),"","N·m")</f>
        <v/>
      </c>
      <c r="I52" s="375"/>
      <c r="J52" s="279"/>
      <c r="K52" s="255"/>
      <c r="L52" s="291"/>
    </row>
    <row r="53" spans="1:12" ht="15.75" customHeight="1">
      <c r="A53" s="370"/>
      <c r="B53" s="371"/>
      <c r="C53" s="346">
        <f>IF(C51&lt;&gt;0,C51,ROUND(9549*C52/C54,3))</f>
        <v>250</v>
      </c>
      <c r="D53" s="368"/>
      <c r="E53" s="372"/>
      <c r="F53" s="373" t="str">
        <f>IF(C47=0,"",IF(ROUND(G56,4)&lt;&gt;ROUND(G55,4),"单变量求解计算：",""))</f>
        <v/>
      </c>
      <c r="G53" s="374"/>
      <c r="H53" s="375"/>
      <c r="I53" s="318"/>
      <c r="J53" s="279"/>
      <c r="K53" s="255"/>
      <c r="L53" s="291"/>
    </row>
    <row r="54" spans="1:12" ht="15.75">
      <c r="A54" s="279" t="str">
        <f>IF(C47=0,"","小 轮 转 速")</f>
        <v>小 轮 转 速</v>
      </c>
      <c r="B54" s="292" t="str">
        <f>IF(C47=0,"","n1")</f>
        <v>n1</v>
      </c>
      <c r="C54" s="325">
        <v>1000</v>
      </c>
      <c r="D54" s="365" t="str">
        <f>IF(AND(C47=0,C54&lt;&gt;0),"取消！",IF(C47&lt;&gt;0,"r / min",""))</f>
        <v>r / min</v>
      </c>
      <c r="E54" s="294"/>
      <c r="F54" s="376" t="str">
        <f>IF(C47=0,"",IF(ROUND(G56,4)&lt;&gt;ROUND(G55,4),"可变格",""))</f>
        <v/>
      </c>
      <c r="G54" s="377">
        <v>0.91345982085299204</v>
      </c>
      <c r="H54" s="311"/>
      <c r="I54" s="294"/>
      <c r="J54" s="279"/>
      <c r="K54" s="255"/>
      <c r="L54" s="291"/>
    </row>
    <row r="55" spans="1:12" ht="15">
      <c r="A55" s="279" t="str">
        <f>IF(C47=0,"","许用接触应力")</f>
        <v>许用接触应力</v>
      </c>
      <c r="B55" s="312" t="str">
        <f>IF(C47=0,"","σHP")</f>
        <v>σHP</v>
      </c>
      <c r="C55" s="351">
        <f>IF(F53&lt;&gt;"","",IF(C47=0,"",C204))</f>
        <v>1249.99</v>
      </c>
      <c r="D55" s="378" t="str">
        <f>IF(C47=0,"","N/mm2")</f>
        <v>N/mm2</v>
      </c>
      <c r="E55" s="294"/>
      <c r="F55" s="376" t="str">
        <f>IF(C47=0,"",IF(ROUND(G56,4)&lt;&gt;ROUND(G55,4),"目标格",""))</f>
        <v/>
      </c>
      <c r="G55" s="379">
        <f>2*E208/C184*TAN(G54)-G54-G208</f>
        <v>6.8048234824757996E-8</v>
      </c>
      <c r="H55" s="311"/>
      <c r="I55" s="294"/>
      <c r="J55" s="279"/>
      <c r="K55" s="255"/>
      <c r="L55" s="291"/>
    </row>
    <row r="56" spans="1:12" ht="15">
      <c r="A56" s="279" t="str">
        <f>IF(C47=0,"","计算接触应力")</f>
        <v>计算接触应力</v>
      </c>
      <c r="B56" s="312" t="str">
        <f>IF(C47=0,"","σH")</f>
        <v>σH</v>
      </c>
      <c r="C56" s="351">
        <f>IF(F53&lt;&gt;"","",IF(C47=0,"",C205))</f>
        <v>765.75</v>
      </c>
      <c r="D56" s="378" t="str">
        <f>IF(C47=0,"","N/mm2")</f>
        <v>N/mm2</v>
      </c>
      <c r="E56" s="294"/>
      <c r="F56" s="380" t="str">
        <f>IF(C47=0,"",IF(ROUND(G56,4)&lt;&gt;ROUND(G55,4),"目标值",""))</f>
        <v/>
      </c>
      <c r="G56" s="381">
        <v>0</v>
      </c>
      <c r="H56" s="311"/>
      <c r="I56" s="294"/>
      <c r="J56" s="279"/>
      <c r="K56" s="255"/>
      <c r="L56" s="291"/>
    </row>
    <row r="57" spans="1:12" ht="15.75">
      <c r="A57" s="382" t="str">
        <f>IF(C47=0,"","接触强度计算安全系数")</f>
        <v>接触强度计算安全系数</v>
      </c>
      <c r="B57" s="323" t="str">
        <f>IF(C47=0,"","SH")</f>
        <v>SH</v>
      </c>
      <c r="C57" s="383">
        <f>IF(F53&lt;&gt;"","",IF(C47=0,"",ROUND(C206,2)))</f>
        <v>2.04</v>
      </c>
      <c r="D57" s="384" t="str">
        <f>IF(F53&lt;&gt;"","",IF(C47=0,"",IF(C206&gt;=C203,"","?")))</f>
        <v/>
      </c>
      <c r="E57" s="318" t="str">
        <f>IF(C57&lt;1.25,"注：小于 1.25（失效概率低于1/1000的最小安全系数）","")</f>
        <v/>
      </c>
      <c r="F57" s="373" t="str">
        <f>IF(C47=0,"",IF(ROUND(G60,4)&lt;&gt;ROUND(G59,4),"单变量求解计算：",""))</f>
        <v/>
      </c>
      <c r="G57" s="374"/>
      <c r="H57" s="311"/>
      <c r="I57" s="294"/>
      <c r="J57" s="279"/>
      <c r="K57" s="255"/>
      <c r="L57" s="291"/>
    </row>
    <row r="58" spans="1:12" ht="15">
      <c r="A58" s="279" t="str">
        <f>IF(C47=0,"","许用齿根应力")</f>
        <v>许用齿根应力</v>
      </c>
      <c r="B58" s="312" t="str">
        <f>IF(C47=0,"","σFP")</f>
        <v>σFP</v>
      </c>
      <c r="C58" s="351">
        <f>IF(F53&lt;&gt;"","",IF(C47=0,"",C215))</f>
        <v>795.79</v>
      </c>
      <c r="D58" s="378" t="str">
        <f>IF(C47=0,"","N/mm2")</f>
        <v>N/mm2</v>
      </c>
      <c r="E58" s="294"/>
      <c r="F58" s="376" t="str">
        <f>IF(C47=0,"",IF(ROUND(G60,4)&lt;&gt;ROUND(G59,4),"可变格",""))</f>
        <v/>
      </c>
      <c r="G58" s="377">
        <v>0.98447906828950205</v>
      </c>
      <c r="H58" s="311"/>
      <c r="I58" s="294"/>
      <c r="J58" s="279"/>
      <c r="K58" s="255"/>
      <c r="L58" s="291"/>
    </row>
    <row r="59" spans="1:12" ht="15">
      <c r="A59" s="279" t="str">
        <f>IF(C47=0,"","计算齿根应力")</f>
        <v>计算齿根应力</v>
      </c>
      <c r="B59" s="312" t="str">
        <f>IF(C47=0,"","σF")</f>
        <v>σF</v>
      </c>
      <c r="C59" s="351">
        <f>IF(F53&lt;&gt;"","",IF(C47=0,"",C216))</f>
        <v>180.16</v>
      </c>
      <c r="D59" s="378" t="str">
        <f>IF(C47=0,"","N/mm2")</f>
        <v>N/mm2</v>
      </c>
      <c r="E59" s="385"/>
      <c r="F59" s="376" t="str">
        <f>IF(C47=0,"",IF(ROUND(G60,4)&lt;&gt;ROUND(G59,4),"目标格",""))</f>
        <v/>
      </c>
      <c r="G59" s="379">
        <f>2*M208/G184*TAN(G58)-G58-O208</f>
        <v>1.15253905086377E-7</v>
      </c>
      <c r="H59" s="311"/>
      <c r="I59" s="294"/>
      <c r="J59" s="279"/>
      <c r="K59" s="255"/>
      <c r="L59" s="291"/>
    </row>
    <row r="60" spans="1:12" ht="15.75">
      <c r="A60" s="386" t="str">
        <f>IF(C47=0,"","弯曲强度计算安全系数")</f>
        <v>弯曲强度计算安全系数</v>
      </c>
      <c r="B60" s="387" t="str">
        <f>IF(C47=0,"","SF")</f>
        <v>SF</v>
      </c>
      <c r="C60" s="388">
        <f>IF(F53&lt;&gt;"","",IF(C47=0,"",C217))</f>
        <v>3.35</v>
      </c>
      <c r="D60" s="389" t="str">
        <f>IF(F53&lt;&gt;"","",IF(C47=0,"",IF(C217&gt;=C214,"","?")))</f>
        <v/>
      </c>
      <c r="E60" s="390" t="str">
        <f>IF(C60&lt;1.25,"注：小于 1.25（失效概率低于1/1000的最小安全系数）","")</f>
        <v/>
      </c>
      <c r="F60" s="380" t="str">
        <f>IF(C47=0,"",IF(ROUND(G60,4)&lt;&gt;ROUND(G59,4),"目标值",""))</f>
        <v/>
      </c>
      <c r="G60" s="381">
        <v>0</v>
      </c>
      <c r="H60" s="335"/>
      <c r="I60" s="356"/>
      <c r="J60" s="401"/>
      <c r="K60" s="255"/>
      <c r="L60" s="291"/>
    </row>
    <row r="61" spans="1:12" ht="15.75" hidden="1">
      <c r="A61" s="391" t="s">
        <v>2935</v>
      </c>
      <c r="B61" s="292"/>
      <c r="C61" s="303"/>
      <c r="D61" s="392"/>
      <c r="E61" s="294"/>
      <c r="F61" s="294"/>
      <c r="G61" s="299"/>
      <c r="H61" s="311"/>
      <c r="I61" s="294"/>
      <c r="J61" s="279"/>
      <c r="K61" s="255"/>
      <c r="L61" s="291"/>
    </row>
    <row r="62" spans="1:12" ht="15.75" hidden="1">
      <c r="A62" s="291" t="s">
        <v>13765</v>
      </c>
      <c r="B62" s="303" t="s">
        <v>14680</v>
      </c>
      <c r="C62" s="302">
        <f>C22*C20</f>
        <v>97.5</v>
      </c>
      <c r="D62" s="311" t="s">
        <v>2820</v>
      </c>
      <c r="E62" s="302"/>
      <c r="F62" s="291"/>
      <c r="G62" s="302"/>
      <c r="H62" s="291"/>
      <c r="I62" s="404"/>
      <c r="J62" s="279"/>
      <c r="K62" s="405"/>
      <c r="L62" s="291"/>
    </row>
    <row r="63" spans="1:12" ht="15.75" hidden="1">
      <c r="A63" s="291" t="s">
        <v>13767</v>
      </c>
      <c r="B63" s="292" t="s">
        <v>14681</v>
      </c>
      <c r="C63" s="302">
        <f>C22*C21</f>
        <v>180</v>
      </c>
      <c r="D63" s="311" t="s">
        <v>2820</v>
      </c>
      <c r="E63" s="302"/>
      <c r="F63" s="291"/>
      <c r="G63" s="302"/>
      <c r="H63" s="291"/>
      <c r="I63" s="404"/>
      <c r="J63" s="297"/>
      <c r="K63" s="405"/>
      <c r="L63" s="291"/>
    </row>
    <row r="64" spans="1:12" ht="15.75" hidden="1">
      <c r="A64" s="291" t="s">
        <v>14672</v>
      </c>
      <c r="B64" s="303" t="s">
        <v>14673</v>
      </c>
      <c r="C64" s="302">
        <f>C22*C20/(2*SIN(C70))</f>
        <v>102.355080479671</v>
      </c>
      <c r="D64" s="311" t="s">
        <v>2820</v>
      </c>
      <c r="E64" s="302"/>
      <c r="F64" s="291"/>
      <c r="G64" s="302"/>
      <c r="H64" s="291"/>
      <c r="I64" s="404"/>
      <c r="J64" s="297"/>
      <c r="K64" s="405"/>
      <c r="L64" s="291"/>
    </row>
    <row r="65" spans="1:12" ht="15.75" hidden="1">
      <c r="A65" s="291" t="s">
        <v>14682</v>
      </c>
      <c r="B65" s="303" t="s">
        <v>1858</v>
      </c>
      <c r="C65" s="302">
        <f>PI()*C22</f>
        <v>23.5619449019234</v>
      </c>
      <c r="D65" s="311" t="s">
        <v>2820</v>
      </c>
      <c r="E65" s="302"/>
      <c r="F65" s="291"/>
      <c r="G65" s="302"/>
      <c r="H65" s="291"/>
      <c r="I65" s="404"/>
      <c r="J65" s="297"/>
      <c r="K65" s="405"/>
      <c r="L65" s="291"/>
    </row>
    <row r="66" spans="1:12" ht="15.75" hidden="1">
      <c r="A66" s="291" t="s">
        <v>14683</v>
      </c>
      <c r="B66" s="292" t="s">
        <v>2982</v>
      </c>
      <c r="C66" s="291">
        <f>C22*(G29/2+G25)</f>
        <v>8.4420000000000002</v>
      </c>
      <c r="D66" s="311" t="s">
        <v>2820</v>
      </c>
      <c r="E66" s="302"/>
      <c r="F66" s="291"/>
      <c r="G66" s="302"/>
      <c r="H66" s="291"/>
      <c r="I66" s="404"/>
      <c r="J66" s="297"/>
      <c r="K66" s="297"/>
      <c r="L66" s="291"/>
    </row>
    <row r="67" spans="1:12" ht="15.75" hidden="1">
      <c r="A67" s="291" t="s">
        <v>14684</v>
      </c>
      <c r="B67" s="292" t="s">
        <v>2983</v>
      </c>
      <c r="C67" s="291">
        <f>C22*(G29/2-G25)</f>
        <v>4.3079999999999998</v>
      </c>
      <c r="D67" s="311" t="s">
        <v>2820</v>
      </c>
      <c r="E67" s="302"/>
      <c r="F67" s="291"/>
      <c r="G67" s="302"/>
      <c r="H67" s="291"/>
      <c r="I67" s="404"/>
      <c r="J67" s="297"/>
      <c r="K67" s="297"/>
      <c r="L67" s="291"/>
    </row>
    <row r="68" spans="1:12" ht="15.75" hidden="1">
      <c r="A68" s="291" t="s">
        <v>14685</v>
      </c>
      <c r="B68" s="292" t="s">
        <v>2985</v>
      </c>
      <c r="C68" s="291">
        <f>G30-C66</f>
        <v>5.718</v>
      </c>
      <c r="D68" s="311" t="s">
        <v>2820</v>
      </c>
      <c r="E68" s="302"/>
      <c r="F68" s="291"/>
      <c r="G68" s="302"/>
      <c r="H68" s="291"/>
      <c r="I68" s="404"/>
      <c r="J68" s="297"/>
      <c r="K68" s="297"/>
      <c r="L68" s="291"/>
    </row>
    <row r="69" spans="1:12" ht="15.75" hidden="1">
      <c r="A69" s="291" t="s">
        <v>14686</v>
      </c>
      <c r="B69" s="292" t="s">
        <v>14687</v>
      </c>
      <c r="C69" s="291">
        <f>G30-C67</f>
        <v>9.8520000000000003</v>
      </c>
      <c r="D69" s="311" t="s">
        <v>2820</v>
      </c>
      <c r="E69" s="302"/>
      <c r="F69" s="291"/>
      <c r="G69" s="302"/>
      <c r="H69" s="291"/>
      <c r="I69" s="404"/>
      <c r="J69" s="297"/>
      <c r="K69" s="297"/>
      <c r="L69" s="291"/>
    </row>
    <row r="70" spans="1:12" ht="15" hidden="1">
      <c r="A70" s="291" t="s">
        <v>14688</v>
      </c>
      <c r="B70" s="291" t="s">
        <v>14689</v>
      </c>
      <c r="C70" s="291">
        <f>ATAN(SIN(RADIANS(G23))/(C21/C20+COS(RADIANS(G23))))</f>
        <v>0.49642275340488201</v>
      </c>
      <c r="D70" s="255" t="s">
        <v>2048</v>
      </c>
      <c r="E70" s="302">
        <f t="shared" ref="E70:E77" si="2">DEGREES(C70)</f>
        <v>28.442928624363301</v>
      </c>
      <c r="F70" s="311" t="s">
        <v>257</v>
      </c>
      <c r="G70" s="302">
        <f t="shared" ref="G70:G75" si="3">ROUND(INT(E70)+INT((E70-INT(E70))*60)/100+((E70-INT(E70))*60-INT((E70-INT(E70))*60))*60/10000,4)</f>
        <v>28.263500000000001</v>
      </c>
      <c r="H70" s="255" t="s">
        <v>14690</v>
      </c>
      <c r="I70" s="404"/>
      <c r="J70" s="297"/>
      <c r="K70" s="297"/>
      <c r="L70" s="291"/>
    </row>
    <row r="71" spans="1:12" ht="15" hidden="1">
      <c r="A71" s="291" t="s">
        <v>14691</v>
      </c>
      <c r="B71" s="291" t="s">
        <v>14692</v>
      </c>
      <c r="C71" s="291">
        <f>RADIANS(G23)-C70</f>
        <v>1.0743735733900099</v>
      </c>
      <c r="D71" s="255" t="s">
        <v>2048</v>
      </c>
      <c r="E71" s="302">
        <f t="shared" si="2"/>
        <v>61.557071375636603</v>
      </c>
      <c r="F71" s="311" t="s">
        <v>257</v>
      </c>
      <c r="G71" s="302">
        <f t="shared" si="3"/>
        <v>61.332500000000003</v>
      </c>
      <c r="H71" s="255" t="s">
        <v>14690</v>
      </c>
      <c r="I71" s="404"/>
      <c r="J71" s="297"/>
      <c r="K71" s="297"/>
      <c r="L71" s="291"/>
    </row>
    <row r="72" spans="1:12" ht="15.75" hidden="1">
      <c r="A72" s="302" t="s">
        <v>14693</v>
      </c>
      <c r="B72" s="302" t="s">
        <v>14694</v>
      </c>
      <c r="C72" s="291">
        <f>C70+C77</f>
        <v>0.59238030422695098</v>
      </c>
      <c r="D72" s="255" t="s">
        <v>2048</v>
      </c>
      <c r="E72" s="302">
        <f t="shared" si="2"/>
        <v>33.940891298879997</v>
      </c>
      <c r="F72" s="311" t="s">
        <v>257</v>
      </c>
      <c r="G72" s="302">
        <f t="shared" si="3"/>
        <v>33.5627</v>
      </c>
      <c r="H72" s="255" t="s">
        <v>14690</v>
      </c>
      <c r="I72" s="404"/>
      <c r="J72" s="297"/>
      <c r="K72" s="297"/>
      <c r="L72" s="291"/>
    </row>
    <row r="73" spans="1:12" ht="15.75" hidden="1">
      <c r="A73" s="302" t="s">
        <v>14695</v>
      </c>
      <c r="B73" s="302" t="s">
        <v>14696</v>
      </c>
      <c r="C73" s="291">
        <f>C71+C76</f>
        <v>1.1301799172774201</v>
      </c>
      <c r="D73" s="255" t="s">
        <v>2048</v>
      </c>
      <c r="E73" s="302">
        <f t="shared" si="2"/>
        <v>64.754539350440595</v>
      </c>
      <c r="F73" s="311" t="s">
        <v>257</v>
      </c>
      <c r="G73" s="302">
        <f t="shared" si="3"/>
        <v>64.451599999999999</v>
      </c>
      <c r="H73" s="255" t="s">
        <v>14690</v>
      </c>
      <c r="I73" s="404"/>
      <c r="J73" s="297"/>
      <c r="K73" s="297"/>
      <c r="L73" s="291"/>
    </row>
    <row r="74" spans="1:12" ht="15.75" hidden="1">
      <c r="A74" s="302" t="s">
        <v>14697</v>
      </c>
      <c r="B74" s="302" t="s">
        <v>14698</v>
      </c>
      <c r="C74" s="291">
        <f>C70-C76</f>
        <v>0.44061640951747699</v>
      </c>
      <c r="D74" s="255" t="s">
        <v>2048</v>
      </c>
      <c r="E74" s="302">
        <f t="shared" si="2"/>
        <v>25.245460649559401</v>
      </c>
      <c r="F74" s="311" t="s">
        <v>257</v>
      </c>
      <c r="G74" s="302">
        <f t="shared" si="3"/>
        <v>25.144400000000001</v>
      </c>
      <c r="H74" s="255" t="s">
        <v>14690</v>
      </c>
      <c r="I74" s="404"/>
      <c r="J74" s="297"/>
      <c r="K74" s="297"/>
      <c r="L74" s="291"/>
    </row>
    <row r="75" spans="1:12" ht="15.75" hidden="1">
      <c r="A75" s="302" t="s">
        <v>14699</v>
      </c>
      <c r="B75" s="302" t="s">
        <v>14700</v>
      </c>
      <c r="C75" s="291">
        <f>C71-C77</f>
        <v>0.97841602256794602</v>
      </c>
      <c r="D75" s="255" t="s">
        <v>2048</v>
      </c>
      <c r="E75" s="302">
        <f t="shared" si="2"/>
        <v>56.059108701120003</v>
      </c>
      <c r="F75" s="311" t="s">
        <v>257</v>
      </c>
      <c r="G75" s="302">
        <f t="shared" si="3"/>
        <v>56.033299999999997</v>
      </c>
      <c r="H75" s="255" t="s">
        <v>14690</v>
      </c>
      <c r="I75" s="404"/>
      <c r="J75" s="297"/>
      <c r="K75" s="297"/>
      <c r="L75" s="291"/>
    </row>
    <row r="76" spans="1:12" ht="15" hidden="1">
      <c r="A76" s="291" t="s">
        <v>14701</v>
      </c>
      <c r="B76" s="291" t="s">
        <v>14702</v>
      </c>
      <c r="C76" s="291">
        <f>ATAN(C68/C64)</f>
        <v>5.5806343887404401E-2</v>
      </c>
      <c r="D76" s="255" t="s">
        <v>2048</v>
      </c>
      <c r="E76" s="302">
        <f t="shared" si="2"/>
        <v>3.19746797480397</v>
      </c>
      <c r="F76" s="311" t="s">
        <v>257</v>
      </c>
      <c r="G76" s="302">
        <f>ROUND(E76*60,1)</f>
        <v>191.8</v>
      </c>
      <c r="H76" s="255" t="s">
        <v>2825</v>
      </c>
      <c r="I76" s="404"/>
      <c r="J76" s="297"/>
      <c r="K76" s="297"/>
      <c r="L76" s="291"/>
    </row>
    <row r="77" spans="1:12" ht="15.75" hidden="1">
      <c r="A77" s="291" t="s">
        <v>14703</v>
      </c>
      <c r="B77" s="291" t="s">
        <v>14704</v>
      </c>
      <c r="C77" s="291">
        <f>ATAN(C69/C64)</f>
        <v>9.5957550822068693E-2</v>
      </c>
      <c r="D77" s="255" t="s">
        <v>2048</v>
      </c>
      <c r="E77" s="302">
        <f t="shared" si="2"/>
        <v>5.4979626745166401</v>
      </c>
      <c r="F77" s="311" t="s">
        <v>257</v>
      </c>
      <c r="G77" s="302">
        <f>ROUND(E77*60,1)</f>
        <v>329.9</v>
      </c>
      <c r="H77" s="255" t="s">
        <v>2825</v>
      </c>
      <c r="I77" s="404"/>
      <c r="J77" s="297"/>
      <c r="K77" s="297"/>
      <c r="L77" s="291"/>
    </row>
    <row r="78" spans="1:12" ht="15.75" hidden="1">
      <c r="A78" s="272" t="s">
        <v>14705</v>
      </c>
      <c r="B78" s="292" t="s">
        <v>3009</v>
      </c>
      <c r="C78" s="291">
        <f>C65-C79</f>
        <v>13.892803579908399</v>
      </c>
      <c r="D78" s="311" t="s">
        <v>2820</v>
      </c>
      <c r="E78" s="302"/>
      <c r="F78" s="291"/>
      <c r="G78" s="302"/>
      <c r="H78" s="291"/>
      <c r="I78" s="404"/>
      <c r="J78" s="297"/>
      <c r="K78" s="297"/>
      <c r="L78" s="291"/>
    </row>
    <row r="79" spans="1:12" ht="15.75" hidden="1">
      <c r="A79" s="272" t="s">
        <v>14706</v>
      </c>
      <c r="B79" s="292" t="s">
        <v>3010</v>
      </c>
      <c r="C79" s="291">
        <f>C65/2-(C66-C67)*TAN(J23)/COS(J87)-G24*C22</f>
        <v>9.66914132201501</v>
      </c>
      <c r="D79" s="311" t="s">
        <v>2820</v>
      </c>
      <c r="E79" s="302"/>
      <c r="F79" s="291"/>
      <c r="G79" s="302"/>
      <c r="H79" s="291"/>
      <c r="I79" s="404"/>
      <c r="J79" s="297"/>
      <c r="K79" s="297"/>
      <c r="L79" s="291"/>
    </row>
    <row r="80" spans="1:12" ht="15.75" hidden="1">
      <c r="A80" s="309" t="s">
        <v>14707</v>
      </c>
      <c r="B80" s="291" t="s">
        <v>14708</v>
      </c>
      <c r="C80" s="291">
        <f>(0.5*C78+C68*TAN(J23))/C64</f>
        <v>8.81986858608481E-2</v>
      </c>
      <c r="D80" s="255" t="s">
        <v>2048</v>
      </c>
      <c r="E80" s="302">
        <f>DEGREES(C80)</f>
        <v>5.0534124584267701</v>
      </c>
      <c r="F80" s="311" t="s">
        <v>257</v>
      </c>
      <c r="G80" s="302">
        <f>ROUND(INT(E80)+INT((E80-INT(E80))*60)/100+((E80-INT(E80))*60-INT((E80-INT(E80))*60))*60/10000,4)</f>
        <v>5.0312000000000001</v>
      </c>
      <c r="H80" s="255" t="s">
        <v>14690</v>
      </c>
      <c r="I80" s="404"/>
      <c r="J80" s="297"/>
      <c r="K80" s="297"/>
      <c r="L80" s="291"/>
    </row>
    <row r="81" spans="1:12" ht="15.75" hidden="1">
      <c r="A81" s="291" t="s">
        <v>14709</v>
      </c>
      <c r="B81" s="291" t="s">
        <v>14710</v>
      </c>
      <c r="C81" s="291">
        <f>(0.5*C79+C69*TAN(J23))/C64</f>
        <v>8.2266609234609503E-2</v>
      </c>
      <c r="D81" s="255" t="s">
        <v>2048</v>
      </c>
      <c r="E81" s="302">
        <f>DEGREES(C81)</f>
        <v>4.7135295039950904</v>
      </c>
      <c r="F81" s="311" t="s">
        <v>257</v>
      </c>
      <c r="G81" s="302">
        <f>ROUND(INT(E81)+INT((E81-INT(E81))*60)/100+((E81-INT(E81))*60-INT((E81-INT(E81))*60))*60/10000,4)</f>
        <v>4.4249000000000001</v>
      </c>
      <c r="H81" s="255" t="s">
        <v>14690</v>
      </c>
      <c r="I81" s="404"/>
      <c r="J81" s="297"/>
      <c r="K81" s="297"/>
      <c r="L81" s="291"/>
    </row>
    <row r="82" spans="1:12" ht="15.75" hidden="1">
      <c r="A82" s="291" t="s">
        <v>14711</v>
      </c>
      <c r="B82" s="292"/>
      <c r="C82" s="302">
        <f>G76+G77</f>
        <v>521.70000000000005</v>
      </c>
      <c r="D82" s="255" t="s">
        <v>2825</v>
      </c>
      <c r="E82" s="406"/>
      <c r="F82" s="303"/>
      <c r="G82" s="302"/>
      <c r="H82" s="311"/>
      <c r="I82" s="404"/>
      <c r="J82" s="412"/>
      <c r="K82" s="297"/>
      <c r="L82" s="291"/>
    </row>
    <row r="83" spans="1:12" ht="15.75" hidden="1">
      <c r="A83" s="291"/>
      <c r="B83" s="292"/>
      <c r="C83" s="302">
        <f>TAN(C76)+TAN(C77)</f>
        <v>0.15211751021086201</v>
      </c>
      <c r="D83" s="255"/>
      <c r="E83" s="406"/>
      <c r="F83" s="303"/>
      <c r="G83" s="302"/>
      <c r="H83" s="311"/>
      <c r="I83" s="404"/>
      <c r="J83" s="297"/>
      <c r="K83" s="297"/>
      <c r="L83" s="291"/>
    </row>
    <row r="84" spans="1:12" ht="15.75" hidden="1">
      <c r="A84" s="291"/>
      <c r="B84" s="292"/>
      <c r="C84" s="302">
        <f>C82*SIN(J24)/20</f>
        <v>16.415822400534999</v>
      </c>
      <c r="D84" s="311"/>
      <c r="E84" s="406"/>
      <c r="F84" s="303"/>
      <c r="G84" s="302"/>
      <c r="H84" s="311"/>
      <c r="I84" s="404"/>
      <c r="J84" s="412"/>
      <c r="K84" s="297"/>
      <c r="L84" s="291"/>
    </row>
    <row r="85" spans="1:12" ht="15.75" hidden="1">
      <c r="A85" s="291" t="s">
        <v>14712</v>
      </c>
      <c r="B85" s="292" t="s">
        <v>14713</v>
      </c>
      <c r="C85" s="270">
        <f>C64-C27/2</f>
        <v>87.3550804796714</v>
      </c>
      <c r="D85" s="311"/>
      <c r="E85" s="406"/>
      <c r="F85" s="303"/>
      <c r="G85" s="316">
        <f>C85</f>
        <v>87.3550804796714</v>
      </c>
      <c r="H85" s="311"/>
      <c r="I85" s="404"/>
      <c r="J85" s="297"/>
      <c r="K85" s="297"/>
      <c r="L85" s="291"/>
    </row>
    <row r="86" spans="1:12" ht="15.75" hidden="1">
      <c r="A86" s="291" t="s">
        <v>14714</v>
      </c>
      <c r="B86" s="292" t="s">
        <v>14715</v>
      </c>
      <c r="C86" s="302">
        <f>C64-C27</f>
        <v>72.3550804796714</v>
      </c>
      <c r="D86" s="311"/>
      <c r="E86" s="406"/>
      <c r="F86" s="303"/>
      <c r="G86" s="302"/>
      <c r="H86" s="311"/>
      <c r="I86" s="404"/>
      <c r="J86" s="297"/>
      <c r="K86" s="297"/>
      <c r="L86" s="291"/>
    </row>
    <row r="87" spans="1:12" ht="15.75" hidden="1">
      <c r="A87" s="291"/>
      <c r="B87" s="292"/>
      <c r="C87" s="302"/>
      <c r="D87" s="311"/>
      <c r="E87" s="406"/>
      <c r="F87" s="303"/>
      <c r="G87" s="302"/>
      <c r="H87" s="311"/>
      <c r="I87" s="413" t="s">
        <v>14716</v>
      </c>
      <c r="J87" s="414">
        <f>IF(C14=1,0,ASIN(1/(C43)*(C64+C85*(C43*SIN(J24)-C85)/C64)))</f>
        <v>0.75191046425177699</v>
      </c>
      <c r="K87" s="415" t="s">
        <v>2048</v>
      </c>
      <c r="L87" s="291"/>
    </row>
    <row r="88" spans="1:12" ht="15.75" hidden="1">
      <c r="A88" s="289"/>
      <c r="B88" s="303" t="s">
        <v>14717</v>
      </c>
      <c r="C88" s="407">
        <f>IF(AND(C24&lt;=15,C64&gt;=20,C64&lt;=40,G30&lt;=9,C27&lt;=14,C22&gt;=2.5,C22&lt;=4),88.9,IF(AND(C24&gt;15,C24&lt;=30,C64&gt;=30,C64&lt;=54,G30&lt;=9,C27&lt;=18,C22&gt;=2.5,C22&lt;=4),88.9,IF(AND(C24&gt;30,C64&gt;=45,C64&lt;=65,G30&lt;=9,C27&lt;=20,C22&gt;=2.5,C22&lt;=4),88.9,IF(AND(C24&lt;=15,C64&gt;=60,C64&lt;=120,G30&lt;=15,C27&lt;=36,C22&gt;=4,C22&lt;=6.5),228.6,IF(AND(C24&gt;15,C24&lt;=30,C64&gt;=78,C64&lt;=130,G30&lt;=15,C27&lt;=45,C22&gt;=4,C22&lt;=7.5),228.6,IF(AND(C24&gt;30,C64&gt;=115,C64&lt;=165,G30&lt;=15,C27&lt;=50,C22&gt;=4,C22&lt;=8),228.6,E88))))))</f>
        <v>190.5</v>
      </c>
      <c r="D88" s="311" t="s">
        <v>2820</v>
      </c>
      <c r="E88" s="408">
        <f>IF(AND(C24&lt;=15,C64&gt;=35,C64&lt;=75,G30&lt;=10,C27&lt;=24,C22&gt;=2.5,C22&lt;=4.5),152.4,IF(AND(C24&gt;15,C24&lt;=30,C64&gt;=50,C64&lt;=87,G30&lt;=10,C27&lt;=30,C22&gt;=2.5,C22&lt;=5),152.4,IF(AND(C24&gt;30,C64&gt;=60,C64&lt;=110,G30&lt;=10,C27&lt;=30,C22&gt;=2.5,C22&lt;=5),152.4,IF(AND(C24&lt;=15,C64&gt;=90,C64&lt;=180,G30&lt;=20,C27&lt;=50,C22&gt;=5,C22&lt;=9),304.8,IF(AND(C24&gt;15,C24&lt;=30,C64&gt;=105,C64&lt;=175,G30&lt;=20,C27&lt;=60,C22&gt;=5,C22&lt;=10),304.8,IF(AND(C24&gt;30,C64&gt;=150,C64&lt;=220,G30&lt;=20,C27&lt;=65,C22&gt;=5,C22&lt;=11),304.8,G88))))))</f>
        <v>190.5</v>
      </c>
      <c r="F88" s="408"/>
      <c r="G88" s="408">
        <f>IF(AND(C24&lt;=15,C64&gt;=60,C64&lt;=120,G30&lt;=15,C27&lt;=30,C22&gt;=4,C22&lt;=6),190.5,IF(AND(C24&gt;15,C24&lt;=30,C64&gt;=65,C64&lt;=110,G30&lt;=15,C27&lt;=40,C22&gt;=4,C22&lt;=7.5),190.5,IF(AND(C24&gt;30,C64&gt;=95,C64&lt;=135,G30&lt;=15,C27&lt;=40,C22&gt;=4,C22&lt;=7.5),190.5,IF(AND(C24&lt;=15,C64&gt;=140,C64&lt;=240,G30&lt;=28,C27&lt;=70,C22&gt;=6,C22&lt;=12),457.2,IF(AND(C24&gt;15,C24&lt;=25,C64&gt;=140,C64&lt;=230,G30&lt;=28,C27&lt;=80,C22&gt;=6,C22&lt;=14),457.2,IF(AND(C24&gt;25,C24&lt;=35,C64&gt;=195,C64&lt;=290,G30&lt;=28,C27&lt;=100,C22&gt;=6,C22&lt;=15),457.2,IF(AND(C24&gt;35,C64&gt;=200,C64&lt;=360,G30&lt;=28,C27&lt;=100,C22&gt;=6,C22&lt;=15),457.2,"*")))))))</f>
        <v>190.5</v>
      </c>
      <c r="H88" s="366"/>
      <c r="I88" s="416"/>
      <c r="J88" s="417">
        <f>DEGREES(J87)</f>
        <v>43.081296173349202</v>
      </c>
      <c r="K88" s="418" t="s">
        <v>257</v>
      </c>
      <c r="L88" s="291"/>
    </row>
    <row r="89" spans="1:12" ht="15.75" hidden="1">
      <c r="A89" s="409"/>
      <c r="B89" s="298" t="s">
        <v>14718</v>
      </c>
      <c r="C89" s="289">
        <f>COS(J87)</f>
        <v>0.73038528789678603</v>
      </c>
      <c r="D89" s="289"/>
      <c r="E89" s="289"/>
      <c r="F89" s="289"/>
      <c r="G89" s="299"/>
      <c r="H89" s="289"/>
      <c r="I89" s="416"/>
      <c r="J89" s="417">
        <f>ROUND(INT(J88)+INT((J88-INT(J88))*60)/100+((J88-INT(J88))*60-INT((J88-INT(J88))*60))*60/10000,4)</f>
        <v>43.045299999999997</v>
      </c>
      <c r="K89" s="419" t="s">
        <v>14719</v>
      </c>
      <c r="L89" s="291"/>
    </row>
    <row r="90" spans="1:12" ht="15.75" hidden="1">
      <c r="A90" s="409"/>
      <c r="B90" s="298" t="s">
        <v>14720</v>
      </c>
      <c r="C90" s="289">
        <f>1/4*SIN(2*J87)</f>
        <v>0.249439496571004</v>
      </c>
      <c r="D90" s="289"/>
      <c r="E90" s="289"/>
      <c r="F90" s="289"/>
      <c r="G90" s="289"/>
      <c r="H90" s="289"/>
      <c r="I90" s="416" t="s">
        <v>14721</v>
      </c>
      <c r="J90" s="417">
        <f>IF(C14=1,0,ASIN(1/(C43)*(C86+C85*(C43*SIN(J24)-C85)/C86)))</f>
        <v>0.62609062787755398</v>
      </c>
      <c r="K90" s="419" t="s">
        <v>2048</v>
      </c>
      <c r="L90" s="291"/>
    </row>
    <row r="91" spans="1:12" ht="15.75" hidden="1">
      <c r="A91" s="409"/>
      <c r="B91" s="298" t="s">
        <v>14722</v>
      </c>
      <c r="C91" s="289">
        <f>0.25*COS(J87)^4</f>
        <v>7.1145604744421803E-2</v>
      </c>
      <c r="D91" s="289"/>
      <c r="E91" s="289"/>
      <c r="F91" s="289"/>
      <c r="G91" s="289"/>
      <c r="H91" s="289"/>
      <c r="I91" s="416"/>
      <c r="J91" s="417">
        <f>DEGREES(J90)</f>
        <v>35.872350570079597</v>
      </c>
      <c r="K91" s="418" t="s">
        <v>257</v>
      </c>
      <c r="L91" s="291"/>
    </row>
    <row r="92" spans="1:12" ht="15.75" hidden="1">
      <c r="A92" s="409"/>
      <c r="B92" s="298" t="s">
        <v>14723</v>
      </c>
      <c r="C92" s="289">
        <f>COS(J90)</f>
        <v>0.81032451392700799</v>
      </c>
      <c r="D92" s="289"/>
      <c r="E92" s="289"/>
      <c r="F92" s="289"/>
      <c r="G92" s="289"/>
      <c r="H92" s="289"/>
      <c r="I92" s="416"/>
      <c r="J92" s="417">
        <f>ROUND(INT(J91)+INT((J91-INT(J91))*60)/100+((J91-INT(J91))*60-INT((J91-INT(J91))*60))*60/10000,4)</f>
        <v>35.521999999999998</v>
      </c>
      <c r="K92" s="419" t="s">
        <v>14719</v>
      </c>
      <c r="L92" s="291"/>
    </row>
    <row r="93" spans="1:12" ht="15.75" hidden="1">
      <c r="A93" s="409"/>
      <c r="B93" s="298"/>
      <c r="C93" s="289">
        <f>C92*C78</f>
        <v>11.257679307972699</v>
      </c>
      <c r="D93" s="289"/>
      <c r="E93" s="289"/>
      <c r="F93" s="289"/>
      <c r="G93" s="289"/>
      <c r="H93" s="289"/>
      <c r="I93" s="416"/>
      <c r="J93" s="420" t="s">
        <v>14724</v>
      </c>
      <c r="K93" s="421"/>
      <c r="L93" s="291"/>
    </row>
    <row r="94" spans="1:12" ht="15.75" hidden="1">
      <c r="A94" s="409"/>
      <c r="B94" s="298"/>
      <c r="C94" s="289">
        <f>C92*C79</f>
        <v>7.8351422418533598</v>
      </c>
      <c r="D94" s="289"/>
      <c r="E94" s="289"/>
      <c r="F94" s="289"/>
      <c r="G94" s="289"/>
      <c r="H94" s="289"/>
      <c r="I94" s="416" t="s">
        <v>14725</v>
      </c>
      <c r="J94" s="422">
        <f>ATAN(TAN(J23)/COS(J24))</f>
        <v>0.43800215435949502</v>
      </c>
      <c r="K94" s="421"/>
      <c r="L94" s="291"/>
    </row>
    <row r="95" spans="1:12" ht="15.75" hidden="1">
      <c r="A95" s="409"/>
      <c r="B95" s="298"/>
      <c r="C95" s="289">
        <f>2*C68*TAN(J23)</f>
        <v>4.1623635990682901</v>
      </c>
      <c r="D95" s="289"/>
      <c r="E95" s="289"/>
      <c r="F95" s="289"/>
      <c r="G95" s="289"/>
      <c r="H95" s="289"/>
      <c r="I95" s="423"/>
      <c r="J95" s="422">
        <f>SQRT(C21/C20*COS(C70)/ABS(COS(C71)))</f>
        <v>1.84615384615385</v>
      </c>
      <c r="K95" s="421"/>
      <c r="L95" s="291"/>
    </row>
    <row r="96" spans="1:12" ht="15.75" hidden="1">
      <c r="A96" s="312"/>
      <c r="B96" s="298"/>
      <c r="C96" s="289">
        <f>2*C69*TAN(J23)</f>
        <v>7.1716694959812504</v>
      </c>
      <c r="D96" s="339"/>
      <c r="E96" s="289"/>
      <c r="F96" s="339"/>
      <c r="G96" s="289"/>
      <c r="H96" s="289"/>
      <c r="I96" s="423"/>
      <c r="J96" s="422">
        <f>ATAN(1/J95)</f>
        <v>0.49642275340488201</v>
      </c>
      <c r="K96" s="421"/>
      <c r="L96" s="291"/>
    </row>
    <row r="97" spans="1:12" ht="15.75" hidden="1">
      <c r="A97" s="312"/>
      <c r="B97" s="382"/>
      <c r="C97" s="289">
        <f>1-C83</f>
        <v>0.84788248978913805</v>
      </c>
      <c r="D97" s="311"/>
      <c r="E97" s="289"/>
      <c r="F97" s="339"/>
      <c r="G97" s="289"/>
      <c r="H97" s="289"/>
      <c r="I97" s="423"/>
      <c r="J97" s="422">
        <f>PI()/2-J96</f>
        <v>1.0743735733900099</v>
      </c>
      <c r="K97" s="421"/>
      <c r="L97" s="291"/>
    </row>
    <row r="98" spans="1:12" ht="15.75" hidden="1">
      <c r="A98" s="312"/>
      <c r="B98" s="298"/>
      <c r="C98" s="289">
        <f>C94-C95</f>
        <v>3.6727786427850702</v>
      </c>
      <c r="D98" s="311"/>
      <c r="E98" s="410"/>
      <c r="F98" s="298"/>
      <c r="G98" s="289"/>
      <c r="H98" s="289"/>
      <c r="I98" s="423" t="s">
        <v>14726</v>
      </c>
      <c r="J98" s="422">
        <f>C20*COS(J96)/COS(C70)</f>
        <v>13</v>
      </c>
      <c r="K98" s="421"/>
      <c r="L98" s="291"/>
    </row>
    <row r="99" spans="1:12" ht="15.75" hidden="1">
      <c r="A99" s="312"/>
      <c r="B99" s="298"/>
      <c r="C99" s="289">
        <f>C93-C96</f>
        <v>4.0860098119914401</v>
      </c>
      <c r="D99" s="339"/>
      <c r="E99" s="289"/>
      <c r="F99" s="289"/>
      <c r="G99" s="289"/>
      <c r="H99" s="289"/>
      <c r="I99" s="423" t="s">
        <v>14727</v>
      </c>
      <c r="J99" s="422">
        <f>C21*COS(J97)/ABS(COS(C71))</f>
        <v>24</v>
      </c>
      <c r="K99" s="421"/>
      <c r="L99" s="291"/>
    </row>
    <row r="100" spans="1:12" ht="15.75" hidden="1">
      <c r="A100" s="312"/>
      <c r="B100" s="323"/>
      <c r="C100" s="289">
        <f>2*C78*COS(C70)/C62</f>
        <v>0.25058114011255</v>
      </c>
      <c r="D100" s="311"/>
      <c r="E100" s="289"/>
      <c r="F100" s="289"/>
      <c r="G100" s="289"/>
      <c r="H100" s="289"/>
      <c r="I100" s="424"/>
      <c r="J100" s="422">
        <f>SQRT((J98/(2*COS(J96))+C66/C22)^2-(J98*COS(J94)/(2*COS(J96)))^2)</f>
        <v>5.2667550191449903</v>
      </c>
      <c r="K100" s="421"/>
      <c r="L100" s="291"/>
    </row>
    <row r="101" spans="1:12" ht="15.75" hidden="1">
      <c r="A101" s="312"/>
      <c r="B101" s="323"/>
      <c r="C101" s="289">
        <f>2*C79*COS(C71)/C63</f>
        <v>5.1169434139275598E-2</v>
      </c>
      <c r="D101" s="311"/>
      <c r="E101" s="289"/>
      <c r="F101" s="289"/>
      <c r="G101" s="289"/>
      <c r="H101" s="289"/>
      <c r="I101" s="424"/>
      <c r="J101" s="422">
        <f>SQRT((J99/(2*COS(J97))+C67/C22)^2-(J99*COS(J94)/(2*COS(J97)))^2)</f>
        <v>11.9776939748477</v>
      </c>
      <c r="K101" s="421"/>
      <c r="L101" s="291"/>
    </row>
    <row r="102" spans="1:12" ht="15.75" hidden="1">
      <c r="A102" s="312"/>
      <c r="B102" s="323"/>
      <c r="C102" s="289">
        <f>C78*(1-C100^2/6)</f>
        <v>13.7474132885096</v>
      </c>
      <c r="D102" s="311"/>
      <c r="E102" s="289"/>
      <c r="F102" s="289"/>
      <c r="G102" s="289"/>
      <c r="H102" s="289"/>
      <c r="I102" s="424"/>
      <c r="J102" s="422">
        <f>TAN(J94)/PI()*(J98/(2*COS(J96))+J99/(2*COS(J97)))</f>
        <v>4.8580638722433704</v>
      </c>
      <c r="K102" s="421"/>
      <c r="L102" s="291"/>
    </row>
    <row r="103" spans="1:12" ht="15.75" hidden="1">
      <c r="A103" s="312"/>
      <c r="B103" s="323"/>
      <c r="C103" s="289">
        <f>C79*(1-C101^2/6)</f>
        <v>9.6649218521835802</v>
      </c>
      <c r="D103" s="311"/>
      <c r="E103" s="289"/>
      <c r="F103" s="289"/>
      <c r="G103" s="289"/>
      <c r="H103" s="289"/>
      <c r="I103" s="425" t="s">
        <v>14728</v>
      </c>
      <c r="J103" s="422">
        <f>(J100+J101)/(PI()*COS(J94))-J102</f>
        <v>1.20319235163724</v>
      </c>
      <c r="K103" s="421"/>
      <c r="L103" s="291"/>
    </row>
    <row r="104" spans="1:12" ht="15.75" hidden="1">
      <c r="A104" s="312"/>
      <c r="B104" s="323"/>
      <c r="C104" s="289">
        <f>C90*C78</f>
        <v>3.4654139309322001</v>
      </c>
      <c r="D104" s="311"/>
      <c r="E104" s="289"/>
      <c r="F104" s="289"/>
      <c r="G104" s="289"/>
      <c r="H104" s="289"/>
      <c r="I104" s="424"/>
      <c r="J104" s="422">
        <f>SQRT((C43/2)^2+C85^2-C43*C85*SIN(J24))</f>
        <v>78.935809816909099</v>
      </c>
      <c r="K104" s="421"/>
      <c r="L104" s="291"/>
    </row>
    <row r="105" spans="1:12" ht="15.75" hidden="1">
      <c r="A105" s="312"/>
      <c r="B105" s="323"/>
      <c r="C105" s="289">
        <f>C90*C79</f>
        <v>2.4118657436373101</v>
      </c>
      <c r="D105" s="311"/>
      <c r="E105" s="289"/>
      <c r="F105" s="289"/>
      <c r="G105" s="289"/>
      <c r="H105" s="289"/>
      <c r="I105" s="424"/>
      <c r="J105" s="422">
        <f>C43/2*COS(J90)/J104</f>
        <v>0.97779968471310696</v>
      </c>
      <c r="K105" s="421"/>
      <c r="L105" s="291"/>
    </row>
    <row r="106" spans="1:12" ht="15.75" hidden="1">
      <c r="A106" s="339" t="s">
        <v>14729</v>
      </c>
      <c r="B106" s="323" t="s">
        <v>14730</v>
      </c>
      <c r="C106" s="289">
        <f>C64-C104</f>
        <v>98.8896665487392</v>
      </c>
      <c r="D106" s="311"/>
      <c r="E106" s="289"/>
      <c r="F106" s="289"/>
      <c r="G106" s="289"/>
      <c r="H106" s="289"/>
      <c r="I106" s="424"/>
      <c r="J106" s="422">
        <f>C43/2*COS(J24)/J104</f>
        <v>0.93776389955930695</v>
      </c>
      <c r="K106" s="421"/>
      <c r="L106" s="291"/>
    </row>
    <row r="107" spans="1:12" ht="15.75" hidden="1">
      <c r="A107" s="339" t="s">
        <v>14731</v>
      </c>
      <c r="B107" s="323" t="s">
        <v>14732</v>
      </c>
      <c r="C107" s="289">
        <f>C64-C105</f>
        <v>99.943214736034093</v>
      </c>
      <c r="D107" s="311"/>
      <c r="E107" s="289"/>
      <c r="F107" s="289"/>
      <c r="G107" s="289"/>
      <c r="H107" s="289"/>
      <c r="I107" s="424"/>
      <c r="J107" s="422">
        <f>C43/2*COS(J87)/J104</f>
        <v>0.88133888577990105</v>
      </c>
      <c r="K107" s="421"/>
      <c r="L107" s="291"/>
    </row>
    <row r="108" spans="1:12" ht="15.75" hidden="1">
      <c r="A108" s="339"/>
      <c r="B108" s="323"/>
      <c r="C108" s="289">
        <f>C106/C64</f>
        <v>0.96614321522007396</v>
      </c>
      <c r="D108" s="311"/>
      <c r="E108" s="289"/>
      <c r="F108" s="289"/>
      <c r="G108" s="289"/>
      <c r="H108" s="289"/>
      <c r="I108" s="424"/>
      <c r="J108" s="422">
        <f>ASIN(J105)-ASIN(J106)</f>
        <v>0.14355570215501201</v>
      </c>
      <c r="K108" s="421"/>
      <c r="L108" s="291"/>
    </row>
    <row r="109" spans="1:12" ht="15.75" hidden="1">
      <c r="A109" s="339"/>
      <c r="B109" s="323"/>
      <c r="C109" s="289">
        <f>C107/C64</f>
        <v>0.97643628696949403</v>
      </c>
      <c r="D109" s="311"/>
      <c r="E109" s="289"/>
      <c r="F109" s="289"/>
      <c r="G109" s="289"/>
      <c r="H109" s="289"/>
      <c r="I109" s="424"/>
      <c r="J109" s="422">
        <f>ASIN(J106)-ASIN(J107)</f>
        <v>0.13744579872042501</v>
      </c>
      <c r="K109" s="421"/>
      <c r="L109" s="291"/>
    </row>
    <row r="110" spans="1:12" ht="15.75" hidden="1">
      <c r="A110" s="339"/>
      <c r="B110" s="323"/>
      <c r="C110" s="289">
        <f>0.5*C78*C91*C100</f>
        <v>0.123838691940983</v>
      </c>
      <c r="D110" s="311"/>
      <c r="E110" s="289"/>
      <c r="F110" s="289"/>
      <c r="G110" s="289"/>
      <c r="H110" s="289"/>
      <c r="I110" s="424"/>
      <c r="J110" s="422">
        <f>J108+J109</f>
        <v>0.28100150087543802</v>
      </c>
      <c r="K110" s="421"/>
      <c r="L110" s="291"/>
    </row>
    <row r="111" spans="1:12" ht="15.75" hidden="1">
      <c r="A111" s="339"/>
      <c r="B111" s="323"/>
      <c r="C111" s="289">
        <f>0.5*C79*C91*C101</f>
        <v>1.7600159425699001E-2</v>
      </c>
      <c r="D111" s="311"/>
      <c r="E111" s="289"/>
      <c r="F111" s="289"/>
      <c r="G111" s="289"/>
      <c r="H111" s="289"/>
      <c r="I111" s="426" t="s">
        <v>14733</v>
      </c>
      <c r="J111" s="417">
        <f>C64*J110/(PI()*C22)</f>
        <v>1.2206942744639899</v>
      </c>
      <c r="K111" s="421"/>
      <c r="L111" s="291"/>
    </row>
    <row r="112" spans="1:12" ht="15.75" hidden="1">
      <c r="A112" s="382" t="s">
        <v>14734</v>
      </c>
      <c r="B112" s="323" t="s">
        <v>3032</v>
      </c>
      <c r="C112" s="289">
        <f>C89*C102*C108</f>
        <v>9.7009555374450294</v>
      </c>
      <c r="D112" s="311"/>
      <c r="E112" s="289"/>
      <c r="F112" s="289"/>
      <c r="G112" s="289"/>
      <c r="H112" s="289"/>
      <c r="I112" s="427" t="s">
        <v>14735</v>
      </c>
      <c r="J112" s="428">
        <f>SQRT(J103^2+J111^2)</f>
        <v>1.7139913496711401</v>
      </c>
      <c r="K112" s="429"/>
      <c r="L112" s="291"/>
    </row>
    <row r="113" spans="1:12" ht="15.75" hidden="1">
      <c r="A113" s="382" t="s">
        <v>14736</v>
      </c>
      <c r="B113" s="323" t="s">
        <v>14737</v>
      </c>
      <c r="C113" s="289">
        <f>C89*C103*C109</f>
        <v>6.8927777286440897</v>
      </c>
      <c r="D113" s="311"/>
      <c r="E113" s="289"/>
      <c r="F113" s="289"/>
      <c r="G113" s="289"/>
      <c r="H113" s="289"/>
      <c r="I113" s="349"/>
      <c r="J113" s="289"/>
      <c r="K113" s="289"/>
      <c r="L113" s="291"/>
    </row>
    <row r="114" spans="1:12" ht="15.75" hidden="1">
      <c r="A114" s="382" t="s">
        <v>14738</v>
      </c>
      <c r="B114" s="323" t="s">
        <v>14739</v>
      </c>
      <c r="C114" s="289">
        <f>C108*(C66+C110)</f>
        <v>8.2758269348883804</v>
      </c>
      <c r="D114" s="311"/>
      <c r="E114" s="289"/>
      <c r="F114" s="289"/>
      <c r="G114" s="289"/>
      <c r="H114" s="289"/>
      <c r="I114" s="323"/>
      <c r="J114" s="289"/>
      <c r="K114" s="289"/>
      <c r="L114" s="291"/>
    </row>
    <row r="115" spans="1:12" ht="15.75" hidden="1">
      <c r="A115" s="382" t="s">
        <v>14740</v>
      </c>
      <c r="B115" s="323" t="s">
        <v>14741</v>
      </c>
      <c r="C115" s="289">
        <f>C109*(C67+C111)</f>
        <v>4.22367295858428</v>
      </c>
      <c r="D115" s="289"/>
      <c r="E115" s="289"/>
      <c r="F115" s="289"/>
      <c r="G115" s="289"/>
      <c r="H115" s="289"/>
      <c r="I115" s="323"/>
      <c r="J115" s="289"/>
      <c r="K115" s="289"/>
      <c r="L115" s="291"/>
    </row>
    <row r="116" spans="1:12" ht="15.75" hidden="1">
      <c r="A116" s="391" t="s">
        <v>3187</v>
      </c>
      <c r="B116" s="323"/>
      <c r="C116" s="289"/>
      <c r="D116" s="289"/>
      <c r="E116" s="289"/>
      <c r="F116" s="289"/>
      <c r="G116" s="289"/>
      <c r="H116" s="289"/>
      <c r="I116" s="323"/>
      <c r="J116" s="289"/>
      <c r="K116" s="289"/>
      <c r="L116" s="291"/>
    </row>
    <row r="117" spans="1:12" ht="15.75" hidden="1">
      <c r="A117" s="279" t="s">
        <v>14742</v>
      </c>
      <c r="B117" s="298" t="s">
        <v>14743</v>
      </c>
      <c r="C117" s="312">
        <f>C118*COS(J24)/C20</f>
        <v>4.9744219600077697</v>
      </c>
      <c r="D117" s="350"/>
      <c r="E117" s="299"/>
      <c r="F117" s="349"/>
      <c r="G117" s="367">
        <f>C117</f>
        <v>4.9744219600077697</v>
      </c>
      <c r="H117" s="289"/>
      <c r="I117" s="323"/>
      <c r="J117" s="289"/>
      <c r="K117" s="289"/>
      <c r="L117" s="291"/>
    </row>
    <row r="118" spans="1:12" ht="15.75" hidden="1">
      <c r="A118" s="279" t="s">
        <v>14744</v>
      </c>
      <c r="B118" s="298" t="s">
        <v>14745</v>
      </c>
      <c r="C118" s="312">
        <f>C85/C64*C62</f>
        <v>83.211505543777406</v>
      </c>
      <c r="D118" s="350"/>
      <c r="E118" s="299"/>
      <c r="F118" s="298" t="s">
        <v>14746</v>
      </c>
      <c r="G118" s="289">
        <f>C85/C64*C63</f>
        <v>153.62124100389701</v>
      </c>
      <c r="H118" s="289"/>
      <c r="I118" s="323"/>
      <c r="J118" s="289"/>
      <c r="K118" s="289"/>
      <c r="L118" s="291"/>
    </row>
    <row r="119" spans="1:12" ht="15.75" hidden="1">
      <c r="A119" s="382" t="s">
        <v>14747</v>
      </c>
      <c r="B119" s="298" t="s">
        <v>14748</v>
      </c>
      <c r="C119" s="312">
        <f>PI()*C118/2</f>
        <v>130.708327255239</v>
      </c>
      <c r="D119" s="350"/>
      <c r="E119" s="299"/>
      <c r="F119" s="298" t="s">
        <v>3189</v>
      </c>
      <c r="G119" s="289">
        <f>PI()*G118/2</f>
        <v>241.30768108659501</v>
      </c>
      <c r="H119" s="289"/>
      <c r="I119" s="323"/>
      <c r="J119" s="289"/>
      <c r="K119" s="289"/>
      <c r="L119" s="291"/>
    </row>
    <row r="120" spans="1:12" ht="15.75" hidden="1">
      <c r="A120" s="411"/>
      <c r="B120" s="298" t="s">
        <v>3191</v>
      </c>
      <c r="C120" s="312">
        <f>IF(AND(C119&gt;20,C119&lt;=32,C28=5),12,IF(AND(C119&gt;32,C119&lt;=50,C28=5),14,IF(AND(C119&gt;50,C119&lt;=80,C28=5),16,IF(AND(C119&gt;80,C119&lt;=160,C28=5),20,IF(AND(C119&gt;160,C119&lt;=315,C28=5),28,IF(AND(C119&gt;315,C119&lt;=630,C28=5),40,IF(AND(C119&gt;630,C119&lt;=1000,C28=5),50,C121)))))))</f>
        <v>45</v>
      </c>
      <c r="D120" s="350"/>
      <c r="E120" s="299"/>
      <c r="F120" s="323" t="s">
        <v>3192</v>
      </c>
      <c r="G120" s="312">
        <f>IF(AND(G119&gt;20,G119&lt;=32,C28=5),12,IF(AND(G119&gt;32,G119&lt;=50,C28=5),14,IF(AND(G119&gt;50,G119&lt;=80,C28=5),16,IF(AND(G119&gt;80,G119&lt;=160,C28=5),20,IF(AND(G119&gt;160,G119&lt;=315,C28=5),28,IF(AND(G119&gt;315,G119&lt;=630,C28=5),40,IF(AND(G119&gt;630,G119&lt;=1000,C28=5),50,G121)))))))</f>
        <v>63</v>
      </c>
      <c r="H120" s="289"/>
      <c r="I120" s="323"/>
      <c r="J120" s="289"/>
      <c r="K120" s="289"/>
      <c r="L120" s="291"/>
    </row>
    <row r="121" spans="1:12" ht="15.75" hidden="1">
      <c r="A121" s="411"/>
      <c r="B121" s="312"/>
      <c r="C121" s="367">
        <f>IF(AND(C119&gt;20,C119&lt;=32,C28=6),20,IF(AND(C119&gt;32,C119&lt;=50,C28=6),22,IF(AND(C119&gt;50,C119&lt;=80,C28=6),25,IF(AND(C119&gt;80,C119&lt;=160,C28=6),32,IF(AND(C119&gt;160,C119&lt;=315,C28=6),45,IF(AND(C119&gt;315,C119&lt;=630,C28=6),63,IF(AND(C119&gt;630,C119&lt;=1000,C28=6),80,C122)))))))</f>
        <v>45</v>
      </c>
      <c r="D121" s="350"/>
      <c r="E121" s="299"/>
      <c r="F121" s="297"/>
      <c r="G121" s="367">
        <f>IF(AND(G119&gt;20,G119&lt;=32,C28=6),20,IF(AND(G119&gt;32,G119&lt;=50,C28=6),22,IF(AND(G119&gt;50,G119&lt;=80,C28=6),25,IF(AND(G119&gt;80,G119&lt;=160,C28=6),32,IF(AND(G119&gt;160,G119&lt;=315,C28=6),45,IF(AND(G119&gt;315,G119&lt;=630,C28=6),63,IF(AND(G119&gt;630,G119&lt;=1000,C28=6),80,G122)))))))</f>
        <v>63</v>
      </c>
      <c r="H121" s="289"/>
      <c r="I121" s="323"/>
      <c r="J121" s="289"/>
      <c r="K121" s="289"/>
      <c r="L121" s="291"/>
    </row>
    <row r="122" spans="1:12" ht="15.75" hidden="1">
      <c r="A122" s="411"/>
      <c r="B122" s="312"/>
      <c r="C122" s="367">
        <f>IF(AND(C119&gt;20,C119&lt;=32,C28=7),28,IF(AND(C119&gt;32,C119&lt;=50,C28=7),32,IF(AND(C119&gt;50,C119&lt;=80,C28=7),36,IF(AND(C119&gt;80,C119&lt;=160,C28=7),45,IF(AND(C119&gt;160,C119&lt;=315,C28=7),63,IF(AND(C119&gt;315,C119&lt;=630,C28=7),90,IF(AND(C119&gt;630,C119&lt;=1000,C28=7),112,C123)))))))</f>
        <v>45</v>
      </c>
      <c r="D122" s="350"/>
      <c r="E122" s="299"/>
      <c r="F122" s="297"/>
      <c r="G122" s="367">
        <f>IF(AND(G119&gt;20,G119&lt;=32,C28=7),28,IF(AND(G119&gt;32,G119&lt;=50,C28=7),32,IF(AND(G119&gt;50,G119&lt;=80,C28=7),36,IF(AND(G119&gt;80,G119&lt;=160,C28=7),45,IF(AND(G119&gt;160,G119&lt;=315,C28=7),63,IF(AND(G119&gt;315,G119&lt;=630,C28=7),90,IF(AND(G119&gt;630,G119&lt;=1000,C28=7),112,G123)))))))</f>
        <v>63</v>
      </c>
      <c r="H122" s="289"/>
      <c r="I122" s="323"/>
      <c r="J122" s="289"/>
      <c r="K122" s="289"/>
      <c r="L122" s="291"/>
    </row>
    <row r="123" spans="1:12" ht="15.75" hidden="1">
      <c r="A123" s="411"/>
      <c r="B123" s="312"/>
      <c r="C123" s="367" t="str">
        <f>IF(AND(C119&gt;20,C119&lt;=32,C28=8),40,IF(AND(C119&gt;32,C119&lt;=50,C28=8),45,IF(AND(C119&gt;50,C119&lt;=80,C28=8),50,IF(AND(C119&gt;80,C119&lt;=160,C28=8),63,IF(AND(C119&gt;160,C119&lt;=315,C28=8),90,IF(AND(C119&gt;315,C119&lt;=630,C28=8),125,IF(AND(C119&gt;630,C119&lt;=1000,C28=8),160,"*")))))))</f>
        <v>*</v>
      </c>
      <c r="D123" s="350"/>
      <c r="E123" s="299"/>
      <c r="F123" s="297"/>
      <c r="G123" s="367" t="str">
        <f>IF(AND(G119&gt;20,G119&lt;=32,C28=8),40,IF(AND(G119&gt;32,G119&lt;=50,C28=8),45,IF(AND(G119&gt;50,G119&lt;=80,C28=8),50,IF(AND(G119&gt;80,G119&lt;=160,C28=8),63,IF(AND(G119&gt;160,G119&lt;=315,C28=8),90,IF(AND(G119&gt;315,G119&lt;=630,C28=8),125,IF(AND(G119&gt;630,G119&lt;=1000,C28=8),160,"*")))))))</f>
        <v>*</v>
      </c>
      <c r="H123" s="289"/>
      <c r="I123" s="323"/>
      <c r="J123" s="289"/>
      <c r="K123" s="289"/>
      <c r="L123" s="291"/>
    </row>
    <row r="124" spans="1:12" ht="15.75" hidden="1">
      <c r="A124" s="411"/>
      <c r="B124" s="323" t="s">
        <v>3200</v>
      </c>
      <c r="C124" s="312">
        <f>IF(AND(C118&lt;=125,C117&gt;=1,C117&lt;=3.5,C29=5),6,IF(AND(C118&lt;=125,C117&gt;3.5,C117&lt;=6.3,C29=5),8,IF(AND(C118&lt;=125,C117&gt;6.3,C117&lt;=10,C29=5),9,IF(AND(C118&gt;125,C118&lt;=400,C117&gt;=1,C117&lt;=3.5,C29=5),7,IF(AND(C118&gt;125,C118&lt;=400,C117&gt;3.5,C117&lt;=6.3,C29=5),9,IF(AND(C118&gt;125,C118&lt;=400,C117&gt;6.3,C117&lt;=10,C29=5),10,C125))))))</f>
        <v>13</v>
      </c>
      <c r="D124" s="350"/>
      <c r="E124" s="299"/>
      <c r="F124" s="323" t="s">
        <v>3201</v>
      </c>
      <c r="G124" s="312">
        <f>IF(AND(G118&lt;=125,G117&gt;=1,G117&lt;=3.5,C29=5),6,IF(AND(G118&lt;=125,G117&gt;3.5,G117&lt;=6.3,C29=5),8,IF(AND(G118&lt;=125,G117&gt;6.3,G117&lt;=10,C29=5),9,IF(AND(G118&gt;125,G118&lt;=400,G117&gt;=1,G117&lt;=3.5,C29=5),7,IF(AND(G118&gt;125,G118&lt;=400,G117&gt;3.5,G117&lt;=6.3,C29=5),9,IF(AND(G118&gt;125,G118&lt;=400,G117&gt;6.3,G117&lt;=10,C29=5),10,G125))))))</f>
        <v>14</v>
      </c>
      <c r="H124" s="289"/>
      <c r="I124" s="323"/>
      <c r="J124" s="289"/>
      <c r="K124" s="289"/>
      <c r="L124" s="291"/>
    </row>
    <row r="125" spans="1:12" ht="15.75" hidden="1">
      <c r="A125" s="411"/>
      <c r="B125" s="312"/>
      <c r="C125" s="367">
        <f>IF(AND(C118&lt;=125,C117&gt;=1,C117&lt;=3.5,C29=6),10,IF(AND(C118&lt;=125,C117&gt;3.5,C117&lt;=6.3,C29=6),13,IF(AND(C118&lt;=125,C117&gt;6.3,C117&lt;=10,C29=6),14,IF(AND(C118&gt;125,C118&lt;=400,C117&gt;=1,C117&lt;=3.5,C29=6),11,IF(AND(C118&gt;125,C118&lt;=400,C117&gt;3.5,C117&lt;=6.3,C29=6),14,IF(AND(C118&gt;125,C118&lt;=400,C117&gt;6.3,C117&lt;=10,C29=6),16,C126))))))</f>
        <v>13</v>
      </c>
      <c r="D125" s="350"/>
      <c r="E125" s="299"/>
      <c r="F125" s="297"/>
      <c r="G125" s="367">
        <f>IF(AND(G118&lt;=125,G117&gt;=1,G117&lt;=3.5,C29=6),10,IF(AND(G118&lt;=125,G117&gt;3.5,G117&lt;=6.3,C29=6),13,IF(AND(G118&lt;=125,G117&gt;6.3,G117&lt;=10,C29=6),14,IF(AND(G118&gt;125,G118&lt;=400,G117&gt;=1,G117&lt;=3.5,C29=6),11,IF(AND(G118&gt;125,G118&lt;=400,G117&gt;3.5,G117&lt;=6.3,C29=6),14,IF(AND(G118&gt;125,G118&lt;=400,G117&gt;6.3,G117&lt;=10,C29=6),16,G126))))))</f>
        <v>14</v>
      </c>
      <c r="H125" s="289"/>
      <c r="I125" s="323"/>
      <c r="J125" s="289"/>
      <c r="K125" s="289"/>
      <c r="L125" s="291"/>
    </row>
    <row r="126" spans="1:12" ht="15.75" hidden="1">
      <c r="A126" s="411"/>
      <c r="B126" s="312"/>
      <c r="C126" s="367" t="str">
        <f>IF(AND(C118&lt;=125,C117&gt;=1,C117&lt;=3.5,C29=7),14,IF(AND(C118&lt;=125,C117&gt;3.5,C117&lt;=6.3,C29=7),18,IF(AND(C118&lt;=125,C117&gt;6.3,C117&lt;=10,C29=7),20,IF(AND(C118&gt;125,C118&lt;=400,C117&gt;=1,C117&lt;=3.5,C29=7),16,IF(AND(C118&gt;125,C118&lt;=400,C117&gt;3.5,C117&lt;=6.3,C29=7),20,IF(AND(C118&gt;125,C118&lt;=400,C117&gt;6.3,C117&lt;=10,C29=7),22,C127))))))</f>
        <v>*</v>
      </c>
      <c r="D126" s="350"/>
      <c r="E126" s="299"/>
      <c r="F126" s="297"/>
      <c r="G126" s="367" t="str">
        <f>IF(AND(G118&lt;=125,G117&gt;=1,G117&lt;=3.5,C29=7),14,IF(AND(G118&lt;=125,G117&gt;3.5,G117&lt;=6.3,C29=7),18,IF(AND(G118&lt;=125,G117&gt;6.3,G117&lt;=10,C29=7),20,IF(AND(G118&gt;125,G118&lt;=400,G117&gt;=1,G117&lt;=3.5,C29=7),16,IF(AND(G118&gt;125,G118&lt;=400,G117&gt;3.5,G117&lt;=6.3,C29=7),20,IF(AND(G118&gt;125,G118&lt;=400,G117&gt;6.3,G117&lt;=10,C29=7),22,G127))))))</f>
        <v>*</v>
      </c>
      <c r="H126" s="289"/>
      <c r="I126" s="323"/>
      <c r="J126" s="289"/>
      <c r="K126" s="289"/>
      <c r="L126" s="291"/>
    </row>
    <row r="127" spans="1:12" ht="15.75" hidden="1">
      <c r="A127" s="411"/>
      <c r="B127" s="312"/>
      <c r="C127" s="367" t="str">
        <f>IF(AND(C118&lt;=125,C117&gt;=1,C117&lt;=3.5,C29=8),20,IF(AND(C118&lt;=125,C117&gt;3.5,C117&lt;=6.3,C29=8),25,IF(AND(C118&lt;=125,C117&gt;6.3,C117&lt;=10,C29=8),28,IF(AND(C118&gt;125,C118&lt;=400,C117&gt;=1,C117&lt;=3.5,C29=8),22,IF(AND(C118&gt;125,C118&lt;=400,C117&gt;3.5,C117&lt;=6.3,C29=8),28,IF(AND(C118&gt;125,C118&lt;=400,C117&gt;6.3,C117&lt;=10,C29=8),32,"*"))))))</f>
        <v>*</v>
      </c>
      <c r="D127" s="350"/>
      <c r="E127" s="299"/>
      <c r="F127" s="297"/>
      <c r="G127" s="367" t="str">
        <f>IF(AND(G118&lt;=125,G117&gt;=1,G117&lt;=3.5,C29=8),20,IF(AND(G118&lt;=125,G117&gt;3.5,G117&lt;=6.3,C29=8),25,IF(AND(G118&lt;=125,G117&gt;6.3,G117&lt;=10,C29=8),28,IF(AND(G118&gt;125,G118&lt;=400,G117&gt;=1,G117&lt;=3.5,C29=8),22,IF(AND(G118&gt;125,G118&lt;=400,G117&gt;3.5,G117&lt;=6.3,C29=8),28,IF(AND(G118&gt;125,G118&lt;=400,G117&gt;6.3,G117&lt;=10,C29=8),32,"*"))))))</f>
        <v>*</v>
      </c>
      <c r="H127" s="289"/>
      <c r="I127" s="323"/>
      <c r="J127" s="289"/>
      <c r="K127" s="289"/>
      <c r="L127" s="291"/>
    </row>
    <row r="128" spans="1:12" ht="15.75" hidden="1">
      <c r="A128" s="382" t="s">
        <v>14749</v>
      </c>
      <c r="B128" s="298" t="s">
        <v>14750</v>
      </c>
      <c r="C128" s="312">
        <f>IF(AND(C118&lt;=125,C117&gt;=1,C117&lt;=3.5,C29=5),4,IF(AND(C118&lt;=125,C117&gt;3.5,C117&lt;=6.3,C29=5),5,IF(AND(C118&lt;=125,C117&gt;6.3,C117&lt;=10,C29=5),6,IF(AND(C118&gt;125,C118&lt;=400,C117&gt;=1,C117&lt;=3.5,C29=5),5,IF(AND(C118&gt;125,C118&lt;=400,C117&gt;3.5,C117&lt;=6.3,C29=5),6,IF(AND(C118&gt;125,C118&lt;=400,C117&gt;6.3,C117&lt;=10,C29=5),7,C129))))))</f>
        <v>6</v>
      </c>
      <c r="D128" s="350"/>
      <c r="E128" s="299"/>
      <c r="F128" s="298" t="s">
        <v>14751</v>
      </c>
      <c r="G128" s="312">
        <f>IF(AND(G118&lt;=125,G117&gt;=1,G117&lt;=3.5,C29=5),4,IF(AND(G118&lt;=125,G117&gt;3.5,G117&lt;=6.3,C29=5),5,IF(AND(G118&lt;=125,G117&gt;6.3,G117&lt;=10,C29=5),6,IF(AND(G118&gt;125,G118&lt;=400,G117&gt;=1,G117&lt;=3.5,C29=5),5,IF(AND(G118&gt;125,G118&lt;=400,G117&gt;3.5,G117&lt;=6.3,C29=5),6,IF(AND(G118&gt;125,G118&lt;=400,G117&gt;6.3,G117&lt;=10,C29=5),7,G129))))))</f>
        <v>8</v>
      </c>
      <c r="H128" s="289"/>
      <c r="I128" s="323"/>
      <c r="J128" s="289"/>
      <c r="K128" s="289"/>
      <c r="L128" s="291"/>
    </row>
    <row r="129" spans="1:12" ht="15.75" hidden="1">
      <c r="A129" s="411"/>
      <c r="B129" s="350"/>
      <c r="C129" s="367">
        <f>IF(AND(C118&lt;=125,C117&gt;=1,C117&lt;=3.5,C29=6),5,IF(AND(C118&lt;=125,C117&gt;3.5,C117&lt;=6.3,C29=6),6,IF(AND(C118&lt;=125,C117&gt;6.3,C117&lt;=10,C29=6),8,IF(AND(C118&gt;125,C118&lt;=400,C117&gt;=1,C117&lt;=3.5,C29=6),7,IF(AND(C118&gt;125,C118&lt;=400,C117&gt;3.5,C117&lt;=6.3,C29=6),8,IF(AND(C118&gt;125,C118&lt;=400,C117&gt;6.3,C117&lt;=10,C29=6),9,C130))))))</f>
        <v>6</v>
      </c>
      <c r="D129" s="350"/>
      <c r="E129" s="299"/>
      <c r="F129" s="349"/>
      <c r="G129" s="367">
        <f>IF(AND(G118&lt;=125,G117&gt;=1,G117&lt;=3.5,C29=6),5,IF(AND(G118&lt;=125,G117&gt;3.5,G117&lt;=6.3,C29=6),6,IF(AND(G118&lt;=125,G117&gt;6.3,G117&lt;=10,C29=6),8,IF(AND(G118&gt;125,G118&lt;=400,G117&gt;=1,G117&lt;=3.5,C29=6),7,IF(AND(G118&gt;125,G118&lt;=400,G117&gt;3.5,G117&lt;=6.3,C29=6),8,IF(AND(G118&gt;125,G118&lt;=400,G117&gt;6.3,G117&lt;=10,C29=6),9,G130))))))</f>
        <v>8</v>
      </c>
      <c r="H129" s="289"/>
      <c r="I129" s="323"/>
      <c r="J129" s="289"/>
      <c r="K129" s="289"/>
      <c r="L129" s="291"/>
    </row>
    <row r="130" spans="1:12" ht="15.75" hidden="1">
      <c r="A130" s="411"/>
      <c r="B130" s="350"/>
      <c r="C130" s="367" t="str">
        <f>IF(AND(C118&lt;=125,C117&gt;=1,C117&lt;=3.5,C29=7),8,IF(AND(C118&lt;=125,C117&gt;3.5,C117&lt;=6.3,C29=7),9,IF(AND(C118&lt;=125,C117&gt;6.3,C117&lt;=10,C29=7),11,IF(AND(C118&gt;125,C118&lt;=400,C117&gt;=1,C117&lt;=3.5,C29=7),9,IF(AND(C118&gt;125,C118&lt;=400,C117&gt;3.5,C117&lt;=6.3,C29=7),11,IF(AND(C118&gt;125,C118&lt;=400,C117&gt;6.3,C117&lt;=10,C29=7),13,C131))))))</f>
        <v>*</v>
      </c>
      <c r="D130" s="350"/>
      <c r="E130" s="299"/>
      <c r="F130" s="349"/>
      <c r="G130" s="367" t="str">
        <f>IF(AND(G118&lt;=125,G117&gt;=1,G117&lt;=3.5,C29=7),8,IF(AND(G118&lt;=125,G117&gt;3.5,G117&lt;=6.3,C29=7),9,IF(AND(G118&lt;=125,G117&gt;6.3,G117&lt;=10,C29=7),11,IF(AND(G118&gt;125,G118&lt;=400,G117&gt;=1,G117&lt;=3.5,C29=7),9,IF(AND(G118&gt;125,G118&lt;=400,G117&gt;3.5,G117&lt;=6.3,C29=7),11,IF(AND(G118&gt;125,G118&lt;=400,G117&gt;6.3,G117&lt;=10,C29=7),13,G131))))))</f>
        <v>*</v>
      </c>
      <c r="H130" s="289"/>
      <c r="I130" s="323"/>
      <c r="J130" s="289"/>
      <c r="K130" s="289"/>
      <c r="L130" s="291"/>
    </row>
    <row r="131" spans="1:12" ht="15.75" hidden="1">
      <c r="A131" s="350"/>
      <c r="B131" s="350"/>
      <c r="C131" s="367" t="str">
        <f>IF(AND(C118&lt;=125,C117&gt;=1,C117&lt;=3.5,C29=8),10,IF(AND(C118&lt;=125,C117&gt;3.5,C117&lt;=6.3,C29=8),13,IF(AND(C118&lt;=125,C117&gt;6.3,C117&lt;=10,C29=8),17,IF(AND(C118&gt;125,C118&lt;=400,C117&gt;=1,C117&lt;=3.5,C29=8),13,IF(AND(C118&gt;125,C118&lt;=400,C117&gt;3.5,C117&lt;=6.3,C29=8),15,IF(AND(C118&gt;125,C118&lt;=400,C117&gt;6.3,C117&lt;=10,C29=8),19,"*"))))))</f>
        <v>*</v>
      </c>
      <c r="D131" s="350"/>
      <c r="E131" s="299"/>
      <c r="F131" s="349"/>
      <c r="G131" s="367" t="str">
        <f>IF(AND(G118&lt;=125,G117&gt;=1,G117&lt;=3.5,C29=8),10,IF(AND(G118&lt;=125,G117&gt;3.5,G117&lt;=6.3,C29=8),13,IF(AND(G118&lt;=125,G117&gt;6.3,G117&lt;=10,C29=8),17,IF(AND(G118&gt;125,G118&lt;=400,G117&gt;=1,G117&lt;=3.5,C29=8),13,IF(AND(G118&gt;125,G118&lt;=400,G117&gt;3.5,G117&lt;=6.3,C29=8),15,IF(AND(G118&gt;125,G118&lt;=400,G117&gt;6.3,G117&lt;=10,C29=8),19,"*"))))))</f>
        <v>*</v>
      </c>
      <c r="H131" s="289"/>
      <c r="I131" s="323"/>
      <c r="J131" s="289"/>
      <c r="K131" s="289"/>
      <c r="L131" s="291"/>
    </row>
    <row r="132" spans="1:12" ht="15.75" hidden="1">
      <c r="A132" s="289" t="s">
        <v>12612</v>
      </c>
      <c r="B132" s="298" t="s">
        <v>3221</v>
      </c>
      <c r="C132" s="312">
        <f>ROUND(C120+1.15*C128,0)</f>
        <v>52</v>
      </c>
      <c r="D132" s="350"/>
      <c r="E132" s="299"/>
      <c r="F132" s="298" t="s">
        <v>3222</v>
      </c>
      <c r="G132" s="312">
        <f>ROUND(G120+1.15*G128,0)</f>
        <v>72</v>
      </c>
      <c r="H132" s="289"/>
      <c r="I132" s="323"/>
      <c r="J132" s="289"/>
      <c r="K132" s="289"/>
      <c r="L132" s="291"/>
    </row>
    <row r="133" spans="1:12" ht="15.75" hidden="1">
      <c r="A133" s="289" t="s">
        <v>3223</v>
      </c>
      <c r="B133" s="298" t="s">
        <v>3224</v>
      </c>
      <c r="C133" s="312">
        <f>ROUND(0.8*(C124+1.15*C128),0)</f>
        <v>16</v>
      </c>
      <c r="D133" s="350"/>
      <c r="E133" s="299"/>
      <c r="F133" s="298" t="s">
        <v>3225</v>
      </c>
      <c r="G133" s="312">
        <f>ROUND(0.8*(G124+1.15*G128),0)</f>
        <v>19</v>
      </c>
      <c r="H133" s="289"/>
      <c r="I133" s="323"/>
      <c r="J133" s="289"/>
      <c r="K133" s="289"/>
      <c r="L133" s="291"/>
    </row>
    <row r="134" spans="1:12" ht="15.75" hidden="1">
      <c r="A134" s="312" t="s">
        <v>14752</v>
      </c>
      <c r="B134" s="298" t="s">
        <v>14753</v>
      </c>
      <c r="C134" s="312">
        <f>IF(AND(C118&lt;=125,C117&gt;=1,C117&lt;=3.5,C28=5),16,IF(AND(C118&lt;=125,C117&gt;3.5,C117&lt;=6.3,C28=5),18,IF(AND(C118&lt;=125,C117&gt;6.3,C117&lt;=10,C28=5),20,IF(AND(C118&gt;125,C118&lt;=400,C117&gt;=1,C117&lt;=3.5,C28=5),22,IF(AND(C118&gt;125,C118&lt;=400,C117&gt;3.5,C117&lt;=6.3,C28=5),25,IF(AND(C118&gt;125,C118&lt;=400,C117&gt;6.3,C117&lt;=10,C28=5),28,C135))))))</f>
        <v>40</v>
      </c>
      <c r="D134" s="350"/>
      <c r="E134" s="299"/>
      <c r="F134" s="298" t="s">
        <v>14754</v>
      </c>
      <c r="G134" s="312">
        <f>IF(AND(G118&lt;=125,G117&gt;=1,G117&lt;=3.5,C28=5),16,IF(AND(G118&lt;=125,G117&gt;3.5,G117&lt;=6.3,C28=5),18,IF(AND(G118&lt;=125,G117&gt;6.3,G117&lt;=10,C28=5),20,IF(AND(G118&gt;125,G118&lt;=400,G117&gt;=1,G117&lt;=3.5,C28=5),22,IF(AND(G118&gt;125,G118&lt;=400,G117&gt;3.5,G117&lt;=6.3,C28=5),25,IF(AND(G118&gt;125,G118&lt;=400,G117&gt;6.3,G117&lt;=10,C28=5),28,G135))))))</f>
        <v>56</v>
      </c>
      <c r="H134" s="289"/>
      <c r="I134" s="323"/>
      <c r="J134" s="289"/>
      <c r="K134" s="289"/>
      <c r="L134" s="291"/>
    </row>
    <row r="135" spans="1:12" ht="15.75" hidden="1">
      <c r="A135" s="312"/>
      <c r="B135" s="350"/>
      <c r="C135" s="367">
        <f>IF(AND(C118&lt;=125,C117&gt;=1,C117&lt;=3.5,C28=6),25,IF(AND(C118&lt;=125,C117&gt;3.5,C117&lt;=6.3,C28=6),28,IF(AND(C118&lt;=125,C117&gt;6.3,C117&lt;=10,C28=6),32,IF(AND(C118&gt;125,C118&lt;=400,C117&gt;=1,C117&lt;=3.5,C28=6),36,IF(AND(C118&gt;125,C118&lt;=400,C117&gt;3.5,C117&lt;=6.3,C28=6),40,IF(AND(C118&gt;125,C118&lt;=400,C117&gt;6.3,C117&lt;=10,C28=6),45,C136))))))</f>
        <v>40</v>
      </c>
      <c r="D135" s="350"/>
      <c r="E135" s="299"/>
      <c r="F135" s="349"/>
      <c r="G135" s="367">
        <f>IF(AND(G118&lt;=125,G117&gt;=1,G117&lt;=3.5,C28=6),25,IF(AND(G118&lt;=125,G117&gt;3.5,G117&lt;=6.3,C28=6),28,IF(AND(G118&lt;=125,G117&gt;6.3,G117&lt;=10,C28=6),32,IF(AND(G118&gt;125,G118&lt;=400,G117&gt;=1,G117&lt;=3.5,C28=6),36,IF(AND(G118&gt;125,G118&lt;=400,G117&gt;3.5,G117&lt;=6.3,C28=6),40,IF(AND(G118&gt;125,G118&lt;=400,G117&gt;6.3,G117&lt;=10,C28=6),45,G136))))))</f>
        <v>56</v>
      </c>
      <c r="H135" s="289"/>
      <c r="I135" s="323"/>
      <c r="J135" s="289"/>
      <c r="K135" s="289"/>
      <c r="L135" s="291"/>
    </row>
    <row r="136" spans="1:12" ht="15.75" hidden="1">
      <c r="A136" s="312"/>
      <c r="B136" s="350"/>
      <c r="C136" s="367">
        <f>IF(AND(C118&lt;=125,C117&gt;=1,C117&lt;=3.5,C28=7),36,IF(AND(C118&lt;=125,C117&gt;3.5,C117&lt;=6.3,C28=7),40,IF(AND(C118&lt;=125,C117&gt;6.3,C117&lt;=10,C28=7),45,IF(AND(C118&gt;125,C118&lt;=400,C117&gt;=1,C117&lt;=3.5,C28=7),50,IF(AND(C118&gt;125,C118&lt;=400,C117&gt;3.5,C117&lt;=6.3,C28=7),56,IF(AND(C118&gt;125,C118&lt;=400,C117&gt;6.3,C117&lt;=10,C28=7),63,C137))))))</f>
        <v>40</v>
      </c>
      <c r="D136" s="350"/>
      <c r="E136" s="299"/>
      <c r="F136" s="349"/>
      <c r="G136" s="367">
        <f>IF(AND(G118&lt;=125,G117&gt;=1,G117&lt;=3.5,C28=7),36,IF(AND(G118&lt;=125,G117&gt;3.5,G117&lt;=6.3,C28=7),40,IF(AND(G118&lt;=125,G117&gt;6.3,G117&lt;=10,C28=7),45,IF(AND(G118&gt;125,G118&lt;=400,G117&gt;=1,G117&lt;=3.5,C28=7),50,IF(AND(G118&gt;125,G118&lt;=400,G117&gt;3.5,G117&lt;=6.3,C28=7),56,IF(AND(G118&gt;125,G118&lt;=400,G117&gt;6.3,G117&lt;=10,C28=7),63,G137))))))</f>
        <v>56</v>
      </c>
      <c r="H136" s="289"/>
      <c r="I136" s="323"/>
      <c r="J136" s="289"/>
      <c r="K136" s="289"/>
      <c r="L136" s="291"/>
    </row>
    <row r="137" spans="1:12" ht="15.75" hidden="1">
      <c r="A137" s="312"/>
      <c r="B137" s="350"/>
      <c r="C137" s="367" t="str">
        <f>IF(AND(C118&lt;=125,C117&gt;=1,C117&lt;=3.5,C28=8),45,IF(AND(C118&lt;=125,C117&gt;3.5,C117&lt;=6.3,C28=8),50,IF(AND(C118&lt;=125,C117&gt;6.3,C117&lt;=10,C28=8),56,IF(AND(C118&gt;125,C118&lt;=400,C117&gt;=1,C117&lt;=3.5,C28=8),63,IF(AND(C118&gt;125,C118&lt;=400,C117&gt;3.5,C117&lt;=6.3,C28=8),71,IF(AND(C118&gt;125,C118&lt;=400,C117&gt;6.3,C117&lt;=10,C28=8),80,"*"))))))</f>
        <v>*</v>
      </c>
      <c r="D137" s="350"/>
      <c r="E137" s="299"/>
      <c r="F137" s="349"/>
      <c r="G137" s="367" t="str">
        <f>IF(AND(G118&lt;=125,G117&gt;=1,G117&lt;=3.5,C28=8),45,IF(AND(G118&lt;=125,G117&gt;3.5,G117&lt;=6.3,C28=8),50,IF(AND(G118&lt;=125,G117&gt;6.3,G117&lt;=10,C28=8),56,IF(AND(G118&gt;125,G118&lt;=400,G117&gt;=1,G117&lt;=3.5,C28=8),63,IF(AND(G118&gt;125,G118&lt;=400,G117&gt;3.5,G117&lt;=6.3,C28=8),71,IF(AND(G118&gt;125,G118&lt;=400,G117&gt;6.3,G117&lt;=10,C28=8),80,"*"))))))</f>
        <v>*</v>
      </c>
      <c r="H137" s="289"/>
      <c r="I137" s="323"/>
      <c r="J137" s="289"/>
      <c r="K137" s="289"/>
      <c r="L137" s="291"/>
    </row>
    <row r="138" spans="1:12" ht="15.75" hidden="1">
      <c r="A138" s="312" t="s">
        <v>14755</v>
      </c>
      <c r="B138" s="298" t="s">
        <v>14756</v>
      </c>
      <c r="C138" s="312">
        <f>IF(AND(C134&gt;12,C134&lt;=16,C32="H"),26,IF(AND(C134&gt;16,C134&lt;=20,C32="H"),28,IF(AND(C134&gt;20,C134&lt;=25,C32="H"),32,IF(AND(C134&gt;25,C134&lt;=32,C32="H"),38,IF(AND(C134&gt;32,C134&lt;=40,C32="H"),42,IF(AND(C134&gt;40,C134&lt;=50,C32="H"),50,IF(AND(C134&gt;50,C134&lt;=60,C32="H"),60,C139)))))))</f>
        <v>70</v>
      </c>
      <c r="D138" s="299"/>
      <c r="E138" s="299"/>
      <c r="F138" s="298" t="s">
        <v>14757</v>
      </c>
      <c r="G138" s="312">
        <f>IF(AND(G134&gt;12,G134&lt;=16,G34="H"),26,IF(AND(G134&gt;16,G134&lt;=20,G34="H"),28,IF(AND(G134&gt;20,G134&lt;=25,G34="H"),32,IF(AND(G134&gt;25,G134&lt;=32,G34="H"),38,IF(AND(G134&gt;32,G134&lt;=40,G34="H"),42,IF(AND(G134&gt;40,G134&lt;=50,G34="H"),50,IF(AND(G134&gt;50,G134&lt;=60,G34="H"),60,G139)))))))</f>
        <v>95</v>
      </c>
      <c r="H138" s="289"/>
      <c r="I138" s="323"/>
      <c r="J138" s="289"/>
      <c r="K138" s="289"/>
      <c r="L138" s="291"/>
    </row>
    <row r="139" spans="1:12" ht="15.75" hidden="1">
      <c r="A139" s="312"/>
      <c r="B139" s="350"/>
      <c r="C139" s="367">
        <f>IF(AND(C134&gt;60,C134&lt;=80,C32="H"),70,IF(AND(C134&gt;80,C134&lt;=100,C32="H"),90,IF(AND(C134&gt;12,C134&lt;=16,C32="D"),32,IF(AND(C134&gt;16,C134&lt;=20,C32="D"),36,IF(AND(C134&gt;20,C134&lt;=25,C32="D"),42,IF(AND(C134&gt;25,C134&lt;=32,C32="D"),48,IF(AND(C134&gt;32,C134&lt;=40,C32="D"),55,C140)))))))</f>
        <v>70</v>
      </c>
      <c r="D139" s="350"/>
      <c r="E139" s="299"/>
      <c r="F139" s="349"/>
      <c r="G139" s="367">
        <f>IF(AND(G134&gt;60,G134&lt;=80,G34="H"),70,IF(AND(G134&gt;80,G134&lt;=100,G34="H"),90,IF(AND(G134&gt;12,G134&lt;=16,G34="D"),32,IF(AND(G134&gt;16,G134&lt;=20,G34="D"),36,IF(AND(G134&gt;20,G134&lt;=25,G34="D"),42,IF(AND(G134&gt;25,G134&lt;=32,G34="D"),48,IF(AND(G134&gt;32,G134&lt;=40,G34="D"),55,G140)))))))</f>
        <v>95</v>
      </c>
      <c r="H139" s="289"/>
      <c r="I139" s="323"/>
      <c r="J139" s="289"/>
      <c r="K139" s="289"/>
      <c r="L139" s="291"/>
    </row>
    <row r="140" spans="1:12" ht="15.75" hidden="1">
      <c r="A140" s="312"/>
      <c r="B140" s="350"/>
      <c r="C140" s="367">
        <f>IF(AND(C134&gt;40,C134&lt;=50,C32="D"),66,IF(AND(C134&gt;50,C134&lt;=60,C32="D"),75,IF(AND(C134&gt;60,C134&lt;=80,C32="D"),90,IF(AND(C134&gt;80,C134&lt;=100,C32="D"),110,IF(AND(C134&gt;12,C134&lt;=16,C32="C"),40,IF(AND(C134&gt;16,C134&lt;=20,C32="C"),45,IF(AND(C134&gt;20,C134&lt;=25,C32="C"),52,C141)))))))</f>
        <v>70</v>
      </c>
      <c r="D140" s="350"/>
      <c r="E140" s="299"/>
      <c r="F140" s="349"/>
      <c r="G140" s="367">
        <f>IF(AND(G134&gt;40,G134&lt;=50,G34="D"),66,IF(AND(G134&gt;50,G134&lt;=60,G34="D"),75,IF(AND(G134&gt;60,G134&lt;=80,G34="D"),90,IF(AND(G134&gt;80,G134&lt;=100,G34="D"),110,IF(AND(G134&gt;12,G134&lt;=16,G34="C"),40,IF(AND(G134&gt;16,G134&lt;=20,G34="C"),45,IF(AND(G134&gt;20,G134&lt;=25,G34="C"),52,G141)))))))</f>
        <v>95</v>
      </c>
      <c r="H140" s="289"/>
      <c r="I140" s="323"/>
      <c r="J140" s="289"/>
      <c r="K140" s="289"/>
      <c r="L140" s="291"/>
    </row>
    <row r="141" spans="1:12" ht="15.75" hidden="1">
      <c r="A141" s="312"/>
      <c r="B141" s="350"/>
      <c r="C141" s="367">
        <f>IF(AND(C134&gt;25,C134&lt;=32,C32="C"),60,IF(AND(C134&gt;32,C134&lt;=40,C32="C"),70,IF(AND(C134&gt;40,C134&lt;=50,C32="C"),80,IF(AND(C134&gt;50,C134&lt;=60,C32="C"),95,IF(AND(C134&gt;60,C134&lt;=80,C32="C"),110,IF(AND(C134&gt;80,C134&lt;=100,C32="C"),140,IF(AND(C134&gt;12,C134&lt;=16,C32="B"),52,C142)))))))</f>
        <v>70</v>
      </c>
      <c r="D141" s="350"/>
      <c r="E141" s="299"/>
      <c r="F141" s="349"/>
      <c r="G141" s="367">
        <f>IF(AND(G134&gt;25,G134&lt;=32,G34="C"),60,IF(AND(G134&gt;32,G134&lt;=40,G34="C"),70,IF(AND(G134&gt;40,G134&lt;=50,G34="C"),80,IF(AND(G134&gt;50,G134&lt;=60,G34="C"),95,IF(AND(G134&gt;60,G134&lt;=80,G34="C"),110,IF(AND(G134&gt;80,G134&lt;=100,G34="C"),140,IF(AND(G134&gt;12,G134&lt;=16,G34="B"),52,G142)))))))</f>
        <v>95</v>
      </c>
      <c r="H141" s="289"/>
      <c r="I141" s="323"/>
      <c r="J141" s="289"/>
      <c r="K141" s="289"/>
      <c r="L141" s="291"/>
    </row>
    <row r="142" spans="1:12" ht="15.75" hidden="1">
      <c r="A142" s="312"/>
      <c r="B142" s="350"/>
      <c r="C142" s="367" t="str">
        <f>IF(AND(C134&gt;16,C134&lt;=20,C32="B"),58,IF(AND(C134&gt;20,C134&lt;=25,C32="B"),65,IF(AND(C134&gt;25,C134&lt;=32,C32="B"),75,IF(AND(C134&gt;32,C134&lt;=40,C32="B"),85,IF(AND(C134&gt;40,C134&lt;=50,C32="B"),100,IF(AND(C134&gt;50,C134&lt;=60,C32="B"),120,IF(AND(C134&gt;60,C134&lt;=80,C32="B"),130,C143)))))))</f>
        <v>*</v>
      </c>
      <c r="D142" s="350"/>
      <c r="E142" s="299"/>
      <c r="F142" s="349"/>
      <c r="G142" s="367" t="str">
        <f>IF(AND(G134&gt;16,G134&lt;=20,G34="B"),58,IF(AND(G134&gt;20,G134&lt;=25,G34="B"),65,IF(AND(G134&gt;25,G134&lt;=32,G34="B"),75,IF(AND(G134&gt;32,G134&lt;=40,G34="B"),85,IF(AND(G134&gt;40,G134&lt;=50,G34="B"),100,IF(AND(G134&gt;50,G134&lt;=60,G34="B"),120,IF(AND(G134&gt;60,G134&lt;=80,G34="B"),130,G143)))))))</f>
        <v>*</v>
      </c>
      <c r="H142" s="289"/>
      <c r="I142" s="323"/>
      <c r="J142" s="289"/>
      <c r="K142" s="289"/>
      <c r="L142" s="291"/>
    </row>
    <row r="143" spans="1:12" ht="15.75" hidden="1">
      <c r="A143" s="312"/>
      <c r="B143" s="350"/>
      <c r="C143" s="367" t="str">
        <f>IF(AND(C134&gt;80,C134&lt;=100,C32="B"),170,IF(AND(C134&gt;12,C134&lt;=16,C32="A"),65,IF(AND(C134&gt;16,C134&lt;=20,C32="A"),75,IF(AND(C134&gt;20,C134&lt;=25,C32="A"),85,IF(AND(C134&gt;25,C134&lt;=32,C32="A"),95,IF(AND(C134&gt;32,C134&lt;=40,C32="A"),110,IF(AND(C134&gt;40,C134&lt;=50,C32="A"),130,C144)))))))</f>
        <v>*</v>
      </c>
      <c r="D143" s="350"/>
      <c r="E143" s="299"/>
      <c r="F143" s="349"/>
      <c r="G143" s="367" t="str">
        <f>IF(AND(G134&gt;80,G134&lt;=100,G34="B"),170,IF(AND(G134&gt;12,G134&lt;=16,G34="A"),65,IF(AND(G134&gt;16,G134&lt;=20,G34="A"),75,IF(AND(G134&gt;20,G134&lt;=25,G34="A"),85,IF(AND(G134&gt;25,G134&lt;=32,G34="A"),95,IF(AND(G134&gt;32,G134&lt;=40,G34="A"),110,IF(AND(G134&gt;40,G134&lt;=50,G34="A"),130,G144)))))))</f>
        <v>*</v>
      </c>
      <c r="H143" s="289"/>
      <c r="I143" s="323"/>
      <c r="J143" s="289"/>
      <c r="K143" s="289"/>
      <c r="L143" s="291"/>
    </row>
    <row r="144" spans="1:12" ht="15.75" hidden="1">
      <c r="A144" s="312"/>
      <c r="B144" s="350"/>
      <c r="C144" s="367" t="str">
        <f>IF(AND(C134&gt;50,C134&lt;=60,C32="A"),150,IF(AND(C134&gt;60,C134&lt;=80,C32="A"),180,IF(AND(C134&gt;80,C134&lt;=100,C32="A"),220,"*")))</f>
        <v>*</v>
      </c>
      <c r="D144" s="350"/>
      <c r="E144" s="299"/>
      <c r="F144" s="349"/>
      <c r="G144" s="367" t="str">
        <f>IF(AND(G134&gt;50,G134&lt;=60,G34="A"),150,IF(AND(G134&gt;60,G134&lt;=80,G34="A"),180,IF(AND(G134&gt;80,G134&lt;=100,G34="A"),220,"*")))</f>
        <v>*</v>
      </c>
      <c r="H144" s="289"/>
      <c r="I144" s="323"/>
      <c r="J144" s="289"/>
      <c r="K144" s="289"/>
      <c r="L144" s="291"/>
    </row>
    <row r="145" spans="1:12" ht="15.75" hidden="1">
      <c r="A145" s="279" t="s">
        <v>12661</v>
      </c>
      <c r="B145" s="323" t="s">
        <v>3344</v>
      </c>
      <c r="C145" s="312">
        <f>IF(C31="h",0,IF(AND(C85&lt;=50,E70&lt;=15,C31="e"),15,IF(AND(C85&lt;=50,E70&gt;15,E70&lt;=25,C31="e"),21,IF(AND(C85&lt;=50,E70&gt;25,C31="e"),25,IF(AND(C85&gt;50,C85&lt;=100,E70&lt;=15,C31="e"),21,IF(AND(C85&gt;50,C85&lt;=100,E70&gt;15,E70&lt;=25,C31="e"),25,IF(AND(C85&gt;50,C85&lt;=100,E70&gt;25,C31="e"),30,D145)))))))</f>
        <v>74</v>
      </c>
      <c r="D145" s="367">
        <f>IF(AND(C85&gt;100,C85&lt;=200,E70&lt;=15,C31="e"),25,IF(AND(C85&gt;100,C85&lt;=200,E70&gt;15,E70&lt;=25,C31="e"),35,IF(AND(C85&gt;100,C85&lt;=200,E70&gt;25,C31="e"),40,IF(AND(C85&gt;200,C85&lt;=400,E70&lt;=15,C31="e"),30,IF(AND(C85&gt;200,C85&lt;=400,E70&gt;15,E70&lt;=25,C31="e"),46,IF(AND(C85&gt;200,C85&lt;=400,E70&gt;25,C31="e"),52,C146))))))</f>
        <v>74</v>
      </c>
      <c r="E145" s="339" t="s">
        <v>14758</v>
      </c>
      <c r="F145" s="323" t="s">
        <v>14759</v>
      </c>
      <c r="G145" s="312">
        <f>IF(AND(C31="h",C29&lt;=6),0.9,IF(AND(C31="h",C29=7),1,IF(AND(C31="e",C29&lt;=6),1.45,IF(AND(C31="e",C29=7),1.6,IF(AND(C31="d",C29&lt;=6),1.8,IF(AND(C31="d",C29=7),2,IF(AND(C31="d",C29=8),2.2,G146)))))))</f>
        <v>2.4</v>
      </c>
      <c r="H145" s="299"/>
      <c r="I145" s="323"/>
      <c r="J145" s="289"/>
      <c r="K145" s="289"/>
      <c r="L145" s="291"/>
    </row>
    <row r="146" spans="1:12" ht="15.75" hidden="1">
      <c r="A146" s="312"/>
      <c r="B146" s="350"/>
      <c r="C146" s="367">
        <f>IF(AND(C85&lt;=50,E70&lt;=15,C31="d"),22,IF(AND(C85&lt;=50,E70&gt;15,E70&lt;=25,C31="d"),33,IF(AND(C85&lt;=50,E70&gt;25,C31="d"),39,IF(AND(C85&gt;50,C85&lt;=100,E70&lt;=15,C31="d"),33,IF(AND(C85&gt;50,C85&lt;=100,E70&gt;15,E70&lt;=25,C31="d"),39,IF(AND(C85&gt;50,C85&lt;=100,E70&gt;25,C31="d"),46,D146))))))</f>
        <v>74</v>
      </c>
      <c r="D146" s="367">
        <f>IF(AND(C85&gt;100,C85&lt;=200,E70&lt;=15,C31="d"),39,IF(AND(C85&gt;100,C85&lt;=200,E70&gt;15,E70&lt;=25,C31="d"),54,IF(AND(C85&gt;100,C85&lt;=200,E70&gt;25,C31="d"),63,IF(AND(C85&gt;200,C85&lt;=400,E70&lt;=15,C31="d"),46,IF(AND(C85&gt;200,C85&lt;=400,E70&gt;15,E70&lt;=25,C31="d"),72,IF(AND(C85&gt;200,C85&lt;=400,E70&gt;25,C31="d"),81,C147))))))</f>
        <v>74</v>
      </c>
      <c r="E146" s="299"/>
      <c r="F146" s="349"/>
      <c r="G146" s="367">
        <f>IF(AND(C31="c",C29&lt;=6),2.4,IF(AND(C31="c",C29=7),2.7,IF(AND(C31="c",C29=8),3,IF(AND(C31="b",C29&lt;=6),3.4,IF(AND(C31="b",C29=7),3.8,IF(AND(C31="b",C29=8),4.2,G147))))))</f>
        <v>2.4</v>
      </c>
      <c r="H146" s="299"/>
      <c r="I146" s="323"/>
      <c r="J146" s="289"/>
      <c r="K146" s="289"/>
      <c r="L146" s="291"/>
    </row>
    <row r="147" spans="1:12" ht="15.75" hidden="1">
      <c r="A147" s="312"/>
      <c r="B147" s="350"/>
      <c r="C147" s="367">
        <f>IF(AND(C85&lt;=50,E70&lt;=15,C31="c"),36,IF(AND(C85&lt;=50,E70&gt;15,E70&lt;=25,C31="c"),52,IF(AND(C85&lt;=50,E70&gt;25,C31="c"),62,IF(AND(C85&gt;50,C85&lt;=100,E70&lt;=15,C31="c"),52,IF(AND(C85&gt;50,C85&lt;=100,E70&gt;15,E70&lt;=25,C31="c"),62,IF(AND(C85&gt;50,C85&lt;=100,E70&gt;25,C31="c"),74,D147))))))</f>
        <v>74</v>
      </c>
      <c r="D147" s="367" t="str">
        <f>IF(AND(C85&gt;100,C85&lt;=200,E70&lt;=15,C31="c"),62,IF(AND(C85&gt;100,C85&lt;=200,E70&gt;15,E70&lt;=25,C31="c"),87,IF(AND(C85&gt;100,C85&lt;=200,E70&gt;25,C31="c"),100,IF(AND(C85&gt;200,C85&lt;=400,E70&lt;=15,C31="c"),74,IF(AND(C85&gt;200,C85&lt;=400,E70&gt;15,E70&lt;=25,C31="c"),115,IF(AND(C85&gt;200,C85&lt;=400,E70&gt;25,C31="c"),130,C148))))))</f>
        <v>*</v>
      </c>
      <c r="E147" s="299"/>
      <c r="F147" s="349"/>
      <c r="G147" s="367" t="str">
        <f>IF(AND(C31="a",C29&lt;=6),5,IF(AND(C31="a",C29=7),5.5,IF(AND(C31="a",C30=8),6,"*")))</f>
        <v>*</v>
      </c>
      <c r="H147" s="299"/>
      <c r="I147" s="323"/>
      <c r="J147" s="289"/>
      <c r="K147" s="289"/>
      <c r="L147" s="291"/>
    </row>
    <row r="148" spans="1:12" ht="15.75" hidden="1">
      <c r="A148" s="312"/>
      <c r="B148" s="350"/>
      <c r="C148" s="367" t="str">
        <f>IF(AND(C85&lt;=50,E70&lt;=15,C31="b"),58,IF(AND(C85&lt;=50,E70&gt;15,E70&lt;=25,C31="b"),84,IF(AND(C85&lt;=50,E70&gt;25,C31="b"),100,IF(AND(C85&gt;50,C85&lt;=100,E70&lt;=15,C31="b"),84,IF(AND(C85&gt;50,C85&lt;=100,E70&gt;15,E70&lt;=25,C31="b"),100,IF(AND(C85&gt;50,C85&lt;=100,E70&gt;25,C31="b"),120,D148))))))</f>
        <v>*</v>
      </c>
      <c r="D148" s="367" t="str">
        <f>IF(AND(C85&gt;100,C85&lt;=200,E70&lt;=15,C31="b"),100,IF(AND(C85&gt;100,C85&lt;=200,E70&gt;15,E70&lt;=25,C31="b"),140,IF(AND(C85&gt;100,C85&lt;=200,E70&gt;25,C31="b"),160,IF(AND(C85&gt;200,C85&lt;=400,E70&lt;=15,C31="b"),120,IF(AND(C85&gt;200,C85&lt;=400,E70&gt;15,E70&lt;=25,C31="b"),185,IF(AND(C85&gt;200,C85&lt;=400,E70&gt;25,C31="b"),210,C149))))))</f>
        <v>*</v>
      </c>
      <c r="E148" s="299"/>
      <c r="F148" s="349"/>
      <c r="G148" s="299"/>
      <c r="H148" s="299"/>
      <c r="I148" s="323"/>
      <c r="J148" s="289"/>
      <c r="K148" s="289"/>
      <c r="L148" s="291"/>
    </row>
    <row r="149" spans="1:12" ht="15.75" hidden="1">
      <c r="A149" s="312"/>
      <c r="B149" s="350"/>
      <c r="C149" s="367" t="str">
        <f>IF(AND(C85&lt;=50,E70&lt;=15,C31="a"),90,IF(AND(C85&lt;=50,E70&gt;15,E70&lt;=25,C31="a"),130,IF(AND(C85&lt;=50,E70&gt;25,C31="a"),160,IF(AND(C85&gt;50,C85&lt;=100,E70&lt;=15,C31="a"),130,IF(AND(C85&gt;50,C85&lt;=100,E70&gt;15,E70&lt;=25,C31="a"),160,IF(AND(C85&gt;50,C85&lt;=100,E70&gt;25,C31="a"),190,D149))))))</f>
        <v>*</v>
      </c>
      <c r="D149" s="367" t="str">
        <f>IF(AND(C85&gt;100,C85&lt;=200,E70&lt;=15,C2="a"),160,IF(AND(C85&gt;100,C85&lt;=200,E70&gt;15,E70&lt;=25,C31="a"),220,IF(AND(C85&gt;100,C85&lt;=200,E70&gt;25,C31="a"),250,IF(AND(C85&gt;200,C85&lt;=400,E70&lt;=15,C31="a"),190,IF(AND(C85&gt;200,C85&lt;=400,E70&gt;15,E70&lt;=25,C31="a"),290,IF(AND(C85&gt;200,C85&lt;=400,E70&gt;25,C31="a"),320,"*"))))))</f>
        <v>*</v>
      </c>
      <c r="E149" s="299"/>
      <c r="F149" s="349"/>
      <c r="G149" s="299"/>
      <c r="H149" s="299"/>
      <c r="I149" s="323"/>
      <c r="J149" s="289"/>
      <c r="K149" s="289"/>
      <c r="L149" s="291"/>
    </row>
    <row r="150" spans="1:12" ht="15.75" hidden="1">
      <c r="A150" s="289"/>
      <c r="B150" s="298" t="s">
        <v>14760</v>
      </c>
      <c r="C150" s="312">
        <f>IF(AND(C118&lt;=125,C117&gt;=1,C117&lt;=3.5,E70&lt;=45),-20,IF(AND(C118&lt;=125,C117&gt;=1,C117&lt;=3.5,E70&gt;45),-22,IF(AND(C118&lt;=125,C117&gt;3.5,C117&lt;=6.3,E70&lt;=45),-22,IF(AND(C118&lt;=125,C117&gt;3.5,C117&lt;=6.3,E70&gt;45),-25,IF(AND(C118&lt;=125,C117&gt;6.3,C117&lt;=10,E70&lt;=45),-25,IF(AND(C118&lt;=125,C117&gt;6.3,C117&lt;=10,E70&gt;45),-28,C151))))))</f>
        <v>-22</v>
      </c>
      <c r="D150" s="350"/>
      <c r="E150" s="299"/>
      <c r="F150" s="298" t="s">
        <v>14761</v>
      </c>
      <c r="G150" s="312">
        <f>IF(AND(G118&lt;=125,G117&gt;=1,G117&lt;=3.5,E71&lt;=45),-20,IF(AND(G118&lt;=125,G117&gt;=1,G117&lt;=3.5,E71&gt;45),-22,IF(AND(G118&lt;=125,G117&gt;3.5,G117&lt;=6.3,E71&lt;=45),-22,IF(AND(G118&lt;=125,G117&gt;3.5,G117&lt;=6.3,E71&gt;45),-25,IF(AND(G118&lt;=125,G117&gt;6.3,G117&lt;=10,E71&lt;=45),-25,IF(AND(G118&lt;=125,G117&gt;6.3,G117&lt;=10,E71&gt;45),-28,G151))))))</f>
        <v>-30</v>
      </c>
      <c r="H150" s="289"/>
      <c r="I150" s="323"/>
      <c r="J150" s="289"/>
      <c r="K150" s="289"/>
      <c r="L150" s="291"/>
    </row>
    <row r="151" spans="1:12" ht="15.75" hidden="1">
      <c r="A151" s="289"/>
      <c r="B151" s="298"/>
      <c r="C151" s="367" t="str">
        <f>IF(AND(C118&gt;125,C118&lt;=400,C117&gt;=1,C117&lt;=3.5,E70&lt;=20),-28,IF(AND(C118&gt;125,C118&lt;=400,C117&gt;=1,C117&lt;=3.5,E70&gt;20,E70&lt;=45),-32,IF(AND(C118&gt;125,C118&lt;=400,C117&gt;=1,C117&lt;=3.5,E70&gt;45),-30,IF(AND(C118&gt;125,C118&lt;=400,C117&gt;3.5,C117&lt;=6.3,E70&lt;=45),-32,IF(AND(C118&gt;125,C118&lt;=400,C117&gt;3.5,C117&lt;=6.3,E70&gt;45),-30,IF(AND(C118&gt;125,C118&lt;=400,C117&gt;6.3,C117&lt;=10,E70&lt;=45),-36,IF(AND(C118&gt;125,C118&lt;=400,C117&gt;6.3,C117&lt;=10,E70&gt;45),34,"*")))))))</f>
        <v>*</v>
      </c>
      <c r="D151" s="350"/>
      <c r="E151" s="299"/>
      <c r="F151" s="298"/>
      <c r="G151" s="367">
        <f>IF(AND(G118&gt;125,G118&lt;=400,G117&gt;=1,G117&lt;=3.5,E71&lt;=20),-28,IF(AND(G118&gt;125,G118&lt;=400,G117&gt;=1,G117&lt;=3.5,E71&gt;20,E71&lt;=45,),-32,IF(AND(G118&gt;125,G118&lt;=400,G117&gt;=1,G117&lt;=3.5,E71&gt;45),-30,IF(AND(G118&gt;125,G118&lt;=400,G117&gt;3.5,G117&lt;=6.3,E71&lt;=45),-32,IF(AND(G118&gt;125,G118&lt;=400,G117&gt;3.5,G117&lt;=6.3,E71&gt;45),-30,IF(AND(G118&gt;125,G118&lt;=400,G117&gt;6.3,G117&lt;=10,E71&lt;=45),-36,IF(AND(G118&gt;125,G118&lt;=400,G117&gt;6.3,G117&lt;=10,E71&gt;45),34,"*")))))))</f>
        <v>-30</v>
      </c>
      <c r="H151" s="289"/>
      <c r="I151" s="323"/>
      <c r="J151" s="289"/>
      <c r="K151" s="289"/>
      <c r="L151" s="291"/>
    </row>
    <row r="152" spans="1:12" ht="15.75" hidden="1">
      <c r="A152" s="289" t="s">
        <v>12613</v>
      </c>
      <c r="B152" s="298" t="s">
        <v>3227</v>
      </c>
      <c r="C152" s="312">
        <f>ROUND(C150*G145,0)</f>
        <v>-53</v>
      </c>
      <c r="D152" s="350"/>
      <c r="E152" s="299"/>
      <c r="F152" s="298" t="s">
        <v>3228</v>
      </c>
      <c r="G152" s="289">
        <f>ROUND(G150*G145,0)</f>
        <v>-72</v>
      </c>
      <c r="H152" s="289"/>
      <c r="I152" s="323"/>
      <c r="J152" s="289"/>
      <c r="K152" s="289"/>
      <c r="L152" s="291"/>
    </row>
    <row r="153" spans="1:12" ht="15.75" hidden="1">
      <c r="A153" s="289" t="s">
        <v>12614</v>
      </c>
      <c r="B153" s="298" t="s">
        <v>3230</v>
      </c>
      <c r="C153" s="312">
        <f>C152-C138</f>
        <v>-123</v>
      </c>
      <c r="D153" s="350"/>
      <c r="E153" s="299"/>
      <c r="F153" s="298" t="s">
        <v>3231</v>
      </c>
      <c r="G153" s="289">
        <f>G152-G138</f>
        <v>-167</v>
      </c>
      <c r="H153" s="289"/>
      <c r="I153" s="323"/>
      <c r="J153" s="289"/>
      <c r="K153" s="289"/>
      <c r="L153" s="291"/>
    </row>
    <row r="154" spans="1:12" ht="15.75" hidden="1">
      <c r="A154" s="289" t="s">
        <v>14762</v>
      </c>
      <c r="B154" s="298" t="s">
        <v>14763</v>
      </c>
      <c r="C154" s="312">
        <f>IF(AND(C29&lt;=6,C118&lt;=125,C117&gt;=1,C117&lt;=3.5,E70&lt;=45),18,IF(AND(C29&lt;=6,C118&lt;=125,C117&gt;=1,C117&lt;=3.5,E70&gt;45),20,IF(AND(C29&lt;=6,C118&lt;=125,C117&gt;3.5,C117&lt;=6.3,E70&lt;=45),20,IF(AND(C29&lt;=6,C118&lt;=125,C117&gt;3.5,C117&lt;=6.3,E70&gt;45),22,IF(AND(C29&lt;=6,C118&lt;=125,C117&gt;6.3,C117&lt;=10,E70&lt;=45),22,IF(AND(C29&lt;=6,C118&lt;=125,C117&gt;6.3,C117&lt;=10,E70&gt;45),28,C155))))))</f>
        <v>20</v>
      </c>
      <c r="D154" s="350"/>
      <c r="E154" s="299"/>
      <c r="F154" s="298" t="s">
        <v>14764</v>
      </c>
      <c r="G154" s="312">
        <f>IF(AND(C29&lt;=6,G118&lt;=125,G117&gt;=1,G117&lt;=3.5,E71&lt;=45),18,IF(AND(C29&lt;=6,G118&lt;=125,G117&gt;=1,G117&lt;=3.5,E71&gt;45),20,IF(AND(C29&lt;=6,G118&lt;=125,G117&gt;3.5,G117&lt;=6.3,E71&lt;=45),20,IF(AND(C29&lt;=6,G118&lt;=125,G117&gt;3.5,G117&lt;=6.3,E71&gt;45),22,IF(AND(C29&lt;=6,G118&lt;=125,G117&gt;6.3,G117&lt;=10,E71&lt;=45),22,IF(AND(C29&lt;=6,G118&lt;=125,G117&gt;6.3,G117&lt;=10,E71&gt;45),28,G155))))))</f>
        <v>28</v>
      </c>
      <c r="H154" s="289"/>
      <c r="I154" s="323"/>
      <c r="J154" s="289"/>
      <c r="K154" s="289"/>
      <c r="L154" s="291"/>
    </row>
    <row r="155" spans="1:12" ht="15.75" hidden="1">
      <c r="A155" s="289"/>
      <c r="B155" s="298"/>
      <c r="C155" s="367" t="str">
        <f>IF(AND(C29&lt;=6,C118&gt;125,C118&lt;=400,C117&gt;=1,C117&lt;=3.5,E70&lt;=20),25,IF(AND(C29&lt;=6,C118&gt;125,C118&lt;=400,C117&gt;=1,C117&lt;=3.5,E70&gt;20),28,IF(AND(C29&lt;=6,C118&gt;125,C118&lt;=400,C117&gt;3.5,C117&lt;=6.3),28,IF(AND(C29&lt;=6,C118&gt;125,C118&lt;=400,C117&gt;3.5,C117&lt;=6.3,E70&lt;=45),32,IF(AND(C29&lt;=6,C118&gt;125,C118&lt;=400,C117&gt;6.3,C117&lt;=10,E70&gt;45),30,C156)))))</f>
        <v>*</v>
      </c>
      <c r="D155" s="350"/>
      <c r="E155" s="299"/>
      <c r="F155" s="298"/>
      <c r="G155" s="367">
        <f>IF(AND(C29&lt;=6,G118&gt;125,G118&lt;=400,G117&gt;=1,G117&lt;=3.5,E71&lt;=20),25,IF(AND(C29&lt;=6,G118&gt;125,G118&lt;=400,G117&gt;=1,G117&lt;=3.5,E71&gt;20),28,IF(AND(C29&lt;=6,G118&gt;125,G118&lt;=400,G117&gt;3.5,G117&lt;=6.3),28,IF(AND(C29&lt;=6,G118&gt;125,G118&lt;=400,G117&gt;3.5,G117&lt;=6.3,E71&lt;=45),32,IF(AND(C29&lt;=6,G118&gt;125,G118&lt;=400,G117&gt;6.3,G117&lt;=10,E71&gt;45),30,G156)))))</f>
        <v>28</v>
      </c>
      <c r="H155" s="289"/>
      <c r="I155" s="323"/>
      <c r="J155" s="289"/>
      <c r="K155" s="289"/>
      <c r="L155" s="291"/>
    </row>
    <row r="156" spans="1:12" ht="15.75" hidden="1">
      <c r="A156" s="289"/>
      <c r="B156" s="298"/>
      <c r="C156" s="367" t="str">
        <f>IF(AND(C29=7,C118&lt;=125,C117&gt;=1,C117&lt;=3.5,E70&lt;=45),20,IF(AND(C29=7,C118&lt;=125,C117&gt;=1,C117&lt;=3.5,E70&gt;45),22,IF(AND(C29=7,C118&lt;=125,C117&gt;3.5,C117&lt;=6.3,E70&lt;=45),22,IF(AND(C29=7,C118&lt;=125,C117&gt;3.5,C117&lt;=6.3,E70&gt;45),25,IF(AND(C29=7,C118&lt;=125,C117&gt;6.3,C117&lt;=10,E70&lt;=45),25,IF(AND(C29=7,C118&lt;=125,C117&gt;6.3,C117&lt;=10,E70&gt;45),28,C157))))))</f>
        <v>*</v>
      </c>
      <c r="D156" s="350"/>
      <c r="E156" s="299"/>
      <c r="F156" s="298"/>
      <c r="G156" s="367" t="str">
        <f>IF(AND(C29=7,G118&lt;=125,G117&gt;=1,G117&lt;=3.5,E71&lt;=45),20,IF(AND(C29=7,G118&lt;=125,G117&gt;=1,G117&lt;=3.5,E71&gt;45),22,IF(AND(C29=7,G118&lt;=125,G117&gt;3.5,G117&lt;=6.3,E71&lt;=45),22,IF(AND(C29=7,G118&lt;=125,G117&gt;3.5,G117&lt;=6.3,E71&gt;45),25,IF(AND(C29=7,G118&lt;=125,G117&gt;6.3,G117&lt;=10,E71&lt;=45),25,IF(AND(C29=7,G118&lt;=125,G117&gt;6.3,G117&lt;=10,E71&gt;45),28,G157))))))</f>
        <v>*</v>
      </c>
      <c r="H156" s="289"/>
      <c r="I156" s="323"/>
      <c r="J156" s="289"/>
      <c r="K156" s="289"/>
      <c r="L156" s="291"/>
    </row>
    <row r="157" spans="1:12" ht="15.75" hidden="1">
      <c r="A157" s="289"/>
      <c r="B157" s="298"/>
      <c r="C157" s="367" t="str">
        <f>IF(AND(C29=7,C118&gt;125,C118&lt;=400,C117&gt;=1,C117&lt;=3.5,E70&lt;=20),28,IF(AND(C29=7,C118&gt;125,C118&lt;=400,C117&gt;=1,C117&lt;=3.5,E70&gt;20,E70&lt;=45),32,IF(AND(C29=7,C118&gt;125,C118&lt;=400,C117&gt;=1,C117&lt;=3.5,E70&gt;45),30,IF(AND(C29=7,C118&gt;125,C118&lt;=400,C117&gt;3.5,C117&lt;=6.3,E70&lt;=45),32,IF(AND(C29=7,C118&gt;125,C118&lt;=400,C117&gt;3.5,C117&lt;=6.3,E70&gt;45),30,IF(AND(C29=7,C118&gt;125,C118&lt;=400,C117&gt;6.3,C117&lt;=10,E70&lt;=45),36,IF(AND(C29=7,C118&gt;125,C118&lt;=400,C117&gt;6.3,C117&lt;=10,E70&gt;45),34,C158)))))))</f>
        <v>*</v>
      </c>
      <c r="D157" s="350"/>
      <c r="E157" s="299"/>
      <c r="F157" s="298"/>
      <c r="G157" s="367" t="str">
        <f>IF(AND(C29=7,G118&gt;125,G118&lt;=400,G117&gt;=1,G117&lt;=3.5,E71&lt;=20),28,IF(AND(C29=7,G118&gt;125,G118&lt;=400,G117&gt;=1,G117&lt;=3.5,E70&gt;20,E71&lt;=45),32,IF(AND(C29=7,G118&gt;125,G118&lt;=400,G117&gt;=1,G117&lt;=3.5,E71&gt;45),30,IF(AND(C29=7,G118&gt;125,G118&lt;=400,G117&gt;3.5,G117&lt;=6.3,E71&lt;=45),32,IF(AND(C29=7,G118&gt;125,G118&lt;=400,G117&gt;3.5,G117&lt;=6.3,E71&gt;45),30,IF(AND(C29=7,G118&gt;125,G118&lt;=400,G117&gt;6.3,G117&lt;=10,E71&lt;=45),36,IF(AND(C29=7,G118&gt;125,G118&lt;=400,G117&gt;6.3,G117&lt;=10,E71&gt;45),34,G158)))))))</f>
        <v>*</v>
      </c>
      <c r="H157" s="289"/>
      <c r="I157" s="323"/>
      <c r="J157" s="289"/>
      <c r="K157" s="289"/>
      <c r="L157" s="291"/>
    </row>
    <row r="158" spans="1:12" ht="15.75" hidden="1">
      <c r="A158" s="289"/>
      <c r="B158" s="298"/>
      <c r="C158" s="367" t="str">
        <f>IF(AND(C29=8,C118&lt;=125,C117&gt;=1,C117&lt;=3.5,E70&lt;=45),22,IF(AND(C29=8,C118&lt;=125,C117&gt;=1,C117&lt;=3.5,E70&gt;45),24,IF(AND(C29=8,C118&lt;=125,C117&gt;3.5,C117&lt;=6.3,E70&lt;=45),24,IF(AND(C29=8,C118&lt;=125,C117&gt;3.5,C117&lt;=6.3,E70&gt;45),28,IF(AND(C29=8,C118&lt;=125,C117&gt;6.3,C117&lt;=10,E70&lt;=45),28,IF(AND(C29=8,C118&lt;=125,C117&gt;6.3,C117&lt;=10,E70&gt;45),30,C159))))))</f>
        <v>*</v>
      </c>
      <c r="D158" s="350"/>
      <c r="E158" s="299"/>
      <c r="F158" s="298"/>
      <c r="G158" s="367" t="str">
        <f>IF(AND(C29=8,G118&lt;=125,G117&gt;=1,G117&lt;=3.5,E71&lt;=45),22,IF(AND(C29=8,G118&lt;=125,G117&gt;=1,G117&lt;=3.5,E71&gt;45),24,IF(AND(C29=8,G118&lt;=125,G117&gt;3.5,G117&lt;=6.3,E71&lt;=45),24,IF(AND(C29=8,G118&lt;=125,G117&gt;3.5,G117&lt;=6.3,E71&gt;45),28,IF(AND(C29=8,G118&lt;=125,G117&gt;6.3,G117&lt;=10,E71&lt;=45),28,IF(AND(C29=8,G118&lt;=125,G117&gt;6.3,G117&lt;=10,E71&gt;45),30,G159))))))</f>
        <v>*</v>
      </c>
      <c r="H158" s="289"/>
      <c r="I158" s="323"/>
      <c r="J158" s="289"/>
      <c r="K158" s="289"/>
      <c r="L158" s="291"/>
    </row>
    <row r="159" spans="1:12" ht="15.75" hidden="1">
      <c r="A159" s="289"/>
      <c r="B159" s="298"/>
      <c r="C159" s="367" t="str">
        <f>IF(AND(C29=8,C118&gt;125,C118&lt;=400,C117&gt;=1,C117&lt;=3.5,E70&lt;=20),30,IF(AND(C29=8,C118&gt;125,C118&lt;=400,C117&gt;=1,C117&lt;=3.5,E70&gt;20,E70&lt;=45),36,IF(AND(C29=8,C118&gt;125,C118&lt;=400,C117&gt;=1,C117&lt;=3.5,E70&gt;45),32,IF(AND(C29=8,C118&gt;125,C118&lt;=400,C117&gt;3.5,C117&lt;=6.3,E70&lt;=45),36,IF(AND(C29=8,C118&gt;125,C118&lt;=400,C117&gt;3.5,C117&lt;=6.3,E70&gt;45),32,IF(AND(C29=8,C118&gt;125,C118&lt;=400,C117&gt;6.3,C117&lt;=10,E70&lt;=45),40,IF(AND(C29=8,C118&gt;125,C118&lt;=400,C117&gt;6.3,C117&lt;=10,E70&gt;45),38,"*")))))))</f>
        <v>*</v>
      </c>
      <c r="D159" s="350"/>
      <c r="E159" s="299"/>
      <c r="F159" s="298"/>
      <c r="G159" s="367" t="str">
        <f>IF(AND(C29=8,G118&gt;125,G118&lt;=400,G117&gt;=1,G117&lt;=3.5,E71&lt;=20),30,IF(AND(C29=8,G118&gt;125,G118&lt;=400,G117&gt;=1,G117&lt;=3.5,E70&gt;20,E71&lt;=45),36,IF(AND(C29=8,G118&gt;125,G118&lt;=400,G117&gt;=1,G117&lt;=3.5,E71&gt;45),32,IF(AND(C29=8,G118&gt;125,G118&lt;=400,G117&gt;3.5,G117&lt;=6.3,E71&lt;=45),36,IF(AND(C29=8,G118&gt;125,G118&lt;=400,G117&gt;3.5,G117&lt;=6.3,E71&gt;45),32,IF(AND(C29=8,G118&gt;125,G118&lt;=400,G117&gt;6.3,G117&lt;=10,E71&lt;=45),40,IF(AND(C29=8,G118&gt;125,G118&lt;=400,G117&gt;6.3,G117&lt;=10,E71&gt;45),38,"*")))))))</f>
        <v>*</v>
      </c>
      <c r="H159" s="289"/>
      <c r="I159" s="323"/>
      <c r="J159" s="289"/>
      <c r="K159" s="289"/>
      <c r="L159" s="291"/>
    </row>
    <row r="160" spans="1:12" ht="15.75" hidden="1">
      <c r="A160" s="279" t="s">
        <v>12662</v>
      </c>
      <c r="B160" s="323" t="s">
        <v>3346</v>
      </c>
      <c r="C160" s="312">
        <f>ROUND((-C152-G152+C138+G138+C154+G154)*COS(J23),0)</f>
        <v>318</v>
      </c>
      <c r="D160" s="350"/>
      <c r="E160" s="299"/>
      <c r="F160" s="298"/>
      <c r="G160" s="299"/>
      <c r="H160" s="289"/>
      <c r="I160" s="323"/>
      <c r="J160" s="289"/>
      <c r="K160" s="289"/>
      <c r="L160" s="291"/>
    </row>
    <row r="161" spans="1:12" ht="15.75" hidden="1">
      <c r="A161" s="289" t="s">
        <v>14765</v>
      </c>
      <c r="B161" s="298"/>
      <c r="C161" s="312">
        <f>IF(AND(C28&lt;=C29,C28&lt;=C30),C28,IF(C29&lt;=C30,C29,C30))</f>
        <v>6</v>
      </c>
      <c r="D161" s="350"/>
      <c r="E161" s="299"/>
      <c r="F161" s="298"/>
      <c r="G161" s="367">
        <f>C161</f>
        <v>6</v>
      </c>
      <c r="H161" s="289"/>
      <c r="I161" s="323"/>
      <c r="J161" s="289"/>
      <c r="K161" s="289"/>
      <c r="L161" s="291"/>
    </row>
    <row r="162" spans="1:12" ht="15.75" hidden="1">
      <c r="A162" s="382" t="s">
        <v>14766</v>
      </c>
      <c r="B162" s="350"/>
      <c r="C162" s="312">
        <f>IF(AND(C252&gt;30,C252&lt;=50,C161&lt;=6),20,IF(AND(C252&gt;50,C252&lt;=120,C161&lt;=6),25,IF(AND(C252&gt;120,C252&lt;=250,C161&lt;=6),30,IF(AND(C252&gt;250,C252&lt;=500,C161&lt;=6),40,IF(AND(C252&gt;30,C252&lt;=50,C161&gt;6),30,IF(AND(C252&gt;50,C252&lt;=120,C161&gt;6),40,IF(AND(C252&gt;120,C252&lt;=250,C161&gt;6),50,60)))))))</f>
        <v>25</v>
      </c>
      <c r="D162" s="350"/>
      <c r="E162" s="312"/>
      <c r="F162" s="430"/>
      <c r="G162" s="312">
        <f>IF(AND(G252&gt;30,G252&lt;=50,G161&lt;=6),20,IF(AND(G252&gt;50,G252&lt;=120,G161&lt;=6),25,IF(AND(G252&gt;120,G252&lt;=250,G161&lt;=6),30,IF(AND(G252&gt;250,G252&lt;=500,G161&lt;=6),40,IF(AND(G252&gt;30,G252&lt;=50,G161&gt;6),30,IF(AND(G252&gt;50,G252&lt;=120,G161&gt;6),40,IF(AND(G252&gt;120,G252&lt;=250,G161&gt;6),50,60)))))))</f>
        <v>30</v>
      </c>
      <c r="H162" s="289"/>
      <c r="I162" s="323"/>
      <c r="J162" s="289"/>
      <c r="K162" s="289"/>
      <c r="L162" s="291"/>
    </row>
    <row r="163" spans="1:12" ht="15.75" hidden="1">
      <c r="A163" s="382" t="s">
        <v>14767</v>
      </c>
      <c r="B163" s="350"/>
      <c r="C163" s="312">
        <f>IF(AND(C34&gt;30,C34&lt;=50,C161&lt;=6),8,IF(AND(C34&gt;50,C34&lt;=120,C161&lt;=6),10,IF(AND(C34&gt;120,C34&lt;=250,C161&lt;=6),12,IF(AND(C34&gt;250,C34&lt;=500,C161&lt;=6),15,IF(AND(C34&gt;30,C34&lt;=50,C161&gt;6),12,IF(AND(C34&gt;50,C34&lt;=120,C161&gt;6),15,IF(AND(C34&gt;120,C34&lt;=250,C161&gt;6),20,25)))))))</f>
        <v>25</v>
      </c>
      <c r="D163" s="350"/>
      <c r="E163" s="312"/>
      <c r="F163" s="430"/>
      <c r="G163" s="312">
        <f>IF(AND(C36&gt;30,C36&lt;=50,C161&lt;=6),8,IF(AND(C36&gt;50,C36&lt;=120,C161&lt;=6),10,IF(AND(C36&gt;120,C36&lt;=250,C161&lt;=6),12,IF(AND(C36&gt;250,C36&lt;=500,C161&lt;=6),15,IF(AND(C36&gt;30,C36&lt;=50,C161&gt;6),12,IF(AND(C36&gt;50,C36&lt;=120,C161&gt;6),15,IF(AND(C36&gt;120,C36&lt;=250,C161&gt;6),20,25)))))))</f>
        <v>15</v>
      </c>
      <c r="H163" s="289"/>
      <c r="I163" s="323"/>
      <c r="J163" s="289"/>
      <c r="K163" s="289"/>
      <c r="L163" s="291"/>
    </row>
    <row r="164" spans="1:12" ht="15.75" hidden="1">
      <c r="A164" s="382"/>
      <c r="B164" s="350"/>
      <c r="C164" s="367">
        <f>SIN(RADIANS(20))/SIN(J23)</f>
        <v>1</v>
      </c>
      <c r="D164" s="350"/>
      <c r="E164" s="312"/>
      <c r="F164" s="430"/>
      <c r="G164" s="312"/>
      <c r="H164" s="289"/>
      <c r="I164" s="323"/>
      <c r="J164" s="289"/>
      <c r="K164" s="289"/>
      <c r="L164" s="291"/>
    </row>
    <row r="165" spans="1:12" ht="15.75" hidden="1">
      <c r="A165" s="279"/>
      <c r="B165" s="323"/>
      <c r="C165" s="367">
        <f>IF(AND(C85&lt;=50,E70&lt;=15,C31="h"),7.5,IF(AND(C85&lt;=50,E70&gt;15,E70&lt;=25,C31="h"),10,IF(AND(C85&lt;=50,E70&gt;25,C31="h"),12,IF(AND(C85&gt;50,C85&lt;=100,E70&lt;=15,C31="h"),10,IF(AND(C85&gt;50,C85&lt;=100,E70&gt;15,E70&lt;=25,C31="h"),12,IF(AND(C85&gt;50,C85&lt;=100,E70&gt;25,C31="h"),15,D165))))))</f>
        <v>32</v>
      </c>
      <c r="D165" s="367">
        <f>IF(AND(C85&gt;100,C85&lt;=200,E70&lt;=15,C31="h"),12,IF(AND(C85&gt;100,C85&lt;=200,E70&gt;15,E70&lt;=25,C31="h"),17,IF(AND(C85&gt;100,C85&lt;=200,E70&gt;25,C31="h"),20,IF(AND(C85&gt;200,C85&lt;=400,E70&lt;=15,C31="h"),15,IF(AND(C85&gt;200,C85&lt;=400,E70&gt;15,E70&lt;=25,C31="h"),24,IF(AND(C85&gt;200,C85&lt;=400,E70&gt;25,C31="h"),26,E165))))))</f>
        <v>32</v>
      </c>
      <c r="E165" s="367">
        <f>IF(AND(C85&lt;=50,E70&lt;=15,C31="e"),7.5,IF(AND(C85&lt;=50,E70&gt;15,E70&lt;=25,C31="e"),10,IF(AND(C85&lt;=50,E70&gt;25,C31="e"),12,IF(AND(C85&gt;50,C85&lt;=100,E70&lt;=15,C31="e"),10,IF(AND(C85&gt;50,C85&lt;=100,E70&gt;15,E70&lt;=25,C31="e"),12,IF(AND(C85&gt;50,C85&lt;=100,E70&gt;25,C31="e"),15,F165))))))</f>
        <v>32</v>
      </c>
      <c r="F165" s="367">
        <f>IF(AND(C85&gt;100,C85&lt;=200,E70&lt;=15,C31="e"),12,IF(AND(C85&gt;100,C85&lt;=200,E70&gt;15,E70&lt;=25,C31="e"),17,IF(AND(C85&gt;100,C85&lt;=200,E70&gt;25,C31="e"),20,IF(AND(C85&gt;200,C85&lt;=400,E70&lt;=15,C31="e"),15,IF(AND(C85&gt;200,C85&lt;=400,E70&gt;15,E70&lt;=25,C31="e"),24,IF(AND(C85&gt;200,C85&lt;=400,E70&gt;25,C31="e"),26,C166))))))</f>
        <v>32</v>
      </c>
      <c r="G165" s="312"/>
      <c r="H165" s="289"/>
      <c r="I165" s="323"/>
      <c r="J165" s="289"/>
      <c r="K165" s="289"/>
      <c r="L165" s="291"/>
    </row>
    <row r="166" spans="1:12" hidden="1">
      <c r="A166" s="279"/>
      <c r="B166" s="350"/>
      <c r="C166" s="367">
        <f>IF(AND(C85&lt;=50,E70&lt;=15,C31="d"),11,IF(AND(C85&lt;=50,E70&gt;15,E70&lt;=25,C31="d"),16,IF(AND(C85&lt;=50,E70&gt;25,C31="d"),19,IF(AND(C85&gt;50,C85&lt;=100,E70&lt;=15,C31="d"),16,IF(AND(C85&gt;50,C85&lt;=100,E70&gt;15,E70&lt;=25,C31="d"),19,IF(AND(C85&gt;50,C85&lt;=100,E70&gt;25,C31="d"),22,D166))))))</f>
        <v>32</v>
      </c>
      <c r="D166" s="367">
        <f>IF(AND(C85&gt;100,C85&lt;=200,E70&lt;=15,C31="d"),19,IF(AND(C85&gt;100,C85&lt;=200,E70&gt;15,E70&lt;=25,C31="d"),26,IF(AND(C85&gt;100,C85&lt;=200,E70&gt;25,C31="d"),32,IF(AND(C85&gt;200,C85&lt;=400,E70&lt;=15,C31="d"),22,IF(AND(C85&gt;200,C85&lt;=400,E70&gt;15,E70&lt;=25,C31="d"),36,IF(AND(C85&gt;200,C85&lt;=400,E70&gt;25,C31="d"),40,E166))))))</f>
        <v>32</v>
      </c>
      <c r="E166" s="367">
        <f>IF(AND(C85&lt;=50,G70&lt;=15,C31="c"),18,IF(AND(C85&lt;=50,E70&gt;15,E70&lt;=25,C31="c"),26,IF(AND(C85&lt;=50,E70&gt;25,C31="c"),30,IF(AND(C85&gt;50,C85&lt;=100,E70&lt;=15,C31="c"),26,IF(AND(C85&gt;50,C85&lt;=100,E70&gt;15,E70&lt;=25,C31="c"),30,IF(AND(C85&gt;50,C85&lt;=100,E70&gt;25,C31="c"),32,F166))))))</f>
        <v>32</v>
      </c>
      <c r="F166" s="367" t="str">
        <f>IF(AND(C85&gt;100,C85&lt;=200,E70&lt;=15,C31="c"),30,IF(AND(C85&gt;100,C85&lt;=200,E70&gt;15,E70&lt;=25,C31="c"),45,IF(AND(C85&gt;100,C85&lt;=200,E70&gt;25,C31="c"),50,IF(AND(C85&gt;200,C85&lt;=400,E70&lt;=15,C31="c"),32,IF(AND(C85&gt;200,C85&lt;=400,E70&gt;15,E70&lt;=25,C31="c"),56,IF(AND(C85&gt;200,C85&lt;=400,E70&gt;25,C31="c"),63,C167))))))</f>
        <v>*</v>
      </c>
      <c r="G166" s="289"/>
      <c r="H166" s="289"/>
      <c r="I166" s="289"/>
      <c r="J166" s="367"/>
      <c r="K166" s="289"/>
      <c r="L166" s="291"/>
    </row>
    <row r="167" spans="1:12" ht="15.75" hidden="1">
      <c r="A167" s="431"/>
      <c r="B167" s="298"/>
      <c r="C167" s="367" t="str">
        <f>IF(AND(C85&lt;=50,E70&lt;=15,C31="b"),30,IF(AND(C85&lt;=50,E70&gt;15,E70&lt;=25,C31="b"),42,IF(AND(C85&lt;=50,E70&gt;25,C31="b"),50,IF(AND(C85&gt;50,C85&lt;=100,E70&lt;=15,C31="b"),42,IF(AND(C85&gt;50,C85&lt;=100,E70&gt;15,E70&lt;=25,C31="b"),50,IF(AND(C85&gt;50,C85&lt;=100,E70&gt;25,C31="b"),60,D167))))))</f>
        <v>*</v>
      </c>
      <c r="D167" s="367" t="str">
        <f>IF(AND(C85&gt;100,C85&lt;=200,E70&lt;=15,C31="b"),50,IF(AND(C85&gt;100,C85&lt;=200,E70&gt;15,E70&lt;=25,C31="b"),71,IF(AND(C85&gt;100,C85&lt;=200,E70&gt;25,C31="b"),80,IF(AND(C85&gt;200,C85&lt;=400,E70&lt;=15,C31="b"),60,IF(AND(C85&gt;200,C85&lt;=400,E70&gt;15,E70&lt;=25,C31="b"),90,IF(AND(C85&gt;200,C85&lt;=400,E70&gt;25,C31="b"),100,E167))))))</f>
        <v>*</v>
      </c>
      <c r="E167" s="367" t="str">
        <f>IF(AND(C85&lt;=50,G70&lt;=15,C31="a"),45,IF(AND(C85&lt;=50,E70&gt;15,E70&lt;=25,C31="a"),63,IF(AND(C85&lt;=50,E70&gt;25,C31="a"),80,IF(AND(C85&gt;50,C85&lt;=100,E70&lt;=15,C31="a"),63,IF(AND(C85&gt;50,C85&lt;=100,E70&gt;15,E70&lt;=25,C31="a"),80,IF(AND(C85&gt;50,C85&lt;=100,E70&gt;25,C31="a"),95,F167))))))</f>
        <v>*</v>
      </c>
      <c r="F167" s="367" t="str">
        <f>IF(AND(C85&gt;100,C85&lt;=200,E70&lt;=15,C32="a"),80,IF(AND(C85&gt;100,C85&lt;=200,E70&gt;15,E70&lt;=25,C31="a"),110,IF(AND(C85&gt;100,C85&lt;=200,E70&gt;25,C31="a"),125,IF(AND(C85&gt;200,C85&lt;=400,E70&lt;=15,C31="a"),95,IF(AND(C85&gt;200,C85&lt;=400,E70&gt;15,E70&lt;=25,C31="a"),140,IF(AND(C85&gt;200,C85&lt;=400,E70&gt;25,C31="a"),160,"*"))))))</f>
        <v>*</v>
      </c>
      <c r="G167" s="289"/>
      <c r="H167" s="311"/>
      <c r="I167" s="289"/>
      <c r="J167" s="367"/>
      <c r="K167" s="289"/>
      <c r="L167" s="291"/>
    </row>
    <row r="168" spans="1:12" ht="15.75" hidden="1">
      <c r="A168" s="279" t="s">
        <v>14768</v>
      </c>
      <c r="B168" s="323" t="s">
        <v>14769</v>
      </c>
      <c r="C168" s="312">
        <f>IF(G23=90,E168,G168)</f>
        <v>32</v>
      </c>
      <c r="D168" s="367"/>
      <c r="E168" s="367">
        <f>C165*C164</f>
        <v>32</v>
      </c>
      <c r="F168" s="367"/>
      <c r="G168" s="367">
        <f>C145/2</f>
        <v>37</v>
      </c>
      <c r="H168" s="311"/>
      <c r="I168" s="289"/>
      <c r="J168" s="367"/>
      <c r="K168" s="289"/>
      <c r="L168" s="291"/>
    </row>
    <row r="169" spans="1:12" ht="15.75" hidden="1">
      <c r="A169" s="391" t="s">
        <v>4237</v>
      </c>
      <c r="B169" s="323"/>
      <c r="C169" s="312"/>
      <c r="D169" s="367"/>
      <c r="E169" s="367"/>
      <c r="F169" s="367"/>
      <c r="G169" s="367"/>
      <c r="H169" s="311"/>
      <c r="I169" s="289"/>
      <c r="J169" s="367"/>
      <c r="K169" s="289"/>
      <c r="L169" s="291"/>
    </row>
    <row r="170" spans="1:12" ht="15.75" hidden="1">
      <c r="A170" s="432" t="s">
        <v>14770</v>
      </c>
      <c r="B170" s="323"/>
      <c r="C170" s="312" t="s">
        <v>14771</v>
      </c>
      <c r="D170" s="367"/>
      <c r="E170" s="367"/>
      <c r="F170" s="367"/>
      <c r="G170" s="289" t="s">
        <v>14772</v>
      </c>
      <c r="H170" s="311"/>
      <c r="I170" s="289"/>
      <c r="J170" s="367"/>
      <c r="K170" s="289"/>
      <c r="L170" s="291"/>
    </row>
    <row r="171" spans="1:12" ht="15.75" hidden="1">
      <c r="A171" s="279" t="s">
        <v>14773</v>
      </c>
      <c r="B171" s="323" t="s">
        <v>14774</v>
      </c>
      <c r="C171" s="312">
        <f>C20/COS(C70)</f>
        <v>14.7846227359525</v>
      </c>
      <c r="D171" s="367"/>
      <c r="E171" s="367"/>
      <c r="F171" s="323" t="s">
        <v>14775</v>
      </c>
      <c r="G171" s="312">
        <f>C21/COS(C71)</f>
        <v>50.3901934669151</v>
      </c>
      <c r="H171" s="311"/>
      <c r="I171" s="289"/>
      <c r="J171" s="367"/>
      <c r="K171" s="289"/>
      <c r="L171" s="291"/>
    </row>
    <row r="172" spans="1:12" ht="15.75" hidden="1">
      <c r="A172" s="279" t="s">
        <v>14776</v>
      </c>
      <c r="B172" s="323" t="s">
        <v>14777</v>
      </c>
      <c r="C172" s="312">
        <f>G171/C171</f>
        <v>3.40828402366864</v>
      </c>
      <c r="D172" s="367"/>
      <c r="E172" s="367"/>
      <c r="F172" s="323"/>
      <c r="G172" s="312"/>
      <c r="H172" s="311"/>
      <c r="I172" s="289"/>
      <c r="J172" s="367"/>
      <c r="K172" s="289"/>
      <c r="L172" s="291"/>
    </row>
    <row r="173" spans="1:12" ht="15.75" hidden="1">
      <c r="A173" s="279" t="s">
        <v>12567</v>
      </c>
      <c r="B173" s="323" t="s">
        <v>14778</v>
      </c>
      <c r="C173" s="312">
        <f>C118/COS(C70)</f>
        <v>94.634670519644004</v>
      </c>
      <c r="D173" s="367"/>
      <c r="E173" s="367"/>
      <c r="F173" s="323" t="s">
        <v>14779</v>
      </c>
      <c r="G173" s="312">
        <f>G118/COS(C71)</f>
        <v>322.54183561724801</v>
      </c>
      <c r="H173" s="311"/>
      <c r="I173" s="289"/>
      <c r="J173" s="367"/>
      <c r="K173" s="289"/>
      <c r="L173" s="291"/>
    </row>
    <row r="174" spans="1:12" ht="15.75" hidden="1">
      <c r="A174" s="382" t="s">
        <v>14780</v>
      </c>
      <c r="B174" s="323" t="s">
        <v>14781</v>
      </c>
      <c r="C174" s="312">
        <f>(C173+G173)/2</f>
        <v>208.58825306844599</v>
      </c>
      <c r="D174" s="367"/>
      <c r="E174" s="367"/>
      <c r="F174" s="323"/>
      <c r="G174" s="312"/>
      <c r="H174" s="311"/>
      <c r="I174" s="289"/>
      <c r="J174" s="367"/>
      <c r="K174" s="289"/>
      <c r="L174" s="291"/>
    </row>
    <row r="175" spans="1:12" ht="15.75" hidden="1">
      <c r="A175" s="279" t="s">
        <v>14782</v>
      </c>
      <c r="B175" s="323" t="s">
        <v>14783</v>
      </c>
      <c r="C175" s="312">
        <f>C173+2*C176</f>
        <v>109.044342925809</v>
      </c>
      <c r="D175" s="367"/>
      <c r="E175" s="367"/>
      <c r="F175" s="323" t="s">
        <v>14783</v>
      </c>
      <c r="G175" s="312">
        <f>G173+2*G176</f>
        <v>329.89517235330101</v>
      </c>
      <c r="H175" s="311"/>
      <c r="I175" s="289"/>
      <c r="J175" s="367"/>
      <c r="K175" s="289"/>
      <c r="L175" s="291"/>
    </row>
    <row r="176" spans="1:12" ht="15.75" hidden="1">
      <c r="A176" s="279" t="s">
        <v>14784</v>
      </c>
      <c r="B176" s="323" t="s">
        <v>14785</v>
      </c>
      <c r="C176" s="312">
        <f>C66*C85/C64</f>
        <v>7.2048362030827597</v>
      </c>
      <c r="D176" s="367"/>
      <c r="E176" s="367"/>
      <c r="F176" s="323" t="s">
        <v>14786</v>
      </c>
      <c r="G176" s="312">
        <f>C67*C85/C64</f>
        <v>3.6766683680266001</v>
      </c>
      <c r="H176" s="311"/>
      <c r="I176" s="289"/>
      <c r="J176" s="367"/>
      <c r="K176" s="289"/>
      <c r="L176" s="291"/>
    </row>
    <row r="177" spans="1:12" ht="15.75" hidden="1">
      <c r="A177" s="382" t="s">
        <v>14787</v>
      </c>
      <c r="B177" s="323" t="s">
        <v>14788</v>
      </c>
      <c r="C177" s="312">
        <f>(C176-G176)/(2*C117)</f>
        <v>0.35463093636015702</v>
      </c>
      <c r="D177" s="367"/>
      <c r="E177" s="367"/>
      <c r="F177" s="323" t="s">
        <v>14789</v>
      </c>
      <c r="G177" s="312">
        <f>(G176-C176)/(2*C117)</f>
        <v>-0.35463093636015702</v>
      </c>
      <c r="H177" s="311"/>
      <c r="I177" s="289"/>
      <c r="J177" s="367"/>
      <c r="K177" s="289"/>
      <c r="L177" s="291"/>
    </row>
    <row r="178" spans="1:12" ht="15.75" hidden="1">
      <c r="A178" s="382" t="s">
        <v>14790</v>
      </c>
      <c r="B178" s="323" t="s">
        <v>14791</v>
      </c>
      <c r="C178" s="312">
        <f>G24/2</f>
        <v>3.4499999999999999E-3</v>
      </c>
      <c r="D178" s="367"/>
      <c r="E178" s="367"/>
      <c r="F178" s="323" t="s">
        <v>14792</v>
      </c>
      <c r="G178" s="312">
        <f>-C178</f>
        <v>-3.4499999999999999E-3</v>
      </c>
      <c r="H178" s="311"/>
      <c r="I178" s="289"/>
      <c r="J178" s="367"/>
      <c r="K178" s="289"/>
      <c r="L178" s="291"/>
    </row>
    <row r="179" spans="1:12" ht="15.75" hidden="1">
      <c r="A179" s="279" t="s">
        <v>12570</v>
      </c>
      <c r="B179" s="323" t="s">
        <v>14793</v>
      </c>
      <c r="C179" s="312">
        <f>C173*COS(E179)</f>
        <v>85.701235066945401</v>
      </c>
      <c r="D179" s="367" t="s">
        <v>14794</v>
      </c>
      <c r="E179" s="367">
        <f>ATAN(TAN(J23)/COS(J24))</f>
        <v>0.43800215435949502</v>
      </c>
      <c r="F179" s="323" t="s">
        <v>14795</v>
      </c>
      <c r="G179" s="312">
        <f>G173*COS(E179)</f>
        <v>292.09415028734099</v>
      </c>
      <c r="H179" s="311"/>
      <c r="I179" s="289"/>
      <c r="J179" s="367"/>
      <c r="K179" s="289"/>
      <c r="L179" s="291"/>
    </row>
    <row r="180" spans="1:12" ht="15.75" hidden="1">
      <c r="A180" s="279" t="s">
        <v>14796</v>
      </c>
      <c r="B180" s="297" t="s">
        <v>14797</v>
      </c>
      <c r="C180" s="312">
        <f>E180*COS(J24)/(C117*PI()*COS(E179))</f>
        <v>1.20319235163723</v>
      </c>
      <c r="D180" s="433" t="s">
        <v>14798</v>
      </c>
      <c r="E180" s="367">
        <f>0.5*(SQRT(C175^2-C179^2)+SQRT(G175^2-G179^2))-C174*SIN(E179)</f>
        <v>21.9109783134979</v>
      </c>
      <c r="F180" s="297"/>
      <c r="G180" s="312"/>
      <c r="H180" s="311"/>
      <c r="I180" s="289"/>
      <c r="J180" s="367"/>
      <c r="K180" s="289"/>
      <c r="L180" s="291"/>
    </row>
    <row r="181" spans="1:12" ht="15.75" hidden="1">
      <c r="A181" s="279" t="s">
        <v>14799</v>
      </c>
      <c r="B181" s="297" t="s">
        <v>14800</v>
      </c>
      <c r="C181" s="312">
        <f>C27*SIN(J24)/(C117*PI())*0.85</f>
        <v>1.02687951349858</v>
      </c>
      <c r="D181" s="367"/>
      <c r="E181" s="367"/>
      <c r="F181" s="297"/>
      <c r="G181" s="312"/>
      <c r="H181" s="311"/>
      <c r="I181" s="289"/>
      <c r="J181" s="367"/>
      <c r="K181" s="289"/>
      <c r="L181" s="291"/>
    </row>
    <row r="182" spans="1:12" ht="15.75" hidden="1">
      <c r="A182" s="279" t="s">
        <v>14801</v>
      </c>
      <c r="B182" s="297" t="s">
        <v>14802</v>
      </c>
      <c r="C182" s="297">
        <f>C180+C181</f>
        <v>2.2300718651358098</v>
      </c>
      <c r="D182" s="367"/>
      <c r="E182" s="367"/>
      <c r="F182" s="297"/>
      <c r="G182" s="312"/>
      <c r="H182" s="311"/>
      <c r="I182" s="289"/>
      <c r="J182" s="367"/>
      <c r="K182" s="289"/>
      <c r="L182" s="291"/>
    </row>
    <row r="183" spans="1:12" ht="15.75" hidden="1">
      <c r="A183" s="432" t="s">
        <v>14803</v>
      </c>
      <c r="B183" s="323"/>
      <c r="C183" s="312"/>
      <c r="D183" s="367"/>
      <c r="E183" s="367"/>
      <c r="F183" s="323"/>
      <c r="G183" s="312"/>
      <c r="H183" s="311"/>
      <c r="I183" s="289"/>
      <c r="J183" s="367"/>
      <c r="K183" s="289"/>
      <c r="L183" s="291"/>
    </row>
    <row r="184" spans="1:12" ht="15.75" hidden="1">
      <c r="A184" s="279" t="s">
        <v>14804</v>
      </c>
      <c r="B184" s="323" t="s">
        <v>14805</v>
      </c>
      <c r="C184" s="312">
        <f>C171/(COS(E184)^2*COS(J24))</f>
        <v>29.2552924064824</v>
      </c>
      <c r="D184" s="367" t="s">
        <v>14806</v>
      </c>
      <c r="E184" s="367">
        <f>ASIN(SIN(J24)*COS(J23))</f>
        <v>0.63275387460343502</v>
      </c>
      <c r="F184" s="323" t="s">
        <v>14807</v>
      </c>
      <c r="G184" s="312">
        <f>G171/(COS(E184)^2*COS(J24))</f>
        <v>99.710345716768401</v>
      </c>
      <c r="H184" s="311"/>
      <c r="I184" s="289"/>
      <c r="J184" s="367"/>
      <c r="K184" s="289"/>
      <c r="L184" s="291"/>
    </row>
    <row r="185" spans="1:12" ht="15.75" hidden="1">
      <c r="A185" s="279" t="s">
        <v>12567</v>
      </c>
      <c r="B185" s="323" t="s">
        <v>14808</v>
      </c>
      <c r="C185" s="312">
        <f>C184*C117</f>
        <v>145.52816899325501</v>
      </c>
      <c r="D185" s="367"/>
      <c r="E185" s="367"/>
      <c r="F185" s="323" t="s">
        <v>14809</v>
      </c>
      <c r="G185" s="312">
        <f>G184*C117</f>
        <v>496.00133337345898</v>
      </c>
      <c r="H185" s="311"/>
      <c r="I185" s="289"/>
      <c r="J185" s="367"/>
      <c r="K185" s="289"/>
      <c r="L185" s="291"/>
    </row>
    <row r="186" spans="1:12" ht="15.75" hidden="1">
      <c r="A186" s="279" t="s">
        <v>12584</v>
      </c>
      <c r="B186" s="323" t="s">
        <v>14810</v>
      </c>
      <c r="C186" s="312">
        <f>C185+C175-C173</f>
        <v>159.93784139941999</v>
      </c>
      <c r="D186" s="367"/>
      <c r="E186" s="367"/>
      <c r="F186" s="323" t="s">
        <v>14811</v>
      </c>
      <c r="G186" s="312">
        <f>G185+G175-G173</f>
        <v>503.35467010951203</v>
      </c>
      <c r="H186" s="311"/>
      <c r="I186" s="289"/>
      <c r="J186" s="367"/>
      <c r="K186" s="289"/>
      <c r="L186" s="291"/>
    </row>
    <row r="187" spans="1:12" ht="15.75" hidden="1">
      <c r="A187" s="279" t="s">
        <v>12570</v>
      </c>
      <c r="B187" s="323" t="s">
        <v>14812</v>
      </c>
      <c r="C187" s="312">
        <f>C185*COS(J23)</f>
        <v>136.75174651944599</v>
      </c>
      <c r="D187" s="367"/>
      <c r="E187" s="367"/>
      <c r="F187" s="323" t="s">
        <v>14813</v>
      </c>
      <c r="G187" s="312">
        <f>G185*COS(J23)</f>
        <v>466.08879287101098</v>
      </c>
      <c r="H187" s="311"/>
      <c r="I187" s="289"/>
      <c r="J187" s="367"/>
      <c r="K187" s="289"/>
      <c r="L187" s="291"/>
    </row>
    <row r="188" spans="1:12" hidden="1">
      <c r="A188" s="279" t="s">
        <v>14814</v>
      </c>
      <c r="B188" s="297" t="s">
        <v>14815</v>
      </c>
      <c r="C188" s="312">
        <f>C180/COS(E184)^2</f>
        <v>1.85025613677292</v>
      </c>
      <c r="D188" s="367"/>
      <c r="E188" s="367"/>
      <c r="F188" s="297"/>
      <c r="G188" s="312"/>
      <c r="H188" s="311"/>
      <c r="I188" s="289"/>
      <c r="J188" s="367"/>
      <c r="K188" s="289"/>
      <c r="L188" s="291"/>
    </row>
    <row r="189" spans="1:12" ht="15.75" hidden="1">
      <c r="A189" s="279"/>
      <c r="B189" s="323"/>
      <c r="C189" s="312"/>
      <c r="D189" s="367"/>
      <c r="E189" s="367"/>
      <c r="F189" s="367"/>
      <c r="G189" s="312"/>
      <c r="H189" s="311"/>
      <c r="I189" s="289"/>
      <c r="J189" s="367"/>
      <c r="K189" s="289"/>
      <c r="L189" s="291"/>
    </row>
    <row r="190" spans="1:12" ht="15.75" hidden="1">
      <c r="A190" s="279" t="s">
        <v>14816</v>
      </c>
      <c r="B190" s="323" t="s">
        <v>14817</v>
      </c>
      <c r="C190" s="312">
        <f>(0.85+0.188-C177)*C117+C177*C117</f>
        <v>5.1634499944880599</v>
      </c>
      <c r="D190" s="323"/>
      <c r="E190" s="312" t="s">
        <v>14818</v>
      </c>
      <c r="F190" s="312" t="s">
        <v>14819</v>
      </c>
      <c r="G190" s="312">
        <f>IF(C22&lt;=5,0.3,IF(AND(C22&gt;5,C22&lt;=7),0.5,0.8))</f>
        <v>0.8</v>
      </c>
      <c r="H190" s="298" t="s">
        <v>14820</v>
      </c>
      <c r="I190" s="289">
        <v>0</v>
      </c>
      <c r="J190" s="367"/>
      <c r="K190" s="289"/>
      <c r="L190" s="291"/>
    </row>
    <row r="191" spans="1:12" ht="15.75" hidden="1">
      <c r="A191" s="279" t="s">
        <v>14821</v>
      </c>
      <c r="B191" s="323" t="s">
        <v>14822</v>
      </c>
      <c r="C191" s="312">
        <f>IF(C53&lt;&gt;0,2000*C53/C118,2000*9549*G53/C54/C118)</f>
        <v>6008.7844431194799</v>
      </c>
      <c r="D191" s="298" t="s">
        <v>464</v>
      </c>
      <c r="E191" s="367"/>
      <c r="F191" s="367"/>
      <c r="G191" s="312"/>
      <c r="H191" s="311"/>
      <c r="I191" s="289"/>
      <c r="J191" s="367"/>
      <c r="K191" s="289"/>
      <c r="L191" s="291"/>
    </row>
    <row r="192" spans="1:12" ht="15.75" hidden="1">
      <c r="A192" s="279" t="s">
        <v>14823</v>
      </c>
      <c r="B192" s="323" t="s">
        <v>14824</v>
      </c>
      <c r="C192" s="312">
        <v>1.5</v>
      </c>
      <c r="D192" s="318" t="s">
        <v>14825</v>
      </c>
      <c r="E192" s="367"/>
      <c r="F192" s="367"/>
      <c r="G192" s="312"/>
      <c r="H192" s="311"/>
      <c r="I192" s="298"/>
      <c r="J192" s="367"/>
      <c r="K192" s="289"/>
      <c r="L192" s="291"/>
    </row>
    <row r="193" spans="1:17" ht="15.75" hidden="1">
      <c r="A193" s="279"/>
      <c r="B193" s="323" t="s">
        <v>14826</v>
      </c>
      <c r="C193" s="312">
        <f>1/8*7.86/1000000*PI()*1/COS(J23)^2*C118^2</f>
        <v>2.4203465767666299E-2</v>
      </c>
      <c r="D193" s="323" t="s">
        <v>14827</v>
      </c>
      <c r="E193" s="312">
        <f>1/8*7.86/1000000*PI()*1/COS(J23)^2*G118^2</f>
        <v>8.2492285693347905E-2</v>
      </c>
      <c r="F193" s="298" t="s">
        <v>14828</v>
      </c>
      <c r="G193" s="312">
        <f>C193*E193/(C193+E193)</f>
        <v>1.87130151438601E-2</v>
      </c>
      <c r="H193" s="311"/>
      <c r="I193" s="298" t="s">
        <v>14829</v>
      </c>
      <c r="J193" s="312">
        <f>30000/(PI()*C20)*SQRT(20/G193)</f>
        <v>24014.366975827099</v>
      </c>
      <c r="K193" s="289"/>
      <c r="L193" s="291"/>
    </row>
    <row r="194" spans="1:17" ht="15.75" hidden="1">
      <c r="A194" s="279"/>
      <c r="B194" s="323" t="s">
        <v>464</v>
      </c>
      <c r="C194" s="312">
        <f>C54/J193</f>
        <v>4.1641738922645902E-2</v>
      </c>
      <c r="D194" s="298" t="s">
        <v>4266</v>
      </c>
      <c r="E194" s="312">
        <f>0.075*G124</f>
        <v>1.05</v>
      </c>
      <c r="F194" s="298" t="s">
        <v>14830</v>
      </c>
      <c r="G194" s="312">
        <f>0.32</f>
        <v>0.32</v>
      </c>
      <c r="H194" s="298" t="s">
        <v>14831</v>
      </c>
      <c r="I194" s="298">
        <f>IF(C182&gt;2,0.57/(C182-0.3),IF(AND(C182&gt;1,C182&lt;=2),0.34))</f>
        <v>0.29532579086628502</v>
      </c>
      <c r="J194" s="298" t="s">
        <v>14832</v>
      </c>
      <c r="K194" s="289">
        <f>IF(C182&gt;2,0.096/(C182-1.56),IF(AND(C182&gt;1,C182&lt;=2),0.23))</f>
        <v>0.14326821494070999</v>
      </c>
      <c r="L194" s="291"/>
    </row>
    <row r="195" spans="1:17" ht="15.75" hidden="1">
      <c r="A195" s="279"/>
      <c r="B195" s="298" t="s">
        <v>14833</v>
      </c>
      <c r="C195" s="312">
        <f>IF(C182&gt;2,(0.57-0.05*C182)/(C182-1.44),IF(AND(C182&gt;1,C182&lt;=2),0.9))</f>
        <v>0.58032240733492702</v>
      </c>
      <c r="D195" s="298" t="s">
        <v>14834</v>
      </c>
      <c r="E195" s="312">
        <v>0.47</v>
      </c>
      <c r="F195" s="298" t="s">
        <v>14835</v>
      </c>
      <c r="G195" s="312">
        <f>IF(C182&gt;2,0.12/(C182-1.74),IF(AND(C182&gt;1,C182&lt;=2),0.47))</f>
        <v>0.24486204684846599</v>
      </c>
      <c r="H195" s="298" t="s">
        <v>14836</v>
      </c>
      <c r="I195" s="298">
        <f>IF(AND(C182&gt;1.5,C182&lt;=2.5),0.125*SIN(PI()/1.12*(C182-1.96))+0.875,IF(AND(C182&gt;1,C182&lt;=1.5),0.75,IF(AND(C182&gt;2.5),1)))</f>
        <v>0.96089292414508498</v>
      </c>
      <c r="J195" s="463"/>
      <c r="K195" s="289"/>
      <c r="L195" s="291"/>
    </row>
    <row r="196" spans="1:17" ht="15.75" hidden="1">
      <c r="A196" s="279" t="s">
        <v>14837</v>
      </c>
      <c r="B196" s="323" t="s">
        <v>14838</v>
      </c>
      <c r="C196" s="312">
        <f>IF(C194&lt;=0.85,E196,IF(AND(C194&gt;0.85,C194&lt;=1.15),G196,IF(AND(C194&gt;1.15,C194&lt;1.5),I196,IF(AND(C194&gt;=1.5),K196))))</f>
        <v>1.0191089245451399</v>
      </c>
      <c r="D196" s="339" t="s">
        <v>14839</v>
      </c>
      <c r="E196" s="312">
        <f>C194*((G124-E194)*14/(C192*C191/(0.85*C27))*(G194+I194)+K194)+1</f>
        <v>1.0191089245451399</v>
      </c>
      <c r="F196" s="339" t="s">
        <v>14840</v>
      </c>
      <c r="G196" s="312">
        <f>(G124-E194)*14/(C192*C191/(0.85*C27))*(G194+I194)+C195+1</f>
        <v>1.8959429189345101</v>
      </c>
      <c r="H196" s="339" t="s">
        <v>14841</v>
      </c>
      <c r="I196" s="312">
        <f>K196+(G196-K196)/0.35*(1.5-C194)</f>
        <v>4.0935696624328202</v>
      </c>
      <c r="J196" s="339" t="s">
        <v>14842</v>
      </c>
      <c r="K196" s="289">
        <f>(G124-E194)*14/(C192*C191/(0.85*C27))*(E195+K195)+I195</f>
        <v>1.20197113450737</v>
      </c>
      <c r="L196" s="291"/>
    </row>
    <row r="197" spans="1:17" hidden="1">
      <c r="A197" s="279" t="s">
        <v>4260</v>
      </c>
      <c r="B197" s="279" t="s">
        <v>14843</v>
      </c>
      <c r="C197" s="312">
        <f>IF(C50=1,1.5*1,IF(C50=2,1.5*1.1,IF(C50=3,1.5*1.25,"")))</f>
        <v>1.65</v>
      </c>
      <c r="D197" s="279" t="s">
        <v>14844</v>
      </c>
      <c r="E197" s="312">
        <f>C197</f>
        <v>1.65</v>
      </c>
      <c r="F197" s="434"/>
      <c r="G197" s="312"/>
      <c r="H197" s="434"/>
      <c r="I197" s="312"/>
      <c r="J197" s="434"/>
      <c r="K197" s="289"/>
      <c r="L197" s="291"/>
    </row>
    <row r="198" spans="1:17" ht="15.75" hidden="1">
      <c r="A198" s="279"/>
      <c r="B198" s="323" t="s">
        <v>14845</v>
      </c>
      <c r="C198" s="312">
        <f>IF(C182&lt;=2,"C149/2*(.9+.4*20*(G92-E162)/(C160*C164*C165*C159/(.85*C17))",0.9+0.4*SQRT(2*(C182-1)/C182*20*(G124-E194)/(C192*C196*C197*C191/(0.85*C27))))</f>
        <v>1.17733811432549</v>
      </c>
      <c r="D198" s="323" t="s">
        <v>14846</v>
      </c>
      <c r="E198" s="312">
        <f>C198</f>
        <v>1.17733811432549</v>
      </c>
      <c r="F198" s="323" t="s">
        <v>14845</v>
      </c>
      <c r="G198" s="312">
        <f>IF(C182&lt;=2,"C149/2*(.9+.4*20*(G92-E162)/(C160*C164*C165*C159/(.85*C17)",0.9+0.4*SQRT(2*(C182-1))/C182*20*(G124-E194)/(C192*C196*C197*C191/(0.85*C27)))</f>
        <v>1.02259672958063</v>
      </c>
      <c r="H198" s="298" t="s">
        <v>14847</v>
      </c>
      <c r="I198" s="312">
        <f>IF(C202&lt;850,0.15,IF(C202&gt;1200,0.08,0.12+(1000-C202)/5000))</f>
        <v>0.08</v>
      </c>
      <c r="J198" s="312"/>
      <c r="K198" s="289"/>
      <c r="L198" s="291"/>
    </row>
    <row r="199" spans="1:17" ht="15.75" hidden="1">
      <c r="A199" s="279" t="s">
        <v>14848</v>
      </c>
      <c r="B199" s="323" t="s">
        <v>14849</v>
      </c>
      <c r="C199" s="312">
        <f>IF(G198&gt;C182/(C180*I200^2),C182/(C180*I200^2),IF(G198&lt;1,1,G198))</f>
        <v>1.02259672958063</v>
      </c>
      <c r="D199" s="323" t="s">
        <v>14850</v>
      </c>
      <c r="E199" s="312">
        <f>IF(G198&gt;C182,C182/(C180*(0.25+0.75/C188)),G198)</f>
        <v>1.02259672958063</v>
      </c>
      <c r="F199" s="298" t="s">
        <v>14851</v>
      </c>
      <c r="G199" s="312">
        <f>IF(C202&lt;850,0.83,IF(C202&gt;1200,0.91,0.83+(C202-850)/350*0.08))</f>
        <v>0.91</v>
      </c>
      <c r="H199" s="298" t="s">
        <v>14852</v>
      </c>
      <c r="I199" s="312">
        <f>IF(C202&lt;850,0.85,IF(C202&gt;1200,0.93,0.85+(C202-850)/350*0.08))</f>
        <v>0.93</v>
      </c>
      <c r="J199" s="312" t="s">
        <v>14853</v>
      </c>
      <c r="K199" s="289">
        <v>32</v>
      </c>
      <c r="L199" s="360" t="s">
        <v>14854</v>
      </c>
    </row>
    <row r="200" spans="1:17" ht="15.75" hidden="1">
      <c r="A200" s="279"/>
      <c r="B200" s="323" t="s">
        <v>14855</v>
      </c>
      <c r="C200" s="312">
        <f>2*SQRT(COS(E184)/SIN(2*E179))</f>
        <v>2.0491434254481602</v>
      </c>
      <c r="D200" s="323" t="s">
        <v>14856</v>
      </c>
      <c r="E200" s="312">
        <f>TAN(E179)/SQRT((SQRT(C175^2/C179^2-1)-2*PI()/C171)*(SQRT(G175^2/G179^2-1)-(C180-1)*2*PI()/G171))</f>
        <v>1.10164276800262</v>
      </c>
      <c r="F200" s="323" t="s">
        <v>14857</v>
      </c>
      <c r="G200" s="312">
        <f>189.8</f>
        <v>189.8</v>
      </c>
      <c r="H200" s="323" t="s">
        <v>14858</v>
      </c>
      <c r="I200" s="312">
        <f>IF(B181&lt;1,"SQRT((4-B147)/3*(1-B148)+B148/B147",SQRT(1/C180))</f>
        <v>0.91165909443105397</v>
      </c>
      <c r="J200" s="323" t="s">
        <v>14859</v>
      </c>
      <c r="K200" s="289">
        <f>SQRT(COS(J24))</f>
        <v>0.88155882472865699</v>
      </c>
      <c r="L200" s="291"/>
    </row>
    <row r="201" spans="1:17" ht="15.75" hidden="1">
      <c r="A201" s="279"/>
      <c r="B201" s="323" t="s">
        <v>14860</v>
      </c>
      <c r="C201" s="312">
        <f>0.85</f>
        <v>0.85</v>
      </c>
      <c r="D201" s="323" t="s">
        <v>14861</v>
      </c>
      <c r="E201" s="312">
        <f>G199+4*(1-G199)/(1.2+134/K199)^2</f>
        <v>0.92240303400606205</v>
      </c>
      <c r="F201" s="323" t="s">
        <v>14862</v>
      </c>
      <c r="G201" s="312">
        <f>I199+2*(1-I199)/SQRT(0.8+32/(PI()*C118*C54/60))</f>
        <v>1.0858111611464301</v>
      </c>
      <c r="H201" s="323" t="s">
        <v>14863</v>
      </c>
      <c r="I201" s="323">
        <f>(3/(3.2*(100/C174)^(1/3)))^I198</f>
        <v>1.01454682952832</v>
      </c>
      <c r="J201" s="323" t="s">
        <v>14864</v>
      </c>
      <c r="K201" s="289">
        <f>1.05-0.005*C117</f>
        <v>1.0251278901999601</v>
      </c>
      <c r="L201" s="291"/>
    </row>
    <row r="202" spans="1:17" ht="15" hidden="1">
      <c r="A202" s="382" t="s">
        <v>4269</v>
      </c>
      <c r="B202" s="312" t="s">
        <v>14865</v>
      </c>
      <c r="C202" s="312">
        <f>IF(C47=1,1500,IF(C47=2,1220,IF(C47=3,840,IF(C47=4,550,IF(C47=5,1250,IF(C47=6,1000,800))))))</f>
        <v>1500</v>
      </c>
      <c r="D202" s="378" t="s">
        <v>4271</v>
      </c>
      <c r="E202" s="318" t="s">
        <v>4272</v>
      </c>
      <c r="F202" s="434"/>
      <c r="G202" s="312"/>
      <c r="H202" s="434"/>
      <c r="I202" s="312"/>
      <c r="J202" s="434"/>
      <c r="K202" s="289"/>
      <c r="L202" s="291"/>
    </row>
    <row r="203" spans="1:17" ht="15" hidden="1">
      <c r="A203" s="382" t="s">
        <v>4273</v>
      </c>
      <c r="B203" s="289" t="s">
        <v>14866</v>
      </c>
      <c r="C203" s="312">
        <f>1.25</f>
        <v>1.25</v>
      </c>
      <c r="D203" s="378"/>
      <c r="E203" s="318" t="s">
        <v>4275</v>
      </c>
      <c r="F203" s="434"/>
      <c r="G203" s="312"/>
      <c r="H203" s="434"/>
      <c r="I203" s="367"/>
      <c r="J203" s="464"/>
      <c r="K203" s="367"/>
      <c r="L203" s="321"/>
    </row>
    <row r="204" spans="1:17" ht="15.75" hidden="1">
      <c r="A204" s="279" t="s">
        <v>14867</v>
      </c>
      <c r="B204" s="312" t="s">
        <v>14868</v>
      </c>
      <c r="C204" s="312">
        <f>ROUND(C202/C203*K201*E201*G201*I201,2)</f>
        <v>1249.99</v>
      </c>
      <c r="D204" s="378" t="s">
        <v>4271</v>
      </c>
      <c r="E204" s="312"/>
      <c r="F204" s="312" t="s">
        <v>14869</v>
      </c>
      <c r="G204" s="312">
        <f>C200*G200*I200*K200*C201*SQRT(C191/(C173*0.85*C27)*(C172+1)/C172)</f>
        <v>476.79998851392997</v>
      </c>
      <c r="H204" s="434"/>
      <c r="I204" s="367"/>
      <c r="J204" s="367"/>
      <c r="K204" s="367"/>
      <c r="L204" s="321"/>
    </row>
    <row r="205" spans="1:17" ht="15.75" hidden="1">
      <c r="A205" s="279" t="s">
        <v>14870</v>
      </c>
      <c r="B205" s="312" t="s">
        <v>14871</v>
      </c>
      <c r="C205" s="312">
        <f>ROUND(G204*SQRT(C192*C196*C197*C199),2)</f>
        <v>765.75</v>
      </c>
      <c r="D205" s="378" t="s">
        <v>4271</v>
      </c>
      <c r="E205" s="312"/>
      <c r="F205" s="434"/>
      <c r="G205" s="312"/>
      <c r="H205" s="434"/>
      <c r="I205" s="367"/>
      <c r="J205" s="367"/>
      <c r="K205" s="367"/>
      <c r="L205" s="321"/>
    </row>
    <row r="206" spans="1:17" ht="15.75" hidden="1">
      <c r="A206" s="382" t="s">
        <v>4286</v>
      </c>
      <c r="B206" s="323" t="s">
        <v>4287</v>
      </c>
      <c r="C206" s="312">
        <f>ROUND(C202/G204*E201*G201*I201*K201/SQRT(C192*C196*C197*C199),2)</f>
        <v>2.04</v>
      </c>
      <c r="D206" s="294" t="str">
        <f>IF(C206&gt;=C203,"","安全系数过小！")</f>
        <v/>
      </c>
      <c r="E206" s="299"/>
      <c r="F206" s="434"/>
      <c r="G206" s="312"/>
      <c r="H206" s="434"/>
      <c r="I206" s="367"/>
      <c r="J206" s="367"/>
      <c r="K206" s="367"/>
      <c r="L206" s="321"/>
    </row>
    <row r="207" spans="1:17" ht="15.75" hidden="1">
      <c r="A207" s="382"/>
      <c r="B207" s="323"/>
      <c r="C207" s="435" t="s">
        <v>14872</v>
      </c>
      <c r="D207" s="305"/>
      <c r="E207" s="299"/>
      <c r="F207" s="434"/>
      <c r="G207" s="312"/>
      <c r="H207" s="434"/>
      <c r="I207" s="367"/>
      <c r="J207" s="465"/>
      <c r="K207" s="435" t="s">
        <v>14873</v>
      </c>
      <c r="L207" s="321"/>
    </row>
    <row r="208" spans="1:17" ht="15.75" hidden="1">
      <c r="A208" s="279"/>
      <c r="B208" s="323" t="s">
        <v>2510</v>
      </c>
      <c r="C208" s="312">
        <f>PI()*C117/4-C178*C117-C190*TAN(J23)+I190/COS(J23)-G190*(1-SIN(J23))/COS(J23)</f>
        <v>1.4502319809085999</v>
      </c>
      <c r="D208" s="298" t="s">
        <v>252</v>
      </c>
      <c r="E208" s="312">
        <f>G190/C117-C190/C117+C177</f>
        <v>-0.52254635771910296</v>
      </c>
      <c r="F208" s="298" t="s">
        <v>487</v>
      </c>
      <c r="G208" s="312">
        <f>2/C184*(PI()/2-C208/C117)-PI()/3</f>
        <v>-0.95974270577633503</v>
      </c>
      <c r="H208" s="312" t="s">
        <v>14874</v>
      </c>
      <c r="I208" s="312">
        <f>G54</f>
        <v>0.91345982085299204</v>
      </c>
      <c r="J208" s="466" t="s">
        <v>2510</v>
      </c>
      <c r="K208" s="312">
        <f>PI()*C117/4-G178*C117-C190*TAN(J23)+I190/COS(J23)-G190*(1-SIN(J23))/COS(J23)</f>
        <v>1.4845554924326501</v>
      </c>
      <c r="L208" s="298" t="s">
        <v>252</v>
      </c>
      <c r="M208" s="312">
        <f>G190/C117-C190/C117+G177</f>
        <v>-1.23180823043942</v>
      </c>
      <c r="N208" s="298" t="s">
        <v>487</v>
      </c>
      <c r="O208" s="312">
        <f>2/G184*(PI()/2-K208/C117)-PI()/3</f>
        <v>-1.0216764575042601</v>
      </c>
      <c r="P208" s="312" t="s">
        <v>14874</v>
      </c>
      <c r="Q208" s="312">
        <f>G58</f>
        <v>0.98447906828950205</v>
      </c>
    </row>
    <row r="209" spans="1:17" ht="15" hidden="1">
      <c r="A209" s="279"/>
      <c r="B209" s="436" t="s">
        <v>14875</v>
      </c>
      <c r="C209" s="312">
        <f>C184*SIN(PI()/3-I208)+SQRT(3)*(E208/COS(I208)-G190/C117)</f>
        <v>2.1410520014268601</v>
      </c>
      <c r="D209" s="402" t="s">
        <v>14876</v>
      </c>
      <c r="E209" s="312">
        <f>G190/C117+2*E208^2/(COS(I208)*(C184*COS(I208)^2-2*E208))</f>
        <v>0.23550928789468301</v>
      </c>
      <c r="F209" s="309" t="s">
        <v>14877</v>
      </c>
      <c r="G209" s="312">
        <f>ACOS(C187/C186)</f>
        <v>0.54518650633302601</v>
      </c>
      <c r="H209" s="291" t="s">
        <v>14878</v>
      </c>
      <c r="I209" s="312">
        <f>1/C184*(PI()/2+2*(C177*TAN(J23)+C178))+TAN(J23)-J23-TAN(G209)+G209</f>
        <v>1.6341746200467699E-2</v>
      </c>
      <c r="J209" s="467" t="s">
        <v>14875</v>
      </c>
      <c r="K209" s="312">
        <f>G184*SIN(PI()/3-Q208)+SQRT(3)*(M208/COS(Q208)-G190/C117)</f>
        <v>2.1149557395770802</v>
      </c>
      <c r="L209" s="402" t="s">
        <v>14876</v>
      </c>
      <c r="M209" s="312">
        <f>G190/C117+2*M208^2/(COS(Q208)*(G184*COS(Q208)^2-2*M208))</f>
        <v>0.327084486413866</v>
      </c>
      <c r="N209" s="309" t="s">
        <v>14877</v>
      </c>
      <c r="O209" s="312">
        <f>ACOS(G187/G186)</f>
        <v>0.38721321140905401</v>
      </c>
      <c r="P209" s="291" t="s">
        <v>14878</v>
      </c>
      <c r="Q209" s="312">
        <f>1/G184*(PI()/2+2*(G177*TAN(J23)+G178))+TAN(J23)-J23-TAN(O209)+O209</f>
        <v>7.4120151262380696E-3</v>
      </c>
    </row>
    <row r="210" spans="1:17" ht="15.75" hidden="1">
      <c r="A210" s="279"/>
      <c r="B210" s="309" t="s">
        <v>14879</v>
      </c>
      <c r="C210" s="298">
        <f>G209-I209</f>
        <v>0.52884476013255899</v>
      </c>
      <c r="D210" s="323" t="s">
        <v>14880</v>
      </c>
      <c r="E210" s="312">
        <f>0.5*((COS(I209)-SIN(I209)*TAN(C210))*C186/C117-C184*COS(PI()/3-I208)-E208/COS(I208)+G190/C117)</f>
        <v>1.9313560872745801</v>
      </c>
      <c r="F210" s="298" t="s">
        <v>14881</v>
      </c>
      <c r="G210" s="312">
        <f>0.2*(1+2*C209/(2*E209))</f>
        <v>2.01823147661533</v>
      </c>
      <c r="H210" s="312" t="s">
        <v>14882</v>
      </c>
      <c r="I210" s="312">
        <f>IF(C47=1,0.003,IF(C47=2,0.0194,0.0445))</f>
        <v>3.0000000000000001E-3</v>
      </c>
      <c r="J210" s="468" t="s">
        <v>14879</v>
      </c>
      <c r="K210" s="298">
        <f>O209-Q209</f>
        <v>0.379801196282816</v>
      </c>
      <c r="L210" s="323" t="s">
        <v>14880</v>
      </c>
      <c r="M210" s="312">
        <f>0.5*((COS(Q209)-SIN(Q209)*TAN(K210))*G186/C117-G184*COS(PI()/3-Q208)-M208/COS(Q208)+G190/C117)</f>
        <v>1.87961787328557</v>
      </c>
      <c r="N210" s="298" t="s">
        <v>14881</v>
      </c>
      <c r="O210" s="312">
        <f>0.2*(1+2*K209/(2*M209))</f>
        <v>1.49321678491409</v>
      </c>
      <c r="P210" s="312" t="s">
        <v>14882</v>
      </c>
      <c r="Q210" s="312">
        <f>IF(C47=1,0.003,IF(C47=2,0.0194,0.0445))</f>
        <v>3.0000000000000001E-3</v>
      </c>
    </row>
    <row r="211" spans="1:17" ht="15.75" hidden="1">
      <c r="A211" s="279" t="s">
        <v>14883</v>
      </c>
      <c r="B211" s="323" t="s">
        <v>14884</v>
      </c>
      <c r="C211" s="312">
        <f>6*E210*COS(C210)/(C209^2*COS(J23))</f>
        <v>2.3226331751349698</v>
      </c>
      <c r="D211" s="323" t="s">
        <v>14885</v>
      </c>
      <c r="E211" s="312">
        <f>(1.2+0.13*C209/E210)*(C209/(2*E209))^(1/(1.21+2.3/(C209/E210)))</f>
        <v>2.1312369112830698</v>
      </c>
      <c r="F211" s="323" t="s">
        <v>14886</v>
      </c>
      <c r="G211" s="312">
        <f>0.25+0.75/C188</f>
        <v>0.65534928386082503</v>
      </c>
      <c r="H211" s="323" t="s">
        <v>14887</v>
      </c>
      <c r="I211" s="312">
        <f>IF(AND(C181&gt;1,C24&gt;30),1-30/120,IF(AND(C181&gt;1,C24&lt;=30),1-C24/120,IF(AND(C181&lt;=1,C24&gt;30),1-C181*30/120,1-C181*C24/120)))</f>
        <v>0.75</v>
      </c>
      <c r="J211" s="466" t="s">
        <v>14884</v>
      </c>
      <c r="K211" s="312">
        <f>6*M210*COS(K210)/(K209^2*COS(J23))</f>
        <v>2.4918724941656398</v>
      </c>
      <c r="L211" s="323" t="s">
        <v>14885</v>
      </c>
      <c r="M211" s="312">
        <f>(1.2+0.13*K209/M210)*(K209/(2*M209))^(1/(1.21+2.3/(K209/M210)))</f>
        <v>1.93081920125318</v>
      </c>
      <c r="N211" s="323" t="s">
        <v>14886</v>
      </c>
      <c r="O211" s="312">
        <f>0.25+0.75/C188</f>
        <v>0.65534928386082503</v>
      </c>
      <c r="P211" s="323" t="s">
        <v>14887</v>
      </c>
      <c r="Q211" s="312">
        <f>IF(AND(C181&gt;1,C24&gt;30),1-30/120,IF(AND(C181&gt;1,C24&lt;=30),1-C24/120,IF(AND(C181&lt;=1,C24&gt;30),1-C181*30/120,1-C181*C24/120)))</f>
        <v>0.75</v>
      </c>
    </row>
    <row r="212" spans="1:17" ht="15.75" hidden="1">
      <c r="A212" s="279"/>
      <c r="B212" s="323" t="s">
        <v>14888</v>
      </c>
      <c r="C212" s="312">
        <f>1</f>
        <v>1</v>
      </c>
      <c r="D212" s="312" t="s">
        <v>14889</v>
      </c>
      <c r="E212" s="312">
        <f>(1+SQRT(I210*G210))/(1+SQRT(I210*1.2))</f>
        <v>1.0168036952989701</v>
      </c>
      <c r="F212" s="312" t="s">
        <v>14890</v>
      </c>
      <c r="G212" s="312">
        <f>IF(C47=3,5.306-4.203*(3.2+1)^0.01,1.674-0.529*(3.2+1)^0.1)</f>
        <v>1.0633665357078299</v>
      </c>
      <c r="H212" s="323" t="s">
        <v>14891</v>
      </c>
      <c r="I212" s="312">
        <f>IF(C117&lt;=5,1,IF(OR(C47=1,C47=2),1.05-0.01*C117,1.03-0.006*C117))</f>
        <v>1</v>
      </c>
      <c r="J212" s="466" t="s">
        <v>14888</v>
      </c>
      <c r="K212" s="312">
        <f>1</f>
        <v>1</v>
      </c>
      <c r="L212" s="312" t="s">
        <v>14889</v>
      </c>
      <c r="M212" s="312">
        <f>(1+SQRT(Q210*O210))/(1+SQRT(Q210*1.2))</f>
        <v>1.0065379152445</v>
      </c>
      <c r="N212" s="312" t="s">
        <v>14890</v>
      </c>
      <c r="O212" s="312">
        <f>IF(C47=3,5.306-4.203*(3.2+1)^0.01,1.674-0.529*(3.2+1)^0.1)</f>
        <v>1.0633665357078299</v>
      </c>
      <c r="P212" s="323" t="s">
        <v>14891</v>
      </c>
      <c r="Q212" s="312">
        <f>IF(C117&lt;=5,1,IF(OR(C47=1,C47=2),1.05-0.01*C117,1.03-0.006*C117))</f>
        <v>1</v>
      </c>
    </row>
    <row r="213" spans="1:17" ht="15" hidden="1">
      <c r="A213" s="382" t="s">
        <v>4351</v>
      </c>
      <c r="B213" s="312" t="s">
        <v>14892</v>
      </c>
      <c r="C213" s="312">
        <f>IF(C47=1,460,IF(C47=2,370,IF(C47=3,330,IF(C47=4,220,IF(C47=5,430,IF(C47=6,380,320))))))</f>
        <v>460</v>
      </c>
      <c r="D213" s="378" t="s">
        <v>4271</v>
      </c>
      <c r="E213" s="318" t="s">
        <v>4272</v>
      </c>
      <c r="F213" s="434"/>
      <c r="G213" s="312"/>
      <c r="H213" s="434"/>
      <c r="I213" s="312"/>
      <c r="J213" s="469" t="s">
        <v>14892</v>
      </c>
      <c r="K213" s="312">
        <f>IF(C47=1,460,IF(C47=2,370,IF(C47=3,330,IF(C47=4,220,IF(C47=5,430,IF(C47=6,380,320))))))</f>
        <v>460</v>
      </c>
      <c r="L213" s="378" t="s">
        <v>4271</v>
      </c>
      <c r="M213" s="318" t="s">
        <v>4272</v>
      </c>
      <c r="N213" s="434"/>
      <c r="O213" s="312"/>
      <c r="P213" s="434"/>
      <c r="Q213" s="312"/>
    </row>
    <row r="214" spans="1:17" ht="15" hidden="1">
      <c r="A214" s="382" t="s">
        <v>4353</v>
      </c>
      <c r="B214" s="289" t="s">
        <v>14893</v>
      </c>
      <c r="C214" s="312">
        <f>1.25</f>
        <v>1.25</v>
      </c>
      <c r="D214" s="378"/>
      <c r="E214" s="318" t="s">
        <v>14894</v>
      </c>
      <c r="F214" s="434"/>
      <c r="G214" s="312"/>
      <c r="H214" s="434"/>
      <c r="I214" s="312"/>
      <c r="J214" s="470" t="s">
        <v>14893</v>
      </c>
      <c r="K214" s="312">
        <f>1.25</f>
        <v>1.25</v>
      </c>
      <c r="L214" s="378"/>
      <c r="M214" s="318" t="s">
        <v>14894</v>
      </c>
      <c r="N214" s="434"/>
      <c r="O214" s="312"/>
      <c r="P214" s="434"/>
      <c r="Q214" s="312"/>
    </row>
    <row r="215" spans="1:17" ht="15.75" hidden="1">
      <c r="A215" s="279" t="s">
        <v>14895</v>
      </c>
      <c r="B215" s="312" t="s">
        <v>14896</v>
      </c>
      <c r="C215" s="312">
        <f>ROUND(C213*2/C214*E212*G212*I212,2)</f>
        <v>795.79</v>
      </c>
      <c r="D215" s="378" t="s">
        <v>4271</v>
      </c>
      <c r="E215" s="312"/>
      <c r="F215" s="312" t="s">
        <v>14897</v>
      </c>
      <c r="G215" s="312">
        <f>C191/(0.85*C27*C117)*C211*E211*G211*I211*C212</f>
        <v>115.252477246013</v>
      </c>
      <c r="H215" s="378" t="s">
        <v>4271</v>
      </c>
      <c r="I215" s="312"/>
      <c r="J215" s="469" t="s">
        <v>14896</v>
      </c>
      <c r="K215" s="312">
        <f>ROUND(K213*2/K214*M212*O212*Q212,2)</f>
        <v>787.75</v>
      </c>
      <c r="L215" s="378" t="s">
        <v>4271</v>
      </c>
      <c r="M215" s="312"/>
      <c r="N215" s="312" t="s">
        <v>14897</v>
      </c>
      <c r="O215" s="312">
        <f>C191/(0.85*C27*C117)*K211*M211*O211*Q211*K212</f>
        <v>112.022520521083</v>
      </c>
      <c r="P215" s="378" t="s">
        <v>4271</v>
      </c>
      <c r="Q215" s="312"/>
    </row>
    <row r="216" spans="1:17" ht="15.75" hidden="1">
      <c r="A216" s="279" t="s">
        <v>14898</v>
      </c>
      <c r="B216" s="312" t="s">
        <v>14899</v>
      </c>
      <c r="C216" s="312">
        <f>ROUND(G215*C192*C196*E199,2)</f>
        <v>180.16</v>
      </c>
      <c r="D216" s="378" t="s">
        <v>4271</v>
      </c>
      <c r="E216" s="312"/>
      <c r="F216" s="434"/>
      <c r="G216" s="312"/>
      <c r="H216" s="434"/>
      <c r="I216" s="312"/>
      <c r="J216" s="469" t="s">
        <v>14899</v>
      </c>
      <c r="K216" s="312">
        <f>ROUND(O215*C192*C196*E199,2)</f>
        <v>175.11</v>
      </c>
      <c r="L216" s="378" t="s">
        <v>4271</v>
      </c>
      <c r="M216" s="312"/>
      <c r="N216" s="434"/>
      <c r="O216" s="312"/>
      <c r="P216" s="434"/>
      <c r="Q216" s="312"/>
    </row>
    <row r="217" spans="1:17" ht="15.75" hidden="1" customHeight="1">
      <c r="A217" s="386" t="s">
        <v>4361</v>
      </c>
      <c r="B217" s="387" t="s">
        <v>4362</v>
      </c>
      <c r="C217" s="275">
        <f>ROUND(C213*2/G215*E212*G212*I212/(C192*C196*E197*E199),2)</f>
        <v>3.35</v>
      </c>
      <c r="D217" s="356" t="str">
        <f>IF(C217&gt;=C214,"","安全系数过小！")</f>
        <v/>
      </c>
      <c r="E217" s="275"/>
      <c r="F217" s="437"/>
      <c r="G217" s="275"/>
      <c r="H217" s="437"/>
      <c r="I217" s="275"/>
      <c r="J217" s="471" t="s">
        <v>4362</v>
      </c>
      <c r="K217" s="275">
        <f>ROUND(K213*2/O215*M212*O212*Q212/(C192*C196*E197*E199),2)</f>
        <v>3.41</v>
      </c>
      <c r="L217" s="356" t="str">
        <f>IF(K217&gt;=K214,"","安全系数过小！")</f>
        <v/>
      </c>
      <c r="M217" s="275"/>
      <c r="N217" s="437"/>
      <c r="O217" s="275"/>
      <c r="P217" s="437"/>
      <c r="Q217" s="275"/>
    </row>
    <row r="218" spans="1:17" ht="15.75" hidden="1" customHeight="1">
      <c r="A218" s="288"/>
      <c r="B218" s="438"/>
      <c r="C218" s="312"/>
      <c r="D218" s="305"/>
      <c r="E218" s="312"/>
      <c r="F218" s="434"/>
      <c r="G218" s="312"/>
      <c r="H218" s="434"/>
      <c r="I218" s="312"/>
      <c r="J218" s="434"/>
      <c r="K218" s="289"/>
      <c r="L218" s="291"/>
    </row>
    <row r="219" spans="1:17" ht="15.75" customHeight="1">
      <c r="A219" s="439"/>
      <c r="B219" s="440"/>
      <c r="C219" s="441"/>
      <c r="D219" s="442"/>
      <c r="E219" s="441"/>
      <c r="F219" s="443"/>
      <c r="G219" s="441"/>
      <c r="H219" s="443"/>
      <c r="I219" s="312"/>
      <c r="J219" s="434"/>
      <c r="K219" s="289"/>
      <c r="L219" s="291"/>
    </row>
    <row r="220" spans="1:17" ht="15.75">
      <c r="A220" s="444" t="s">
        <v>14900</v>
      </c>
      <c r="B220" s="445"/>
      <c r="C220" s="446"/>
      <c r="D220" s="447"/>
      <c r="E220" s="447"/>
      <c r="F220" s="447"/>
      <c r="G220" s="446"/>
      <c r="H220" s="448"/>
      <c r="I220" s="289"/>
      <c r="J220" s="367"/>
      <c r="K220" s="367"/>
      <c r="L220" s="291"/>
    </row>
    <row r="221" spans="1:17" ht="15.75">
      <c r="A221" s="288"/>
      <c r="B221" s="298"/>
      <c r="C221" s="312"/>
      <c r="D221" s="367"/>
      <c r="E221" s="367"/>
      <c r="F221" s="367"/>
      <c r="G221" s="312"/>
      <c r="H221" s="311"/>
      <c r="I221" s="289"/>
      <c r="J221" s="367"/>
      <c r="K221" s="367"/>
      <c r="L221" s="291"/>
    </row>
    <row r="222" spans="1:17" ht="23.25">
      <c r="A222" s="253"/>
      <c r="B222" s="292"/>
      <c r="C222" s="253" t="s">
        <v>14901</v>
      </c>
      <c r="D222" s="291"/>
      <c r="E222" s="291"/>
      <c r="F222" s="291"/>
      <c r="G222" s="264" t="str">
        <f>H1</f>
        <v>编号：</v>
      </c>
      <c r="H222" s="449">
        <f>IF(I1=0,"",I1)</f>
        <v>16</v>
      </c>
      <c r="I222" s="289"/>
      <c r="J222" s="367"/>
      <c r="K222" s="289"/>
      <c r="L222" s="291"/>
    </row>
    <row r="223" spans="1:17" ht="15">
      <c r="A223" s="450"/>
      <c r="B223" s="302"/>
      <c r="C223" s="451"/>
      <c r="D223" s="407" t="str">
        <f>IF(C14=1,"（直齿锥齿轮）",IF(AND(C14=0,C24=0),"（零度锥齿轮）","（弧齿锥齿轮）"))</f>
        <v>（弧齿锥齿轮）</v>
      </c>
      <c r="E223" s="452"/>
      <c r="F223" s="331"/>
      <c r="G223" s="270"/>
      <c r="H223" s="291"/>
      <c r="I223" s="289"/>
      <c r="J223" s="367"/>
      <c r="K223" s="289"/>
      <c r="L223" s="367"/>
    </row>
    <row r="224" spans="1:17" ht="15.75">
      <c r="A224" s="453" t="s">
        <v>2804</v>
      </c>
      <c r="B224" s="265"/>
      <c r="C224" s="361" t="str">
        <f t="shared" ref="C224:C226" si="4">IF(C11=0,"",C11)</f>
        <v/>
      </c>
      <c r="D224" s="265"/>
      <c r="E224" s="453" t="s">
        <v>4634</v>
      </c>
      <c r="F224" s="268"/>
      <c r="G224" s="361">
        <f t="shared" ref="G224:G226" si="5">IF(G11=0,"",G11)</f>
        <v>10026</v>
      </c>
      <c r="H224" s="267"/>
      <c r="I224" s="289"/>
      <c r="J224" s="367"/>
      <c r="K224" s="289"/>
      <c r="L224" s="291"/>
    </row>
    <row r="225" spans="1:12">
      <c r="A225" s="453" t="s">
        <v>2806</v>
      </c>
      <c r="B225" s="273" t="s">
        <v>2677</v>
      </c>
      <c r="C225" s="330">
        <f t="shared" si="4"/>
        <v>30201</v>
      </c>
      <c r="D225" s="265"/>
      <c r="E225" s="454"/>
      <c r="F225" s="273" t="s">
        <v>2680</v>
      </c>
      <c r="G225" s="330">
        <f t="shared" si="5"/>
        <v>30202</v>
      </c>
      <c r="H225" s="267"/>
      <c r="I225" s="289"/>
      <c r="J225" s="367"/>
      <c r="K225" s="289"/>
      <c r="L225" s="291"/>
    </row>
    <row r="226" spans="1:12" ht="15.75" customHeight="1">
      <c r="A226" s="453" t="s">
        <v>3282</v>
      </c>
      <c r="B226" s="312"/>
      <c r="C226" s="298" t="str">
        <f t="shared" si="4"/>
        <v/>
      </c>
      <c r="D226" s="455"/>
      <c r="E226" s="453" t="s">
        <v>2810</v>
      </c>
      <c r="F226" s="284"/>
      <c r="G226" s="298" t="str">
        <f t="shared" si="5"/>
        <v/>
      </c>
      <c r="H226" s="267"/>
      <c r="I226" s="289"/>
      <c r="J226" s="367"/>
      <c r="K226" s="289"/>
      <c r="L226" s="291"/>
    </row>
    <row r="227" spans="1:12" ht="15.75" customHeight="1">
      <c r="A227" s="456" t="s">
        <v>3283</v>
      </c>
      <c r="B227" s="312"/>
      <c r="C227" s="298"/>
      <c r="D227" s="455"/>
      <c r="E227" s="322"/>
      <c r="F227" s="284"/>
      <c r="G227" s="298"/>
      <c r="H227" s="267"/>
      <c r="I227" s="289"/>
      <c r="J227" s="367"/>
      <c r="K227" s="289"/>
      <c r="L227" s="291"/>
    </row>
    <row r="228" spans="1:12" ht="15.75" customHeight="1">
      <c r="A228" s="457" t="s">
        <v>3284</v>
      </c>
      <c r="B228" s="458" t="s">
        <v>2677</v>
      </c>
      <c r="C228" s="457" t="s">
        <v>14902</v>
      </c>
      <c r="D228" s="459"/>
      <c r="E228" s="460"/>
      <c r="F228" s="458" t="s">
        <v>2680</v>
      </c>
      <c r="G228" s="457" t="s">
        <v>14903</v>
      </c>
      <c r="H228" s="459"/>
      <c r="I228" s="289"/>
      <c r="J228" s="289"/>
      <c r="K228" s="289"/>
      <c r="L228" s="291"/>
    </row>
    <row r="229" spans="1:12" ht="15.75" customHeight="1">
      <c r="A229" s="461" t="s">
        <v>3285</v>
      </c>
      <c r="B229" s="339"/>
      <c r="C229" s="435"/>
      <c r="D229" s="339"/>
      <c r="E229" s="289"/>
      <c r="F229" s="339"/>
      <c r="G229" s="435"/>
      <c r="H229" s="339"/>
      <c r="I229" s="289"/>
      <c r="J229" s="289"/>
      <c r="K229" s="289"/>
      <c r="L229" s="291"/>
    </row>
    <row r="230" spans="1:12" ht="15.75" customHeight="1">
      <c r="A230" s="279" t="str">
        <f>IF(C14=1,"","旋          向")</f>
        <v>旋          向</v>
      </c>
      <c r="B230" s="289"/>
      <c r="C230" s="462" t="str">
        <f>IF(C14=1,"",IF(C15="L","左  旋","右  旋"))</f>
        <v>右  旋</v>
      </c>
      <c r="D230" s="312"/>
      <c r="E230" s="312"/>
      <c r="F230" s="312"/>
      <c r="G230" s="462" t="str">
        <f>IF(C14=1,"",IF(C15="R","左  旋","右  旋"))</f>
        <v>左  旋</v>
      </c>
      <c r="H230" s="289"/>
      <c r="I230" s="289"/>
      <c r="J230" s="289"/>
      <c r="K230" s="289"/>
      <c r="L230" s="291"/>
    </row>
    <row r="231" spans="1:12" ht="15.75" customHeight="1">
      <c r="A231" s="297" t="s">
        <v>12623</v>
      </c>
      <c r="B231" s="298" t="s">
        <v>1139</v>
      </c>
      <c r="C231" s="312">
        <f>C20</f>
        <v>13</v>
      </c>
      <c r="D231" s="298"/>
      <c r="E231" s="312"/>
      <c r="F231" s="298"/>
      <c r="G231" s="312">
        <f>C21</f>
        <v>24</v>
      </c>
      <c r="H231" s="289"/>
      <c r="I231" s="289"/>
      <c r="J231" s="289"/>
      <c r="K231" s="289"/>
      <c r="L231" s="291"/>
    </row>
    <row r="232" spans="1:12" ht="15.75" customHeight="1">
      <c r="A232" s="297" t="s">
        <v>14904</v>
      </c>
      <c r="B232" s="298" t="s">
        <v>408</v>
      </c>
      <c r="C232" s="312"/>
      <c r="D232" s="311"/>
      <c r="E232" s="312">
        <f>C22</f>
        <v>7.5</v>
      </c>
      <c r="F232" s="311" t="s">
        <v>2820</v>
      </c>
      <c r="G232" s="312"/>
      <c r="H232" s="289"/>
      <c r="I232" s="289"/>
      <c r="J232" s="289"/>
      <c r="K232" s="289"/>
      <c r="L232" s="291"/>
    </row>
    <row r="233" spans="1:12" ht="15.75" customHeight="1">
      <c r="A233" s="297" t="s">
        <v>14905</v>
      </c>
      <c r="B233" s="289" t="s">
        <v>14651</v>
      </c>
      <c r="C233" s="312"/>
      <c r="D233" s="311"/>
      <c r="E233" s="312">
        <f>G23</f>
        <v>90</v>
      </c>
      <c r="F233" s="311" t="s">
        <v>257</v>
      </c>
      <c r="G233" s="312"/>
      <c r="H233" s="289"/>
      <c r="I233" s="289"/>
      <c r="J233" s="289"/>
      <c r="K233" s="289"/>
      <c r="L233" s="291"/>
    </row>
    <row r="234" spans="1:12" ht="15.75" customHeight="1">
      <c r="A234" s="297" t="s">
        <v>12625</v>
      </c>
      <c r="B234" s="289" t="s">
        <v>4640</v>
      </c>
      <c r="C234" s="312"/>
      <c r="D234" s="311"/>
      <c r="E234" s="312">
        <f>C23</f>
        <v>20</v>
      </c>
      <c r="F234" s="311" t="s">
        <v>257</v>
      </c>
      <c r="G234" s="312"/>
      <c r="H234" s="289"/>
      <c r="I234" s="289"/>
      <c r="J234" s="289"/>
      <c r="K234" s="289"/>
      <c r="L234" s="291"/>
    </row>
    <row r="235" spans="1:12" ht="15.75" customHeight="1">
      <c r="A235" s="297" t="str">
        <f>A24</f>
        <v>中 点 螺 旋 角</v>
      </c>
      <c r="B235" s="289" t="str">
        <f>B24</f>
        <v>βm</v>
      </c>
      <c r="C235" s="312"/>
      <c r="D235" s="311"/>
      <c r="E235" s="312">
        <f>IF(C14=1,"",C24)</f>
        <v>39</v>
      </c>
      <c r="F235" s="311" t="str">
        <f>D24</f>
        <v>度</v>
      </c>
      <c r="G235" s="312"/>
      <c r="H235" s="289"/>
      <c r="I235" s="289"/>
      <c r="J235" s="289"/>
      <c r="K235" s="289"/>
      <c r="L235" s="291"/>
    </row>
    <row r="236" spans="1:12" ht="15.75" customHeight="1">
      <c r="A236" s="297" t="s">
        <v>14906</v>
      </c>
      <c r="B236" s="298" t="s">
        <v>2534</v>
      </c>
      <c r="C236" s="312"/>
      <c r="D236" s="311"/>
      <c r="E236" s="312">
        <f>C27</f>
        <v>30</v>
      </c>
      <c r="F236" s="311" t="s">
        <v>2820</v>
      </c>
      <c r="G236" s="312"/>
      <c r="H236" s="289"/>
      <c r="I236" s="289"/>
      <c r="J236" s="289"/>
      <c r="K236" s="289"/>
      <c r="L236" s="291"/>
    </row>
    <row r="237" spans="1:12" ht="15.75" customHeight="1">
      <c r="A237" s="297" t="s">
        <v>12630</v>
      </c>
      <c r="B237" s="298" t="s">
        <v>14907</v>
      </c>
      <c r="C237" s="289"/>
      <c r="D237" s="311"/>
      <c r="E237" s="289">
        <f>G28</f>
        <v>1.8879999999999999</v>
      </c>
      <c r="F237" s="298"/>
      <c r="G237" s="312"/>
      <c r="H237" s="289"/>
      <c r="I237" s="289"/>
      <c r="J237" s="289"/>
      <c r="K237" s="289"/>
      <c r="L237" s="291"/>
    </row>
    <row r="238" spans="1:12" ht="15.75" customHeight="1">
      <c r="A238" s="297" t="s">
        <v>14908</v>
      </c>
      <c r="B238" s="298" t="s">
        <v>14660</v>
      </c>
      <c r="C238" s="289"/>
      <c r="D238" s="311"/>
      <c r="E238" s="289">
        <f>G29</f>
        <v>1.7</v>
      </c>
      <c r="F238" s="298"/>
      <c r="G238" s="312"/>
      <c r="H238" s="289"/>
      <c r="I238" s="289"/>
      <c r="J238" s="289"/>
      <c r="K238" s="289"/>
      <c r="L238" s="291"/>
    </row>
    <row r="239" spans="1:12" ht="15.75" customHeight="1">
      <c r="A239" s="297" t="s">
        <v>14909</v>
      </c>
      <c r="B239" s="298" t="s">
        <v>9733</v>
      </c>
      <c r="C239" s="289"/>
      <c r="D239" s="311"/>
      <c r="E239" s="289">
        <f>E237-E238</f>
        <v>0.188</v>
      </c>
      <c r="F239" s="298"/>
      <c r="G239" s="312"/>
      <c r="H239" s="289"/>
      <c r="I239" s="289"/>
      <c r="J239" s="289"/>
      <c r="K239" s="289"/>
      <c r="L239" s="291"/>
    </row>
    <row r="240" spans="1:12" ht="15.75" customHeight="1">
      <c r="A240" s="297" t="s">
        <v>14910</v>
      </c>
      <c r="B240" s="298" t="s">
        <v>407</v>
      </c>
      <c r="C240" s="289">
        <f>ROUND(G25,4)</f>
        <v>0.27560000000000001</v>
      </c>
      <c r="D240" s="311"/>
      <c r="E240" s="289"/>
      <c r="F240" s="298"/>
      <c r="G240" s="312">
        <f>ROUND(-G25,4)</f>
        <v>-0.27560000000000001</v>
      </c>
      <c r="H240" s="289"/>
      <c r="I240" s="378"/>
      <c r="J240" s="302"/>
      <c r="K240" s="289"/>
      <c r="L240" s="291"/>
    </row>
    <row r="241" spans="1:12" ht="15.75" customHeight="1">
      <c r="A241" s="297" t="s">
        <v>14911</v>
      </c>
      <c r="B241" s="298" t="s">
        <v>14912</v>
      </c>
      <c r="C241" s="312">
        <f>G24</f>
        <v>6.8999999999999999E-3</v>
      </c>
      <c r="D241" s="311"/>
      <c r="E241" s="289"/>
      <c r="F241" s="298"/>
      <c r="G241" s="312">
        <f>-G24</f>
        <v>-6.8999999999999999E-3</v>
      </c>
      <c r="H241" s="289"/>
      <c r="I241" s="378"/>
      <c r="J241" s="302"/>
      <c r="K241" s="255"/>
      <c r="L241" s="291"/>
    </row>
    <row r="242" spans="1:12" ht="15.75" customHeight="1">
      <c r="A242" s="297" t="s">
        <v>12635</v>
      </c>
      <c r="B242" s="298" t="s">
        <v>411</v>
      </c>
      <c r="C242" s="289">
        <f>ROUND(C62,3)</f>
        <v>97.5</v>
      </c>
      <c r="D242" s="311" t="s">
        <v>2820</v>
      </c>
      <c r="E242" s="289"/>
      <c r="F242" s="298"/>
      <c r="G242" s="312">
        <f>ROUND(C63,3)</f>
        <v>180</v>
      </c>
      <c r="H242" s="311" t="s">
        <v>2820</v>
      </c>
      <c r="I242" s="378"/>
      <c r="J242" s="302"/>
      <c r="K242" s="255"/>
      <c r="L242" s="291"/>
    </row>
    <row r="243" spans="1:12" ht="15.75" customHeight="1">
      <c r="A243" s="297" t="s">
        <v>14913</v>
      </c>
      <c r="B243" s="298" t="s">
        <v>14673</v>
      </c>
      <c r="C243" s="289"/>
      <c r="D243" s="311"/>
      <c r="E243" s="289">
        <f>ROUND(C64,4)</f>
        <v>102.35509999999999</v>
      </c>
      <c r="F243" s="311" t="s">
        <v>2820</v>
      </c>
      <c r="G243" s="312"/>
      <c r="H243" s="311" t="s">
        <v>2820</v>
      </c>
      <c r="I243" s="434"/>
      <c r="J243" s="302"/>
      <c r="K243" s="255"/>
      <c r="L243" s="291"/>
    </row>
    <row r="244" spans="1:12" ht="15.75" customHeight="1">
      <c r="A244" s="297" t="s">
        <v>14914</v>
      </c>
      <c r="B244" s="289" t="s">
        <v>10325</v>
      </c>
      <c r="C244" s="289">
        <f>G70</f>
        <v>28.263500000000001</v>
      </c>
      <c r="D244" s="311" t="s">
        <v>14690</v>
      </c>
      <c r="E244" s="289"/>
      <c r="F244" s="289"/>
      <c r="G244" s="312">
        <f>G71</f>
        <v>61.332500000000003</v>
      </c>
      <c r="H244" s="311" t="s">
        <v>14690</v>
      </c>
      <c r="I244" s="378"/>
      <c r="J244" s="302"/>
      <c r="K244" s="255"/>
      <c r="L244" s="291"/>
    </row>
    <row r="245" spans="1:12" ht="15.75" customHeight="1">
      <c r="A245" s="323" t="s">
        <v>14915</v>
      </c>
      <c r="B245" s="289" t="s">
        <v>14916</v>
      </c>
      <c r="C245" s="289">
        <f>G72</f>
        <v>33.5627</v>
      </c>
      <c r="D245" s="311" t="s">
        <v>14690</v>
      </c>
      <c r="E245" s="289"/>
      <c r="F245" s="289"/>
      <c r="G245" s="312">
        <f>G73</f>
        <v>64.451599999999999</v>
      </c>
      <c r="H245" s="311" t="s">
        <v>14690</v>
      </c>
      <c r="I245" s="378"/>
      <c r="J245" s="302"/>
      <c r="K245" s="255"/>
      <c r="L245" s="291"/>
    </row>
    <row r="246" spans="1:12" ht="15.75" customHeight="1">
      <c r="A246" s="297" t="s">
        <v>14917</v>
      </c>
      <c r="B246" s="289" t="s">
        <v>14918</v>
      </c>
      <c r="C246" s="289">
        <f>G74</f>
        <v>25.144400000000001</v>
      </c>
      <c r="D246" s="311" t="s">
        <v>14690</v>
      </c>
      <c r="E246" s="289"/>
      <c r="F246" s="289"/>
      <c r="G246" s="312">
        <f>G75</f>
        <v>56.033299999999997</v>
      </c>
      <c r="H246" s="311" t="s">
        <v>14690</v>
      </c>
      <c r="I246" s="378"/>
      <c r="J246" s="302"/>
      <c r="K246" s="255"/>
      <c r="L246" s="291"/>
    </row>
    <row r="247" spans="1:12" ht="15.75" customHeight="1">
      <c r="A247" s="297" t="s">
        <v>12639</v>
      </c>
      <c r="B247" s="298" t="s">
        <v>14919</v>
      </c>
      <c r="C247" s="289">
        <f>ROUND(C66,3)</f>
        <v>8.4420000000000002</v>
      </c>
      <c r="D247" s="311" t="s">
        <v>2820</v>
      </c>
      <c r="E247" s="289"/>
      <c r="F247" s="298"/>
      <c r="G247" s="312">
        <f>ROUND(C67,3)</f>
        <v>4.3079999999999998</v>
      </c>
      <c r="H247" s="311" t="s">
        <v>2820</v>
      </c>
      <c r="I247" s="378"/>
      <c r="J247" s="302"/>
      <c r="K247" s="255"/>
      <c r="L247" s="291"/>
    </row>
    <row r="248" spans="1:12" ht="15.75" customHeight="1">
      <c r="A248" s="297" t="s">
        <v>12640</v>
      </c>
      <c r="B248" s="298" t="s">
        <v>14920</v>
      </c>
      <c r="C248" s="289">
        <f>ROUND(C68,3)</f>
        <v>5.718</v>
      </c>
      <c r="D248" s="311" t="s">
        <v>2820</v>
      </c>
      <c r="E248" s="289"/>
      <c r="F248" s="298"/>
      <c r="G248" s="312">
        <f>ROUND(C69,3)</f>
        <v>9.8520000000000003</v>
      </c>
      <c r="H248" s="311" t="s">
        <v>2820</v>
      </c>
      <c r="I248" s="378"/>
      <c r="J248" s="302"/>
      <c r="K248" s="255"/>
      <c r="L248" s="291"/>
    </row>
    <row r="249" spans="1:12" ht="15.75" customHeight="1">
      <c r="A249" s="297" t="s">
        <v>12641</v>
      </c>
      <c r="B249" s="298" t="s">
        <v>14921</v>
      </c>
      <c r="C249" s="289"/>
      <c r="D249" s="311"/>
      <c r="E249" s="289">
        <f>ROUND(G30,3)</f>
        <v>14.16</v>
      </c>
      <c r="F249" s="311" t="s">
        <v>2820</v>
      </c>
      <c r="G249" s="312"/>
      <c r="H249" s="311" t="s">
        <v>2820</v>
      </c>
      <c r="I249" s="378"/>
      <c r="J249" s="302"/>
      <c r="K249" s="255"/>
      <c r="L249" s="291"/>
    </row>
    <row r="250" spans="1:12" ht="15.75" customHeight="1">
      <c r="A250" s="297" t="s">
        <v>14922</v>
      </c>
      <c r="B250" s="298" t="s">
        <v>1866</v>
      </c>
      <c r="C250" s="289"/>
      <c r="D250" s="311"/>
      <c r="E250" s="289">
        <f>ROUND(G31,3)</f>
        <v>12.75</v>
      </c>
      <c r="F250" s="311" t="s">
        <v>2820</v>
      </c>
      <c r="G250" s="312"/>
      <c r="H250" s="311" t="s">
        <v>2820</v>
      </c>
      <c r="I250" s="378"/>
      <c r="J250" s="302"/>
      <c r="K250" s="255"/>
      <c r="L250" s="291"/>
    </row>
    <row r="251" spans="1:12" ht="15.75" customHeight="1">
      <c r="A251" s="382" t="s">
        <v>14923</v>
      </c>
      <c r="B251" s="298" t="s">
        <v>14924</v>
      </c>
      <c r="C251" s="289">
        <f>ROUND(C78,3)</f>
        <v>13.893000000000001</v>
      </c>
      <c r="D251" s="311" t="s">
        <v>2820</v>
      </c>
      <c r="E251" s="289"/>
      <c r="F251" s="298"/>
      <c r="G251" s="312">
        <f>ROUND(C79,3)</f>
        <v>9.6690000000000005</v>
      </c>
      <c r="H251" s="311" t="s">
        <v>2820</v>
      </c>
      <c r="I251" s="378"/>
      <c r="J251" s="289"/>
      <c r="K251" s="289"/>
      <c r="L251" s="291"/>
    </row>
    <row r="252" spans="1:12" ht="15.75" customHeight="1">
      <c r="A252" s="297" t="s">
        <v>14925</v>
      </c>
      <c r="B252" s="298" t="s">
        <v>14926</v>
      </c>
      <c r="C252" s="289">
        <f>ROUND(C62+2*C66*COS(C70),3)</f>
        <v>112.346</v>
      </c>
      <c r="D252" s="311" t="s">
        <v>2820</v>
      </c>
      <c r="E252" s="289"/>
      <c r="F252" s="298"/>
      <c r="G252" s="312">
        <f>ROUND(C63+2*C67*COS(C71),3)</f>
        <v>184.10400000000001</v>
      </c>
      <c r="H252" s="311" t="s">
        <v>2820</v>
      </c>
      <c r="I252" s="378"/>
      <c r="J252" s="289"/>
      <c r="K252" s="289"/>
      <c r="L252" s="291"/>
    </row>
    <row r="253" spans="1:12" ht="15.75" customHeight="1">
      <c r="A253" s="382" t="s">
        <v>14927</v>
      </c>
      <c r="B253" s="298" t="s">
        <v>14928</v>
      </c>
      <c r="C253" s="289">
        <f>ROUND(C64*COS(C70)-C66*SIN(C70),3)</f>
        <v>85.978999999999999</v>
      </c>
      <c r="D253" s="311" t="s">
        <v>2820</v>
      </c>
      <c r="E253" s="289"/>
      <c r="F253" s="298"/>
      <c r="G253" s="312">
        <f>ROUND(C64*COS(C71)-C67*SIN(C71),3)</f>
        <v>44.962000000000003</v>
      </c>
      <c r="H253" s="311" t="s">
        <v>2820</v>
      </c>
      <c r="I253" s="302"/>
      <c r="J253" s="302"/>
      <c r="K253" s="291"/>
      <c r="L253" s="291"/>
    </row>
    <row r="254" spans="1:12" ht="15.75" customHeight="1">
      <c r="A254" s="297" t="s">
        <v>14929</v>
      </c>
      <c r="B254" s="298" t="s">
        <v>3322</v>
      </c>
      <c r="C254" s="289">
        <f>ROUND(C112,3)</f>
        <v>9.7010000000000005</v>
      </c>
      <c r="D254" s="311" t="s">
        <v>2820</v>
      </c>
      <c r="E254" s="311" t="str">
        <f>IF(C14=1,"","（单号单面切削法）")</f>
        <v>（单号单面切削法）</v>
      </c>
      <c r="F254" s="298"/>
      <c r="G254" s="312">
        <f>ROUND(C113,3)</f>
        <v>6.8929999999999998</v>
      </c>
      <c r="H254" s="311" t="s">
        <v>2820</v>
      </c>
      <c r="I254" s="302"/>
      <c r="J254" s="302"/>
      <c r="K254" s="291"/>
      <c r="L254" s="291"/>
    </row>
    <row r="255" spans="1:12" ht="15.75" customHeight="1">
      <c r="A255" s="297" t="s">
        <v>14930</v>
      </c>
      <c r="B255" s="298" t="s">
        <v>3324</v>
      </c>
      <c r="C255" s="289">
        <f>ROUND(C114,3)</f>
        <v>8.2759999999999998</v>
      </c>
      <c r="D255" s="311" t="s">
        <v>2820</v>
      </c>
      <c r="E255" s="289"/>
      <c r="F255" s="298"/>
      <c r="G255" s="312">
        <f>ROUND(C115,3)</f>
        <v>4.2240000000000002</v>
      </c>
      <c r="H255" s="311" t="s">
        <v>2820</v>
      </c>
      <c r="I255" s="302"/>
      <c r="J255" s="302"/>
      <c r="K255" s="291"/>
      <c r="L255" s="291"/>
    </row>
    <row r="256" spans="1:12" ht="15.75" customHeight="1">
      <c r="A256" s="297" t="str">
        <f>IF(C14=1,"齿          角","")</f>
        <v/>
      </c>
      <c r="B256" s="289" t="str">
        <f>IF(C14=1,"δt","")</f>
        <v/>
      </c>
      <c r="C256" s="289" t="str">
        <f>IF(C14=1,G80,"")</f>
        <v/>
      </c>
      <c r="D256" s="311" t="str">
        <f>IF(C14=1,"度.分秒","")</f>
        <v/>
      </c>
      <c r="E256" s="289"/>
      <c r="F256" s="298"/>
      <c r="G256" s="312" t="str">
        <f>IF(C14=1,G81,"")</f>
        <v/>
      </c>
      <c r="H256" s="311" t="str">
        <f>IF(C14=1,"度.分秒","")</f>
        <v/>
      </c>
      <c r="I256" s="302"/>
      <c r="J256" s="302"/>
      <c r="K256" s="291"/>
      <c r="L256" s="291"/>
    </row>
    <row r="257" spans="1:12" ht="15.75">
      <c r="A257" s="297" t="s">
        <v>12656</v>
      </c>
      <c r="B257" s="472" t="s">
        <v>4162</v>
      </c>
      <c r="C257" s="289">
        <f t="shared" ref="C257:H257" si="6">C44</f>
        <v>1.714</v>
      </c>
      <c r="D257" s="350" t="s">
        <v>4163</v>
      </c>
      <c r="E257" s="289">
        <f t="shared" si="6"/>
        <v>1.2210000000000001</v>
      </c>
      <c r="F257" s="472" t="s">
        <v>4164</v>
      </c>
      <c r="G257" s="312">
        <f t="shared" si="6"/>
        <v>1.2030000000000001</v>
      </c>
      <c r="H257" s="294" t="str">
        <f t="shared" si="6"/>
        <v>较小！</v>
      </c>
      <c r="I257" s="302"/>
      <c r="J257" s="302"/>
      <c r="K257" s="291"/>
      <c r="L257" s="291"/>
    </row>
    <row r="258" spans="1:12" ht="15.75" customHeight="1">
      <c r="A258" s="297" t="str">
        <f>A45</f>
        <v>大 端 螺 旋 角</v>
      </c>
      <c r="B258" s="289" t="str">
        <f>B45</f>
        <v>βa</v>
      </c>
      <c r="C258" s="289"/>
      <c r="D258" s="311"/>
      <c r="E258" s="289">
        <f>C45</f>
        <v>43.045299999999997</v>
      </c>
      <c r="F258" s="410" t="str">
        <f>D45</f>
        <v>度.分秒</v>
      </c>
      <c r="G258" s="312"/>
      <c r="H258" s="311"/>
      <c r="I258" s="302"/>
      <c r="J258" s="302"/>
      <c r="K258" s="291"/>
      <c r="L258" s="291"/>
    </row>
    <row r="259" spans="1:12" ht="15.75" customHeight="1">
      <c r="A259" s="297" t="str">
        <f>A46</f>
        <v>小 端 螺 旋 角</v>
      </c>
      <c r="B259" s="289" t="str">
        <f>B46</f>
        <v>βi</v>
      </c>
      <c r="C259" s="289"/>
      <c r="D259" s="311"/>
      <c r="E259" s="289">
        <f>C46</f>
        <v>35.521999999999998</v>
      </c>
      <c r="F259" s="410" t="str">
        <f>D46</f>
        <v>度.分秒</v>
      </c>
      <c r="G259" s="343" t="str">
        <f>IF(E259&gt;E258,"出现反向收缩！","")</f>
        <v/>
      </c>
      <c r="H259" s="311"/>
      <c r="I259" s="302"/>
      <c r="J259" s="302"/>
      <c r="K259" s="291"/>
      <c r="L259" s="291"/>
    </row>
    <row r="260" spans="1:12" ht="15.75" customHeight="1">
      <c r="A260" s="473" t="str">
        <f>A42</f>
        <v>刀盘名义直径选定值</v>
      </c>
      <c r="B260" s="338" t="str">
        <f>B43</f>
        <v>Dc</v>
      </c>
      <c r="C260" s="474"/>
      <c r="D260" s="335"/>
      <c r="E260" s="275">
        <f>IF(C43=0,"",C43)</f>
        <v>190.5</v>
      </c>
      <c r="F260" s="337" t="str">
        <f>D43</f>
        <v>毫米</v>
      </c>
      <c r="G260" s="475"/>
      <c r="H260" s="335"/>
      <c r="I260" s="302"/>
      <c r="J260" s="302"/>
      <c r="K260" s="291"/>
      <c r="L260" s="291"/>
    </row>
    <row r="261" spans="1:12" ht="15.75" customHeight="1">
      <c r="A261" s="294"/>
      <c r="B261" s="476" t="str">
        <f>IF(AND(C14=0,C40="",E40="",G40=""),"选不出合适的标准刀盘！","")</f>
        <v/>
      </c>
      <c r="C261" s="435"/>
      <c r="D261" s="311"/>
      <c r="E261" s="435"/>
      <c r="F261" s="311"/>
      <c r="G261" s="435"/>
      <c r="H261" s="311"/>
      <c r="I261" s="289"/>
      <c r="J261" s="302"/>
      <c r="K261" s="291"/>
      <c r="L261" s="291"/>
    </row>
    <row r="262" spans="1:12" ht="15.75" customHeight="1">
      <c r="A262" s="461" t="s">
        <v>3333</v>
      </c>
      <c r="B262" s="311" t="s">
        <v>14931</v>
      </c>
      <c r="C262" s="289"/>
      <c r="D262" s="311"/>
      <c r="E262" s="289"/>
      <c r="F262" s="311"/>
      <c r="G262" s="289"/>
      <c r="H262" s="311"/>
      <c r="I262" s="302"/>
      <c r="J262" s="302"/>
      <c r="K262" s="291"/>
      <c r="L262" s="291"/>
    </row>
    <row r="263" spans="1:12" ht="15.75" customHeight="1">
      <c r="A263" s="289" t="s">
        <v>12659</v>
      </c>
      <c r="B263" s="289" t="s">
        <v>14932</v>
      </c>
      <c r="C263" s="435"/>
      <c r="D263" s="312"/>
      <c r="E263" s="312">
        <f t="shared" ref="E263:E267" si="7">C28</f>
        <v>7</v>
      </c>
      <c r="F263" s="312"/>
      <c r="G263" s="435"/>
      <c r="H263" s="311"/>
      <c r="I263" s="302"/>
      <c r="J263" s="302"/>
      <c r="K263" s="291"/>
      <c r="L263" s="291"/>
    </row>
    <row r="264" spans="1:12" ht="15.75" customHeight="1">
      <c r="A264" s="289"/>
      <c r="B264" s="312" t="s">
        <v>14933</v>
      </c>
      <c r="C264" s="435"/>
      <c r="D264" s="312"/>
      <c r="E264" s="312">
        <f t="shared" si="7"/>
        <v>6</v>
      </c>
      <c r="F264" s="312"/>
      <c r="G264" s="435"/>
      <c r="H264" s="311"/>
      <c r="I264" s="302"/>
      <c r="J264" s="302"/>
      <c r="K264" s="291"/>
      <c r="L264" s="291"/>
    </row>
    <row r="265" spans="1:12" ht="15.75" customHeight="1">
      <c r="A265" s="289"/>
      <c r="B265" s="312" t="s">
        <v>14934</v>
      </c>
      <c r="C265" s="435"/>
      <c r="D265" s="312"/>
      <c r="E265" s="312">
        <f t="shared" si="7"/>
        <v>6</v>
      </c>
      <c r="F265" s="312"/>
      <c r="G265" s="435"/>
      <c r="H265" s="311"/>
      <c r="I265" s="302"/>
      <c r="J265" s="302"/>
      <c r="K265" s="291"/>
      <c r="L265" s="291"/>
    </row>
    <row r="266" spans="1:12" ht="15.75" customHeight="1">
      <c r="A266" s="352" t="s">
        <v>14662</v>
      </c>
      <c r="B266" s="298"/>
      <c r="C266" s="435"/>
      <c r="D266" s="311"/>
      <c r="E266" s="312" t="str">
        <f t="shared" si="7"/>
        <v>c</v>
      </c>
      <c r="F266" s="311"/>
      <c r="G266" s="289"/>
      <c r="H266" s="311"/>
      <c r="I266" s="302"/>
      <c r="J266" s="302"/>
      <c r="K266" s="291"/>
      <c r="L266" s="291"/>
    </row>
    <row r="267" spans="1:12" ht="15.75" customHeight="1">
      <c r="A267" s="352" t="s">
        <v>14665</v>
      </c>
      <c r="B267" s="298"/>
      <c r="C267" s="435"/>
      <c r="D267" s="311"/>
      <c r="E267" s="312" t="str">
        <f t="shared" si="7"/>
        <v>C</v>
      </c>
      <c r="F267" s="311"/>
      <c r="G267" s="289"/>
      <c r="H267" s="311"/>
      <c r="I267" s="302"/>
      <c r="J267" s="302"/>
      <c r="K267" s="291"/>
      <c r="L267" s="291"/>
    </row>
    <row r="268" spans="1:12" ht="15.75" customHeight="1">
      <c r="A268" s="352" t="s">
        <v>14935</v>
      </c>
      <c r="B268" s="463">
        <f>IF(OR(E263&lt;&gt;E264,E263&lt;&gt;E265),E263,"")</f>
        <v>7</v>
      </c>
      <c r="C268" s="312">
        <f>IF(OR(E263&lt;&gt;E264,E263&lt;&gt;E265),-E264,"")</f>
        <v>-6</v>
      </c>
      <c r="D268" s="350">
        <f>IF(OR(E263&lt;&gt;E264,E263&lt;&gt;E265),-E265,E265)</f>
        <v>-6</v>
      </c>
      <c r="E268" s="312" t="str">
        <f>E266</f>
        <v>c</v>
      </c>
      <c r="F268" s="350" t="str">
        <f>IF(E266=E267,"",E267)</f>
        <v/>
      </c>
      <c r="G268" s="477" t="s">
        <v>14936</v>
      </c>
      <c r="H268" s="311"/>
      <c r="I268" s="302"/>
      <c r="J268" s="302"/>
      <c r="K268" s="291"/>
      <c r="L268" s="291"/>
    </row>
    <row r="269" spans="1:12" ht="15.75" customHeight="1">
      <c r="A269" s="289" t="s">
        <v>12613</v>
      </c>
      <c r="B269" s="298" t="s">
        <v>3339</v>
      </c>
      <c r="C269" s="289">
        <f>C152/1000</f>
        <v>-5.2999999999999999E-2</v>
      </c>
      <c r="D269" s="311" t="s">
        <v>2820</v>
      </c>
      <c r="E269" s="289"/>
      <c r="F269" s="298"/>
      <c r="G269" s="289">
        <f>G152/1000</f>
        <v>-7.1999999999999995E-2</v>
      </c>
      <c r="H269" s="311" t="s">
        <v>2820</v>
      </c>
      <c r="I269" s="302"/>
      <c r="J269" s="302"/>
      <c r="K269" s="291"/>
      <c r="L269" s="291"/>
    </row>
    <row r="270" spans="1:12" ht="15.75" customHeight="1">
      <c r="A270" s="289" t="s">
        <v>12614</v>
      </c>
      <c r="B270" s="298" t="s">
        <v>3340</v>
      </c>
      <c r="C270" s="289">
        <f>C153/1000</f>
        <v>-0.123</v>
      </c>
      <c r="D270" s="311" t="s">
        <v>2820</v>
      </c>
      <c r="E270" s="289"/>
      <c r="F270" s="298"/>
      <c r="G270" s="289">
        <f>G153/1000</f>
        <v>-0.16700000000000001</v>
      </c>
      <c r="H270" s="311" t="s">
        <v>2820</v>
      </c>
      <c r="I270" s="302"/>
      <c r="J270" s="302"/>
      <c r="K270" s="291"/>
      <c r="L270" s="291"/>
    </row>
    <row r="271" spans="1:12" ht="15.75" customHeight="1">
      <c r="A271" s="289" t="s">
        <v>12660</v>
      </c>
      <c r="B271" s="298" t="s">
        <v>3342</v>
      </c>
      <c r="C271" s="289">
        <f>C138/1000</f>
        <v>7.0000000000000007E-2</v>
      </c>
      <c r="D271" s="311" t="s">
        <v>2820</v>
      </c>
      <c r="E271" s="289"/>
      <c r="F271" s="298"/>
      <c r="G271" s="289">
        <f>G138/1000</f>
        <v>9.5000000000000001E-2</v>
      </c>
      <c r="H271" s="311" t="s">
        <v>2820</v>
      </c>
      <c r="I271" s="302"/>
      <c r="J271" s="302"/>
      <c r="K271" s="291"/>
      <c r="L271" s="291"/>
    </row>
    <row r="272" spans="1:12" ht="15.75" customHeight="1">
      <c r="A272" s="279" t="s">
        <v>12661</v>
      </c>
      <c r="B272" s="298" t="s">
        <v>3344</v>
      </c>
      <c r="C272" s="289"/>
      <c r="D272" s="311"/>
      <c r="E272" s="289">
        <f>C145/1000</f>
        <v>7.3999999999999996E-2</v>
      </c>
      <c r="F272" s="311" t="s">
        <v>2820</v>
      </c>
      <c r="G272" s="289"/>
      <c r="H272" s="311"/>
      <c r="I272" s="302"/>
      <c r="J272" s="302"/>
      <c r="K272" s="291"/>
      <c r="L272" s="291"/>
    </row>
    <row r="273" spans="1:12" ht="15.75" customHeight="1">
      <c r="A273" s="279" t="s">
        <v>12662</v>
      </c>
      <c r="B273" s="298" t="s">
        <v>3346</v>
      </c>
      <c r="C273" s="289"/>
      <c r="D273" s="311"/>
      <c r="E273" s="289">
        <f>C160/1000</f>
        <v>0.318</v>
      </c>
      <c r="F273" s="311" t="s">
        <v>2820</v>
      </c>
      <c r="G273" s="289"/>
      <c r="H273" s="311"/>
      <c r="I273" s="302"/>
      <c r="J273" s="302"/>
      <c r="K273" s="291"/>
      <c r="L273" s="291"/>
    </row>
    <row r="274" spans="1:12" ht="15.75" customHeight="1">
      <c r="A274" s="289" t="s">
        <v>12612</v>
      </c>
      <c r="B274" s="298" t="s">
        <v>3347</v>
      </c>
      <c r="C274" s="289">
        <f>C132/1000</f>
        <v>5.1999999999999998E-2</v>
      </c>
      <c r="D274" s="311" t="s">
        <v>2820</v>
      </c>
      <c r="E274" s="289"/>
      <c r="F274" s="298"/>
      <c r="G274" s="289">
        <f>G132/1000</f>
        <v>7.1999999999999995E-2</v>
      </c>
      <c r="H274" s="311" t="s">
        <v>2820</v>
      </c>
      <c r="I274" s="302"/>
      <c r="J274" s="302"/>
      <c r="K274" s="291"/>
      <c r="L274" s="291"/>
    </row>
    <row r="275" spans="1:12" ht="15.75">
      <c r="A275" s="462" t="s">
        <v>3223</v>
      </c>
      <c r="B275" s="298" t="s">
        <v>3348</v>
      </c>
      <c r="C275" s="289">
        <f>C133/1000</f>
        <v>1.6E-2</v>
      </c>
      <c r="D275" s="311" t="s">
        <v>2820</v>
      </c>
      <c r="E275" s="289"/>
      <c r="F275" s="298"/>
      <c r="G275" s="289">
        <f>G133/1000</f>
        <v>1.9E-2</v>
      </c>
      <c r="H275" s="311" t="s">
        <v>2820</v>
      </c>
      <c r="I275" s="302"/>
      <c r="J275" s="302"/>
      <c r="K275" s="291"/>
      <c r="L275" s="291"/>
    </row>
    <row r="276" spans="1:12" ht="15.75" customHeight="1">
      <c r="A276" s="297" t="s">
        <v>12663</v>
      </c>
      <c r="B276" s="298" t="s">
        <v>3352</v>
      </c>
      <c r="C276" s="289">
        <f>C120/1000</f>
        <v>4.4999999999999998E-2</v>
      </c>
      <c r="D276" s="311" t="s">
        <v>2820</v>
      </c>
      <c r="E276" s="478"/>
      <c r="F276" s="298"/>
      <c r="G276" s="289">
        <f>G120/1000</f>
        <v>6.3E-2</v>
      </c>
      <c r="H276" s="311" t="s">
        <v>2820</v>
      </c>
      <c r="I276" s="302"/>
      <c r="J276" s="302"/>
      <c r="K276" s="291"/>
      <c r="L276" s="291"/>
    </row>
    <row r="277" spans="1:12" ht="15.75" customHeight="1">
      <c r="A277" s="297" t="s">
        <v>14376</v>
      </c>
      <c r="B277" s="298" t="s">
        <v>4377</v>
      </c>
      <c r="C277" s="289">
        <f>C124/1000</f>
        <v>1.2999999999999999E-2</v>
      </c>
      <c r="D277" s="311" t="s">
        <v>2820</v>
      </c>
      <c r="E277" s="478"/>
      <c r="F277" s="298"/>
      <c r="G277" s="289">
        <f>G124/1000</f>
        <v>1.4E-2</v>
      </c>
      <c r="H277" s="311" t="s">
        <v>2820</v>
      </c>
      <c r="I277" s="302"/>
      <c r="J277" s="302"/>
      <c r="K277" s="291"/>
      <c r="L277" s="291"/>
    </row>
    <row r="278" spans="1:12" ht="15.75">
      <c r="A278" s="382" t="s">
        <v>14749</v>
      </c>
      <c r="B278" s="298" t="s">
        <v>14937</v>
      </c>
      <c r="C278" s="289">
        <f>C128/1000</f>
        <v>6.0000000000000001E-3</v>
      </c>
      <c r="D278" s="311" t="s">
        <v>2820</v>
      </c>
      <c r="E278" s="478"/>
      <c r="F278" s="298"/>
      <c r="G278" s="289">
        <f>G128/1000</f>
        <v>8.0000000000000002E-3</v>
      </c>
      <c r="H278" s="311" t="s">
        <v>2820</v>
      </c>
      <c r="I278" s="302"/>
      <c r="J278" s="302"/>
      <c r="K278" s="291"/>
      <c r="L278" s="291"/>
    </row>
    <row r="279" spans="1:12" ht="15.75">
      <c r="A279" s="323" t="s">
        <v>14938</v>
      </c>
      <c r="B279" s="298"/>
      <c r="C279" s="289"/>
      <c r="D279" s="322">
        <f>IF(C30=5,60,IF(OR(C30=6,C30=7),50,IF(C30=8,35)))</f>
        <v>50</v>
      </c>
      <c r="E279" s="477" t="s">
        <v>14939</v>
      </c>
      <c r="F279" s="322">
        <f>IF(C30=5,80,IF(OR(C30=6,C30=7),70,IF(C30=8,65)))</f>
        <v>70</v>
      </c>
      <c r="G279" s="477" t="s">
        <v>14940</v>
      </c>
      <c r="H279" s="478"/>
      <c r="I279" s="302"/>
      <c r="J279" s="302"/>
      <c r="K279" s="291"/>
      <c r="L279" s="291"/>
    </row>
    <row r="280" spans="1:12" ht="15.75">
      <c r="A280" s="372" t="s">
        <v>14941</v>
      </c>
      <c r="B280" s="298"/>
      <c r="C280" s="289"/>
      <c r="D280" s="322">
        <f>IF(C30=5,65,IF(OR(C30=6,C30=7),55,IF(C30=8,40)))</f>
        <v>55</v>
      </c>
      <c r="E280" s="477" t="s">
        <v>14939</v>
      </c>
      <c r="F280" s="322">
        <f>IF(C30=5,85,IF(OR(C30=6,C30=7),75,IF(C30=8,70)))</f>
        <v>75</v>
      </c>
      <c r="G280" s="477" t="s">
        <v>14940</v>
      </c>
      <c r="H280" s="478"/>
      <c r="I280" s="302"/>
      <c r="J280" s="302"/>
      <c r="K280" s="291"/>
      <c r="L280" s="291"/>
    </row>
    <row r="281" spans="1:12" ht="15.75">
      <c r="A281" s="279" t="s">
        <v>14768</v>
      </c>
      <c r="B281" s="298" t="s">
        <v>14769</v>
      </c>
      <c r="C281" s="289"/>
      <c r="D281" s="479" t="s">
        <v>14942</v>
      </c>
      <c r="E281" s="289">
        <f>C168/1000</f>
        <v>3.2000000000000001E-2</v>
      </c>
      <c r="F281" s="311" t="s">
        <v>2820</v>
      </c>
      <c r="G281" s="311"/>
      <c r="H281" s="478"/>
      <c r="I281" s="302"/>
      <c r="J281" s="302"/>
      <c r="K281" s="291"/>
      <c r="L281" s="291"/>
    </row>
    <row r="282" spans="1:12" ht="15.75" customHeight="1">
      <c r="A282" s="382" t="s">
        <v>14766</v>
      </c>
      <c r="B282" s="298"/>
      <c r="C282" s="289">
        <f>C162/1000</f>
        <v>2.5000000000000001E-2</v>
      </c>
      <c r="D282" s="311" t="s">
        <v>2820</v>
      </c>
      <c r="E282" s="289"/>
      <c r="F282" s="298"/>
      <c r="G282" s="289">
        <f>G162/1000</f>
        <v>0.03</v>
      </c>
      <c r="H282" s="311" t="s">
        <v>2820</v>
      </c>
      <c r="I282" s="302"/>
      <c r="J282" s="302"/>
      <c r="K282" s="291"/>
      <c r="L282" s="291"/>
    </row>
    <row r="283" spans="1:12" ht="15.75" customHeight="1">
      <c r="A283" s="309" t="s">
        <v>14943</v>
      </c>
      <c r="B283" s="298"/>
      <c r="C283" s="312">
        <f>C34</f>
        <v>25</v>
      </c>
      <c r="D283" s="311" t="s">
        <v>2820</v>
      </c>
      <c r="E283" s="312"/>
      <c r="F283" s="298"/>
      <c r="G283" s="312">
        <f>C36</f>
        <v>320</v>
      </c>
      <c r="H283" s="311" t="s">
        <v>2820</v>
      </c>
      <c r="I283" s="302"/>
      <c r="J283" s="302"/>
      <c r="K283" s="291"/>
      <c r="L283" s="291"/>
    </row>
    <row r="284" spans="1:12" ht="15.75" customHeight="1">
      <c r="A284" s="382" t="str">
        <f>IF(AND(C34=0,C36=0),"","齿坯基准端面跳动公差")</f>
        <v>齿坯基准端面跳动公差</v>
      </c>
      <c r="B284" s="289"/>
      <c r="C284" s="312">
        <f>IF(C34=0,"",C163/1000)</f>
        <v>2.5000000000000001E-2</v>
      </c>
      <c r="D284" s="311" t="str">
        <f>IF(C34=0,"","毫米")</f>
        <v>毫米</v>
      </c>
      <c r="E284" s="409"/>
      <c r="F284" s="409"/>
      <c r="G284" s="312">
        <f>IF(C36=0,"",G163/1000)</f>
        <v>1.4999999999999999E-2</v>
      </c>
      <c r="H284" s="311" t="str">
        <f>IF(C36=0,"","毫米")</f>
        <v>毫米</v>
      </c>
      <c r="I284" s="302"/>
      <c r="J284" s="302"/>
      <c r="K284" s="291"/>
      <c r="L284" s="291"/>
    </row>
    <row r="285" spans="1:12" ht="15.75" customHeight="1">
      <c r="A285" s="382" t="s">
        <v>14944</v>
      </c>
      <c r="B285" s="289"/>
      <c r="C285" s="289">
        <f>IF(C117&lt;=1.2,-0.05,-0.075)</f>
        <v>-7.4999999999999997E-2</v>
      </c>
      <c r="D285" s="311" t="s">
        <v>2820</v>
      </c>
      <c r="E285" s="478"/>
      <c r="F285" s="478"/>
      <c r="G285" s="289">
        <f>C285</f>
        <v>-7.4999999999999997E-2</v>
      </c>
      <c r="H285" s="311" t="s">
        <v>2820</v>
      </c>
      <c r="I285" s="302"/>
      <c r="J285" s="302"/>
      <c r="K285" s="291"/>
      <c r="L285" s="291"/>
    </row>
    <row r="286" spans="1:12" ht="15.75" customHeight="1">
      <c r="A286" s="382" t="s">
        <v>14945</v>
      </c>
      <c r="B286" s="289"/>
      <c r="C286" s="289">
        <f>IF(C117&lt;=1.2,15,8)</f>
        <v>8</v>
      </c>
      <c r="D286" s="311" t="s">
        <v>2825</v>
      </c>
      <c r="E286" s="478"/>
      <c r="F286" s="478"/>
      <c r="G286" s="289">
        <f>C286</f>
        <v>8</v>
      </c>
      <c r="H286" s="311" t="s">
        <v>2825</v>
      </c>
      <c r="I286" s="302"/>
      <c r="J286" s="302"/>
      <c r="K286" s="291"/>
      <c r="L286" s="291"/>
    </row>
    <row r="287" spans="1:12" ht="15.75" customHeight="1">
      <c r="A287" s="279" t="s">
        <v>14946</v>
      </c>
      <c r="B287" s="339" t="s">
        <v>14947</v>
      </c>
      <c r="C287" s="289"/>
      <c r="D287" s="311"/>
      <c r="E287" s="289" t="str">
        <f>IF(OR(C161=5,C161=6),"IT5","IT6")</f>
        <v>IT5</v>
      </c>
      <c r="F287" s="477" t="s">
        <v>14948</v>
      </c>
      <c r="G287" s="289"/>
      <c r="H287" s="311"/>
      <c r="I287" s="302"/>
      <c r="J287" s="302"/>
      <c r="K287" s="291"/>
      <c r="L287" s="291"/>
    </row>
    <row r="288" spans="1:12" ht="15.75" customHeight="1">
      <c r="A288" s="382"/>
      <c r="B288" s="339" t="s">
        <v>14949</v>
      </c>
      <c r="C288" s="289"/>
      <c r="D288" s="311"/>
      <c r="E288" s="289" t="str">
        <f>IF(OR(C161=5,C161=6),"IT6","IT7")</f>
        <v>IT6</v>
      </c>
      <c r="F288" s="477" t="s">
        <v>14948</v>
      </c>
      <c r="G288" s="289"/>
      <c r="H288" s="311"/>
      <c r="I288" s="302"/>
      <c r="J288" s="302"/>
      <c r="K288" s="291"/>
      <c r="L288" s="291"/>
    </row>
    <row r="289" spans="1:13" ht="15.75" customHeight="1">
      <c r="A289" s="352" t="s">
        <v>14950</v>
      </c>
      <c r="B289" s="339" t="s">
        <v>937</v>
      </c>
      <c r="C289" s="289"/>
      <c r="D289" s="410"/>
      <c r="E289" s="289">
        <v>0</v>
      </c>
      <c r="F289" s="480"/>
      <c r="G289" s="289"/>
      <c r="H289" s="311"/>
      <c r="I289" s="302"/>
      <c r="J289" s="302"/>
      <c r="K289" s="291"/>
      <c r="L289" s="291"/>
    </row>
    <row r="290" spans="1:13" ht="15.75" customHeight="1">
      <c r="A290" s="354"/>
      <c r="B290" s="473" t="s">
        <v>938</v>
      </c>
      <c r="C290" s="338"/>
      <c r="D290" s="481"/>
      <c r="E290" s="338" t="str">
        <f>"-IT8"</f>
        <v>-IT8</v>
      </c>
      <c r="F290" s="482" t="s">
        <v>14948</v>
      </c>
      <c r="G290" s="338"/>
      <c r="H290" s="335"/>
      <c r="I290" s="302"/>
      <c r="J290" s="302"/>
      <c r="K290" s="291"/>
      <c r="L290" s="291"/>
    </row>
    <row r="291" spans="1:13" ht="15.75" customHeight="1">
      <c r="A291" s="352"/>
      <c r="B291" s="434"/>
      <c r="C291" s="289"/>
      <c r="D291" s="410"/>
      <c r="E291" s="289"/>
      <c r="F291" s="477"/>
      <c r="G291" s="289"/>
      <c r="H291" s="311"/>
      <c r="I291" s="302"/>
      <c r="J291" s="302"/>
      <c r="K291" s="291"/>
      <c r="L291" s="291"/>
    </row>
    <row r="292" spans="1:13" ht="15.75" customHeight="1">
      <c r="A292" s="461" t="str">
        <f>IF(C47=0,"","承载能力：")</f>
        <v>承载能力：</v>
      </c>
      <c r="B292" s="289"/>
      <c r="C292" s="289"/>
      <c r="D292" s="410"/>
      <c r="E292" s="289"/>
      <c r="F292" s="477"/>
      <c r="G292" s="289"/>
      <c r="H292" s="311"/>
      <c r="I292" s="302"/>
      <c r="J292" s="302"/>
      <c r="K292" s="291"/>
      <c r="L292" s="291"/>
    </row>
    <row r="293" spans="1:13" ht="15.75" customHeight="1">
      <c r="A293" s="279" t="s">
        <v>14951</v>
      </c>
      <c r="B293" s="292" t="s">
        <v>14952</v>
      </c>
      <c r="C293" s="270">
        <f>IF(C47=0,"",C53)</f>
        <v>250</v>
      </c>
      <c r="D293" s="483" t="s">
        <v>13031</v>
      </c>
      <c r="E293" s="479"/>
      <c r="F293" s="298"/>
      <c r="G293" s="270">
        <f>IF(C47=0,"",ROUND(C53*C18/C17,2))</f>
        <v>461.54</v>
      </c>
      <c r="H293" s="483" t="s">
        <v>13031</v>
      </c>
      <c r="I293" s="302"/>
      <c r="J293" s="279"/>
      <c r="K293" s="291"/>
      <c r="L293" s="291"/>
    </row>
    <row r="294" spans="1:13" ht="15.75" customHeight="1">
      <c r="A294" s="279" t="s">
        <v>14953</v>
      </c>
      <c r="B294" s="292" t="s">
        <v>14954</v>
      </c>
      <c r="C294" s="270">
        <f>IF(C47=0,"",G51)</f>
        <v>26.18</v>
      </c>
      <c r="D294" s="483" t="s">
        <v>13170</v>
      </c>
      <c r="E294" s="479"/>
      <c r="F294" s="298"/>
      <c r="G294" s="270">
        <f>IF(C47=0,"",ROUND(G51*C18/C17,2))</f>
        <v>48.33</v>
      </c>
      <c r="H294" s="483" t="s">
        <v>13170</v>
      </c>
      <c r="I294" s="302"/>
      <c r="J294" s="279"/>
      <c r="K294" s="291"/>
      <c r="L294" s="291"/>
    </row>
    <row r="295" spans="1:13" ht="15.75" customHeight="1">
      <c r="A295" s="279" t="s">
        <v>14955</v>
      </c>
      <c r="B295" s="292" t="s">
        <v>2487</v>
      </c>
      <c r="C295" s="270">
        <f>IF(C47=0,"",C54)</f>
        <v>1000</v>
      </c>
      <c r="D295" s="483" t="s">
        <v>14956</v>
      </c>
      <c r="E295" s="311"/>
      <c r="F295" s="462"/>
      <c r="G295" s="270">
        <f>IF(C47=0,"",ROUND(C54*C17/C18,2))</f>
        <v>541.66999999999996</v>
      </c>
      <c r="H295" s="483" t="s">
        <v>14956</v>
      </c>
      <c r="I295" s="302"/>
      <c r="J295" s="302"/>
      <c r="K295" s="291"/>
      <c r="L295" s="291"/>
    </row>
    <row r="296" spans="1:13" ht="15.75" customHeight="1">
      <c r="A296" s="279" t="s">
        <v>14957</v>
      </c>
      <c r="B296" s="292"/>
      <c r="C296" s="484"/>
      <c r="D296" s="485"/>
      <c r="E296" s="311" t="str">
        <f>IF(AND(C47&lt;&gt;0,C47&lt;&gt;1,C47&lt;&gt;2,C47&lt;&gt;3,C47&lt;&gt;4,C47&lt;&gt;5,C47&lt;&gt;6,C47&lt;&gt;7),"错误！",IF(C47=0,"",IF(C47=1,"合金钢渗碳淬火",IF(C47=2,"调质钢感应淬火",IF(C47=3,"合金钢调质",IF(C47=4,"碳钢调质或正火",IF(C47=5,"氮化钢气体氮化",IF(C47=6,"调质钢与渗碳淬火钢气体氮化","调质钢与渗碳淬火钢软氮化"))))))))</f>
        <v>合金钢渗碳淬火</v>
      </c>
      <c r="F296" s="462"/>
      <c r="G296" s="311"/>
      <c r="H296" s="311"/>
      <c r="I296" s="302"/>
      <c r="J296" s="279"/>
      <c r="K296" s="291"/>
      <c r="L296" s="291"/>
    </row>
    <row r="297" spans="1:13" ht="15.75" customHeight="1">
      <c r="A297" s="279" t="s">
        <v>14958</v>
      </c>
      <c r="B297" s="292"/>
      <c r="C297" s="484"/>
      <c r="D297" s="485"/>
      <c r="E297" s="339" t="str">
        <f>IF(AND(C50&lt;&gt;0,C50&lt;&gt;1,C50&lt;&gt;2,C50&lt;&gt;3),"错误！",IF(C47=0,"",IF(C50=1,"大小轮都是两端支承",IF(C50=2,"一个是两端支承，另一个是悬臂","两者都是悬臂"))))</f>
        <v>一个是两端支承，另一个是悬臂</v>
      </c>
      <c r="F297" s="462"/>
      <c r="G297" s="311"/>
      <c r="H297" s="311"/>
      <c r="I297" s="302"/>
      <c r="J297" s="302"/>
      <c r="K297" s="291"/>
      <c r="L297" s="291"/>
    </row>
    <row r="298" spans="1:13" ht="15.75" customHeight="1">
      <c r="A298" s="279" t="s">
        <v>14959</v>
      </c>
      <c r="B298" s="312" t="s">
        <v>14868</v>
      </c>
      <c r="C298" s="312">
        <f>IF(C47=0,"",C204)</f>
        <v>1249.99</v>
      </c>
      <c r="D298" s="378" t="s">
        <v>4271</v>
      </c>
      <c r="E298" s="312"/>
      <c r="F298" s="378"/>
      <c r="G298" s="312">
        <f>IF(C47=0,"",C204)</f>
        <v>1249.99</v>
      </c>
      <c r="H298" s="378" t="s">
        <v>4271</v>
      </c>
      <c r="I298" s="302"/>
      <c r="J298" s="402"/>
      <c r="K298" s="289"/>
      <c r="L298" s="312"/>
      <c r="M298" s="378"/>
    </row>
    <row r="299" spans="1:13" ht="15.75" customHeight="1">
      <c r="A299" s="279" t="s">
        <v>14960</v>
      </c>
      <c r="B299" s="312" t="s">
        <v>14871</v>
      </c>
      <c r="C299" s="312">
        <f>IF(C47=0,"",C205)</f>
        <v>765.75</v>
      </c>
      <c r="D299" s="378" t="s">
        <v>4271</v>
      </c>
      <c r="E299" s="312"/>
      <c r="F299" s="378"/>
      <c r="G299" s="312">
        <f>IF(C47=0,"",C205)</f>
        <v>765.75</v>
      </c>
      <c r="H299" s="378" t="s">
        <v>4271</v>
      </c>
      <c r="I299" s="302"/>
      <c r="J299" s="279"/>
      <c r="K299" s="312"/>
      <c r="L299" s="312"/>
      <c r="M299" s="378"/>
    </row>
    <row r="300" spans="1:13" ht="15.75" customHeight="1">
      <c r="A300" s="352" t="s">
        <v>4389</v>
      </c>
      <c r="B300" s="323" t="s">
        <v>4287</v>
      </c>
      <c r="C300" s="312">
        <f>IF(C47=0,"",C206)</f>
        <v>2.04</v>
      </c>
      <c r="D300" s="305" t="str">
        <f>D57</f>
        <v/>
      </c>
      <c r="E300" s="312"/>
      <c r="F300" s="305"/>
      <c r="G300" s="312">
        <f>IF(C47=0,"",C206)</f>
        <v>2.04</v>
      </c>
      <c r="H300" s="305" t="str">
        <f>D57</f>
        <v/>
      </c>
      <c r="I300" s="302"/>
      <c r="J300" s="279"/>
      <c r="K300" s="312"/>
      <c r="L300" s="312"/>
      <c r="M300" s="378"/>
    </row>
    <row r="301" spans="1:13" ht="15.75" customHeight="1">
      <c r="A301" s="279" t="s">
        <v>14961</v>
      </c>
      <c r="B301" s="312" t="s">
        <v>14896</v>
      </c>
      <c r="C301" s="312">
        <f>IF(C47=0,"",C215)</f>
        <v>795.79</v>
      </c>
      <c r="D301" s="378" t="s">
        <v>4271</v>
      </c>
      <c r="E301" s="312"/>
      <c r="F301" s="378"/>
      <c r="G301" s="312">
        <f>IF(C47=0,"",K215)</f>
        <v>787.75</v>
      </c>
      <c r="H301" s="378" t="s">
        <v>4271</v>
      </c>
      <c r="I301" s="302"/>
      <c r="J301" s="402"/>
      <c r="K301" s="323"/>
      <c r="L301" s="312"/>
      <c r="M301" s="294"/>
    </row>
    <row r="302" spans="1:13" ht="15.75" customHeight="1">
      <c r="A302" s="279" t="s">
        <v>14962</v>
      </c>
      <c r="B302" s="312" t="s">
        <v>14899</v>
      </c>
      <c r="C302" s="312">
        <f>IF(C47=0,"",C216)</f>
        <v>180.16</v>
      </c>
      <c r="D302" s="378" t="s">
        <v>4271</v>
      </c>
      <c r="E302" s="312"/>
      <c r="F302" s="378"/>
      <c r="G302" s="312">
        <f>IF(C47=0,"",K216)</f>
        <v>175.11</v>
      </c>
      <c r="H302" s="378" t="s">
        <v>4271</v>
      </c>
      <c r="I302" s="302"/>
      <c r="J302" s="289"/>
      <c r="K302" s="297"/>
      <c r="L302" s="297"/>
      <c r="M302" s="300"/>
    </row>
    <row r="303" spans="1:13" ht="15.75" customHeight="1">
      <c r="A303" s="354" t="s">
        <v>4392</v>
      </c>
      <c r="B303" s="387" t="s">
        <v>4362</v>
      </c>
      <c r="C303" s="275">
        <f>IF(C47=0,"",C217)</f>
        <v>3.35</v>
      </c>
      <c r="D303" s="475" t="str">
        <f>D60</f>
        <v/>
      </c>
      <c r="E303" s="275"/>
      <c r="F303" s="486"/>
      <c r="G303" s="275">
        <f>IF(C47=0,"",K217)</f>
        <v>3.41</v>
      </c>
      <c r="H303" s="475" t="str">
        <f>L217</f>
        <v/>
      </c>
      <c r="I303" s="302"/>
      <c r="J303" s="302"/>
      <c r="K303" s="291"/>
      <c r="L303" s="291"/>
    </row>
    <row r="304" spans="1:13" ht="15.75" customHeight="1">
      <c r="A304" s="352"/>
      <c r="B304" s="434"/>
      <c r="C304" s="289"/>
      <c r="D304" s="410"/>
      <c r="E304" s="289"/>
      <c r="F304" s="477"/>
      <c r="G304" s="289"/>
      <c r="H304" s="311"/>
      <c r="I304" s="302"/>
      <c r="J304" s="302"/>
      <c r="K304" s="291"/>
      <c r="L304" s="291"/>
    </row>
    <row r="305" spans="1:12" ht="15.75" customHeight="1">
      <c r="A305" s="487" t="s">
        <v>14963</v>
      </c>
      <c r="B305" s="318" t="str">
        <f>IF(C47=0,"未验算承载能力。",IF(AND(C57&gt;=1.25,C60&gt;=1.25,OR(C57&lt;=2,C60&lt;=2)),"强度符合要求。",IF(AND(C57&gt;2,C60&gt;2),"安全系数过大，造成浪费！",IF(OR(C57&lt;1.25,C60&lt;1.25),"安全系数过小！",""))))</f>
        <v>安全系数过大，造成浪费！</v>
      </c>
      <c r="C305" s="289"/>
      <c r="D305" s="311"/>
      <c r="E305" s="478"/>
      <c r="F305" s="478"/>
      <c r="G305" s="289"/>
      <c r="H305" s="311"/>
      <c r="I305" s="302"/>
      <c r="J305" s="302"/>
      <c r="K305" s="291"/>
      <c r="L305" s="291"/>
    </row>
    <row r="306" spans="1:12" ht="15.75" customHeight="1">
      <c r="A306" s="488" t="s">
        <v>14964</v>
      </c>
      <c r="B306" s="318" t="str">
        <f>IF(AND(C14=0,D43="错误！"),"因刀盘直径输入有误，重合度计算不准确。",IF(OR(AND(C24=0,C257&gt;=1.25),AND(C24&gt;0,OR(C257&gt;=2,E257&gt;=1.25))),"重合度符合要求。","重合度过小！"))</f>
        <v>重合度过小！</v>
      </c>
      <c r="C306" s="480"/>
      <c r="D306" s="311"/>
      <c r="E306" s="478"/>
      <c r="F306" s="478"/>
      <c r="G306" s="289"/>
      <c r="H306" s="311"/>
      <c r="I306" s="302"/>
      <c r="J306" s="302"/>
      <c r="K306" s="291"/>
      <c r="L306" s="291"/>
    </row>
    <row r="307" spans="1:12" ht="15.75" customHeight="1">
      <c r="A307" s="488" t="str">
        <f>IF(OR(C14=1,AND(C14=0,C24=0)),"","                              · ")</f>
        <v>·</v>
      </c>
      <c r="B307" s="318" t="str">
        <f>IF(OR(C14=1,C24=0),"",IF(AND(C14=0,D43="错误！"),"因刀盘直径输入有误，大、小端螺旋角计算不准确。",IF(E258&gt;=E259,"大端螺旋角大于小端螺旋角，无反向收缩。","大端螺旋角小于小端螺旋角，出现反向收缩！")))</f>
        <v>大端螺旋角大于小端螺旋角，无反向收缩。</v>
      </c>
      <c r="C307" s="289"/>
      <c r="D307" s="311"/>
      <c r="E307" s="478"/>
      <c r="F307" s="478"/>
      <c r="G307" s="289"/>
      <c r="H307" s="311"/>
      <c r="I307" s="302"/>
      <c r="J307" s="302"/>
      <c r="K307" s="291"/>
      <c r="L307" s="291"/>
    </row>
    <row r="308" spans="1:12" ht="15.75" customHeight="1">
      <c r="A308" s="488" t="str">
        <f>IF(C14=1,"","                              · ")</f>
        <v>·</v>
      </c>
      <c r="B308" s="318" t="str">
        <f>IF(C14=1,"",IF(OR(C40=3.5,C40=6,C40=7.5,C40=9,C40=12,E40=3.5,E40=6,E40=7.5,E40=9,E40=12,G40=3.5,G40=6,G40=7.5,G40=9,G40=12),"可以选出合适的刀盘在本厂铣齿。",IF(OR(C40=18,E40=18,G40=18),"只能选用 18 英寸刀盘，须外厂协作。","选择刀盘失败，不能加工！")))</f>
        <v>可以选出合适的刀盘在本厂铣齿。</v>
      </c>
      <c r="C308" s="289"/>
      <c r="D308" s="311"/>
      <c r="E308" s="489"/>
      <c r="F308" s="480" t="str">
        <f>IF(OR(C14=1,C42=C40,C42=E40,C42=G40),"","输入刀盘直径错误！")</f>
        <v/>
      </c>
      <c r="G308" s="289"/>
      <c r="H308" s="311"/>
      <c r="I308" s="302"/>
      <c r="J308" s="302"/>
      <c r="K308" s="291"/>
      <c r="L308" s="291"/>
    </row>
    <row r="309" spans="1:12" ht="15.75" customHeight="1">
      <c r="A309" s="490"/>
      <c r="B309" s="335"/>
      <c r="C309" s="338"/>
      <c r="D309" s="335"/>
      <c r="E309" s="491"/>
      <c r="F309" s="492"/>
      <c r="G309" s="338"/>
      <c r="H309" s="335"/>
      <c r="I309" s="302"/>
      <c r="J309" s="302"/>
      <c r="K309" s="291"/>
      <c r="L309" s="291"/>
    </row>
    <row r="310" spans="1:12" ht="15.75" customHeight="1">
      <c r="A310" s="288" t="s">
        <v>14965</v>
      </c>
      <c r="B310" s="311"/>
      <c r="C310" s="289"/>
      <c r="D310" s="311"/>
      <c r="E310" s="493"/>
      <c r="F310" s="478"/>
      <c r="G310" s="289"/>
      <c r="H310" s="311"/>
      <c r="I310" s="302"/>
      <c r="J310" s="302"/>
      <c r="K310" s="291"/>
      <c r="L310" s="291"/>
    </row>
    <row r="313" spans="1:12" ht="15" customHeight="1"/>
    <row r="318" spans="1:12" ht="15.75" customHeight="1"/>
    <row r="319" spans="1:12" ht="15.75" customHeight="1"/>
    <row r="320" spans="1:12" ht="15.75" customHeight="1"/>
    <row r="328" ht="15" customHeight="1"/>
    <row r="331" ht="15.75" customHeight="1"/>
    <row r="332" ht="15.75" customHeight="1"/>
    <row r="333" ht="15.75" customHeight="1"/>
    <row r="334" ht="15.75" customHeight="1"/>
    <row r="335" ht="15.75" customHeight="1"/>
    <row r="336" ht="15.75" customHeight="1"/>
    <row r="337" ht="15.75" customHeight="1"/>
  </sheetData>
  <phoneticPr fontId="214" type="noConversion"/>
  <pageMargins left="0.34930555555555598" right="0.34930555555555598" top="0.97916666666666696" bottom="0.97916666666666696" header="0.50902777777777797" footer="0.50902777777777797"/>
  <pageSetup paperSize="9" orientation="portrait" horizontalDpi="360" verticalDpi="360"/>
  <headerFooter scaleWithDoc="0" alignWithMargins="0"/>
  <drawing r:id="rId1"/>
  <legacyDrawing r:id="rId2"/>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2"/>
  <dimension ref="A3:J12"/>
  <sheetViews>
    <sheetView workbookViewId="0"/>
  </sheetViews>
  <sheetFormatPr defaultColWidth="9" defaultRowHeight="14.25"/>
  <sheetData>
    <row r="3" spans="1:10" ht="22.5">
      <c r="A3" s="243"/>
      <c r="B3" s="53"/>
      <c r="C3" s="53"/>
      <c r="D3" s="244" t="s">
        <v>14966</v>
      </c>
      <c r="E3" s="245"/>
      <c r="F3" s="53"/>
      <c r="G3" s="246"/>
      <c r="H3" s="247"/>
      <c r="I3" s="247"/>
      <c r="J3" s="247"/>
    </row>
    <row r="4" spans="1:10">
      <c r="A4" s="4963" t="s">
        <v>14967</v>
      </c>
      <c r="B4" s="5987"/>
      <c r="C4" s="5987"/>
      <c r="D4" s="5987"/>
      <c r="E4" s="5987"/>
      <c r="F4" s="5987"/>
      <c r="G4" s="5987"/>
      <c r="H4" s="5987"/>
      <c r="I4" s="5987"/>
      <c r="J4" s="5987"/>
    </row>
    <row r="5" spans="1:10">
      <c r="A5" s="243"/>
      <c r="B5" s="53" t="s">
        <v>14968</v>
      </c>
      <c r="C5" s="53"/>
      <c r="D5" s="53"/>
      <c r="E5" s="53"/>
      <c r="F5" s="53"/>
      <c r="G5" s="246"/>
      <c r="H5" s="59"/>
      <c r="I5" s="59"/>
      <c r="J5" s="59"/>
    </row>
    <row r="6" spans="1:10" ht="18.75">
      <c r="A6" s="243"/>
      <c r="B6" s="4963" t="s">
        <v>14969</v>
      </c>
      <c r="C6" s="4963"/>
      <c r="D6" s="4963"/>
      <c r="E6" s="4963"/>
      <c r="F6" s="53"/>
      <c r="G6" s="246"/>
      <c r="H6" s="59"/>
      <c r="I6" s="59"/>
      <c r="J6" s="59"/>
    </row>
    <row r="7" spans="1:10" ht="18.75">
      <c r="A7" s="243"/>
      <c r="B7" s="4963" t="s">
        <v>14970</v>
      </c>
      <c r="C7" s="4963"/>
      <c r="D7" s="4963"/>
      <c r="E7" s="4963"/>
      <c r="F7" s="4963"/>
      <c r="G7" s="246"/>
      <c r="H7" s="59"/>
      <c r="I7" s="59"/>
      <c r="J7" s="59"/>
    </row>
    <row r="8" spans="1:10">
      <c r="A8" s="243"/>
      <c r="B8" s="4963"/>
      <c r="C8" s="4963"/>
      <c r="D8" s="4963"/>
      <c r="E8" s="4963"/>
      <c r="F8" s="53"/>
      <c r="G8" s="246"/>
      <c r="H8" s="247"/>
      <c r="I8" s="247"/>
      <c r="J8" s="247"/>
    </row>
    <row r="9" spans="1:10" ht="18.75">
      <c r="A9" s="243"/>
      <c r="B9" s="59" t="s">
        <v>14971</v>
      </c>
      <c r="C9" s="59"/>
      <c r="D9" s="59"/>
      <c r="E9" s="59" t="s">
        <v>14972</v>
      </c>
      <c r="F9" s="53"/>
      <c r="G9" s="246"/>
      <c r="H9" s="247"/>
      <c r="I9" s="247"/>
      <c r="J9" s="247"/>
    </row>
    <row r="10" spans="1:10">
      <c r="A10" s="248" t="s">
        <v>14973</v>
      </c>
      <c r="B10" s="55"/>
      <c r="C10" s="55"/>
      <c r="D10" s="55"/>
      <c r="E10" s="55"/>
      <c r="F10" s="55"/>
      <c r="G10" s="249"/>
      <c r="H10" s="250"/>
      <c r="I10" s="250"/>
      <c r="J10" s="250"/>
    </row>
    <row r="11" spans="1:10">
      <c r="A11" s="248"/>
      <c r="B11" s="53" t="s">
        <v>14974</v>
      </c>
      <c r="C11" s="53"/>
      <c r="D11" s="53"/>
      <c r="E11" s="53"/>
      <c r="F11" s="53"/>
      <c r="G11" s="246"/>
      <c r="H11" s="59"/>
      <c r="I11" s="59"/>
      <c r="J11" s="59"/>
    </row>
    <row r="12" spans="1:10">
      <c r="A12" s="248"/>
      <c r="B12" s="53"/>
      <c r="C12" s="53"/>
      <c r="D12" s="53"/>
      <c r="E12" s="53"/>
      <c r="F12" s="53"/>
      <c r="G12" s="246"/>
      <c r="H12" s="59"/>
      <c r="I12" s="59"/>
      <c r="J12" s="59"/>
    </row>
  </sheetData>
  <mergeCells count="4">
    <mergeCell ref="A4:J4"/>
    <mergeCell ref="B6:E6"/>
    <mergeCell ref="B7:F7"/>
    <mergeCell ref="B8:E8"/>
  </mergeCells>
  <phoneticPr fontId="214" type="noConversion"/>
  <pageMargins left="0.75" right="0.75" top="1" bottom="1" header="0.5" footer="0.5"/>
  <pageSetup paperSize="9" orientation="portrait"/>
  <headerFooter alignWithMargins="0"/>
  <drawing r:id="rId1"/>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3"/>
  <dimension ref="A1:N52"/>
  <sheetViews>
    <sheetView workbookViewId="0">
      <selection sqref="A1:J2"/>
    </sheetView>
  </sheetViews>
  <sheetFormatPr defaultColWidth="9" defaultRowHeight="14.25"/>
  <cols>
    <col min="1" max="1" width="11.125" customWidth="1"/>
    <col min="2" max="2" width="10.375"/>
  </cols>
  <sheetData>
    <row r="1" spans="1:10" ht="27" customHeight="1">
      <c r="A1" s="4963" t="s">
        <v>14975</v>
      </c>
      <c r="B1" s="4963"/>
      <c r="C1" s="4963"/>
      <c r="D1" s="4963"/>
      <c r="E1" s="4963"/>
      <c r="F1" s="4963"/>
      <c r="G1" s="4963"/>
      <c r="H1" s="4963"/>
      <c r="I1" s="4963"/>
      <c r="J1" s="4963"/>
    </row>
    <row r="2" spans="1:10" ht="34.9" customHeight="1">
      <c r="A2" s="4963"/>
      <c r="B2" s="4963"/>
      <c r="C2" s="4963"/>
      <c r="D2" s="4963"/>
      <c r="E2" s="4963"/>
      <c r="F2" s="4963"/>
      <c r="G2" s="4963"/>
      <c r="H2" s="4963"/>
      <c r="I2" s="4963"/>
      <c r="J2" s="4963"/>
    </row>
    <row r="3" spans="1:10" ht="14.25" customHeight="1">
      <c r="A3" s="4963"/>
      <c r="B3" s="4963"/>
      <c r="C3" s="4963"/>
      <c r="D3" s="4963"/>
      <c r="E3" s="4963"/>
      <c r="F3" s="4963"/>
      <c r="G3" s="4963"/>
      <c r="H3" s="4963"/>
      <c r="I3" s="4963"/>
      <c r="J3" s="4963"/>
    </row>
    <row r="4" spans="1:10" ht="16.5">
      <c r="A4" s="237" t="s">
        <v>14976</v>
      </c>
      <c r="B4" s="238">
        <v>3.1415926000000001</v>
      </c>
      <c r="C4" s="238"/>
      <c r="D4" s="238"/>
      <c r="E4" s="238"/>
      <c r="F4" s="238"/>
      <c r="G4" s="239" t="s">
        <v>14977</v>
      </c>
      <c r="H4" s="240" t="s">
        <v>14978</v>
      </c>
      <c r="I4" s="240"/>
      <c r="J4" s="240"/>
    </row>
    <row r="5" spans="1:10">
      <c r="A5" s="241" t="s">
        <v>14979</v>
      </c>
      <c r="B5" s="4963" t="s">
        <v>14980</v>
      </c>
      <c r="C5" s="4963"/>
      <c r="D5" s="4963"/>
      <c r="E5" s="4963"/>
      <c r="F5" s="238"/>
      <c r="G5" s="239"/>
      <c r="H5" s="240"/>
      <c r="I5" s="240"/>
      <c r="J5" s="240"/>
    </row>
    <row r="6" spans="1:10" ht="15">
      <c r="A6" s="241" t="s">
        <v>14981</v>
      </c>
      <c r="B6" s="4963" t="s">
        <v>14982</v>
      </c>
      <c r="C6" s="4963"/>
      <c r="D6" s="4963"/>
      <c r="E6" s="4963"/>
      <c r="F6" s="238"/>
      <c r="G6" s="239"/>
      <c r="H6" s="240"/>
      <c r="I6" s="240"/>
      <c r="J6" s="240"/>
    </row>
    <row r="7" spans="1:10" ht="15">
      <c r="A7" s="241" t="s">
        <v>14983</v>
      </c>
      <c r="B7" s="4963" t="s">
        <v>14984</v>
      </c>
      <c r="C7" s="4963"/>
      <c r="D7" s="4963"/>
      <c r="E7" s="4963"/>
      <c r="F7" s="238"/>
      <c r="G7" s="239"/>
      <c r="H7" s="240"/>
      <c r="I7" s="240"/>
      <c r="J7" s="240"/>
    </row>
    <row r="8" spans="1:10">
      <c r="A8" s="241" t="s">
        <v>14985</v>
      </c>
      <c r="B8" s="240" t="s">
        <v>14986</v>
      </c>
      <c r="C8" s="240"/>
      <c r="D8" s="240"/>
      <c r="E8" s="240"/>
      <c r="F8" s="238"/>
      <c r="G8" s="239"/>
      <c r="H8" s="240"/>
      <c r="I8" s="240"/>
      <c r="J8" s="240"/>
    </row>
    <row r="9" spans="1:10">
      <c r="A9" s="241" t="s">
        <v>14987</v>
      </c>
      <c r="B9" s="240" t="s">
        <v>14988</v>
      </c>
      <c r="C9" s="240"/>
      <c r="D9" s="240"/>
      <c r="E9" s="240"/>
      <c r="F9" s="238"/>
      <c r="G9" s="239"/>
      <c r="H9" s="240"/>
      <c r="I9" s="240"/>
      <c r="J9" s="240"/>
    </row>
    <row r="10" spans="1:10" ht="17.25">
      <c r="A10" s="241" t="s">
        <v>14989</v>
      </c>
      <c r="B10" s="240" t="s">
        <v>14990</v>
      </c>
      <c r="C10" s="240"/>
      <c r="D10" s="240"/>
      <c r="E10" s="240"/>
      <c r="F10" s="238"/>
      <c r="G10" s="239" t="s">
        <v>14991</v>
      </c>
      <c r="H10" s="240" t="s">
        <v>14992</v>
      </c>
      <c r="I10" s="240"/>
      <c r="J10" s="240"/>
    </row>
    <row r="11" spans="1:10" ht="17.25">
      <c r="A11" s="241" t="s">
        <v>14993</v>
      </c>
      <c r="B11" s="240" t="s">
        <v>14994</v>
      </c>
      <c r="C11" s="240"/>
      <c r="D11" s="240"/>
      <c r="E11" s="240"/>
      <c r="F11" s="238"/>
      <c r="G11" s="239" t="s">
        <v>14995</v>
      </c>
      <c r="H11" s="240" t="s">
        <v>14996</v>
      </c>
      <c r="I11" s="240"/>
      <c r="J11" s="240"/>
    </row>
    <row r="12" spans="1:10" ht="16.5">
      <c r="A12" s="241" t="s">
        <v>14997</v>
      </c>
      <c r="B12" s="240" t="s">
        <v>14998</v>
      </c>
      <c r="C12" s="240"/>
      <c r="D12" s="240"/>
      <c r="E12" s="240"/>
      <c r="F12" s="238"/>
      <c r="G12" s="239" t="s">
        <v>1791</v>
      </c>
      <c r="H12" s="240" t="s">
        <v>14999</v>
      </c>
      <c r="I12" s="240"/>
      <c r="J12" s="240"/>
    </row>
    <row r="13" spans="1:10" ht="18.75">
      <c r="A13" s="241"/>
      <c r="B13" s="240" t="s">
        <v>15000</v>
      </c>
      <c r="C13" s="240"/>
      <c r="D13" s="240"/>
      <c r="E13" s="240"/>
      <c r="F13" s="238"/>
      <c r="G13" s="239" t="s">
        <v>5690</v>
      </c>
      <c r="H13" s="240" t="s">
        <v>15001</v>
      </c>
      <c r="I13" s="240"/>
      <c r="J13" s="240"/>
    </row>
    <row r="14" spans="1:10" ht="16.5">
      <c r="A14" s="241" t="s">
        <v>15002</v>
      </c>
      <c r="B14" s="4963" t="s">
        <v>15003</v>
      </c>
      <c r="C14" s="4963"/>
      <c r="D14" s="4963"/>
      <c r="E14" s="4963"/>
      <c r="F14" s="238"/>
      <c r="G14" s="239" t="s">
        <v>15004</v>
      </c>
      <c r="H14" s="240" t="s">
        <v>15005</v>
      </c>
      <c r="I14" s="240"/>
      <c r="J14" s="240"/>
    </row>
    <row r="15" spans="1:10">
      <c r="A15" s="237" t="s">
        <v>15006</v>
      </c>
      <c r="B15" s="238" t="s">
        <v>15007</v>
      </c>
      <c r="C15" s="238"/>
      <c r="D15" s="238"/>
      <c r="E15" s="238"/>
      <c r="F15" s="238"/>
      <c r="G15" s="239"/>
      <c r="H15" s="240"/>
      <c r="I15" s="240"/>
      <c r="J15" s="240"/>
    </row>
    <row r="16" spans="1:10">
      <c r="A16" s="237" t="s">
        <v>15008</v>
      </c>
      <c r="B16" s="238" t="s">
        <v>15009</v>
      </c>
      <c r="C16" s="238"/>
      <c r="D16" s="238"/>
      <c r="E16" s="238"/>
      <c r="F16" s="238"/>
      <c r="G16" s="239"/>
      <c r="H16" s="240"/>
      <c r="I16" s="240"/>
      <c r="J16" s="240"/>
    </row>
    <row r="17" spans="1:10">
      <c r="A17" s="237" t="s">
        <v>15010</v>
      </c>
      <c r="B17" s="238" t="s">
        <v>15011</v>
      </c>
      <c r="C17" s="238"/>
      <c r="D17" s="238"/>
      <c r="E17" s="238"/>
      <c r="F17" s="238"/>
      <c r="G17" s="239"/>
      <c r="H17" s="240"/>
      <c r="I17" s="240"/>
      <c r="J17" s="240"/>
    </row>
    <row r="20" spans="1:10">
      <c r="A20" s="5876" t="s">
        <v>15012</v>
      </c>
      <c r="B20" s="4963"/>
      <c r="C20" s="5987"/>
    </row>
    <row r="21" spans="1:10">
      <c r="A21" s="204"/>
    </row>
    <row r="30" spans="1:10">
      <c r="A30" s="5987" t="s">
        <v>15013</v>
      </c>
      <c r="B30" s="5987"/>
      <c r="C30" s="5987"/>
    </row>
    <row r="34" spans="1:14">
      <c r="N34" t="s">
        <v>15014</v>
      </c>
    </row>
    <row r="41" spans="1:14">
      <c r="A41" t="s">
        <v>15015</v>
      </c>
    </row>
    <row r="52" spans="1:1">
      <c r="A52" t="s">
        <v>15016</v>
      </c>
    </row>
  </sheetData>
  <mergeCells count="8">
    <mergeCell ref="A20:C20"/>
    <mergeCell ref="A30:C30"/>
    <mergeCell ref="A1:J2"/>
    <mergeCell ref="A3:J3"/>
    <mergeCell ref="B5:E5"/>
    <mergeCell ref="B6:E6"/>
    <mergeCell ref="B7:E7"/>
    <mergeCell ref="B14:E14"/>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234945" r:id="rId3">
          <objectPr defaultSize="0" altText="" r:id="rId4">
            <anchor moveWithCells="1">
              <from>
                <xdr:col>1</xdr:col>
                <xdr:colOff>0</xdr:colOff>
                <xdr:row>21</xdr:row>
                <xdr:rowOff>0</xdr:rowOff>
              </from>
              <to>
                <xdr:col>4</xdr:col>
                <xdr:colOff>228600</xdr:colOff>
                <xdr:row>23</xdr:row>
                <xdr:rowOff>161925</xdr:rowOff>
              </to>
            </anchor>
          </objectPr>
        </oleObject>
      </mc:Choice>
      <mc:Fallback>
        <oleObject progId="Equation.DSMT4" shapeId="1234945" r:id="rId3"/>
      </mc:Fallback>
    </mc:AlternateContent>
    <mc:AlternateContent xmlns:mc="http://schemas.openxmlformats.org/markup-compatibility/2006">
      <mc:Choice Requires="x14">
        <oleObject progId="Equation.DSMT4" shapeId="1234946" r:id="rId5">
          <objectPr defaultSize="0" altText="" r:id="rId6">
            <anchor moveWithCells="1">
              <from>
                <xdr:col>1</xdr:col>
                <xdr:colOff>0</xdr:colOff>
                <xdr:row>25</xdr:row>
                <xdr:rowOff>0</xdr:rowOff>
              </from>
              <to>
                <xdr:col>4</xdr:col>
                <xdr:colOff>209550</xdr:colOff>
                <xdr:row>26</xdr:row>
                <xdr:rowOff>57150</xdr:rowOff>
              </to>
            </anchor>
          </objectPr>
        </oleObject>
      </mc:Choice>
      <mc:Fallback>
        <oleObject progId="Equation.DSMT4" shapeId="1234946" r:id="rId5"/>
      </mc:Fallback>
    </mc:AlternateContent>
    <mc:AlternateContent xmlns:mc="http://schemas.openxmlformats.org/markup-compatibility/2006">
      <mc:Choice Requires="x14">
        <oleObject progId="Equation.DSMT4" shapeId="1234947" r:id="rId7">
          <objectPr defaultSize="0" altText="" r:id="rId8">
            <anchor moveWithCells="1">
              <from>
                <xdr:col>1</xdr:col>
                <xdr:colOff>0</xdr:colOff>
                <xdr:row>31</xdr:row>
                <xdr:rowOff>0</xdr:rowOff>
              </from>
              <to>
                <xdr:col>4</xdr:col>
                <xdr:colOff>114300</xdr:colOff>
                <xdr:row>36</xdr:row>
                <xdr:rowOff>38100</xdr:rowOff>
              </to>
            </anchor>
          </objectPr>
        </oleObject>
      </mc:Choice>
      <mc:Fallback>
        <oleObject progId="Equation.DSMT4" shapeId="1234947" r:id="rId7"/>
      </mc:Fallback>
    </mc:AlternateContent>
    <mc:AlternateContent xmlns:mc="http://schemas.openxmlformats.org/markup-compatibility/2006">
      <mc:Choice Requires="x14">
        <oleObject progId="Equation.DSMT4" shapeId="1234948" r:id="rId9">
          <objectPr defaultSize="0" altText="" r:id="rId10">
            <anchor moveWithCells="1">
              <from>
                <xdr:col>1</xdr:col>
                <xdr:colOff>0</xdr:colOff>
                <xdr:row>42</xdr:row>
                <xdr:rowOff>0</xdr:rowOff>
              </from>
              <to>
                <xdr:col>4</xdr:col>
                <xdr:colOff>533400</xdr:colOff>
                <xdr:row>46</xdr:row>
                <xdr:rowOff>152400</xdr:rowOff>
              </to>
            </anchor>
          </objectPr>
        </oleObject>
      </mc:Choice>
      <mc:Fallback>
        <oleObject progId="Equation.DSMT4" shapeId="1234948" r:id="rId9"/>
      </mc:Fallback>
    </mc:AlternateContent>
    <mc:AlternateContent xmlns:mc="http://schemas.openxmlformats.org/markup-compatibility/2006">
      <mc:Choice Requires="x14">
        <oleObject progId="Equation.DSMT4" shapeId="1234949" r:id="rId11">
          <objectPr defaultSize="0" altText="" r:id="rId12">
            <anchor moveWithCells="1">
              <from>
                <xdr:col>1</xdr:col>
                <xdr:colOff>0</xdr:colOff>
                <xdr:row>53</xdr:row>
                <xdr:rowOff>0</xdr:rowOff>
              </from>
              <to>
                <xdr:col>3</xdr:col>
                <xdr:colOff>114300</xdr:colOff>
                <xdr:row>55</xdr:row>
                <xdr:rowOff>161925</xdr:rowOff>
              </to>
            </anchor>
          </objectPr>
        </oleObject>
      </mc:Choice>
      <mc:Fallback>
        <oleObject progId="Equation.DSMT4" shapeId="1234949" r:id="rId11"/>
      </mc:Fallback>
    </mc:AlternateContent>
  </oleObjects>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4"/>
  <dimension ref="A1:K70"/>
  <sheetViews>
    <sheetView zoomScale="85" zoomScaleNormal="85" workbookViewId="0">
      <selection sqref="A1:J2"/>
    </sheetView>
  </sheetViews>
  <sheetFormatPr defaultColWidth="9" defaultRowHeight="14.25"/>
  <cols>
    <col min="1" max="1" width="15.625" style="193" customWidth="1"/>
    <col min="2" max="2" width="11.625" customWidth="1"/>
    <col min="4" max="4" width="9.875" customWidth="1"/>
  </cols>
  <sheetData>
    <row r="1" spans="1:11">
      <c r="A1" s="6162" t="s">
        <v>15017</v>
      </c>
      <c r="B1" s="6162"/>
      <c r="C1" s="6162"/>
      <c r="D1" s="6162"/>
      <c r="E1" s="6162"/>
      <c r="F1" s="6162"/>
      <c r="G1" s="6162"/>
      <c r="H1" s="6162"/>
      <c r="I1" s="6162"/>
      <c r="J1" s="6162"/>
    </row>
    <row r="2" spans="1:11" ht="40.15" customHeight="1">
      <c r="A2" s="6162"/>
      <c r="B2" s="6162"/>
      <c r="C2" s="6162"/>
      <c r="D2" s="6162"/>
      <c r="E2" s="6162"/>
      <c r="F2" s="6162"/>
      <c r="G2" s="6162"/>
      <c r="H2" s="6162"/>
      <c r="I2" s="6162"/>
      <c r="J2" s="6162"/>
    </row>
    <row r="3" spans="1:11" ht="19.5" customHeight="1">
      <c r="A3" s="194" t="s">
        <v>15018</v>
      </c>
      <c r="B3" s="4963" t="s">
        <v>15019</v>
      </c>
      <c r="C3" s="4963"/>
      <c r="D3" s="4963"/>
      <c r="E3" s="4963"/>
      <c r="F3" s="62"/>
      <c r="G3" s="195" t="s">
        <v>14995</v>
      </c>
      <c r="H3" s="196" t="s">
        <v>14996</v>
      </c>
      <c r="I3" s="196"/>
      <c r="J3" s="199"/>
      <c r="K3" s="199"/>
    </row>
    <row r="4" spans="1:11" ht="16.5">
      <c r="A4" s="197" t="s">
        <v>15020</v>
      </c>
      <c r="B4" s="4963" t="s">
        <v>15021</v>
      </c>
      <c r="C4" s="4963"/>
      <c r="D4" s="4963"/>
      <c r="E4" s="4963"/>
      <c r="F4" s="62"/>
      <c r="G4" s="198" t="s">
        <v>1791</v>
      </c>
      <c r="H4" s="199" t="s">
        <v>14999</v>
      </c>
      <c r="I4" s="199"/>
      <c r="J4" s="199"/>
      <c r="K4" s="199"/>
    </row>
    <row r="5" spans="1:11" ht="16.5">
      <c r="A5" s="194" t="s">
        <v>15022</v>
      </c>
      <c r="B5" s="4963" t="s">
        <v>15023</v>
      </c>
      <c r="C5" s="4963"/>
      <c r="D5" s="4963"/>
      <c r="E5" s="4963"/>
      <c r="F5" s="62"/>
      <c r="G5" s="195" t="s">
        <v>5690</v>
      </c>
      <c r="H5" s="200" t="s">
        <v>15001</v>
      </c>
      <c r="I5" s="200"/>
      <c r="J5" s="201"/>
      <c r="K5" s="201"/>
    </row>
    <row r="6" spans="1:11" ht="16.5">
      <c r="A6" s="197" t="s">
        <v>15024</v>
      </c>
      <c r="B6" s="4963" t="s">
        <v>15025</v>
      </c>
      <c r="C6" s="4963"/>
      <c r="D6" s="4963"/>
      <c r="E6" s="4963"/>
      <c r="F6" s="62"/>
      <c r="G6" s="198" t="s">
        <v>15004</v>
      </c>
      <c r="H6" s="201" t="s">
        <v>15005</v>
      </c>
      <c r="I6" s="201"/>
      <c r="J6" s="201"/>
      <c r="K6" s="201"/>
    </row>
    <row r="7" spans="1:11">
      <c r="A7" s="202" t="s">
        <v>15026</v>
      </c>
      <c r="B7" s="203" t="s">
        <v>15027</v>
      </c>
      <c r="C7" s="203"/>
      <c r="D7" s="203"/>
      <c r="E7" s="203"/>
      <c r="F7" s="62"/>
      <c r="G7" s="198"/>
      <c r="H7" s="199"/>
      <c r="I7" s="199"/>
      <c r="J7" s="199"/>
      <c r="K7" s="199"/>
    </row>
    <row r="8" spans="1:11">
      <c r="A8" s="204" t="s">
        <v>15028</v>
      </c>
      <c r="B8" s="62" t="s">
        <v>15027</v>
      </c>
      <c r="C8" s="62"/>
      <c r="D8" s="62"/>
      <c r="E8" s="62"/>
      <c r="F8" s="62"/>
      <c r="G8" s="195" t="s">
        <v>9960</v>
      </c>
      <c r="H8" s="196">
        <v>3.1415899999999999</v>
      </c>
      <c r="I8" s="196"/>
      <c r="J8" s="199"/>
      <c r="K8" s="199"/>
    </row>
    <row r="9" spans="1:11">
      <c r="A9" s="202" t="s">
        <v>15029</v>
      </c>
      <c r="B9" s="203" t="s">
        <v>15030</v>
      </c>
      <c r="C9" s="203"/>
      <c r="D9" s="203"/>
      <c r="E9" s="203"/>
      <c r="F9" s="62"/>
      <c r="G9" s="205"/>
      <c r="H9" s="206"/>
      <c r="I9" s="206"/>
      <c r="J9" s="206"/>
      <c r="K9" s="199"/>
    </row>
    <row r="10" spans="1:11" ht="6" customHeight="1"/>
    <row r="11" spans="1:11" ht="31.9" customHeight="1">
      <c r="A11" s="4963" t="s">
        <v>15031</v>
      </c>
      <c r="B11" s="4963"/>
      <c r="C11" s="4963"/>
      <c r="D11" s="4963"/>
      <c r="E11" s="4963"/>
      <c r="F11" s="4963"/>
      <c r="G11" s="4963"/>
      <c r="H11" s="4963"/>
      <c r="I11" s="4963"/>
      <c r="J11" s="4963"/>
    </row>
    <row r="12" spans="1:11">
      <c r="A12" s="207"/>
      <c r="D12" s="5894" t="s">
        <v>15032</v>
      </c>
      <c r="E12" s="4963"/>
      <c r="J12" s="234"/>
    </row>
    <row r="13" spans="1:11" ht="21" customHeight="1">
      <c r="A13" s="208" t="s">
        <v>15033</v>
      </c>
      <c r="B13" s="209">
        <v>80</v>
      </c>
      <c r="C13" s="6161" t="s">
        <v>12675</v>
      </c>
      <c r="D13">
        <f t="shared" ref="D13:D15" si="0">B13/1000</f>
        <v>0.08</v>
      </c>
      <c r="E13" t="s">
        <v>408</v>
      </c>
      <c r="J13" s="234"/>
    </row>
    <row r="14" spans="1:11" ht="19.899999999999999" customHeight="1">
      <c r="A14" s="210" t="s">
        <v>15034</v>
      </c>
      <c r="B14" s="209">
        <v>60</v>
      </c>
      <c r="C14" s="6161"/>
      <c r="D14">
        <f t="shared" si="0"/>
        <v>0.06</v>
      </c>
      <c r="E14" t="s">
        <v>408</v>
      </c>
      <c r="J14" s="234"/>
    </row>
    <row r="15" spans="1:11">
      <c r="A15" s="208" t="s">
        <v>15035</v>
      </c>
      <c r="B15" s="209">
        <v>10</v>
      </c>
      <c r="C15" s="6161"/>
      <c r="D15">
        <f t="shared" si="0"/>
        <v>0.01</v>
      </c>
      <c r="E15" t="s">
        <v>408</v>
      </c>
      <c r="J15" s="234"/>
    </row>
    <row r="16" spans="1:11" ht="19.149999999999999" customHeight="1">
      <c r="A16" s="210" t="s">
        <v>15036</v>
      </c>
      <c r="B16" s="209">
        <v>7.8</v>
      </c>
      <c r="C16" s="6161"/>
      <c r="J16" s="234"/>
    </row>
    <row r="17" spans="1:10" ht="24">
      <c r="A17" s="211" t="s">
        <v>15037</v>
      </c>
      <c r="B17" s="209">
        <v>0</v>
      </c>
      <c r="C17" s="6161"/>
      <c r="D17">
        <f>B17/1000</f>
        <v>0</v>
      </c>
      <c r="E17" t="s">
        <v>408</v>
      </c>
      <c r="J17" s="234"/>
    </row>
    <row r="18" spans="1:10">
      <c r="A18" s="207"/>
      <c r="J18" s="234"/>
    </row>
    <row r="19" spans="1:10">
      <c r="A19" s="207"/>
      <c r="J19" s="234"/>
    </row>
    <row r="20" spans="1:10">
      <c r="A20" s="208" t="s">
        <v>15038</v>
      </c>
      <c r="B20" s="212">
        <f>H8*((D13/2)^2-(D14/2)^2)*D15*B16</f>
        <v>1.7153081400000001E-4</v>
      </c>
      <c r="C20" s="4963" t="s">
        <v>15039</v>
      </c>
      <c r="J20" s="234"/>
    </row>
    <row r="21" spans="1:10" ht="16.5">
      <c r="A21" s="213" t="s">
        <v>15040</v>
      </c>
      <c r="B21" s="214">
        <f>((H8/32)*B16*D15*(D13^4-D14^4)+B20*D17^2)*10000</f>
        <v>2.1441351749999999E-3</v>
      </c>
      <c r="C21" s="4963"/>
      <c r="D21" s="215">
        <f>B21/10000</f>
        <v>2.144135175E-7</v>
      </c>
      <c r="E21" s="215" t="s">
        <v>13624</v>
      </c>
      <c r="F21" s="215"/>
      <c r="G21" s="215"/>
      <c r="H21" s="215"/>
      <c r="I21" s="215"/>
      <c r="J21" s="235"/>
    </row>
    <row r="23" spans="1:10" ht="34.15" customHeight="1">
      <c r="A23" s="4963" t="s">
        <v>15041</v>
      </c>
      <c r="B23" s="4963"/>
      <c r="C23" s="4963"/>
      <c r="D23" s="4963"/>
      <c r="E23" s="4963"/>
      <c r="F23" s="4963"/>
      <c r="G23" s="4963"/>
      <c r="H23" s="4963"/>
      <c r="I23" s="4963"/>
      <c r="J23" s="4963"/>
    </row>
    <row r="24" spans="1:10" ht="15">
      <c r="A24" s="216" t="s">
        <v>15042</v>
      </c>
      <c r="B24" s="217">
        <v>200</v>
      </c>
      <c r="C24" s="6161" t="s">
        <v>12675</v>
      </c>
      <c r="D24">
        <f t="shared" ref="D24:D26" si="1">B24/1000</f>
        <v>0.2</v>
      </c>
      <c r="E24" t="s">
        <v>408</v>
      </c>
      <c r="J24" s="234"/>
    </row>
    <row r="25" spans="1:10" ht="15">
      <c r="A25" s="208" t="s">
        <v>15043</v>
      </c>
      <c r="B25" s="209">
        <v>100</v>
      </c>
      <c r="C25" s="6161"/>
      <c r="D25">
        <f t="shared" si="1"/>
        <v>0.1</v>
      </c>
      <c r="E25" t="s">
        <v>408</v>
      </c>
      <c r="J25" s="234"/>
    </row>
    <row r="26" spans="1:10">
      <c r="A26" s="210" t="s">
        <v>15044</v>
      </c>
      <c r="B26" s="209">
        <v>400</v>
      </c>
      <c r="C26" s="6161"/>
      <c r="D26">
        <f t="shared" si="1"/>
        <v>0.4</v>
      </c>
      <c r="E26" t="s">
        <v>408</v>
      </c>
      <c r="J26" s="234"/>
    </row>
    <row r="27" spans="1:10">
      <c r="A27" s="208" t="s">
        <v>15045</v>
      </c>
      <c r="B27" s="209">
        <v>7800</v>
      </c>
      <c r="C27" s="6161"/>
      <c r="J27" s="234"/>
    </row>
    <row r="28" spans="1:10" ht="24">
      <c r="A28" s="218" t="s">
        <v>15037</v>
      </c>
      <c r="B28" s="209">
        <v>100</v>
      </c>
      <c r="C28" s="6161"/>
      <c r="D28">
        <f>B28/1000</f>
        <v>0.1</v>
      </c>
      <c r="E28" t="s">
        <v>408</v>
      </c>
      <c r="J28" s="234"/>
    </row>
    <row r="29" spans="1:10">
      <c r="A29" s="207"/>
      <c r="J29" s="234"/>
    </row>
    <row r="30" spans="1:10">
      <c r="A30" s="207" t="s">
        <v>1695</v>
      </c>
      <c r="J30" s="234"/>
    </row>
    <row r="31" spans="1:10">
      <c r="A31" s="208" t="s">
        <v>15038</v>
      </c>
      <c r="B31" s="219">
        <f>H8*((D24/2)^2-(D25/2)^2)*D26*B27</f>
        <v>73.513205999999997</v>
      </c>
      <c r="C31" s="4963" t="s">
        <v>15039</v>
      </c>
      <c r="D31">
        <f>(B31*D28^2)</f>
        <v>0.73513205999999998</v>
      </c>
      <c r="J31" s="234"/>
    </row>
    <row r="32" spans="1:10" ht="16.5">
      <c r="A32" s="213" t="s">
        <v>15040</v>
      </c>
      <c r="B32" s="220">
        <f>((1/4)*B31*((D24^2+D25^2)/4+(D26^2/3))+(B31*D28^2))*10000</f>
        <v>19450.369087499999</v>
      </c>
      <c r="C32" s="4963"/>
      <c r="D32" s="215">
        <f>B32/10000</f>
        <v>1.9450369087499999</v>
      </c>
      <c r="E32" s="215" t="s">
        <v>13624</v>
      </c>
      <c r="F32" s="215"/>
      <c r="G32" s="215"/>
      <c r="H32" s="215"/>
      <c r="I32" s="215"/>
      <c r="J32" s="235"/>
    </row>
    <row r="34" spans="1:10" ht="28.9" customHeight="1">
      <c r="A34" s="4963" t="s">
        <v>15046</v>
      </c>
      <c r="B34" s="4963"/>
      <c r="C34" s="4963"/>
      <c r="D34" s="4963"/>
      <c r="E34" s="4963"/>
      <c r="F34" s="4963"/>
      <c r="G34" s="4963"/>
      <c r="H34" s="4963"/>
      <c r="I34" s="4963"/>
      <c r="J34" s="4963"/>
    </row>
    <row r="35" spans="1:10">
      <c r="A35" s="221" t="s">
        <v>15047</v>
      </c>
      <c r="B35" s="217">
        <v>50</v>
      </c>
      <c r="C35" s="6161" t="s">
        <v>12675</v>
      </c>
      <c r="D35">
        <f t="shared" ref="D35:D37" si="2">B35/1000</f>
        <v>0.05</v>
      </c>
      <c r="E35" t="s">
        <v>408</v>
      </c>
      <c r="J35" s="234"/>
    </row>
    <row r="36" spans="1:10">
      <c r="A36" s="222" t="s">
        <v>15048</v>
      </c>
      <c r="B36" s="209">
        <v>10</v>
      </c>
      <c r="C36" s="6161"/>
      <c r="D36">
        <f t="shared" si="2"/>
        <v>0.01</v>
      </c>
      <c r="E36" t="s">
        <v>408</v>
      </c>
      <c r="J36" s="234"/>
    </row>
    <row r="37" spans="1:10">
      <c r="A37" s="223" t="s">
        <v>15049</v>
      </c>
      <c r="B37" s="209">
        <v>1</v>
      </c>
      <c r="C37" s="6161"/>
      <c r="D37">
        <f t="shared" si="2"/>
        <v>1E-3</v>
      </c>
      <c r="E37" t="s">
        <v>408</v>
      </c>
      <c r="J37" s="234"/>
    </row>
    <row r="38" spans="1:10">
      <c r="A38" s="222" t="s">
        <v>15045</v>
      </c>
      <c r="B38" s="209">
        <v>7800</v>
      </c>
      <c r="C38" s="6161"/>
      <c r="J38" s="234"/>
    </row>
    <row r="39" spans="1:10" ht="24">
      <c r="A39" s="224" t="s">
        <v>15050</v>
      </c>
      <c r="B39" s="209">
        <v>10</v>
      </c>
      <c r="C39" s="6161"/>
      <c r="D39">
        <f>B39/1000</f>
        <v>0.01</v>
      </c>
      <c r="E39" t="s">
        <v>408</v>
      </c>
      <c r="J39" s="234"/>
    </row>
    <row r="40" spans="1:10">
      <c r="A40" s="207"/>
      <c r="J40" s="234"/>
    </row>
    <row r="41" spans="1:10">
      <c r="A41" s="207" t="s">
        <v>1695</v>
      </c>
      <c r="J41" s="234"/>
    </row>
    <row r="42" spans="1:10">
      <c r="A42" s="225" t="s">
        <v>15038</v>
      </c>
      <c r="B42" s="219">
        <f>D35*D36*D37*B38</f>
        <v>3.8999999999999998E-3</v>
      </c>
      <c r="C42" s="4963" t="s">
        <v>15039</v>
      </c>
      <c r="J42" s="234"/>
    </row>
    <row r="43" spans="1:10" ht="16.5">
      <c r="A43" s="226" t="s">
        <v>15040</v>
      </c>
      <c r="B43" s="219">
        <f>((1/12)*B42*(D35^2+D36^2)+B42*D39^2)*10000</f>
        <v>1.235E-2</v>
      </c>
      <c r="C43" s="4963"/>
      <c r="D43" s="215">
        <f>B43/10000</f>
        <v>1.235E-6</v>
      </c>
      <c r="E43" s="215" t="s">
        <v>13624</v>
      </c>
      <c r="F43" s="215"/>
      <c r="G43" s="215"/>
      <c r="H43" s="215"/>
      <c r="I43" s="215"/>
      <c r="J43" s="235"/>
    </row>
    <row r="45" spans="1:10" ht="30" customHeight="1">
      <c r="A45" s="4963" t="s">
        <v>15051</v>
      </c>
      <c r="B45" s="4963"/>
      <c r="C45" s="4963"/>
      <c r="D45" s="4963"/>
      <c r="E45" s="4963"/>
      <c r="F45" s="4963"/>
      <c r="G45" s="4963"/>
      <c r="H45" s="4963"/>
      <c r="I45" s="4963"/>
      <c r="J45" s="4963"/>
    </row>
    <row r="46" spans="1:10" ht="24" customHeight="1">
      <c r="A46" s="227" t="s">
        <v>15052</v>
      </c>
      <c r="B46" s="217">
        <v>600</v>
      </c>
      <c r="C46" s="6161" t="s">
        <v>12675</v>
      </c>
      <c r="D46">
        <f t="shared" ref="D46:D49" si="3">B46/1000</f>
        <v>0.6</v>
      </c>
      <c r="E46" t="s">
        <v>408</v>
      </c>
      <c r="J46" s="234"/>
    </row>
    <row r="47" spans="1:10" ht="27" customHeight="1">
      <c r="A47" s="228" t="s">
        <v>15053</v>
      </c>
      <c r="B47" s="209">
        <v>20</v>
      </c>
      <c r="C47" s="6161"/>
      <c r="D47">
        <f t="shared" si="3"/>
        <v>0.02</v>
      </c>
      <c r="E47" t="s">
        <v>408</v>
      </c>
      <c r="J47" s="234"/>
    </row>
    <row r="48" spans="1:10" ht="25.9" customHeight="1">
      <c r="A48" s="229" t="s">
        <v>15036</v>
      </c>
      <c r="B48" s="209">
        <v>7890</v>
      </c>
      <c r="C48" s="6161"/>
      <c r="J48" s="234"/>
    </row>
    <row r="49" spans="1:10" ht="24">
      <c r="A49" s="230" t="s">
        <v>15037</v>
      </c>
      <c r="B49" s="209">
        <v>0</v>
      </c>
      <c r="C49" s="6161"/>
      <c r="D49">
        <f t="shared" si="3"/>
        <v>0</v>
      </c>
      <c r="E49" t="s">
        <v>408</v>
      </c>
      <c r="J49" s="234"/>
    </row>
    <row r="50" spans="1:10">
      <c r="A50" s="207"/>
      <c r="J50" s="234"/>
    </row>
    <row r="51" spans="1:10">
      <c r="A51" s="207" t="s">
        <v>1695</v>
      </c>
      <c r="J51" s="234"/>
    </row>
    <row r="52" spans="1:10">
      <c r="A52" s="208" t="s">
        <v>15038</v>
      </c>
      <c r="B52" s="212">
        <f>H8*(D46/2)^2*D47*B48</f>
        <v>44.616861180000001</v>
      </c>
      <c r="C52" s="4963" t="s">
        <v>15039</v>
      </c>
      <c r="J52" s="234"/>
    </row>
    <row r="53" spans="1:10" ht="16.5">
      <c r="A53" s="213" t="s">
        <v>15040</v>
      </c>
      <c r="B53" s="220">
        <f>((1/8)*B52*D46^2+B52*D49^2)*10000</f>
        <v>20077.587531000001</v>
      </c>
      <c r="C53" s="4963"/>
      <c r="D53" s="215">
        <f>B53/10000</f>
        <v>2.0077587531000001</v>
      </c>
      <c r="E53" s="215" t="s">
        <v>13624</v>
      </c>
      <c r="F53" s="215"/>
      <c r="G53" s="215"/>
      <c r="H53" s="215"/>
      <c r="I53" s="215"/>
      <c r="J53" s="235"/>
    </row>
    <row r="55" spans="1:10" ht="31.9" customHeight="1">
      <c r="A55" s="4963" t="s">
        <v>15054</v>
      </c>
      <c r="B55" s="4963"/>
      <c r="C55" s="4963"/>
      <c r="D55" s="4963"/>
      <c r="E55" s="4963"/>
      <c r="F55" s="4963"/>
      <c r="G55" s="4963"/>
      <c r="H55" s="4963"/>
      <c r="I55" s="4963"/>
      <c r="J55" s="4963"/>
    </row>
    <row r="56" spans="1:10">
      <c r="A56" s="4963" t="s">
        <v>15055</v>
      </c>
      <c r="B56" s="4963">
        <v>0.1</v>
      </c>
      <c r="C56" s="6161" t="s">
        <v>10220</v>
      </c>
      <c r="J56" s="234"/>
    </row>
    <row r="57" spans="1:10" ht="21" customHeight="1">
      <c r="A57" s="4963"/>
      <c r="B57" s="4963"/>
      <c r="C57" s="6161"/>
      <c r="J57" s="234"/>
    </row>
    <row r="58" spans="1:10" ht="21" customHeight="1">
      <c r="A58" s="228" t="s">
        <v>15038</v>
      </c>
      <c r="B58" s="209">
        <v>100</v>
      </c>
      <c r="C58" s="6161"/>
      <c r="J58" s="234"/>
    </row>
    <row r="59" spans="1:10">
      <c r="A59" s="207"/>
      <c r="C59" s="231"/>
      <c r="J59" s="234"/>
    </row>
    <row r="60" spans="1:10" ht="16.5">
      <c r="A60" s="232" t="s">
        <v>15040</v>
      </c>
      <c r="B60" s="220">
        <f>(B58*(B56/(2*H8))^2)*10^4</f>
        <v>253.30338701810001</v>
      </c>
      <c r="C60" s="233" t="s">
        <v>15039</v>
      </c>
      <c r="D60" s="215">
        <f>B60/10^4</f>
        <v>2.533033870181E-2</v>
      </c>
      <c r="E60" s="215" t="s">
        <v>13624</v>
      </c>
      <c r="F60" s="215"/>
      <c r="G60" s="215"/>
      <c r="H60" s="215"/>
      <c r="I60" s="215"/>
      <c r="J60" s="235"/>
    </row>
    <row r="63" spans="1:10" ht="40.15" customHeight="1">
      <c r="A63" s="4963" t="s">
        <v>15056</v>
      </c>
      <c r="B63" s="4963"/>
      <c r="C63" s="4963"/>
      <c r="D63" s="4963"/>
      <c r="E63" s="4963"/>
      <c r="F63" s="4963"/>
      <c r="G63" s="4963"/>
      <c r="H63" s="4963"/>
      <c r="I63" s="4963"/>
      <c r="J63" s="4963"/>
    </row>
    <row r="64" spans="1:10" ht="16.5">
      <c r="A64" s="227" t="s">
        <v>15057</v>
      </c>
      <c r="B64" s="217">
        <v>10</v>
      </c>
      <c r="C64" s="6161" t="s">
        <v>10220</v>
      </c>
      <c r="D64">
        <f>B64/10000</f>
        <v>1E-3</v>
      </c>
      <c r="E64" t="s">
        <v>13624</v>
      </c>
      <c r="J64" s="234"/>
    </row>
    <row r="65" spans="1:10">
      <c r="A65" s="228" t="s">
        <v>15058</v>
      </c>
      <c r="B65" s="209">
        <v>20</v>
      </c>
      <c r="C65" s="6161"/>
      <c r="J65" s="234"/>
    </row>
    <row r="66" spans="1:10" ht="24">
      <c r="A66" s="236" t="s">
        <v>15037</v>
      </c>
      <c r="B66" s="209">
        <v>10</v>
      </c>
      <c r="C66" s="6161"/>
      <c r="D66">
        <f>B66/100</f>
        <v>0.1</v>
      </c>
      <c r="E66" t="s">
        <v>408</v>
      </c>
      <c r="J66" s="234"/>
    </row>
    <row r="67" spans="1:10" ht="31.9" customHeight="1">
      <c r="A67" s="207"/>
      <c r="J67" s="234"/>
    </row>
    <row r="68" spans="1:10">
      <c r="A68" s="207" t="s">
        <v>1695</v>
      </c>
      <c r="J68" s="234"/>
    </row>
    <row r="69" spans="1:10" ht="15">
      <c r="A69" s="208" t="s">
        <v>15059</v>
      </c>
      <c r="B69" s="219">
        <f>B65</f>
        <v>20</v>
      </c>
      <c r="C69" s="4963" t="s">
        <v>15039</v>
      </c>
      <c r="J69" s="234"/>
    </row>
    <row r="70" spans="1:10" ht="17.25">
      <c r="A70" s="213" t="s">
        <v>15060</v>
      </c>
      <c r="B70" s="220">
        <f>B64+B65*B66*B66/100</f>
        <v>30</v>
      </c>
      <c r="C70" s="4963"/>
      <c r="D70" s="215">
        <f>B70/10000</f>
        <v>3.0000000000000001E-3</v>
      </c>
      <c r="E70" s="215" t="s">
        <v>13624</v>
      </c>
      <c r="F70" s="215"/>
      <c r="G70" s="215"/>
      <c r="H70" s="215"/>
      <c r="I70" s="215"/>
      <c r="J70" s="235"/>
    </row>
  </sheetData>
  <mergeCells count="25">
    <mergeCell ref="A23:J23"/>
    <mergeCell ref="A34:J34"/>
    <mergeCell ref="A45:J45"/>
    <mergeCell ref="A55:J55"/>
    <mergeCell ref="B3:E3"/>
    <mergeCell ref="B4:E4"/>
    <mergeCell ref="B5:E5"/>
    <mergeCell ref="B6:E6"/>
    <mergeCell ref="A11:J11"/>
    <mergeCell ref="C64:C66"/>
    <mergeCell ref="C69:C70"/>
    <mergeCell ref="A1:J2"/>
    <mergeCell ref="A63:J63"/>
    <mergeCell ref="A56:A57"/>
    <mergeCell ref="B56:B57"/>
    <mergeCell ref="C13:C17"/>
    <mergeCell ref="C20:C21"/>
    <mergeCell ref="C24:C28"/>
    <mergeCell ref="C31:C32"/>
    <mergeCell ref="C35:C39"/>
    <mergeCell ref="C42:C43"/>
    <mergeCell ref="C46:C49"/>
    <mergeCell ref="C52:C53"/>
    <mergeCell ref="C56:C58"/>
    <mergeCell ref="D12:E12"/>
  </mergeCells>
  <phoneticPr fontId="214" type="noConversion"/>
  <pageMargins left="0.75" right="0.75" top="1" bottom="1" header="0.5" footer="0.5"/>
  <pageSetup paperSize="9" orientation="portrait" horizontalDpi="1200" verticalDpi="1200"/>
  <headerFooter alignWithMargins="0"/>
  <drawing r:id="rId1"/>
  <legacyDrawing r:id="rId2"/>
  <oleObjects>
    <mc:AlternateContent xmlns:mc="http://schemas.openxmlformats.org/markup-compatibility/2006">
      <mc:Choice Requires="x14">
        <oleObject progId="Equation.DSMT4" shapeId="1235969" r:id="rId3">
          <objectPr defaultSize="0" altText="" r:id="rId4">
            <anchor moveWithCells="1">
              <from>
                <xdr:col>4</xdr:col>
                <xdr:colOff>609600</xdr:colOff>
                <xdr:row>19</xdr:row>
                <xdr:rowOff>9525</xdr:rowOff>
              </from>
              <to>
                <xdr:col>9</xdr:col>
                <xdr:colOff>533400</xdr:colOff>
                <xdr:row>20</xdr:row>
                <xdr:rowOff>180975</xdr:rowOff>
              </to>
            </anchor>
          </objectPr>
        </oleObject>
      </mc:Choice>
      <mc:Fallback>
        <oleObject progId="Equation.DSMT4" shapeId="1235969" r:id="rId3"/>
      </mc:Fallback>
    </mc:AlternateContent>
    <mc:AlternateContent xmlns:mc="http://schemas.openxmlformats.org/markup-compatibility/2006">
      <mc:Choice Requires="x14">
        <oleObject progId="Equation.DSMT4" shapeId="1235970" r:id="rId5">
          <objectPr defaultSize="0" altText="" r:id="rId6">
            <anchor moveWithCells="1">
              <from>
                <xdr:col>6</xdr:col>
                <xdr:colOff>342900</xdr:colOff>
                <xdr:row>64</xdr:row>
                <xdr:rowOff>28575</xdr:rowOff>
              </from>
              <to>
                <xdr:col>7</xdr:col>
                <xdr:colOff>381000</xdr:colOff>
                <xdr:row>65</xdr:row>
                <xdr:rowOff>19050</xdr:rowOff>
              </to>
            </anchor>
          </objectPr>
        </oleObject>
      </mc:Choice>
      <mc:Fallback>
        <oleObject progId="Equation.DSMT4" shapeId="1235970" r:id="rId5"/>
      </mc:Fallback>
    </mc:AlternateContent>
    <mc:AlternateContent xmlns:mc="http://schemas.openxmlformats.org/markup-compatibility/2006">
      <mc:Choice Requires="x14">
        <oleObject progId="Equation.DSMT4" shapeId="1235971" r:id="rId7">
          <objectPr defaultSize="0" altText="" r:id="rId8">
            <anchor moveWithCells="1">
              <from>
                <xdr:col>5</xdr:col>
                <xdr:colOff>47625</xdr:colOff>
                <xdr:row>29</xdr:row>
                <xdr:rowOff>161925</xdr:rowOff>
              </from>
              <to>
                <xdr:col>8</xdr:col>
                <xdr:colOff>247650</xdr:colOff>
                <xdr:row>31</xdr:row>
                <xdr:rowOff>171450</xdr:rowOff>
              </to>
            </anchor>
          </objectPr>
        </oleObject>
      </mc:Choice>
      <mc:Fallback>
        <oleObject progId="Equation.DSMT4" shapeId="1235971" r:id="rId7"/>
      </mc:Fallback>
    </mc:AlternateContent>
    <mc:AlternateContent xmlns:mc="http://schemas.openxmlformats.org/markup-compatibility/2006">
      <mc:Choice Requires="x14">
        <oleObject progId="Equation.DSMT4" shapeId="1235972" r:id="rId9">
          <objectPr defaultSize="0" altText="" r:id="rId10">
            <anchor moveWithCells="1">
              <from>
                <xdr:col>5</xdr:col>
                <xdr:colOff>457200</xdr:colOff>
                <xdr:row>50</xdr:row>
                <xdr:rowOff>152400</xdr:rowOff>
              </from>
              <to>
                <xdr:col>7</xdr:col>
                <xdr:colOff>638175</xdr:colOff>
                <xdr:row>52</xdr:row>
                <xdr:rowOff>133350</xdr:rowOff>
              </to>
            </anchor>
          </objectPr>
        </oleObject>
      </mc:Choice>
      <mc:Fallback>
        <oleObject progId="Equation.DSMT4" shapeId="1235972" r:id="rId9"/>
      </mc:Fallback>
    </mc:AlternateContent>
    <mc:AlternateContent xmlns:mc="http://schemas.openxmlformats.org/markup-compatibility/2006">
      <mc:Choice Requires="x14">
        <oleObject progId="Equation.DSMT4" shapeId="1235973" r:id="rId11">
          <objectPr defaultSize="0" altText="" r:id="rId12">
            <anchor moveWithCells="1">
              <from>
                <xdr:col>5</xdr:col>
                <xdr:colOff>438150</xdr:colOff>
                <xdr:row>41</xdr:row>
                <xdr:rowOff>19050</xdr:rowOff>
              </from>
              <to>
                <xdr:col>8</xdr:col>
                <xdr:colOff>333375</xdr:colOff>
                <xdr:row>42</xdr:row>
                <xdr:rowOff>171450</xdr:rowOff>
              </to>
            </anchor>
          </objectPr>
        </oleObject>
      </mc:Choice>
      <mc:Fallback>
        <oleObject progId="Equation.DSMT4" shapeId="1235973" r:id="rId11"/>
      </mc:Fallback>
    </mc:AlternateContent>
    <mc:AlternateContent xmlns:mc="http://schemas.openxmlformats.org/markup-compatibility/2006">
      <mc:Choice Requires="x14">
        <oleObject progId="Equation.DSMT4" shapeId="1235974" r:id="rId13">
          <objectPr defaultSize="0" altText="" r:id="rId14">
            <anchor moveWithCells="1">
              <from>
                <xdr:col>5</xdr:col>
                <xdr:colOff>142875</xdr:colOff>
                <xdr:row>57</xdr:row>
                <xdr:rowOff>190500</xdr:rowOff>
              </from>
              <to>
                <xdr:col>6</xdr:col>
                <xdr:colOff>295275</xdr:colOff>
                <xdr:row>59</xdr:row>
                <xdr:rowOff>95250</xdr:rowOff>
              </to>
            </anchor>
          </objectPr>
        </oleObject>
      </mc:Choice>
      <mc:Fallback>
        <oleObject progId="Equation.DSMT4" shapeId="1235974" r:id="rId13"/>
      </mc:Fallback>
    </mc:AlternateContent>
    <mc:AlternateContent xmlns:mc="http://schemas.openxmlformats.org/markup-compatibility/2006">
      <mc:Choice Requires="x14">
        <oleObject progId="Equation.DSMT4" shapeId="1235975" r:id="rId15">
          <objectPr defaultSize="0" altText="" r:id="rId16">
            <anchor moveWithCells="1">
              <from>
                <xdr:col>0</xdr:col>
                <xdr:colOff>76200</xdr:colOff>
                <xdr:row>66</xdr:row>
                <xdr:rowOff>9525</xdr:rowOff>
              </from>
              <to>
                <xdr:col>3</xdr:col>
                <xdr:colOff>552450</xdr:colOff>
                <xdr:row>66</xdr:row>
                <xdr:rowOff>381000</xdr:rowOff>
              </to>
            </anchor>
          </objectPr>
        </oleObject>
      </mc:Choice>
      <mc:Fallback>
        <oleObject progId="Equation.DSMT4" shapeId="1235975" r:id="rId15"/>
      </mc:Fallback>
    </mc:AlternateContent>
  </oleObjects>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75"/>
  <dimension ref="A1:O71"/>
  <sheetViews>
    <sheetView workbookViewId="0">
      <selection sqref="A1:L1"/>
    </sheetView>
  </sheetViews>
  <sheetFormatPr defaultColWidth="9" defaultRowHeight="14.25"/>
  <cols>
    <col min="1" max="2" width="9" style="36"/>
    <col min="3" max="3" width="11.25" style="36" customWidth="1"/>
    <col min="4" max="4" width="9" style="36"/>
    <col min="5" max="5" width="15.875" style="36"/>
    <col min="6" max="16384" width="9" style="36"/>
  </cols>
  <sheetData>
    <row r="1" spans="1:15" ht="40.9" customHeight="1">
      <c r="A1" s="6164" t="s">
        <v>15061</v>
      </c>
      <c r="B1" s="6164"/>
      <c r="C1" s="6164"/>
      <c r="D1" s="6164"/>
      <c r="E1" s="6164"/>
      <c r="F1" s="6164"/>
      <c r="G1" s="6164"/>
      <c r="H1" s="6164"/>
      <c r="I1" s="6164"/>
      <c r="J1" s="6164"/>
      <c r="K1" s="6164"/>
      <c r="L1" s="6164"/>
    </row>
    <row r="2" spans="1:15" ht="9" customHeight="1">
      <c r="A2" s="144"/>
      <c r="B2" s="4"/>
      <c r="C2" s="4"/>
      <c r="D2" s="4"/>
      <c r="E2" s="4"/>
      <c r="F2" s="4"/>
      <c r="G2" s="4"/>
      <c r="H2" s="4"/>
      <c r="I2" s="4"/>
      <c r="J2" s="4"/>
      <c r="K2" s="4"/>
      <c r="L2" s="4"/>
    </row>
    <row r="3" spans="1:15" ht="25.9" customHeight="1">
      <c r="A3" s="6163" t="s">
        <v>15062</v>
      </c>
      <c r="B3" s="145" t="s">
        <v>15063</v>
      </c>
      <c r="C3" s="145"/>
      <c r="D3" s="146" t="s">
        <v>15064</v>
      </c>
      <c r="E3" s="147">
        <v>0</v>
      </c>
      <c r="F3" s="148" t="s">
        <v>1075</v>
      </c>
      <c r="G3" s="6163" t="s">
        <v>12675</v>
      </c>
      <c r="H3" s="149"/>
      <c r="I3" s="186" t="s">
        <v>15065</v>
      </c>
      <c r="J3" s="187">
        <v>9.8000000000000007</v>
      </c>
      <c r="K3" s="36" t="s">
        <v>2135</v>
      </c>
    </row>
    <row r="4" spans="1:15" ht="18" customHeight="1">
      <c r="A4" s="6163"/>
      <c r="B4" s="145" t="s">
        <v>15066</v>
      </c>
      <c r="C4" s="145"/>
      <c r="D4" s="146" t="s">
        <v>2390</v>
      </c>
      <c r="E4" s="147">
        <v>0.05</v>
      </c>
      <c r="F4" s="148"/>
      <c r="G4" s="6163"/>
      <c r="H4" s="149"/>
      <c r="I4" s="186" t="s">
        <v>15067</v>
      </c>
      <c r="J4" s="187">
        <v>3.1415999999999999</v>
      </c>
    </row>
    <row r="5" spans="1:15" ht="15.75">
      <c r="A5" s="6163"/>
      <c r="B5" s="6163" t="s">
        <v>15068</v>
      </c>
      <c r="C5" s="6163"/>
      <c r="D5" s="146" t="s">
        <v>13484</v>
      </c>
      <c r="E5" s="147">
        <v>0.05</v>
      </c>
      <c r="F5" s="148" t="s">
        <v>408</v>
      </c>
      <c r="G5" s="6163"/>
      <c r="H5" s="6163"/>
      <c r="I5" s="6163"/>
    </row>
    <row r="6" spans="1:15" ht="18.75">
      <c r="A6" s="6163"/>
      <c r="B6" s="6163" t="s">
        <v>15069</v>
      </c>
      <c r="C6" s="6163"/>
      <c r="D6" s="146" t="s">
        <v>15070</v>
      </c>
      <c r="E6" s="147">
        <v>1E-3</v>
      </c>
      <c r="F6" s="148" t="s">
        <v>1075</v>
      </c>
      <c r="G6" s="6163"/>
      <c r="H6" s="150"/>
      <c r="I6" s="150"/>
    </row>
    <row r="7" spans="1:15" ht="19.149999999999999" customHeight="1">
      <c r="A7" s="6163"/>
      <c r="B7" s="145" t="s">
        <v>15071</v>
      </c>
      <c r="C7" s="145"/>
      <c r="D7" s="146" t="s">
        <v>15072</v>
      </c>
      <c r="E7" s="147">
        <v>1</v>
      </c>
      <c r="F7" s="145"/>
      <c r="G7" s="6163"/>
    </row>
    <row r="8" spans="1:15" ht="15.75">
      <c r="A8" s="6163"/>
      <c r="B8" s="145" t="s">
        <v>15073</v>
      </c>
      <c r="C8" s="145"/>
      <c r="D8" s="146" t="s">
        <v>15074</v>
      </c>
      <c r="E8" s="151">
        <v>1</v>
      </c>
      <c r="F8" s="145"/>
      <c r="G8" s="6163"/>
    </row>
    <row r="9" spans="1:15" ht="15.75">
      <c r="A9" s="6163"/>
      <c r="B9" s="145" t="s">
        <v>5780</v>
      </c>
      <c r="C9" s="145"/>
      <c r="D9" s="146" t="s">
        <v>9919</v>
      </c>
      <c r="E9" s="147">
        <v>5</v>
      </c>
      <c r="F9" s="148"/>
      <c r="G9" s="6163"/>
    </row>
    <row r="10" spans="1:15" ht="18.75">
      <c r="A10" s="6163"/>
      <c r="B10" s="145" t="s">
        <v>15075</v>
      </c>
      <c r="C10" s="145"/>
      <c r="D10" s="152" t="s">
        <v>9905</v>
      </c>
      <c r="E10" s="153">
        <v>20</v>
      </c>
      <c r="F10" s="145" t="s">
        <v>2685</v>
      </c>
      <c r="G10" s="6163"/>
      <c r="M10" s="6163"/>
      <c r="N10" s="6163"/>
      <c r="O10" s="6163"/>
    </row>
    <row r="11" spans="1:15" ht="18.75">
      <c r="A11" s="6163"/>
      <c r="B11" s="145" t="s">
        <v>15076</v>
      </c>
      <c r="C11" s="145"/>
      <c r="D11" s="152" t="s">
        <v>2121</v>
      </c>
      <c r="E11" s="153">
        <v>1</v>
      </c>
      <c r="F11" s="148" t="s">
        <v>408</v>
      </c>
      <c r="G11" s="6163"/>
      <c r="M11" s="6163"/>
      <c r="N11" s="6163"/>
      <c r="O11" s="6163"/>
    </row>
    <row r="12" spans="1:15" ht="18.75">
      <c r="A12" s="6163"/>
      <c r="B12" s="145" t="s">
        <v>15077</v>
      </c>
      <c r="C12" s="145"/>
      <c r="D12" s="152" t="s">
        <v>2252</v>
      </c>
      <c r="E12" s="154">
        <v>1.4999999999999999E-2</v>
      </c>
      <c r="F12" s="145"/>
      <c r="G12" s="6163"/>
      <c r="M12" s="6163"/>
      <c r="N12" s="6163"/>
      <c r="O12" s="6163"/>
    </row>
    <row r="13" spans="1:15" ht="20.25">
      <c r="A13" s="6163"/>
      <c r="B13" s="145" t="s">
        <v>10177</v>
      </c>
      <c r="C13" s="145"/>
      <c r="D13" s="152" t="s">
        <v>15078</v>
      </c>
      <c r="E13" s="153">
        <v>0</v>
      </c>
      <c r="F13" s="145" t="s">
        <v>464</v>
      </c>
      <c r="G13" s="6163"/>
      <c r="M13" s="6163"/>
      <c r="N13" s="6163"/>
      <c r="O13" s="6163"/>
    </row>
    <row r="14" spans="1:15" ht="18.75">
      <c r="A14" s="6163"/>
      <c r="B14" s="145" t="s">
        <v>15079</v>
      </c>
      <c r="C14" s="145"/>
      <c r="D14" s="152" t="s">
        <v>15080</v>
      </c>
      <c r="E14" s="155">
        <v>0</v>
      </c>
      <c r="F14" s="145" t="s">
        <v>13007</v>
      </c>
      <c r="G14" s="6163"/>
      <c r="M14" s="6163"/>
      <c r="N14" s="6163"/>
      <c r="O14" s="6163"/>
    </row>
    <row r="15" spans="1:15" ht="18.75">
      <c r="B15" s="156"/>
      <c r="C15" s="156"/>
      <c r="D15" s="157"/>
      <c r="E15" s="158"/>
      <c r="F15" s="156"/>
      <c r="M15" s="6163"/>
      <c r="N15" s="6163"/>
      <c r="O15" s="6163"/>
    </row>
    <row r="16" spans="1:15">
      <c r="A16" s="6163" t="s">
        <v>15081</v>
      </c>
      <c r="B16" s="159"/>
      <c r="C16" s="159"/>
      <c r="D16" s="159"/>
      <c r="E16" s="159"/>
      <c r="F16" s="160"/>
      <c r="G16" s="160"/>
      <c r="H16" s="160"/>
      <c r="I16" s="160"/>
      <c r="J16" s="160"/>
      <c r="K16" s="181"/>
      <c r="M16" s="6163"/>
      <c r="N16" s="6163"/>
      <c r="O16" s="6163"/>
    </row>
    <row r="17" spans="1:15" ht="15.75">
      <c r="A17" s="6163"/>
      <c r="B17" s="6163" t="s">
        <v>9936</v>
      </c>
      <c r="C17" s="6163"/>
      <c r="D17" s="161" t="s">
        <v>15082</v>
      </c>
      <c r="E17" s="162" t="s">
        <v>15083</v>
      </c>
      <c r="F17" s="163"/>
      <c r="G17" s="36" t="s">
        <v>3205</v>
      </c>
      <c r="K17" s="182"/>
      <c r="M17" s="6163"/>
      <c r="N17" s="6163"/>
      <c r="O17" s="6163"/>
    </row>
    <row r="18" spans="1:15">
      <c r="A18" s="6163"/>
      <c r="B18" s="164"/>
      <c r="C18" s="164"/>
      <c r="D18" s="165" t="s">
        <v>1968</v>
      </c>
      <c r="E18" s="166">
        <f>E10*E12</f>
        <v>0.3</v>
      </c>
      <c r="F18" s="167" t="s">
        <v>2685</v>
      </c>
      <c r="G18" s="167"/>
      <c r="H18" s="167"/>
      <c r="I18" s="167"/>
      <c r="J18" s="167"/>
      <c r="K18" s="183"/>
      <c r="M18" s="6163"/>
      <c r="N18" s="6163"/>
      <c r="O18" s="6163"/>
    </row>
    <row r="19" spans="1:15">
      <c r="A19" s="168"/>
      <c r="B19" s="169"/>
      <c r="C19" s="169"/>
      <c r="D19" s="169"/>
      <c r="E19" s="169"/>
      <c r="M19" s="6163"/>
      <c r="N19" s="6163"/>
      <c r="O19" s="6163"/>
    </row>
    <row r="20" spans="1:15" ht="18.75">
      <c r="A20" s="6163" t="s">
        <v>15084</v>
      </c>
      <c r="B20" s="169" t="s">
        <v>15085</v>
      </c>
      <c r="C20" s="169"/>
      <c r="D20" s="161" t="s">
        <v>15086</v>
      </c>
      <c r="E20" s="170">
        <f>2*(E11/E5)/(E18*(E10-E18))</f>
        <v>6.7681895093062598</v>
      </c>
      <c r="F20" s="36" t="s">
        <v>15087</v>
      </c>
      <c r="H20" s="171"/>
      <c r="I20" s="180"/>
      <c r="J20" s="180"/>
      <c r="K20" s="188"/>
      <c r="M20" s="6163"/>
      <c r="N20" s="6163"/>
      <c r="O20" s="6163"/>
    </row>
    <row r="21" spans="1:15" ht="15.75">
      <c r="A21" s="6163"/>
      <c r="B21" s="169"/>
      <c r="C21" s="169"/>
      <c r="D21" s="161"/>
      <c r="E21" s="172"/>
      <c r="F21" s="163"/>
      <c r="K21" s="182"/>
      <c r="M21" s="6163"/>
      <c r="N21" s="6163"/>
      <c r="O21" s="6163"/>
    </row>
    <row r="22" spans="1:15">
      <c r="A22" s="6163"/>
      <c r="B22" s="169" t="s">
        <v>15088</v>
      </c>
      <c r="C22" s="169"/>
      <c r="D22" s="161" t="s">
        <v>15089</v>
      </c>
      <c r="E22" s="173">
        <f>(E20*E18/(2*J4))*60</f>
        <v>19.3893893505718</v>
      </c>
      <c r="F22" s="36" t="s">
        <v>227</v>
      </c>
      <c r="K22" s="182"/>
    </row>
    <row r="23" spans="1:15">
      <c r="A23" s="6163"/>
      <c r="C23" s="6163"/>
      <c r="D23" s="6163"/>
      <c r="K23" s="182"/>
    </row>
    <row r="24" spans="1:15" ht="18.75">
      <c r="A24" s="6163"/>
      <c r="B24" s="36" t="s">
        <v>15090</v>
      </c>
      <c r="D24" s="174" t="s">
        <v>15091</v>
      </c>
      <c r="E24" s="36" t="s">
        <v>15092</v>
      </c>
      <c r="K24" s="182"/>
    </row>
    <row r="25" spans="1:15" ht="16.5">
      <c r="A25" s="6163"/>
      <c r="D25" s="174" t="s">
        <v>1968</v>
      </c>
      <c r="E25" s="175">
        <f>E9*E20</f>
        <v>33.840947546531297</v>
      </c>
      <c r="F25" s="36" t="s">
        <v>15087</v>
      </c>
      <c r="K25" s="182"/>
    </row>
    <row r="26" spans="1:15">
      <c r="A26" s="6163"/>
      <c r="K26" s="182"/>
    </row>
    <row r="27" spans="1:15" ht="18.75">
      <c r="A27" s="6163"/>
      <c r="B27" s="36" t="s">
        <v>15093</v>
      </c>
      <c r="D27" s="174" t="s">
        <v>15094</v>
      </c>
      <c r="E27" s="36" t="s">
        <v>15095</v>
      </c>
      <c r="K27" s="182"/>
    </row>
    <row r="28" spans="1:15">
      <c r="A28" s="6163"/>
      <c r="B28" s="167"/>
      <c r="C28" s="167"/>
      <c r="D28" s="176" t="s">
        <v>1968</v>
      </c>
      <c r="E28" s="177">
        <f>E22*E9</f>
        <v>96.946946752859006</v>
      </c>
      <c r="F28" s="167" t="s">
        <v>227</v>
      </c>
      <c r="G28" s="167"/>
      <c r="H28" s="167"/>
      <c r="I28" s="167"/>
      <c r="J28" s="167"/>
      <c r="K28" s="183"/>
    </row>
    <row r="30" spans="1:15">
      <c r="A30" s="178"/>
    </row>
    <row r="31" spans="1:15">
      <c r="A31" s="178"/>
    </row>
    <row r="32" spans="1:15" ht="25.15" customHeight="1">
      <c r="A32" s="6163" t="s">
        <v>15096</v>
      </c>
      <c r="B32" s="160" t="s">
        <v>15097</v>
      </c>
      <c r="C32" s="160"/>
      <c r="D32" s="179" t="s">
        <v>9931</v>
      </c>
      <c r="E32" s="160"/>
      <c r="F32" s="160"/>
      <c r="G32" s="160"/>
      <c r="H32" s="160"/>
      <c r="I32" s="160"/>
      <c r="J32" s="160"/>
      <c r="K32" s="181"/>
    </row>
    <row r="33" spans="1:11">
      <c r="A33" s="6163"/>
      <c r="D33" s="174" t="s">
        <v>1968</v>
      </c>
      <c r="E33" s="175">
        <f>E13+E3*J3*(SIN((E14/360)*2*J4)+E4*COS((E14/360)*2*J4))</f>
        <v>0</v>
      </c>
      <c r="F33" s="36" t="s">
        <v>464</v>
      </c>
      <c r="K33" s="182"/>
    </row>
    <row r="34" spans="1:11">
      <c r="A34" s="6163"/>
      <c r="D34" s="174"/>
      <c r="K34" s="182"/>
    </row>
    <row r="35" spans="1:11" ht="18.75">
      <c r="A35" s="6163"/>
      <c r="B35" s="36" t="s">
        <v>15098</v>
      </c>
      <c r="D35" s="174" t="s">
        <v>15099</v>
      </c>
      <c r="K35" s="182"/>
    </row>
    <row r="36" spans="1:11">
      <c r="A36" s="6163"/>
      <c r="K36" s="182"/>
    </row>
    <row r="37" spans="1:11">
      <c r="A37" s="6163"/>
      <c r="D37" s="174" t="s">
        <v>1968</v>
      </c>
      <c r="E37" s="175">
        <f>(E33*E5)/(2*E7)</f>
        <v>0</v>
      </c>
      <c r="F37" s="36" t="s">
        <v>15100</v>
      </c>
      <c r="K37" s="182"/>
    </row>
    <row r="38" spans="1:11">
      <c r="A38" s="6163"/>
      <c r="K38" s="182"/>
    </row>
    <row r="39" spans="1:11" ht="18.75">
      <c r="A39" s="6163"/>
      <c r="B39" s="36" t="s">
        <v>15101</v>
      </c>
      <c r="D39" s="174" t="s">
        <v>15102</v>
      </c>
      <c r="K39" s="182"/>
    </row>
    <row r="40" spans="1:11" ht="18" customHeight="1">
      <c r="A40" s="6163"/>
      <c r="K40" s="182"/>
    </row>
    <row r="41" spans="1:11">
      <c r="A41" s="6163"/>
      <c r="B41" s="167"/>
      <c r="C41" s="167"/>
      <c r="D41" s="176" t="s">
        <v>1968</v>
      </c>
      <c r="E41" s="177">
        <f>E37/(E9*E8)</f>
        <v>0</v>
      </c>
      <c r="F41" s="167" t="s">
        <v>15100</v>
      </c>
      <c r="G41" s="167"/>
      <c r="H41" s="167"/>
      <c r="I41" s="167"/>
      <c r="J41" s="167"/>
      <c r="K41" s="183"/>
    </row>
    <row r="43" spans="1:11">
      <c r="A43" s="6163" t="s">
        <v>15103</v>
      </c>
      <c r="B43" s="180"/>
      <c r="C43" s="180"/>
      <c r="D43" s="180"/>
      <c r="E43" s="180"/>
      <c r="F43" s="180"/>
      <c r="G43" s="180"/>
      <c r="H43" s="180"/>
      <c r="I43" s="180"/>
      <c r="J43" s="180"/>
      <c r="K43" s="188"/>
    </row>
    <row r="44" spans="1:11" ht="18.75">
      <c r="A44" s="6163"/>
      <c r="B44" s="6163" t="s">
        <v>15104</v>
      </c>
      <c r="C44" s="6163"/>
      <c r="D44" s="179" t="s">
        <v>15105</v>
      </c>
      <c r="E44" s="160"/>
      <c r="F44" s="181"/>
      <c r="K44" s="182"/>
    </row>
    <row r="45" spans="1:11">
      <c r="A45" s="6163"/>
      <c r="B45" s="6163"/>
      <c r="C45" s="6163"/>
      <c r="F45" s="182"/>
      <c r="K45" s="182"/>
    </row>
    <row r="46" spans="1:11">
      <c r="A46" s="6163"/>
      <c r="B46" s="6163"/>
      <c r="C46" s="6163"/>
      <c r="F46" s="182"/>
      <c r="K46" s="182"/>
    </row>
    <row r="47" spans="1:11">
      <c r="A47" s="6163"/>
      <c r="B47" s="6163"/>
      <c r="C47" s="6163"/>
      <c r="D47" s="174" t="s">
        <v>1968</v>
      </c>
      <c r="F47" s="182"/>
      <c r="K47" s="182"/>
    </row>
    <row r="48" spans="1:11">
      <c r="A48" s="6163"/>
      <c r="B48" s="6163"/>
      <c r="C48" s="6163"/>
      <c r="F48" s="182"/>
      <c r="K48" s="182"/>
    </row>
    <row r="49" spans="1:11" ht="16.5">
      <c r="A49" s="6163"/>
      <c r="B49" s="6163"/>
      <c r="C49" s="6163"/>
      <c r="D49" s="176" t="s">
        <v>1968</v>
      </c>
      <c r="E49" s="177">
        <f>E3*(E5/2)^2</f>
        <v>0</v>
      </c>
      <c r="F49" s="183" t="s">
        <v>15106</v>
      </c>
      <c r="K49" s="182"/>
    </row>
    <row r="50" spans="1:11">
      <c r="A50" s="6163"/>
      <c r="K50" s="182"/>
    </row>
    <row r="51" spans="1:11" ht="18.75">
      <c r="A51" s="6163"/>
      <c r="B51" s="6163" t="s">
        <v>15107</v>
      </c>
      <c r="C51" s="6163"/>
      <c r="D51" s="179" t="s">
        <v>15108</v>
      </c>
      <c r="E51" s="160"/>
      <c r="F51" s="181"/>
      <c r="K51" s="182"/>
    </row>
    <row r="52" spans="1:11" ht="18" customHeight="1">
      <c r="A52" s="6163"/>
      <c r="B52" s="6163"/>
      <c r="C52" s="6163"/>
      <c r="F52" s="182"/>
      <c r="K52" s="182"/>
    </row>
    <row r="53" spans="1:11" ht="18">
      <c r="A53" s="6163"/>
      <c r="B53" s="6163"/>
      <c r="C53" s="6163"/>
      <c r="D53" s="176" t="s">
        <v>1968</v>
      </c>
      <c r="E53" s="177">
        <f>(E6*E5^2)/8</f>
        <v>3.1250000000000003E-7</v>
      </c>
      <c r="F53" s="183" t="s">
        <v>15106</v>
      </c>
      <c r="I53" s="163"/>
      <c r="J53" s="189"/>
      <c r="K53" s="182"/>
    </row>
    <row r="54" spans="1:11">
      <c r="A54" s="6163"/>
      <c r="J54" s="189"/>
      <c r="K54" s="182"/>
    </row>
    <row r="55" spans="1:11" ht="18.75">
      <c r="A55" s="6163"/>
      <c r="B55" s="6163" t="s">
        <v>15109</v>
      </c>
      <c r="C55" s="6163"/>
      <c r="D55" s="6163"/>
      <c r="E55" s="174" t="s">
        <v>15110</v>
      </c>
      <c r="K55" s="182"/>
    </row>
    <row r="56" spans="1:11" ht="19.5">
      <c r="A56" s="6163"/>
      <c r="D56" s="174" t="s">
        <v>1968</v>
      </c>
      <c r="E56" s="175">
        <f>E49+2*E53</f>
        <v>6.2500000000000005E-7</v>
      </c>
      <c r="F56" s="36" t="s">
        <v>15106</v>
      </c>
      <c r="H56" s="36" t="s">
        <v>15111</v>
      </c>
      <c r="I56" s="163" t="s">
        <v>15112</v>
      </c>
      <c r="J56" s="175">
        <v>4.7499999999999999E-3</v>
      </c>
      <c r="K56" s="182" t="s">
        <v>15106</v>
      </c>
    </row>
    <row r="57" spans="1:11">
      <c r="A57" s="6163"/>
      <c r="K57" s="182"/>
    </row>
    <row r="58" spans="1:11">
      <c r="A58" s="6163"/>
      <c r="B58" s="36" t="s">
        <v>15113</v>
      </c>
      <c r="D58" s="174" t="s">
        <v>15114</v>
      </c>
      <c r="K58" s="182"/>
    </row>
    <row r="59" spans="1:11">
      <c r="A59" s="6163"/>
      <c r="K59" s="182"/>
    </row>
    <row r="60" spans="1:11" ht="16.5">
      <c r="A60" s="6163"/>
      <c r="D60" s="174" t="s">
        <v>1968</v>
      </c>
      <c r="E60" s="175">
        <f>E56/(E9^2)+J56</f>
        <v>4.7500249999999997E-3</v>
      </c>
      <c r="F60" s="36" t="s">
        <v>15106</v>
      </c>
      <c r="K60" s="182"/>
    </row>
    <row r="61" spans="1:11" ht="33.75" customHeight="1">
      <c r="A61" s="6163"/>
      <c r="B61" s="36" t="s">
        <v>15115</v>
      </c>
      <c r="D61" s="184" t="s">
        <v>15116</v>
      </c>
      <c r="K61" s="182"/>
    </row>
    <row r="62" spans="1:11">
      <c r="A62" s="6163"/>
      <c r="B62" s="167"/>
      <c r="C62" s="167"/>
      <c r="D62" s="176" t="s">
        <v>1968</v>
      </c>
      <c r="E62" s="177">
        <f>E60*E25/E8</f>
        <v>0.16074534686971201</v>
      </c>
      <c r="F62" s="167" t="s">
        <v>15100</v>
      </c>
      <c r="G62" s="167"/>
      <c r="H62" s="167"/>
      <c r="I62" s="167"/>
      <c r="J62" s="167"/>
      <c r="K62" s="183"/>
    </row>
    <row r="63" spans="1:11">
      <c r="A63" s="185"/>
      <c r="D63" s="174"/>
      <c r="E63" s="156"/>
    </row>
    <row r="64" spans="1:11">
      <c r="A64" s="6163" t="s">
        <v>15117</v>
      </c>
      <c r="B64" s="180"/>
      <c r="C64" s="180"/>
      <c r="D64" s="180"/>
      <c r="E64" s="180"/>
      <c r="F64" s="180"/>
      <c r="G64" s="180"/>
      <c r="H64" s="180"/>
      <c r="I64" s="180"/>
      <c r="J64" s="180"/>
      <c r="K64" s="188"/>
    </row>
    <row r="65" spans="1:11" ht="21.75">
      <c r="A65" s="6163"/>
      <c r="B65" s="36" t="s">
        <v>15118</v>
      </c>
      <c r="D65" s="190" t="s">
        <v>15119</v>
      </c>
      <c r="E65" s="191" t="s">
        <v>15120</v>
      </c>
      <c r="H65" s="36" t="s">
        <v>5888</v>
      </c>
      <c r="I65" s="163" t="s">
        <v>2148</v>
      </c>
      <c r="J65" s="192">
        <v>5</v>
      </c>
      <c r="K65" s="182"/>
    </row>
    <row r="66" spans="1:11">
      <c r="A66" s="6163"/>
      <c r="B66" s="167"/>
      <c r="C66" s="167"/>
      <c r="D66" s="176" t="s">
        <v>1968</v>
      </c>
      <c r="E66" s="177">
        <f>(E41+E62)*J65</f>
        <v>0.80372673434856201</v>
      </c>
      <c r="F66" s="167" t="s">
        <v>15100</v>
      </c>
      <c r="G66" s="167"/>
      <c r="H66" s="167"/>
      <c r="I66" s="167"/>
      <c r="J66" s="167"/>
      <c r="K66" s="183"/>
    </row>
    <row r="68" spans="1:11">
      <c r="A68" s="6163" t="s">
        <v>15121</v>
      </c>
      <c r="B68" s="180"/>
      <c r="C68" s="180"/>
      <c r="D68" s="180"/>
      <c r="E68" s="180"/>
      <c r="F68" s="180"/>
      <c r="G68" s="180"/>
      <c r="H68" s="180"/>
      <c r="I68" s="180"/>
      <c r="J68" s="180"/>
      <c r="K68" s="188"/>
    </row>
    <row r="69" spans="1:11">
      <c r="A69" s="6163"/>
      <c r="B69" s="36" t="s">
        <v>10195</v>
      </c>
      <c r="D69" s="174" t="s">
        <v>15122</v>
      </c>
      <c r="K69" s="182"/>
    </row>
    <row r="70" spans="1:11">
      <c r="A70" s="6163"/>
      <c r="K70" s="182"/>
    </row>
    <row r="71" spans="1:11">
      <c r="A71" s="6163"/>
      <c r="B71" s="167"/>
      <c r="C71" s="167"/>
      <c r="D71" s="176" t="s">
        <v>1968</v>
      </c>
      <c r="E71" s="177">
        <f>(E56/(E9^2))/J56</f>
        <v>5.2631578947368397E-6</v>
      </c>
      <c r="F71" s="167"/>
      <c r="G71" s="167"/>
      <c r="H71" s="167"/>
      <c r="I71" s="167"/>
      <c r="J71" s="167"/>
      <c r="K71" s="183"/>
    </row>
  </sheetData>
  <mergeCells count="18">
    <mergeCell ref="A1:L1"/>
    <mergeCell ref="B5:C5"/>
    <mergeCell ref="H5:I5"/>
    <mergeCell ref="B6:C6"/>
    <mergeCell ref="B17:C17"/>
    <mergeCell ref="A64:A66"/>
    <mergeCell ref="A68:A71"/>
    <mergeCell ref="G3:G14"/>
    <mergeCell ref="M10:O21"/>
    <mergeCell ref="B44:C49"/>
    <mergeCell ref="B51:C53"/>
    <mergeCell ref="C23:D23"/>
    <mergeCell ref="B55:D55"/>
    <mergeCell ref="A3:A14"/>
    <mergeCell ref="A16:A18"/>
    <mergeCell ref="A20:A28"/>
    <mergeCell ref="A32:A41"/>
    <mergeCell ref="A43:A62"/>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236993" r:id="rId3">
          <objectPr defaultSize="0" altText="" r:id="rId4">
            <anchor moveWithCells="1">
              <from>
                <xdr:col>4</xdr:col>
                <xdr:colOff>133350</xdr:colOff>
                <xdr:row>31</xdr:row>
                <xdr:rowOff>66675</xdr:rowOff>
              </from>
              <to>
                <xdr:col>6</xdr:col>
                <xdr:colOff>190500</xdr:colOff>
                <xdr:row>31</xdr:row>
                <xdr:rowOff>266700</xdr:rowOff>
              </to>
            </anchor>
          </objectPr>
        </oleObject>
      </mc:Choice>
      <mc:Fallback>
        <oleObject progId="Equation.DSMT4" shapeId="1236993" r:id="rId3"/>
      </mc:Fallback>
    </mc:AlternateContent>
    <mc:AlternateContent xmlns:mc="http://schemas.openxmlformats.org/markup-compatibility/2006">
      <mc:Choice Requires="x14">
        <oleObject progId="Equation.DSMT4" shapeId="1236994" r:id="rId5">
          <objectPr defaultSize="0" altText="" r:id="rId6">
            <anchor moveWithCells="1">
              <from>
                <xdr:col>4</xdr:col>
                <xdr:colOff>0</xdr:colOff>
                <xdr:row>34</xdr:row>
                <xdr:rowOff>0</xdr:rowOff>
              </from>
              <to>
                <xdr:col>4</xdr:col>
                <xdr:colOff>390525</xdr:colOff>
                <xdr:row>35</xdr:row>
                <xdr:rowOff>123825</xdr:rowOff>
              </to>
            </anchor>
          </objectPr>
        </oleObject>
      </mc:Choice>
      <mc:Fallback>
        <oleObject progId="Equation.DSMT4" shapeId="1236994" r:id="rId5"/>
      </mc:Fallback>
    </mc:AlternateContent>
    <mc:AlternateContent xmlns:mc="http://schemas.openxmlformats.org/markup-compatibility/2006">
      <mc:Choice Requires="x14">
        <oleObject progId="Equation.DSMT4" shapeId="1236995" r:id="rId7">
          <objectPr defaultSize="0" altText="" r:id="rId8">
            <anchor moveWithCells="1">
              <from>
                <xdr:col>4</xdr:col>
                <xdr:colOff>76200</xdr:colOff>
                <xdr:row>43</xdr:row>
                <xdr:rowOff>28575</xdr:rowOff>
              </from>
              <to>
                <xdr:col>4</xdr:col>
                <xdr:colOff>1104900</xdr:colOff>
                <xdr:row>47</xdr:row>
                <xdr:rowOff>161925</xdr:rowOff>
              </to>
            </anchor>
          </objectPr>
        </oleObject>
      </mc:Choice>
      <mc:Fallback>
        <oleObject progId="Equation.DSMT4" shapeId="1236995" r:id="rId7"/>
      </mc:Fallback>
    </mc:AlternateContent>
    <mc:AlternateContent xmlns:mc="http://schemas.openxmlformats.org/markup-compatibility/2006">
      <mc:Choice Requires="x14">
        <oleObject progId="Equation.DSMT4" shapeId="1236996" r:id="rId9">
          <objectPr defaultSize="0" altText="" r:id="rId10">
            <anchor moveWithCells="1">
              <from>
                <xdr:col>4</xdr:col>
                <xdr:colOff>76200</xdr:colOff>
                <xdr:row>50</xdr:row>
                <xdr:rowOff>28575</xdr:rowOff>
              </from>
              <to>
                <xdr:col>4</xdr:col>
                <xdr:colOff>962025</xdr:colOff>
                <xdr:row>51</xdr:row>
                <xdr:rowOff>190500</xdr:rowOff>
              </to>
            </anchor>
          </objectPr>
        </oleObject>
      </mc:Choice>
      <mc:Fallback>
        <oleObject progId="Equation.DSMT4" shapeId="1236996" r:id="rId9"/>
      </mc:Fallback>
    </mc:AlternateContent>
    <mc:AlternateContent xmlns:mc="http://schemas.openxmlformats.org/markup-compatibility/2006">
      <mc:Choice Requires="x14">
        <oleObject progId="Equation.DSMT4" shapeId="1236997" r:id="rId11">
          <objectPr defaultSize="0" altText="" r:id="rId12">
            <anchor moveWithCells="1">
              <from>
                <xdr:col>4</xdr:col>
                <xdr:colOff>28575</xdr:colOff>
                <xdr:row>37</xdr:row>
                <xdr:rowOff>114300</xdr:rowOff>
              </from>
              <to>
                <xdr:col>4</xdr:col>
                <xdr:colOff>495300</xdr:colOff>
                <xdr:row>39</xdr:row>
                <xdr:rowOff>180975</xdr:rowOff>
              </to>
            </anchor>
          </objectPr>
        </oleObject>
      </mc:Choice>
      <mc:Fallback>
        <oleObject progId="Equation.DSMT4" shapeId="1236997" r:id="rId11"/>
      </mc:Fallback>
    </mc:AlternateContent>
    <mc:AlternateContent xmlns:mc="http://schemas.openxmlformats.org/markup-compatibility/2006">
      <mc:Choice Requires="x14">
        <oleObject progId="Equation.DSMT4" shapeId="1236998" r:id="rId13">
          <objectPr defaultSize="0" altText="" r:id="rId14">
            <anchor moveWithCells="1">
              <from>
                <xdr:col>4</xdr:col>
                <xdr:colOff>28575</xdr:colOff>
                <xdr:row>56</xdr:row>
                <xdr:rowOff>123825</xdr:rowOff>
              </from>
              <to>
                <xdr:col>4</xdr:col>
                <xdr:colOff>752475</xdr:colOff>
                <xdr:row>58</xdr:row>
                <xdr:rowOff>66675</xdr:rowOff>
              </to>
            </anchor>
          </objectPr>
        </oleObject>
      </mc:Choice>
      <mc:Fallback>
        <oleObject progId="Equation.DSMT4" shapeId="1236998" r:id="rId13"/>
      </mc:Fallback>
    </mc:AlternateContent>
    <mc:AlternateContent xmlns:mc="http://schemas.openxmlformats.org/markup-compatibility/2006">
      <mc:Choice Requires="x14">
        <oleObject progId="Equation.DSMT4" shapeId="1236999" r:id="rId15">
          <objectPr defaultSize="0" altText="" r:id="rId16">
            <anchor moveWithCells="1">
              <from>
                <xdr:col>4</xdr:col>
                <xdr:colOff>0</xdr:colOff>
                <xdr:row>67</xdr:row>
                <xdr:rowOff>142875</xdr:rowOff>
              </from>
              <to>
                <xdr:col>4</xdr:col>
                <xdr:colOff>685800</xdr:colOff>
                <xdr:row>69</xdr:row>
                <xdr:rowOff>85725</xdr:rowOff>
              </to>
            </anchor>
          </objectPr>
        </oleObject>
      </mc:Choice>
      <mc:Fallback>
        <oleObject progId="Equation.DSMT4" shapeId="1236999" r:id="rId15"/>
      </mc:Fallback>
    </mc:AlternateContent>
    <mc:AlternateContent xmlns:mc="http://schemas.openxmlformats.org/markup-compatibility/2006">
      <mc:Choice Requires="x14">
        <oleObject progId="Equation.DSMT4" shapeId="1237000" r:id="rId17">
          <objectPr defaultSize="0" altText="" r:id="rId18">
            <anchor moveWithCells="1">
              <from>
                <xdr:col>6</xdr:col>
                <xdr:colOff>38100</xdr:colOff>
                <xdr:row>19</xdr:row>
                <xdr:rowOff>133350</xdr:rowOff>
              </from>
              <to>
                <xdr:col>7</xdr:col>
                <xdr:colOff>533400</xdr:colOff>
                <xdr:row>23</xdr:row>
                <xdr:rowOff>133350</xdr:rowOff>
              </to>
            </anchor>
          </objectPr>
        </oleObject>
      </mc:Choice>
      <mc:Fallback>
        <oleObject progId="Equation.DSMT4" shapeId="1237000" r:id="rId17"/>
      </mc:Fallback>
    </mc:AlternateContent>
    <mc:AlternateContent xmlns:mc="http://schemas.openxmlformats.org/markup-compatibility/2006">
      <mc:Choice Requires="x14">
        <oleObject progId="Equation.DSMT4" shapeId="1237001" r:id="rId19">
          <objectPr defaultSize="0" altText="" r:id="rId20">
            <anchor moveWithCells="1">
              <from>
                <xdr:col>4</xdr:col>
                <xdr:colOff>0</xdr:colOff>
                <xdr:row>60</xdr:row>
                <xdr:rowOff>0</xdr:rowOff>
              </from>
              <to>
                <xdr:col>4</xdr:col>
                <xdr:colOff>609600</xdr:colOff>
                <xdr:row>61</xdr:row>
                <xdr:rowOff>0</xdr:rowOff>
              </to>
            </anchor>
          </objectPr>
        </oleObject>
      </mc:Choice>
      <mc:Fallback>
        <oleObject progId="Equation.DSMT4" shapeId="1237001" r:id="rId19"/>
      </mc:Fallback>
    </mc:AlternateContent>
  </oleObjects>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76"/>
  <dimension ref="A1:O56"/>
  <sheetViews>
    <sheetView zoomScale="115" zoomScaleNormal="115" workbookViewId="0">
      <selection sqref="A1:L1"/>
    </sheetView>
  </sheetViews>
  <sheetFormatPr defaultColWidth="9" defaultRowHeight="14.25"/>
  <cols>
    <col min="1" max="2" width="9" style="92"/>
    <col min="3" max="3" width="11.25" style="92" customWidth="1"/>
    <col min="4" max="4" width="9" style="92"/>
    <col min="5" max="5" width="12.625" style="92"/>
    <col min="6" max="16384" width="9" style="92"/>
  </cols>
  <sheetData>
    <row r="1" spans="1:15" ht="24.75" customHeight="1">
      <c r="A1" s="4963"/>
      <c r="B1" s="4963"/>
      <c r="C1" s="4963"/>
      <c r="D1" s="4963"/>
      <c r="E1" s="4963"/>
      <c r="F1" s="4963"/>
      <c r="G1" s="4963"/>
      <c r="H1" s="4963"/>
      <c r="I1" s="4963"/>
      <c r="J1" s="4963"/>
      <c r="K1" s="4963"/>
      <c r="L1" s="4963"/>
    </row>
    <row r="2" spans="1:15">
      <c r="A2" s="92" t="s">
        <v>15123</v>
      </c>
    </row>
    <row r="3" spans="1:15">
      <c r="A3" s="92" t="s">
        <v>15124</v>
      </c>
    </row>
    <row r="4" spans="1:15" ht="15.75">
      <c r="B4" s="96" t="s">
        <v>15125</v>
      </c>
      <c r="C4" s="96"/>
      <c r="D4" s="97" t="s">
        <v>9946</v>
      </c>
      <c r="E4" s="98">
        <v>0.154</v>
      </c>
      <c r="F4" s="99" t="s">
        <v>5816</v>
      </c>
      <c r="H4" s="86" t="s">
        <v>15126</v>
      </c>
      <c r="I4" s="86"/>
      <c r="J4" s="86"/>
    </row>
    <row r="5" spans="1:15" ht="18.75">
      <c r="B5" s="96" t="s">
        <v>15063</v>
      </c>
      <c r="C5" s="96"/>
      <c r="D5" s="99" t="s">
        <v>15064</v>
      </c>
      <c r="E5" s="98">
        <v>10</v>
      </c>
      <c r="F5" s="99" t="s">
        <v>1075</v>
      </c>
      <c r="G5" s="92" t="s">
        <v>1350</v>
      </c>
      <c r="H5" s="86"/>
      <c r="I5" s="99" t="s">
        <v>2441</v>
      </c>
      <c r="J5" s="132">
        <v>9.8000000000000007</v>
      </c>
      <c r="K5" s="92" t="s">
        <v>2135</v>
      </c>
    </row>
    <row r="6" spans="1:15" ht="15.75">
      <c r="B6" s="96" t="s">
        <v>15066</v>
      </c>
      <c r="C6" s="96"/>
      <c r="D6" s="99" t="s">
        <v>2390</v>
      </c>
      <c r="E6" s="98">
        <v>0.3</v>
      </c>
      <c r="F6" s="99"/>
      <c r="G6" s="92" t="s">
        <v>1350</v>
      </c>
      <c r="H6" s="86"/>
      <c r="I6" s="99" t="s">
        <v>15067</v>
      </c>
      <c r="J6" s="132">
        <v>3.1415999999999999</v>
      </c>
    </row>
    <row r="7" spans="1:15" ht="15.75">
      <c r="B7" s="4963" t="s">
        <v>15068</v>
      </c>
      <c r="C7" s="4963"/>
      <c r="D7" s="99" t="s">
        <v>13484</v>
      </c>
      <c r="E7" s="98">
        <v>0.02</v>
      </c>
      <c r="F7" s="99" t="s">
        <v>408</v>
      </c>
      <c r="G7" s="92" t="s">
        <v>1350</v>
      </c>
      <c r="H7" s="4963"/>
      <c r="I7" s="4963"/>
    </row>
    <row r="8" spans="1:15" ht="15.75">
      <c r="B8" s="4963" t="s">
        <v>15069</v>
      </c>
      <c r="C8" s="4963"/>
      <c r="D8" s="99" t="s">
        <v>15127</v>
      </c>
      <c r="E8" s="98">
        <v>1</v>
      </c>
      <c r="F8" s="99" t="s">
        <v>1075</v>
      </c>
      <c r="G8" s="92" t="s">
        <v>1350</v>
      </c>
      <c r="H8" s="100" t="s">
        <v>13464</v>
      </c>
      <c r="I8" s="100"/>
    </row>
    <row r="9" spans="1:15" ht="15.75">
      <c r="B9" s="96" t="s">
        <v>15071</v>
      </c>
      <c r="C9" s="96"/>
      <c r="D9" s="99" t="s">
        <v>15072</v>
      </c>
      <c r="E9" s="98">
        <v>0.9</v>
      </c>
      <c r="F9" s="96"/>
      <c r="G9" s="92" t="s">
        <v>1350</v>
      </c>
      <c r="H9" s="101" t="s">
        <v>429</v>
      </c>
      <c r="I9" s="133">
        <v>50</v>
      </c>
      <c r="J9" s="134" t="s">
        <v>13465</v>
      </c>
    </row>
    <row r="10" spans="1:15" ht="15.75">
      <c r="B10" s="96" t="s">
        <v>15073</v>
      </c>
      <c r="C10" s="96"/>
      <c r="D10" s="99" t="s">
        <v>15074</v>
      </c>
      <c r="E10" s="98">
        <v>1</v>
      </c>
      <c r="F10" s="96"/>
      <c r="H10" s="102" t="s">
        <v>445</v>
      </c>
      <c r="I10" s="135">
        <v>4</v>
      </c>
      <c r="J10" s="136" t="s">
        <v>13466</v>
      </c>
    </row>
    <row r="11" spans="1:15" ht="15.75">
      <c r="B11" s="4963" t="s">
        <v>5780</v>
      </c>
      <c r="C11" s="4963"/>
      <c r="D11" s="99" t="s">
        <v>9919</v>
      </c>
      <c r="E11" s="98">
        <v>1</v>
      </c>
      <c r="F11" s="99"/>
      <c r="G11" s="92" t="s">
        <v>1350</v>
      </c>
      <c r="H11" s="102" t="s">
        <v>2487</v>
      </c>
      <c r="I11" s="137">
        <f>60*I9/I10*2</f>
        <v>1500</v>
      </c>
      <c r="J11" s="138" t="s">
        <v>227</v>
      </c>
    </row>
    <row r="12" spans="1:15" ht="18.75">
      <c r="B12" s="4963" t="s">
        <v>10177</v>
      </c>
      <c r="C12" s="4963"/>
      <c r="D12" s="103" t="s">
        <v>15128</v>
      </c>
      <c r="E12" s="104">
        <v>0</v>
      </c>
      <c r="F12" s="96" t="s">
        <v>464</v>
      </c>
      <c r="G12" s="92" t="s">
        <v>1350</v>
      </c>
      <c r="H12" s="102" t="s">
        <v>13467</v>
      </c>
      <c r="I12" s="137">
        <v>2950</v>
      </c>
      <c r="J12" s="138" t="s">
        <v>227</v>
      </c>
      <c r="M12" s="4963"/>
      <c r="N12" s="4963"/>
      <c r="O12" s="4963"/>
    </row>
    <row r="13" spans="1:15" ht="18.75">
      <c r="B13" s="96" t="s">
        <v>15079</v>
      </c>
      <c r="C13" s="96"/>
      <c r="D13" s="103" t="s">
        <v>15080</v>
      </c>
      <c r="E13" s="104">
        <v>0</v>
      </c>
      <c r="F13" s="96" t="s">
        <v>13007</v>
      </c>
      <c r="H13" s="102" t="s">
        <v>1077</v>
      </c>
      <c r="I13" s="137">
        <v>1430</v>
      </c>
      <c r="J13" s="138" t="s">
        <v>227</v>
      </c>
      <c r="M13" s="4963"/>
      <c r="N13" s="4963"/>
      <c r="O13" s="4963"/>
    </row>
    <row r="14" spans="1:15" ht="18.75">
      <c r="B14" s="105"/>
      <c r="C14" s="105"/>
      <c r="D14" s="106"/>
      <c r="E14" s="107"/>
      <c r="F14" s="105"/>
      <c r="H14" s="102" t="s">
        <v>13468</v>
      </c>
      <c r="I14" s="137">
        <v>860</v>
      </c>
      <c r="J14" s="138" t="s">
        <v>227</v>
      </c>
      <c r="M14" s="4963"/>
      <c r="N14" s="4963"/>
      <c r="O14" s="4963"/>
    </row>
    <row r="15" spans="1:15" ht="15.75">
      <c r="A15" s="69" t="s">
        <v>15129</v>
      </c>
      <c r="B15" s="69"/>
      <c r="C15" s="69"/>
      <c r="D15" s="69"/>
      <c r="E15" s="69"/>
      <c r="H15" s="108" t="s">
        <v>13469</v>
      </c>
      <c r="I15" s="139">
        <v>650</v>
      </c>
      <c r="J15" s="140" t="s">
        <v>227</v>
      </c>
      <c r="M15" s="4963"/>
      <c r="N15" s="4963"/>
      <c r="O15" s="4963"/>
    </row>
    <row r="16" spans="1:15">
      <c r="A16" s="69"/>
      <c r="B16" s="4963" t="s">
        <v>15088</v>
      </c>
      <c r="C16" s="4963"/>
      <c r="D16" s="4963" t="s">
        <v>13498</v>
      </c>
      <c r="E16" s="109">
        <f>(E4/(J6*E7))</f>
        <v>2.4509803921568598</v>
      </c>
      <c r="F16" s="110" t="s">
        <v>227</v>
      </c>
    </row>
    <row r="17" spans="1:7">
      <c r="B17" s="4963"/>
      <c r="C17" s="4963"/>
      <c r="D17" s="4963"/>
      <c r="E17" s="111"/>
      <c r="F17" s="112"/>
    </row>
    <row r="18" spans="1:7" ht="18.75">
      <c r="B18" s="4963" t="s">
        <v>15093</v>
      </c>
      <c r="C18" s="4963"/>
      <c r="D18" s="113" t="s">
        <v>15094</v>
      </c>
      <c r="E18" s="114" t="s">
        <v>15095</v>
      </c>
      <c r="F18" s="115"/>
    </row>
    <row r="19" spans="1:7">
      <c r="B19" s="4963"/>
      <c r="C19" s="4963"/>
      <c r="D19" s="116" t="s">
        <v>1968</v>
      </c>
      <c r="E19" s="117">
        <f>E16*E11</f>
        <v>2.4509803921568598</v>
      </c>
      <c r="F19" s="112" t="s">
        <v>227</v>
      </c>
    </row>
    <row r="21" spans="1:7">
      <c r="A21" s="92" t="s">
        <v>15130</v>
      </c>
    </row>
    <row r="22" spans="1:7">
      <c r="B22" s="4963" t="s">
        <v>15097</v>
      </c>
      <c r="C22" s="4963"/>
      <c r="D22" s="118" t="s">
        <v>9931</v>
      </c>
      <c r="E22" s="119"/>
      <c r="F22" s="119"/>
      <c r="G22" s="110"/>
    </row>
    <row r="23" spans="1:7">
      <c r="B23" s="4963"/>
      <c r="C23" s="4963"/>
      <c r="D23" s="116" t="s">
        <v>1968</v>
      </c>
      <c r="E23" s="117">
        <f>E12+E5*J5*(SIN((E13/360)*2*J6)+E6*COS((E13/360)*2*J6))</f>
        <v>29.4</v>
      </c>
      <c r="F23" s="111" t="s">
        <v>464</v>
      </c>
      <c r="G23" s="112"/>
    </row>
    <row r="24" spans="1:7">
      <c r="D24" s="70"/>
    </row>
    <row r="25" spans="1:7" ht="18.75">
      <c r="B25" s="4963" t="s">
        <v>15098</v>
      </c>
      <c r="C25" s="4963"/>
      <c r="D25" s="118" t="s">
        <v>15099</v>
      </c>
      <c r="E25" s="119"/>
      <c r="F25" s="110"/>
    </row>
    <row r="26" spans="1:7">
      <c r="B26" s="4963"/>
      <c r="C26" s="4963"/>
      <c r="F26" s="115"/>
    </row>
    <row r="27" spans="1:7">
      <c r="B27" s="4963"/>
      <c r="C27" s="4963"/>
      <c r="D27" s="116" t="s">
        <v>1968</v>
      </c>
      <c r="E27" s="117">
        <f>(E23*E7)/(2*E9)</f>
        <v>0.32666666666666699</v>
      </c>
      <c r="F27" s="112" t="s">
        <v>15100</v>
      </c>
    </row>
    <row r="29" spans="1:7">
      <c r="B29" s="4963" t="s">
        <v>15101</v>
      </c>
      <c r="C29" s="4963"/>
      <c r="D29" s="4963" t="s">
        <v>15131</v>
      </c>
      <c r="E29" s="119"/>
      <c r="F29" s="110"/>
    </row>
    <row r="30" spans="1:7" ht="30" customHeight="1">
      <c r="B30" s="4963"/>
      <c r="C30" s="4963"/>
      <c r="D30" s="4963"/>
      <c r="F30" s="115"/>
    </row>
    <row r="31" spans="1:7">
      <c r="B31" s="4963"/>
      <c r="C31" s="4963"/>
      <c r="D31" s="116" t="s">
        <v>1968</v>
      </c>
      <c r="E31" s="117">
        <f>E27/(E11*E10)</f>
        <v>0.32666666666666699</v>
      </c>
      <c r="F31" s="112" t="s">
        <v>15100</v>
      </c>
    </row>
    <row r="33" spans="1:11">
      <c r="A33" s="92" t="s">
        <v>15132</v>
      </c>
    </row>
    <row r="34" spans="1:11" ht="18.75">
      <c r="B34" s="4963" t="s">
        <v>15104</v>
      </c>
      <c r="C34" s="4963"/>
      <c r="D34" s="118" t="s">
        <v>15105</v>
      </c>
      <c r="E34" s="119"/>
      <c r="F34" s="110"/>
    </row>
    <row r="35" spans="1:11">
      <c r="B35" s="4963"/>
      <c r="C35" s="4963"/>
      <c r="F35" s="115"/>
    </row>
    <row r="36" spans="1:11">
      <c r="B36" s="4963"/>
      <c r="C36" s="4963"/>
      <c r="F36" s="115"/>
    </row>
    <row r="37" spans="1:11">
      <c r="B37" s="4963"/>
      <c r="C37" s="4963"/>
      <c r="D37" s="70" t="s">
        <v>1968</v>
      </c>
      <c r="F37" s="115"/>
    </row>
    <row r="38" spans="1:11">
      <c r="B38" s="4963"/>
      <c r="C38" s="4963"/>
      <c r="F38" s="115"/>
    </row>
    <row r="39" spans="1:11" ht="16.5">
      <c r="B39" s="4963"/>
      <c r="C39" s="4963"/>
      <c r="D39" s="116" t="s">
        <v>1968</v>
      </c>
      <c r="E39" s="117">
        <f>E5*(E7/2)^2</f>
        <v>1E-3</v>
      </c>
      <c r="F39" s="112" t="s">
        <v>15106</v>
      </c>
    </row>
    <row r="41" spans="1:11" ht="18.75">
      <c r="B41" s="4963" t="s">
        <v>15107</v>
      </c>
      <c r="C41" s="4963"/>
      <c r="D41" s="118" t="s">
        <v>15108</v>
      </c>
      <c r="E41" s="119"/>
      <c r="F41" s="110"/>
    </row>
    <row r="42" spans="1:11">
      <c r="B42" s="4963"/>
      <c r="C42" s="4963"/>
      <c r="F42" s="115"/>
    </row>
    <row r="43" spans="1:11" ht="16.5">
      <c r="B43" s="4963"/>
      <c r="C43" s="4963"/>
      <c r="D43" s="116" t="s">
        <v>1968</v>
      </c>
      <c r="E43" s="117">
        <f>(E8*E7^2)/8</f>
        <v>5.0000000000000002E-5</v>
      </c>
      <c r="F43" s="112" t="s">
        <v>15106</v>
      </c>
      <c r="I43" s="130"/>
      <c r="J43" s="141"/>
    </row>
    <row r="44" spans="1:11">
      <c r="J44" s="141"/>
    </row>
    <row r="45" spans="1:11" ht="18.75">
      <c r="B45" s="4963" t="s">
        <v>15109</v>
      </c>
      <c r="C45" s="4963"/>
      <c r="D45" s="4963"/>
      <c r="E45" s="118" t="s">
        <v>15110</v>
      </c>
      <c r="F45" s="110"/>
    </row>
    <row r="46" spans="1:11" ht="18.75">
      <c r="B46" s="120"/>
      <c r="C46" s="111"/>
      <c r="D46" s="116" t="s">
        <v>1968</v>
      </c>
      <c r="E46" s="117">
        <f>E39+2*E43</f>
        <v>1.1000000000000001E-3</v>
      </c>
      <c r="F46" s="112" t="s">
        <v>15106</v>
      </c>
      <c r="H46" s="121" t="s">
        <v>15111</v>
      </c>
      <c r="I46" s="142" t="s">
        <v>15112</v>
      </c>
      <c r="J46" s="143">
        <v>1.1000000000000001E-3</v>
      </c>
      <c r="K46" s="129" t="s">
        <v>15106</v>
      </c>
    </row>
    <row r="48" spans="1:11">
      <c r="A48" s="92" t="s">
        <v>15117</v>
      </c>
    </row>
    <row r="49" spans="1:6" ht="21.75">
      <c r="B49" s="4963" t="s">
        <v>15118</v>
      </c>
      <c r="C49" s="4963"/>
      <c r="D49" s="122" t="s">
        <v>15119</v>
      </c>
      <c r="E49" s="123" t="s">
        <v>15133</v>
      </c>
      <c r="F49" s="110"/>
    </row>
    <row r="50" spans="1:6">
      <c r="B50" s="4963"/>
      <c r="C50" s="4963"/>
      <c r="D50" s="116" t="s">
        <v>1968</v>
      </c>
      <c r="E50" s="117">
        <f>E31*D52</f>
        <v>0.65333333333333299</v>
      </c>
      <c r="F50" s="112" t="s">
        <v>15100</v>
      </c>
    </row>
    <row r="51" spans="1:6">
      <c r="B51" s="124"/>
      <c r="C51" s="125"/>
      <c r="D51" s="116"/>
      <c r="E51" s="126"/>
    </row>
    <row r="52" spans="1:6" ht="15.75">
      <c r="B52" s="121" t="s">
        <v>5888</v>
      </c>
      <c r="C52" s="127" t="s">
        <v>2148</v>
      </c>
      <c r="D52" s="128">
        <v>2</v>
      </c>
      <c r="E52" s="129"/>
    </row>
    <row r="53" spans="1:6" ht="15.75">
      <c r="A53" s="130" t="s">
        <v>15134</v>
      </c>
    </row>
    <row r="54" spans="1:6">
      <c r="B54" s="4963" t="s">
        <v>10195</v>
      </c>
      <c r="C54" s="4963"/>
      <c r="D54" s="118" t="s">
        <v>15122</v>
      </c>
      <c r="E54" s="110"/>
    </row>
    <row r="55" spans="1:6">
      <c r="B55" s="4963"/>
      <c r="C55" s="4963"/>
      <c r="E55" s="115"/>
    </row>
    <row r="56" spans="1:6">
      <c r="B56" s="4963"/>
      <c r="C56" s="4963"/>
      <c r="D56" s="116" t="s">
        <v>1968</v>
      </c>
      <c r="E56" s="131">
        <f>(E46/(E11^2))/J46</f>
        <v>1</v>
      </c>
    </row>
  </sheetData>
  <mergeCells count="19">
    <mergeCell ref="A1:L1"/>
    <mergeCell ref="B7:C7"/>
    <mergeCell ref="H7:I7"/>
    <mergeCell ref="B8:C8"/>
    <mergeCell ref="B11:C11"/>
    <mergeCell ref="B45:D45"/>
    <mergeCell ref="D16:D17"/>
    <mergeCell ref="D29:D30"/>
    <mergeCell ref="B54:C56"/>
    <mergeCell ref="B34:C39"/>
    <mergeCell ref="B41:C43"/>
    <mergeCell ref="B49:C50"/>
    <mergeCell ref="M12:O15"/>
    <mergeCell ref="B18:C19"/>
    <mergeCell ref="B16:C17"/>
    <mergeCell ref="B22:C23"/>
    <mergeCell ref="B29:C31"/>
    <mergeCell ref="B25:C27"/>
    <mergeCell ref="B12:C12"/>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238017" r:id="rId3">
          <objectPr defaultSize="0" altText="" r:id="rId4">
            <anchor moveWithCells="1">
              <from>
                <xdr:col>4</xdr:col>
                <xdr:colOff>9525</xdr:colOff>
                <xdr:row>21</xdr:row>
                <xdr:rowOff>0</xdr:rowOff>
              </from>
              <to>
                <xdr:col>6</xdr:col>
                <xdr:colOff>323850</xdr:colOff>
                <xdr:row>22</xdr:row>
                <xdr:rowOff>0</xdr:rowOff>
              </to>
            </anchor>
          </objectPr>
        </oleObject>
      </mc:Choice>
      <mc:Fallback>
        <oleObject progId="Equation.DSMT4" shapeId="1238017" r:id="rId3"/>
      </mc:Fallback>
    </mc:AlternateContent>
    <mc:AlternateContent xmlns:mc="http://schemas.openxmlformats.org/markup-compatibility/2006">
      <mc:Choice Requires="x14">
        <oleObject progId="Equation.DSMT4" shapeId="1238018" r:id="rId5">
          <objectPr defaultSize="0" altText="" r:id="rId6">
            <anchor moveWithCells="1">
              <from>
                <xdr:col>4</xdr:col>
                <xdr:colOff>0</xdr:colOff>
                <xdr:row>24</xdr:row>
                <xdr:rowOff>0</xdr:rowOff>
              </from>
              <to>
                <xdr:col>4</xdr:col>
                <xdr:colOff>390525</xdr:colOff>
                <xdr:row>25</xdr:row>
                <xdr:rowOff>123825</xdr:rowOff>
              </to>
            </anchor>
          </objectPr>
        </oleObject>
      </mc:Choice>
      <mc:Fallback>
        <oleObject progId="Equation.DSMT4" shapeId="1238018" r:id="rId5"/>
      </mc:Fallback>
    </mc:AlternateContent>
    <mc:AlternateContent xmlns:mc="http://schemas.openxmlformats.org/markup-compatibility/2006">
      <mc:Choice Requires="x14">
        <oleObject progId="Equation.DSMT4" shapeId="1238019" r:id="rId7">
          <objectPr defaultSize="0" altText="" r:id="rId8">
            <anchor moveWithCells="1">
              <from>
                <xdr:col>4</xdr:col>
                <xdr:colOff>28575</xdr:colOff>
                <xdr:row>33</xdr:row>
                <xdr:rowOff>76200</xdr:rowOff>
              </from>
              <to>
                <xdr:col>5</xdr:col>
                <xdr:colOff>28575</xdr:colOff>
                <xdr:row>37</xdr:row>
                <xdr:rowOff>161925</xdr:rowOff>
              </to>
            </anchor>
          </objectPr>
        </oleObject>
      </mc:Choice>
      <mc:Fallback>
        <oleObject progId="Equation.DSMT4" shapeId="1238019" r:id="rId7"/>
      </mc:Fallback>
    </mc:AlternateContent>
    <mc:AlternateContent xmlns:mc="http://schemas.openxmlformats.org/markup-compatibility/2006">
      <mc:Choice Requires="x14">
        <oleObject progId="Equation.DSMT4" shapeId="1238020" r:id="rId9">
          <objectPr defaultSize="0" altText="" r:id="rId10">
            <anchor moveWithCells="1">
              <from>
                <xdr:col>4</xdr:col>
                <xdr:colOff>9525</xdr:colOff>
                <xdr:row>40</xdr:row>
                <xdr:rowOff>9525</xdr:rowOff>
              </from>
              <to>
                <xdr:col>4</xdr:col>
                <xdr:colOff>904875</xdr:colOff>
                <xdr:row>41</xdr:row>
                <xdr:rowOff>161925</xdr:rowOff>
              </to>
            </anchor>
          </objectPr>
        </oleObject>
      </mc:Choice>
      <mc:Fallback>
        <oleObject progId="Equation.DSMT4" shapeId="1238020" r:id="rId9"/>
      </mc:Fallback>
    </mc:AlternateContent>
    <mc:AlternateContent xmlns:mc="http://schemas.openxmlformats.org/markup-compatibility/2006">
      <mc:Choice Requires="x14">
        <oleObject progId="Equation.DSMT4" shapeId="1238021" r:id="rId11">
          <objectPr defaultSize="0" altText="" r:id="rId12">
            <anchor moveWithCells="1">
              <from>
                <xdr:col>4</xdr:col>
                <xdr:colOff>38100</xdr:colOff>
                <xdr:row>28</xdr:row>
                <xdr:rowOff>66675</xdr:rowOff>
              </from>
              <to>
                <xdr:col>4</xdr:col>
                <xdr:colOff>504825</xdr:colOff>
                <xdr:row>29</xdr:row>
                <xdr:rowOff>342900</xdr:rowOff>
              </to>
            </anchor>
          </objectPr>
        </oleObject>
      </mc:Choice>
      <mc:Fallback>
        <oleObject progId="Equation.DSMT4" shapeId="1238021" r:id="rId11"/>
      </mc:Fallback>
    </mc:AlternateContent>
    <mc:AlternateContent xmlns:mc="http://schemas.openxmlformats.org/markup-compatibility/2006">
      <mc:Choice Requires="x14">
        <oleObject progId="Equation.DSMT4" shapeId="1238022" r:id="rId13">
          <objectPr defaultSize="0" altText="" r:id="rId14">
            <anchor moveWithCells="1">
              <from>
                <xdr:col>4</xdr:col>
                <xdr:colOff>85725</xdr:colOff>
                <xdr:row>53</xdr:row>
                <xdr:rowOff>0</xdr:rowOff>
              </from>
              <to>
                <xdr:col>4</xdr:col>
                <xdr:colOff>771525</xdr:colOff>
                <xdr:row>54</xdr:row>
                <xdr:rowOff>152400</xdr:rowOff>
              </to>
            </anchor>
          </objectPr>
        </oleObject>
      </mc:Choice>
      <mc:Fallback>
        <oleObject progId="Equation.DSMT4" shapeId="1238022" r:id="rId13"/>
      </mc:Fallback>
    </mc:AlternateContent>
  </oleObjects>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77"/>
  <dimension ref="B1:P79"/>
  <sheetViews>
    <sheetView workbookViewId="0"/>
  </sheetViews>
  <sheetFormatPr defaultColWidth="9" defaultRowHeight="14.25"/>
  <cols>
    <col min="4" max="4" width="11.25" customWidth="1"/>
    <col min="6" max="6" width="12.75"/>
    <col min="7" max="7" width="11.5" customWidth="1"/>
  </cols>
  <sheetData>
    <row r="1" spans="2:16" ht="25.5">
      <c r="D1" s="52"/>
      <c r="E1" s="52"/>
      <c r="F1" s="52" t="s">
        <v>15135</v>
      </c>
    </row>
    <row r="2" spans="2:16">
      <c r="B2" t="s">
        <v>15124</v>
      </c>
    </row>
    <row r="4" spans="2:16" ht="18.75">
      <c r="C4" s="53" t="s">
        <v>15136</v>
      </c>
      <c r="D4" s="53"/>
      <c r="E4" s="54" t="s">
        <v>15137</v>
      </c>
      <c r="F4" s="55">
        <v>0.12</v>
      </c>
      <c r="G4" s="56" t="s">
        <v>408</v>
      </c>
      <c r="H4" s="53"/>
      <c r="I4" s="53" t="s">
        <v>15126</v>
      </c>
      <c r="J4" s="53"/>
      <c r="K4" s="53"/>
    </row>
    <row r="5" spans="2:16" ht="18.75">
      <c r="C5" s="53" t="s">
        <v>15138</v>
      </c>
      <c r="D5" s="53"/>
      <c r="E5" s="54" t="s">
        <v>15139</v>
      </c>
      <c r="F5" s="55">
        <v>0.02</v>
      </c>
      <c r="G5" s="56" t="s">
        <v>408</v>
      </c>
      <c r="H5" s="53" t="s">
        <v>1350</v>
      </c>
      <c r="I5" s="53"/>
      <c r="J5" s="56" t="s">
        <v>2441</v>
      </c>
      <c r="K5" s="53">
        <v>9.8000000000000007</v>
      </c>
      <c r="L5" t="s">
        <v>2135</v>
      </c>
    </row>
    <row r="6" spans="2:16" ht="18.75">
      <c r="C6" s="53" t="s">
        <v>15140</v>
      </c>
      <c r="D6" s="53"/>
      <c r="E6" s="54" t="s">
        <v>15141</v>
      </c>
      <c r="F6" s="55">
        <v>0.12</v>
      </c>
      <c r="G6" s="56" t="s">
        <v>408</v>
      </c>
      <c r="H6" s="53" t="s">
        <v>1350</v>
      </c>
      <c r="I6" s="53"/>
      <c r="J6" s="56" t="s">
        <v>15067</v>
      </c>
      <c r="K6" s="53">
        <v>3.1415999999999999</v>
      </c>
    </row>
    <row r="7" spans="2:16" ht="18.75">
      <c r="C7" s="53" t="s">
        <v>15142</v>
      </c>
      <c r="D7" s="53"/>
      <c r="E7" s="54" t="s">
        <v>15143</v>
      </c>
      <c r="F7" s="55">
        <v>0.2</v>
      </c>
      <c r="G7" s="56" t="s">
        <v>408</v>
      </c>
      <c r="H7" s="53" t="s">
        <v>1350</v>
      </c>
      <c r="I7" s="4963"/>
      <c r="J7" s="4963"/>
    </row>
    <row r="8" spans="2:16" ht="18.75">
      <c r="C8" s="53" t="s">
        <v>15144</v>
      </c>
      <c r="D8" s="53"/>
      <c r="E8" s="54" t="s">
        <v>15145</v>
      </c>
      <c r="F8" s="55">
        <v>2700</v>
      </c>
      <c r="G8" s="56" t="s">
        <v>13449</v>
      </c>
      <c r="H8" s="53" t="s">
        <v>1350</v>
      </c>
      <c r="I8" s="76"/>
      <c r="J8" s="76"/>
    </row>
    <row r="9" spans="2:16" ht="18" customHeight="1">
      <c r="C9" s="86" t="s">
        <v>15146</v>
      </c>
      <c r="D9" s="53"/>
      <c r="E9" s="87" t="s">
        <v>2481</v>
      </c>
      <c r="F9" s="88">
        <v>25</v>
      </c>
      <c r="G9" s="89" t="s">
        <v>13284</v>
      </c>
      <c r="H9" s="53" t="s">
        <v>1350</v>
      </c>
    </row>
    <row r="10" spans="2:16" ht="30.75" customHeight="1">
      <c r="C10" s="4963" t="s">
        <v>15147</v>
      </c>
      <c r="D10" s="4963"/>
      <c r="E10" s="90" t="s">
        <v>15148</v>
      </c>
      <c r="F10" s="88">
        <v>0.06</v>
      </c>
      <c r="G10" s="86" t="s">
        <v>408</v>
      </c>
      <c r="H10" s="53"/>
    </row>
    <row r="11" spans="2:16" ht="15.75">
      <c r="C11" s="53" t="s">
        <v>15149</v>
      </c>
      <c r="D11" s="53"/>
      <c r="E11" s="54" t="s">
        <v>15150</v>
      </c>
      <c r="F11" s="55">
        <v>72</v>
      </c>
      <c r="G11" s="53" t="s">
        <v>13007</v>
      </c>
      <c r="H11" s="53" t="s">
        <v>1350</v>
      </c>
    </row>
    <row r="12" spans="2:16" ht="18.75">
      <c r="C12" s="53" t="s">
        <v>9904</v>
      </c>
      <c r="D12" s="53"/>
      <c r="E12" s="79" t="s">
        <v>15151</v>
      </c>
      <c r="F12" s="58">
        <v>0.2</v>
      </c>
      <c r="G12" s="53" t="s">
        <v>2685</v>
      </c>
      <c r="H12" s="53" t="s">
        <v>1350</v>
      </c>
      <c r="N12" s="4963"/>
      <c r="O12" s="4963"/>
      <c r="P12" s="4963"/>
    </row>
    <row r="13" spans="2:16" ht="18.75">
      <c r="C13" s="53" t="s">
        <v>15077</v>
      </c>
      <c r="D13" s="53"/>
      <c r="E13" s="79" t="s">
        <v>2252</v>
      </c>
      <c r="F13" s="61">
        <v>0.3</v>
      </c>
      <c r="G13" s="53"/>
      <c r="H13" s="53"/>
      <c r="N13" s="4963"/>
      <c r="O13" s="4963"/>
      <c r="P13" s="4963"/>
    </row>
    <row r="14" spans="2:16" ht="18.75">
      <c r="C14" s="53" t="s">
        <v>15152</v>
      </c>
      <c r="D14" s="53"/>
      <c r="E14" s="79" t="s">
        <v>9919</v>
      </c>
      <c r="F14" s="58">
        <v>1</v>
      </c>
      <c r="G14" s="53"/>
      <c r="H14" s="53"/>
      <c r="N14" s="4963"/>
      <c r="O14" s="4963"/>
      <c r="P14" s="4963"/>
    </row>
    <row r="15" spans="2:16" ht="20.25">
      <c r="C15" s="53" t="s">
        <v>15153</v>
      </c>
      <c r="D15" s="53"/>
      <c r="E15" s="79" t="s">
        <v>15154</v>
      </c>
      <c r="F15" s="58">
        <v>1</v>
      </c>
      <c r="G15" s="53"/>
      <c r="H15" s="53"/>
      <c r="N15" s="4963"/>
      <c r="O15" s="4963"/>
      <c r="P15" s="4963"/>
    </row>
    <row r="16" spans="2:16" ht="18.75">
      <c r="C16" s="62"/>
      <c r="D16" s="62"/>
      <c r="E16" s="63"/>
      <c r="F16" s="64"/>
      <c r="G16" s="62"/>
      <c r="N16" s="4963"/>
      <c r="O16" s="4963"/>
      <c r="P16" s="4963"/>
    </row>
    <row r="17" spans="2:16" ht="18.75">
      <c r="B17" t="s">
        <v>15155</v>
      </c>
      <c r="C17" s="62"/>
      <c r="D17" s="62"/>
      <c r="E17" s="63"/>
      <c r="F17" s="64"/>
      <c r="G17" s="62"/>
      <c r="N17" s="4963"/>
      <c r="O17" s="4963"/>
      <c r="P17" s="4963"/>
    </row>
    <row r="18" spans="2:16" ht="18.75">
      <c r="C18" s="62" t="s">
        <v>15156</v>
      </c>
      <c r="D18" s="62"/>
      <c r="E18" s="63"/>
      <c r="F18" s="64"/>
      <c r="G18" s="62"/>
      <c r="N18" s="4963"/>
      <c r="O18" s="4963"/>
      <c r="P18" s="4963"/>
    </row>
    <row r="19" spans="2:16" ht="20.25">
      <c r="C19" s="62" t="s">
        <v>15157</v>
      </c>
      <c r="D19" s="62"/>
      <c r="E19" s="65" t="s">
        <v>15158</v>
      </c>
      <c r="F19" s="63" t="s">
        <v>15083</v>
      </c>
      <c r="G19" s="62"/>
      <c r="N19" s="4963"/>
      <c r="O19" s="4963"/>
      <c r="P19" s="4963"/>
    </row>
    <row r="20" spans="2:16">
      <c r="C20" s="66"/>
      <c r="D20" s="66"/>
      <c r="E20" s="67" t="s">
        <v>1968</v>
      </c>
      <c r="F20" s="68">
        <f>F12*F13</f>
        <v>0.06</v>
      </c>
      <c r="G20" t="s">
        <v>2685</v>
      </c>
      <c r="N20" s="4963"/>
      <c r="O20" s="4963"/>
      <c r="P20" s="4963"/>
    </row>
    <row r="21" spans="2:16">
      <c r="B21" s="66"/>
      <c r="C21" s="66"/>
      <c r="D21" s="66"/>
      <c r="E21" s="67"/>
      <c r="F21" s="66"/>
      <c r="N21" s="76"/>
      <c r="O21" s="76"/>
      <c r="P21" s="76"/>
    </row>
    <row r="22" spans="2:16">
      <c r="B22" s="66" t="s">
        <v>15084</v>
      </c>
      <c r="C22" s="66"/>
      <c r="D22" s="66"/>
      <c r="E22" s="67"/>
      <c r="F22" s="66"/>
      <c r="N22" s="76"/>
      <c r="O22" s="76"/>
      <c r="P22" s="76"/>
    </row>
    <row r="23" spans="2:16" ht="46.5" customHeight="1">
      <c r="C23" s="69" t="s">
        <v>15085</v>
      </c>
      <c r="E23" s="70" t="s">
        <v>15159</v>
      </c>
    </row>
    <row r="24" spans="2:16" ht="16.5">
      <c r="C24" s="66"/>
      <c r="E24" s="72" t="s">
        <v>1968</v>
      </c>
      <c r="F24">
        <f>((F11*K6)/180)/(F20*(F12-F20))</f>
        <v>149.6</v>
      </c>
      <c r="G24" t="s">
        <v>15087</v>
      </c>
    </row>
    <row r="25" spans="2:16">
      <c r="B25" s="66"/>
      <c r="C25" s="66"/>
      <c r="D25" s="66"/>
      <c r="E25" s="67"/>
      <c r="F25" s="66"/>
      <c r="N25" s="76"/>
      <c r="O25" s="76"/>
      <c r="P25" s="76"/>
    </row>
    <row r="26" spans="2:16">
      <c r="B26" s="66"/>
      <c r="C26" s="66"/>
      <c r="D26" s="66"/>
      <c r="E26" s="67"/>
      <c r="F26" s="66"/>
      <c r="N26" s="76"/>
      <c r="O26" s="76"/>
      <c r="P26" s="76"/>
    </row>
    <row r="27" spans="2:16">
      <c r="B27" s="66"/>
      <c r="C27" s="66" t="s">
        <v>15160</v>
      </c>
      <c r="D27" s="66"/>
      <c r="E27" s="67" t="s">
        <v>15089</v>
      </c>
      <c r="F27" s="66"/>
    </row>
    <row r="29" spans="2:16">
      <c r="E29" s="72" t="s">
        <v>1968</v>
      </c>
      <c r="F29">
        <f>(F24*F20*60)/(2*K6)</f>
        <v>85.714285714285694</v>
      </c>
      <c r="G29" t="s">
        <v>227</v>
      </c>
    </row>
    <row r="30" spans="2:16">
      <c r="E30" s="72"/>
    </row>
    <row r="31" spans="2:16" ht="18.75">
      <c r="C31" s="66" t="s">
        <v>15161</v>
      </c>
      <c r="E31" s="72" t="s">
        <v>15162</v>
      </c>
      <c r="F31" s="73" t="s">
        <v>15163</v>
      </c>
    </row>
    <row r="32" spans="2:16" ht="16.5">
      <c r="E32" s="72" t="s">
        <v>1968</v>
      </c>
      <c r="F32">
        <f>F24*F14</f>
        <v>149.6</v>
      </c>
      <c r="G32" t="s">
        <v>15087</v>
      </c>
    </row>
    <row r="34" spans="2:7" ht="18.75">
      <c r="C34" t="s">
        <v>15093</v>
      </c>
      <c r="E34" s="72" t="s">
        <v>15094</v>
      </c>
      <c r="F34" t="s">
        <v>15095</v>
      </c>
    </row>
    <row r="35" spans="2:7">
      <c r="E35" s="72" t="s">
        <v>1968</v>
      </c>
      <c r="F35">
        <f>F29*F14</f>
        <v>85.714285714285694</v>
      </c>
      <c r="G35" t="s">
        <v>227</v>
      </c>
    </row>
    <row r="37" spans="2:7">
      <c r="B37" t="s">
        <v>15096</v>
      </c>
    </row>
    <row r="39" spans="2:7" ht="18.75">
      <c r="C39" s="4963" t="s">
        <v>15164</v>
      </c>
      <c r="D39" s="4963"/>
      <c r="E39" s="72" t="s">
        <v>15099</v>
      </c>
      <c r="F39" s="73">
        <v>0</v>
      </c>
      <c r="G39" t="s">
        <v>15100</v>
      </c>
    </row>
    <row r="40" spans="2:7">
      <c r="C40" s="4963"/>
      <c r="D40" s="4963"/>
      <c r="E40" s="72"/>
    </row>
    <row r="42" spans="2:7">
      <c r="B42" t="s">
        <v>15103</v>
      </c>
    </row>
    <row r="44" spans="2:7">
      <c r="C44" t="s">
        <v>15165</v>
      </c>
      <c r="E44" s="72" t="s">
        <v>15166</v>
      </c>
    </row>
    <row r="46" spans="2:7" ht="16.5">
      <c r="E46" s="72" t="s">
        <v>1968</v>
      </c>
      <c r="F46">
        <f>(K6*F8*F5*F4^4)/32</f>
        <v>1.0993086719999999E-3</v>
      </c>
      <c r="G46" t="s">
        <v>15106</v>
      </c>
    </row>
    <row r="49" spans="2:12" ht="18.75">
      <c r="C49" t="s">
        <v>15167</v>
      </c>
      <c r="E49" s="72" t="s">
        <v>15168</v>
      </c>
    </row>
    <row r="50" spans="2:12">
      <c r="C50" s="4963" t="s">
        <v>15169</v>
      </c>
      <c r="D50" s="4963"/>
    </row>
    <row r="51" spans="2:12" ht="18">
      <c r="C51" s="4963"/>
      <c r="D51" s="4963"/>
      <c r="E51" s="72" t="s">
        <v>1968</v>
      </c>
      <c r="F51">
        <f>(K6*F8*F7*F6^4)/32</f>
        <v>1.099308672E-2</v>
      </c>
      <c r="G51" t="s">
        <v>15106</v>
      </c>
      <c r="J51" s="75"/>
      <c r="K51" s="94"/>
    </row>
    <row r="52" spans="2:12">
      <c r="C52" s="4963"/>
      <c r="D52" s="4963"/>
      <c r="K52" s="94"/>
    </row>
    <row r="53" spans="2:12">
      <c r="C53" s="91"/>
      <c r="D53" s="91"/>
      <c r="K53" s="94"/>
    </row>
    <row r="54" spans="2:12" ht="28.5" customHeight="1">
      <c r="C54" s="92" t="s">
        <v>15170</v>
      </c>
      <c r="D54" s="76"/>
      <c r="E54" s="93" t="s">
        <v>15171</v>
      </c>
      <c r="F54" s="72"/>
    </row>
    <row r="55" spans="2:12" ht="19.5">
      <c r="E55" s="72" t="s">
        <v>1968</v>
      </c>
      <c r="F55">
        <f>(K6*F8*F7*F6^2)/4</f>
        <v>6.1072704</v>
      </c>
      <c r="G55" t="s">
        <v>1075</v>
      </c>
      <c r="I55" t="s">
        <v>15111</v>
      </c>
      <c r="J55" s="75" t="s">
        <v>15112</v>
      </c>
      <c r="K55" s="55">
        <v>2.7E-4</v>
      </c>
      <c r="L55" t="s">
        <v>15106</v>
      </c>
    </row>
    <row r="57" spans="2:12" ht="22.5" customHeight="1">
      <c r="C57" t="s">
        <v>15167</v>
      </c>
      <c r="E57" s="72" t="s">
        <v>15172</v>
      </c>
    </row>
    <row r="58" spans="2:12" ht="16.5">
      <c r="C58" t="s">
        <v>15173</v>
      </c>
      <c r="E58" s="72" t="s">
        <v>1968</v>
      </c>
      <c r="F58">
        <f>F9*(F51+F55*F10^2)</f>
        <v>0.82448150399999998</v>
      </c>
      <c r="G58" t="s">
        <v>15106</v>
      </c>
    </row>
    <row r="60" spans="2:12" ht="18.75">
      <c r="C60" t="s">
        <v>15113</v>
      </c>
      <c r="E60" s="72" t="s">
        <v>15174</v>
      </c>
      <c r="F60" t="s">
        <v>15175</v>
      </c>
    </row>
    <row r="61" spans="2:12" ht="16.5">
      <c r="E61" s="72" t="s">
        <v>1968</v>
      </c>
      <c r="F61">
        <f>F46+F58</f>
        <v>0.82558081267200001</v>
      </c>
      <c r="G61" t="s">
        <v>15106</v>
      </c>
    </row>
    <row r="63" spans="2:12">
      <c r="B63" t="s">
        <v>15176</v>
      </c>
    </row>
    <row r="64" spans="2:12">
      <c r="E64" s="72"/>
    </row>
    <row r="65" spans="2:12">
      <c r="C65" s="4963" t="s">
        <v>15177</v>
      </c>
      <c r="D65" s="4963"/>
      <c r="E65" s="4963" t="s">
        <v>15178</v>
      </c>
      <c r="F65" s="4963" t="s">
        <v>15179</v>
      </c>
    </row>
    <row r="66" spans="2:12">
      <c r="C66" s="4963"/>
      <c r="D66" s="4963"/>
      <c r="E66" s="4963"/>
      <c r="F66" s="4963"/>
    </row>
    <row r="67" spans="2:12" ht="16.5">
      <c r="E67" s="72" t="s">
        <v>1968</v>
      </c>
      <c r="F67">
        <f>F61/(F14^2)</f>
        <v>0.82558081267200001</v>
      </c>
      <c r="G67" t="s">
        <v>15106</v>
      </c>
    </row>
    <row r="68" spans="2:12">
      <c r="E68" s="72"/>
    </row>
    <row r="69" spans="2:12" ht="41.25" customHeight="1">
      <c r="C69" s="4963" t="s">
        <v>15115</v>
      </c>
      <c r="D69" s="4963"/>
      <c r="E69" s="95" t="s">
        <v>15180</v>
      </c>
    </row>
    <row r="70" spans="2:12">
      <c r="E70" s="72" t="s">
        <v>1968</v>
      </c>
      <c r="F70">
        <f>((F67+K55)*F32)/F15</f>
        <v>123.54728157573101</v>
      </c>
      <c r="G70" t="s">
        <v>15100</v>
      </c>
    </row>
    <row r="72" spans="2:12">
      <c r="B72" t="s">
        <v>15181</v>
      </c>
    </row>
    <row r="73" spans="2:12" ht="18.75">
      <c r="C73" t="s">
        <v>15118</v>
      </c>
      <c r="E73" s="72" t="s">
        <v>2754</v>
      </c>
      <c r="F73" t="s">
        <v>15182</v>
      </c>
      <c r="I73" t="s">
        <v>5888</v>
      </c>
      <c r="J73" s="75" t="s">
        <v>2148</v>
      </c>
      <c r="K73" s="55">
        <v>3</v>
      </c>
      <c r="L73" t="s">
        <v>1350</v>
      </c>
    </row>
    <row r="74" spans="2:12">
      <c r="E74" s="72" t="s">
        <v>1968</v>
      </c>
      <c r="F74">
        <f>(F70+F39)*K73</f>
        <v>370.64184472719302</v>
      </c>
      <c r="G74" t="s">
        <v>15100</v>
      </c>
    </row>
    <row r="76" spans="2:12" ht="15.75">
      <c r="B76" s="75" t="s">
        <v>15134</v>
      </c>
    </row>
    <row r="77" spans="2:12">
      <c r="C77" t="s">
        <v>10195</v>
      </c>
      <c r="E77" s="72" t="s">
        <v>15122</v>
      </c>
    </row>
    <row r="79" spans="2:12">
      <c r="E79" s="72" t="s">
        <v>1968</v>
      </c>
      <c r="F79">
        <f>(F61/(F14^2))/K55</f>
        <v>3057.7067136000001</v>
      </c>
    </row>
  </sheetData>
  <mergeCells count="9">
    <mergeCell ref="C69:D69"/>
    <mergeCell ref="E65:E66"/>
    <mergeCell ref="F65:F66"/>
    <mergeCell ref="N12:P20"/>
    <mergeCell ref="C39:D40"/>
    <mergeCell ref="C65:D66"/>
    <mergeCell ref="C50:D52"/>
    <mergeCell ref="I7:J7"/>
    <mergeCell ref="C10:D10"/>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185792" r:id="rId3">
          <objectPr defaultSize="0" altText="" r:id="rId4">
            <anchor moveWithCells="1">
              <from>
                <xdr:col>5</xdr:col>
                <xdr:colOff>0</xdr:colOff>
                <xdr:row>75</xdr:row>
                <xdr:rowOff>152400</xdr:rowOff>
              </from>
              <to>
                <xdr:col>5</xdr:col>
                <xdr:colOff>685800</xdr:colOff>
                <xdr:row>77</xdr:row>
                <xdr:rowOff>85725</xdr:rowOff>
              </to>
            </anchor>
          </objectPr>
        </oleObject>
      </mc:Choice>
      <mc:Fallback>
        <oleObject progId="Equation.DSMT4" shapeId="1185792" r:id="rId3"/>
      </mc:Fallback>
    </mc:AlternateContent>
    <mc:AlternateContent xmlns:mc="http://schemas.openxmlformats.org/markup-compatibility/2006">
      <mc:Choice Requires="x14">
        <oleObject progId="Equation.DSMT4" shapeId="1185793" r:id="rId5">
          <objectPr defaultSize="0" altText="" r:id="rId6">
            <anchor moveWithCells="1">
              <from>
                <xdr:col>5</xdr:col>
                <xdr:colOff>9525</xdr:colOff>
                <xdr:row>47</xdr:row>
                <xdr:rowOff>114300</xdr:rowOff>
              </from>
              <to>
                <xdr:col>6</xdr:col>
                <xdr:colOff>57150</xdr:colOff>
                <xdr:row>49</xdr:row>
                <xdr:rowOff>85725</xdr:rowOff>
              </to>
            </anchor>
          </objectPr>
        </oleObject>
      </mc:Choice>
      <mc:Fallback>
        <oleObject progId="Equation.DSMT4" shapeId="1185793" r:id="rId5"/>
      </mc:Fallback>
    </mc:AlternateContent>
    <mc:AlternateContent xmlns:mc="http://schemas.openxmlformats.org/markup-compatibility/2006">
      <mc:Choice Requires="x14">
        <oleObject progId="Equation.DSMT4" shapeId="1185794" r:id="rId7">
          <objectPr defaultSize="0" altText="" r:id="rId8">
            <anchor moveWithCells="1">
              <from>
                <xdr:col>5</xdr:col>
                <xdr:colOff>0</xdr:colOff>
                <xdr:row>42</xdr:row>
                <xdr:rowOff>152400</xdr:rowOff>
              </from>
              <to>
                <xdr:col>6</xdr:col>
                <xdr:colOff>38100</xdr:colOff>
                <xdr:row>44</xdr:row>
                <xdr:rowOff>114300</xdr:rowOff>
              </to>
            </anchor>
          </objectPr>
        </oleObject>
      </mc:Choice>
      <mc:Fallback>
        <oleObject progId="Equation.DSMT4" shapeId="1185794" r:id="rId7"/>
      </mc:Fallback>
    </mc:AlternateContent>
    <mc:AlternateContent xmlns:mc="http://schemas.openxmlformats.org/markup-compatibility/2006">
      <mc:Choice Requires="x14">
        <oleObject progId="Equation.DSMT4" shapeId="1185795" r:id="rId9">
          <objectPr defaultSize="0" altText="" r:id="rId10">
            <anchor moveWithCells="1">
              <from>
                <xdr:col>5</xdr:col>
                <xdr:colOff>9525</xdr:colOff>
                <xdr:row>53</xdr:row>
                <xdr:rowOff>9525</xdr:rowOff>
              </from>
              <to>
                <xdr:col>5</xdr:col>
                <xdr:colOff>866775</xdr:colOff>
                <xdr:row>53</xdr:row>
                <xdr:rowOff>342900</xdr:rowOff>
              </to>
            </anchor>
          </objectPr>
        </oleObject>
      </mc:Choice>
      <mc:Fallback>
        <oleObject progId="Equation.DSMT4" shapeId="1185795" r:id="rId9"/>
      </mc:Fallback>
    </mc:AlternateContent>
    <mc:AlternateContent xmlns:mc="http://schemas.openxmlformats.org/markup-compatibility/2006">
      <mc:Choice Requires="x14">
        <oleObject progId="Equation.DSMT4" shapeId="1185796" r:id="rId11">
          <objectPr defaultSize="0" altText="" r:id="rId12">
            <anchor moveWithCells="1">
              <from>
                <xdr:col>5</xdr:col>
                <xdr:colOff>38100</xdr:colOff>
                <xdr:row>55</xdr:row>
                <xdr:rowOff>161925</xdr:rowOff>
              </from>
              <to>
                <xdr:col>6</xdr:col>
                <xdr:colOff>266700</xdr:colOff>
                <xdr:row>56</xdr:row>
                <xdr:rowOff>266700</xdr:rowOff>
              </to>
            </anchor>
          </objectPr>
        </oleObject>
      </mc:Choice>
      <mc:Fallback>
        <oleObject progId="Equation.DSMT4" shapeId="1185796" r:id="rId11"/>
      </mc:Fallback>
    </mc:AlternateContent>
    <mc:AlternateContent xmlns:mc="http://schemas.openxmlformats.org/markup-compatibility/2006">
      <mc:Choice Requires="x14">
        <oleObject progId="Equation.DSMT4" shapeId="1185797" r:id="rId13">
          <objectPr defaultSize="0" altText="" r:id="rId14">
            <anchor moveWithCells="1">
              <from>
                <xdr:col>5</xdr:col>
                <xdr:colOff>0</xdr:colOff>
                <xdr:row>68</xdr:row>
                <xdr:rowOff>0</xdr:rowOff>
              </from>
              <to>
                <xdr:col>6</xdr:col>
                <xdr:colOff>114300</xdr:colOff>
                <xdr:row>69</xdr:row>
                <xdr:rowOff>0</xdr:rowOff>
              </to>
            </anchor>
          </objectPr>
        </oleObject>
      </mc:Choice>
      <mc:Fallback>
        <oleObject progId="Equation.DSMT4" shapeId="1185797" r:id="rId13"/>
      </mc:Fallback>
    </mc:AlternateContent>
    <mc:AlternateContent xmlns:mc="http://schemas.openxmlformats.org/markup-compatibility/2006">
      <mc:Choice Requires="x14">
        <oleObject progId="Equation.DSMT4" shapeId="1185798" r:id="rId15">
          <objectPr defaultSize="0" altText="" r:id="rId16">
            <anchor moveWithCells="1">
              <from>
                <xdr:col>5</xdr:col>
                <xdr:colOff>38100</xdr:colOff>
                <xdr:row>22</xdr:row>
                <xdr:rowOff>0</xdr:rowOff>
              </from>
              <to>
                <xdr:col>5</xdr:col>
                <xdr:colOff>866775</xdr:colOff>
                <xdr:row>22</xdr:row>
                <xdr:rowOff>495300</xdr:rowOff>
              </to>
            </anchor>
          </objectPr>
        </oleObject>
      </mc:Choice>
      <mc:Fallback>
        <oleObject progId="Equation.DSMT4" shapeId="1185798" r:id="rId15"/>
      </mc:Fallback>
    </mc:AlternateContent>
    <mc:AlternateContent xmlns:mc="http://schemas.openxmlformats.org/markup-compatibility/2006">
      <mc:Choice Requires="x14">
        <oleObject progId="Equation.DSMT4" shapeId="1185799" r:id="rId17">
          <objectPr defaultSize="0" altText="" r:id="rId18">
            <anchor moveWithCells="1">
              <from>
                <xdr:col>5</xdr:col>
                <xdr:colOff>38100</xdr:colOff>
                <xdr:row>25</xdr:row>
                <xdr:rowOff>66675</xdr:rowOff>
              </from>
              <to>
                <xdr:col>5</xdr:col>
                <xdr:colOff>876300</xdr:colOff>
                <xdr:row>27</xdr:row>
                <xdr:rowOff>114300</xdr:rowOff>
              </to>
            </anchor>
          </objectPr>
        </oleObject>
      </mc:Choice>
      <mc:Fallback>
        <oleObject progId="Equation.DSMT4" shapeId="1185799" r:id="rId17"/>
      </mc:Fallback>
    </mc:AlternateContent>
  </oleObjects>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78"/>
  <dimension ref="A1:P33"/>
  <sheetViews>
    <sheetView zoomScale="75" zoomScaleNormal="75" workbookViewId="0">
      <selection activeCell="A2" sqref="A2"/>
    </sheetView>
  </sheetViews>
  <sheetFormatPr defaultColWidth="9" defaultRowHeight="14.25"/>
  <cols>
    <col min="4" max="4" width="11.25" customWidth="1"/>
    <col min="6" max="6" width="15.875"/>
  </cols>
  <sheetData>
    <row r="1" spans="1:16">
      <c r="A1" s="4963" t="s">
        <v>15183</v>
      </c>
      <c r="B1" s="5894"/>
      <c r="C1" s="5894"/>
      <c r="D1" s="5894"/>
      <c r="E1" s="5894"/>
      <c r="F1" s="5894"/>
      <c r="G1" s="5894"/>
      <c r="H1" s="5894"/>
      <c r="I1" s="5894"/>
      <c r="J1" s="5894"/>
      <c r="K1" s="5894"/>
      <c r="L1" s="5894"/>
      <c r="M1" s="5894"/>
    </row>
    <row r="2" spans="1:16" ht="25.5">
      <c r="A2" s="78"/>
      <c r="B2" s="5987" t="s">
        <v>15184</v>
      </c>
      <c r="C2" s="5987"/>
      <c r="D2" s="5987"/>
      <c r="E2" s="4963"/>
      <c r="F2" s="4963"/>
      <c r="G2" s="77"/>
      <c r="H2" s="77"/>
      <c r="I2" s="77"/>
      <c r="J2" s="77"/>
      <c r="K2" s="77"/>
      <c r="L2" s="77"/>
      <c r="M2" s="77"/>
    </row>
    <row r="3" spans="1:16">
      <c r="B3" t="s">
        <v>15185</v>
      </c>
    </row>
    <row r="5" spans="1:16" ht="15.75">
      <c r="C5" s="53" t="s">
        <v>5780</v>
      </c>
      <c r="D5" s="53"/>
      <c r="E5" s="54" t="s">
        <v>9919</v>
      </c>
      <c r="F5" s="55">
        <v>1</v>
      </c>
      <c r="G5" s="56"/>
      <c r="H5" t="s">
        <v>1350</v>
      </c>
      <c r="I5" s="53"/>
      <c r="J5" s="56" t="s">
        <v>15065</v>
      </c>
      <c r="K5" s="53">
        <v>9.8000000000000007</v>
      </c>
      <c r="L5" t="s">
        <v>2135</v>
      </c>
    </row>
    <row r="6" spans="1:16" ht="18.75">
      <c r="C6" s="53" t="s">
        <v>15075</v>
      </c>
      <c r="D6" s="53"/>
      <c r="E6" s="79" t="s">
        <v>9905</v>
      </c>
      <c r="F6" s="58">
        <v>0.2</v>
      </c>
      <c r="G6" s="53" t="s">
        <v>2685</v>
      </c>
      <c r="H6" t="s">
        <v>1350</v>
      </c>
      <c r="I6" s="53"/>
      <c r="J6" s="56" t="s">
        <v>15067</v>
      </c>
      <c r="K6" s="53">
        <v>3.1415999999999999</v>
      </c>
      <c r="N6" s="4963"/>
      <c r="O6" s="4963"/>
      <c r="P6" s="4963"/>
    </row>
    <row r="7" spans="1:16" ht="18.75">
      <c r="C7" s="53" t="s">
        <v>15186</v>
      </c>
      <c r="D7" s="53"/>
      <c r="E7" s="79" t="s">
        <v>2121</v>
      </c>
      <c r="F7" s="58">
        <v>367</v>
      </c>
      <c r="G7" s="53" t="s">
        <v>13007</v>
      </c>
      <c r="H7" t="s">
        <v>1350</v>
      </c>
      <c r="N7" s="4963"/>
      <c r="O7" s="4963"/>
      <c r="P7" s="4963"/>
    </row>
    <row r="8" spans="1:16" ht="18.75">
      <c r="C8" s="53" t="s">
        <v>15077</v>
      </c>
      <c r="D8" s="53"/>
      <c r="E8" s="79" t="s">
        <v>2252</v>
      </c>
      <c r="F8" s="61">
        <v>0.3</v>
      </c>
      <c r="G8" s="53"/>
      <c r="H8" t="s">
        <v>1350</v>
      </c>
      <c r="N8" s="4963"/>
      <c r="O8" s="4963"/>
      <c r="P8" s="4963"/>
    </row>
    <row r="9" spans="1:16" ht="18.75">
      <c r="C9" s="80" t="s">
        <v>15187</v>
      </c>
      <c r="D9" s="80"/>
      <c r="E9" s="81" t="s">
        <v>15114</v>
      </c>
      <c r="F9" s="82">
        <f>0.000096</f>
        <v>9.6000000000000002E-5</v>
      </c>
      <c r="G9" s="80" t="s">
        <v>15188</v>
      </c>
      <c r="N9" s="4963"/>
      <c r="O9" s="4963"/>
      <c r="P9" s="4963"/>
    </row>
    <row r="10" spans="1:16" ht="18.75">
      <c r="C10" s="62"/>
      <c r="D10" s="62"/>
      <c r="E10" s="65"/>
      <c r="F10" s="64"/>
      <c r="G10" s="62"/>
      <c r="N10" s="4963"/>
      <c r="O10" s="4963"/>
      <c r="P10" s="4963"/>
    </row>
    <row r="11" spans="1:16">
      <c r="B11" s="66" t="s">
        <v>15081</v>
      </c>
      <c r="C11" s="66"/>
      <c r="D11" s="66"/>
      <c r="E11" s="66"/>
      <c r="F11" s="66"/>
      <c r="N11" s="4963"/>
      <c r="O11" s="4963"/>
      <c r="P11" s="4963"/>
    </row>
    <row r="12" spans="1:16" ht="15.75">
      <c r="B12" s="66"/>
      <c r="C12" s="66" t="s">
        <v>9936</v>
      </c>
      <c r="D12" s="66"/>
      <c r="E12" s="67" t="s">
        <v>15082</v>
      </c>
      <c r="F12" s="83" t="s">
        <v>15083</v>
      </c>
      <c r="G12" s="75"/>
      <c r="H12" t="s">
        <v>3205</v>
      </c>
      <c r="N12" s="4963"/>
      <c r="O12" s="4963"/>
      <c r="P12" s="4963"/>
    </row>
    <row r="13" spans="1:16">
      <c r="B13" s="66"/>
      <c r="C13" s="66"/>
      <c r="D13" s="66"/>
      <c r="E13" s="67" t="s">
        <v>1968</v>
      </c>
      <c r="F13" s="84">
        <f>F6*F8</f>
        <v>0.06</v>
      </c>
      <c r="G13" t="s">
        <v>2685</v>
      </c>
      <c r="N13" s="4963"/>
      <c r="O13" s="4963"/>
      <c r="P13" s="4963"/>
    </row>
    <row r="14" spans="1:16">
      <c r="B14" s="66" t="s">
        <v>15084</v>
      </c>
      <c r="C14" s="66"/>
      <c r="D14" s="66"/>
      <c r="E14" s="66"/>
      <c r="F14" s="66"/>
      <c r="N14" s="4963"/>
      <c r="O14" s="4963"/>
      <c r="P14" s="4963"/>
    </row>
    <row r="15" spans="1:16" ht="18.75">
      <c r="B15" s="66"/>
      <c r="C15" s="66" t="s">
        <v>15085</v>
      </c>
      <c r="D15" s="66"/>
      <c r="E15" s="67" t="s">
        <v>15086</v>
      </c>
      <c r="I15" s="85"/>
      <c r="N15" s="4963"/>
      <c r="O15" s="4963"/>
      <c r="P15" s="4963"/>
    </row>
    <row r="16" spans="1:16" ht="18.75">
      <c r="B16" s="66"/>
      <c r="C16" s="66"/>
      <c r="D16" s="66"/>
      <c r="E16" s="67"/>
      <c r="F16" s="85"/>
      <c r="I16" s="85"/>
      <c r="N16" s="4963"/>
      <c r="O16" s="4963"/>
      <c r="P16" s="4963"/>
    </row>
    <row r="17" spans="2:16" ht="18.75">
      <c r="B17" s="66"/>
      <c r="C17" s="66"/>
      <c r="D17" s="66"/>
      <c r="E17" s="67" t="s">
        <v>2079</v>
      </c>
      <c r="F17" s="85">
        <f>(F7*K6)/(180*(F13*(F6-F13)))</f>
        <v>762.54444444444403</v>
      </c>
      <c r="G17" t="s">
        <v>15087</v>
      </c>
      <c r="I17" s="85"/>
      <c r="N17" s="4963"/>
      <c r="O17" s="4963"/>
      <c r="P17" s="4963"/>
    </row>
    <row r="18" spans="2:16" ht="15.75">
      <c r="B18" s="66"/>
      <c r="C18" s="66"/>
      <c r="D18" s="66"/>
      <c r="E18" s="67"/>
      <c r="F18" s="68"/>
      <c r="G18" s="75"/>
      <c r="N18" s="4963"/>
      <c r="O18" s="4963"/>
      <c r="P18" s="4963"/>
    </row>
    <row r="19" spans="2:16">
      <c r="B19" s="66"/>
      <c r="C19" s="66" t="s">
        <v>15088</v>
      </c>
      <c r="D19" s="66"/>
      <c r="E19" s="67" t="s">
        <v>15189</v>
      </c>
    </row>
    <row r="20" spans="2:16">
      <c r="B20" s="66"/>
      <c r="C20" s="66"/>
      <c r="D20" s="66"/>
      <c r="E20" s="67"/>
      <c r="F20" s="66"/>
    </row>
    <row r="21" spans="2:16">
      <c r="B21" s="66"/>
      <c r="C21" s="66"/>
      <c r="D21" s="66"/>
      <c r="E21" s="67" t="s">
        <v>2079</v>
      </c>
      <c r="F21" s="66">
        <f>(F17*F13/(2*K6))*60</f>
        <v>436.90476190476198</v>
      </c>
      <c r="G21" t="s">
        <v>227</v>
      </c>
    </row>
    <row r="22" spans="2:16" ht="15.75">
      <c r="B22" s="75"/>
      <c r="D22" s="4963"/>
      <c r="E22" s="4963"/>
    </row>
    <row r="23" spans="2:16" ht="18.75">
      <c r="C23" t="s">
        <v>15090</v>
      </c>
      <c r="E23" s="72" t="s">
        <v>15091</v>
      </c>
      <c r="F23" t="s">
        <v>15092</v>
      </c>
    </row>
    <row r="24" spans="2:16" ht="16.5">
      <c r="E24" s="72" t="s">
        <v>1968</v>
      </c>
      <c r="F24">
        <f>F5*F17</f>
        <v>762.54444444444403</v>
      </c>
      <c r="G24" t="s">
        <v>15087</v>
      </c>
    </row>
    <row r="26" spans="2:16" ht="18.75">
      <c r="C26" t="s">
        <v>15093</v>
      </c>
      <c r="E26" s="72" t="s">
        <v>15094</v>
      </c>
      <c r="F26" t="s">
        <v>15190</v>
      </c>
    </row>
    <row r="27" spans="2:16">
      <c r="E27" s="72" t="s">
        <v>1968</v>
      </c>
      <c r="F27">
        <f>F21*F5</f>
        <v>436.90476190476198</v>
      </c>
      <c r="G27" t="s">
        <v>227</v>
      </c>
    </row>
    <row r="29" spans="2:16">
      <c r="C29" t="s">
        <v>15191</v>
      </c>
      <c r="E29" s="72" t="s">
        <v>2754</v>
      </c>
      <c r="F29" t="s">
        <v>15192</v>
      </c>
    </row>
    <row r="30" spans="2:16">
      <c r="E30" s="72" t="s">
        <v>1968</v>
      </c>
      <c r="F30">
        <f>F9*F24</f>
        <v>7.3204266666666698E-2</v>
      </c>
      <c r="G30" t="s">
        <v>15100</v>
      </c>
    </row>
    <row r="32" spans="2:16">
      <c r="E32" s="72" t="s">
        <v>15193</v>
      </c>
      <c r="F32" t="s">
        <v>15194</v>
      </c>
    </row>
    <row r="33" spans="5:7">
      <c r="E33" s="72" t="s">
        <v>1968</v>
      </c>
      <c r="F33">
        <f>2*F30</f>
        <v>0.14640853333333301</v>
      </c>
      <c r="G33" t="s">
        <v>15100</v>
      </c>
    </row>
  </sheetData>
  <mergeCells count="4">
    <mergeCell ref="A1:M1"/>
    <mergeCell ref="B2:F2"/>
    <mergeCell ref="D22:E22"/>
    <mergeCell ref="N6:P18"/>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186816" r:id="rId3">
          <objectPr defaultSize="0" altText="" r:id="rId4">
            <anchor moveWithCells="1">
              <from>
                <xdr:col>5</xdr:col>
                <xdr:colOff>38100</xdr:colOff>
                <xdr:row>13</xdr:row>
                <xdr:rowOff>104775</xdr:rowOff>
              </from>
              <to>
                <xdr:col>5</xdr:col>
                <xdr:colOff>962025</xdr:colOff>
                <xdr:row>15</xdr:row>
                <xdr:rowOff>190500</xdr:rowOff>
              </to>
            </anchor>
          </objectPr>
        </oleObject>
      </mc:Choice>
      <mc:Fallback>
        <oleObject progId="Equation.DSMT4" shapeId="1186816" r:id="rId3"/>
      </mc:Fallback>
    </mc:AlternateContent>
    <mc:AlternateContent xmlns:mc="http://schemas.openxmlformats.org/markup-compatibility/2006">
      <mc:Choice Requires="x14">
        <oleObject progId="Equation.DSMT4" shapeId="1186817" r:id="rId5">
          <objectPr defaultSize="0" altText="" r:id="rId6">
            <anchor moveWithCells="1">
              <from>
                <xdr:col>5</xdr:col>
                <xdr:colOff>38100</xdr:colOff>
                <xdr:row>17</xdr:row>
                <xdr:rowOff>123825</xdr:rowOff>
              </from>
              <to>
                <xdr:col>5</xdr:col>
                <xdr:colOff>942975</xdr:colOff>
                <xdr:row>19</xdr:row>
                <xdr:rowOff>142875</xdr:rowOff>
              </to>
            </anchor>
          </objectPr>
        </oleObject>
      </mc:Choice>
      <mc:Fallback>
        <oleObject progId="Equation.DSMT4" shapeId="1186817" r:id="rId5"/>
      </mc:Fallback>
    </mc:AlternateContent>
  </oleObjects>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79"/>
  <dimension ref="A1:J28"/>
  <sheetViews>
    <sheetView workbookViewId="0">
      <selection sqref="A1:J2"/>
    </sheetView>
  </sheetViews>
  <sheetFormatPr defaultColWidth="9" defaultRowHeight="14.25"/>
  <cols>
    <col min="1" max="1" width="3.625" customWidth="1"/>
  </cols>
  <sheetData>
    <row r="1" spans="1:10">
      <c r="A1" s="4963" t="s">
        <v>15195</v>
      </c>
      <c r="B1" s="4963"/>
      <c r="C1" s="4963"/>
      <c r="D1" s="4963"/>
      <c r="E1" s="4963"/>
      <c r="F1" s="4963"/>
      <c r="G1" s="4963"/>
      <c r="H1" s="4963"/>
      <c r="I1" s="4963"/>
      <c r="J1" s="4963"/>
    </row>
    <row r="2" spans="1:10">
      <c r="A2" s="4963"/>
      <c r="B2" s="4963"/>
      <c r="C2" s="4963"/>
      <c r="D2" s="4963"/>
      <c r="E2" s="4963"/>
      <c r="F2" s="4963"/>
      <c r="G2" s="4963"/>
      <c r="H2" s="4963"/>
      <c r="I2" s="4963"/>
      <c r="J2" s="4963"/>
    </row>
    <row r="3" spans="1:10">
      <c r="A3" t="s">
        <v>15196</v>
      </c>
    </row>
    <row r="4" spans="1:10">
      <c r="B4" t="s">
        <v>15197</v>
      </c>
    </row>
    <row r="5" spans="1:10">
      <c r="B5" t="s">
        <v>15198</v>
      </c>
    </row>
    <row r="6" spans="1:10">
      <c r="B6" t="s">
        <v>15199</v>
      </c>
    </row>
    <row r="8" spans="1:10">
      <c r="B8" t="s">
        <v>15200</v>
      </c>
    </row>
    <row r="9" spans="1:10">
      <c r="B9" t="s">
        <v>15201</v>
      </c>
    </row>
    <row r="10" spans="1:10">
      <c r="B10" t="s">
        <v>15202</v>
      </c>
    </row>
    <row r="11" spans="1:10">
      <c r="B11" t="s">
        <v>15203</v>
      </c>
    </row>
    <row r="13" spans="1:10">
      <c r="A13" t="s">
        <v>15204</v>
      </c>
    </row>
    <row r="15" spans="1:10">
      <c r="B15" t="s">
        <v>15205</v>
      </c>
    </row>
    <row r="16" spans="1:10">
      <c r="B16" t="s">
        <v>15206</v>
      </c>
    </row>
    <row r="17" spans="1:2">
      <c r="B17" t="s">
        <v>15207</v>
      </c>
    </row>
    <row r="18" spans="1:2">
      <c r="B18" t="s">
        <v>15208</v>
      </c>
    </row>
    <row r="19" spans="1:2">
      <c r="B19" t="s">
        <v>15209</v>
      </c>
    </row>
    <row r="23" spans="1:2">
      <c r="A23" t="s">
        <v>15210</v>
      </c>
    </row>
    <row r="24" spans="1:2">
      <c r="A24" t="s">
        <v>15211</v>
      </c>
    </row>
    <row r="25" spans="1:2">
      <c r="A25" t="s">
        <v>15212</v>
      </c>
    </row>
    <row r="26" spans="1:2">
      <c r="A26" t="s">
        <v>15213</v>
      </c>
    </row>
    <row r="27" spans="1:2" ht="18.75">
      <c r="A27" t="s">
        <v>15214</v>
      </c>
    </row>
    <row r="28" spans="1:2">
      <c r="A28" t="s">
        <v>15215</v>
      </c>
    </row>
  </sheetData>
  <mergeCells count="1">
    <mergeCell ref="A1:J2"/>
  </mergeCells>
  <phoneticPr fontId="214" type="noConversion"/>
  <pageMargins left="0.75" right="0.75" top="1" bottom="1" header="0.5" footer="0.5"/>
  <pageSetup paperSize="9" orientation="portrait"/>
  <headerFooter alignWithMargins="0"/>
  <drawing r:id="rId1"/>
  <legacyDrawing r:id="rId2"/>
  <oleObjects>
    <mc:AlternateContent xmlns:mc="http://schemas.openxmlformats.org/markup-compatibility/2006">
      <mc:Choice Requires="x14">
        <oleObject progId="Equation.DSMT4" shapeId="1187840" r:id="rId3">
          <objectPr defaultSize="0" altText="" r:id="rId4">
            <anchor moveWithCells="1">
              <from>
                <xdr:col>2</xdr:col>
                <xdr:colOff>0</xdr:colOff>
                <xdr:row>19</xdr:row>
                <xdr:rowOff>0</xdr:rowOff>
              </from>
              <to>
                <xdr:col>3</xdr:col>
                <xdr:colOff>76200</xdr:colOff>
                <xdr:row>22</xdr:row>
                <xdr:rowOff>0</xdr:rowOff>
              </to>
            </anchor>
          </objectPr>
        </oleObject>
      </mc:Choice>
      <mc:Fallback>
        <oleObject progId="Equation.DSMT4" shapeId="1187840" r:id="rId3"/>
      </mc:Fallback>
    </mc:AlternateContent>
  </oleObject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0"/>
  <dimension ref="B1:L40"/>
  <sheetViews>
    <sheetView workbookViewId="0"/>
  </sheetViews>
  <sheetFormatPr defaultColWidth="9" defaultRowHeight="14.25"/>
  <cols>
    <col min="6" max="6" width="12.625"/>
    <col min="8" max="8" width="8.125" customWidth="1"/>
    <col min="11" max="12" width="9.5"/>
  </cols>
  <sheetData>
    <row r="1" spans="2:12" ht="25.5">
      <c r="D1" s="52"/>
      <c r="E1" s="52"/>
      <c r="F1" s="52" t="s">
        <v>15216</v>
      </c>
    </row>
    <row r="2" spans="2:12">
      <c r="B2" t="s">
        <v>15124</v>
      </c>
    </row>
    <row r="4" spans="2:12" ht="18.75">
      <c r="C4" s="53" t="s">
        <v>15217</v>
      </c>
      <c r="D4" s="53"/>
      <c r="E4" s="54" t="s">
        <v>15137</v>
      </c>
      <c r="F4" s="55">
        <v>0.27</v>
      </c>
      <c r="G4" s="56" t="s">
        <v>408</v>
      </c>
      <c r="H4" s="53" t="s">
        <v>1350</v>
      </c>
      <c r="I4" s="53" t="s">
        <v>15126</v>
      </c>
      <c r="J4" s="56" t="s">
        <v>2441</v>
      </c>
      <c r="K4" s="53">
        <v>9.8000000000000007</v>
      </c>
      <c r="L4" t="s">
        <v>2135</v>
      </c>
    </row>
    <row r="5" spans="2:12" ht="18.75">
      <c r="C5" s="53" t="s">
        <v>15138</v>
      </c>
      <c r="D5" s="53"/>
      <c r="E5" s="54" t="s">
        <v>15139</v>
      </c>
      <c r="F5" s="55">
        <v>0.02</v>
      </c>
      <c r="G5" s="56" t="s">
        <v>408</v>
      </c>
      <c r="H5" s="53" t="s">
        <v>1350</v>
      </c>
      <c r="I5" s="53"/>
      <c r="J5" s="56" t="s">
        <v>15218</v>
      </c>
      <c r="K5" s="53">
        <v>3.1415999999999999</v>
      </c>
    </row>
    <row r="6" spans="2:12" ht="18.75">
      <c r="C6" s="53" t="s">
        <v>15144</v>
      </c>
      <c r="D6" s="53"/>
      <c r="E6" s="54" t="s">
        <v>15145</v>
      </c>
      <c r="F6" s="55">
        <v>2700</v>
      </c>
      <c r="G6" s="56" t="s">
        <v>13449</v>
      </c>
      <c r="H6" s="53" t="s">
        <v>1350</v>
      </c>
      <c r="I6" s="76"/>
      <c r="J6" s="76"/>
    </row>
    <row r="7" spans="2:12" ht="18.75">
      <c r="C7" s="4963" t="s">
        <v>15219</v>
      </c>
      <c r="D7" s="4963"/>
      <c r="E7" s="57" t="s">
        <v>235</v>
      </c>
      <c r="F7" s="58">
        <v>12</v>
      </c>
      <c r="G7" s="53" t="s">
        <v>10150</v>
      </c>
      <c r="H7" s="53" t="s">
        <v>1350</v>
      </c>
    </row>
    <row r="8" spans="2:12" ht="18.75">
      <c r="C8" s="59" t="s">
        <v>729</v>
      </c>
      <c r="D8" s="59"/>
      <c r="E8" s="57" t="s">
        <v>430</v>
      </c>
      <c r="F8" s="58">
        <v>25</v>
      </c>
      <c r="G8" s="53" t="s">
        <v>15220</v>
      </c>
      <c r="H8" s="53" t="s">
        <v>1350</v>
      </c>
    </row>
    <row r="9" spans="2:12" ht="20.25">
      <c r="C9" s="53" t="s">
        <v>9904</v>
      </c>
      <c r="D9" s="53"/>
      <c r="E9" s="60" t="s">
        <v>15221</v>
      </c>
      <c r="F9" s="55">
        <v>0.2</v>
      </c>
      <c r="G9" s="56" t="s">
        <v>2685</v>
      </c>
      <c r="H9" s="53" t="s">
        <v>1350</v>
      </c>
    </row>
    <row r="10" spans="2:12" ht="15.75">
      <c r="C10" s="53" t="s">
        <v>15077</v>
      </c>
      <c r="D10" s="53"/>
      <c r="E10" s="56" t="s">
        <v>2252</v>
      </c>
      <c r="F10" s="61">
        <v>0.1</v>
      </c>
      <c r="G10" s="53"/>
      <c r="H10" s="53" t="s">
        <v>1350</v>
      </c>
    </row>
    <row r="11" spans="2:12" ht="18.75">
      <c r="B11" t="s">
        <v>15155</v>
      </c>
      <c r="C11" s="62"/>
      <c r="D11" s="62"/>
      <c r="E11" s="63"/>
      <c r="F11" s="64"/>
      <c r="G11" s="62"/>
    </row>
    <row r="12" spans="2:12" ht="18.75">
      <c r="C12" s="62" t="s">
        <v>15156</v>
      </c>
      <c r="D12" s="62"/>
      <c r="E12" s="63"/>
      <c r="F12" s="64"/>
      <c r="G12" s="62"/>
    </row>
    <row r="13" spans="2:12" ht="20.25">
      <c r="C13" s="62" t="s">
        <v>15157</v>
      </c>
      <c r="D13" s="62"/>
      <c r="E13" s="65" t="s">
        <v>15158</v>
      </c>
      <c r="F13" s="63" t="s">
        <v>15083</v>
      </c>
      <c r="G13" s="62"/>
    </row>
    <row r="14" spans="2:12">
      <c r="C14" s="66"/>
      <c r="D14" s="66"/>
      <c r="E14" s="67" t="s">
        <v>1968</v>
      </c>
      <c r="F14" s="68">
        <f>F9*F10</f>
        <v>0.02</v>
      </c>
      <c r="G14" t="s">
        <v>2685</v>
      </c>
    </row>
    <row r="15" spans="2:12">
      <c r="B15" s="66"/>
      <c r="C15" s="66"/>
      <c r="D15" s="66"/>
      <c r="E15" s="67"/>
      <c r="F15" s="66"/>
    </row>
    <row r="16" spans="2:12">
      <c r="B16" s="66" t="s">
        <v>15084</v>
      </c>
      <c r="C16" s="66"/>
      <c r="D16" s="66"/>
      <c r="E16" s="67"/>
      <c r="F16" s="66"/>
    </row>
    <row r="17" spans="2:7">
      <c r="C17" s="69" t="s">
        <v>15085</v>
      </c>
      <c r="E17" s="70" t="s">
        <v>15222</v>
      </c>
      <c r="F17" s="71" t="s">
        <v>15223</v>
      </c>
    </row>
    <row r="18" spans="2:7" ht="16.5">
      <c r="C18" s="66"/>
      <c r="E18" s="72" t="s">
        <v>1968</v>
      </c>
      <c r="F18">
        <f>(2*K5*F8)/60*F14</f>
        <v>5.2359999999999997E-2</v>
      </c>
      <c r="G18" t="s">
        <v>15087</v>
      </c>
    </row>
    <row r="19" spans="2:7">
      <c r="B19" t="s">
        <v>15224</v>
      </c>
    </row>
    <row r="20" spans="2:7">
      <c r="C20" t="s">
        <v>15225</v>
      </c>
      <c r="E20" s="72" t="s">
        <v>15226</v>
      </c>
      <c r="F20" t="s">
        <v>15227</v>
      </c>
    </row>
    <row r="21" spans="2:7" ht="16.5">
      <c r="F21">
        <f>0.5*F7*F4*F4</f>
        <v>0.43740000000000001</v>
      </c>
      <c r="G21" t="s">
        <v>13624</v>
      </c>
    </row>
    <row r="23" spans="2:7">
      <c r="B23" t="s">
        <v>15096</v>
      </c>
    </row>
    <row r="25" spans="2:7" ht="18.75">
      <c r="C25" s="4963" t="s">
        <v>15164</v>
      </c>
      <c r="D25" s="4963"/>
      <c r="E25" s="72" t="s">
        <v>15099</v>
      </c>
      <c r="F25" s="73">
        <v>0</v>
      </c>
      <c r="G25" t="s">
        <v>15100</v>
      </c>
    </row>
    <row r="26" spans="2:7">
      <c r="C26" s="4963"/>
      <c r="D26" s="4963"/>
      <c r="E26" s="72"/>
    </row>
    <row r="27" spans="2:7">
      <c r="C27" s="4963" t="s">
        <v>15228</v>
      </c>
      <c r="D27" s="4963"/>
      <c r="E27" s="72" t="s">
        <v>15229</v>
      </c>
      <c r="F27" t="s">
        <v>15230</v>
      </c>
    </row>
    <row r="28" spans="2:7">
      <c r="C28" s="74"/>
      <c r="D28" s="74"/>
      <c r="E28" s="72"/>
      <c r="F28">
        <f>(F18+K35)*F21</f>
        <v>2.3383404E-2</v>
      </c>
      <c r="G28" t="s">
        <v>15100</v>
      </c>
    </row>
    <row r="29" spans="2:7">
      <c r="C29" s="74"/>
      <c r="D29" s="74"/>
      <c r="E29" s="72"/>
    </row>
    <row r="30" spans="2:7" ht="18.75">
      <c r="C30" t="s">
        <v>15118</v>
      </c>
      <c r="E30" s="72" t="s">
        <v>2754</v>
      </c>
      <c r="F30" t="s">
        <v>15182</v>
      </c>
    </row>
    <row r="31" spans="2:7">
      <c r="E31" s="72" t="s">
        <v>1968</v>
      </c>
      <c r="F31">
        <f>F28*K37</f>
        <v>4.6766808E-2</v>
      </c>
      <c r="G31" t="s">
        <v>15100</v>
      </c>
    </row>
    <row r="33" spans="2:12" ht="15.75">
      <c r="B33" s="75" t="s">
        <v>15134</v>
      </c>
      <c r="E33" s="72" t="s">
        <v>13498</v>
      </c>
      <c r="F33" t="s">
        <v>15231</v>
      </c>
    </row>
    <row r="34" spans="2:12" ht="19.5" customHeight="1">
      <c r="C34" t="s">
        <v>10195</v>
      </c>
      <c r="F34">
        <f>F21/K35</f>
        <v>397.63636363636402</v>
      </c>
    </row>
    <row r="35" spans="2:12" ht="17.25" customHeight="1">
      <c r="I35" t="s">
        <v>15111</v>
      </c>
      <c r="J35" s="75" t="s">
        <v>15112</v>
      </c>
      <c r="K35" s="55">
        <v>1.1000000000000001E-3</v>
      </c>
      <c r="L35" t="s">
        <v>15106</v>
      </c>
    </row>
    <row r="36" spans="2:12">
      <c r="E36" s="72"/>
    </row>
    <row r="37" spans="2:12" ht="15.75">
      <c r="I37" t="s">
        <v>5888</v>
      </c>
      <c r="J37" s="75" t="s">
        <v>2148</v>
      </c>
      <c r="K37" s="55">
        <v>2</v>
      </c>
      <c r="L37" t="s">
        <v>1350</v>
      </c>
    </row>
    <row r="38" spans="2:12">
      <c r="B38" t="s">
        <v>15232</v>
      </c>
    </row>
    <row r="40" spans="2:12" ht="18.75">
      <c r="C40" t="s">
        <v>15233</v>
      </c>
      <c r="E40" s="72" t="s">
        <v>15234</v>
      </c>
      <c r="F40">
        <f>F21/(K40*K40*K35)</f>
        <v>11.045454545454501</v>
      </c>
      <c r="I40" t="s">
        <v>15152</v>
      </c>
      <c r="J40" t="s">
        <v>14987</v>
      </c>
      <c r="K40" s="55">
        <v>6</v>
      </c>
    </row>
  </sheetData>
  <mergeCells count="3">
    <mergeCell ref="C7:D7"/>
    <mergeCell ref="C27:D27"/>
    <mergeCell ref="C25:D26"/>
  </mergeCells>
  <phoneticPr fontId="214" type="noConversion"/>
  <pageMargins left="0.75" right="0.75" top="1" bottom="1" header="0.5" footer="0.5"/>
  <headerFooter alignWithMargins="0"/>
  <drawing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1"/>
  <dimension ref="A1"/>
  <sheetViews>
    <sheetView zoomScale="85" zoomScaleNormal="85" workbookViewId="0">
      <selection activeCell="K1" sqref="K1"/>
    </sheetView>
  </sheetViews>
  <sheetFormatPr defaultColWidth="8.75" defaultRowHeight="14.25"/>
  <sheetData/>
  <phoneticPr fontId="214" type="noConversion"/>
  <pageMargins left="0.75" right="0.75" top="1" bottom="1" header="0.50902777777777797" footer="0.50902777777777797"/>
  <drawing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2"/>
  <dimension ref="A1:O81"/>
  <sheetViews>
    <sheetView workbookViewId="0">
      <selection sqref="A1:M3"/>
    </sheetView>
  </sheetViews>
  <sheetFormatPr defaultColWidth="8.125" defaultRowHeight="13.5"/>
  <cols>
    <col min="1" max="1" width="11.375" style="25" customWidth="1"/>
    <col min="2" max="2" width="14.125" style="25" customWidth="1"/>
    <col min="3" max="3" width="11.5" style="25" customWidth="1"/>
    <col min="4" max="4" width="8.125" style="25"/>
    <col min="5" max="5" width="9.75" style="25" customWidth="1"/>
    <col min="6" max="6" width="16.625" style="25" customWidth="1"/>
    <col min="7" max="7" width="2.5" style="25" customWidth="1"/>
    <col min="8" max="8" width="11.5" style="25" customWidth="1"/>
    <col min="9" max="9" width="22.875" style="25" customWidth="1"/>
    <col min="10" max="10" width="11.5" style="25" customWidth="1"/>
    <col min="11" max="16384" width="8.125" style="25"/>
  </cols>
  <sheetData>
    <row r="1" spans="1:13">
      <c r="A1" s="6165" t="s">
        <v>15235</v>
      </c>
      <c r="B1" s="6165"/>
      <c r="C1" s="6165"/>
      <c r="D1" s="6165"/>
      <c r="E1" s="6165"/>
      <c r="F1" s="6165"/>
      <c r="G1" s="6165"/>
      <c r="H1" s="6165"/>
      <c r="I1" s="6165"/>
      <c r="J1" s="6165"/>
      <c r="K1" s="6165"/>
      <c r="L1" s="6165"/>
      <c r="M1" s="6165"/>
    </row>
    <row r="2" spans="1:13">
      <c r="A2" s="6165"/>
      <c r="B2" s="6165"/>
      <c r="C2" s="6165"/>
      <c r="D2" s="6165"/>
      <c r="E2" s="6165"/>
      <c r="F2" s="6165"/>
      <c r="G2" s="6165"/>
      <c r="H2" s="6165"/>
      <c r="I2" s="6165"/>
      <c r="J2" s="6165"/>
      <c r="K2" s="6165"/>
      <c r="L2" s="6165"/>
      <c r="M2" s="6165"/>
    </row>
    <row r="3" spans="1:13">
      <c r="A3" s="6165"/>
      <c r="B3" s="6165"/>
      <c r="C3" s="6165"/>
      <c r="D3" s="6165"/>
      <c r="E3" s="6165"/>
      <c r="F3" s="6165"/>
      <c r="G3" s="6165"/>
      <c r="H3" s="6165"/>
      <c r="I3" s="6165"/>
      <c r="J3" s="6165"/>
      <c r="K3" s="6165"/>
      <c r="L3" s="6165"/>
      <c r="M3" s="6165"/>
    </row>
    <row r="4" spans="1:13" ht="40.5">
      <c r="A4" s="6166" t="s">
        <v>15236</v>
      </c>
      <c r="B4" s="6166"/>
      <c r="C4" s="6166"/>
      <c r="D4" s="6166"/>
      <c r="E4" s="26" t="s">
        <v>15237</v>
      </c>
      <c r="F4" s="27">
        <v>0.23599999999999999</v>
      </c>
      <c r="G4" s="28"/>
      <c r="H4" s="6167" t="s">
        <v>15238</v>
      </c>
      <c r="I4" s="6167"/>
      <c r="J4" s="6167"/>
      <c r="K4" s="6167"/>
      <c r="L4" s="43" t="s">
        <v>15239</v>
      </c>
      <c r="M4" s="44">
        <v>6.7000000000000004E-2</v>
      </c>
    </row>
    <row r="5" spans="1:13">
      <c r="A5" s="6166"/>
      <c r="B5" s="6166"/>
      <c r="C5" s="6166"/>
      <c r="D5" s="6166"/>
      <c r="E5" s="29" t="s">
        <v>11142</v>
      </c>
      <c r="F5" s="27">
        <v>6</v>
      </c>
      <c r="G5" s="28"/>
      <c r="H5" s="6168"/>
      <c r="I5" s="6168"/>
      <c r="J5" s="6168"/>
      <c r="K5" s="6168"/>
      <c r="L5" s="45" t="s">
        <v>11142</v>
      </c>
      <c r="M5" s="46">
        <v>4</v>
      </c>
    </row>
    <row r="6" spans="1:13">
      <c r="A6" s="30" t="s">
        <v>15240</v>
      </c>
      <c r="B6" s="31">
        <v>50</v>
      </c>
      <c r="C6" s="25" t="s">
        <v>15241</v>
      </c>
      <c r="D6" s="32">
        <v>2.5</v>
      </c>
      <c r="F6" s="33"/>
      <c r="G6" s="33"/>
      <c r="H6" s="34" t="s">
        <v>15242</v>
      </c>
      <c r="I6" s="47">
        <v>12</v>
      </c>
      <c r="J6" s="48" t="s">
        <v>15241</v>
      </c>
      <c r="K6" s="47">
        <v>1.75</v>
      </c>
      <c r="L6" s="48"/>
      <c r="M6" s="48"/>
    </row>
    <row r="7" spans="1:13" ht="14.25">
      <c r="A7" s="34" t="s">
        <v>15243</v>
      </c>
      <c r="B7" s="35">
        <f>C16</f>
        <v>47.293750000000003</v>
      </c>
      <c r="C7" s="6163"/>
      <c r="D7" s="6163"/>
      <c r="E7" s="6163"/>
      <c r="F7" s="6163"/>
      <c r="G7" s="36"/>
      <c r="H7" s="34" t="s">
        <v>15244</v>
      </c>
      <c r="I7" s="35">
        <f>J16-2*0.05*K6</f>
        <v>9.9306249999999991</v>
      </c>
      <c r="J7" s="48"/>
      <c r="K7" s="48"/>
      <c r="L7" s="48"/>
      <c r="M7" s="48"/>
    </row>
    <row r="8" spans="1:13" ht="14.25">
      <c r="A8" s="34" t="s">
        <v>15244</v>
      </c>
      <c r="B8" s="35">
        <f>C16+F4</f>
        <v>47.52975</v>
      </c>
      <c r="C8" s="6163"/>
      <c r="D8" s="6163"/>
      <c r="E8" s="6163"/>
      <c r="F8" s="6163"/>
      <c r="G8" s="36"/>
      <c r="H8" s="34" t="s">
        <v>15243</v>
      </c>
      <c r="I8" s="35">
        <f>J16-2*0.05*K6-F20</f>
        <v>9.8169600890622206</v>
      </c>
      <c r="J8" s="48"/>
      <c r="K8" s="48"/>
      <c r="L8" s="48"/>
      <c r="M8" s="48"/>
    </row>
    <row r="9" spans="1:13" ht="14.25">
      <c r="A9" s="34" t="s">
        <v>15245</v>
      </c>
      <c r="B9" s="35">
        <f>C17</f>
        <v>48.376249999999999</v>
      </c>
      <c r="C9" s="6163"/>
      <c r="D9" s="6163"/>
      <c r="E9" s="6163"/>
      <c r="F9" s="6163"/>
      <c r="G9" s="36"/>
      <c r="H9" s="34" t="s">
        <v>15246</v>
      </c>
      <c r="I9" s="35">
        <f>J17</f>
        <v>10.863375</v>
      </c>
      <c r="J9" s="48"/>
      <c r="K9" s="48"/>
      <c r="L9" s="48"/>
      <c r="M9" s="48"/>
    </row>
    <row r="10" spans="1:13" ht="14.25">
      <c r="A10" s="34" t="s">
        <v>15246</v>
      </c>
      <c r="B10" s="35">
        <f>C17+C21</f>
        <v>48.627991613380303</v>
      </c>
      <c r="C10" s="6163"/>
      <c r="D10" s="6163"/>
      <c r="E10" s="6163"/>
      <c r="F10" s="6163"/>
      <c r="G10" s="36"/>
      <c r="H10" s="34" t="s">
        <v>15245</v>
      </c>
      <c r="I10" s="35">
        <f>J17-C22</f>
        <v>10.7724430712498</v>
      </c>
      <c r="J10" s="48"/>
      <c r="K10" s="48"/>
      <c r="L10" s="48"/>
      <c r="M10" s="48"/>
    </row>
    <row r="11" spans="1:13" ht="14.25">
      <c r="A11" s="34" t="s">
        <v>15247</v>
      </c>
      <c r="B11" s="35">
        <f>C20</f>
        <v>50</v>
      </c>
      <c r="C11" s="6163"/>
      <c r="D11" s="6163"/>
      <c r="E11" s="6163"/>
      <c r="F11" s="6163"/>
      <c r="G11" s="36"/>
      <c r="H11" s="34" t="s">
        <v>15247</v>
      </c>
      <c r="I11" s="35">
        <f>I6-J18</f>
        <v>11.8368210654465</v>
      </c>
      <c r="J11" s="48"/>
      <c r="K11" s="48"/>
      <c r="L11" s="48"/>
      <c r="M11" s="48"/>
    </row>
    <row r="12" spans="1:13" ht="14.25">
      <c r="A12" s="30"/>
      <c r="C12" s="6163"/>
      <c r="D12" s="6163"/>
      <c r="E12" s="6163"/>
      <c r="F12" s="6163"/>
      <c r="G12" s="36"/>
      <c r="H12" s="34" t="s">
        <v>15248</v>
      </c>
      <c r="I12" s="35">
        <f>I6</f>
        <v>12</v>
      </c>
      <c r="J12" s="48"/>
      <c r="K12" s="48"/>
      <c r="L12" s="48"/>
      <c r="M12" s="48"/>
    </row>
    <row r="13" spans="1:13" ht="14.25">
      <c r="A13" s="30"/>
      <c r="C13" s="6163"/>
      <c r="D13" s="6163"/>
      <c r="E13" s="6163"/>
      <c r="F13" s="6163"/>
      <c r="G13" s="36"/>
      <c r="H13" s="34"/>
      <c r="I13" s="48"/>
      <c r="J13" s="48"/>
      <c r="K13" s="48"/>
      <c r="L13" s="48"/>
      <c r="M13" s="48"/>
    </row>
    <row r="14" spans="1:13" ht="14.25">
      <c r="A14" s="30"/>
      <c r="C14" s="6163"/>
      <c r="D14" s="6163"/>
      <c r="E14" s="6163"/>
      <c r="F14" s="6163"/>
      <c r="G14" s="36"/>
      <c r="H14" s="34"/>
      <c r="I14" s="48"/>
      <c r="J14" s="48"/>
      <c r="K14" s="48"/>
      <c r="L14" s="48"/>
      <c r="M14" s="48"/>
    </row>
    <row r="15" spans="1:13" ht="27">
      <c r="A15" s="30" t="s">
        <v>15249</v>
      </c>
      <c r="C15" s="6163"/>
      <c r="D15" s="6163"/>
      <c r="E15" s="6163"/>
      <c r="F15" s="6163"/>
      <c r="G15" s="36"/>
      <c r="H15" s="34"/>
      <c r="I15" s="48"/>
      <c r="J15" s="48"/>
      <c r="K15" s="48"/>
      <c r="L15" s="48"/>
      <c r="M15" s="48"/>
    </row>
    <row r="16" spans="1:13">
      <c r="A16" s="30" t="s">
        <v>15250</v>
      </c>
      <c r="B16" s="25" t="s">
        <v>15251</v>
      </c>
      <c r="C16" s="25">
        <f>B6-1.0825*D6</f>
        <v>47.293750000000003</v>
      </c>
      <c r="F16" s="33"/>
      <c r="G16" s="33"/>
      <c r="H16" s="34" t="s">
        <v>15252</v>
      </c>
      <c r="I16" s="48" t="s">
        <v>15253</v>
      </c>
      <c r="J16" s="48">
        <f>I6-1.0825*K6</f>
        <v>10.105625</v>
      </c>
      <c r="K16" s="48"/>
      <c r="L16" s="48"/>
      <c r="M16" s="48"/>
    </row>
    <row r="17" spans="1:15">
      <c r="A17" s="30" t="s">
        <v>15254</v>
      </c>
      <c r="B17" s="25" t="s">
        <v>15255</v>
      </c>
      <c r="C17" s="25">
        <f>B6-0.6495*D6</f>
        <v>48.376249999999999</v>
      </c>
      <c r="F17" s="33"/>
      <c r="G17" s="33"/>
      <c r="H17" s="34" t="s">
        <v>15256</v>
      </c>
      <c r="I17" s="48" t="s">
        <v>15257</v>
      </c>
      <c r="J17" s="48">
        <f>I6-0.6495*K6</f>
        <v>10.863375</v>
      </c>
      <c r="K17" s="48"/>
      <c r="L17" s="48"/>
      <c r="M17" s="48"/>
    </row>
    <row r="18" spans="1:15" ht="41.25" customHeight="1">
      <c r="A18" s="30" t="s">
        <v>15258</v>
      </c>
      <c r="B18" s="25" t="s">
        <v>15259</v>
      </c>
      <c r="D18" s="37" t="s">
        <v>15260</v>
      </c>
      <c r="E18" s="25" t="s">
        <v>15261</v>
      </c>
      <c r="F18" s="33"/>
      <c r="G18" s="33"/>
      <c r="H18" s="34" t="s">
        <v>10208</v>
      </c>
      <c r="I18" s="48" t="s">
        <v>15262</v>
      </c>
      <c r="J18" s="48">
        <f>IF(M5=4,B24,1)*IF(M5=5,C24,1)*IF(M5=6,D24,1)*IF(M5=7,E24,1)*(180*POWER(K6,0.66666666667)-3.15*POWER(K6,-0.5))*0.001</f>
        <v>0.16317893455346499</v>
      </c>
      <c r="K18" s="48"/>
      <c r="L18" s="48"/>
      <c r="M18" s="48"/>
    </row>
    <row r="19" spans="1:15" ht="26.25" customHeight="1">
      <c r="A19" s="30" t="s">
        <v>15263</v>
      </c>
      <c r="B19" s="25" t="s">
        <v>15264</v>
      </c>
      <c r="C19" s="25">
        <f>I6</f>
        <v>12</v>
      </c>
      <c r="D19" s="37" t="s">
        <v>15265</v>
      </c>
      <c r="E19" s="25" t="s">
        <v>15266</v>
      </c>
      <c r="F19" s="33"/>
      <c r="G19" s="33"/>
      <c r="H19" s="38"/>
      <c r="M19" s="49"/>
    </row>
    <row r="20" spans="1:15" ht="67.5">
      <c r="A20" s="30" t="s">
        <v>15267</v>
      </c>
      <c r="B20" s="25" t="s">
        <v>15268</v>
      </c>
      <c r="C20" s="25">
        <f>B6</f>
        <v>50</v>
      </c>
      <c r="D20" s="37" t="s">
        <v>15269</v>
      </c>
      <c r="E20" s="25" t="s">
        <v>15270</v>
      </c>
      <c r="F20" s="33">
        <f>1.25*C22+0</f>
        <v>0.113664910937776</v>
      </c>
      <c r="G20" s="33"/>
      <c r="H20" s="38"/>
      <c r="M20" s="49"/>
    </row>
    <row r="21" spans="1:15" ht="40.5">
      <c r="A21" s="30" t="s">
        <v>15271</v>
      </c>
      <c r="B21" s="25" t="s">
        <v>15272</v>
      </c>
      <c r="C21" s="25">
        <f>IF(F5=4,B24,1)*IF(F5=5,C24,1)*IF(F5=6,D24,1)*IF(F5=7,E24,1)*118*POWER(D6,0.4)*POWER(B6,0.1)*0.001</f>
        <v>0.25174161338034301</v>
      </c>
      <c r="F21" s="33"/>
      <c r="G21" s="33"/>
      <c r="H21" s="38"/>
      <c r="M21" s="49"/>
    </row>
    <row r="22" spans="1:15" ht="40.5">
      <c r="A22" s="30" t="s">
        <v>15273</v>
      </c>
      <c r="B22" s="25" t="s">
        <v>15274</v>
      </c>
      <c r="C22" s="25">
        <f>IF(M5=4,B24,1)*IF(M5=5,C24,1)*IF(M5=6,D24,1)*IF(M5=7,E24,1)*90*POWER(K6,0.4)*POWER(I6,0.1)*0.001</f>
        <v>9.09319287502207E-2</v>
      </c>
      <c r="F22" s="33"/>
      <c r="G22" s="33"/>
      <c r="H22" s="38"/>
      <c r="J22" s="50"/>
      <c r="M22" s="49"/>
    </row>
    <row r="23" spans="1:15" ht="14.25" customHeight="1">
      <c r="A23" s="30" t="s">
        <v>11142</v>
      </c>
      <c r="B23" s="25">
        <v>4</v>
      </c>
      <c r="C23" s="25">
        <v>5</v>
      </c>
      <c r="D23" s="25">
        <v>6</v>
      </c>
      <c r="E23" s="25">
        <v>7</v>
      </c>
      <c r="F23" s="33"/>
      <c r="G23" s="33"/>
      <c r="H23" s="38"/>
      <c r="M23" s="49"/>
    </row>
    <row r="24" spans="1:15">
      <c r="A24" s="39" t="s">
        <v>15275</v>
      </c>
      <c r="B24" s="40">
        <v>0.63</v>
      </c>
      <c r="C24" s="40">
        <v>0.8</v>
      </c>
      <c r="D24" s="40">
        <v>1</v>
      </c>
      <c r="E24" s="40">
        <v>1.25</v>
      </c>
      <c r="F24" s="40"/>
      <c r="G24" s="40"/>
      <c r="H24" s="41"/>
      <c r="I24" s="40"/>
      <c r="J24" s="40"/>
      <c r="K24" s="40"/>
      <c r="L24" s="40"/>
      <c r="M24" s="51"/>
    </row>
    <row r="26" spans="1:15" ht="27" customHeight="1">
      <c r="A26" s="6163" t="s">
        <v>15276</v>
      </c>
      <c r="B26" s="6163"/>
      <c r="C26" s="6163"/>
      <c r="D26" s="6163"/>
      <c r="E26" s="6163"/>
      <c r="F26" s="6163"/>
      <c r="G26" s="36"/>
      <c r="H26" s="42"/>
      <c r="I26" s="6163" t="s">
        <v>15277</v>
      </c>
      <c r="J26" s="6163"/>
      <c r="K26" s="6163"/>
      <c r="L26" s="6163"/>
      <c r="M26" s="6163"/>
      <c r="N26" s="6163"/>
      <c r="O26" s="6163"/>
    </row>
    <row r="27" spans="1:15">
      <c r="H27" s="42"/>
    </row>
    <row r="28" spans="1:15">
      <c r="H28" s="42"/>
    </row>
    <row r="29" spans="1:15">
      <c r="H29" s="42"/>
    </row>
    <row r="30" spans="1:15">
      <c r="H30" s="42"/>
    </row>
    <row r="31" spans="1:15">
      <c r="H31" s="42"/>
    </row>
    <row r="32" spans="1:15">
      <c r="H32" s="42"/>
    </row>
    <row r="33" spans="8:8">
      <c r="H33" s="42"/>
    </row>
    <row r="34" spans="8:8">
      <c r="H34" s="42"/>
    </row>
    <row r="35" spans="8:8">
      <c r="H35" s="42"/>
    </row>
    <row r="36" spans="8:8">
      <c r="H36" s="42"/>
    </row>
    <row r="37" spans="8:8">
      <c r="H37" s="42"/>
    </row>
    <row r="38" spans="8:8">
      <c r="H38" s="42"/>
    </row>
    <row r="39" spans="8:8">
      <c r="H39" s="42"/>
    </row>
    <row r="40" spans="8:8">
      <c r="H40" s="42"/>
    </row>
    <row r="41" spans="8:8">
      <c r="H41" s="42"/>
    </row>
    <row r="42" spans="8:8">
      <c r="H42" s="42"/>
    </row>
    <row r="43" spans="8:8">
      <c r="H43" s="42"/>
    </row>
    <row r="44" spans="8:8">
      <c r="H44" s="42"/>
    </row>
    <row r="45" spans="8:8">
      <c r="H45" s="42"/>
    </row>
    <row r="46" spans="8:8">
      <c r="H46" s="42"/>
    </row>
    <row r="47" spans="8:8">
      <c r="H47" s="42"/>
    </row>
    <row r="48" spans="8:8">
      <c r="H48" s="42"/>
    </row>
    <row r="49" spans="8:8">
      <c r="H49" s="42"/>
    </row>
    <row r="50" spans="8:8">
      <c r="H50" s="42"/>
    </row>
    <row r="51" spans="8:8">
      <c r="H51" s="42"/>
    </row>
    <row r="52" spans="8:8">
      <c r="H52" s="42"/>
    </row>
    <row r="53" spans="8:8">
      <c r="H53" s="42"/>
    </row>
    <row r="54" spans="8:8">
      <c r="H54" s="42"/>
    </row>
    <row r="55" spans="8:8">
      <c r="H55" s="42"/>
    </row>
    <row r="56" spans="8:8">
      <c r="H56" s="42"/>
    </row>
    <row r="57" spans="8:8">
      <c r="H57" s="42"/>
    </row>
    <row r="58" spans="8:8">
      <c r="H58" s="42"/>
    </row>
    <row r="59" spans="8:8">
      <c r="H59" s="42"/>
    </row>
    <row r="60" spans="8:8">
      <c r="H60" s="42"/>
    </row>
    <row r="61" spans="8:8">
      <c r="H61" s="42"/>
    </row>
    <row r="62" spans="8:8">
      <c r="H62" s="42"/>
    </row>
    <row r="63" spans="8:8">
      <c r="H63" s="42"/>
    </row>
    <row r="64" spans="8:8">
      <c r="H64" s="42"/>
    </row>
    <row r="65" spans="8:8">
      <c r="H65" s="42"/>
    </row>
    <row r="66" spans="8:8">
      <c r="H66" s="42"/>
    </row>
    <row r="67" spans="8:8">
      <c r="H67" s="42"/>
    </row>
    <row r="68" spans="8:8">
      <c r="H68" s="42"/>
    </row>
    <row r="69" spans="8:8">
      <c r="H69" s="42"/>
    </row>
    <row r="70" spans="8:8">
      <c r="H70" s="42"/>
    </row>
    <row r="71" spans="8:8">
      <c r="H71" s="42"/>
    </row>
    <row r="72" spans="8:8">
      <c r="H72" s="42"/>
    </row>
    <row r="73" spans="8:8">
      <c r="H73" s="42"/>
    </row>
    <row r="74" spans="8:8">
      <c r="H74" s="42"/>
    </row>
    <row r="75" spans="8:8">
      <c r="H75" s="42"/>
    </row>
    <row r="76" spans="8:8">
      <c r="H76" s="42"/>
    </row>
    <row r="77" spans="8:8">
      <c r="H77" s="42"/>
    </row>
    <row r="78" spans="8:8">
      <c r="H78" s="42"/>
    </row>
    <row r="79" spans="8:8">
      <c r="H79" s="42"/>
    </row>
    <row r="80" spans="8:8">
      <c r="H80" s="42"/>
    </row>
    <row r="81" spans="8:8">
      <c r="H81" s="42"/>
    </row>
  </sheetData>
  <mergeCells count="6">
    <mergeCell ref="A26:F26"/>
    <mergeCell ref="I26:O26"/>
    <mergeCell ref="A1:M3"/>
    <mergeCell ref="A4:D5"/>
    <mergeCell ref="C7:F15"/>
    <mergeCell ref="H4:K5"/>
  </mergeCells>
  <phoneticPr fontId="214" type="noConversion"/>
  <pageMargins left="0.75" right="0.75" top="1" bottom="1" header="0.50902777777777797" footer="0.50902777777777797"/>
  <drawing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3"/>
  <dimension ref="A1:J1"/>
  <sheetViews>
    <sheetView workbookViewId="0">
      <selection sqref="A1:J1"/>
    </sheetView>
  </sheetViews>
  <sheetFormatPr defaultColWidth="8.75" defaultRowHeight="14.25"/>
  <sheetData>
    <row r="1" spans="1:10" ht="42" customHeight="1">
      <c r="A1" s="4963" t="s">
        <v>134</v>
      </c>
      <c r="B1" s="4963"/>
      <c r="C1" s="4963"/>
      <c r="D1" s="4963"/>
      <c r="E1" s="4963"/>
      <c r="F1" s="4963"/>
      <c r="G1" s="4963"/>
      <c r="H1" s="4963"/>
      <c r="I1" s="4963"/>
      <c r="J1" s="4963"/>
    </row>
  </sheetData>
  <mergeCells count="1">
    <mergeCell ref="A1:J1"/>
  </mergeCells>
  <phoneticPr fontId="214" type="noConversion"/>
  <pageMargins left="0.75" right="0.75" top="1" bottom="1" header="0.50902777777777797" footer="0.50902777777777797"/>
  <drawing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4">
    <pageSetUpPr fitToPage="1"/>
  </sheetPr>
  <dimension ref="A1"/>
  <sheetViews>
    <sheetView zoomScale="70" zoomScaleNormal="70" workbookViewId="0"/>
  </sheetViews>
  <sheetFormatPr defaultColWidth="8.75" defaultRowHeight="14.25"/>
  <sheetData/>
  <phoneticPr fontId="214" type="noConversion"/>
  <pageMargins left="0.75" right="0.75" top="1" bottom="1" header="0.50902777777777797" footer="0.50902777777777797"/>
  <pageSetup paperSize="9" scale="54" orientation="portrait"/>
  <drawing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codeName="Sheet185"/>
  <dimension ref="B1:AG57"/>
  <sheetViews>
    <sheetView workbookViewId="0">
      <selection activeCell="B4" sqref="B4:AG5"/>
    </sheetView>
  </sheetViews>
  <sheetFormatPr defaultColWidth="8.125" defaultRowHeight="13.5"/>
  <cols>
    <col min="1" max="1" width="0.375" style="6" customWidth="1"/>
    <col min="2" max="3" width="4.5" style="6" customWidth="1"/>
    <col min="4" max="4" width="5.125" style="6" customWidth="1"/>
    <col min="5" max="6" width="4.25" style="6" customWidth="1"/>
    <col min="7" max="7" width="3.5" style="6" customWidth="1"/>
    <col min="8" max="9" width="4.25" style="6" customWidth="1"/>
    <col min="10" max="10" width="3.5" style="6" customWidth="1"/>
    <col min="11" max="11" width="4.25" style="6" customWidth="1"/>
    <col min="12" max="12" width="2.75" style="6" customWidth="1"/>
    <col min="13" max="13" width="3.5" style="6" customWidth="1"/>
    <col min="14" max="14" width="2.125" style="6" customWidth="1"/>
    <col min="15" max="18" width="3.75" style="6" customWidth="1"/>
    <col min="19" max="19" width="5.25" style="6" customWidth="1"/>
    <col min="20" max="20" width="2.875" style="6" customWidth="1"/>
    <col min="21" max="23" width="3.75" style="6" customWidth="1"/>
    <col min="24" max="26" width="4.5" style="6" customWidth="1"/>
    <col min="27" max="28" width="3.75" style="6" customWidth="1"/>
    <col min="29" max="33" width="4.5" style="6" customWidth="1"/>
    <col min="34" max="16384" width="8.125" style="6"/>
  </cols>
  <sheetData>
    <row r="1" spans="2:33" ht="5.0999999999999996" customHeight="1"/>
    <row r="2" spans="2:33">
      <c r="B2" s="6" t="s">
        <v>15278</v>
      </c>
    </row>
    <row r="4" spans="2:33">
      <c r="B4" s="6173" t="s">
        <v>131</v>
      </c>
      <c r="C4" s="6174"/>
      <c r="D4" s="6174"/>
      <c r="E4" s="6174"/>
      <c r="F4" s="6174"/>
      <c r="G4" s="6174"/>
      <c r="H4" s="6174"/>
      <c r="I4" s="6174"/>
      <c r="J4" s="6174"/>
      <c r="K4" s="6174"/>
      <c r="L4" s="6174"/>
      <c r="M4" s="6174"/>
      <c r="N4" s="6174"/>
      <c r="O4" s="6174"/>
      <c r="P4" s="6174"/>
      <c r="Q4" s="6174"/>
      <c r="R4" s="6174"/>
      <c r="S4" s="6174"/>
      <c r="T4" s="6174"/>
      <c r="U4" s="6174"/>
      <c r="V4" s="6174"/>
      <c r="W4" s="6174"/>
      <c r="X4" s="6174"/>
      <c r="Y4" s="6174"/>
      <c r="Z4" s="6174"/>
      <c r="AA4" s="6174"/>
      <c r="AB4" s="6174"/>
      <c r="AC4" s="6174"/>
      <c r="AD4" s="6174"/>
      <c r="AE4" s="6174"/>
      <c r="AF4" s="6174"/>
      <c r="AG4" s="6175"/>
    </row>
    <row r="5" spans="2:33">
      <c r="B5" s="6176"/>
      <c r="C5" s="6177"/>
      <c r="D5" s="6177"/>
      <c r="E5" s="6177"/>
      <c r="F5" s="6177"/>
      <c r="G5" s="6177"/>
      <c r="H5" s="6177"/>
      <c r="I5" s="6177"/>
      <c r="J5" s="6177"/>
      <c r="K5" s="6177"/>
      <c r="L5" s="6177"/>
      <c r="M5" s="6177"/>
      <c r="N5" s="6177"/>
      <c r="O5" s="6177"/>
      <c r="P5" s="6177"/>
      <c r="Q5" s="6177"/>
      <c r="R5" s="6177"/>
      <c r="S5" s="6177"/>
      <c r="T5" s="6177"/>
      <c r="U5" s="6177"/>
      <c r="V5" s="6177"/>
      <c r="W5" s="6177"/>
      <c r="X5" s="6177"/>
      <c r="Y5" s="6177"/>
      <c r="Z5" s="6177"/>
      <c r="AA5" s="6177"/>
      <c r="AB5" s="6177"/>
      <c r="AC5" s="6177"/>
      <c r="AD5" s="6177"/>
      <c r="AE5" s="6177"/>
      <c r="AF5" s="6177"/>
      <c r="AG5" s="6178"/>
    </row>
    <row r="6" spans="2:33" ht="13.5" customHeight="1">
      <c r="B6" s="6199" t="s">
        <v>909</v>
      </c>
      <c r="C6" s="6200"/>
      <c r="D6" s="6201" t="s">
        <v>15279</v>
      </c>
      <c r="E6" s="6202"/>
      <c r="F6" s="6202"/>
      <c r="G6" s="6202"/>
      <c r="H6" s="6202"/>
      <c r="I6" s="6202"/>
      <c r="J6" s="6202"/>
      <c r="K6" s="6202"/>
      <c r="L6" s="6202"/>
      <c r="M6" s="6202"/>
      <c r="N6" s="6203"/>
      <c r="O6" s="6201" t="s">
        <v>15280</v>
      </c>
      <c r="P6" s="6202"/>
      <c r="Q6" s="6202"/>
      <c r="R6" s="6202"/>
      <c r="S6" s="6203"/>
      <c r="T6" s="6201" t="s">
        <v>15281</v>
      </c>
      <c r="U6" s="6202"/>
      <c r="V6" s="6202"/>
      <c r="W6" s="6202"/>
      <c r="X6" s="6202"/>
      <c r="Y6" s="6202"/>
      <c r="Z6" s="6202"/>
      <c r="AA6" s="6202"/>
      <c r="AB6" s="6202"/>
      <c r="AC6" s="6202"/>
      <c r="AD6" s="6202"/>
      <c r="AE6" s="6202"/>
      <c r="AF6" s="6202"/>
      <c r="AG6" s="6204"/>
    </row>
    <row r="7" spans="2:33" ht="13.5" customHeight="1">
      <c r="B7" s="6205" t="s">
        <v>15282</v>
      </c>
      <c r="C7" s="6206"/>
      <c r="D7" s="6179" t="s">
        <v>15283</v>
      </c>
      <c r="E7" s="6180"/>
      <c r="F7" s="6180"/>
      <c r="G7" s="6180"/>
      <c r="H7" s="6180"/>
      <c r="I7" s="6180"/>
      <c r="J7" s="6180"/>
      <c r="K7" s="6180"/>
      <c r="L7" s="6180"/>
      <c r="M7" s="6180"/>
      <c r="N7" s="6181"/>
      <c r="O7" s="15" t="s">
        <v>11743</v>
      </c>
      <c r="P7" s="6213" t="s">
        <v>11745</v>
      </c>
      <c r="Q7" s="6213" t="s">
        <v>11746</v>
      </c>
      <c r="R7" s="15" t="s">
        <v>11742</v>
      </c>
      <c r="S7" s="15" t="s">
        <v>15284</v>
      </c>
      <c r="T7" s="6179" t="s">
        <v>15283</v>
      </c>
      <c r="U7" s="6180"/>
      <c r="V7" s="6180"/>
      <c r="W7" s="6180"/>
      <c r="X7" s="6180"/>
      <c r="Y7" s="6180"/>
      <c r="Z7" s="6180"/>
      <c r="AA7" s="6180"/>
      <c r="AB7" s="6180"/>
      <c r="AC7" s="6180"/>
      <c r="AD7" s="6180"/>
      <c r="AE7" s="6180"/>
      <c r="AF7" s="6180"/>
      <c r="AG7" s="6188"/>
    </row>
    <row r="8" spans="2:33">
      <c r="B8" s="6207"/>
      <c r="C8" s="6206"/>
      <c r="D8" s="6182"/>
      <c r="E8" s="6183"/>
      <c r="F8" s="6183"/>
      <c r="G8" s="6183"/>
      <c r="H8" s="6183"/>
      <c r="I8" s="6183"/>
      <c r="J8" s="6183"/>
      <c r="K8" s="6183"/>
      <c r="L8" s="6183"/>
      <c r="M8" s="6183"/>
      <c r="N8" s="6184"/>
      <c r="O8" s="16" t="s">
        <v>15285</v>
      </c>
      <c r="P8" s="6214"/>
      <c r="Q8" s="6214"/>
      <c r="R8" s="16" t="s">
        <v>11052</v>
      </c>
      <c r="S8" s="17" t="s">
        <v>11741</v>
      </c>
      <c r="T8" s="6182"/>
      <c r="U8" s="6183"/>
      <c r="V8" s="6183"/>
      <c r="W8" s="6183"/>
      <c r="X8" s="6183"/>
      <c r="Y8" s="6183"/>
      <c r="Z8" s="6183"/>
      <c r="AA8" s="6183"/>
      <c r="AB8" s="6183"/>
      <c r="AC8" s="6183"/>
      <c r="AD8" s="6183"/>
      <c r="AE8" s="6183"/>
      <c r="AF8" s="6183"/>
      <c r="AG8" s="6189"/>
    </row>
    <row r="9" spans="2:33">
      <c r="B9" s="6208"/>
      <c r="C9" s="6209"/>
      <c r="D9" s="6185"/>
      <c r="E9" s="6186"/>
      <c r="F9" s="6186"/>
      <c r="G9" s="6186"/>
      <c r="H9" s="6186"/>
      <c r="I9" s="6186"/>
      <c r="J9" s="6186"/>
      <c r="K9" s="6186"/>
      <c r="L9" s="6186"/>
      <c r="M9" s="6186"/>
      <c r="N9" s="6187"/>
      <c r="O9" s="18" t="s">
        <v>11744</v>
      </c>
      <c r="P9" s="6215"/>
      <c r="Q9" s="6215"/>
      <c r="R9" s="18" t="s">
        <v>11745</v>
      </c>
      <c r="S9" s="19" t="s">
        <v>15286</v>
      </c>
      <c r="T9" s="6185"/>
      <c r="U9" s="6186"/>
      <c r="V9" s="6186"/>
      <c r="W9" s="6186"/>
      <c r="X9" s="6186"/>
      <c r="Y9" s="6186"/>
      <c r="Z9" s="6186"/>
      <c r="AA9" s="6186"/>
      <c r="AB9" s="6186"/>
      <c r="AC9" s="6186"/>
      <c r="AD9" s="6186"/>
      <c r="AE9" s="6186"/>
      <c r="AF9" s="6186"/>
      <c r="AG9" s="6190"/>
    </row>
    <row r="10" spans="2:33" ht="13.5" customHeight="1">
      <c r="B10" s="7" t="s">
        <v>2410</v>
      </c>
      <c r="C10" s="8" t="s">
        <v>11052</v>
      </c>
      <c r="D10" s="9" t="s">
        <v>1874</v>
      </c>
      <c r="E10" s="9" t="s">
        <v>2534</v>
      </c>
      <c r="F10" s="9" t="s">
        <v>9733</v>
      </c>
      <c r="G10" s="9" t="s">
        <v>15287</v>
      </c>
      <c r="H10" s="9" t="s">
        <v>411</v>
      </c>
      <c r="I10" s="9" t="s">
        <v>963</v>
      </c>
      <c r="J10" s="9" t="s">
        <v>15288</v>
      </c>
      <c r="K10" s="9" t="s">
        <v>429</v>
      </c>
      <c r="L10" s="9" t="s">
        <v>15289</v>
      </c>
      <c r="M10" s="9" t="s">
        <v>2244</v>
      </c>
      <c r="N10" s="9" t="s">
        <v>1866</v>
      </c>
      <c r="O10" s="6210" t="s">
        <v>15290</v>
      </c>
      <c r="P10" s="6211"/>
      <c r="Q10" s="6212"/>
      <c r="R10" s="6210" t="s">
        <v>3319</v>
      </c>
      <c r="S10" s="6212"/>
      <c r="T10" s="9" t="s">
        <v>408</v>
      </c>
      <c r="U10" s="9" t="s">
        <v>2487</v>
      </c>
      <c r="V10" s="9" t="s">
        <v>1858</v>
      </c>
      <c r="W10" s="9" t="s">
        <v>1966</v>
      </c>
      <c r="X10" s="20" t="s">
        <v>2685</v>
      </c>
      <c r="Y10" s="9" t="s">
        <v>428</v>
      </c>
      <c r="Z10" s="9" t="s">
        <v>4657</v>
      </c>
      <c r="AA10" s="20" t="s">
        <v>412</v>
      </c>
      <c r="AB10" s="9" t="s">
        <v>407</v>
      </c>
      <c r="AC10" s="9" t="s">
        <v>409</v>
      </c>
      <c r="AD10" s="9" t="s">
        <v>395</v>
      </c>
      <c r="AE10" s="9" t="s">
        <v>15291</v>
      </c>
      <c r="AF10" s="9" t="s">
        <v>15292</v>
      </c>
      <c r="AG10" s="22" t="s">
        <v>15293</v>
      </c>
    </row>
    <row r="11" spans="2:33">
      <c r="B11" s="10" t="s">
        <v>11778</v>
      </c>
      <c r="C11" s="11">
        <v>3</v>
      </c>
      <c r="D11" s="11">
        <v>-270</v>
      </c>
      <c r="E11" s="11">
        <v>-140</v>
      </c>
      <c r="F11" s="11">
        <v>-60</v>
      </c>
      <c r="G11" s="11">
        <v>-34</v>
      </c>
      <c r="H11" s="11">
        <v>-20</v>
      </c>
      <c r="I11" s="11">
        <v>-14</v>
      </c>
      <c r="J11" s="11">
        <v>-10</v>
      </c>
      <c r="K11" s="11">
        <v>-6</v>
      </c>
      <c r="L11" s="11">
        <v>-4</v>
      </c>
      <c r="M11" s="11">
        <v>-2</v>
      </c>
      <c r="N11" s="11">
        <v>0</v>
      </c>
      <c r="O11" s="11">
        <v>-2</v>
      </c>
      <c r="P11" s="11">
        <v>-4</v>
      </c>
      <c r="Q11" s="11">
        <v>-6</v>
      </c>
      <c r="R11" s="11">
        <v>0</v>
      </c>
      <c r="S11" s="11">
        <v>0</v>
      </c>
      <c r="T11" s="11">
        <v>2</v>
      </c>
      <c r="U11" s="11">
        <v>4</v>
      </c>
      <c r="V11" s="11">
        <v>6</v>
      </c>
      <c r="W11" s="11">
        <v>10</v>
      </c>
      <c r="X11" s="11">
        <v>14</v>
      </c>
      <c r="Y11" s="21"/>
      <c r="Z11" s="11">
        <v>18</v>
      </c>
      <c r="AA11" s="21"/>
      <c r="AB11" s="11">
        <v>20</v>
      </c>
      <c r="AC11" s="21"/>
      <c r="AD11" s="11">
        <v>26</v>
      </c>
      <c r="AE11" s="11">
        <v>32</v>
      </c>
      <c r="AF11" s="11">
        <v>40</v>
      </c>
      <c r="AG11" s="23">
        <v>60</v>
      </c>
    </row>
    <row r="12" spans="2:33">
      <c r="B12" s="12">
        <v>3</v>
      </c>
      <c r="C12" s="11">
        <v>6</v>
      </c>
      <c r="D12" s="11">
        <v>-270</v>
      </c>
      <c r="E12" s="11">
        <v>-140</v>
      </c>
      <c r="F12" s="11">
        <v>-70</v>
      </c>
      <c r="G12" s="11">
        <v>-46</v>
      </c>
      <c r="H12" s="11">
        <v>-30</v>
      </c>
      <c r="I12" s="11">
        <v>-20</v>
      </c>
      <c r="J12" s="11">
        <v>-14</v>
      </c>
      <c r="K12" s="11">
        <v>-10</v>
      </c>
      <c r="L12" s="11">
        <v>-6</v>
      </c>
      <c r="M12" s="11">
        <v>-4</v>
      </c>
      <c r="N12" s="11">
        <v>0</v>
      </c>
      <c r="O12" s="11">
        <v>-2</v>
      </c>
      <c r="P12" s="11">
        <v>-4</v>
      </c>
      <c r="Q12" s="21"/>
      <c r="R12" s="11">
        <v>1</v>
      </c>
      <c r="S12" s="11">
        <v>0</v>
      </c>
      <c r="T12" s="11">
        <v>4</v>
      </c>
      <c r="U12" s="11">
        <v>8</v>
      </c>
      <c r="V12" s="11">
        <v>12</v>
      </c>
      <c r="W12" s="11">
        <v>15</v>
      </c>
      <c r="X12" s="11">
        <v>19</v>
      </c>
      <c r="Y12" s="21"/>
      <c r="Z12" s="11">
        <v>23</v>
      </c>
      <c r="AA12" s="21"/>
      <c r="AB12" s="11">
        <v>28</v>
      </c>
      <c r="AC12" s="21"/>
      <c r="AD12" s="11">
        <v>35</v>
      </c>
      <c r="AE12" s="11">
        <v>42</v>
      </c>
      <c r="AF12" s="11">
        <v>50</v>
      </c>
      <c r="AG12" s="23">
        <v>80</v>
      </c>
    </row>
    <row r="13" spans="2:33">
      <c r="B13" s="12">
        <v>6</v>
      </c>
      <c r="C13" s="11">
        <v>10</v>
      </c>
      <c r="D13" s="11">
        <v>-280</v>
      </c>
      <c r="E13" s="11">
        <v>-150</v>
      </c>
      <c r="F13" s="11">
        <v>-80</v>
      </c>
      <c r="G13" s="11">
        <v>-56</v>
      </c>
      <c r="H13" s="11">
        <v>-40</v>
      </c>
      <c r="I13" s="11">
        <v>-25</v>
      </c>
      <c r="J13" s="11">
        <v>-18</v>
      </c>
      <c r="K13" s="11">
        <v>-13</v>
      </c>
      <c r="L13" s="11">
        <v>-8</v>
      </c>
      <c r="M13" s="11">
        <v>-5</v>
      </c>
      <c r="N13" s="11">
        <v>0</v>
      </c>
      <c r="O13" s="11">
        <v>-2</v>
      </c>
      <c r="P13" s="11">
        <v>-5</v>
      </c>
      <c r="Q13" s="21"/>
      <c r="R13" s="11">
        <v>1</v>
      </c>
      <c r="S13" s="11">
        <v>0</v>
      </c>
      <c r="T13" s="11">
        <v>6</v>
      </c>
      <c r="U13" s="11">
        <v>10</v>
      </c>
      <c r="V13" s="11">
        <v>15</v>
      </c>
      <c r="W13" s="11">
        <v>19</v>
      </c>
      <c r="X13" s="11">
        <v>23</v>
      </c>
      <c r="Y13" s="21"/>
      <c r="Z13" s="11">
        <v>28</v>
      </c>
      <c r="AA13" s="21"/>
      <c r="AB13" s="11">
        <v>34</v>
      </c>
      <c r="AC13" s="21"/>
      <c r="AD13" s="11">
        <v>42</v>
      </c>
      <c r="AE13" s="11" t="s">
        <v>15294</v>
      </c>
      <c r="AF13" s="11">
        <v>67</v>
      </c>
      <c r="AG13" s="23">
        <v>97</v>
      </c>
    </row>
    <row r="14" spans="2:33">
      <c r="B14" s="12">
        <v>10</v>
      </c>
      <c r="C14" s="11">
        <v>14</v>
      </c>
      <c r="D14" s="6169">
        <v>-290</v>
      </c>
      <c r="E14" s="6169">
        <v>-150</v>
      </c>
      <c r="F14" s="6169">
        <v>-95</v>
      </c>
      <c r="G14" s="6171"/>
      <c r="H14" s="6169">
        <v>-50</v>
      </c>
      <c r="I14" s="6169">
        <v>-32</v>
      </c>
      <c r="J14" s="6171"/>
      <c r="K14" s="6169">
        <v>-16</v>
      </c>
      <c r="L14" s="6171"/>
      <c r="M14" s="6169">
        <v>-6</v>
      </c>
      <c r="N14" s="6169">
        <v>0</v>
      </c>
      <c r="O14" s="6169">
        <v>-3</v>
      </c>
      <c r="P14" s="6169">
        <v>-6</v>
      </c>
      <c r="Q14" s="6171"/>
      <c r="R14" s="6169">
        <v>1</v>
      </c>
      <c r="S14" s="6169">
        <v>0</v>
      </c>
      <c r="T14" s="6169">
        <v>7</v>
      </c>
      <c r="U14" s="6169">
        <v>12</v>
      </c>
      <c r="V14" s="6169">
        <v>18</v>
      </c>
      <c r="W14" s="6169">
        <v>23</v>
      </c>
      <c r="X14" s="6169">
        <v>28</v>
      </c>
      <c r="Y14" s="6171"/>
      <c r="Z14" s="6169">
        <v>33</v>
      </c>
      <c r="AA14" s="21"/>
      <c r="AB14" s="11">
        <v>40</v>
      </c>
      <c r="AC14" s="21"/>
      <c r="AD14" s="11">
        <v>50</v>
      </c>
      <c r="AE14" s="11">
        <v>64</v>
      </c>
      <c r="AF14" s="11">
        <v>90</v>
      </c>
      <c r="AG14" s="23">
        <v>130</v>
      </c>
    </row>
    <row r="15" spans="2:33">
      <c r="B15" s="12">
        <v>14</v>
      </c>
      <c r="C15" s="11">
        <v>18</v>
      </c>
      <c r="D15" s="6170"/>
      <c r="E15" s="6170"/>
      <c r="F15" s="6170"/>
      <c r="G15" s="6172"/>
      <c r="H15" s="6170"/>
      <c r="I15" s="6170"/>
      <c r="J15" s="6172"/>
      <c r="K15" s="6170"/>
      <c r="L15" s="6172"/>
      <c r="M15" s="6170"/>
      <c r="N15" s="6170"/>
      <c r="O15" s="6170"/>
      <c r="P15" s="6170"/>
      <c r="Q15" s="6172"/>
      <c r="R15" s="6170"/>
      <c r="S15" s="6170"/>
      <c r="T15" s="6170"/>
      <c r="U15" s="6170"/>
      <c r="V15" s="6170"/>
      <c r="W15" s="6170"/>
      <c r="X15" s="6170"/>
      <c r="Y15" s="6172"/>
      <c r="Z15" s="6170"/>
      <c r="AA15" s="11">
        <v>39</v>
      </c>
      <c r="AB15" s="11">
        <v>45</v>
      </c>
      <c r="AC15" s="21"/>
      <c r="AD15" s="11">
        <v>60</v>
      </c>
      <c r="AE15" s="11">
        <v>77</v>
      </c>
      <c r="AF15" s="11">
        <v>108</v>
      </c>
      <c r="AG15" s="23">
        <v>150</v>
      </c>
    </row>
    <row r="16" spans="2:33">
      <c r="B16" s="12">
        <v>18</v>
      </c>
      <c r="C16" s="11">
        <v>24</v>
      </c>
      <c r="D16" s="6169">
        <v>-300</v>
      </c>
      <c r="E16" s="6169">
        <v>-160</v>
      </c>
      <c r="F16" s="6169">
        <v>-110</v>
      </c>
      <c r="G16" s="6171"/>
      <c r="H16" s="6169">
        <v>-65</v>
      </c>
      <c r="I16" s="6169">
        <v>-40</v>
      </c>
      <c r="J16" s="6171"/>
      <c r="K16" s="6169">
        <v>-20</v>
      </c>
      <c r="L16" s="6171"/>
      <c r="M16" s="6169">
        <v>-7</v>
      </c>
      <c r="N16" s="6169">
        <v>0</v>
      </c>
      <c r="O16" s="6169">
        <v>-4</v>
      </c>
      <c r="P16" s="6169">
        <v>-8</v>
      </c>
      <c r="Q16" s="6171"/>
      <c r="R16" s="6169">
        <v>2</v>
      </c>
      <c r="S16" s="6169">
        <v>0</v>
      </c>
      <c r="T16" s="6169">
        <v>8</v>
      </c>
      <c r="U16" s="6169">
        <v>15</v>
      </c>
      <c r="V16" s="6169">
        <v>22</v>
      </c>
      <c r="W16" s="6169">
        <v>28</v>
      </c>
      <c r="X16" s="6169">
        <v>35</v>
      </c>
      <c r="Y16" s="21"/>
      <c r="Z16" s="11">
        <v>41</v>
      </c>
      <c r="AA16" s="11">
        <v>47</v>
      </c>
      <c r="AB16" s="11">
        <v>54</v>
      </c>
      <c r="AC16" s="11">
        <v>63</v>
      </c>
      <c r="AD16" s="11">
        <v>73</v>
      </c>
      <c r="AE16" s="11">
        <v>98</v>
      </c>
      <c r="AF16" s="11">
        <v>136</v>
      </c>
      <c r="AG16" s="23">
        <v>188</v>
      </c>
    </row>
    <row r="17" spans="2:33">
      <c r="B17" s="12">
        <v>24</v>
      </c>
      <c r="C17" s="11">
        <v>30</v>
      </c>
      <c r="D17" s="6170"/>
      <c r="E17" s="6170"/>
      <c r="F17" s="6170"/>
      <c r="G17" s="6172"/>
      <c r="H17" s="6170"/>
      <c r="I17" s="6170"/>
      <c r="J17" s="6172"/>
      <c r="K17" s="6170"/>
      <c r="L17" s="6172"/>
      <c r="M17" s="6170"/>
      <c r="N17" s="6170"/>
      <c r="O17" s="6170"/>
      <c r="P17" s="6170"/>
      <c r="Q17" s="6172"/>
      <c r="R17" s="6170"/>
      <c r="S17" s="6170"/>
      <c r="T17" s="6170"/>
      <c r="U17" s="6170"/>
      <c r="V17" s="6170"/>
      <c r="W17" s="6170"/>
      <c r="X17" s="6170"/>
      <c r="Y17" s="11">
        <v>41</v>
      </c>
      <c r="Z17" s="11">
        <v>48</v>
      </c>
      <c r="AA17" s="11">
        <v>55</v>
      </c>
      <c r="AB17" s="11">
        <v>64</v>
      </c>
      <c r="AC17" s="11">
        <v>75</v>
      </c>
      <c r="AD17" s="11">
        <v>88</v>
      </c>
      <c r="AE17" s="11">
        <v>118</v>
      </c>
      <c r="AF17" s="11">
        <v>160</v>
      </c>
      <c r="AG17" s="23">
        <v>218</v>
      </c>
    </row>
    <row r="18" spans="2:33">
      <c r="B18" s="12">
        <v>30</v>
      </c>
      <c r="C18" s="11">
        <v>40</v>
      </c>
      <c r="D18" s="11">
        <v>-310</v>
      </c>
      <c r="E18" s="11">
        <v>-170</v>
      </c>
      <c r="F18" s="11">
        <v>-120</v>
      </c>
      <c r="G18" s="6171"/>
      <c r="H18" s="6169">
        <v>-80</v>
      </c>
      <c r="I18" s="6169">
        <v>-50</v>
      </c>
      <c r="J18" s="6171"/>
      <c r="K18" s="6169">
        <v>-25</v>
      </c>
      <c r="L18" s="6171"/>
      <c r="M18" s="6169">
        <v>-9</v>
      </c>
      <c r="N18" s="6169">
        <v>0</v>
      </c>
      <c r="O18" s="6169">
        <v>-5</v>
      </c>
      <c r="P18" s="6169">
        <v>-10</v>
      </c>
      <c r="Q18" s="6171"/>
      <c r="R18" s="6169">
        <v>2</v>
      </c>
      <c r="S18" s="6169">
        <v>0</v>
      </c>
      <c r="T18" s="6169">
        <v>9</v>
      </c>
      <c r="U18" s="6169">
        <v>17</v>
      </c>
      <c r="V18" s="6169">
        <v>26</v>
      </c>
      <c r="W18" s="6169">
        <v>34</v>
      </c>
      <c r="X18" s="6169">
        <v>43</v>
      </c>
      <c r="Y18" s="11">
        <v>48</v>
      </c>
      <c r="Z18" s="11">
        <v>60</v>
      </c>
      <c r="AA18" s="11">
        <v>68</v>
      </c>
      <c r="AB18" s="11">
        <v>80</v>
      </c>
      <c r="AC18" s="11">
        <v>94</v>
      </c>
      <c r="AD18" s="11">
        <v>112</v>
      </c>
      <c r="AE18" s="11">
        <v>148</v>
      </c>
      <c r="AF18" s="11">
        <v>200</v>
      </c>
      <c r="AG18" s="23">
        <v>274</v>
      </c>
    </row>
    <row r="19" spans="2:33">
      <c r="B19" s="12">
        <v>40</v>
      </c>
      <c r="C19" s="11">
        <v>50</v>
      </c>
      <c r="D19" s="11">
        <v>-320</v>
      </c>
      <c r="E19" s="11">
        <v>-180</v>
      </c>
      <c r="F19" s="11">
        <v>-130</v>
      </c>
      <c r="G19" s="6172"/>
      <c r="H19" s="6170"/>
      <c r="I19" s="6170"/>
      <c r="J19" s="6172"/>
      <c r="K19" s="6170"/>
      <c r="L19" s="6172"/>
      <c r="M19" s="6170"/>
      <c r="N19" s="6170"/>
      <c r="O19" s="6170"/>
      <c r="P19" s="6170"/>
      <c r="Q19" s="6172"/>
      <c r="R19" s="6170"/>
      <c r="S19" s="6170"/>
      <c r="T19" s="6170"/>
      <c r="U19" s="6170"/>
      <c r="V19" s="6170"/>
      <c r="W19" s="6170"/>
      <c r="X19" s="6170"/>
      <c r="Y19" s="11">
        <v>54</v>
      </c>
      <c r="Z19" s="11">
        <v>70</v>
      </c>
      <c r="AA19" s="11">
        <v>81</v>
      </c>
      <c r="AB19" s="11">
        <v>97</v>
      </c>
      <c r="AC19" s="11">
        <v>114</v>
      </c>
      <c r="AD19" s="11">
        <v>136</v>
      </c>
      <c r="AE19" s="11">
        <v>180</v>
      </c>
      <c r="AF19" s="11">
        <v>242</v>
      </c>
      <c r="AG19" s="23">
        <v>325</v>
      </c>
    </row>
    <row r="20" spans="2:33">
      <c r="B20" s="12">
        <v>50</v>
      </c>
      <c r="C20" s="11">
        <v>65</v>
      </c>
      <c r="D20" s="11">
        <v>-340</v>
      </c>
      <c r="E20" s="11">
        <v>-190</v>
      </c>
      <c r="F20" s="11">
        <v>-140</v>
      </c>
      <c r="G20" s="6171"/>
      <c r="H20" s="6169">
        <v>-100</v>
      </c>
      <c r="I20" s="6169">
        <v>-60</v>
      </c>
      <c r="J20" s="6171"/>
      <c r="K20" s="6169">
        <v>-30</v>
      </c>
      <c r="L20" s="6171"/>
      <c r="M20" s="6169">
        <v>-10</v>
      </c>
      <c r="N20" s="6169">
        <v>0</v>
      </c>
      <c r="O20" s="6169">
        <v>-7</v>
      </c>
      <c r="P20" s="6169">
        <v>-12</v>
      </c>
      <c r="Q20" s="6171"/>
      <c r="R20" s="6169">
        <v>2</v>
      </c>
      <c r="S20" s="6169">
        <v>0</v>
      </c>
      <c r="T20" s="6169">
        <v>11</v>
      </c>
      <c r="U20" s="6169">
        <v>20</v>
      </c>
      <c r="V20" s="6169">
        <v>32</v>
      </c>
      <c r="W20" s="11">
        <v>41</v>
      </c>
      <c r="X20" s="11">
        <v>53</v>
      </c>
      <c r="Y20" s="11">
        <v>66</v>
      </c>
      <c r="Z20" s="11">
        <v>87</v>
      </c>
      <c r="AA20" s="11">
        <v>102</v>
      </c>
      <c r="AB20" s="11">
        <v>122</v>
      </c>
      <c r="AC20" s="11">
        <v>144</v>
      </c>
      <c r="AD20" s="11">
        <v>172</v>
      </c>
      <c r="AE20" s="11">
        <v>226</v>
      </c>
      <c r="AF20" s="11">
        <v>300</v>
      </c>
      <c r="AG20" s="23">
        <v>405</v>
      </c>
    </row>
    <row r="21" spans="2:33">
      <c r="B21" s="12">
        <v>65</v>
      </c>
      <c r="C21" s="11">
        <v>80</v>
      </c>
      <c r="D21" s="11">
        <v>-360</v>
      </c>
      <c r="E21" s="11">
        <v>-200</v>
      </c>
      <c r="F21" s="11">
        <v>-150</v>
      </c>
      <c r="G21" s="6172"/>
      <c r="H21" s="6170"/>
      <c r="I21" s="6170"/>
      <c r="J21" s="6172"/>
      <c r="K21" s="6170"/>
      <c r="L21" s="6172"/>
      <c r="M21" s="6170"/>
      <c r="N21" s="6170"/>
      <c r="O21" s="6170"/>
      <c r="P21" s="6170"/>
      <c r="Q21" s="6172"/>
      <c r="R21" s="6170"/>
      <c r="S21" s="6170"/>
      <c r="T21" s="6170"/>
      <c r="U21" s="6170"/>
      <c r="V21" s="6170"/>
      <c r="W21" s="11">
        <v>43</v>
      </c>
      <c r="X21" s="11">
        <v>59</v>
      </c>
      <c r="Y21" s="11">
        <v>75</v>
      </c>
      <c r="Z21" s="11">
        <v>102</v>
      </c>
      <c r="AA21" s="11">
        <v>120</v>
      </c>
      <c r="AB21" s="11">
        <v>146</v>
      </c>
      <c r="AC21" s="11">
        <v>174</v>
      </c>
      <c r="AD21" s="11">
        <v>210</v>
      </c>
      <c r="AE21" s="11">
        <v>274</v>
      </c>
      <c r="AF21" s="11">
        <v>360</v>
      </c>
      <c r="AG21" s="23">
        <v>480</v>
      </c>
    </row>
    <row r="22" spans="2:33">
      <c r="B22" s="12">
        <v>80</v>
      </c>
      <c r="C22" s="11">
        <v>100</v>
      </c>
      <c r="D22" s="11">
        <v>-380</v>
      </c>
      <c r="E22" s="11">
        <v>-220</v>
      </c>
      <c r="F22" s="11">
        <v>-170</v>
      </c>
      <c r="G22" s="6171"/>
      <c r="H22" s="6169">
        <v>-120</v>
      </c>
      <c r="I22" s="6169">
        <v>-72</v>
      </c>
      <c r="J22" s="6171"/>
      <c r="K22" s="6169">
        <v>-36</v>
      </c>
      <c r="L22" s="6171"/>
      <c r="M22" s="6169">
        <v>-12</v>
      </c>
      <c r="N22" s="6169">
        <v>0</v>
      </c>
      <c r="O22" s="6169">
        <v>-9</v>
      </c>
      <c r="P22" s="6169">
        <v>-15</v>
      </c>
      <c r="Q22" s="6171"/>
      <c r="R22" s="6169">
        <v>3</v>
      </c>
      <c r="S22" s="6169">
        <v>0</v>
      </c>
      <c r="T22" s="6169">
        <v>13</v>
      </c>
      <c r="U22" s="6169">
        <v>23</v>
      </c>
      <c r="V22" s="6169">
        <v>37</v>
      </c>
      <c r="W22" s="11">
        <v>51</v>
      </c>
      <c r="X22" s="11">
        <v>71</v>
      </c>
      <c r="Y22" s="11">
        <v>91</v>
      </c>
      <c r="Z22" s="11">
        <v>124</v>
      </c>
      <c r="AA22" s="11">
        <v>146</v>
      </c>
      <c r="AB22" s="11">
        <v>178</v>
      </c>
      <c r="AC22" s="11">
        <v>214</v>
      </c>
      <c r="AD22" s="11">
        <v>258</v>
      </c>
      <c r="AE22" s="11">
        <v>335</v>
      </c>
      <c r="AF22" s="11">
        <v>445</v>
      </c>
      <c r="AG22" s="23">
        <v>585</v>
      </c>
    </row>
    <row r="23" spans="2:33">
      <c r="B23" s="12">
        <v>100</v>
      </c>
      <c r="C23" s="11">
        <v>120</v>
      </c>
      <c r="D23" s="11">
        <v>-410</v>
      </c>
      <c r="E23" s="11">
        <v>-240</v>
      </c>
      <c r="F23" s="11">
        <v>-180</v>
      </c>
      <c r="G23" s="6172"/>
      <c r="H23" s="6170"/>
      <c r="I23" s="6170"/>
      <c r="J23" s="6172"/>
      <c r="K23" s="6170"/>
      <c r="L23" s="6172"/>
      <c r="M23" s="6170"/>
      <c r="N23" s="6170"/>
      <c r="O23" s="6170"/>
      <c r="P23" s="6170"/>
      <c r="Q23" s="6172"/>
      <c r="R23" s="6170"/>
      <c r="S23" s="6170"/>
      <c r="T23" s="6170"/>
      <c r="U23" s="6170"/>
      <c r="V23" s="6170"/>
      <c r="W23" s="11">
        <v>54</v>
      </c>
      <c r="X23" s="11">
        <v>79</v>
      </c>
      <c r="Y23" s="11">
        <v>104</v>
      </c>
      <c r="Z23" s="11">
        <v>144</v>
      </c>
      <c r="AA23" s="11">
        <v>172</v>
      </c>
      <c r="AB23" s="11">
        <v>210</v>
      </c>
      <c r="AC23" s="11">
        <v>254</v>
      </c>
      <c r="AD23" s="11">
        <v>310</v>
      </c>
      <c r="AE23" s="11">
        <v>400</v>
      </c>
      <c r="AF23" s="11">
        <v>525</v>
      </c>
      <c r="AG23" s="23">
        <v>690</v>
      </c>
    </row>
    <row r="24" spans="2:33">
      <c r="B24" s="12">
        <v>120</v>
      </c>
      <c r="C24" s="11">
        <v>140</v>
      </c>
      <c r="D24" s="11">
        <v>-460</v>
      </c>
      <c r="E24" s="11">
        <v>-260</v>
      </c>
      <c r="F24" s="11">
        <v>-200</v>
      </c>
      <c r="G24" s="6171"/>
      <c r="H24" s="6169">
        <v>-145</v>
      </c>
      <c r="I24" s="6169">
        <v>-85</v>
      </c>
      <c r="J24" s="6171"/>
      <c r="K24" s="6169">
        <v>-43</v>
      </c>
      <c r="L24" s="6171"/>
      <c r="M24" s="6169">
        <v>-14</v>
      </c>
      <c r="N24" s="6169">
        <v>0</v>
      </c>
      <c r="O24" s="6169">
        <v>-11</v>
      </c>
      <c r="P24" s="6169">
        <v>-18</v>
      </c>
      <c r="Q24" s="6171"/>
      <c r="R24" s="6169">
        <v>3</v>
      </c>
      <c r="S24" s="6169">
        <v>0</v>
      </c>
      <c r="T24" s="6169">
        <v>15</v>
      </c>
      <c r="U24" s="6169">
        <v>27</v>
      </c>
      <c r="V24" s="6169">
        <v>43</v>
      </c>
      <c r="W24" s="11">
        <v>63</v>
      </c>
      <c r="X24" s="11">
        <v>92</v>
      </c>
      <c r="Y24" s="11">
        <v>122</v>
      </c>
      <c r="Z24" s="11">
        <v>170</v>
      </c>
      <c r="AA24" s="11">
        <v>202</v>
      </c>
      <c r="AB24" s="11">
        <v>248</v>
      </c>
      <c r="AC24" s="11">
        <v>300</v>
      </c>
      <c r="AD24" s="11">
        <v>365</v>
      </c>
      <c r="AE24" s="11">
        <v>470</v>
      </c>
      <c r="AF24" s="11">
        <v>620</v>
      </c>
      <c r="AG24" s="23">
        <v>800</v>
      </c>
    </row>
    <row r="25" spans="2:33">
      <c r="B25" s="12">
        <v>140</v>
      </c>
      <c r="C25" s="11">
        <v>160</v>
      </c>
      <c r="D25" s="11">
        <v>-520</v>
      </c>
      <c r="E25" s="11">
        <v>-280</v>
      </c>
      <c r="F25" s="11">
        <v>-210</v>
      </c>
      <c r="G25" s="6192"/>
      <c r="H25" s="6191"/>
      <c r="I25" s="6191"/>
      <c r="J25" s="6192"/>
      <c r="K25" s="6191"/>
      <c r="L25" s="6192"/>
      <c r="M25" s="6191"/>
      <c r="N25" s="6191"/>
      <c r="O25" s="6191"/>
      <c r="P25" s="6191"/>
      <c r="Q25" s="6192"/>
      <c r="R25" s="6191"/>
      <c r="S25" s="6191"/>
      <c r="T25" s="6191"/>
      <c r="U25" s="6191"/>
      <c r="V25" s="6191"/>
      <c r="W25" s="11">
        <v>65</v>
      </c>
      <c r="X25" s="11">
        <v>100</v>
      </c>
      <c r="Y25" s="11">
        <f>+U39</f>
        <v>0</v>
      </c>
      <c r="Z25" s="11">
        <v>190</v>
      </c>
      <c r="AA25" s="11">
        <v>228</v>
      </c>
      <c r="AB25" s="11">
        <v>280</v>
      </c>
      <c r="AC25" s="11">
        <v>340</v>
      </c>
      <c r="AD25" s="11">
        <v>415</v>
      </c>
      <c r="AE25" s="11">
        <v>535</v>
      </c>
      <c r="AF25" s="11">
        <v>700</v>
      </c>
      <c r="AG25" s="23">
        <v>900</v>
      </c>
    </row>
    <row r="26" spans="2:33">
      <c r="B26" s="12">
        <v>160</v>
      </c>
      <c r="C26" s="11">
        <v>180</v>
      </c>
      <c r="D26" s="11">
        <v>-580</v>
      </c>
      <c r="E26" s="11">
        <v>-310</v>
      </c>
      <c r="F26" s="11">
        <v>-230</v>
      </c>
      <c r="G26" s="6172"/>
      <c r="H26" s="6170"/>
      <c r="I26" s="6170"/>
      <c r="J26" s="6172"/>
      <c r="K26" s="6170"/>
      <c r="L26" s="6172"/>
      <c r="M26" s="6170"/>
      <c r="N26" s="6170"/>
      <c r="O26" s="6170"/>
      <c r="P26" s="6170"/>
      <c r="Q26" s="6172"/>
      <c r="R26" s="6170"/>
      <c r="S26" s="6170"/>
      <c r="T26" s="6170"/>
      <c r="U26" s="6170"/>
      <c r="V26" s="6170"/>
      <c r="W26" s="11">
        <v>68</v>
      </c>
      <c r="X26" s="11">
        <v>108</v>
      </c>
      <c r="Y26" s="11">
        <v>146</v>
      </c>
      <c r="Z26" s="11">
        <v>210</v>
      </c>
      <c r="AA26" s="11">
        <v>252</v>
      </c>
      <c r="AB26" s="11">
        <v>310</v>
      </c>
      <c r="AC26" s="11">
        <v>380</v>
      </c>
      <c r="AD26" s="11">
        <v>465</v>
      </c>
      <c r="AE26" s="11">
        <v>600</v>
      </c>
      <c r="AF26" s="11">
        <v>780</v>
      </c>
      <c r="AG26" s="23">
        <v>1000</v>
      </c>
    </row>
    <row r="27" spans="2:33">
      <c r="B27" s="12">
        <v>180</v>
      </c>
      <c r="C27" s="11">
        <v>200</v>
      </c>
      <c r="D27" s="11">
        <v>-660</v>
      </c>
      <c r="E27" s="11">
        <v>-340</v>
      </c>
      <c r="F27" s="11">
        <v>-240</v>
      </c>
      <c r="G27" s="6171"/>
      <c r="H27" s="6169">
        <v>-170</v>
      </c>
      <c r="I27" s="6169">
        <v>-100</v>
      </c>
      <c r="J27" s="6171"/>
      <c r="K27" s="6169">
        <v>-50</v>
      </c>
      <c r="L27" s="6171"/>
      <c r="M27" s="6169">
        <v>-15</v>
      </c>
      <c r="N27" s="6169">
        <v>0</v>
      </c>
      <c r="O27" s="6169">
        <v>-13</v>
      </c>
      <c r="P27" s="6169">
        <v>-21</v>
      </c>
      <c r="Q27" s="6171"/>
      <c r="R27" s="6169">
        <v>4</v>
      </c>
      <c r="S27" s="6169">
        <v>0</v>
      </c>
      <c r="T27" s="6169">
        <v>17</v>
      </c>
      <c r="U27" s="6169">
        <v>31</v>
      </c>
      <c r="V27" s="6169">
        <v>50</v>
      </c>
      <c r="W27" s="11">
        <v>77</v>
      </c>
      <c r="X27" s="11">
        <v>122</v>
      </c>
      <c r="Y27" s="11">
        <v>166</v>
      </c>
      <c r="Z27" s="11">
        <v>236</v>
      </c>
      <c r="AA27" s="11">
        <v>284</v>
      </c>
      <c r="AB27" s="11">
        <v>350</v>
      </c>
      <c r="AC27" s="11">
        <v>425</v>
      </c>
      <c r="AD27" s="11">
        <v>520</v>
      </c>
      <c r="AE27" s="11">
        <v>670</v>
      </c>
      <c r="AF27" s="11">
        <v>880</v>
      </c>
      <c r="AG27" s="23">
        <v>1150</v>
      </c>
    </row>
    <row r="28" spans="2:33">
      <c r="B28" s="12">
        <v>200</v>
      </c>
      <c r="C28" s="11">
        <v>225</v>
      </c>
      <c r="D28" s="11">
        <v>-740</v>
      </c>
      <c r="E28" s="11">
        <v>-380</v>
      </c>
      <c r="F28" s="11">
        <v>-260</v>
      </c>
      <c r="G28" s="6192"/>
      <c r="H28" s="6191"/>
      <c r="I28" s="6191"/>
      <c r="J28" s="6192"/>
      <c r="K28" s="6191"/>
      <c r="L28" s="6192"/>
      <c r="M28" s="6191"/>
      <c r="N28" s="6191"/>
      <c r="O28" s="6191"/>
      <c r="P28" s="6191"/>
      <c r="Q28" s="6192"/>
      <c r="R28" s="6191"/>
      <c r="S28" s="6191"/>
      <c r="T28" s="6191"/>
      <c r="U28" s="6191"/>
      <c r="V28" s="6191"/>
      <c r="W28" s="11">
        <v>80</v>
      </c>
      <c r="X28" s="11">
        <v>130</v>
      </c>
      <c r="Y28" s="11">
        <v>180</v>
      </c>
      <c r="Z28" s="11">
        <v>258</v>
      </c>
      <c r="AA28" s="11">
        <v>310</v>
      </c>
      <c r="AB28" s="11">
        <v>385</v>
      </c>
      <c r="AC28" s="11">
        <v>470</v>
      </c>
      <c r="AD28" s="11">
        <v>575</v>
      </c>
      <c r="AE28" s="11">
        <v>740</v>
      </c>
      <c r="AF28" s="11">
        <v>960</v>
      </c>
      <c r="AG28" s="23">
        <v>1250</v>
      </c>
    </row>
    <row r="29" spans="2:33">
      <c r="B29" s="12">
        <v>225</v>
      </c>
      <c r="C29" s="11">
        <v>250</v>
      </c>
      <c r="D29" s="11">
        <v>-820</v>
      </c>
      <c r="E29" s="11">
        <v>-420</v>
      </c>
      <c r="F29" s="11">
        <v>-280</v>
      </c>
      <c r="G29" s="6172"/>
      <c r="H29" s="6170"/>
      <c r="I29" s="6170"/>
      <c r="J29" s="6172"/>
      <c r="K29" s="6170"/>
      <c r="L29" s="6172"/>
      <c r="M29" s="6170"/>
      <c r="N29" s="6170"/>
      <c r="O29" s="6170"/>
      <c r="P29" s="6170"/>
      <c r="Q29" s="6172"/>
      <c r="R29" s="6170"/>
      <c r="S29" s="6170"/>
      <c r="T29" s="6170"/>
      <c r="U29" s="6170"/>
      <c r="V29" s="6170"/>
      <c r="W29" s="11">
        <v>84</v>
      </c>
      <c r="X29" s="11">
        <v>140</v>
      </c>
      <c r="Y29" s="11">
        <v>196</v>
      </c>
      <c r="Z29" s="11">
        <v>284</v>
      </c>
      <c r="AA29" s="11">
        <v>340</v>
      </c>
      <c r="AB29" s="11">
        <v>425</v>
      </c>
      <c r="AC29" s="11">
        <v>520</v>
      </c>
      <c r="AD29" s="11">
        <v>640</v>
      </c>
      <c r="AE29" s="11">
        <v>820</v>
      </c>
      <c r="AF29" s="11">
        <v>1050</v>
      </c>
      <c r="AG29" s="23">
        <v>1350</v>
      </c>
    </row>
    <row r="30" spans="2:33">
      <c r="B30" s="12">
        <v>250</v>
      </c>
      <c r="C30" s="11">
        <v>280</v>
      </c>
      <c r="D30" s="11">
        <v>-920</v>
      </c>
      <c r="E30" s="11">
        <v>-480</v>
      </c>
      <c r="F30" s="11">
        <v>-300</v>
      </c>
      <c r="G30" s="6171"/>
      <c r="H30" s="6169">
        <v>-190</v>
      </c>
      <c r="I30" s="6169">
        <v>-110</v>
      </c>
      <c r="J30" s="6171"/>
      <c r="K30" s="6169">
        <v>-56</v>
      </c>
      <c r="L30" s="6171"/>
      <c r="M30" s="6169">
        <v>-17</v>
      </c>
      <c r="N30" s="6169">
        <v>0</v>
      </c>
      <c r="O30" s="6169">
        <v>-16</v>
      </c>
      <c r="P30" s="6169">
        <v>-26</v>
      </c>
      <c r="Q30" s="6171"/>
      <c r="R30" s="6169">
        <v>4</v>
      </c>
      <c r="S30" s="6169">
        <v>0</v>
      </c>
      <c r="T30" s="6169">
        <v>20</v>
      </c>
      <c r="U30" s="6169">
        <v>34</v>
      </c>
      <c r="V30" s="6169">
        <v>56</v>
      </c>
      <c r="W30" s="11">
        <v>94</v>
      </c>
      <c r="X30" s="11">
        <v>158</v>
      </c>
      <c r="Y30" s="11">
        <v>218</v>
      </c>
      <c r="Z30" s="11">
        <v>315</v>
      </c>
      <c r="AA30" s="11">
        <v>385</v>
      </c>
      <c r="AB30" s="11">
        <v>475</v>
      </c>
      <c r="AC30" s="11">
        <v>580</v>
      </c>
      <c r="AD30" s="11">
        <v>710</v>
      </c>
      <c r="AE30" s="11">
        <v>920</v>
      </c>
      <c r="AF30" s="11">
        <v>1200</v>
      </c>
      <c r="AG30" s="23">
        <v>1550</v>
      </c>
    </row>
    <row r="31" spans="2:33">
      <c r="B31" s="12">
        <v>280</v>
      </c>
      <c r="C31" s="11">
        <v>315</v>
      </c>
      <c r="D31" s="11">
        <v>-1050</v>
      </c>
      <c r="E31" s="11">
        <v>-540</v>
      </c>
      <c r="F31" s="11">
        <v>-330</v>
      </c>
      <c r="G31" s="6172"/>
      <c r="H31" s="6170"/>
      <c r="I31" s="6170"/>
      <c r="J31" s="6172"/>
      <c r="K31" s="6170"/>
      <c r="L31" s="6172"/>
      <c r="M31" s="6170"/>
      <c r="N31" s="6170"/>
      <c r="O31" s="6170"/>
      <c r="P31" s="6170"/>
      <c r="Q31" s="6172"/>
      <c r="R31" s="6170"/>
      <c r="S31" s="6170"/>
      <c r="T31" s="6170"/>
      <c r="U31" s="6170"/>
      <c r="V31" s="6170"/>
      <c r="W31" s="11">
        <v>98</v>
      </c>
      <c r="X31" s="11">
        <v>170</v>
      </c>
      <c r="Y31" s="11">
        <v>240</v>
      </c>
      <c r="Z31" s="11">
        <v>350</v>
      </c>
      <c r="AA31" s="11">
        <v>425</v>
      </c>
      <c r="AB31" s="11">
        <v>525</v>
      </c>
      <c r="AC31" s="11">
        <v>650</v>
      </c>
      <c r="AD31" s="11">
        <v>790</v>
      </c>
      <c r="AE31" s="11">
        <v>1000</v>
      </c>
      <c r="AF31" s="11">
        <v>1300</v>
      </c>
      <c r="AG31" s="23">
        <v>1700</v>
      </c>
    </row>
    <row r="32" spans="2:33">
      <c r="B32" s="12">
        <v>315</v>
      </c>
      <c r="C32" s="11">
        <v>355</v>
      </c>
      <c r="D32" s="11">
        <v>-1200</v>
      </c>
      <c r="E32" s="11">
        <v>-600</v>
      </c>
      <c r="F32" s="11">
        <v>-360</v>
      </c>
      <c r="G32" s="6171"/>
      <c r="H32" s="6169">
        <v>-210</v>
      </c>
      <c r="I32" s="6169">
        <v>-125</v>
      </c>
      <c r="J32" s="6171"/>
      <c r="K32" s="6169">
        <v>-62</v>
      </c>
      <c r="L32" s="6169"/>
      <c r="M32" s="6169">
        <v>-18</v>
      </c>
      <c r="N32" s="6169">
        <v>0</v>
      </c>
      <c r="O32" s="6169">
        <v>-18</v>
      </c>
      <c r="P32" s="6169">
        <v>-28</v>
      </c>
      <c r="Q32" s="6171"/>
      <c r="R32" s="6169">
        <v>4</v>
      </c>
      <c r="S32" s="6169">
        <v>0</v>
      </c>
      <c r="T32" s="6169">
        <v>21</v>
      </c>
      <c r="U32" s="6169">
        <v>37</v>
      </c>
      <c r="V32" s="6169">
        <v>62</v>
      </c>
      <c r="W32" s="11">
        <v>108</v>
      </c>
      <c r="X32" s="11">
        <v>190</v>
      </c>
      <c r="Y32" s="11">
        <v>268</v>
      </c>
      <c r="Z32" s="11">
        <v>390</v>
      </c>
      <c r="AA32" s="11">
        <v>475</v>
      </c>
      <c r="AB32" s="11">
        <v>590</v>
      </c>
      <c r="AC32" s="11">
        <v>730</v>
      </c>
      <c r="AD32" s="11">
        <v>910</v>
      </c>
      <c r="AE32" s="11">
        <v>1150</v>
      </c>
      <c r="AF32" s="11">
        <v>1500</v>
      </c>
      <c r="AG32" s="23">
        <v>1900</v>
      </c>
    </row>
    <row r="33" spans="2:33">
      <c r="B33" s="12">
        <v>355</v>
      </c>
      <c r="C33" s="11">
        <v>400</v>
      </c>
      <c r="D33" s="11">
        <v>-1350</v>
      </c>
      <c r="E33" s="11">
        <v>-680</v>
      </c>
      <c r="F33" s="11">
        <v>-400</v>
      </c>
      <c r="G33" s="6172"/>
      <c r="H33" s="6170"/>
      <c r="I33" s="6170"/>
      <c r="J33" s="6172"/>
      <c r="K33" s="6170"/>
      <c r="L33" s="6170"/>
      <c r="M33" s="6170"/>
      <c r="N33" s="6170"/>
      <c r="O33" s="6170"/>
      <c r="P33" s="6170"/>
      <c r="Q33" s="6172"/>
      <c r="R33" s="6170"/>
      <c r="S33" s="6170"/>
      <c r="T33" s="6170"/>
      <c r="U33" s="6170"/>
      <c r="V33" s="6170"/>
      <c r="W33" s="11">
        <v>114</v>
      </c>
      <c r="X33" s="11">
        <v>208</v>
      </c>
      <c r="Y33" s="11">
        <v>294</v>
      </c>
      <c r="Z33" s="11">
        <v>435</v>
      </c>
      <c r="AA33" s="11">
        <v>530</v>
      </c>
      <c r="AB33" s="11">
        <v>660</v>
      </c>
      <c r="AC33" s="11">
        <v>820</v>
      </c>
      <c r="AD33" s="11">
        <v>1000</v>
      </c>
      <c r="AE33" s="11">
        <v>1300</v>
      </c>
      <c r="AF33" s="11">
        <v>1650</v>
      </c>
      <c r="AG33" s="23">
        <v>2100</v>
      </c>
    </row>
    <row r="34" spans="2:33">
      <c r="B34" s="12">
        <v>400</v>
      </c>
      <c r="C34" s="11">
        <v>450</v>
      </c>
      <c r="D34" s="11">
        <v>-1500</v>
      </c>
      <c r="E34" s="11">
        <v>-760</v>
      </c>
      <c r="F34" s="11">
        <v>-440</v>
      </c>
      <c r="G34" s="6171"/>
      <c r="H34" s="6169">
        <v>-230</v>
      </c>
      <c r="I34" s="6169">
        <v>-135</v>
      </c>
      <c r="J34" s="6169"/>
      <c r="K34" s="6169">
        <v>-68</v>
      </c>
      <c r="L34" s="6171"/>
      <c r="M34" s="6169">
        <v>-20</v>
      </c>
      <c r="N34" s="6169">
        <v>0</v>
      </c>
      <c r="O34" s="6169">
        <v>-20</v>
      </c>
      <c r="P34" s="6169">
        <v>-32</v>
      </c>
      <c r="Q34" s="6171"/>
      <c r="R34" s="6169">
        <v>5</v>
      </c>
      <c r="S34" s="6169">
        <v>0</v>
      </c>
      <c r="T34" s="6169">
        <v>23</v>
      </c>
      <c r="U34" s="6169">
        <v>40</v>
      </c>
      <c r="V34" s="6169">
        <v>68</v>
      </c>
      <c r="W34" s="11">
        <v>126</v>
      </c>
      <c r="X34" s="11">
        <v>232</v>
      </c>
      <c r="Y34" s="11">
        <v>330</v>
      </c>
      <c r="Z34" s="11">
        <v>490</v>
      </c>
      <c r="AA34" s="11">
        <v>595</v>
      </c>
      <c r="AB34" s="11">
        <v>740</v>
      </c>
      <c r="AC34" s="11">
        <v>920</v>
      </c>
      <c r="AD34" s="11">
        <v>1100</v>
      </c>
      <c r="AE34" s="11">
        <v>1450</v>
      </c>
      <c r="AF34" s="11">
        <v>1850</v>
      </c>
      <c r="AG34" s="23">
        <v>2400</v>
      </c>
    </row>
    <row r="35" spans="2:33">
      <c r="B35" s="12">
        <v>450</v>
      </c>
      <c r="C35" s="11">
        <v>500</v>
      </c>
      <c r="D35" s="11">
        <v>-1650</v>
      </c>
      <c r="E35" s="11">
        <v>-840</v>
      </c>
      <c r="F35" s="11">
        <v>-480</v>
      </c>
      <c r="G35" s="6172"/>
      <c r="H35" s="6170"/>
      <c r="I35" s="6170"/>
      <c r="J35" s="6170"/>
      <c r="K35" s="6170"/>
      <c r="L35" s="6172"/>
      <c r="M35" s="6170"/>
      <c r="N35" s="6170"/>
      <c r="O35" s="6170"/>
      <c r="P35" s="6170"/>
      <c r="Q35" s="6172"/>
      <c r="R35" s="6170"/>
      <c r="S35" s="6170"/>
      <c r="T35" s="6170"/>
      <c r="U35" s="6170"/>
      <c r="V35" s="6170"/>
      <c r="W35" s="11">
        <v>132</v>
      </c>
      <c r="X35" s="11">
        <v>252</v>
      </c>
      <c r="Y35" s="11">
        <v>360</v>
      </c>
      <c r="Z35" s="11">
        <v>540</v>
      </c>
      <c r="AA35" s="11">
        <v>660</v>
      </c>
      <c r="AB35" s="11">
        <v>820</v>
      </c>
      <c r="AC35" s="11">
        <v>1000</v>
      </c>
      <c r="AD35" s="11">
        <v>1250</v>
      </c>
      <c r="AE35" s="11">
        <v>1600</v>
      </c>
      <c r="AF35" s="11">
        <v>2100</v>
      </c>
      <c r="AG35" s="23">
        <v>2600</v>
      </c>
    </row>
    <row r="36" spans="2:33">
      <c r="B36" s="12">
        <v>500</v>
      </c>
      <c r="C36" s="11">
        <v>560</v>
      </c>
      <c r="D36" s="6171"/>
      <c r="E36" s="6171"/>
      <c r="F36" s="6171"/>
      <c r="G36" s="6171"/>
      <c r="H36" s="6169">
        <v>-260</v>
      </c>
      <c r="I36" s="6169">
        <v>-145</v>
      </c>
      <c r="J36" s="6171"/>
      <c r="K36" s="6169">
        <v>-76</v>
      </c>
      <c r="L36" s="6171"/>
      <c r="M36" s="6169">
        <v>-22</v>
      </c>
      <c r="N36" s="6169">
        <v>0</v>
      </c>
      <c r="O36" s="6171"/>
      <c r="P36" s="6171"/>
      <c r="Q36" s="6171"/>
      <c r="R36" s="6169">
        <v>0</v>
      </c>
      <c r="S36" s="6169">
        <v>0</v>
      </c>
      <c r="T36" s="6169">
        <v>26</v>
      </c>
      <c r="U36" s="6169">
        <v>44</v>
      </c>
      <c r="V36" s="6169">
        <v>78</v>
      </c>
      <c r="W36" s="11">
        <v>150</v>
      </c>
      <c r="X36" s="11">
        <v>280</v>
      </c>
      <c r="Y36" s="11">
        <v>400</v>
      </c>
      <c r="Z36" s="11">
        <v>600</v>
      </c>
      <c r="AA36" s="21"/>
      <c r="AB36" s="21"/>
      <c r="AC36" s="21"/>
      <c r="AD36" s="21"/>
      <c r="AE36" s="21"/>
      <c r="AF36" s="21"/>
      <c r="AG36" s="24"/>
    </row>
    <row r="37" spans="2:33">
      <c r="B37" s="12">
        <v>560</v>
      </c>
      <c r="C37" s="11">
        <v>630</v>
      </c>
      <c r="D37" s="6172"/>
      <c r="E37" s="6172"/>
      <c r="F37" s="6172"/>
      <c r="G37" s="6172"/>
      <c r="H37" s="6170"/>
      <c r="I37" s="6170"/>
      <c r="J37" s="6172"/>
      <c r="K37" s="6170"/>
      <c r="L37" s="6172"/>
      <c r="M37" s="6170"/>
      <c r="N37" s="6170"/>
      <c r="O37" s="6172"/>
      <c r="P37" s="6172"/>
      <c r="Q37" s="6172"/>
      <c r="R37" s="6170"/>
      <c r="S37" s="6170"/>
      <c r="T37" s="6170"/>
      <c r="U37" s="6170"/>
      <c r="V37" s="6170"/>
      <c r="W37" s="11">
        <v>155</v>
      </c>
      <c r="X37" s="11">
        <v>310</v>
      </c>
      <c r="Y37" s="11">
        <v>450</v>
      </c>
      <c r="Z37" s="11">
        <v>660</v>
      </c>
      <c r="AA37" s="21"/>
      <c r="AB37" s="21"/>
      <c r="AC37" s="21"/>
      <c r="AD37" s="21"/>
      <c r="AE37" s="21"/>
      <c r="AF37" s="21"/>
      <c r="AG37" s="24"/>
    </row>
    <row r="38" spans="2:33">
      <c r="B38" s="12">
        <v>630</v>
      </c>
      <c r="C38" s="11">
        <v>710</v>
      </c>
      <c r="D38" s="6171"/>
      <c r="E38" s="6171"/>
      <c r="F38" s="6171"/>
      <c r="G38" s="6171"/>
      <c r="H38" s="6169">
        <v>-290</v>
      </c>
      <c r="I38" s="6169">
        <v>-160</v>
      </c>
      <c r="J38" s="6171"/>
      <c r="K38" s="6169">
        <v>-80</v>
      </c>
      <c r="L38" s="6171"/>
      <c r="M38" s="6169">
        <v>-24</v>
      </c>
      <c r="N38" s="6169">
        <v>0</v>
      </c>
      <c r="O38" s="6171"/>
      <c r="P38" s="6171"/>
      <c r="Q38" s="6171"/>
      <c r="R38" s="6169">
        <v>0</v>
      </c>
      <c r="S38" s="6169">
        <v>0</v>
      </c>
      <c r="T38" s="6169">
        <v>30</v>
      </c>
      <c r="U38" s="6169">
        <v>50</v>
      </c>
      <c r="V38" s="6169">
        <v>88</v>
      </c>
      <c r="W38" s="11">
        <v>175</v>
      </c>
      <c r="X38" s="11">
        <v>340</v>
      </c>
      <c r="Y38" s="11">
        <v>500</v>
      </c>
      <c r="Z38" s="11">
        <v>740</v>
      </c>
      <c r="AA38" s="21"/>
      <c r="AB38" s="21"/>
      <c r="AC38" s="21"/>
      <c r="AD38" s="21"/>
      <c r="AE38" s="21"/>
      <c r="AF38" s="21"/>
      <c r="AG38" s="24"/>
    </row>
    <row r="39" spans="2:33">
      <c r="B39" s="12">
        <v>710</v>
      </c>
      <c r="C39" s="11">
        <v>800</v>
      </c>
      <c r="D39" s="6172"/>
      <c r="E39" s="6172"/>
      <c r="F39" s="6172"/>
      <c r="G39" s="6172"/>
      <c r="H39" s="6170"/>
      <c r="I39" s="6170"/>
      <c r="J39" s="6172"/>
      <c r="K39" s="6170"/>
      <c r="L39" s="6172"/>
      <c r="M39" s="6170"/>
      <c r="N39" s="6170"/>
      <c r="O39" s="6172"/>
      <c r="P39" s="6172"/>
      <c r="Q39" s="6172"/>
      <c r="R39" s="6170"/>
      <c r="S39" s="6170"/>
      <c r="T39" s="6170"/>
      <c r="U39" s="6170"/>
      <c r="V39" s="6170"/>
      <c r="W39" s="11">
        <v>185</v>
      </c>
      <c r="X39" s="11">
        <v>380</v>
      </c>
      <c r="Y39" s="11">
        <v>560</v>
      </c>
      <c r="Z39" s="11">
        <v>840</v>
      </c>
      <c r="AA39" s="21"/>
      <c r="AB39" s="21"/>
      <c r="AC39" s="21"/>
      <c r="AD39" s="21"/>
      <c r="AE39" s="21"/>
      <c r="AF39" s="21"/>
      <c r="AG39" s="24"/>
    </row>
    <row r="40" spans="2:33">
      <c r="B40" s="12">
        <v>800</v>
      </c>
      <c r="C40" s="11">
        <v>900</v>
      </c>
      <c r="D40" s="6171"/>
      <c r="E40" s="6171"/>
      <c r="F40" s="6169"/>
      <c r="G40" s="6171"/>
      <c r="H40" s="6169">
        <v>-320</v>
      </c>
      <c r="I40" s="6169">
        <v>-170</v>
      </c>
      <c r="J40" s="6171"/>
      <c r="K40" s="6169">
        <v>-86</v>
      </c>
      <c r="L40" s="6171"/>
      <c r="M40" s="6169">
        <v>-26</v>
      </c>
      <c r="N40" s="6169">
        <v>0</v>
      </c>
      <c r="O40" s="6171"/>
      <c r="P40" s="6171"/>
      <c r="Q40" s="6171"/>
      <c r="R40" s="6169">
        <v>0</v>
      </c>
      <c r="S40" s="6169">
        <v>0</v>
      </c>
      <c r="T40" s="6169">
        <v>34</v>
      </c>
      <c r="U40" s="6169">
        <v>56</v>
      </c>
      <c r="V40" s="6169">
        <v>100</v>
      </c>
      <c r="W40" s="11">
        <v>210</v>
      </c>
      <c r="X40" s="11">
        <v>430</v>
      </c>
      <c r="Y40" s="11">
        <v>620</v>
      </c>
      <c r="Z40" s="11">
        <v>940</v>
      </c>
      <c r="AA40" s="21"/>
      <c r="AB40" s="21"/>
      <c r="AC40" s="21"/>
      <c r="AD40" s="21"/>
      <c r="AE40" s="21"/>
      <c r="AF40" s="21"/>
      <c r="AG40" s="24"/>
    </row>
    <row r="41" spans="2:33">
      <c r="B41" s="12">
        <v>900</v>
      </c>
      <c r="C41" s="11">
        <v>1000</v>
      </c>
      <c r="D41" s="6172"/>
      <c r="E41" s="6172"/>
      <c r="F41" s="6170"/>
      <c r="G41" s="6172"/>
      <c r="H41" s="6170"/>
      <c r="I41" s="6170"/>
      <c r="J41" s="6172"/>
      <c r="K41" s="6170"/>
      <c r="L41" s="6172"/>
      <c r="M41" s="6170"/>
      <c r="N41" s="6170"/>
      <c r="O41" s="6172"/>
      <c r="P41" s="6172"/>
      <c r="Q41" s="6172"/>
      <c r="R41" s="6170"/>
      <c r="S41" s="6170"/>
      <c r="T41" s="6170"/>
      <c r="U41" s="6170"/>
      <c r="V41" s="6170"/>
      <c r="W41" s="11">
        <v>220</v>
      </c>
      <c r="X41" s="11">
        <v>470</v>
      </c>
      <c r="Y41" s="11">
        <v>680</v>
      </c>
      <c r="Z41" s="11">
        <v>1050</v>
      </c>
      <c r="AA41" s="21"/>
      <c r="AB41" s="21"/>
      <c r="AC41" s="21"/>
      <c r="AD41" s="21"/>
      <c r="AE41" s="21"/>
      <c r="AF41" s="21"/>
      <c r="AG41" s="24"/>
    </row>
    <row r="42" spans="2:33">
      <c r="B42" s="12">
        <v>1000</v>
      </c>
      <c r="C42" s="11">
        <v>1120</v>
      </c>
      <c r="D42" s="6171"/>
      <c r="E42" s="6171"/>
      <c r="F42" s="6171"/>
      <c r="G42" s="6171"/>
      <c r="H42" s="6169">
        <v>-350</v>
      </c>
      <c r="I42" s="6169">
        <v>-195</v>
      </c>
      <c r="J42" s="6171"/>
      <c r="K42" s="6169">
        <v>-98</v>
      </c>
      <c r="L42" s="6171"/>
      <c r="M42" s="6169">
        <v>-28</v>
      </c>
      <c r="N42" s="6169">
        <v>0</v>
      </c>
      <c r="O42" s="6171"/>
      <c r="P42" s="6171"/>
      <c r="Q42" s="6171"/>
      <c r="R42" s="6169">
        <v>0</v>
      </c>
      <c r="S42" s="6169">
        <v>0</v>
      </c>
      <c r="T42" s="6169">
        <v>40</v>
      </c>
      <c r="U42" s="6169">
        <v>66</v>
      </c>
      <c r="V42" s="6169">
        <v>120</v>
      </c>
      <c r="W42" s="11">
        <v>250</v>
      </c>
      <c r="X42" s="11">
        <v>520</v>
      </c>
      <c r="Y42" s="11">
        <v>780</v>
      </c>
      <c r="Z42" s="11">
        <v>1150</v>
      </c>
      <c r="AA42" s="21"/>
      <c r="AB42" s="21"/>
      <c r="AC42" s="21"/>
      <c r="AD42" s="21"/>
      <c r="AE42" s="21"/>
      <c r="AF42" s="21"/>
      <c r="AG42" s="24"/>
    </row>
    <row r="43" spans="2:33">
      <c r="B43" s="12">
        <v>1120</v>
      </c>
      <c r="C43" s="11">
        <v>1250</v>
      </c>
      <c r="D43" s="6172"/>
      <c r="E43" s="6172"/>
      <c r="F43" s="6172"/>
      <c r="G43" s="6172"/>
      <c r="H43" s="6170"/>
      <c r="I43" s="6170"/>
      <c r="J43" s="6172"/>
      <c r="K43" s="6170"/>
      <c r="L43" s="6172"/>
      <c r="M43" s="6170"/>
      <c r="N43" s="6170"/>
      <c r="O43" s="6172"/>
      <c r="P43" s="6172"/>
      <c r="Q43" s="6172"/>
      <c r="R43" s="6170"/>
      <c r="S43" s="6170"/>
      <c r="T43" s="6170"/>
      <c r="U43" s="6170"/>
      <c r="V43" s="6170"/>
      <c r="W43" s="11">
        <v>260</v>
      </c>
      <c r="X43" s="11">
        <v>580</v>
      </c>
      <c r="Y43" s="11">
        <v>840</v>
      </c>
      <c r="Z43" s="11">
        <v>1300</v>
      </c>
      <c r="AA43" s="21"/>
      <c r="AB43" s="21"/>
      <c r="AC43" s="21"/>
      <c r="AD43" s="21"/>
      <c r="AE43" s="21"/>
      <c r="AF43" s="21"/>
      <c r="AG43" s="24"/>
    </row>
    <row r="44" spans="2:33">
      <c r="B44" s="12">
        <v>1250</v>
      </c>
      <c r="C44" s="11">
        <v>1400</v>
      </c>
      <c r="D44" s="6171"/>
      <c r="E44" s="6171"/>
      <c r="F44" s="6171"/>
      <c r="G44" s="6171"/>
      <c r="H44" s="6169">
        <v>-390</v>
      </c>
      <c r="I44" s="6169">
        <v>-220</v>
      </c>
      <c r="J44" s="6171"/>
      <c r="K44" s="6169">
        <v>-110</v>
      </c>
      <c r="L44" s="6171"/>
      <c r="M44" s="6169">
        <v>-30</v>
      </c>
      <c r="N44" s="6171"/>
      <c r="O44" s="6171"/>
      <c r="P44" s="6171"/>
      <c r="Q44" s="6171"/>
      <c r="R44" s="6169">
        <v>0</v>
      </c>
      <c r="S44" s="6169">
        <v>0</v>
      </c>
      <c r="T44" s="6169">
        <v>48</v>
      </c>
      <c r="U44" s="6169">
        <v>78</v>
      </c>
      <c r="V44" s="6169">
        <v>140</v>
      </c>
      <c r="W44" s="11">
        <v>300</v>
      </c>
      <c r="X44" s="11">
        <v>640</v>
      </c>
      <c r="Y44" s="11">
        <v>960</v>
      </c>
      <c r="Z44" s="11">
        <v>1450</v>
      </c>
      <c r="AA44" s="21"/>
      <c r="AB44" s="21"/>
      <c r="AC44" s="21"/>
      <c r="AD44" s="21"/>
      <c r="AE44" s="21"/>
      <c r="AF44" s="21"/>
      <c r="AG44" s="24"/>
    </row>
    <row r="45" spans="2:33">
      <c r="B45" s="12">
        <v>1400</v>
      </c>
      <c r="C45" s="11">
        <v>1600</v>
      </c>
      <c r="D45" s="6172"/>
      <c r="E45" s="6172"/>
      <c r="F45" s="6172"/>
      <c r="G45" s="6172"/>
      <c r="H45" s="6170"/>
      <c r="I45" s="6170"/>
      <c r="J45" s="6172"/>
      <c r="K45" s="6170"/>
      <c r="L45" s="6172"/>
      <c r="M45" s="6170"/>
      <c r="N45" s="6172"/>
      <c r="O45" s="6172"/>
      <c r="P45" s="6172"/>
      <c r="Q45" s="6172"/>
      <c r="R45" s="6170"/>
      <c r="S45" s="6170"/>
      <c r="T45" s="6170"/>
      <c r="U45" s="6170"/>
      <c r="V45" s="6170"/>
      <c r="W45" s="11">
        <v>330</v>
      </c>
      <c r="X45" s="11">
        <v>720</v>
      </c>
      <c r="Y45" s="11">
        <v>1050</v>
      </c>
      <c r="Z45" s="11">
        <v>1600</v>
      </c>
      <c r="AA45" s="21"/>
      <c r="AB45" s="21"/>
      <c r="AC45" s="21"/>
      <c r="AD45" s="21"/>
      <c r="AE45" s="21"/>
      <c r="AF45" s="21"/>
      <c r="AG45" s="24"/>
    </row>
    <row r="46" spans="2:33">
      <c r="B46" s="12">
        <v>1600</v>
      </c>
      <c r="C46" s="11">
        <v>1800</v>
      </c>
      <c r="D46" s="6171"/>
      <c r="E46" s="6171"/>
      <c r="F46" s="6171"/>
      <c r="G46" s="6171"/>
      <c r="H46" s="6169">
        <v>-430</v>
      </c>
      <c r="I46" s="6169">
        <v>-240</v>
      </c>
      <c r="J46" s="6171"/>
      <c r="K46" s="6169">
        <v>-120</v>
      </c>
      <c r="L46" s="6171"/>
      <c r="M46" s="6169">
        <v>-32</v>
      </c>
      <c r="N46" s="6169">
        <v>0</v>
      </c>
      <c r="O46" s="6171"/>
      <c r="P46" s="6171"/>
      <c r="Q46" s="6171"/>
      <c r="R46" s="6169">
        <v>0</v>
      </c>
      <c r="S46" s="6169">
        <v>0</v>
      </c>
      <c r="T46" s="6169">
        <v>58</v>
      </c>
      <c r="U46" s="6169">
        <v>92</v>
      </c>
      <c r="V46" s="6169">
        <v>170</v>
      </c>
      <c r="W46" s="11">
        <v>370</v>
      </c>
      <c r="X46" s="11">
        <v>820</v>
      </c>
      <c r="Y46" s="11">
        <v>1200</v>
      </c>
      <c r="Z46" s="11">
        <v>1850</v>
      </c>
      <c r="AA46" s="21"/>
      <c r="AB46" s="21"/>
      <c r="AC46" s="21"/>
      <c r="AD46" s="21"/>
      <c r="AE46" s="21"/>
      <c r="AF46" s="21"/>
      <c r="AG46" s="24"/>
    </row>
    <row r="47" spans="2:33">
      <c r="B47" s="12">
        <v>1800</v>
      </c>
      <c r="C47" s="11">
        <v>2000</v>
      </c>
      <c r="D47" s="6172"/>
      <c r="E47" s="6172"/>
      <c r="F47" s="6172"/>
      <c r="G47" s="6172"/>
      <c r="H47" s="6170"/>
      <c r="I47" s="6170"/>
      <c r="J47" s="6172"/>
      <c r="K47" s="6170"/>
      <c r="L47" s="6172"/>
      <c r="M47" s="6170"/>
      <c r="N47" s="6170"/>
      <c r="O47" s="6172"/>
      <c r="P47" s="6172"/>
      <c r="Q47" s="6172"/>
      <c r="R47" s="6170"/>
      <c r="S47" s="6170"/>
      <c r="T47" s="6170"/>
      <c r="U47" s="6170"/>
      <c r="V47" s="6170"/>
      <c r="W47" s="11">
        <v>400</v>
      </c>
      <c r="X47" s="11">
        <v>920</v>
      </c>
      <c r="Y47" s="11">
        <v>1350</v>
      </c>
      <c r="Z47" s="11">
        <v>2000</v>
      </c>
      <c r="AA47" s="21"/>
      <c r="AB47" s="21"/>
      <c r="AC47" s="21"/>
      <c r="AD47" s="21"/>
      <c r="AE47" s="21"/>
      <c r="AF47" s="21"/>
      <c r="AG47" s="24"/>
    </row>
    <row r="48" spans="2:33">
      <c r="B48" s="12">
        <v>2000</v>
      </c>
      <c r="C48" s="11">
        <v>2240</v>
      </c>
      <c r="D48" s="6171"/>
      <c r="E48" s="6171"/>
      <c r="F48" s="6171"/>
      <c r="G48" s="6171"/>
      <c r="H48" s="6169">
        <v>-480</v>
      </c>
      <c r="I48" s="6169">
        <v>-260</v>
      </c>
      <c r="J48" s="6171"/>
      <c r="K48" s="6169">
        <v>-130</v>
      </c>
      <c r="L48" s="6171"/>
      <c r="M48" s="6169">
        <v>-34</v>
      </c>
      <c r="N48" s="6169">
        <v>0</v>
      </c>
      <c r="O48" s="6171"/>
      <c r="P48" s="6171"/>
      <c r="Q48" s="6171"/>
      <c r="R48" s="6169">
        <v>0</v>
      </c>
      <c r="S48" s="6169">
        <v>0</v>
      </c>
      <c r="T48" s="6169">
        <v>68</v>
      </c>
      <c r="U48" s="6169">
        <v>110</v>
      </c>
      <c r="V48" s="6169">
        <v>195</v>
      </c>
      <c r="W48" s="11">
        <v>440</v>
      </c>
      <c r="X48" s="11">
        <v>1000</v>
      </c>
      <c r="Y48" s="11">
        <v>1500</v>
      </c>
      <c r="Z48" s="11">
        <v>2300</v>
      </c>
      <c r="AA48" s="21"/>
      <c r="AB48" s="21"/>
      <c r="AC48" s="21"/>
      <c r="AD48" s="21"/>
      <c r="AE48" s="21"/>
      <c r="AF48" s="21"/>
      <c r="AG48" s="24"/>
    </row>
    <row r="49" spans="2:33">
      <c r="B49" s="12">
        <v>2240</v>
      </c>
      <c r="C49" s="11">
        <v>2500</v>
      </c>
      <c r="D49" s="6172"/>
      <c r="E49" s="6172"/>
      <c r="F49" s="6172"/>
      <c r="G49" s="6172"/>
      <c r="H49" s="6170"/>
      <c r="I49" s="6170"/>
      <c r="J49" s="6192"/>
      <c r="K49" s="6170"/>
      <c r="L49" s="6192"/>
      <c r="M49" s="6170"/>
      <c r="N49" s="6170"/>
      <c r="O49" s="6172"/>
      <c r="P49" s="6172"/>
      <c r="Q49" s="6172"/>
      <c r="R49" s="6170"/>
      <c r="S49" s="6170"/>
      <c r="T49" s="6170"/>
      <c r="U49" s="6170"/>
      <c r="V49" s="6170"/>
      <c r="W49" s="11">
        <v>460</v>
      </c>
      <c r="X49" s="11">
        <v>1100</v>
      </c>
      <c r="Y49" s="11">
        <v>1650</v>
      </c>
      <c r="Z49" s="11">
        <v>2500</v>
      </c>
      <c r="AA49" s="21"/>
      <c r="AB49" s="21"/>
      <c r="AC49" s="21"/>
      <c r="AD49" s="21"/>
      <c r="AE49" s="21"/>
      <c r="AF49" s="21"/>
      <c r="AG49" s="24"/>
    </row>
    <row r="50" spans="2:33">
      <c r="B50" s="12">
        <v>2500</v>
      </c>
      <c r="C50" s="11">
        <v>2800</v>
      </c>
      <c r="D50" s="6171"/>
      <c r="E50" s="6171"/>
      <c r="F50" s="6171"/>
      <c r="G50" s="6171"/>
      <c r="H50" s="6169">
        <v>-520</v>
      </c>
      <c r="I50" s="6169">
        <v>-290</v>
      </c>
      <c r="J50" s="6192"/>
      <c r="K50" s="6169">
        <v>-145</v>
      </c>
      <c r="L50" s="6192"/>
      <c r="M50" s="6169">
        <v>-38</v>
      </c>
      <c r="N50" s="6169">
        <v>0</v>
      </c>
      <c r="O50" s="6171"/>
      <c r="P50" s="6171"/>
      <c r="Q50" s="6171"/>
      <c r="R50" s="6169">
        <v>0</v>
      </c>
      <c r="S50" s="6169">
        <v>0</v>
      </c>
      <c r="T50" s="6169">
        <v>76</v>
      </c>
      <c r="U50" s="6169">
        <v>135</v>
      </c>
      <c r="V50" s="6169">
        <v>240</v>
      </c>
      <c r="W50" s="11">
        <v>550</v>
      </c>
      <c r="X50" s="11">
        <v>1250</v>
      </c>
      <c r="Y50" s="11">
        <v>1900</v>
      </c>
      <c r="Z50" s="11">
        <v>2900</v>
      </c>
      <c r="AA50" s="21"/>
      <c r="AB50" s="21"/>
      <c r="AC50" s="21"/>
      <c r="AD50" s="21"/>
      <c r="AE50" s="21"/>
      <c r="AF50" s="21"/>
      <c r="AG50" s="24"/>
    </row>
    <row r="51" spans="2:33">
      <c r="B51" s="12">
        <v>2800</v>
      </c>
      <c r="C51" s="11">
        <v>3150</v>
      </c>
      <c r="D51" s="6172"/>
      <c r="E51" s="6172"/>
      <c r="F51" s="6172"/>
      <c r="G51" s="6172"/>
      <c r="H51" s="6170"/>
      <c r="I51" s="6170"/>
      <c r="J51" s="6172"/>
      <c r="K51" s="6170"/>
      <c r="L51" s="6172"/>
      <c r="M51" s="6170"/>
      <c r="N51" s="6170"/>
      <c r="O51" s="6172"/>
      <c r="P51" s="6172"/>
      <c r="Q51" s="6172"/>
      <c r="R51" s="6170"/>
      <c r="S51" s="6170"/>
      <c r="T51" s="6170"/>
      <c r="U51" s="6170"/>
      <c r="V51" s="6170"/>
      <c r="W51" s="11">
        <v>580</v>
      </c>
      <c r="X51" s="11">
        <v>1400</v>
      </c>
      <c r="Y51" s="11">
        <v>2100</v>
      </c>
      <c r="Z51" s="11">
        <v>3200</v>
      </c>
      <c r="AA51" s="21"/>
      <c r="AB51" s="21"/>
      <c r="AC51" s="21"/>
      <c r="AD51" s="21"/>
      <c r="AE51" s="21"/>
      <c r="AF51" s="21"/>
      <c r="AG51" s="24"/>
    </row>
    <row r="52" spans="2:33">
      <c r="B52" s="6193" t="s">
        <v>15295</v>
      </c>
      <c r="C52" s="6194"/>
      <c r="D52" s="6194"/>
      <c r="E52" s="6194"/>
      <c r="F52" s="6194"/>
      <c r="G52" s="6194"/>
      <c r="H52" s="6194"/>
      <c r="I52" s="6194"/>
      <c r="J52" s="6194"/>
      <c r="K52" s="6194"/>
      <c r="L52" s="6194"/>
      <c r="M52" s="6194"/>
      <c r="N52" s="6194"/>
      <c r="O52" s="6194"/>
      <c r="P52" s="6194"/>
      <c r="Q52" s="6194"/>
      <c r="R52" s="6194"/>
      <c r="S52" s="6194"/>
      <c r="T52" s="6194"/>
      <c r="U52" s="6194"/>
      <c r="V52" s="6194"/>
      <c r="W52" s="6194"/>
      <c r="X52" s="6194"/>
      <c r="Y52" s="6194"/>
      <c r="Z52" s="6194"/>
      <c r="AA52" s="6194"/>
      <c r="AB52" s="6194"/>
      <c r="AC52" s="6194"/>
      <c r="AD52" s="6194"/>
      <c r="AE52" s="6194"/>
      <c r="AF52" s="6194"/>
      <c r="AG52" s="6195"/>
    </row>
    <row r="53" spans="2:33" ht="45" customHeight="1">
      <c r="B53" s="6196" t="s">
        <v>15296</v>
      </c>
      <c r="C53" s="6197"/>
      <c r="D53" s="6197"/>
      <c r="E53" s="6197"/>
      <c r="F53" s="6197"/>
      <c r="G53" s="6197"/>
      <c r="H53" s="6197"/>
      <c r="I53" s="6197"/>
      <c r="J53" s="6197"/>
      <c r="K53" s="6197"/>
      <c r="L53" s="6197"/>
      <c r="M53" s="6197"/>
      <c r="N53" s="6197"/>
      <c r="O53" s="6197"/>
      <c r="P53" s="6197"/>
      <c r="Q53" s="6197"/>
      <c r="R53" s="6197"/>
      <c r="S53" s="6197"/>
      <c r="T53" s="6197"/>
      <c r="U53" s="6197"/>
      <c r="V53" s="6197"/>
      <c r="W53" s="6197"/>
      <c r="X53" s="6197"/>
      <c r="Y53" s="6197"/>
      <c r="Z53" s="6197"/>
      <c r="AA53" s="6197"/>
      <c r="AB53" s="6197"/>
      <c r="AC53" s="6197"/>
      <c r="AD53" s="6197"/>
      <c r="AE53" s="6197"/>
      <c r="AF53" s="6197"/>
      <c r="AG53" s="6198"/>
    </row>
    <row r="54" spans="2:33">
      <c r="B54" s="13"/>
    </row>
    <row r="56" spans="2:33" s="5" customFormat="1" ht="16.5">
      <c r="B56" s="14"/>
    </row>
    <row r="57" spans="2:33" s="5" customFormat="1" ht="16.5">
      <c r="B57" s="14" t="s">
        <v>5433</v>
      </c>
    </row>
  </sheetData>
  <mergeCells count="340">
    <mergeCell ref="B6:C6"/>
    <mergeCell ref="D6:N6"/>
    <mergeCell ref="O6:S6"/>
    <mergeCell ref="T6:AG6"/>
    <mergeCell ref="B7:C7"/>
    <mergeCell ref="B8:C8"/>
    <mergeCell ref="B9:C9"/>
    <mergeCell ref="O10:Q10"/>
    <mergeCell ref="R10:S10"/>
    <mergeCell ref="P7:P9"/>
    <mergeCell ref="Q7:Q9"/>
    <mergeCell ref="B52:AG52"/>
    <mergeCell ref="B53:AG53"/>
    <mergeCell ref="D14:D15"/>
    <mergeCell ref="D16:D17"/>
    <mergeCell ref="D36:D37"/>
    <mergeCell ref="D38:D39"/>
    <mergeCell ref="D40:D41"/>
    <mergeCell ref="D42:D43"/>
    <mergeCell ref="D44:D45"/>
    <mergeCell ref="D46:D47"/>
    <mergeCell ref="D48:D49"/>
    <mergeCell ref="D50:D51"/>
    <mergeCell ref="E14:E15"/>
    <mergeCell ref="E16:E17"/>
    <mergeCell ref="E36:E37"/>
    <mergeCell ref="E38:E39"/>
    <mergeCell ref="E40:E41"/>
    <mergeCell ref="E42:E43"/>
    <mergeCell ref="E44:E45"/>
    <mergeCell ref="E46:E47"/>
    <mergeCell ref="E48:E49"/>
    <mergeCell ref="E50:E51"/>
    <mergeCell ref="F14:F15"/>
    <mergeCell ref="F16:F17"/>
    <mergeCell ref="F36:F37"/>
    <mergeCell ref="F38:F39"/>
    <mergeCell ref="F40:F41"/>
    <mergeCell ref="F42:F43"/>
    <mergeCell ref="F44:F45"/>
    <mergeCell ref="F46:F47"/>
    <mergeCell ref="F48:F49"/>
    <mergeCell ref="F50:F51"/>
    <mergeCell ref="G14:G15"/>
    <mergeCell ref="G16:G17"/>
    <mergeCell ref="G18:G19"/>
    <mergeCell ref="G20:G21"/>
    <mergeCell ref="G22:G23"/>
    <mergeCell ref="G24:G26"/>
    <mergeCell ref="G27:G29"/>
    <mergeCell ref="G30:G31"/>
    <mergeCell ref="G32:G33"/>
    <mergeCell ref="G34:G35"/>
    <mergeCell ref="G36:G37"/>
    <mergeCell ref="G38:G39"/>
    <mergeCell ref="G40:G41"/>
    <mergeCell ref="G42:G43"/>
    <mergeCell ref="G44:G45"/>
    <mergeCell ref="G46:G47"/>
    <mergeCell ref="G48:G49"/>
    <mergeCell ref="G50:G51"/>
    <mergeCell ref="H14:H15"/>
    <mergeCell ref="H16:H17"/>
    <mergeCell ref="H18:H19"/>
    <mergeCell ref="H20:H21"/>
    <mergeCell ref="H22:H23"/>
    <mergeCell ref="H24:H26"/>
    <mergeCell ref="H27:H29"/>
    <mergeCell ref="H30:H31"/>
    <mergeCell ref="H32:H33"/>
    <mergeCell ref="H34:H35"/>
    <mergeCell ref="H36:H37"/>
    <mergeCell ref="H38:H39"/>
    <mergeCell ref="H40:H41"/>
    <mergeCell ref="H42:H43"/>
    <mergeCell ref="H44:H45"/>
    <mergeCell ref="H46:H47"/>
    <mergeCell ref="H48:H49"/>
    <mergeCell ref="H50:H51"/>
    <mergeCell ref="I14:I15"/>
    <mergeCell ref="I16:I17"/>
    <mergeCell ref="I18:I19"/>
    <mergeCell ref="I20:I21"/>
    <mergeCell ref="I22:I23"/>
    <mergeCell ref="I24:I26"/>
    <mergeCell ref="I27:I29"/>
    <mergeCell ref="I30:I31"/>
    <mergeCell ref="I32:I33"/>
    <mergeCell ref="I34:I35"/>
    <mergeCell ref="I36:I37"/>
    <mergeCell ref="I38:I39"/>
    <mergeCell ref="I40:I41"/>
    <mergeCell ref="I42:I43"/>
    <mergeCell ref="I44:I45"/>
    <mergeCell ref="I46:I47"/>
    <mergeCell ref="I48:I49"/>
    <mergeCell ref="I50:I51"/>
    <mergeCell ref="J14:J15"/>
    <mergeCell ref="J16:J17"/>
    <mergeCell ref="J18:J19"/>
    <mergeCell ref="J20:J21"/>
    <mergeCell ref="J22:J23"/>
    <mergeCell ref="J24:J26"/>
    <mergeCell ref="J27:J29"/>
    <mergeCell ref="J30:J31"/>
    <mergeCell ref="J32:J33"/>
    <mergeCell ref="J34:J35"/>
    <mergeCell ref="J36:J37"/>
    <mergeCell ref="J38:J39"/>
    <mergeCell ref="J40:J41"/>
    <mergeCell ref="J42:J43"/>
    <mergeCell ref="J44:J45"/>
    <mergeCell ref="J46:J47"/>
    <mergeCell ref="J48:J51"/>
    <mergeCell ref="K14:K15"/>
    <mergeCell ref="K16:K17"/>
    <mergeCell ref="K18:K19"/>
    <mergeCell ref="K20:K21"/>
    <mergeCell ref="K22:K23"/>
    <mergeCell ref="K24:K26"/>
    <mergeCell ref="K27:K29"/>
    <mergeCell ref="K30:K31"/>
    <mergeCell ref="K32:K33"/>
    <mergeCell ref="K34:K35"/>
    <mergeCell ref="K36:K37"/>
    <mergeCell ref="K38:K39"/>
    <mergeCell ref="K40:K41"/>
    <mergeCell ref="K42:K43"/>
    <mergeCell ref="K44:K45"/>
    <mergeCell ref="K46:K47"/>
    <mergeCell ref="K48:K49"/>
    <mergeCell ref="K50:K51"/>
    <mergeCell ref="L14:L15"/>
    <mergeCell ref="L16:L17"/>
    <mergeCell ref="L18:L19"/>
    <mergeCell ref="L20:L21"/>
    <mergeCell ref="L22:L23"/>
    <mergeCell ref="L24:L26"/>
    <mergeCell ref="L27:L29"/>
    <mergeCell ref="L30:L31"/>
    <mergeCell ref="L32:L33"/>
    <mergeCell ref="L34:L35"/>
    <mergeCell ref="L36:L37"/>
    <mergeCell ref="L38:L39"/>
    <mergeCell ref="L40:L41"/>
    <mergeCell ref="L42:L43"/>
    <mergeCell ref="L44:L45"/>
    <mergeCell ref="L46:L47"/>
    <mergeCell ref="L48:L51"/>
    <mergeCell ref="M36:M37"/>
    <mergeCell ref="M38:M39"/>
    <mergeCell ref="M40:M41"/>
    <mergeCell ref="M42:M43"/>
    <mergeCell ref="M44:M45"/>
    <mergeCell ref="M46:M47"/>
    <mergeCell ref="M48:M49"/>
    <mergeCell ref="M50:M51"/>
    <mergeCell ref="M14:M15"/>
    <mergeCell ref="M16:M17"/>
    <mergeCell ref="M18:M19"/>
    <mergeCell ref="M20:M21"/>
    <mergeCell ref="M22:M23"/>
    <mergeCell ref="M24:M26"/>
    <mergeCell ref="M27:M29"/>
    <mergeCell ref="M30:M31"/>
    <mergeCell ref="M32:M33"/>
    <mergeCell ref="N16:N17"/>
    <mergeCell ref="N18:N19"/>
    <mergeCell ref="N20:N21"/>
    <mergeCell ref="N22:N23"/>
    <mergeCell ref="N24:N26"/>
    <mergeCell ref="N27:N29"/>
    <mergeCell ref="N30:N31"/>
    <mergeCell ref="N32:N33"/>
    <mergeCell ref="M34:M35"/>
    <mergeCell ref="N34:N35"/>
    <mergeCell ref="N36:N37"/>
    <mergeCell ref="N38:N39"/>
    <mergeCell ref="N40:N41"/>
    <mergeCell ref="N42:N43"/>
    <mergeCell ref="N44:N45"/>
    <mergeCell ref="N46:N47"/>
    <mergeCell ref="N48:N49"/>
    <mergeCell ref="N50:N51"/>
    <mergeCell ref="O40:O41"/>
    <mergeCell ref="O42:O43"/>
    <mergeCell ref="O44:O45"/>
    <mergeCell ref="O46:O47"/>
    <mergeCell ref="O48:O49"/>
    <mergeCell ref="O50:O51"/>
    <mergeCell ref="O14:O15"/>
    <mergeCell ref="O16:O17"/>
    <mergeCell ref="O18:O19"/>
    <mergeCell ref="O20:O21"/>
    <mergeCell ref="O22:O23"/>
    <mergeCell ref="O24:O26"/>
    <mergeCell ref="O27:O29"/>
    <mergeCell ref="O30:O31"/>
    <mergeCell ref="O32:O33"/>
    <mergeCell ref="P20:P21"/>
    <mergeCell ref="P22:P23"/>
    <mergeCell ref="P24:P26"/>
    <mergeCell ref="P27:P29"/>
    <mergeCell ref="P30:P31"/>
    <mergeCell ref="P32:P33"/>
    <mergeCell ref="O34:O35"/>
    <mergeCell ref="O36:O37"/>
    <mergeCell ref="O38:O39"/>
    <mergeCell ref="P34:P35"/>
    <mergeCell ref="P36:P37"/>
    <mergeCell ref="P38:P39"/>
    <mergeCell ref="P40:P41"/>
    <mergeCell ref="P42:P43"/>
    <mergeCell ref="P44:P45"/>
    <mergeCell ref="P46:P47"/>
    <mergeCell ref="P48:P49"/>
    <mergeCell ref="P50:P51"/>
    <mergeCell ref="Q40:Q41"/>
    <mergeCell ref="Q42:Q43"/>
    <mergeCell ref="Q44:Q45"/>
    <mergeCell ref="Q46:Q47"/>
    <mergeCell ref="Q48:Q49"/>
    <mergeCell ref="Q50:Q51"/>
    <mergeCell ref="Q14:Q15"/>
    <mergeCell ref="Q16:Q17"/>
    <mergeCell ref="Q18:Q19"/>
    <mergeCell ref="Q20:Q21"/>
    <mergeCell ref="Q22:Q23"/>
    <mergeCell ref="Q24:Q26"/>
    <mergeCell ref="Q27:Q29"/>
    <mergeCell ref="Q30:Q31"/>
    <mergeCell ref="Q32:Q33"/>
    <mergeCell ref="R20:R21"/>
    <mergeCell ref="R22:R23"/>
    <mergeCell ref="R24:R26"/>
    <mergeCell ref="R27:R29"/>
    <mergeCell ref="R30:R31"/>
    <mergeCell ref="R32:R33"/>
    <mergeCell ref="Q34:Q35"/>
    <mergeCell ref="Q36:Q37"/>
    <mergeCell ref="Q38:Q39"/>
    <mergeCell ref="R34:R35"/>
    <mergeCell ref="R36:R37"/>
    <mergeCell ref="R38:R39"/>
    <mergeCell ref="R40:R41"/>
    <mergeCell ref="R42:R43"/>
    <mergeCell ref="R44:R45"/>
    <mergeCell ref="R46:R47"/>
    <mergeCell ref="R48:R49"/>
    <mergeCell ref="R50:R51"/>
    <mergeCell ref="S40:S41"/>
    <mergeCell ref="S42:S43"/>
    <mergeCell ref="S44:S45"/>
    <mergeCell ref="S46:S47"/>
    <mergeCell ref="S48:S49"/>
    <mergeCell ref="S50:S51"/>
    <mergeCell ref="S14:S15"/>
    <mergeCell ref="S16:S17"/>
    <mergeCell ref="S18:S19"/>
    <mergeCell ref="S20:S21"/>
    <mergeCell ref="S22:S23"/>
    <mergeCell ref="S24:S26"/>
    <mergeCell ref="S27:S29"/>
    <mergeCell ref="S30:S31"/>
    <mergeCell ref="S32:S33"/>
    <mergeCell ref="T20:T21"/>
    <mergeCell ref="T22:T23"/>
    <mergeCell ref="T24:T26"/>
    <mergeCell ref="T27:T29"/>
    <mergeCell ref="T30:T31"/>
    <mergeCell ref="T32:T33"/>
    <mergeCell ref="S34:S35"/>
    <mergeCell ref="S36:S37"/>
    <mergeCell ref="S38:S39"/>
    <mergeCell ref="T34:T35"/>
    <mergeCell ref="T36:T37"/>
    <mergeCell ref="T38:T39"/>
    <mergeCell ref="T40:T41"/>
    <mergeCell ref="T42:T43"/>
    <mergeCell ref="T44:T45"/>
    <mergeCell ref="T46:T47"/>
    <mergeCell ref="T48:T49"/>
    <mergeCell ref="T50:T51"/>
    <mergeCell ref="U40:U41"/>
    <mergeCell ref="U42:U43"/>
    <mergeCell ref="U44:U45"/>
    <mergeCell ref="U46:U47"/>
    <mergeCell ref="U48:U49"/>
    <mergeCell ref="U50:U51"/>
    <mergeCell ref="U14:U15"/>
    <mergeCell ref="U16:U17"/>
    <mergeCell ref="U18:U19"/>
    <mergeCell ref="U20:U21"/>
    <mergeCell ref="U22:U23"/>
    <mergeCell ref="U24:U26"/>
    <mergeCell ref="U27:U29"/>
    <mergeCell ref="U30:U31"/>
    <mergeCell ref="U32:U33"/>
    <mergeCell ref="V20:V21"/>
    <mergeCell ref="V22:V23"/>
    <mergeCell ref="V24:V26"/>
    <mergeCell ref="V27:V29"/>
    <mergeCell ref="V30:V31"/>
    <mergeCell ref="V32:V33"/>
    <mergeCell ref="U34:U35"/>
    <mergeCell ref="U36:U37"/>
    <mergeCell ref="U38:U39"/>
    <mergeCell ref="V34:V35"/>
    <mergeCell ref="V36:V37"/>
    <mergeCell ref="V38:V39"/>
    <mergeCell ref="V40:V41"/>
    <mergeCell ref="V42:V43"/>
    <mergeCell ref="V44:V45"/>
    <mergeCell ref="V46:V47"/>
    <mergeCell ref="V48:V49"/>
    <mergeCell ref="V50:V51"/>
    <mergeCell ref="W14:W15"/>
    <mergeCell ref="W16:W17"/>
    <mergeCell ref="W18:W19"/>
    <mergeCell ref="X14:X15"/>
    <mergeCell ref="X16:X17"/>
    <mergeCell ref="X18:X19"/>
    <mergeCell ref="Y14:Y15"/>
    <mergeCell ref="Z14:Z15"/>
    <mergeCell ref="B4:AG5"/>
    <mergeCell ref="D7:N9"/>
    <mergeCell ref="T7:AG9"/>
    <mergeCell ref="V14:V15"/>
    <mergeCell ref="V16:V17"/>
    <mergeCell ref="V18:V19"/>
    <mergeCell ref="T14:T15"/>
    <mergeCell ref="T16:T17"/>
    <mergeCell ref="T18:T19"/>
    <mergeCell ref="R14:R15"/>
    <mergeCell ref="R16:R17"/>
    <mergeCell ref="R18:R19"/>
    <mergeCell ref="P14:P15"/>
    <mergeCell ref="P16:P17"/>
    <mergeCell ref="P18:P19"/>
    <mergeCell ref="N14:N15"/>
  </mergeCells>
  <phoneticPr fontId="214" type="noConversion"/>
  <pageMargins left="0.75" right="0.75" top="1" bottom="1" header="0.51180555555555596" footer="0.51180555555555596"/>
  <drawing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86"/>
  <dimension ref="A1:N1"/>
  <sheetViews>
    <sheetView workbookViewId="0">
      <selection activeCell="O1" sqref="O1"/>
    </sheetView>
  </sheetViews>
  <sheetFormatPr defaultColWidth="8.75" defaultRowHeight="14.25"/>
  <cols>
    <col min="1" max="16384" width="8.75" style="4"/>
  </cols>
  <sheetData>
    <row r="1" spans="1:14" ht="51" customHeight="1">
      <c r="A1" s="6216" t="s">
        <v>15297</v>
      </c>
      <c r="B1" s="6217"/>
      <c r="C1" s="6217"/>
      <c r="D1" s="6217"/>
      <c r="E1" s="6217"/>
      <c r="F1" s="6217"/>
      <c r="G1" s="6217"/>
      <c r="H1" s="6217"/>
      <c r="I1" s="6217"/>
      <c r="J1" s="6217"/>
      <c r="K1" s="6217"/>
      <c r="L1" s="6217"/>
      <c r="M1" s="6217"/>
      <c r="N1" s="6217"/>
    </row>
  </sheetData>
  <mergeCells count="1">
    <mergeCell ref="A1:N1"/>
  </mergeCells>
  <phoneticPr fontId="214" type="noConversion"/>
  <pageMargins left="0.75" right="0.75" top="1" bottom="1" header="0.51180555555555596" footer="0.51180555555555596"/>
  <pageSetup paperSize="9" orientation="portrait"/>
  <drawing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87"/>
  <dimension ref="A1:D26"/>
  <sheetViews>
    <sheetView workbookViewId="0">
      <selection activeCell="H4" sqref="H4"/>
    </sheetView>
  </sheetViews>
  <sheetFormatPr defaultColWidth="9" defaultRowHeight="14.25"/>
  <cols>
    <col min="1" max="1" width="14.5" customWidth="1"/>
    <col min="2" max="2" width="10.25" customWidth="1"/>
  </cols>
  <sheetData>
    <row r="1" spans="1:4" ht="30.75" customHeight="1">
      <c r="A1" s="6218" t="s">
        <v>15298</v>
      </c>
      <c r="B1" s="6218"/>
      <c r="C1" s="6218"/>
      <c r="D1" s="6218"/>
    </row>
    <row r="2" spans="1:4" ht="47.25" customHeight="1">
      <c r="A2" s="1" t="s">
        <v>15299</v>
      </c>
      <c r="B2" s="1" t="s">
        <v>15300</v>
      </c>
      <c r="C2" s="2" t="s">
        <v>15301</v>
      </c>
      <c r="D2" s="2" t="s">
        <v>15302</v>
      </c>
    </row>
    <row r="3" spans="1:4">
      <c r="A3" s="2" t="s">
        <v>15303</v>
      </c>
      <c r="B3" s="3">
        <v>1.83</v>
      </c>
      <c r="C3" s="3">
        <v>1.81</v>
      </c>
      <c r="D3" s="3">
        <v>1.85</v>
      </c>
    </row>
    <row r="4" spans="1:4">
      <c r="A4" s="2" t="s">
        <v>15304</v>
      </c>
      <c r="B4" s="3">
        <v>2</v>
      </c>
      <c r="C4" s="3">
        <v>1.98</v>
      </c>
      <c r="D4" s="3">
        <v>2.0299999999999998</v>
      </c>
    </row>
    <row r="5" spans="1:4">
      <c r="A5" s="2" t="s">
        <v>15305</v>
      </c>
      <c r="B5" s="3">
        <v>2.2999999999999998</v>
      </c>
      <c r="C5" s="3">
        <v>2.2799999999999998</v>
      </c>
      <c r="D5" s="3">
        <v>2.33</v>
      </c>
    </row>
    <row r="6" spans="1:4">
      <c r="A6" s="2" t="s">
        <v>15306</v>
      </c>
      <c r="B6" s="3">
        <v>2.78</v>
      </c>
      <c r="C6" s="3">
        <v>2.76</v>
      </c>
      <c r="D6" s="3">
        <v>2.81</v>
      </c>
    </row>
    <row r="7" spans="1:4">
      <c r="A7" s="2" t="s">
        <v>15307</v>
      </c>
      <c r="B7" s="3">
        <v>3.68</v>
      </c>
      <c r="C7" s="3">
        <v>3.65</v>
      </c>
      <c r="D7" s="3">
        <v>3.7</v>
      </c>
    </row>
    <row r="8" spans="1:4">
      <c r="A8" s="2" t="s">
        <v>15308</v>
      </c>
      <c r="B8" s="3">
        <v>4.63</v>
      </c>
      <c r="C8" s="3">
        <v>4.59</v>
      </c>
      <c r="D8" s="3">
        <v>4.66</v>
      </c>
    </row>
    <row r="9" spans="1:4">
      <c r="A9" s="2" t="s">
        <v>15309</v>
      </c>
      <c r="B9" s="3">
        <v>5.53</v>
      </c>
      <c r="C9" s="3">
        <v>5.48</v>
      </c>
      <c r="D9" s="3">
        <v>5.57</v>
      </c>
    </row>
    <row r="10" spans="1:4">
      <c r="A10" s="2" t="s">
        <v>15310</v>
      </c>
      <c r="B10" s="3">
        <v>6.53</v>
      </c>
      <c r="C10" s="3">
        <v>6.48</v>
      </c>
      <c r="D10" s="3">
        <v>6.57</v>
      </c>
    </row>
    <row r="11" spans="1:4">
      <c r="A11" s="2" t="s">
        <v>15311</v>
      </c>
      <c r="B11" s="3">
        <v>7.39</v>
      </c>
      <c r="C11" s="3">
        <v>7.34</v>
      </c>
      <c r="D11" s="3">
        <v>7.41</v>
      </c>
    </row>
    <row r="12" spans="1:4">
      <c r="A12" s="2" t="s">
        <v>15311</v>
      </c>
      <c r="B12" s="3">
        <v>7.53</v>
      </c>
      <c r="C12" s="3">
        <v>7.48</v>
      </c>
      <c r="D12" s="3">
        <v>7.57</v>
      </c>
    </row>
    <row r="13" spans="1:4">
      <c r="A13" s="2" t="s">
        <v>15312</v>
      </c>
      <c r="B13" s="3">
        <v>9.24</v>
      </c>
      <c r="C13" s="3">
        <v>9.18</v>
      </c>
      <c r="D13" s="3">
        <v>9.2799999999999994</v>
      </c>
    </row>
    <row r="14" spans="1:4">
      <c r="A14" s="2" t="s">
        <v>15313</v>
      </c>
      <c r="B14" s="3">
        <v>9.39</v>
      </c>
      <c r="C14" s="3">
        <v>9.34</v>
      </c>
      <c r="D14" s="3">
        <v>9.41</v>
      </c>
    </row>
    <row r="15" spans="1:4">
      <c r="A15" s="2" t="s">
        <v>15314</v>
      </c>
      <c r="B15" s="3">
        <v>9.5299999999999994</v>
      </c>
      <c r="C15" s="3">
        <v>9.48</v>
      </c>
      <c r="D15" s="3">
        <v>9.57</v>
      </c>
    </row>
    <row r="16" spans="1:4">
      <c r="A16" s="2" t="s">
        <v>15315</v>
      </c>
      <c r="B16" s="3">
        <v>11.12</v>
      </c>
      <c r="C16" s="3">
        <v>11.05</v>
      </c>
      <c r="D16" s="3">
        <v>11.15</v>
      </c>
    </row>
    <row r="17" spans="1:4">
      <c r="A17" s="2" t="s">
        <v>15316</v>
      </c>
      <c r="B17" s="3">
        <v>11.24</v>
      </c>
      <c r="C17" s="3">
        <v>11.18</v>
      </c>
      <c r="D17" s="3">
        <v>11.28</v>
      </c>
    </row>
    <row r="18" spans="1:4">
      <c r="A18" s="2" t="s">
        <v>15317</v>
      </c>
      <c r="B18" s="3">
        <v>11.39</v>
      </c>
      <c r="C18" s="3">
        <v>11.34</v>
      </c>
      <c r="D18" s="3">
        <v>11.41</v>
      </c>
    </row>
    <row r="19" spans="1:4">
      <c r="A19" s="2" t="s">
        <v>15318</v>
      </c>
      <c r="B19" s="3">
        <v>13</v>
      </c>
      <c r="C19" s="3">
        <v>12.92</v>
      </c>
      <c r="D19" s="3">
        <v>13.04</v>
      </c>
    </row>
    <row r="20" spans="1:4">
      <c r="A20" s="2" t="s">
        <v>15319</v>
      </c>
      <c r="B20" s="3">
        <v>13.27</v>
      </c>
      <c r="C20" s="3">
        <v>13.21</v>
      </c>
      <c r="D20" s="3">
        <v>13.3</v>
      </c>
    </row>
    <row r="21" spans="1:4">
      <c r="A21" s="2" t="s">
        <v>15320</v>
      </c>
      <c r="B21" s="3">
        <v>15</v>
      </c>
      <c r="C21" s="3">
        <v>14.92</v>
      </c>
      <c r="D21" s="3">
        <v>15.04</v>
      </c>
    </row>
    <row r="22" spans="1:4">
      <c r="A22" s="2" t="s">
        <v>15321</v>
      </c>
      <c r="B22" s="3">
        <v>15.27</v>
      </c>
      <c r="C22" s="3">
        <v>15.21</v>
      </c>
      <c r="D22" s="3">
        <v>15.3</v>
      </c>
    </row>
    <row r="23" spans="1:4">
      <c r="A23" s="2" t="s">
        <v>15322</v>
      </c>
      <c r="B23" s="3">
        <v>16.73</v>
      </c>
      <c r="C23" s="3">
        <v>16.63</v>
      </c>
      <c r="D23" s="3">
        <v>16.78</v>
      </c>
    </row>
    <row r="24" spans="1:4">
      <c r="A24" s="2" t="s">
        <v>15323</v>
      </c>
      <c r="B24" s="3">
        <v>17.28</v>
      </c>
      <c r="C24" s="3">
        <v>17.22</v>
      </c>
      <c r="D24" s="3">
        <v>17.309999999999999</v>
      </c>
    </row>
    <row r="25" spans="1:4">
      <c r="A25" s="2" t="s">
        <v>15324</v>
      </c>
      <c r="B25" s="3">
        <v>18.73</v>
      </c>
      <c r="C25" s="3">
        <v>18.63</v>
      </c>
      <c r="D25" s="3">
        <v>18.78</v>
      </c>
    </row>
    <row r="26" spans="1:4">
      <c r="A26" s="2" t="s">
        <v>15325</v>
      </c>
      <c r="B26" s="3">
        <v>19.28</v>
      </c>
      <c r="C26" s="3">
        <v>19.22</v>
      </c>
      <c r="D26" s="3">
        <v>19.309999999999999</v>
      </c>
    </row>
  </sheetData>
  <mergeCells count="1">
    <mergeCell ref="A1:D1"/>
  </mergeCells>
  <phoneticPr fontId="214"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5" master=""/>
  <rangeList sheetStid="214" master=""/>
  <rangeList sheetStid="215" master=""/>
  <rangeList sheetStid="213" master=""/>
  <rangeList sheetStid="212" master=""/>
  <rangeList sheetStid="211" master=""/>
  <rangeList sheetStid="210" master=""/>
  <rangeList sheetStid="209" master=""/>
  <rangeList sheetStid="208" master=""/>
  <rangeList sheetStid="207" master=""/>
  <rangeList sheetStid="206" master=""/>
  <rangeList sheetStid="205" master=""/>
  <rangeList sheetStid="204" master=""/>
  <rangeList sheetStid="203" master=""/>
  <rangeList sheetStid="202" master=""/>
  <rangeList sheetStid="201" master=""/>
  <rangeList sheetStid="200" master=""/>
  <rangeList sheetStid="199" master=""/>
  <rangeList sheetStid="198" master=""/>
  <rangeList sheetStid="197" master=""/>
  <rangeList sheetStid="196" master=""/>
  <rangeList sheetStid="195" master=""/>
  <rangeList sheetStid="194" master=""/>
  <rangeList sheetStid="193" master=""/>
  <rangeList sheetStid="192" master=""/>
  <rangeList sheetStid="191" master=""/>
  <rangeList sheetStid="190" master=""/>
  <rangeList sheetStid="189" master=""/>
  <rangeList sheetStid="188" master=""/>
  <rangeList sheetStid="187" master=""/>
  <rangeList sheetStid="186" master=""/>
  <rangeList sheetStid="185" master=""/>
  <rangeList sheetStid="183" master=""/>
  <rangeList sheetStid="184" master=""/>
  <rangeList sheetStid="172" master=""/>
  <rangeList sheetStid="175" master=""/>
  <rangeList sheetStid="176" master=""/>
  <rangeList sheetStid="174" master=""/>
  <rangeList sheetStid="182" master=""/>
  <rangeList sheetStid="171" master=""/>
  <rangeList sheetStid="181" master=""/>
  <rangeList sheetStid="180" master=""/>
  <rangeList sheetStid="178" master=""/>
  <rangeList sheetStid="179" master=""/>
  <rangeList sheetStid="177" master=""/>
  <rangeList sheetStid="170" master=""/>
  <rangeList sheetStid="169" master=""/>
  <rangeList sheetStid="168" master=""/>
  <rangeList sheetStid="167" master=""/>
  <rangeList sheetStid="165" master="">
    <arrUserId title="区域1" rangeCreator="" othersAccessPermission="edit"/>
  </rangeList>
  <rangeList sheetStid="164" master=""/>
  <rangeList sheetStid="163" master=""/>
  <rangeList sheetStid="162" master=""/>
  <rangeList sheetStid="161" master="">
    <arrUserId title="区域2" rangeCreator="" othersAccessPermission="edit"/>
    <arrUserId title="区域1" rangeCreator="" othersAccessPermission="edit"/>
  </rangeList>
  <rangeList sheetStid="160" master="">
    <arrUserId title="区域1" rangeCreator="" othersAccessPermission="edit"/>
  </rangeList>
  <rangeList sheetStid="159" master=""/>
  <rangeList sheetStid="157" master=""/>
  <rangeList sheetStid="156" master=""/>
  <rangeList sheetStid="155" master=""/>
  <rangeList sheetStid="154" master=""/>
  <rangeList sheetStid="153" master=""/>
  <rangeList sheetStid="152" master=""/>
  <rangeList sheetStid="151" master=""/>
  <rangeList sheetStid="150" master=""/>
  <rangeList sheetStid="149" master=""/>
  <rangeList sheetStid="148" master=""/>
  <rangeList sheetStid="147" master=""/>
  <rangeList sheetStid="146" master=""/>
  <rangeList sheetStid="145" master=""/>
  <rangeList sheetStid="144" master=""/>
  <rangeList sheetStid="143" master=""/>
  <rangeList sheetStid="142" master=""/>
  <rangeList sheetStid="141" master=""/>
  <rangeList sheetStid="140" master=""/>
  <rangeList sheetStid="139" master=""/>
  <rangeList sheetStid="138" master=""/>
  <rangeList sheetStid="136" master=""/>
  <rangeList sheetStid="132" master=""/>
  <rangeList sheetStid="133" master=""/>
  <rangeList sheetStid="134" master=""/>
  <rangeList sheetStid="135" master=""/>
  <rangeList sheetStid="131" master=""/>
  <rangeList sheetStid="127" master=""/>
  <rangeList sheetStid="128" master=""/>
  <rangeList sheetStid="129" master=""/>
  <rangeList sheetStid="126" master=""/>
  <rangeList sheetStid="125" master=""/>
  <rangeList sheetStid="124" master=""/>
  <rangeList sheetStid="123" master=""/>
  <rangeList sheetStid="122" master=""/>
  <rangeList sheetStid="121" master=""/>
  <rangeList sheetStid="120" master=""/>
  <rangeList sheetStid="119" master=""/>
  <rangeList sheetStid="118" master=""/>
  <rangeList sheetStid="117" master=""/>
  <rangeList sheetStid="116" master=""/>
  <rangeList sheetStid="115" master=""/>
  <rangeList sheetStid="114" master=""/>
  <rangeList sheetStid="113" master=""/>
  <rangeList sheetStid="112" master=""/>
  <rangeList sheetStid="109" master=""/>
  <rangeList sheetStid="108" master=""/>
  <rangeList sheetStid="107" master=""/>
  <rangeList sheetStid="106" master=""/>
  <rangeList sheetStid="105" master=""/>
  <rangeList sheetStid="104" master=""/>
  <rangeList sheetStid="102" master=""/>
  <rangeList sheetStid="101" master=""/>
  <rangeList sheetStid="100" master=""/>
  <rangeList sheetStid="98" master=""/>
  <rangeList sheetStid="97" master=""/>
  <rangeList sheetStid="96" master=""/>
  <rangeList sheetStid="95" master=""/>
  <rangeList sheetStid="94" master=""/>
  <rangeList sheetStid="93" master=""/>
  <rangeList sheetStid="92" master=""/>
  <rangeList sheetStid="89" master=""/>
  <rangeList sheetStid="88" master=""/>
  <rangeList sheetStid="86" master=""/>
  <rangeList sheetStid="85" master=""/>
  <rangeList sheetStid="84" master=""/>
  <rangeList sheetStid="83" master=""/>
  <rangeList sheetStid="82" master=""/>
  <rangeList sheetStid="80" master=""/>
  <rangeList sheetStid="79" master=""/>
  <rangeList sheetStid="78" master=""/>
  <rangeList sheetStid="77" master=""/>
  <rangeList sheetStid="73" master=""/>
  <rangeList sheetStid="72" master=""/>
  <rangeList sheetStid="71" master=""/>
  <rangeList sheetStid="70" master=""/>
  <rangeList sheetStid="69" master=""/>
  <rangeList sheetStid="67" master=""/>
  <rangeList sheetStid="66" master=""/>
  <rangeList sheetStid="65" master=""/>
  <rangeList sheetStid="64" master=""/>
  <rangeList sheetStid="63" master=""/>
  <rangeList sheetStid="62" master=""/>
  <rangeList sheetStid="60" master=""/>
  <rangeList sheetStid="59" master=""/>
  <rangeList sheetStid="58" master=""/>
  <rangeList sheetStid="56" master=""/>
  <rangeList sheetStid="55" master=""/>
  <rangeList sheetStid="53" master=""/>
  <rangeList sheetStid="52" master=""/>
  <rangeList sheetStid="51" master=""/>
  <rangeList sheetStid="48" master=""/>
  <rangeList sheetStid="49" master=""/>
  <rangeList sheetStid="47" master=""/>
  <rangeList sheetStid="43" master=""/>
  <rangeList sheetStid="44" master=""/>
  <rangeList sheetStid="45" master=""/>
  <rangeList sheetStid="40" master=""/>
  <rangeList sheetStid="42" master=""/>
  <rangeList sheetStid="39" master=""/>
  <rangeList sheetStid="37" master=""/>
  <rangeList sheetStid="34" master=""/>
  <rangeList sheetStid="35" master=""/>
  <rangeList sheetStid="36" master=""/>
  <rangeList sheetStid="28" master=""/>
  <rangeList sheetStid="29" master=""/>
  <rangeList sheetStid="26" master=""/>
  <rangeList sheetStid="25" master=""/>
  <rangeList sheetStid="23" master=""/>
  <rangeList sheetStid="24" master=""/>
  <rangeList sheetStid="19" master=""/>
  <rangeList sheetStid="20" master=""/>
  <rangeList sheetStid="22" master=""/>
  <rangeList sheetStid="18" master=""/>
  <rangeList sheetStid="17" master=""/>
  <rangeList sheetStid="16" master=""/>
  <rangeList sheetStid="8" master=""/>
  <rangeList sheetStid="2" master=""/>
  <rangeList sheetStid="1" master=""/>
  <rangeList sheetStid="3" master=""/>
  <rangeList sheetStid="7" master=""/>
  <rangeList sheetStid="9" master=""/>
  <rangeList sheetStid="10" master=""/>
  <rangeList sheetStid="11" master=""/>
  <rangeList sheetStid="14" master=""/>
  <rangeList sheetStid="74" master=""/>
  <rangeList sheetStid="90" master=""/>
  <rangeList sheetStid="110" master=""/>
  <rangeList sheetStid="130" master=""/>
  <rangeList sheetStid="137" master=""/>
  <rangeList sheetStid="158" master=""/>
  <rangeList sheetStid="173"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187</vt:i4>
      </vt:variant>
      <vt:variant>
        <vt:lpstr>命名范围</vt:lpstr>
      </vt:variant>
      <vt:variant>
        <vt:i4>19</vt:i4>
      </vt:variant>
    </vt:vector>
  </HeadingPairs>
  <TitlesOfParts>
    <vt:vector size="206" baseType="lpstr">
      <vt:lpstr>总目录</vt:lpstr>
      <vt:lpstr>回转圆盘式凸轮分割器选型</vt:lpstr>
      <vt:lpstr>传送带式凸轮分割器选型</vt:lpstr>
      <vt:lpstr>切削速度计算公式</vt:lpstr>
      <vt:lpstr>立铣刀选用表</vt:lpstr>
      <vt:lpstr>常用螺栓强度极限＆屈服极限＆预紧力＆预紧力矩一览表</vt:lpstr>
      <vt:lpstr>CNC加工参数</vt:lpstr>
      <vt:lpstr>钢料加工参数参考表</vt:lpstr>
      <vt:lpstr>CNC钢料切削参数表</vt:lpstr>
      <vt:lpstr>尺寸链计算</vt:lpstr>
      <vt:lpstr>尺寸链知识</vt:lpstr>
      <vt:lpstr>公差计算表</vt:lpstr>
      <vt:lpstr>尺寸链计算表</vt:lpstr>
      <vt:lpstr>LED显示英寸计算长宽</vt:lpstr>
      <vt:lpstr>几何体计算表</vt:lpstr>
      <vt:lpstr>伺服电机选型</vt:lpstr>
      <vt:lpstr>气动元件的选型计算</vt:lpstr>
      <vt:lpstr>伺服电机和步进电机的区别</vt:lpstr>
      <vt:lpstr>超越离合器设计</vt:lpstr>
      <vt:lpstr>减速器</vt:lpstr>
      <vt:lpstr>链轮参数计算</vt:lpstr>
      <vt:lpstr>同步轮</vt:lpstr>
      <vt:lpstr>步进电机与驱动选型</vt:lpstr>
      <vt:lpstr>常用金属材料密度表</vt:lpstr>
      <vt:lpstr>氮气弹簧计算</vt:lpstr>
      <vt:lpstr>压簧计算表</vt:lpstr>
      <vt:lpstr>所有换算单位</vt:lpstr>
      <vt:lpstr>气缸力计算及使用</vt:lpstr>
      <vt:lpstr>电镀余量参考</vt:lpstr>
      <vt:lpstr>齿轮的换算公式</vt:lpstr>
      <vt:lpstr>张力逐点计算</vt:lpstr>
      <vt:lpstr>功率及张力计算</vt:lpstr>
      <vt:lpstr>机械设计常用计算公式</vt:lpstr>
      <vt:lpstr>常用材料力学性能</vt:lpstr>
      <vt:lpstr>七国铝及其合金牌号对照表</vt:lpstr>
      <vt:lpstr>气缸与系统选型指南</vt:lpstr>
      <vt:lpstr>气缸推力计算</vt:lpstr>
      <vt:lpstr>真空元件的选定 </vt:lpstr>
      <vt:lpstr>内齿轮传动计算及插齿刀验算</vt:lpstr>
      <vt:lpstr>七国钢材牌号对照表</vt:lpstr>
      <vt:lpstr>准双曲面齿轮设计计算</vt:lpstr>
      <vt:lpstr>内齿轮插齿顶切验算</vt:lpstr>
      <vt:lpstr>外啮合圆柱齿轮传动设计计算</vt:lpstr>
      <vt:lpstr>外齿轮插齿、剃齿验算</vt:lpstr>
      <vt:lpstr>交错轴斜齿轮传动计算</vt:lpstr>
      <vt:lpstr>常用工程材料属性</vt:lpstr>
      <vt:lpstr>塑料材料性能</vt:lpstr>
      <vt:lpstr>液压冲击</vt:lpstr>
      <vt:lpstr>【理论】总冲裁力的计算</vt:lpstr>
      <vt:lpstr>液压油</vt:lpstr>
      <vt:lpstr>缝隙.管路</vt:lpstr>
      <vt:lpstr>蓄能器</vt:lpstr>
      <vt:lpstr>油箱.热平衡</vt:lpstr>
      <vt:lpstr>泵.马达</vt:lpstr>
      <vt:lpstr>油缸</vt:lpstr>
      <vt:lpstr>圆锥滚子轴承参数表</vt:lpstr>
      <vt:lpstr>公制螺纹大全</vt:lpstr>
      <vt:lpstr>椭圆</vt:lpstr>
      <vt:lpstr>正方形</vt:lpstr>
      <vt:lpstr>圆</vt:lpstr>
      <vt:lpstr>扇形圆环</vt:lpstr>
      <vt:lpstr>扇形</vt:lpstr>
      <vt:lpstr>三角形</vt:lpstr>
      <vt:lpstr>六边形</vt:lpstr>
      <vt:lpstr>空心正方形</vt:lpstr>
      <vt:lpstr>空心正方形（圆）</vt:lpstr>
      <vt:lpstr>空心圆</vt:lpstr>
      <vt:lpstr>空心椭圆</vt:lpstr>
      <vt:lpstr>矩形</vt:lpstr>
      <vt:lpstr>花键</vt:lpstr>
      <vt:lpstr>钢型截面</vt:lpstr>
      <vt:lpstr>带横孔圆</vt:lpstr>
      <vt:lpstr>薄壁正方形</vt:lpstr>
      <vt:lpstr>半圆环</vt:lpstr>
      <vt:lpstr>半圆</vt:lpstr>
      <vt:lpstr>功率计算公式</vt:lpstr>
      <vt:lpstr>捲料沖壓效率</vt:lpstr>
      <vt:lpstr>剪切力計算</vt:lpstr>
      <vt:lpstr>板材壓印成型之加工壓力</vt:lpstr>
      <vt:lpstr>V型 彎曲力之計算 </vt:lpstr>
      <vt:lpstr>U型 彎曲力之計算</vt:lpstr>
      <vt:lpstr>齿轮齿条电机选型</vt:lpstr>
      <vt:lpstr>正弦加速度凸轮</vt:lpstr>
      <vt:lpstr>凸轮正弦余弦计算对照表</vt:lpstr>
      <vt:lpstr>凸轮的轮廓曲线设计</vt:lpstr>
      <vt:lpstr>金属材料密度表</vt:lpstr>
      <vt:lpstr>倍速链的张力计算</vt:lpstr>
      <vt:lpstr>倍速链线马达功率计算</vt:lpstr>
      <vt:lpstr>英制螺纹</vt:lpstr>
      <vt:lpstr>滚珠丝杆水平 (2)</vt:lpstr>
      <vt:lpstr>转矩计算</vt:lpstr>
      <vt:lpstr>皮带传动</vt:lpstr>
      <vt:lpstr>滚珠丝杆垂直</vt:lpstr>
      <vt:lpstr>滚珠丝杆水平</vt:lpstr>
      <vt:lpstr>弹簧刚度计算大全</vt:lpstr>
      <vt:lpstr>链轮齿槽形状</vt:lpstr>
      <vt:lpstr>链轮的基本参数和主要尺寸</vt:lpstr>
      <vt:lpstr>传动用短节距精密滚子链</vt:lpstr>
      <vt:lpstr>链条长度计算</vt:lpstr>
      <vt:lpstr>轴向齿廓及尺寸</vt:lpstr>
      <vt:lpstr>英制螺纹底孔对照表</vt:lpstr>
      <vt:lpstr>C型三角带规格</vt:lpstr>
      <vt:lpstr>B型三角带规格</vt:lpstr>
      <vt:lpstr>A型三角带规格</vt:lpstr>
      <vt:lpstr>V型带槽型齿</vt:lpstr>
      <vt:lpstr>V型带轮规格型号</vt:lpstr>
      <vt:lpstr>凸轮各曲线特征</vt:lpstr>
      <vt:lpstr>形位公差</vt:lpstr>
      <vt:lpstr>孔偏差</vt:lpstr>
      <vt:lpstr>公差</vt:lpstr>
      <vt:lpstr>沉孔尺寸</vt:lpstr>
      <vt:lpstr>緊固螺釘旋入深度及螺孔底孔深度</vt:lpstr>
      <vt:lpstr>扳手空間尺寸</vt:lpstr>
      <vt:lpstr>T型槽尺寸</vt:lpstr>
      <vt:lpstr>亚德客缓冲器</vt:lpstr>
      <vt:lpstr>材质硬度对照表</vt:lpstr>
      <vt:lpstr>推力球轴承尺寸表</vt:lpstr>
      <vt:lpstr>深沟球轴承查询 </vt:lpstr>
      <vt:lpstr>平键和键槽</vt:lpstr>
      <vt:lpstr>E形扣环</vt:lpstr>
      <vt:lpstr>轴用</vt:lpstr>
      <vt:lpstr>孔用</vt:lpstr>
      <vt:lpstr>齿轮齿条传动设计计算  </vt:lpstr>
      <vt:lpstr>搖擺資料</vt:lpstr>
      <vt:lpstr>輸送帶計算</vt:lpstr>
      <vt:lpstr>齒輪分割計算</vt:lpstr>
      <vt:lpstr>棘轮计算</vt:lpstr>
      <vt:lpstr>弹簧计算</vt:lpstr>
      <vt:lpstr>齿式联轴器计算</vt:lpstr>
      <vt:lpstr>万向联轴器计算</vt:lpstr>
      <vt:lpstr>过盈计算</vt:lpstr>
      <vt:lpstr>减速机公称功率</vt:lpstr>
      <vt:lpstr>链条计算</vt:lpstr>
      <vt:lpstr>焊缝及键连接受力计算比较</vt:lpstr>
      <vt:lpstr>销的强度计算</vt:lpstr>
      <vt:lpstr>键的强度计算 </vt:lpstr>
      <vt:lpstr>同步带轮传动设计计算</vt:lpstr>
      <vt:lpstr>分度盘选型计算公式</vt:lpstr>
      <vt:lpstr>单位换算</vt:lpstr>
      <vt:lpstr>真空元件的选定</vt:lpstr>
      <vt:lpstr>耗气量计算及电磁阀选择</vt:lpstr>
      <vt:lpstr>三角皮带参数表</vt:lpstr>
      <vt:lpstr>气缸理论出力表</vt:lpstr>
      <vt:lpstr>气缸内径选型</vt:lpstr>
      <vt:lpstr>伺服电机选型自动版</vt:lpstr>
      <vt:lpstr>材料价格计算表</vt:lpstr>
      <vt:lpstr>压入力计算</vt:lpstr>
      <vt:lpstr>弹性模量、泊松系数</vt:lpstr>
      <vt:lpstr>电机功率确定程序</vt:lpstr>
      <vt:lpstr>变位圆柱</vt:lpstr>
      <vt:lpstr>齿轮齿条</vt:lpstr>
      <vt:lpstr>齿轮常用材料及其力学性能 (2)</vt:lpstr>
      <vt:lpstr>圆柱蜗杆传动基本几何尺寸计算公式</vt:lpstr>
      <vt:lpstr>圆柱蜗杆传动主要参数搭配推荐值</vt:lpstr>
      <vt:lpstr>三角皮带长度计算</vt:lpstr>
      <vt:lpstr>粗螺纹</vt:lpstr>
      <vt:lpstr>美制特细螺纹及英制电器螺纹</vt:lpstr>
      <vt:lpstr>管螺纹</vt:lpstr>
      <vt:lpstr>螺纹及针车用螺纹</vt:lpstr>
      <vt:lpstr>立柱计算</vt:lpstr>
      <vt:lpstr>稳定性系数</vt:lpstr>
      <vt:lpstr>   齿轮齿条传动设计计算    </vt:lpstr>
      <vt:lpstr>齿轮常用材料及其力学性能</vt:lpstr>
      <vt:lpstr>蜗轮传动</vt:lpstr>
      <vt:lpstr>高度变位斜齿轮跨棒(球)距</vt:lpstr>
      <vt:lpstr>外花键跨棒距</vt:lpstr>
      <vt:lpstr>内花键棒间距</vt:lpstr>
      <vt:lpstr>高变位齿轮尺寸计算</vt:lpstr>
      <vt:lpstr>超越离合器设计计算表</vt:lpstr>
      <vt:lpstr>常用Y系列电机型号参数表</vt:lpstr>
      <vt:lpstr>锥齿轮传动设计计算</vt:lpstr>
      <vt:lpstr>概述</vt:lpstr>
      <vt:lpstr>负载转矩计算</vt:lpstr>
      <vt:lpstr>惯量计算</vt:lpstr>
      <vt:lpstr>皮带轮间歇运动</vt:lpstr>
      <vt:lpstr>皮带轮连续运动</vt:lpstr>
      <vt:lpstr>分度盘</vt:lpstr>
      <vt:lpstr>其他</vt:lpstr>
      <vt:lpstr>电机常识</vt:lpstr>
      <vt:lpstr>圆盘</vt:lpstr>
      <vt:lpstr>分割器选型基础知识</vt:lpstr>
      <vt:lpstr>螺纹中小径计算</vt:lpstr>
      <vt:lpstr>塞打螺丝常用规格表</vt:lpstr>
      <vt:lpstr>米制细牙螺纹</vt:lpstr>
      <vt:lpstr>轴的基本偏差</vt:lpstr>
      <vt:lpstr>带滑块轴承座规格表</vt:lpstr>
      <vt:lpstr>挤压丝锥公制螺纹底孔直径</vt:lpstr>
      <vt:lpstr>'   齿轮齿条传动设计计算    '!Print_Area</vt:lpstr>
      <vt:lpstr>T型槽尺寸!Print_Area</vt:lpstr>
      <vt:lpstr>'U型 彎曲力之計算'!Print_Area</vt:lpstr>
      <vt:lpstr>'V型 彎曲力之計算 '!Print_Area</vt:lpstr>
      <vt:lpstr>板材壓印成型之加工壓力!Print_Area</vt:lpstr>
      <vt:lpstr>倍速链线马达功率计算!Print_Area</vt:lpstr>
      <vt:lpstr>变位圆柱!Print_Area</vt:lpstr>
      <vt:lpstr>沉孔尺寸!Print_Area</vt:lpstr>
      <vt:lpstr>电镀余量参考!Print_Area</vt:lpstr>
      <vt:lpstr>电机功率确定程序!Print_Area</vt:lpstr>
      <vt:lpstr>剪切力計算!Print_Area</vt:lpstr>
      <vt:lpstr>金属材料密度表!Print_Area</vt:lpstr>
      <vt:lpstr>捲料沖壓效率!Print_Area</vt:lpstr>
      <vt:lpstr>'深沟球轴承查询 '!Print_Area</vt:lpstr>
      <vt:lpstr>凸轮正弦余弦计算对照表!Print_Area</vt:lpstr>
      <vt:lpstr>英制螺纹底孔对照表!Print_Area</vt:lpstr>
      <vt:lpstr>轴用!Print_Area</vt:lpstr>
      <vt:lpstr>锥齿轮传动设计计算!Print_Area</vt:lpstr>
      <vt:lpstr>常用Y系列电机型号参数表!Print_Titles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changle.li</dc:creator>
  <cp:lastModifiedBy>奔飞001</cp:lastModifiedBy>
  <cp:revision>1</cp:revision>
  <cp:lastPrinted>2006-12-20T10:31:00Z</cp:lastPrinted>
  <dcterms:created xsi:type="dcterms:W3CDTF">1996-12-17T01:32:00Z</dcterms:created>
  <dcterms:modified xsi:type="dcterms:W3CDTF">2025-11-18T02:19:59Z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KSOReadingLayout">
    <vt:bool>false</vt:bool>
  </property>
  <property fmtid="{D5CDD505-2E9C-101B-9397-08002B2CF9AE}" pid="4" name="ICV">
    <vt:lpwstr>B31ECD0DA6C843A386905AA4A8AE35FD_12</vt:lpwstr>
  </property>
</Properties>
</file>